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ventory" sheetId="2" r:id="rId6"/>
    <sheet state="visible" name="Summary" sheetId="3" r:id="rId7"/>
    <sheet state="visible" name="Search" sheetId="4" r:id="rId8"/>
    <sheet state="visible" name="Entries" sheetId="5" r:id="rId9"/>
    <sheet state="visible" name="Best Of" sheetId="6" r:id="rId10"/>
    <sheet state="visible" name="Publishers" sheetId="7" r:id="rId11"/>
    <sheet state="visible" name="Matrix" sheetId="8" r:id="rId12"/>
    <sheet state="visible" name="Spent" sheetId="9" r:id="rId13"/>
    <sheet state="visible" name="RejectedCoupons" sheetId="10" r:id="rId14"/>
  </sheets>
  <definedNames>
    <definedName hidden="1" localSheetId="1" name="_xlnm._FilterDatabase">Inventory!$J$1:$J$12671</definedName>
    <definedName hidden="1" localSheetId="1" name="Z_F5B3B8BB_0CB8_47F1_9B03_21DBECCD9F57_.wvu.FilterData">Inventory!$A$1:$KN$3119</definedName>
    <definedName hidden="1" localSheetId="1" name="Z_AC6D8FD8_8457_42C9_B0C2_86A54DE52FF6_.wvu.FilterData">Inventory!$A$1:$M$1470</definedName>
  </definedNames>
  <calcPr/>
  <customWorkbookViews>
    <customWorkbookView activeSheetId="0" maximized="1" windowHeight="0" windowWidth="0" guid="{F5B3B8BB-0CB8-47F1-9B03-21DBECCD9F57}" name="Filter 2"/>
    <customWorkbookView activeSheetId="0" maximized="1" windowHeight="0" windowWidth="0" guid="{AC6D8FD8-8457-42C9-B0C2-86A54DE52FF6}" name="Filter 1"/>
  </customWorkbookViews>
</workbook>
</file>

<file path=xl/sharedStrings.xml><?xml version="1.0" encoding="utf-8"?>
<sst xmlns="http://schemas.openxmlformats.org/spreadsheetml/2006/main" count="38000" uniqueCount="10851">
  <si>
    <t>MONTH</t>
  </si>
  <si>
    <t>Today</t>
  </si>
  <si>
    <t>Month</t>
  </si>
  <si>
    <t>Last Week</t>
  </si>
  <si>
    <t>Yesterday</t>
  </si>
  <si>
    <t>Vendors</t>
  </si>
  <si>
    <t>Bought</t>
  </si>
  <si>
    <t>Sold</t>
  </si>
  <si>
    <t>Stock</t>
  </si>
  <si>
    <t>Revenue</t>
  </si>
  <si>
    <t>Spent</t>
  </si>
  <si>
    <t>Profit</t>
  </si>
  <si>
    <t>%</t>
  </si>
  <si>
    <t>Last 20 Sold</t>
  </si>
  <si>
    <t>Vendor</t>
  </si>
  <si>
    <t>Date</t>
  </si>
  <si>
    <t>RVN</t>
  </si>
  <si>
    <t>Other</t>
  </si>
  <si>
    <t>Eneba</t>
  </si>
  <si>
    <t>Fanatical</t>
  </si>
  <si>
    <t>SPNT</t>
  </si>
  <si>
    <t>Gamivo</t>
  </si>
  <si>
    <t>GreenMan</t>
  </si>
  <si>
    <t>GamesPlanet</t>
  </si>
  <si>
    <t>PRFT</t>
  </si>
  <si>
    <t>G2A</t>
  </si>
  <si>
    <t>IndieGala</t>
  </si>
  <si>
    <t>CDKeys</t>
  </si>
  <si>
    <t>SOLD</t>
  </si>
  <si>
    <t>King</t>
  </si>
  <si>
    <t>WinGame</t>
  </si>
  <si>
    <t>MRGN</t>
  </si>
  <si>
    <t>K4G</t>
  </si>
  <si>
    <t>InstGam</t>
  </si>
  <si>
    <t>HRK</t>
  </si>
  <si>
    <t>GamersGate</t>
  </si>
  <si>
    <t>Mon</t>
  </si>
  <si>
    <t>GamersOutlet</t>
  </si>
  <si>
    <t>MMOGA</t>
  </si>
  <si>
    <t>Tue</t>
  </si>
  <si>
    <t>YuPlay</t>
  </si>
  <si>
    <t>Total</t>
  </si>
  <si>
    <t>Wed</t>
  </si>
  <si>
    <t>Thu</t>
  </si>
  <si>
    <t>KEYS</t>
  </si>
  <si>
    <t>ALL</t>
  </si>
  <si>
    <t>OPEN</t>
  </si>
  <si>
    <t>COST</t>
  </si>
  <si>
    <t>CLOSED</t>
  </si>
  <si>
    <t>Fri</t>
  </si>
  <si>
    <t>Sat</t>
  </si>
  <si>
    <t>Sun</t>
  </si>
  <si>
    <t>TTL</t>
  </si>
  <si>
    <t>Margin</t>
  </si>
  <si>
    <t xml:space="preserve">  </t>
  </si>
  <si>
    <t>Name</t>
  </si>
  <si>
    <t>Entry Date</t>
  </si>
  <si>
    <t>Closed Date</t>
  </si>
  <si>
    <t>Cost</t>
  </si>
  <si>
    <t>Sell</t>
  </si>
  <si>
    <t>Key</t>
  </si>
  <si>
    <t>Status</t>
  </si>
  <si>
    <t>Duration</t>
  </si>
  <si>
    <t>Day</t>
  </si>
  <si>
    <t>Publisher</t>
  </si>
  <si>
    <t>Img</t>
  </si>
  <si>
    <t>LP</t>
  </si>
  <si>
    <t>Bayonetta RoW</t>
  </si>
  <si>
    <t>P3KXY-4C6G3-9B8A6</t>
  </si>
  <si>
    <t>Closed</t>
  </si>
  <si>
    <t>BRNIJ-ECE0I-HYGEM</t>
  </si>
  <si>
    <t>J2TZF-N4V43-LKJNN</t>
  </si>
  <si>
    <t>9L354-YT0MY-GT40T</t>
  </si>
  <si>
    <t>LEGO: Marvel Super Heroes 2 (Deluxe Edition)</t>
  </si>
  <si>
    <t>BA2EG-4JTEV-W8TN8</t>
  </si>
  <si>
    <t>Shadow of the Tomb Raider Definitive Edition</t>
  </si>
  <si>
    <t>XHVTQ-45RXF-TQLF9</t>
  </si>
  <si>
    <t>J83FK-3N60R-DKDE4</t>
  </si>
  <si>
    <t>NBA 2K20</t>
  </si>
  <si>
    <t>36MW7-4HZQT-ZAM27</t>
  </si>
  <si>
    <t>34MZM-H02ZH-2YV04</t>
  </si>
  <si>
    <t>F7NZG-FB4W5-ZV8P6</t>
  </si>
  <si>
    <t>CMTB2-R49K2-FZBZD</t>
  </si>
  <si>
    <t>C7YC5-8NIY6-J08LW</t>
  </si>
  <si>
    <t>Foxhole</t>
  </si>
  <si>
    <t>2GCBL-V2425-Q6ERV</t>
  </si>
  <si>
    <t>4I6CT-EZKDG-YAX5A</t>
  </si>
  <si>
    <t>Shairento VR</t>
  </si>
  <si>
    <t>LND6T-9JPMK-72JBN</t>
  </si>
  <si>
    <t>Chrono Trigger</t>
  </si>
  <si>
    <t>LDTLX-YMWQP-9X5VK</t>
  </si>
  <si>
    <t>Team Sonic Racing</t>
  </si>
  <si>
    <t>9GEE6-D642V-VRW4H</t>
  </si>
  <si>
    <t>WE6K7-YGVFB-Q2I4P</t>
  </si>
  <si>
    <t>LWQLL-QXLA8-YTWGD</t>
  </si>
  <si>
    <t>YEX0X-VK7Y2-JRYAQ</t>
  </si>
  <si>
    <t>MEGMQ-QTK36-WQ9LP</t>
  </si>
  <si>
    <t>Wreckfest</t>
  </si>
  <si>
    <t>YGQ9D-35W7E-PEDEK</t>
  </si>
  <si>
    <t>9FKLV-3KT2L-XCY9T</t>
  </si>
  <si>
    <t>Little Big Workshop</t>
  </si>
  <si>
    <t xml:space="preserve">LFDL8-XI35N-QZQAL
</t>
  </si>
  <si>
    <t>Mist Survival</t>
  </si>
  <si>
    <t>HKCZF-TNTV0-GY8EY</t>
  </si>
  <si>
    <t>5AWMP-6HYKR-CHKAQ</t>
  </si>
  <si>
    <t>20I73-R9EG2-VPC2T</t>
  </si>
  <si>
    <t>Flashing Lights - Police Fire EMS</t>
  </si>
  <si>
    <t>JX749-LC9HQ-E0ZJN</t>
  </si>
  <si>
    <t>QD0VF-FZWYB-9NTBK</t>
  </si>
  <si>
    <t>BLBPG-TRLF0-0Z9VF</t>
  </si>
  <si>
    <t>Felix The Reaper</t>
  </si>
  <si>
    <t>MD05D-T2D0F-J8R84</t>
  </si>
  <si>
    <t>L0T5B-T7Z9E-6CPG3</t>
  </si>
  <si>
    <t>WQDV7-5HZFH-3YMRV</t>
  </si>
  <si>
    <t>Reventure</t>
  </si>
  <si>
    <t>VZJYE-G6LFG-M35R8</t>
  </si>
  <si>
    <t>R22WR-856DE-58GZJ</t>
  </si>
  <si>
    <t>Payday 2</t>
  </si>
  <si>
    <t>W8MCB-P4CEV-Y578K</t>
  </si>
  <si>
    <t>DJFRM-KDJLN-LXRQN</t>
  </si>
  <si>
    <t>The Golf Club 2019</t>
  </si>
  <si>
    <t>706ZK-020CD-R3VBY</t>
  </si>
  <si>
    <t>6IMME-YR0QX-9Y3HX</t>
  </si>
  <si>
    <t>Dungeons 3</t>
  </si>
  <si>
    <t>AL2T8-CZTK5-WY0M3</t>
  </si>
  <si>
    <t>Fictorum</t>
  </si>
  <si>
    <t>XYEZC-VZH0R-IIW3D</t>
  </si>
  <si>
    <t>Tower of Time</t>
  </si>
  <si>
    <t xml:space="preserve">EZ9N0-BX5DR-60AVA	</t>
  </si>
  <si>
    <t>RH484-4Q4HH-ZQ9GN</t>
  </si>
  <si>
    <t>3NC6A-4Y3FL-7B50D</t>
  </si>
  <si>
    <t>82BCV-BWLIC-E5I58</t>
  </si>
  <si>
    <t>3WECR-AGX5T-629QK</t>
  </si>
  <si>
    <t>Stars End</t>
  </si>
  <si>
    <t>Q5ICD-LTNPK-9YMEC</t>
  </si>
  <si>
    <t>Y6YHC-GJZ7W-CWXBT</t>
  </si>
  <si>
    <t>Garfield Kart Furious Racing</t>
  </si>
  <si>
    <t>C30GA-DCY98-HWW0</t>
  </si>
  <si>
    <t>Euro Truck Simulator 2</t>
  </si>
  <si>
    <t>NFYH8-6YL5I-CM8DN</t>
  </si>
  <si>
    <t>NJ54R-KEW6Q-DJKM3</t>
  </si>
  <si>
    <t>XCOM: Chimera Squad EU</t>
  </si>
  <si>
    <t>DMLKJ-VD7LI-4EGDK</t>
  </si>
  <si>
    <t>4V76R-KFZVC-IXVK4</t>
  </si>
  <si>
    <t>89HKF-J8QJ5-QNCMD</t>
  </si>
  <si>
    <t>V7TAC-H8D6A-46NK7</t>
  </si>
  <si>
    <t>KI0L9-JQTP6-Z3G4X</t>
  </si>
  <si>
    <t>Yakuza 0 EU</t>
  </si>
  <si>
    <t>A2CHX-G4PEN-HPFQH</t>
  </si>
  <si>
    <t>The Council</t>
  </si>
  <si>
    <t>492DF-YABRB-8YLWH</t>
  </si>
  <si>
    <t>09K36-47ZV8-I2T60</t>
  </si>
  <si>
    <t>LCG4X-596H2-2EII8</t>
  </si>
  <si>
    <t>0CBPM-6GTQ5-CV4JZ</t>
  </si>
  <si>
    <t>ZW2QX-8AX4X-5APT5</t>
  </si>
  <si>
    <t>ZC3AZ-9J9D9-3XIYF</t>
  </si>
  <si>
    <t>YDL9F-X9CN5-DL6KY</t>
  </si>
  <si>
    <t>8B3ZL-8KPIK-9FW85</t>
  </si>
  <si>
    <t>ARCQI-W9FJB-W8W3M</t>
  </si>
  <si>
    <t>8W7AG-EHJQJ-IKLFD</t>
  </si>
  <si>
    <t>Rocket Knight</t>
  </si>
  <si>
    <t>F48FF-97KIT-8VMJC</t>
  </si>
  <si>
    <t>Y7G9T-LCFG5-7N7KZ</t>
  </si>
  <si>
    <t>Sleeping Dogs Definitive Edition EU</t>
  </si>
  <si>
    <t>XPFR8-LBM2Q-IQQIP</t>
  </si>
  <si>
    <t>27WM5-A0W65-INRTH</t>
  </si>
  <si>
    <t>Overload</t>
  </si>
  <si>
    <t>BMWWM-7J22K-3FQ29</t>
  </si>
  <si>
    <t>BM9VT-RM4YP-N5II6</t>
  </si>
  <si>
    <t>Disgaea 5 Complete</t>
  </si>
  <si>
    <t>YI853-EZI9M-C39LL</t>
  </si>
  <si>
    <t>D55HZ-9R75N-PQC38</t>
  </si>
  <si>
    <t>Tomb Raider GOTY Bundle</t>
  </si>
  <si>
    <t>H5GH6-0WPVL-XY4TM</t>
  </si>
  <si>
    <t>T3EYN-5W56D-FI4KF</t>
  </si>
  <si>
    <t>5BYJI-VJD04-ZVF48</t>
  </si>
  <si>
    <t>V-Rally 4</t>
  </si>
  <si>
    <t>4AEWZ-YPQ6D-EB69P</t>
  </si>
  <si>
    <t>79Y9R-DW8LJ-W504I</t>
  </si>
  <si>
    <t>Stasis</t>
  </si>
  <si>
    <t>653LK-KRHLE-PRRB6</t>
  </si>
  <si>
    <t>Q038W-20I4Q-KW4YA</t>
  </si>
  <si>
    <t>Styx: Master of Shadows</t>
  </si>
  <si>
    <t>3YBNJ-HBK9L-TWJBL</t>
  </si>
  <si>
    <t>YGI9B-W5MPF-H9BA2</t>
  </si>
  <si>
    <t>Of Orcs And Men</t>
  </si>
  <si>
    <t>8W5W0-7QA59-LBDDL</t>
  </si>
  <si>
    <t>911 Operator</t>
  </si>
  <si>
    <t>0BK7L-VWWW7-HHFMH</t>
  </si>
  <si>
    <t>IGTTL-TWTP8-L9YFZ</t>
  </si>
  <si>
    <t>System Shock: Enhanced Edition</t>
  </si>
  <si>
    <t>0R6QG-H4M8V-926ID</t>
  </si>
  <si>
    <t>6IQFQ-A5IQM-HY9P8</t>
  </si>
  <si>
    <t>F1 2018</t>
  </si>
  <si>
    <t>4HT5W-9JN4H-ETZQV</t>
  </si>
  <si>
    <t>XW0L3-B7NL5-W03NG</t>
  </si>
  <si>
    <t>Atari Vault</t>
  </si>
  <si>
    <t>W2T9Y-JVA59-I9KA4</t>
  </si>
  <si>
    <t>0L7ME-P3693-AVC63</t>
  </si>
  <si>
    <t>Book of Demons</t>
  </si>
  <si>
    <t>YRD3Q-VMH4V-HQ04V</t>
  </si>
  <si>
    <t>T9TE9-LVNKY-5EV9H</t>
  </si>
  <si>
    <t xml:space="preserve">Medieval Kingdom Wars
</t>
  </si>
  <si>
    <t>CQVJI-4PJHA-AQLZR</t>
  </si>
  <si>
    <t>Medieval Kingdom Wars</t>
  </si>
  <si>
    <t>WI02V-DTL2C-87DMK</t>
  </si>
  <si>
    <t>TGIBT-FMYF9-XT4YB</t>
  </si>
  <si>
    <t>Deus Ex: Mankind Divided Digital Deluxe Edition</t>
  </si>
  <si>
    <t>8EI9R-YCP92-ZHK8P</t>
  </si>
  <si>
    <t>9C0KA-WRKPL-DVH3K</t>
  </si>
  <si>
    <t>God Eater 3</t>
  </si>
  <si>
    <t xml:space="preserve">6X4W6-4FKDA-3Y0BN
</t>
  </si>
  <si>
    <t xml:space="preserve">74HBB-6QD53-F8K40
</t>
  </si>
  <si>
    <t>CZVY0-4VHPF-6AMIN</t>
  </si>
  <si>
    <t>Injustice 2</t>
  </si>
  <si>
    <t xml:space="preserve">HATRL-0KFD0-8YL8X
</t>
  </si>
  <si>
    <t>Alien: Isolation Collection RoW</t>
  </si>
  <si>
    <t xml:space="preserve">DXF3I-PGBYK-FG4AE
</t>
  </si>
  <si>
    <t xml:space="preserve">Sleeping Dogs Definitive Edition </t>
  </si>
  <si>
    <t>5M7EB-ZB3XX-KH0HN</t>
  </si>
  <si>
    <t>VKRYP-5IVPF-FJMRN</t>
  </si>
  <si>
    <t>Deliver Us The Moon</t>
  </si>
  <si>
    <t>547Q9-6C04X-PEABL</t>
  </si>
  <si>
    <t>GPVM8-CQCBJ-0QWC5</t>
  </si>
  <si>
    <t>Sigma Theory: Global Cold War</t>
  </si>
  <si>
    <t>VPL7W-PJ7GA-D7RW3</t>
  </si>
  <si>
    <t>C3JC4-ZDVBV-IQ78J</t>
  </si>
  <si>
    <t xml:space="preserve">Sherlock Holmes: Crimes and Punishments
</t>
  </si>
  <si>
    <t>NJ55Y-K2AVB-L2QH0</t>
  </si>
  <si>
    <t>7LI30-DE8PK-E4QWH</t>
  </si>
  <si>
    <t>DiRT Rally 2.0</t>
  </si>
  <si>
    <t>BCFMF-QVRWK-LIBNZ</t>
  </si>
  <si>
    <t>XKFAT-F2PVE-9DG4W</t>
  </si>
  <si>
    <t>9YJH3-DPPF7-HKWVD</t>
  </si>
  <si>
    <t>J9GEY-2LJR2-K060V</t>
  </si>
  <si>
    <t>QG0ZR-DEHPC-JGDEA</t>
  </si>
  <si>
    <t>6BWHG-NHCKL-X59WY</t>
  </si>
  <si>
    <t>VVK0Q-RZZ4R-C6EFF</t>
  </si>
  <si>
    <t>CYEAF-GTMXI-5I4G9</t>
  </si>
  <si>
    <t xml:space="preserve">Narcos: Rise of the Cartels
</t>
  </si>
  <si>
    <t>XK26X-0K5D0-LJ087</t>
  </si>
  <si>
    <t>BQJ2Y-02ET9-7JHH2</t>
  </si>
  <si>
    <t>PJMCW-X99R7-X46AZ</t>
  </si>
  <si>
    <t>TTAXW-X5VKD-9XXQY</t>
  </si>
  <si>
    <t>PLEMK-7B7LG-ZDNDZ</t>
  </si>
  <si>
    <t>KP7MV-EVXZR-ZETNQ</t>
  </si>
  <si>
    <t>M9C9T-8FH7Q-BLVPB</t>
  </si>
  <si>
    <t>KTL2I-0CPQD-XHCKT</t>
  </si>
  <si>
    <t>4D99W-ZCDX2-7PP77</t>
  </si>
  <si>
    <t>QCGG4-34HEY-GW5KI</t>
  </si>
  <si>
    <t>33Y2A-CQ68M-FDJ5C</t>
  </si>
  <si>
    <t>BDPR0-IJAY7-W0QA4</t>
  </si>
  <si>
    <t>AF23X-I9MNV-GEZGE</t>
  </si>
  <si>
    <t>HVKX9-KCRLW-AZ03N</t>
  </si>
  <si>
    <t>Prey 2017</t>
  </si>
  <si>
    <t>YKT3W-VDBI9-LT46Y</t>
  </si>
  <si>
    <t>Q0IIM-J54IY-YGFZ7</t>
  </si>
  <si>
    <t>57HCT-J45B3-N8PTT</t>
  </si>
  <si>
    <t>PCBR9-P0H05-6QI52</t>
  </si>
  <si>
    <t>ETGK8-CL688-KCKRE</t>
  </si>
  <si>
    <t>Skyhill</t>
  </si>
  <si>
    <t>WFJ5N-K0BTT-9DTEE</t>
  </si>
  <si>
    <t>TIWWF-KNJMN-GN7YI</t>
  </si>
  <si>
    <t>3JXZF-DDKK3-BJHNL</t>
  </si>
  <si>
    <t>49E8F-ZB08Z-IVCW3</t>
  </si>
  <si>
    <t>T56PP-I3NWI-LZVD6</t>
  </si>
  <si>
    <t>DAX7N-9RHR3-77ME2</t>
  </si>
  <si>
    <t>G3RRJ-CWLA8-3IEGF</t>
  </si>
  <si>
    <t>MF5RC-ALBQP-2MX3E</t>
  </si>
  <si>
    <t>T9MWM-YMKYC-QM83N</t>
  </si>
  <si>
    <t>Silver Chains</t>
  </si>
  <si>
    <t>3Y3M3-5R22L-FJLFC</t>
  </si>
  <si>
    <t>PAYDAY 2</t>
  </si>
  <si>
    <t>L5VIV-J0QZP-Y83GP</t>
  </si>
  <si>
    <t>JYDGE</t>
  </si>
  <si>
    <t>QD36F-53QME-LHXI3</t>
  </si>
  <si>
    <t>K0Y9Q-I72YW-BYRI6</t>
  </si>
  <si>
    <t>D6Z5P-JXD8N-HP23A</t>
  </si>
  <si>
    <t>K5F5J-T2FAH-NAE0D</t>
  </si>
  <si>
    <t>Neverwinter Nights: Enhanced Edition</t>
  </si>
  <si>
    <t>X9693-BGF6Z-BH4JQ</t>
  </si>
  <si>
    <t>Outlast 2</t>
  </si>
  <si>
    <t>HWK2M-XZ32B-2EPEZ</t>
  </si>
  <si>
    <t>Move or Die</t>
  </si>
  <si>
    <t>F7YTJ-MJDLZ-JGNBD</t>
  </si>
  <si>
    <t xml:space="preserve">5MEMF-CIK8L-F087N
</t>
  </si>
  <si>
    <t>GLXE6-DY5VD-BMC89</t>
  </si>
  <si>
    <t>B8DPD-EV75G-767QD</t>
  </si>
  <si>
    <t>Saints Row IV: Game of the Century Edition</t>
  </si>
  <si>
    <t>7L9LZ-Y0BHA-JPYV8</t>
  </si>
  <si>
    <t>XE9RX-R92Y5-MBT35</t>
  </si>
  <si>
    <t>Deus Ex: Mankind Divided - Season Pass</t>
  </si>
  <si>
    <t>25IG8-74C9Z-FTC5W</t>
  </si>
  <si>
    <t>Extinction</t>
  </si>
  <si>
    <t>NMEK7-2J6C3-Z8VI3</t>
  </si>
  <si>
    <t>XXJIY-PKEAA-WH3RR</t>
  </si>
  <si>
    <t>JYWE4-XA3XY-QRW3K</t>
  </si>
  <si>
    <t>Outward</t>
  </si>
  <si>
    <t>60I3T-QGB7H-VTX73</t>
  </si>
  <si>
    <t xml:space="preserve">TMJIE-RARXB-6PGBG	</t>
  </si>
  <si>
    <t>QPLEA-EG62A-HLP9Z</t>
  </si>
  <si>
    <t>AER2V-J9ERG-BY748</t>
  </si>
  <si>
    <t>B689W-YC74V-RANGC</t>
  </si>
  <si>
    <t>Holy Potatoes! We’re in Space?!</t>
  </si>
  <si>
    <t>RKYMY-HQEM3-H73MC</t>
  </si>
  <si>
    <t>Warhammer 40,000: Mechanicus - Heretek</t>
  </si>
  <si>
    <t>H9RPR-7T0JK-C3E99</t>
  </si>
  <si>
    <t>H59Z9-7G0CW-ZBBAH</t>
  </si>
  <si>
    <t>Abzu</t>
  </si>
  <si>
    <t>N2A32-BREP2-47M42</t>
  </si>
  <si>
    <t>Fishing Sim World: Pro Tour Deluxe Edition</t>
  </si>
  <si>
    <t>RZPJX-YFJ40-5XEWW</t>
  </si>
  <si>
    <t>Ultimate Marvel vs. Capcom 3 RoW</t>
  </si>
  <si>
    <t>ZQIJ6-X4RE5-QWLE0</t>
  </si>
  <si>
    <t>TT Isle of Man Ride on the Edge 2</t>
  </si>
  <si>
    <t>E99C8-PCW8D-JJ2KG</t>
  </si>
  <si>
    <t>7Y99T-45CDK-XXBBR</t>
  </si>
  <si>
    <t>IXG2K-056MQ-F8WIC</t>
  </si>
  <si>
    <t>9M4HK-D62W7-WH0QN</t>
  </si>
  <si>
    <t>Ni no Kuni Wrath of the White Witch Remastered</t>
  </si>
  <si>
    <t>FTF3V-0RZYM-JHMPA</t>
  </si>
  <si>
    <t>QEM4Y-TI3YC-DI66J</t>
  </si>
  <si>
    <t>GYW4L-GTLKK-B8Q8N</t>
  </si>
  <si>
    <t>Thief Simulator</t>
  </si>
  <si>
    <t>ICYCK-YB53E-4YYY5</t>
  </si>
  <si>
    <t>2AJWW-QBIET-N2B89</t>
  </si>
  <si>
    <t>Rescue HQ - The Tycoon</t>
  </si>
  <si>
    <t>BMKWP-6QYQA-6H4M7</t>
  </si>
  <si>
    <t>Yakuza Kiwami 2 ROW</t>
  </si>
  <si>
    <t>ZD6NQ-CYF86-9T6K4</t>
  </si>
  <si>
    <t>A9LPJ-H0ET6-EYWTN</t>
  </si>
  <si>
    <t>6LEP8-5986X-RXVBT</t>
  </si>
  <si>
    <t>YGRK2-E7XH2-IWPZM</t>
  </si>
  <si>
    <t>Outward EU</t>
  </si>
  <si>
    <t>2DV6Q-JVVPV-GR9PH</t>
  </si>
  <si>
    <t>CDBMH-M08FA-46P2N</t>
  </si>
  <si>
    <t>RRFN2-K2BHE-YMYYW</t>
  </si>
  <si>
    <t>A48J9-D83RL-479V7</t>
  </si>
  <si>
    <t>5NNGQ-FQ6VF-E8W98</t>
  </si>
  <si>
    <t>Flock!</t>
  </si>
  <si>
    <t>Q0JRZ-5Y0CM-FK0R3</t>
  </si>
  <si>
    <t>The Textorcist: The Story of Ray Bibbia</t>
  </si>
  <si>
    <t>XX559-8CR4I-7XEKC</t>
  </si>
  <si>
    <t>Guns, Gore and Cannoli 2</t>
  </si>
  <si>
    <t>E74VG-AHH26-7D24Y</t>
  </si>
  <si>
    <t>The Technomancer</t>
  </si>
  <si>
    <t>A4CJ5-QQ0L7-KJGCM</t>
  </si>
  <si>
    <t>Kingdom Under Fire 2 - Basic Edition</t>
  </si>
  <si>
    <t>K4RJX-9R4GD-XLMV7</t>
  </si>
  <si>
    <t>Beholder 2</t>
  </si>
  <si>
    <t>D3H39-0YNIH-ZT8MN</t>
  </si>
  <si>
    <t>Redout: Enhanced Edition</t>
  </si>
  <si>
    <t>JLGQP-YWQ3A-R7CM6</t>
  </si>
  <si>
    <t>Rain World</t>
  </si>
  <si>
    <t>DH7G0-V3PTE-E2BGQ</t>
  </si>
  <si>
    <t>Do Not Feed the Monkeys</t>
  </si>
  <si>
    <t>MR5DG-M49E7-GNGJX</t>
  </si>
  <si>
    <t>Shadwen</t>
  </si>
  <si>
    <t>8B4MK-JM5LA-5K8BZ</t>
  </si>
  <si>
    <t>Syndrome</t>
  </si>
  <si>
    <t>Y2R5Y-CX0BL-C9EXH</t>
  </si>
  <si>
    <t>BTLVM-CVTP3-LWM2Z</t>
  </si>
  <si>
    <t>M4WD9-TKXQ3-CDWAX</t>
  </si>
  <si>
    <t>EKBRG-99G7N-J53V2</t>
  </si>
  <si>
    <t>5NKGD-Q9C4D-WVDLA</t>
  </si>
  <si>
    <t>YD7HW-2XQFW-0N9IL</t>
  </si>
  <si>
    <t>MGT5X-YXW2H-8GWIY</t>
  </si>
  <si>
    <t>H9QG0-QG8K6-0LRKZ</t>
  </si>
  <si>
    <t>Skullgirls</t>
  </si>
  <si>
    <t>G43BV-65A9F-5CPCM</t>
  </si>
  <si>
    <t>75KYV-EX6JA-HKENZ</t>
  </si>
  <si>
    <t>S.W.I.N.E. HD Remaster</t>
  </si>
  <si>
    <t>YMDAD-KXGZG-865ET</t>
  </si>
  <si>
    <t>Neverwinter Nights Bundle</t>
  </si>
  <si>
    <t>Bundle</t>
  </si>
  <si>
    <t>Creed: Rise to Glory</t>
  </si>
  <si>
    <t>0NNJQ-7FB78-YRP6T</t>
  </si>
  <si>
    <t>Hob</t>
  </si>
  <si>
    <t>N69I4-X4M8G-7TVYN</t>
  </si>
  <si>
    <t>Ancestors Legacy</t>
  </si>
  <si>
    <t>FJ2BA-DHYMR-4L9DV</t>
  </si>
  <si>
    <t>American Fugitive</t>
  </si>
  <si>
    <t>5YGZ5-BP64W-LMXIE</t>
  </si>
  <si>
    <t>GRIP: Combat Racing</t>
  </si>
  <si>
    <t>2B25N-05QRR-DIVPJ</t>
  </si>
  <si>
    <t>Internet Cafe Simulator</t>
  </si>
  <si>
    <t>AVWRZ-3Q8E2-NR2BT</t>
  </si>
  <si>
    <t>God’s Trigger</t>
  </si>
  <si>
    <t>4BPPM-FFRQK-AH6MW</t>
  </si>
  <si>
    <t>J3LXB-E97YG-4NZRZ</t>
  </si>
  <si>
    <t>QA4MM-VGLX4-XF2R0</t>
  </si>
  <si>
    <t>Blackguards Franchise Bundle</t>
  </si>
  <si>
    <t>IPP7H-QMWIL-NKHLL</t>
  </si>
  <si>
    <t>VHZXJ-3VF0H-2GNF4</t>
  </si>
  <si>
    <t>E38DC-377PE-TZXCZ</t>
  </si>
  <si>
    <t>Bundle2</t>
  </si>
  <si>
    <t>Bundle3</t>
  </si>
  <si>
    <t>KGTJ0-064H6-B4HR0</t>
  </si>
  <si>
    <t>DRAGON BALL FighterZ</t>
  </si>
  <si>
    <t>L9V4Z-B6XMJ-CE74J</t>
  </si>
  <si>
    <t>Phoenix Wright: Ace Attorney Trilogy</t>
  </si>
  <si>
    <t>KJZGQ-EHYW2-HD8AL</t>
  </si>
  <si>
    <t>KQML7-48HFL-4ITW6</t>
  </si>
  <si>
    <t>Dead Cells</t>
  </si>
  <si>
    <t>F89I9-93ID2-9LG67</t>
  </si>
  <si>
    <t>Bundle4</t>
  </si>
  <si>
    <t>The Surge 2</t>
  </si>
  <si>
    <t>H2BMY-KQIID-49AII</t>
  </si>
  <si>
    <t>Republique</t>
  </si>
  <si>
    <t>820V3-9VYD5-WVDQ5</t>
  </si>
  <si>
    <t>RAXWA-JDHKC-MGITX</t>
  </si>
  <si>
    <t>EVERSPACE - Ultimate Edition</t>
  </si>
  <si>
    <t>EUEBundle1</t>
  </si>
  <si>
    <t>Z5FEA-BPGCE-BWGAQ</t>
  </si>
  <si>
    <t>KA6V4-VYMAL-CZW89</t>
  </si>
  <si>
    <t>EL73Y-906X9-D805J</t>
  </si>
  <si>
    <t>WT60M-QA32D-YI90Z</t>
  </si>
  <si>
    <t>4R33X-NEK86-I3MFD</t>
  </si>
  <si>
    <t>80YY2-B8WCZ-6BA40</t>
  </si>
  <si>
    <t>E0PPD-E8AVB-72ZD6</t>
  </si>
  <si>
    <t>EEP33-WWE0C-0L57D</t>
  </si>
  <si>
    <t>G7H25-7RWYK-PJY88</t>
  </si>
  <si>
    <t>PYHJ4-3FF4X-L508W</t>
  </si>
  <si>
    <t>FLJ7E-YVN2N-0GIWB</t>
  </si>
  <si>
    <t>A Plague Tale: Innocence</t>
  </si>
  <si>
    <t>DBHQZ-PEMIX-X79JG</t>
  </si>
  <si>
    <t>KTB3J-Q5LHH-LHGMF</t>
  </si>
  <si>
    <t>Warhammer: End Times - Vermintide</t>
  </si>
  <si>
    <t>G3PGJ-2I040-3XD6C</t>
  </si>
  <si>
    <t>Warhammer Underworlds: Online</t>
  </si>
  <si>
    <t>GWWVE-4DR8X-G0YD8</t>
  </si>
  <si>
    <t>BW5XL-FPC0K-8I6MF</t>
  </si>
  <si>
    <t>Battlefleet Gothic: Armada 2</t>
  </si>
  <si>
    <t>NPN92-M82XD-GTIQB</t>
  </si>
  <si>
    <t>Bundle5</t>
  </si>
  <si>
    <t>T2E2Y-2RJXD-7N2Q7</t>
  </si>
  <si>
    <t>3ZNE6-07RW0-HPZWG</t>
  </si>
  <si>
    <t>8HG5Z-LKNIR-NGID9</t>
  </si>
  <si>
    <t>QH6Q5-X0JFL-97IFZ</t>
  </si>
  <si>
    <t>Bomber Crew - Deluxe Edition</t>
  </si>
  <si>
    <t>I86JN-TC7I3-LTRQP</t>
  </si>
  <si>
    <t>30CVJ-35B3Y-2EY3Q</t>
  </si>
  <si>
    <t>6BFCC-ILACA-4E000</t>
  </si>
  <si>
    <t>6PVR2-YG65N-IIX0L</t>
  </si>
  <si>
    <t>VKRYB-658B4-MM3XX</t>
  </si>
  <si>
    <t>Z0NI3-J5ATB-R2IF4</t>
  </si>
  <si>
    <t>D6KPY-FKE6Q-MNFAR</t>
  </si>
  <si>
    <t>DI5KB-68CCD-GBDRF</t>
  </si>
  <si>
    <t>DR7DP-HCC0N-B6HTG</t>
  </si>
  <si>
    <t>ZC8KV-5AK05-IIXM4</t>
  </si>
  <si>
    <t>PMD6I-8IF84-JMHWI</t>
  </si>
  <si>
    <t>BJNZX-W2LX0-467GK</t>
  </si>
  <si>
    <t>We. The Revolution</t>
  </si>
  <si>
    <t>WIWDF-4YFNV-89XJT</t>
  </si>
  <si>
    <t>The Fall Part 2: Unbound</t>
  </si>
  <si>
    <t>2BCQZ-EVGCL-ZW0J2</t>
  </si>
  <si>
    <t>Iconoclasts</t>
  </si>
  <si>
    <t xml:space="preserve">JBGMJ-RMNY7-IDJT4	</t>
  </si>
  <si>
    <t>DBPBC-LD3MD-NGLTG</t>
  </si>
  <si>
    <t>EY2PG-AB5NQ-DBN04</t>
  </si>
  <si>
    <t>ED3FB-FNQ3P-2EKFZ</t>
  </si>
  <si>
    <t>EC725-HVITI-H6RYR</t>
  </si>
  <si>
    <t>EDECJ-X9XQP-8I7FJ</t>
  </si>
  <si>
    <t>PFH86-J75G4-ATIBY</t>
  </si>
  <si>
    <t>Saints Row: The Third - The Full Package</t>
  </si>
  <si>
    <t>JKJQ8-8J7VI-LAC4I</t>
  </si>
  <si>
    <t>JJP36-LZTQJ-7CYWV</t>
  </si>
  <si>
    <t>Extinction: Deluxe Edition</t>
  </si>
  <si>
    <t>X4MGR-DEY4E-2AIHV</t>
  </si>
  <si>
    <t>BBKKX-X8QPG-T2A73</t>
  </si>
  <si>
    <t>XYEGT-P7K93-MT6JQ</t>
  </si>
  <si>
    <t>The Surge</t>
  </si>
  <si>
    <t>RCNQP-EVBR2-ICPJM</t>
  </si>
  <si>
    <t>CKNAB-LC938-8CHIW</t>
  </si>
  <si>
    <t>3QW8G-AQ6Q6-L3PJY</t>
  </si>
  <si>
    <t>EPDKB-HIW8X-6N0IZ</t>
  </si>
  <si>
    <t>EQZHF-TEMAG-ECK7A</t>
  </si>
  <si>
    <t>F3W2L-LM2YR-X0W64</t>
  </si>
  <si>
    <t>P652T-4PZC4-J25IY</t>
  </si>
  <si>
    <t>NVHVX-GAGED-HR70F</t>
  </si>
  <si>
    <t>EMQCA-EBJB0-LQ5KY</t>
  </si>
  <si>
    <t>EIQLY-AIM8D-H36Z8</t>
  </si>
  <si>
    <t>F9PT7-IDJIJ-8GGM2</t>
  </si>
  <si>
    <t>F5MHZ-TJPYH-45KWJ</t>
  </si>
  <si>
    <t>EZGEJ-CQPGJ-5E4PB</t>
  </si>
  <si>
    <t>FBCIM-5AC5R-6XECK</t>
  </si>
  <si>
    <t>799BX-XTFQ6-97RMG</t>
  </si>
  <si>
    <t>9LVFE-ZVK4N-IK52G</t>
  </si>
  <si>
    <t>AG20R-IQG8I-M8D0B</t>
  </si>
  <si>
    <t>Monster Jam Steel Titans</t>
  </si>
  <si>
    <t>EI9NB-5WN0T-FVHHZ</t>
  </si>
  <si>
    <t>RAYW3-RNP2G-MBA9Y</t>
  </si>
  <si>
    <t>Railway Empire: Germany</t>
  </si>
  <si>
    <t>AMPQI-P2IX6-AK0GK</t>
  </si>
  <si>
    <t>DLL98-N2WQP-BCVLG</t>
  </si>
  <si>
    <t>DQ5HW-KKG3Z-CJHFE</t>
  </si>
  <si>
    <t>DXTGN-HHM3L-AA0RD</t>
  </si>
  <si>
    <t>EIB9C-I7KKZ-W0Y0T</t>
  </si>
  <si>
    <t>E2NIF-0HIKH-FCP6R</t>
  </si>
  <si>
    <t>Life is Strange 2 - Episode 1</t>
  </si>
  <si>
    <t>Q6P63-5TG7W-P8K9D</t>
  </si>
  <si>
    <t>HAC4K-GB24R-E26GA</t>
  </si>
  <si>
    <t>Among the Sleep - Enhanced Edition</t>
  </si>
  <si>
    <t>ZJIFN-F2JCQ-6X2FA</t>
  </si>
  <si>
    <t>EARTH'S DAWN</t>
  </si>
  <si>
    <t>KZWG8-YHHHV-XT29E</t>
  </si>
  <si>
    <t>Hero of the Kingdom III</t>
  </si>
  <si>
    <t>7HLXJ-55D4C-KKWM5</t>
  </si>
  <si>
    <t>Knock-knock</t>
  </si>
  <si>
    <t>379CP-KHMA9-QC9ME</t>
  </si>
  <si>
    <t>Livelock</t>
  </si>
  <si>
    <t>PTMIQ-GJX0W-W2A32</t>
  </si>
  <si>
    <t>Lovely Planet 2: April Skies</t>
  </si>
  <si>
    <t>LCD59-C7GBZ-GFWPN</t>
  </si>
  <si>
    <t>Stronghold Legends: Steam Edition</t>
  </si>
  <si>
    <t>36WGM-8K738-GT9B2</t>
  </si>
  <si>
    <t>Z262M-9A8M5-707IC</t>
  </si>
  <si>
    <t>Shadow Warrior 2</t>
  </si>
  <si>
    <t>IE3KJ-DAIKY-IM8TM</t>
  </si>
  <si>
    <t>HF8CY-03Y7B-RY5YP</t>
  </si>
  <si>
    <t>D3CJG-J8HBY-KP5CC</t>
  </si>
  <si>
    <t>45TRX-0M0ZG-2859H</t>
  </si>
  <si>
    <t>QV9GM-5CCE2-ATEFR</t>
  </si>
  <si>
    <t>3L88Y-I02MR-3RRKV</t>
  </si>
  <si>
    <t>2M5KZ-D3GL3-9XMQ7</t>
  </si>
  <si>
    <t>VEW6C-T225A-KWX5Q</t>
  </si>
  <si>
    <t>CBV5E-TMCFD-M7Z9H</t>
  </si>
  <si>
    <t>6Q9PZ-3E9MW-ZIE0G</t>
  </si>
  <si>
    <t>DiRT Rally 2.0 Super Deluxe Edition</t>
  </si>
  <si>
    <t>ZPHY6-ZEXG2-925XV</t>
  </si>
  <si>
    <t>FXTFG-AI40P-CYA5I</t>
  </si>
  <si>
    <t>AWRLP-YD063-ZCF66</t>
  </si>
  <si>
    <t>HG6Y3-ZPF72-3BD8Z</t>
  </si>
  <si>
    <t>8BHDN-0GXIJ-6PADC</t>
  </si>
  <si>
    <t>429VA-NHHH2-GZ6AW</t>
  </si>
  <si>
    <t>NKL78-MB054-3YKQ7</t>
  </si>
  <si>
    <t>QJWAJ-VAK9D-BNJV7</t>
  </si>
  <si>
    <t>AF7V4-29T00-VBYVR</t>
  </si>
  <si>
    <t>M3WLH-CVV5Z-NFNBX</t>
  </si>
  <si>
    <t>C46XH-0Z7LM-D6ETZ</t>
  </si>
  <si>
    <t>Tesla vs Lovecraft</t>
  </si>
  <si>
    <t>WQNHJ-KDH6Y-WI3E3</t>
  </si>
  <si>
    <t>4Z3H8-EFVGF-N9R3B</t>
  </si>
  <si>
    <t>64I39-NGP6G-078RF</t>
  </si>
  <si>
    <t>Surviving Mars</t>
  </si>
  <si>
    <t>02DYD-7TE4B-QAH49</t>
  </si>
  <si>
    <t>YK0N6-FZ3PM-HJMW0</t>
  </si>
  <si>
    <t>YXMCF-RY0X6-PLRN9</t>
  </si>
  <si>
    <t>I2AJ9-T5FVP-MXT9T</t>
  </si>
  <si>
    <t>GMBIX-XZAGN-D99XJ</t>
  </si>
  <si>
    <t>F1 Race Stars Complete Bundle</t>
  </si>
  <si>
    <t>P3B6E-3R6C5-43ZNV</t>
  </si>
  <si>
    <t>Z7362-IRNFT-K86G6</t>
  </si>
  <si>
    <t>Axis &amp; Allies 1942 Online</t>
  </si>
  <si>
    <t>9LJM0-JY34C-I6CP9</t>
  </si>
  <si>
    <t>KQMMM-ZZX2Y-GH0N7</t>
  </si>
  <si>
    <t>CJ42P-PMXI6-GP6HG</t>
  </si>
  <si>
    <t>4EF83-VPC57-BMI53</t>
  </si>
  <si>
    <t>PVT38-5YA6G-LFBBC</t>
  </si>
  <si>
    <t>Code Vein</t>
  </si>
  <si>
    <t>Z3QDV-FG5FL-WMFI6</t>
  </si>
  <si>
    <t>img</t>
  </si>
  <si>
    <t>CYLK6-DJIHI-945HM</t>
  </si>
  <si>
    <t>6NAGP-LBNEI-2XALX</t>
  </si>
  <si>
    <t>AMPNZ-A9BZ9-YY624</t>
  </si>
  <si>
    <t>E72CX-PM5AL-28CXP</t>
  </si>
  <si>
    <t>R84GN-7G3FN-LZYDP</t>
  </si>
  <si>
    <t>75VEV-E50IF-ZKC3K</t>
  </si>
  <si>
    <t>CNJT5-TZY55-CFED0</t>
  </si>
  <si>
    <t>09279-VW0R7-2NZTD</t>
  </si>
  <si>
    <t>6DGPP-KNA8C-I8VFX</t>
  </si>
  <si>
    <t>MANI7-CDZ56-KZ5ZZ</t>
  </si>
  <si>
    <t>Act of Aggression - Reboot Edition</t>
  </si>
  <si>
    <t>PDB82-KC4PT-VWCWV</t>
  </si>
  <si>
    <t>BDBZD-7HGLW-4A85B</t>
  </si>
  <si>
    <t>F1 2019</t>
  </si>
  <si>
    <t>J2F5B-PR7LQ-CDPIY</t>
  </si>
  <si>
    <t>YM9IL-P7QM9-0CV7M</t>
  </si>
  <si>
    <t>Shadows: Awakening</t>
  </si>
  <si>
    <t>NHB85-9XE7R-4F4DR</t>
  </si>
  <si>
    <t>488X6-HNTCP-GRWMF</t>
  </si>
  <si>
    <t>One Finger Death Punch 2</t>
  </si>
  <si>
    <t>5A68K-8T34Y-57MAX</t>
  </si>
  <si>
    <t>FDML7-ZPG46-JRVPH</t>
  </si>
  <si>
    <t>Torchlight</t>
  </si>
  <si>
    <t>EBA7I-GDBK9-9T324</t>
  </si>
  <si>
    <t>3JNMP-TX85R-Z72PM</t>
  </si>
  <si>
    <t>Torchlight II</t>
  </si>
  <si>
    <t>DAHDK-D2QDF-MVPWB</t>
  </si>
  <si>
    <t>LPV5I-FD60E-FK7BR</t>
  </si>
  <si>
    <t>KBNJL-TWQWF-CI2MF</t>
  </si>
  <si>
    <t>FDHQ9-T8E7G-E5AIY</t>
  </si>
  <si>
    <t>050RP-XB7B7-T7AB2</t>
  </si>
  <si>
    <t>DB4HJ-X08YF-2FMPL</t>
  </si>
  <si>
    <t>KD470-Z6066-KGXRY</t>
  </si>
  <si>
    <t>B9Y5N-AXCDT-ZN7IF</t>
  </si>
  <si>
    <t>8P98V-QDKNA-VGDKL</t>
  </si>
  <si>
    <t>YDH7R-ZIX5N-NN67W</t>
  </si>
  <si>
    <t>ZD285-CP45J-ACA3H</t>
  </si>
  <si>
    <t>YP4CX-FCRFB-F7JE9</t>
  </si>
  <si>
    <t>GTEXK-P7G4H-3CCQ4</t>
  </si>
  <si>
    <t>5YBDH-6IM0C-REF9B</t>
  </si>
  <si>
    <t>4H7ZR-G0A9P-BE2Z9</t>
  </si>
  <si>
    <t>JJXIT-PFILE-HEPZT</t>
  </si>
  <si>
    <t>A5H0B-CFAFA-ZE5E0</t>
  </si>
  <si>
    <t>635GV-NP7HY-FI2DF</t>
  </si>
  <si>
    <t>39XPP-A5ZKZ-P4DAN</t>
  </si>
  <si>
    <t>5VRJX-7969T-95VF2</t>
  </si>
  <si>
    <t>WORLD OF FINAL FANTASY - COMPLETE EDITION</t>
  </si>
  <si>
    <t>MYTHH-AP3Y4-6PE44</t>
  </si>
  <si>
    <t>NieR: Automata - 3C3C1D119440927 DLC</t>
  </si>
  <si>
    <t>0AV3E-TKL5P-YAXB9</t>
  </si>
  <si>
    <t>PBQC5-WP09T-WNVID</t>
  </si>
  <si>
    <t>Rise of the Tomb Raider Season Pass</t>
  </si>
  <si>
    <t>BD86T-G3QKB-TEZ7D</t>
  </si>
  <si>
    <t>KCP8E-BD88W-X9L8F</t>
  </si>
  <si>
    <t>Youtubers Life</t>
  </si>
  <si>
    <t>P2FM0-A6WVE-GYCY6</t>
  </si>
  <si>
    <t>Verdun</t>
  </si>
  <si>
    <t>86Z39-KNDH5-PG6RL</t>
  </si>
  <si>
    <t>The Walking Dead: The Final Season</t>
  </si>
  <si>
    <t>69PYX-WEEHC-KXCD2</t>
  </si>
  <si>
    <t>The House of Da Vinci</t>
  </si>
  <si>
    <t>WZQGN-2WG7N-9ZTAI</t>
  </si>
  <si>
    <t>Biped</t>
  </si>
  <si>
    <t>M9EXV-5R9HY-QA7RN</t>
  </si>
  <si>
    <t>B2PKK-WNPKT-F0L6I</t>
  </si>
  <si>
    <t>H3JM7-ZV6R9-KQ934</t>
  </si>
  <si>
    <t>VPEPN-DVDBM-FVXFK</t>
  </si>
  <si>
    <t>Ancestors Legacy - Saladin's Conquest DLC</t>
  </si>
  <si>
    <t>3INWR-Y6YQQ-V40ZK</t>
  </si>
  <si>
    <t>A2LLK-MWTDM-BP4YH</t>
  </si>
  <si>
    <t>NV8FG-DEPK6-AXZ9R</t>
  </si>
  <si>
    <t>INKN7-3P2DZ-JVD8V</t>
  </si>
  <si>
    <t>E2DTD-FPPV9-HKYJM</t>
  </si>
  <si>
    <t>0NTAK-WMTWZ-6XF2T</t>
  </si>
  <si>
    <t>465DM-P4NWX-LQ54M</t>
  </si>
  <si>
    <t>8GC6A-2872Y-GLK3Y</t>
  </si>
  <si>
    <t>Y938Q-CW2LI-YQ2JY</t>
  </si>
  <si>
    <t>2H4VA-EZXJP-EERQM</t>
  </si>
  <si>
    <t>MQLID-HR8KT-DNWG9</t>
  </si>
  <si>
    <t>4CHHA-QJEHY-4CXY7</t>
  </si>
  <si>
    <t>PWPNE-T8M56-R90PD</t>
  </si>
  <si>
    <t>4G5I8-NTW5L-AP0Q6</t>
  </si>
  <si>
    <t>0NDH8-LDJFH-C5CJE</t>
  </si>
  <si>
    <t>NRGGV-RGXZZ-HY4A0</t>
  </si>
  <si>
    <t>3RG9K-K292D-92QDT</t>
  </si>
  <si>
    <t>PX55P-8YCM7-3GK9L</t>
  </si>
  <si>
    <t>FIM5Y-N2GP8-BDV9F</t>
  </si>
  <si>
    <t>625WJ-39CNF-R74XM</t>
  </si>
  <si>
    <t>GRY6V-QXJFC-4WLR9</t>
  </si>
  <si>
    <t>Q4XTJ-3EVBA-E5KLL</t>
  </si>
  <si>
    <t>J6487-6QHQY-36XXZ</t>
  </si>
  <si>
    <t>72YI2-ZDE6Q-7RD2V</t>
  </si>
  <si>
    <t>DVEYT-GAYAY-PVJZA</t>
  </si>
  <si>
    <t>Home Sweet Home</t>
  </si>
  <si>
    <t>MVD5J-Y2JY9-JKVWC</t>
  </si>
  <si>
    <t>Pro Cycling Manager 2020</t>
  </si>
  <si>
    <t>F088Q-LCLJD-RG9MK</t>
  </si>
  <si>
    <t>GV974-7C3QK-AN0VE</t>
  </si>
  <si>
    <t>Darksburg</t>
  </si>
  <si>
    <t>XFFVQ-J5BZD-R38PA</t>
  </si>
  <si>
    <t>GQRP5-VFIEZ-D2M6V</t>
  </si>
  <si>
    <t>VE9Y6-XKVXT-W0WJX</t>
  </si>
  <si>
    <t>YNRVE-LW25F-77JG0</t>
  </si>
  <si>
    <t>Overlord: The Ultimate Evil Collection</t>
  </si>
  <si>
    <t>XTEVN-EI2BW-KR6W9</t>
  </si>
  <si>
    <t>QGCN0-Q632M-LEXT7</t>
  </si>
  <si>
    <t>VQ6PE-0NGR4-ZNGI2</t>
  </si>
  <si>
    <t>RollerCoaster Tycoon 2: Triple Thrill Pack</t>
  </si>
  <si>
    <t>HF0IK-78374-383BD</t>
  </si>
  <si>
    <t>4N3DY-85N4V-029LW</t>
  </si>
  <si>
    <t>AMB58-R2FQ7-R0QM8</t>
  </si>
  <si>
    <t>RWEQI-3YM4I-DGJ6W</t>
  </si>
  <si>
    <t>JHNMI-EN667-X0T6W</t>
  </si>
  <si>
    <t>GVJBH-8QR4R-Q9E2G</t>
  </si>
  <si>
    <t>L3ZKZ-GKHG3-JC9AN</t>
  </si>
  <si>
    <t>E9JRQ-TKJPZ-BGNPA</t>
  </si>
  <si>
    <t>The Stronghold Collection</t>
  </si>
  <si>
    <t>E37FG-QZVWR-0TNCD</t>
  </si>
  <si>
    <t>Wulverblade</t>
  </si>
  <si>
    <t>IP7X4-CKL33-79NK0</t>
  </si>
  <si>
    <t>Wrongworld</t>
  </si>
  <si>
    <t>LFJXF-DNDCW-FLV3M</t>
  </si>
  <si>
    <t>The Coma: Recut</t>
  </si>
  <si>
    <t>22AB4-WPAL6-ADL9V</t>
  </si>
  <si>
    <t>Out of The Box</t>
  </si>
  <si>
    <t>4XY8Z-M5XFM-9MT4W</t>
  </si>
  <si>
    <t>Mystic Melee</t>
  </si>
  <si>
    <t>2WXBN-X06AV-FM0LN</t>
  </si>
  <si>
    <t>G5G8P-80AWK-8A6F3</t>
  </si>
  <si>
    <t>Narcos: Rise of the Cartels</t>
  </si>
  <si>
    <t>JXXVQ-07VGN-ZQ454</t>
  </si>
  <si>
    <t>TNIQN-K2PE6-LY5LT</t>
  </si>
  <si>
    <t>QTMCR-4V8FZ-2L9IL</t>
  </si>
  <si>
    <t>MGPEE-KLEBA-KE7Q8</t>
  </si>
  <si>
    <t>YBECJ-6WAM5-RA7QC</t>
  </si>
  <si>
    <t>D2MRP-RMHRW-ZRK47</t>
  </si>
  <si>
    <t>0LLHT-IA7X4-P78K3</t>
  </si>
  <si>
    <t>CHDAP-BMX9X-B9GMA</t>
  </si>
  <si>
    <t>9LRHA-0FJ8W-3HDZQ</t>
  </si>
  <si>
    <t>MV4RP-9XDZJ-BWCXW</t>
  </si>
  <si>
    <t>7GITN-5QQHX-6MTAW</t>
  </si>
  <si>
    <t>X3CLA-L62II-XK222</t>
  </si>
  <si>
    <t>FLPY8-JME4D-L3KPH</t>
  </si>
  <si>
    <t>4G5IZ-9DH2W-MWCTL</t>
  </si>
  <si>
    <t>2LMYF-LWXVT-8N9E2</t>
  </si>
  <si>
    <t>ED0KV-VVPT3-FHFBQ</t>
  </si>
  <si>
    <t>BIIGL-YH472-X3HLQ</t>
  </si>
  <si>
    <t>Icewind Dale: Enhanced Edition</t>
  </si>
  <si>
    <t>A48VI-G3LCI-FMKCF</t>
  </si>
  <si>
    <t>K00TY-Z3PTK-CPP0V</t>
  </si>
  <si>
    <t>A2GDC-9J5EK-WH2H8</t>
  </si>
  <si>
    <t>73APY-Z6K8Z-838KC</t>
  </si>
  <si>
    <t>Days of War: Definitive Edition</t>
  </si>
  <si>
    <t>YHYQP-A8V6L-EPFJH</t>
  </si>
  <si>
    <t>K4PVR-KL9DE-F0NBB</t>
  </si>
  <si>
    <t>VDK88-QHJCE-C070H</t>
  </si>
  <si>
    <t>0MQEP-3Z7WL-JL564</t>
  </si>
  <si>
    <t>Brick Rigs</t>
  </si>
  <si>
    <t>YJKYN-RF45N-JHBFQ</t>
  </si>
  <si>
    <t>88BQY-G52Y0-7JA5Q</t>
  </si>
  <si>
    <t>RA6T5-JKWC2-B02QJ</t>
  </si>
  <si>
    <t>VYBTA-4XZ8V-WK06G</t>
  </si>
  <si>
    <t>8VDVV-L9KXE-WYE7Y</t>
  </si>
  <si>
    <t>D6I62-0ZNFZ-48T5H</t>
  </si>
  <si>
    <t>CIZ5F-75D67-VHRNP</t>
  </si>
  <si>
    <t>Hell Let Loose</t>
  </si>
  <si>
    <t>VM3MM-C6N54-ILFFT</t>
  </si>
  <si>
    <t>KTVZP-PIFBY-N3BTH</t>
  </si>
  <si>
    <t>R8QYL-YNF44-0TI0Y</t>
  </si>
  <si>
    <t>Just Cause 3 XXL Edition Bundle</t>
  </si>
  <si>
    <t>9QFIB-C2JLW-3MFK2</t>
  </si>
  <si>
    <t>9W8QN-945GP-CQQ72</t>
  </si>
  <si>
    <t>7JWND-02XQP-TPTEV</t>
  </si>
  <si>
    <t>QZCZY-YMGC4-GD87Q</t>
  </si>
  <si>
    <t>BPM: Bullets per Minute</t>
  </si>
  <si>
    <t>XC0N9-N6A0R-9QH56</t>
  </si>
  <si>
    <t>OverlordUlti1e</t>
  </si>
  <si>
    <t>OverlordUlti1f</t>
  </si>
  <si>
    <t>OverlordUlti1g</t>
  </si>
  <si>
    <t>OverlordUlti1h</t>
  </si>
  <si>
    <t>Detroit: Become Human</t>
  </si>
  <si>
    <t>FJLLT-9RG82-VFZT2</t>
  </si>
  <si>
    <t>XPXA0-I2NB3-4WXZR</t>
  </si>
  <si>
    <t>XDQJ8-WR22Y-GV05Z</t>
  </si>
  <si>
    <t>G63V9-DQNQN-F2JE7</t>
  </si>
  <si>
    <t>ZH6N7-VH2CA-FD9L9</t>
  </si>
  <si>
    <t>JHMW9-CHPMF-Z0WHH</t>
  </si>
  <si>
    <t>N7YEV-04GIG-3Q7RX</t>
  </si>
  <si>
    <t>Othercide</t>
  </si>
  <si>
    <t>BNJMI-4ATQK-GH9LY</t>
  </si>
  <si>
    <t>7GYT6-KJBPY-0XR8R</t>
  </si>
  <si>
    <t>DiRT Rally 2.0 Game of the Year Edition</t>
  </si>
  <si>
    <t>HN607-PVVIN-ZKLKV</t>
  </si>
  <si>
    <t>76JDY-C7BE6-IABEC</t>
  </si>
  <si>
    <t>GRID (2019) Ultimate Edition</t>
  </si>
  <si>
    <t>3IB43-BICL3-92NFZ</t>
  </si>
  <si>
    <t>MT72T-4CYYV-KD02L</t>
  </si>
  <si>
    <t>Railway Empire</t>
  </si>
  <si>
    <t>J83MT-YMG3Y-3EDMN</t>
  </si>
  <si>
    <t>JIJ09-QA7G4-NCFMK</t>
  </si>
  <si>
    <t>Trine 4: The Nightmare Prince</t>
  </si>
  <si>
    <t>ACLAN-7P595-5NX68</t>
  </si>
  <si>
    <t>8NIG9-MRI9X-88RJF</t>
  </si>
  <si>
    <t>Destiny 2: Shadowkeep EU</t>
  </si>
  <si>
    <t>FYIB9-Q7LHD-ZJYNH</t>
  </si>
  <si>
    <t>Valfaris</t>
  </si>
  <si>
    <t>036K4-3HIZ6-M539L</t>
  </si>
  <si>
    <t>PAYDAY 2 Legacy Collection</t>
  </si>
  <si>
    <t>ECK5C-60T8C-2PI3N</t>
  </si>
  <si>
    <t>X4K29-A24BV-BQL7Q</t>
  </si>
  <si>
    <t>A6FDZ-I9ZWK-5VN2M</t>
  </si>
  <si>
    <t>Space Hulk: Deathwing - Enhanced Edition</t>
  </si>
  <si>
    <t>KFFPB-0CLDC-9QA8T</t>
  </si>
  <si>
    <t>STAR WARS Knights of the Old Republic II: The Sith Lords</t>
  </si>
  <si>
    <t>VCZZC-EWGNR-A0368</t>
  </si>
  <si>
    <t>BADIE-8LG4H-GVMI0</t>
  </si>
  <si>
    <t>Titeuf: Mega Party</t>
  </si>
  <si>
    <t>JT3Y6-3XLMT-QW6V4</t>
  </si>
  <si>
    <t>KW3L3-702V3-T40EK</t>
  </si>
  <si>
    <t>R95GR-9RKQ3-CQLYH</t>
  </si>
  <si>
    <t>NGB9X-TP5VB-M7YD5</t>
  </si>
  <si>
    <t>52Y4L-JIXY7-V7T7D</t>
  </si>
  <si>
    <t>Destiny 2: Forsaken EU</t>
  </si>
  <si>
    <t>W3M6B-7KYYX-2JNQC</t>
  </si>
  <si>
    <t>HK8IC-DEBPM-BYZ3A</t>
  </si>
  <si>
    <t>C9HIP-F39MX-Q57CK</t>
  </si>
  <si>
    <t>KNIVL-6QL48-A0VDY</t>
  </si>
  <si>
    <t>N50N9-6DPJA-DCDFB</t>
  </si>
  <si>
    <t>Super Mutant Alien Assault</t>
  </si>
  <si>
    <t>0PFLW-3QHB9-N5W35</t>
  </si>
  <si>
    <t>DNMVB-W9HKL-DCQTN</t>
  </si>
  <si>
    <t>FDP8H-HA88B-80NJN</t>
  </si>
  <si>
    <t>XQYPP-H6J2F-TF4AL</t>
  </si>
  <si>
    <t>CMJJW-KRIY2-28EHD</t>
  </si>
  <si>
    <t>NW6MY-LBYFC-NF73M</t>
  </si>
  <si>
    <t>Star Wars Jedi Knight II: Jedi Outcast</t>
  </si>
  <si>
    <t>LBT6D-CNFMN-89RXZ</t>
  </si>
  <si>
    <t>JP088-IXCC5-0DB96</t>
  </si>
  <si>
    <t>029H3-GR7DV-BMWNX</t>
  </si>
  <si>
    <t>Blood Bowl 2</t>
  </si>
  <si>
    <t>WRCJP-NTCMW-4X7Q3</t>
  </si>
  <si>
    <t>Mordheim: City of the Damned</t>
  </si>
  <si>
    <t>8FWJ6-NE9YG-5AVXL</t>
  </si>
  <si>
    <t>Steel Division: Normandy 44</t>
  </si>
  <si>
    <t>H6DVJ-5Y8YM-M7CJ4</t>
  </si>
  <si>
    <t>6A774-TNVJ0-2KZ0L</t>
  </si>
  <si>
    <t>BII9G-B5063-JAVL3</t>
  </si>
  <si>
    <t>Remothered: Tormented Fathers</t>
  </si>
  <si>
    <t>G5B9F-4AZPE-CJZ9Q</t>
  </si>
  <si>
    <t>A0466-KL2G3-MLXZW</t>
  </si>
  <si>
    <t>W9XY0-YE72R-M92Z4</t>
  </si>
  <si>
    <t>DLCRL-EXELW-ZZKKE</t>
  </si>
  <si>
    <t>64ETC-NHVV5-4JBQ5</t>
  </si>
  <si>
    <t>R3RNE-84FB3-75ZQP</t>
  </si>
  <si>
    <t>2THBF-Z2TRL-3L4H9</t>
  </si>
  <si>
    <t>RVXPZ-F2EE8-IZMGP</t>
  </si>
  <si>
    <t>The Testament of Sherlock Holmes</t>
  </si>
  <si>
    <t>YGBV8-ICFVF-PM8V0</t>
  </si>
  <si>
    <t>AKKDV-ZT7DR-BVINJ</t>
  </si>
  <si>
    <t>W0TE4-T8ERT-XIZBW</t>
  </si>
  <si>
    <t>BD6WI-FBKBW-KW28D</t>
  </si>
  <si>
    <t>Planescape: Torment Enhanced Edition</t>
  </si>
  <si>
    <t>ZPYBY-7D7AL-KGG2T</t>
  </si>
  <si>
    <t>55V07-LDQZQ-BQW3D</t>
  </si>
  <si>
    <t>Project Hospital</t>
  </si>
  <si>
    <t>QTEVV-TV2NM-ATBE3</t>
  </si>
  <si>
    <t>RFCQ3-IA2QP-TCCG9</t>
  </si>
  <si>
    <t>The Jackbox Party Pack 5</t>
  </si>
  <si>
    <t>DW6KI-PT6AF-A9ZYB</t>
  </si>
  <si>
    <t>4FMF4-CN465-QATPA</t>
  </si>
  <si>
    <t>PPH8Q-67CWG-TWT8V</t>
  </si>
  <si>
    <t>W2FE3-FWI47-5DZZD</t>
  </si>
  <si>
    <t>ZHJ20-PXKDE-RINE9</t>
  </si>
  <si>
    <t>4M5EP-W6N0W-877RR</t>
  </si>
  <si>
    <t>Mars Horizon</t>
  </si>
  <si>
    <t>7IIBZ-PQ4KE-I36XP</t>
  </si>
  <si>
    <t>2YH25-BIGE3-M6LNV</t>
  </si>
  <si>
    <t>47MG3-FCFDK-2C07A</t>
  </si>
  <si>
    <t>Tomb Raider GOTY Edition</t>
  </si>
  <si>
    <t>ZTXHE-A8Z7G-RY337</t>
  </si>
  <si>
    <t>64DVM-WNNTW-P44YP</t>
  </si>
  <si>
    <t>NQKIA-FRECY-F3RBB</t>
  </si>
  <si>
    <t>FJWPQ-C6QB9-58MKY</t>
  </si>
  <si>
    <t>BXYNZ-FYAQ7-8ZBQY</t>
  </si>
  <si>
    <t>Age of Wonders: Planetfall Premium</t>
  </si>
  <si>
    <t>HDD9K-KXFNA-29YCA</t>
  </si>
  <si>
    <t>Space Rangers HD: A War Apart</t>
  </si>
  <si>
    <t>220EL-7F5P2-Y6BYT</t>
  </si>
  <si>
    <t>Darksiders Blades &amp; Whip Franchise Pack</t>
  </si>
  <si>
    <t>DF6Y5-Z62RH-2DCWI</t>
  </si>
  <si>
    <t>2TYBD-9KT5Q-2EHAV</t>
  </si>
  <si>
    <t>KLVYY-0YAVJ-2VQFB</t>
  </si>
  <si>
    <t>JEDGL-6KVRG-5GZ7J</t>
  </si>
  <si>
    <t>NRGAK-0E6GN-C4BH8</t>
  </si>
  <si>
    <t>562GF-DPZ94-3Q5LH</t>
  </si>
  <si>
    <t>9PMNX-54MQ0-WALVQ</t>
  </si>
  <si>
    <t>G5D5W-QIF45-QC3M6</t>
  </si>
  <si>
    <t>3P8PW-HR5N0-B373R</t>
  </si>
  <si>
    <t>C52AF-E7ZD2-BD8NC</t>
  </si>
  <si>
    <t>FIA European Truck Racing Championship</t>
  </si>
  <si>
    <t>KHTYN-64YLE-3TBNP</t>
  </si>
  <si>
    <t>Project CARS Game Of The Year Edition</t>
  </si>
  <si>
    <t>R780L-99JEZ-BFYFP</t>
  </si>
  <si>
    <t>TT Isle of Man</t>
  </si>
  <si>
    <t>4ELT5-FQ7KK-9VLAR</t>
  </si>
  <si>
    <t>GRID (2019)</t>
  </si>
  <si>
    <t>2MPAT-YDWTP-A03MT</t>
  </si>
  <si>
    <t>GRIP: Combat Racing + Artifex Car Pack DLC</t>
  </si>
  <si>
    <t>Y3HNL-TJARP-4J7HN</t>
  </si>
  <si>
    <t>Redout Complete Pack</t>
  </si>
  <si>
    <t>7MHRP-TA28K-035EM</t>
  </si>
  <si>
    <t>JXTN4-ECNIB-59QL9</t>
  </si>
  <si>
    <t>Tabletop Simulator 4-Pack</t>
  </si>
  <si>
    <t>CVVLC-5JDFQ-6R8HQ</t>
  </si>
  <si>
    <t>Tabletop Simulator</t>
  </si>
  <si>
    <t>EKHB4-CRDCV-5KE03</t>
  </si>
  <si>
    <t>0X3DF-7BD4L-44I8Q</t>
  </si>
  <si>
    <t>Planet Coaster EU</t>
  </si>
  <si>
    <t>9BWEE-2Z0R2-IR0A6</t>
  </si>
  <si>
    <t>Strange Brigade Deluxe Edition</t>
  </si>
  <si>
    <t>J3GMG-DPWAY-DETDX</t>
  </si>
  <si>
    <t>Ancestors: The Humankind Odyssey</t>
  </si>
  <si>
    <t>26KML-580DB-590TL</t>
  </si>
  <si>
    <t>P6J5L-V2DXV-G725B</t>
  </si>
  <si>
    <t>B0FQV-LKWR8-4A3I8</t>
  </si>
  <si>
    <t>Q237D-YRZCI-E2CQX</t>
  </si>
  <si>
    <t>HRJXF-JAL0A-207NW</t>
  </si>
  <si>
    <t>CJ7HQ-CDB2P-H3R2F</t>
  </si>
  <si>
    <t>BK2GL-43LP0-QZAKV</t>
  </si>
  <si>
    <t>WR5QT-0XNVZ-T4N99</t>
  </si>
  <si>
    <t>NieR: Automata Game of the YoRHa Edition</t>
  </si>
  <si>
    <t>6QDYJ-G6EIJ-MFPJ2</t>
  </si>
  <si>
    <t>DWQAN-GYWFI-B6R3R</t>
  </si>
  <si>
    <t>7Y4GP-V68QA-DXJ8I</t>
  </si>
  <si>
    <t>Endless Space 2 Collection EU</t>
  </si>
  <si>
    <t>QD7YL-59JZW-5R34H</t>
  </si>
  <si>
    <t>HX83J-RDY99-4E6HM</t>
  </si>
  <si>
    <t>F1 2019 Legends Edition</t>
  </si>
  <si>
    <t>PA6VA-PK304-DQMW3</t>
  </si>
  <si>
    <t>V04F8-AB43N-T0VHK</t>
  </si>
  <si>
    <t>Man O' War: Corsair - Warhammer Naval Battles</t>
  </si>
  <si>
    <t>2AZJD-6VWPM-BLPLN</t>
  </si>
  <si>
    <t>NWYM7-E0KMP-E0WG7</t>
  </si>
  <si>
    <t>NDHCW-IYIFY-YJ35H</t>
  </si>
  <si>
    <t>Heliborne Enhanced Edition</t>
  </si>
  <si>
    <t>JTWVM-9YH96-9KTNF</t>
  </si>
  <si>
    <t>46MQM-QKQIB-HE5YJ</t>
  </si>
  <si>
    <t>Seven: Enhanced Edition</t>
  </si>
  <si>
    <t>ALNIK-XXR7K-7XTET</t>
  </si>
  <si>
    <t>Leisure Suit Larry - Wet Dreams Don't Dry</t>
  </si>
  <si>
    <t>XFLVI-DW2VD-F2LKC</t>
  </si>
  <si>
    <t>The Plague: Kingdom Wars</t>
  </si>
  <si>
    <t>EBYVQ-04HWY-M0KN8</t>
  </si>
  <si>
    <t>The Uncertain: Light At The End</t>
  </si>
  <si>
    <t>3PNGJ-RMYKG-AK5XJ</t>
  </si>
  <si>
    <t>Everspace</t>
  </si>
  <si>
    <t>FQ8FT-CRFWR-CRJDZ</t>
  </si>
  <si>
    <t>TQJ7R-R4L56-T5DXN</t>
  </si>
  <si>
    <t>LZMFR-GLFKJ-TP3TC</t>
  </si>
  <si>
    <t>Mega Man Zero/ZX Legacy Collection</t>
  </si>
  <si>
    <t>LM2RN-285GM-C8BXX</t>
  </si>
  <si>
    <t>NARUTO SHIPPUDEN: Ultimate Ninja STORM 4 Road to Boruto</t>
  </si>
  <si>
    <t>4K3R8-9Y68Y-FIT0N</t>
  </si>
  <si>
    <t>Shadowgrounds</t>
  </si>
  <si>
    <t>TJCPF-T7P3T-PVTIE</t>
  </si>
  <si>
    <t>WC39P-T0MVT-730R7</t>
  </si>
  <si>
    <t>YF9PH-KHPF7-47BVV</t>
  </si>
  <si>
    <t>GGW3K-Z5GXP-B3D78</t>
  </si>
  <si>
    <t>8NC2N-7H8GR-T7C85</t>
  </si>
  <si>
    <t>6ZTWA-2WW4K-JYHHW</t>
  </si>
  <si>
    <t>Craftlands Workshoppe</t>
  </si>
  <si>
    <t>AYLZN-P8Q2K-PLTJW</t>
  </si>
  <si>
    <t>43WYI-XEQN0-R59Z6</t>
  </si>
  <si>
    <t>Table Manners: The Physics-Based Dating Game</t>
  </si>
  <si>
    <t>9CT89-6D9P3-2GJ9J</t>
  </si>
  <si>
    <t>6859M-TY4XA-I8MZN</t>
  </si>
  <si>
    <t>4JTQL-GD0HA-Q50CN</t>
  </si>
  <si>
    <t>MXE0W-25IMK-0K90M</t>
  </si>
  <si>
    <t>0LCT5-ZEL5K-P8LAB</t>
  </si>
  <si>
    <t>N28Y6-ETDXT-M4FB0</t>
  </si>
  <si>
    <t>DiRT Rally 2.0 Super Deluxe Edition EMEA</t>
  </si>
  <si>
    <t>NKR7Z-XPTTY-LQA3G</t>
  </si>
  <si>
    <t>MRWBH-HKRZM-NVN6Y</t>
  </si>
  <si>
    <t>WP8CB-88LR7-NA5AV</t>
  </si>
  <si>
    <t>JQ9XG-JZT8C-5AG4I</t>
  </si>
  <si>
    <t>B4AKK-4VCCP-HEVAL</t>
  </si>
  <si>
    <t>Tropico 5</t>
  </si>
  <si>
    <t>NB0NE-5TQ24-CIWLW</t>
  </si>
  <si>
    <t>DiRT 4</t>
  </si>
  <si>
    <t>0VAK0-0VFHY-B88YM</t>
  </si>
  <si>
    <t>WGT7C-KP4XJ-IE6Z4</t>
  </si>
  <si>
    <t>5PR9C-QLNIX-F04JH</t>
  </si>
  <si>
    <t>FQT6T-7BTFT-29N24</t>
  </si>
  <si>
    <t>Yu-Gi-Oh! Legacy of the Duelist</t>
  </si>
  <si>
    <t>PT40R-VQQX9-DTWA4</t>
  </si>
  <si>
    <t>K0NWM-PQQE2-C49D4</t>
  </si>
  <si>
    <t>A9H6Z-M6YTI-59AJG</t>
  </si>
  <si>
    <t>BAR63-0TJ97-79VLL</t>
  </si>
  <si>
    <t>ZTVFI-93ZJF-ITHW5</t>
  </si>
  <si>
    <t>4YQZE-FHJDW-22EJJ</t>
  </si>
  <si>
    <t>Next Up Hero</t>
  </si>
  <si>
    <t>A22X8-QGKXY-R9XM3</t>
  </si>
  <si>
    <t>Centauri Sector</t>
  </si>
  <si>
    <t>NZ2NG-JZDTJ-XHLRC</t>
  </si>
  <si>
    <t>Pro Cycling Manager 2020 EU</t>
  </si>
  <si>
    <t>XB0CN-D506H-Q449Z</t>
  </si>
  <si>
    <t>NASCAR Heat 5</t>
  </si>
  <si>
    <t>MBRF8-K86ED-CRZ7W</t>
  </si>
  <si>
    <t>40YNH-LWTJB-DX7BY</t>
  </si>
  <si>
    <t>IR3JB-LY059-2ZLG2</t>
  </si>
  <si>
    <t>VE8QD-2MX7D-LE3L7</t>
  </si>
  <si>
    <t>ZYEZX-40MTN-QYFB0</t>
  </si>
  <si>
    <t>Holdfast: Nations At War</t>
  </si>
  <si>
    <t>CGMQZ-5DY4Q-7GD6T</t>
  </si>
  <si>
    <t>Stable Orbit</t>
  </si>
  <si>
    <t>9KCCP-724VX-EVTDY</t>
  </si>
  <si>
    <t>HH32P-BIRA0-6GIY9</t>
  </si>
  <si>
    <t>84NKZ-N53B6-04CC3</t>
  </si>
  <si>
    <t>ZZRIV-CG5PM-YEHTI</t>
  </si>
  <si>
    <t>6N3I8-Q65PX-LHZJP</t>
  </si>
  <si>
    <t>C7N9Z-F2G5B-TZB2H</t>
  </si>
  <si>
    <t>7LDGB-BNYJ3-Y4BBZ</t>
  </si>
  <si>
    <t>GGVER-FGZ6E-6YWC9</t>
  </si>
  <si>
    <t>DiRT Rally</t>
  </si>
  <si>
    <t>N8HBL-DP5LN-AT4J0</t>
  </si>
  <si>
    <t>TZGQT-V80ET-GVIB7</t>
  </si>
  <si>
    <t>GJ7Y8-DT6GP-79JDT</t>
  </si>
  <si>
    <t>8JNGR-9CIQA-J6G8G</t>
  </si>
  <si>
    <t>WRC 7: FIA World Rally Championship</t>
  </si>
  <si>
    <t>493KI-AKJE4-JXFPV</t>
  </si>
  <si>
    <t>FC79K-IMMZI-GV6ET</t>
  </si>
  <si>
    <t>Gas Guzzlers Extreme</t>
  </si>
  <si>
    <t>WNM07-PKAWP-LLD04</t>
  </si>
  <si>
    <t>7TIFY-568EJ-VKNEH</t>
  </si>
  <si>
    <t>Homebrew - Patent Unknown</t>
  </si>
  <si>
    <t>BICYF-L4L0Q-NCB0I</t>
  </si>
  <si>
    <t>0TZFW-0BBNV-VZLZD</t>
  </si>
  <si>
    <t>Farming Simulator 19</t>
  </si>
  <si>
    <t>5FEGW-D00L5-67DGX</t>
  </si>
  <si>
    <t>Dead Age 2</t>
  </si>
  <si>
    <t>EE0GL-4G9BY-2XTM6</t>
  </si>
  <si>
    <t>KZHYE-J3IWG-6IPZW</t>
  </si>
  <si>
    <t>HMI2W-KA8WW-PPN92</t>
  </si>
  <si>
    <t>7RR3V-X0592-H8KEG</t>
  </si>
  <si>
    <t>7RCZ2-PEK2M-ZM6BB</t>
  </si>
  <si>
    <t>7NHKY-CR2LD-K5CCF</t>
  </si>
  <si>
    <t>Train Sim World 2</t>
  </si>
  <si>
    <t>9PFIA-NCKB6-IXNZ8</t>
  </si>
  <si>
    <t>eFootball PES 2021 Season Update Standard Edition</t>
  </si>
  <si>
    <t>FNC8F-7TALZ-D8D82</t>
  </si>
  <si>
    <t>QF7RI-YM20A-FBT63</t>
  </si>
  <si>
    <t>MZPJJ-7T6HV-8M4F0</t>
  </si>
  <si>
    <t>N5I5J-EDB3T-9TCLB</t>
  </si>
  <si>
    <t>MQXA6-42YK8-BX7G2</t>
  </si>
  <si>
    <t>Railway Empire - Complete Collection</t>
  </si>
  <si>
    <t>2ABBL-LHFJM-YD294</t>
  </si>
  <si>
    <t>Zeno Clash</t>
  </si>
  <si>
    <t>VVLJY-LQB66-QY8G8</t>
  </si>
  <si>
    <t>6ILAN-DPJAP-IFWDC</t>
  </si>
  <si>
    <t>ET3IP-MYHL5-L48CD</t>
  </si>
  <si>
    <t>NJGR3-9FILB-PFGEZ</t>
  </si>
  <si>
    <t>Rise of the Tomb Raider: 20 Year Celebration Edition</t>
  </si>
  <si>
    <t>008Z9-CN3FR-ZFGJI</t>
  </si>
  <si>
    <t>J6RCX-TTW2R-NEJHK</t>
  </si>
  <si>
    <t>Lords of the Fallen Game of the Year Edition</t>
  </si>
  <si>
    <t>HMDRQ-TTMLY-5V7C6</t>
  </si>
  <si>
    <t>SUPERHOT VR</t>
  </si>
  <si>
    <t>2RDNH-TXCEP-7WR5V</t>
  </si>
  <si>
    <t>PHEMW-GDL37-I8JKH</t>
  </si>
  <si>
    <t>Ghostrunner</t>
  </si>
  <si>
    <t>YQJ8A-ZTI5E-29EVT</t>
  </si>
  <si>
    <t>9K5NH-5V4HT-YXQK7</t>
  </si>
  <si>
    <t>Wargame Red Dragon</t>
  </si>
  <si>
    <t>R9B3H-YKTPG-QN0ZD</t>
  </si>
  <si>
    <t>NZDQG-XH86X-0D36Z</t>
  </si>
  <si>
    <t>Gloria Victis</t>
  </si>
  <si>
    <t>ILMBM-9AQYJ-2MN5J</t>
  </si>
  <si>
    <t>TEKKEN 7 EU</t>
  </si>
  <si>
    <t>5MHD9-Q4PTQ-MGPE4</t>
  </si>
  <si>
    <t>KL4GR-HIC00-FX7PN</t>
  </si>
  <si>
    <t>G6ZBT-H5ZIH-XP49Q</t>
  </si>
  <si>
    <t>5QIRI-KAG9N-YD49R</t>
  </si>
  <si>
    <t>HEK9E-YVE7Y-KP649</t>
  </si>
  <si>
    <t>V9I3F-RZ3VL-JRDPN</t>
  </si>
  <si>
    <t>MA42R-8TYK3-P5XX8</t>
  </si>
  <si>
    <t>Dungeons 3 EU</t>
  </si>
  <si>
    <t>0H2ZC-LWQLY-8G2AV</t>
  </si>
  <si>
    <t>8M332-K0IT2-CH8VD</t>
  </si>
  <si>
    <t>Blazing Beaks</t>
  </si>
  <si>
    <t>RXRWB-MWHMV-DQHNN</t>
  </si>
  <si>
    <t>C5VK4-P2ME7-8IF9R</t>
  </si>
  <si>
    <t>Call of Juarez: Bound in Blood</t>
  </si>
  <si>
    <t>388VQ-YH7KI-KDI03</t>
  </si>
  <si>
    <t>J238E-6TAK9-AZCVW</t>
  </si>
  <si>
    <t>Yoku's Island Express</t>
  </si>
  <si>
    <t>Z6H72-R8E9Z-6EI9B</t>
  </si>
  <si>
    <t>5L42Z-EKCTW-0FPHF</t>
  </si>
  <si>
    <t>Yooka-Laylee RoW</t>
  </si>
  <si>
    <t>QV65P-TR3FN-GLXLV</t>
  </si>
  <si>
    <t>70J67-G2IKQ-P8YM3</t>
  </si>
  <si>
    <t>WL2AM-YEXFL-YZD0X</t>
  </si>
  <si>
    <t>IL-2 Sturmovik 1946</t>
  </si>
  <si>
    <t>6AC9D-0T8HB-LVTZ8</t>
  </si>
  <si>
    <t>VEIA6-3J8D2-3L8NF</t>
  </si>
  <si>
    <t>QVBKR-JG98X-6QM5D</t>
  </si>
  <si>
    <t>Y0T2V-Q3DL8-DP0EW</t>
  </si>
  <si>
    <t>The Sherlock Holmes Collection</t>
  </si>
  <si>
    <t>37WAW-G89TL-K6X25</t>
  </si>
  <si>
    <t>VFVJP-3IAFY-047F3</t>
  </si>
  <si>
    <t>PW0W6-XAM5Y-KW4F0</t>
  </si>
  <si>
    <t>49DII-TPJTJ-0GCN8</t>
  </si>
  <si>
    <t>WXKHI-WAQPC-W5RE3</t>
  </si>
  <si>
    <t>Img5</t>
  </si>
  <si>
    <t>39Q30-EBI8I-8DTGT</t>
  </si>
  <si>
    <t>Img6a</t>
  </si>
  <si>
    <t>Cultist Simulator</t>
  </si>
  <si>
    <t>TQ26N-GC4AQ-49PRP</t>
  </si>
  <si>
    <t>58G44-AM688-0B2G2</t>
  </si>
  <si>
    <t>LH008-K7GMV-WEZND</t>
  </si>
  <si>
    <t>Img7a</t>
  </si>
  <si>
    <t>Tropico 5: Complete Collection</t>
  </si>
  <si>
    <t>DL46R-F6PYT-HEZK3</t>
  </si>
  <si>
    <t>Monster Energy Supercross - The Official Videogame 3</t>
  </si>
  <si>
    <t>2DVRY-KY5EL-8QEZ7</t>
  </si>
  <si>
    <t>F5NYB-DM5VY-0PYA2</t>
  </si>
  <si>
    <t>MY2W7-94YDW-F7K6R</t>
  </si>
  <si>
    <t>47TDE-LBRNV-EXJLC</t>
  </si>
  <si>
    <t>Praetorians HD Remaster</t>
  </si>
  <si>
    <t>V3D2Z-9HR40-Y6E9L</t>
  </si>
  <si>
    <t>00NW2-HD4G3-3JTER</t>
  </si>
  <si>
    <t>3XEXV-TEABP-K7NYL</t>
  </si>
  <si>
    <t>Rejected</t>
  </si>
  <si>
    <t>W2RBY-R8J86-ZCZWT</t>
  </si>
  <si>
    <t>E6T4B-GXFGX-7PEPZ</t>
  </si>
  <si>
    <t>Transport Fever 2</t>
  </si>
  <si>
    <t>HWGLI-N6YI5-N0L50</t>
  </si>
  <si>
    <t>8PJMA-QAXFC-60EC3</t>
  </si>
  <si>
    <t>GN46P-MKI5L-CFQ37</t>
  </si>
  <si>
    <t>DHJ8H-FGEWX-6XW9V</t>
  </si>
  <si>
    <t>EQLFV-HDL8Z-N4QLR</t>
  </si>
  <si>
    <t>RX70B-9EJ37-MM6YQ</t>
  </si>
  <si>
    <t>JWE9D-VZJT9-D7D2A</t>
  </si>
  <si>
    <t>Resident Evil 7: Biohazard EMEA</t>
  </si>
  <si>
    <t>BV8MB-45VMW-4K25J</t>
  </si>
  <si>
    <t>AVY89-YBVBQ-LHV5B</t>
  </si>
  <si>
    <t>Wasteland 3</t>
  </si>
  <si>
    <t>5EXQI-4HBN7-QR09X</t>
  </si>
  <si>
    <t>K56QA-LL7I5-JDG2B</t>
  </si>
  <si>
    <t>REEMH-CJWR9-QERQX</t>
  </si>
  <si>
    <t>02YKJ-ZQDJE-2FK00</t>
  </si>
  <si>
    <t>Q4QVJ-J9B00-JGIB3</t>
  </si>
  <si>
    <t>LQX3D-CJH3V-303GA</t>
  </si>
  <si>
    <t>Deponia Doomsday</t>
  </si>
  <si>
    <t>FFF9V-F3EZ4-2X239</t>
  </si>
  <si>
    <t>M2DBE-7T6LN-7NRR8</t>
  </si>
  <si>
    <t>FWGBC-AHTLD-N0MJP</t>
  </si>
  <si>
    <t>ICXHY-EBFVF-DB9GN</t>
  </si>
  <si>
    <t>Sniper: Ghost Warrior Trilogy</t>
  </si>
  <si>
    <t>98EHJ-PY5L4-FPLZF</t>
  </si>
  <si>
    <t>EJGDK-GQQ2Q-2QZ7B</t>
  </si>
  <si>
    <t>EVFCY-2VCIY-TR8N7</t>
  </si>
  <si>
    <t>CPGZF-TKHBN-RRYKK</t>
  </si>
  <si>
    <t>AYXLY-IZWM6-WXKWM</t>
  </si>
  <si>
    <t>BKX66-VRWT8-72KC</t>
  </si>
  <si>
    <t>VQJDV-W6MXR-4JYLH</t>
  </si>
  <si>
    <t>53ZNW-Q5B2R-65JVY</t>
  </si>
  <si>
    <t>DEFEE-RXNK8-97JKI</t>
  </si>
  <si>
    <t>Open</t>
  </si>
  <si>
    <t>IIFWA-9NAY4-L0C6X</t>
  </si>
  <si>
    <t>RBDN5-6BK72-6XN44</t>
  </si>
  <si>
    <t>Img2h</t>
  </si>
  <si>
    <t>Warpips</t>
  </si>
  <si>
    <t>BXRBG-73QYY-FB0EN</t>
  </si>
  <si>
    <t>HV0JA-027EZ-KJL2T</t>
  </si>
  <si>
    <t>36W7G-L7NFG-8BTB8</t>
  </si>
  <si>
    <t>QBGRF-5HZ6C-YDZ8X</t>
  </si>
  <si>
    <t>4KZRY-BRJR8-ZW0AE</t>
  </si>
  <si>
    <t>Before We Leave</t>
  </si>
  <si>
    <t>B6ETQ-43QR7-YZGYK</t>
  </si>
  <si>
    <t>Absolver</t>
  </si>
  <si>
    <t>WAFYH-2QCNZ-VBE6Q</t>
  </si>
  <si>
    <t>HG6BR-8ABWM-XZDM2</t>
  </si>
  <si>
    <t>JWYBY-G4TVW-XXCAM</t>
  </si>
  <si>
    <t>854FW-DGQFQ-6HJ8K</t>
  </si>
  <si>
    <t>WEV30-VTRLZ-6KQNH</t>
  </si>
  <si>
    <t>JF2FQ-AQYB9-ZE99I</t>
  </si>
  <si>
    <t>Rise of the Tomb Raider: 20 Year Celebration Edition EU</t>
  </si>
  <si>
    <t>07VQB-QMP3F-AI8X2</t>
  </si>
  <si>
    <t>Resident Evil HD REMASTER</t>
  </si>
  <si>
    <t>NL29C-Q2AMV-I3GJ5</t>
  </si>
  <si>
    <t>6T6CI-RJ3NE-XQZ6I</t>
  </si>
  <si>
    <t>NMEFQ-M99VQ-B292D</t>
  </si>
  <si>
    <t>Tokyo Xanadu eX+</t>
  </si>
  <si>
    <t>8WNZD-6VL9L-VRPXQ</t>
  </si>
  <si>
    <t>CMYW5-TLRNB-Y79Q7</t>
  </si>
  <si>
    <t>9WMQM-YDJZG-FCWV0</t>
  </si>
  <si>
    <t>Resident Evil 7: Biohazard</t>
  </si>
  <si>
    <t>HAWHI-ALYYY-EB69X</t>
  </si>
  <si>
    <t>7Q60V-ABCLJ-ZKDZX</t>
  </si>
  <si>
    <t>XLYXG-MVGB3-9PJ38</t>
  </si>
  <si>
    <t>F7M9K-XNYCR-57HK0</t>
  </si>
  <si>
    <t>F1 2020 Deluxe Schumacher Edition EU</t>
  </si>
  <si>
    <t>TN2NJ-7MWEY-4059M</t>
  </si>
  <si>
    <t>4R3MT-FT4IT-KW28M</t>
  </si>
  <si>
    <t>0M8AL-M5LMA-5BHDM</t>
  </si>
  <si>
    <t>Dark Souls: Remastered</t>
  </si>
  <si>
    <t>N9F56-XJ8HF-XZQP8</t>
  </si>
  <si>
    <t>P0K5W-TN4H8-Z308L</t>
  </si>
  <si>
    <t>img3a</t>
  </si>
  <si>
    <t>img3b</t>
  </si>
  <si>
    <t>Dead Rising 4 Frank's Big Package</t>
  </si>
  <si>
    <t>DQ2ZZ-ZM057-67GY3</t>
  </si>
  <si>
    <t>M7B9W-LWVZK-LAC5H</t>
  </si>
  <si>
    <t>Tesla Force</t>
  </si>
  <si>
    <t>ZVKD9-46WQG-4P3MA</t>
  </si>
  <si>
    <t>Commandos 2 HD Remaster</t>
  </si>
  <si>
    <t>IY5KA-F6Y8V-ZE344</t>
  </si>
  <si>
    <t>P2GDI-95A9C-2MBDD</t>
  </si>
  <si>
    <t>0LZJ2-504D6-VWQDW</t>
  </si>
  <si>
    <t>BDCX7-5WZ20-4N4DV</t>
  </si>
  <si>
    <t>3AHVJ-WGTGM-R5AJ9</t>
  </si>
  <si>
    <t>WTZV9-J2G75-IV0DF</t>
  </si>
  <si>
    <t>DHYIY-K48CN-4IC0E</t>
  </si>
  <si>
    <t>0YANR-AYHNN-2LKCL</t>
  </si>
  <si>
    <t>Z22LF-QICVK-248VJ</t>
  </si>
  <si>
    <t>Synergia</t>
  </si>
  <si>
    <t>P7A5Y-9W5AL-VYJA2</t>
  </si>
  <si>
    <t>NYVFC-3WAAL-0JH62</t>
  </si>
  <si>
    <t>White Day: A Labyrinth Named School</t>
  </si>
  <si>
    <t>ZZHJ4-39BEN-5PL5X</t>
  </si>
  <si>
    <t>YW25X-Y9RW6-8Z3KE</t>
  </si>
  <si>
    <t>Spirit Hunter: Death Mark</t>
  </si>
  <si>
    <t>QDDTQ-ER4L6-VM7I7</t>
  </si>
  <si>
    <t>CABA3-66HDN-I2MDG</t>
  </si>
  <si>
    <t>eXceed Complete Pack</t>
  </si>
  <si>
    <t>D3XHH-AWE4K-70DZE</t>
  </si>
  <si>
    <t>975N0-CFMNA-XBZRG</t>
  </si>
  <si>
    <t>Learn Japanese to Survive! Trilogy Bundle</t>
  </si>
  <si>
    <t>Img1</t>
  </si>
  <si>
    <t>Img2</t>
  </si>
  <si>
    <t>YKHM6-X7L28-TWLPK</t>
  </si>
  <si>
    <t>JAKY9-FNZCE-MH49R</t>
  </si>
  <si>
    <t>JJVCE-V5T9T-QRZPZ</t>
  </si>
  <si>
    <t>9QBQ7-KZB5L-N5NZZ</t>
  </si>
  <si>
    <t>Loop Hero</t>
  </si>
  <si>
    <t>X23QY-GVF57-4AFXJ</t>
  </si>
  <si>
    <t>AB2T6-48Q67-Y6WE9</t>
  </si>
  <si>
    <t>6PVG7-WK94E-JRK5E</t>
  </si>
  <si>
    <t>WVJMB-BJKR3-PDZHQ</t>
  </si>
  <si>
    <t>EX87T-R25YJ-37J04</t>
  </si>
  <si>
    <t>T4FY6-G54H7-FKVZZ</t>
  </si>
  <si>
    <t>Visage</t>
  </si>
  <si>
    <t>CBJD6-9PHMC-LIR0M</t>
  </si>
  <si>
    <t>VXEFZ-LQ7II-B2342</t>
  </si>
  <si>
    <t>8WK0G-ZIJL8-98MXW</t>
  </si>
  <si>
    <t>Deus Ex: Mankind Divided</t>
  </si>
  <si>
    <t>4BD84-986AM-2LHNF</t>
  </si>
  <si>
    <t>DRPZF-ICWTH-BPND3</t>
  </si>
  <si>
    <t>ID44Y-R0JXL-2N83Y</t>
  </si>
  <si>
    <t>6LYYW-XG5FE-6C5I0</t>
  </si>
  <si>
    <t>I2WCA-QKZ6B-I6GKB</t>
  </si>
  <si>
    <t>G6L29-TFRLN-V5EZ0</t>
  </si>
  <si>
    <t>BQI4N-7XD9F-KZFFK</t>
  </si>
  <si>
    <t>EJR0E-VQ5Y3-ZNQCN</t>
  </si>
  <si>
    <t>MLH89-V2PKR-9KNGH</t>
  </si>
  <si>
    <t>9D3KJ-ZV6J2-6K69V</t>
  </si>
  <si>
    <t>The Outer Worlds EU</t>
  </si>
  <si>
    <t>4NQMI-R5HH7-G96D9</t>
  </si>
  <si>
    <t>EQ27B-HCM4G-DX9FT</t>
  </si>
  <si>
    <t>29KKA-3ZWWK-VXYEP</t>
  </si>
  <si>
    <t>9V8LD-XPRN9-AJET7</t>
  </si>
  <si>
    <t>GDPGT-XY28X-6GGK8</t>
  </si>
  <si>
    <t>DHGRK-MAE6G-J7WQB</t>
  </si>
  <si>
    <t>6YKXW-0H776-T82WG</t>
  </si>
  <si>
    <t>WBXB4-N8F3B-W8M0F</t>
  </si>
  <si>
    <t>GIFHK-XF3QG-L2X0D</t>
  </si>
  <si>
    <t>The Yakuza Remastered Collection</t>
  </si>
  <si>
    <t>FZ25H-MLAX3-AJRBW</t>
  </si>
  <si>
    <t>L9XZP-3BCJH-BEW5L</t>
  </si>
  <si>
    <t>7CXMG-3PKQK-3GMV0</t>
  </si>
  <si>
    <t>Kingdom Come: Deliverance</t>
  </si>
  <si>
    <t>XRV7C-8WNB4-QLDKB</t>
  </si>
  <si>
    <t>Kingdom Come: Deliverance - From the Ashes DLC</t>
  </si>
  <si>
    <t>8LEI5-NREB8-YNYT3</t>
  </si>
  <si>
    <t>Kingdom Come: Deliverance - Band of Bastards DLC</t>
  </si>
  <si>
    <t>XZYIG-X06PB-DCWMW</t>
  </si>
  <si>
    <t>Hotshot Racing</t>
  </si>
  <si>
    <t>GZY9P-HVEB3-NA27H</t>
  </si>
  <si>
    <t>Help Will Come Tomorrow</t>
  </si>
  <si>
    <t>YWGB0-7QNDT-6546R</t>
  </si>
  <si>
    <t>Shadow Tactics: Blades of the Shogun</t>
  </si>
  <si>
    <t>KKZ9V-YHM00-XDPGJ</t>
  </si>
  <si>
    <t>Sundered: Eldritch Edition</t>
  </si>
  <si>
    <t>06NI4-6RG6D-FXIPL</t>
  </si>
  <si>
    <t>Warhammer 40,000: Gladius - Relics of War</t>
  </si>
  <si>
    <t>CWXDN-EB4G3-MW4GA</t>
  </si>
  <si>
    <t>Overpass</t>
  </si>
  <si>
    <t>L0K3W-JTI3Z-YM7N7</t>
  </si>
  <si>
    <t>Rise of Industry RoW</t>
  </si>
  <si>
    <t>VEZZ8-LRJNZ-D5C70</t>
  </si>
  <si>
    <t>Rise of Industry - 2130 DLC RoW</t>
  </si>
  <si>
    <t>R28QW-FM240-DAZBG</t>
  </si>
  <si>
    <t>LLRPG-Q7TG0-X5EL5</t>
  </si>
  <si>
    <t>SteamWorld Dig 2</t>
  </si>
  <si>
    <t>6ALVL-JIHH9-GM4WM</t>
  </si>
  <si>
    <t>JILW0-MLTJ7-TE5YP</t>
  </si>
  <si>
    <t>K6GEK-E436B-BKREC</t>
  </si>
  <si>
    <t xml:space="preserve">Leisure Suit Larry - Wet Dreams Don't Dry </t>
  </si>
  <si>
    <t>5KT2M-HMAQM-WKJZR</t>
  </si>
  <si>
    <t>Those Who Remain</t>
  </si>
  <si>
    <t>AHLNE-58ND7-J6IMH</t>
  </si>
  <si>
    <t>Metal Gear Survive EU</t>
  </si>
  <si>
    <t>8JZ9C-6BKYJ-JIX0G</t>
  </si>
  <si>
    <t>Metal Gear Solid V The Definitive Experience EU</t>
  </si>
  <si>
    <t>896ZI-NHLMX-F4KM5</t>
  </si>
  <si>
    <t>PG6YR-V4VMJ-7DHCV</t>
  </si>
  <si>
    <t>RRZI3-4333R-D2J9I</t>
  </si>
  <si>
    <t>KGZW3-A7036-2HZ28</t>
  </si>
  <si>
    <t>3XZH8-AC9YM-9H7A8</t>
  </si>
  <si>
    <t>eFootball PES 2021 Season Update Standard Edition EU</t>
  </si>
  <si>
    <t>83Q3R-XALBL-VV4Y0</t>
  </si>
  <si>
    <t>0W2YL-C5NH5-QZQDP</t>
  </si>
  <si>
    <t>HIJ8Z-6ZKV2-E7RGL</t>
  </si>
  <si>
    <t>6XH0Y-VTA59-2DQ3N</t>
  </si>
  <si>
    <t>AT87G-EBZT3-FXYKD</t>
  </si>
  <si>
    <t>Borderlands 3 - Season Pass 2 EU</t>
  </si>
  <si>
    <t>ZI30Q-97EDH-2W62P</t>
  </si>
  <si>
    <t>theHunter: Call of the Wild</t>
  </si>
  <si>
    <t>W7YVR-JZAXK-J3NXH</t>
  </si>
  <si>
    <t>Mordhau EU</t>
  </si>
  <si>
    <t>5QNAT-EPFFN-AG678</t>
  </si>
  <si>
    <t>Train Sim World 2 EU</t>
  </si>
  <si>
    <t>HI7QJ-YGZDC-DPA4C</t>
  </si>
  <si>
    <t>TVK4B-393QI-PQJZ3</t>
  </si>
  <si>
    <t>34T9H-LNEHK-PXX89</t>
  </si>
  <si>
    <t>H5XV7-4FJY0-5QEKH</t>
  </si>
  <si>
    <t>H4GT0-MX3L3-LPVI2</t>
  </si>
  <si>
    <t>J4MKK-5Y5L0-RFNHM</t>
  </si>
  <si>
    <t>P952N-YMLED-DDQ79</t>
  </si>
  <si>
    <t>4E5WT-H4V72-9RHNW</t>
  </si>
  <si>
    <t>8H3AR-HMWCM-0KF73</t>
  </si>
  <si>
    <t>5TFXP-MYFB9-8V7IZ</t>
  </si>
  <si>
    <t>Generation Zero EU</t>
  </si>
  <si>
    <t>4ZF53-5EYX8-NIT47</t>
  </si>
  <si>
    <t>RTXQD-9KDEI-DTN32</t>
  </si>
  <si>
    <t>Two Point Hospital EU</t>
  </si>
  <si>
    <t>JHXLA-EQD02-W3XNB</t>
  </si>
  <si>
    <t>GJ2XA-FKJJ5-EE638</t>
  </si>
  <si>
    <t>NBQWP-I5RGW-PMF8F</t>
  </si>
  <si>
    <t>4VMAD-VA55L-9LGYK</t>
  </si>
  <si>
    <t>ILIRV-VDJ67-AFA8W</t>
  </si>
  <si>
    <t>PB74R-T2YNB-E46JZ</t>
  </si>
  <si>
    <t>PH4JK-J2QMQ-GH09N</t>
  </si>
  <si>
    <t>PBGIY-HFH2W-E7E7R</t>
  </si>
  <si>
    <t>I Expect You To Die</t>
  </si>
  <si>
    <t>0MTJA-A96PD-Z7N2N</t>
  </si>
  <si>
    <t>0LII9-52MGL-JIR54</t>
  </si>
  <si>
    <t>Leisure Suit Larry - Wet Dreams Dry Twice</t>
  </si>
  <si>
    <t>ZPJBF-5J82D-XL9T0</t>
  </si>
  <si>
    <t>BBVED-PJ2ZN-TJYRH</t>
  </si>
  <si>
    <t>RRTLM-ALH7P-I72II</t>
  </si>
  <si>
    <t>02AFT-CKL85-JHFQX</t>
  </si>
  <si>
    <t>00QTW-YTLQN-8YW7B</t>
  </si>
  <si>
    <t>00CT0-NIE2M-RFMV0</t>
  </si>
  <si>
    <t>GRIS</t>
  </si>
  <si>
    <t>T4LLL-FF92D-T9Y70</t>
  </si>
  <si>
    <t>E00YI-JMH5X-9ZVRD</t>
  </si>
  <si>
    <t>R5M95-3QY7M-AB366</t>
  </si>
  <si>
    <t>Ghostrunner EU</t>
  </si>
  <si>
    <t>IC48D-TJ4Z9-B22AH</t>
  </si>
  <si>
    <t>Y7A2K-F5M5P-38HFY</t>
  </si>
  <si>
    <t>Death Stranding EU</t>
  </si>
  <si>
    <t>A8JGE-6L498-IFR2D</t>
  </si>
  <si>
    <t>ML0MW-XT8DZ-H596A</t>
  </si>
  <si>
    <t>Overcooked! All You Can Eat</t>
  </si>
  <si>
    <t>PLTRG-F7I4P-8FY54</t>
  </si>
  <si>
    <t>Sonic Mania</t>
  </si>
  <si>
    <t>4GNNI-NPQMN-R0GY2</t>
  </si>
  <si>
    <t>3DVAG-WQXMK-ETLKX</t>
  </si>
  <si>
    <t>Blasphemous</t>
  </si>
  <si>
    <t>5BILW-YDDI8-WVJX5</t>
  </si>
  <si>
    <t>K8WLW-B47LD-MI3YW</t>
  </si>
  <si>
    <t>K8K0F-75PRD-CD070</t>
  </si>
  <si>
    <t>K4EKX-CPF25-V9JBT</t>
  </si>
  <si>
    <t>K3ZVQ-EELJH-90CQT</t>
  </si>
  <si>
    <t>0603Q-X9JAR-P9CEV</t>
  </si>
  <si>
    <t>L6LE8-ZYNN7-GH89N</t>
  </si>
  <si>
    <t>Garfield Kart</t>
  </si>
  <si>
    <t>4243M-Y2WWC-4YNF6</t>
  </si>
  <si>
    <t>KCEV2-WPAD0-TD2Y4</t>
  </si>
  <si>
    <t>WG79P-H7WDN-6J86B</t>
  </si>
  <si>
    <t>Killer7</t>
  </si>
  <si>
    <t>XRW8A-NYN9P-VL2NG</t>
  </si>
  <si>
    <t>Partisans 1941</t>
  </si>
  <si>
    <t>A3CYB-RRG60-5P4R3</t>
  </si>
  <si>
    <t>YN3G6-AG82V-2NK5D</t>
  </si>
  <si>
    <t>99XNQ-GFG2F-2ZDEZ</t>
  </si>
  <si>
    <t>YEI2Z-QZL0C-CMTII</t>
  </si>
  <si>
    <t>EWW4G-JPGKC-ZAR95</t>
  </si>
  <si>
    <t>Sid Meier's Civilization VI: Platinum Edition RoW</t>
  </si>
  <si>
    <t>D28LF-3E8PY-AEMC8</t>
  </si>
  <si>
    <t>The Gardens Between</t>
  </si>
  <si>
    <t>BQKJP-BZIVC-DAL8V</t>
  </si>
  <si>
    <t>BQTBY-AA648-M9TER</t>
  </si>
  <si>
    <t>BQV3C-IWTKJ-96EG3</t>
  </si>
  <si>
    <t>2CY33-DA36R-AQWN9</t>
  </si>
  <si>
    <t>X5MX9-YM2K8-WYKD6</t>
  </si>
  <si>
    <t>NZ2HY-8Z7P0-JMTD6</t>
  </si>
  <si>
    <t>Pathfinder: Wrath of the Righteous</t>
  </si>
  <si>
    <t>MGRG2-AQ3V0-5A4Z7</t>
  </si>
  <si>
    <t>78JY6-LP76N-0YIZD</t>
  </si>
  <si>
    <t>IITFQ-MVVZ6-TTZ2A</t>
  </si>
  <si>
    <t>15a</t>
  </si>
  <si>
    <t>15b</t>
  </si>
  <si>
    <t>F3GHL-V4L22-DJ3Z4</t>
  </si>
  <si>
    <t>Visage EMEA</t>
  </si>
  <si>
    <t>BZ29N-30LMI-FXNLX</t>
  </si>
  <si>
    <t>8CPQP-ETEK9-XGPPK</t>
  </si>
  <si>
    <t>8TPC3-MW9HF-BP4C9</t>
  </si>
  <si>
    <t>8LBZY-9AFHI-FXHPT</t>
  </si>
  <si>
    <t>CP6PD-XIVF7-0RRHM</t>
  </si>
  <si>
    <t>B6G7R-4DX54-XWB30</t>
  </si>
  <si>
    <t>KQNMH-0HFIE-C8VWB</t>
  </si>
  <si>
    <t>0KJBE-NXTWJ-4P9GL</t>
  </si>
  <si>
    <t>A80TB-65WEJ-YXKQJ</t>
  </si>
  <si>
    <t>Wargame Airland Battle</t>
  </si>
  <si>
    <t>F87FT-E5DT0-YA7LH</t>
  </si>
  <si>
    <t>Steel Division 2</t>
  </si>
  <si>
    <t>8ALZP-GP0QQ-D8DTV</t>
  </si>
  <si>
    <t>WJ4EV-IWQLI-ELRD4</t>
  </si>
  <si>
    <t>Creed: Rise To Glory</t>
  </si>
  <si>
    <t>HPW5Y-J0YND-N48P0</t>
  </si>
  <si>
    <t>18a</t>
  </si>
  <si>
    <t>18b</t>
  </si>
  <si>
    <t>4QZGX-MAQ45-MPMWC</t>
  </si>
  <si>
    <t>VL0LQ-3HKTE-D5VMD</t>
  </si>
  <si>
    <t>YX6XG-AKZZ5-TYFF9</t>
  </si>
  <si>
    <t>VBQYF-ZR3RT-LFWLG</t>
  </si>
  <si>
    <t>R3HGB-5NDY4-CBZAP</t>
  </si>
  <si>
    <t>2A7T6-H6Y5D-QAN6L</t>
  </si>
  <si>
    <t>72RNA-PEJPT-FCJX0</t>
  </si>
  <si>
    <t>LLEND-MIK7P-GX9IG</t>
  </si>
  <si>
    <t>NN3HX-85I4F-CLJ7X</t>
  </si>
  <si>
    <t>8XAP4-0YQQM-TXBCV</t>
  </si>
  <si>
    <t>Steel Division 2 Total Conflict Edition</t>
  </si>
  <si>
    <t>4GQ0D-VP2I4-BZ2RL</t>
  </si>
  <si>
    <t>TNA72-NYMMQ-LL2BZ</t>
  </si>
  <si>
    <t>ZR900-V7I8I-XKHEV</t>
  </si>
  <si>
    <t>AA74D-JYILA-WH3QF</t>
  </si>
  <si>
    <t>YPPEX-H6ICY-AVRYG</t>
  </si>
  <si>
    <t>Learn Japanese to Survive! Complete Bundle</t>
  </si>
  <si>
    <t>japanesebundle21a</t>
  </si>
  <si>
    <t>japanesebundle21b</t>
  </si>
  <si>
    <t>Stygian: Reign of the Old Ones</t>
  </si>
  <si>
    <t>860XC-YC7IP-9I3XK</t>
  </si>
  <si>
    <t>YLRAQ-GJXFN-T294W</t>
  </si>
  <si>
    <t>5ZDIE-ZZGNM-A73TL</t>
  </si>
  <si>
    <t>WEE0L-N8WKL-B2X4A</t>
  </si>
  <si>
    <t>Total War Saga: Thrones of Britannia EU</t>
  </si>
  <si>
    <t>7J5YH-XH964-IA7DA</t>
  </si>
  <si>
    <t>F2WK5-CP4FJ-KHTAH</t>
  </si>
  <si>
    <t>J4545-ALRIX-VAXK3</t>
  </si>
  <si>
    <t>2CKWI-5IFF6-8INB2</t>
  </si>
  <si>
    <t>Forts</t>
  </si>
  <si>
    <t>DEMQY-XWMXW-IKQIH</t>
  </si>
  <si>
    <t>5ELM9-2F9MH-HTJAR</t>
  </si>
  <si>
    <t>BH2MZ-YZJHD-YIQ3G</t>
  </si>
  <si>
    <t>7AG5D-A7HI6-7NN6A</t>
  </si>
  <si>
    <t>5V0X5-V8JX3-7YNEZ</t>
  </si>
  <si>
    <t>Kingdom Wars 2: Definitive Edition</t>
  </si>
  <si>
    <t>0FZQA-DC4JI-TNCBT</t>
  </si>
  <si>
    <t>EKMXM-4NY9C-FJIZF</t>
  </si>
  <si>
    <t>XJID2-AAEKY-NHV04</t>
  </si>
  <si>
    <t>VRMVW-6CD3Y-EBZWM</t>
  </si>
  <si>
    <t>2J09F-59YV5-3HXMR</t>
  </si>
  <si>
    <t>LRPBB-CAGCZ-2609E</t>
  </si>
  <si>
    <t>Project Highrise</t>
  </si>
  <si>
    <t>TEXT5-0LIZM-6L20N</t>
  </si>
  <si>
    <t>Monstrum</t>
  </si>
  <si>
    <t>HP5YF-EKHJ9-E7GNQ</t>
  </si>
  <si>
    <t>Ittle Dew 2</t>
  </si>
  <si>
    <t>EWH7V-RF2Q0-KBMQ2</t>
  </si>
  <si>
    <t>70XNE-6IY6V-4D2R5</t>
  </si>
  <si>
    <t>DRIFT21</t>
  </si>
  <si>
    <t>IFTAD-3MN5H-3AL7Z</t>
  </si>
  <si>
    <t>The Jackbox Party Pack 7</t>
  </si>
  <si>
    <t>W74ZP-PELAG-Z35CJ</t>
  </si>
  <si>
    <t>Rebel Galaxy</t>
  </si>
  <si>
    <t>BBHA7-4WL48-KVZM0</t>
  </si>
  <si>
    <t>HIRIC-7PR33-96P75</t>
  </si>
  <si>
    <t>IE7I0-6ELXC-NW3KV</t>
  </si>
  <si>
    <t>Automachef</t>
  </si>
  <si>
    <t>X2ZQX-6B9VM-D8V7V</t>
  </si>
  <si>
    <t>FTXZ9-0RBHT-6XXEI</t>
  </si>
  <si>
    <t>V0LFJ-QMXGB-582EL</t>
  </si>
  <si>
    <t>TTFEG-XHN4X-HVGIA</t>
  </si>
  <si>
    <t>VVVVVV</t>
  </si>
  <si>
    <t>656J7-62XYZ-AH2FN</t>
  </si>
  <si>
    <t>EF889-GCJ2L-4D0JQ</t>
  </si>
  <si>
    <t>Gone Home + Original Soundtrack</t>
  </si>
  <si>
    <t>RPZPB-RXE6B-H407T</t>
  </si>
  <si>
    <t>RNDPC-ZTAT3-KQJQF</t>
  </si>
  <si>
    <t>Oddworld: New 'n' Tasty</t>
  </si>
  <si>
    <t>JNF43-MEX98-DZNAD</t>
  </si>
  <si>
    <t>R44XY-TLVNE-WQDRM</t>
  </si>
  <si>
    <t>Rogue Heroes: Ruins of Tasos</t>
  </si>
  <si>
    <t>WIRAM-GMX45-MXM43</t>
  </si>
  <si>
    <t>NR6K6-DMRA0-A6HAB</t>
  </si>
  <si>
    <t>Lost Castle</t>
  </si>
  <si>
    <t>5PLIA-K597F-FJ4F3</t>
  </si>
  <si>
    <t>5K7JA-LN30V-KKW73</t>
  </si>
  <si>
    <t>IKLPI-WLGGK-BGV4P</t>
  </si>
  <si>
    <t>GF2NZ-8TXXR-KR7AA</t>
  </si>
  <si>
    <t>6IGHP-C9QYY-BBMEN</t>
  </si>
  <si>
    <t>L79QM-PZDCX-W59BG</t>
  </si>
  <si>
    <t>VB400-VQFMK-9JAXR</t>
  </si>
  <si>
    <t>CBYXC-ZMK3W-GPT3X</t>
  </si>
  <si>
    <t>Worms</t>
  </si>
  <si>
    <t>BXW87-WRYIV-Q2BY7</t>
  </si>
  <si>
    <t>310Bundle</t>
  </si>
  <si>
    <t>Baldur's Gate: The Complete Saga</t>
  </si>
  <si>
    <t>410a</t>
  </si>
  <si>
    <t>RIDE 4</t>
  </si>
  <si>
    <t>PEXAZ-IVZKQ-5TDLA</t>
  </si>
  <si>
    <t>Baldur's Gate II: Enhanced Edition</t>
  </si>
  <si>
    <t>049ND-6BRWR-7ENZI</t>
  </si>
  <si>
    <t>Remnant: From the Ashes</t>
  </si>
  <si>
    <t>QWCCY-XN8WW-7MIEE</t>
  </si>
  <si>
    <t>7HTJ4-P2DIM-5CBC8</t>
  </si>
  <si>
    <t>0CNTZ-K6KWN-HP73M</t>
  </si>
  <si>
    <t>balduraa</t>
  </si>
  <si>
    <t>balduraab</t>
  </si>
  <si>
    <t>MAH2V-IA9DD-7XFZB</t>
  </si>
  <si>
    <t>Age of Darkness: Final Stand</t>
  </si>
  <si>
    <t>6V4D4-AGCB9-IJY4Y</t>
  </si>
  <si>
    <t>43GEV-6I292-0ZKY5</t>
  </si>
  <si>
    <t>Rogue Lords</t>
  </si>
  <si>
    <t>Y0WZM-BVL4V-XBAW7</t>
  </si>
  <si>
    <t>KYZGY-443J9-EJ05D</t>
  </si>
  <si>
    <t>25WG7-X338J-99VPW</t>
  </si>
  <si>
    <t>The Last Campfire</t>
  </si>
  <si>
    <t>2LIJV-WYZCK-WX6TP</t>
  </si>
  <si>
    <t>MTXIX-8DI6B-92CZX</t>
  </si>
  <si>
    <t>YZ6GR-A939H-0GTDI</t>
  </si>
  <si>
    <t>5QGRA-JQ5L3-QY4QA</t>
  </si>
  <si>
    <t>Outriders EU</t>
  </si>
  <si>
    <t>3L5Y0-22B33-Y3XHR</t>
  </si>
  <si>
    <t>DVHCQ-BXYLP-GM2HG</t>
  </si>
  <si>
    <t>Q7BFN-4XGCG-LK6PK</t>
  </si>
  <si>
    <t>P6LG5-TWW35-3NN89</t>
  </si>
  <si>
    <t>G9HDT-K4IQZ-BNWEM</t>
  </si>
  <si>
    <t>G2ZR2-027CN-JRCAB</t>
  </si>
  <si>
    <t>WXVI5-0M3I3-IN242</t>
  </si>
  <si>
    <t>K9MVW-AZFBA-T9H8Y</t>
  </si>
  <si>
    <t>NI0NI-EW266-C6C6B</t>
  </si>
  <si>
    <t>QIDZ0-CDAYI-72ZYB</t>
  </si>
  <si>
    <t>RTBCL-WXZHH-AWZ7Y</t>
  </si>
  <si>
    <t>YT45T-YJQWL-TNBVL</t>
  </si>
  <si>
    <t>3YWXK-9XEY3-VRJLW</t>
  </si>
  <si>
    <t>VGE5C-ZDEGZ-6Y394</t>
  </si>
  <si>
    <t>4F8P2-IL28J-AI3X5</t>
  </si>
  <si>
    <t>RYH5P-6YW9E-93HN9</t>
  </si>
  <si>
    <t>LR6L0-24J60-5H0EE</t>
  </si>
  <si>
    <t>HJRGW-N2LVQ-P5HI2</t>
  </si>
  <si>
    <t>MHLEM-HEHCF-X6GAJ</t>
  </si>
  <si>
    <t>M6X9L-5CJK7-JIIPK</t>
  </si>
  <si>
    <t>CNFA9-D0I03-J9L0Y</t>
  </si>
  <si>
    <t>IHPVY-3DDVB-0LCR9</t>
  </si>
  <si>
    <t>3K28L-QMDDF-WFWQZ</t>
  </si>
  <si>
    <t>DNH8T-CXXM9-YL8L2</t>
  </si>
  <si>
    <t>04LRC-V9JW6-DA97A</t>
  </si>
  <si>
    <t>ECLX8-6XCZB-AL4F9</t>
  </si>
  <si>
    <t>B5MGP-XR4A3-695JF</t>
  </si>
  <si>
    <t>Q6BVY-3YNKZ-E6D0F</t>
  </si>
  <si>
    <t>QWPTA-I7755-3W3TI</t>
  </si>
  <si>
    <t>KQ52C-QCD0A-P0K60</t>
  </si>
  <si>
    <t>5JPP4-NYYRL-TB77K</t>
  </si>
  <si>
    <t>Second Extinction EU</t>
  </si>
  <si>
    <t>BYRP0-285FJ-3BXGA</t>
  </si>
  <si>
    <t>RG676-KIQH4-I8RBZ</t>
  </si>
  <si>
    <t>MHGQT-NB06I-076B4</t>
  </si>
  <si>
    <t>Murder by Numbers</t>
  </si>
  <si>
    <t>RBCAG-QA0WQ-K2QWY</t>
  </si>
  <si>
    <t>QTVRX-34T0Q-RHJGF</t>
  </si>
  <si>
    <t>HVHNG-4RBIK-W45K2</t>
  </si>
  <si>
    <t>MM8XN-KBI09-AMML3</t>
  </si>
  <si>
    <t>Broforce</t>
  </si>
  <si>
    <t>2BYGE-3PYRC-WDPRC</t>
  </si>
  <si>
    <t>WMGDV-2KWPY-AHPFB</t>
  </si>
  <si>
    <t>JFFBH-CKDZ5-BR4WF</t>
  </si>
  <si>
    <t>V4RMG-K6FQ3-RQD5N</t>
  </si>
  <si>
    <t>Necromunda: Hired Gun</t>
  </si>
  <si>
    <t>C7D9H-7FA3V-P3WDQ</t>
  </si>
  <si>
    <t>768D9-YGQ4W-QW97D</t>
  </si>
  <si>
    <t>Farming Simulator 19 Premium Edition</t>
  </si>
  <si>
    <t>FWV7L-KB29W-BZHET</t>
  </si>
  <si>
    <t>9EDIH-VL00I-Q2AM4</t>
  </si>
  <si>
    <t>LXM2X-HFVI5-VRAXV</t>
  </si>
  <si>
    <t>3HB4Z-ZTJQ4-B4QN3</t>
  </si>
  <si>
    <t>6ZBYB-NQMXB-F6QVE</t>
  </si>
  <si>
    <t>DY5Y0-V2E4Y-YLCKK</t>
  </si>
  <si>
    <t>YWKAZ-XY9YA-9R5DM</t>
  </si>
  <si>
    <t>DTGWG-G4TQV-V4RLZ</t>
  </si>
  <si>
    <t>JQIQQ-WG3TH-FIJDR</t>
  </si>
  <si>
    <t>REPXC-NXVDN-NXMBQ</t>
  </si>
  <si>
    <t>P42WX-4C5YB-T0P03</t>
  </si>
  <si>
    <t>Wild Guns Reloaded</t>
  </si>
  <si>
    <t>VH79R-08495-FDETF</t>
  </si>
  <si>
    <t>4EMMM-Y6DEH-2AIYG</t>
  </si>
  <si>
    <t>WJ7F2-2PFLF-PE3FY</t>
  </si>
  <si>
    <t>VN5BP-LPWX0-MGJJY</t>
  </si>
  <si>
    <t>DJKQL-RFWLV-VVI20</t>
  </si>
  <si>
    <t>Farming Simulator 19 Platinum Edition</t>
  </si>
  <si>
    <t>AE6GY-5679C-N22BN</t>
  </si>
  <si>
    <t>YYDQ4-JEZXD-4B9DN</t>
  </si>
  <si>
    <t>The Surge 2 Premium Edition</t>
  </si>
  <si>
    <t>Z2TFB-8W4QR-PJ74C</t>
  </si>
  <si>
    <t>N40BT-9QY0H-YWVRB</t>
  </si>
  <si>
    <t>Pumped BMX Pro</t>
  </si>
  <si>
    <t>XM4B3-8CTFM-4HGCT</t>
  </si>
  <si>
    <t>RK6NN-2M7X0-BRHI2</t>
  </si>
  <si>
    <t>5WDRD-7PYTD-F5BZM</t>
  </si>
  <si>
    <t>5GB3G-EM0RD-4ENZ7</t>
  </si>
  <si>
    <t>K90IQ-HIFAR-6MLW6</t>
  </si>
  <si>
    <t>T626G-QJHKN-CHZ2T</t>
  </si>
  <si>
    <t>W0ANB-APRN0-4HD88</t>
  </si>
  <si>
    <t>EV06E-GHG3W-PDALQ</t>
  </si>
  <si>
    <t>PDGPH-GIT4V-L7TGQ</t>
  </si>
  <si>
    <t>7Q6ED-DCLKB-PJ3KX</t>
  </si>
  <si>
    <t>Hover</t>
  </si>
  <si>
    <t>MPNNT-Q93I6-HD42C</t>
  </si>
  <si>
    <t>C4TIB-A5PNY-5YY66</t>
  </si>
  <si>
    <t>ANVJQ-Y6GTH-FC2G4</t>
  </si>
  <si>
    <t>P2XQ0-AFYDZ-VCPF6</t>
  </si>
  <si>
    <t>Death Stranding</t>
  </si>
  <si>
    <t>XTI48-QC9BB-55V2Z</t>
  </si>
  <si>
    <t>DB597-C2LR8-CZRPE</t>
  </si>
  <si>
    <t>R835G-YEA5M-0KJFB</t>
  </si>
  <si>
    <t>6EKJJ-TLQZI-7WKIR</t>
  </si>
  <si>
    <t>F1 2021</t>
  </si>
  <si>
    <t>2DT8E-QETZP-J6N03</t>
  </si>
  <si>
    <t>VPZ0C-88LIL-LPK7E</t>
  </si>
  <si>
    <t>4C4I9-2N2PR-QIDA0</t>
  </si>
  <si>
    <t>GYEGX-RV35K-97JMA</t>
  </si>
  <si>
    <t>3EFDM-DK0PT-QQ2EV</t>
  </si>
  <si>
    <t>Three Dead Zed</t>
  </si>
  <si>
    <t>EN8BF-NNNJ7-FL8KQ</t>
  </si>
  <si>
    <t>The Forgotten City</t>
  </si>
  <si>
    <t>65P3W-ZMI5K-4JEWG</t>
  </si>
  <si>
    <t>Disgaea 5 Complete: Digital Dood Edition</t>
  </si>
  <si>
    <t>KBV6H-7IZYB-579JR</t>
  </si>
  <si>
    <t>Lorelai</t>
  </si>
  <si>
    <t>27NJ3-AH9VJ-5T976</t>
  </si>
  <si>
    <t>NGXCC-T5TLF-MTJ6D</t>
  </si>
  <si>
    <t>H67FR-JW7RL-LA9Y6</t>
  </si>
  <si>
    <t>Wolfenstein 3D: Spear of Destiny</t>
  </si>
  <si>
    <t>VVLL9-YIBKH-XWMXY</t>
  </si>
  <si>
    <t>Geometric Feel the Beats</t>
  </si>
  <si>
    <t>0IMEQ-DLP2W-R6K9D</t>
  </si>
  <si>
    <t>8ZHHE-I5FF0-VGYN3</t>
  </si>
  <si>
    <t>Zombie Army 4: Dead War</t>
  </si>
  <si>
    <t>I872J-9A37E-FBMW9</t>
  </si>
  <si>
    <t>Fallback</t>
  </si>
  <si>
    <t>T9YD5-Y32XE-M6IYG</t>
  </si>
  <si>
    <t>24WTN-4KYM2-A00BI</t>
  </si>
  <si>
    <t>Yomawari: Midnight Shadows</t>
  </si>
  <si>
    <t>J3W9A-NY38R-22B3Y</t>
  </si>
  <si>
    <t>BYGZF-9CTAK-D004X</t>
  </si>
  <si>
    <t>N6APF-WI0PL-8FLIV</t>
  </si>
  <si>
    <t>BRE2M-NTAEQ-EJGWK</t>
  </si>
  <si>
    <t>HLLMZ-2NPNX-6H2GW</t>
  </si>
  <si>
    <t>9YF7N-JB7VK-29397</t>
  </si>
  <si>
    <t>AHNEK-N2465-3GZZ0</t>
  </si>
  <si>
    <t>GC8EJ-9NA49-FJHFK</t>
  </si>
  <si>
    <t>Z53D6-J7Q7W-Q6JFQ</t>
  </si>
  <si>
    <t>DR7Z5-09JCH-8DMCJ</t>
  </si>
  <si>
    <t>0LN7A-CIQNJ-AI8D6</t>
  </si>
  <si>
    <t>Iron Harvest</t>
  </si>
  <si>
    <t>IEK2J-799W5-RLAXK</t>
  </si>
  <si>
    <t>DPD5Y-DP4NN-NP6B0</t>
  </si>
  <si>
    <t>Borderlands 3 EU</t>
  </si>
  <si>
    <t>8LWVL-4LXV3-X034L</t>
  </si>
  <si>
    <t>Chernobylite</t>
  </si>
  <si>
    <t>JJ6E5-G7A83-72JWC</t>
  </si>
  <si>
    <t>R5GE0-JV8I5-2HEM7</t>
  </si>
  <si>
    <t>YBDR8-NEVTD-02HM9</t>
  </si>
  <si>
    <t>6PJ38-ZVEGG-JB9D7</t>
  </si>
  <si>
    <t>8HF02-JR9L0-WVIIY</t>
  </si>
  <si>
    <t>6F3KD-6M06Y-H56FX</t>
  </si>
  <si>
    <t>EGG7Q-QVR0V-T458D</t>
  </si>
  <si>
    <t>JXVLN-BPHPK-9J9MN</t>
  </si>
  <si>
    <t>4WCAR-Q9PHF-6KNMP</t>
  </si>
  <si>
    <t>EADXX-9GDQM-6WFZL</t>
  </si>
  <si>
    <t>JMPAG-Q3WWJ-76P0Q</t>
  </si>
  <si>
    <t>Battle Brothers</t>
  </si>
  <si>
    <t>JPYWG-97KMB-PVPBW</t>
  </si>
  <si>
    <t>0TWTJ-H76IR-HF838</t>
  </si>
  <si>
    <t>Phoenix Point: Year One Edition</t>
  </si>
  <si>
    <t>5EPL2-M6TB9-YLEC9</t>
  </si>
  <si>
    <t>Honey, I Joined a Cult</t>
  </si>
  <si>
    <t>P9V4T-GAXDN-6CNV5</t>
  </si>
  <si>
    <t>QCAXK-8XHPV-8XNWJ</t>
  </si>
  <si>
    <t>Z3JXN-IXNW7-HX2A0</t>
  </si>
  <si>
    <t>2KEED-WAZTM-LQV9I</t>
  </si>
  <si>
    <t>5Z8CW-DLF5L-N4WBB</t>
  </si>
  <si>
    <t>GreedFall</t>
  </si>
  <si>
    <t>2ND8D-CN7PJ-8MMN3</t>
  </si>
  <si>
    <t>Borderlands 3</t>
  </si>
  <si>
    <t>IPD6D-KLJTG-5MW8M</t>
  </si>
  <si>
    <t xml:space="preserve">JIP8T-AIPG2-7L6VE
</t>
  </si>
  <si>
    <t>7NBH2-ME7K2-VDWW8</t>
  </si>
  <si>
    <t>WZW88-CEMYD-NFYMJ</t>
  </si>
  <si>
    <t>PRIKZ-0AN94-GK33H</t>
  </si>
  <si>
    <t>V7VPV-CDGFC-L2XDE</t>
  </si>
  <si>
    <t>Insurgency: Sandstorm</t>
  </si>
  <si>
    <t>INQEL-F7PTJ-MHV60</t>
  </si>
  <si>
    <t>Tomb Raider: Anniversary</t>
  </si>
  <si>
    <t>R5FCN-WI5F7-6RE53</t>
  </si>
  <si>
    <t>R324N-7KB9C-ZW9B2</t>
  </si>
  <si>
    <t>Peaky Blinders: Mastermind</t>
  </si>
  <si>
    <t>AB5N9-KL5V8-8AP3Y</t>
  </si>
  <si>
    <t>Life is Strange 2 Complete Season</t>
  </si>
  <si>
    <t>29MBE-J8KMH-AWLAG</t>
  </si>
  <si>
    <t>J96BW-JV5HX-66GQN</t>
  </si>
  <si>
    <t>AVA60-3DVWB-ANLB8</t>
  </si>
  <si>
    <t>5P3YM-9GY2Z-CNRR7</t>
  </si>
  <si>
    <t>N63YN-KN6NQ-98V45</t>
  </si>
  <si>
    <t>IZIV8-FYXWP-XD3LC</t>
  </si>
  <si>
    <t>54B86-ZJ7G5-Q5QXK</t>
  </si>
  <si>
    <t>Prey EU</t>
  </si>
  <si>
    <t>3TCN0-V46H9-B3GFW</t>
  </si>
  <si>
    <t>NecroVision: Lost Company</t>
  </si>
  <si>
    <t>6QZ2R-ZGXZX-32FKG</t>
  </si>
  <si>
    <t>5A822-9MIRY-V483V</t>
  </si>
  <si>
    <t>F1 2021 Deluxe Edition</t>
  </si>
  <si>
    <t>VCV2L-PFW3H-WXQV0</t>
  </si>
  <si>
    <t>Age of Empires III: Definitive Edition</t>
  </si>
  <si>
    <t>8FCH3-6HYI4-BQ4AR</t>
  </si>
  <si>
    <t>Batman: Arkham Knight Premium Edition</t>
  </si>
  <si>
    <t>M6VXN-V4GLC-T9LEX</t>
  </si>
  <si>
    <t>DRIFT21 EU</t>
  </si>
  <si>
    <t>47AWI-EEJ9J-T5GXH</t>
  </si>
  <si>
    <t>4HCRN-RY4CT-IH05Q</t>
  </si>
  <si>
    <t>9FFLN-9HNPT-CCT8F</t>
  </si>
  <si>
    <t>YJXD3-AR2JQ-RI4ZY</t>
  </si>
  <si>
    <t>Demon Slayer -Kimetsu no Yaiba- The Hinokami Chronicles RoW</t>
  </si>
  <si>
    <t>LHRQ7-MABV6-KRE2X</t>
  </si>
  <si>
    <t>MCLK6-G95NZ-7C42C</t>
  </si>
  <si>
    <t>LA2CP-7T4JJ-Q754F</t>
  </si>
  <si>
    <t>PEL9W-6YBVJ-F5IXJ</t>
  </si>
  <si>
    <t>HIP9H-A5X0C-K7A6H</t>
  </si>
  <si>
    <t>This War of Mine: Complete Edition</t>
  </si>
  <si>
    <t>imbb2</t>
  </si>
  <si>
    <t>Chorus</t>
  </si>
  <si>
    <t>img3c</t>
  </si>
  <si>
    <t>img3d</t>
  </si>
  <si>
    <t>Sable</t>
  </si>
  <si>
    <t>5T32V-6I6ZM-DC6QH</t>
  </si>
  <si>
    <t>Patron</t>
  </si>
  <si>
    <t>40BB3-GM0A9-6K3TA</t>
  </si>
  <si>
    <t>XI0KW-3HG5Q-NKFCP</t>
  </si>
  <si>
    <t>Shadow Tactics: Blades of the Shogun - Aiko's Choice</t>
  </si>
  <si>
    <t>2M0IK-5HMKB-AEQ8P</t>
  </si>
  <si>
    <t>Destiny 2 - Bungie 30th Anniversary Pack DLC</t>
  </si>
  <si>
    <t>20JYJ-XNMWE-8RLIC</t>
  </si>
  <si>
    <t>Black Book</t>
  </si>
  <si>
    <t>66NCB-6L24M-3LW6I</t>
  </si>
  <si>
    <t>The Surge: Augmented Edition</t>
  </si>
  <si>
    <t>PB9JZ-MFW3C-GIY40</t>
  </si>
  <si>
    <t>XAZJJ-2W9K6-ATQMC</t>
  </si>
  <si>
    <t>ELPE7-V4CJW-WK7Y6</t>
  </si>
  <si>
    <t>RTM2G-DN2LM-WEQEM</t>
  </si>
  <si>
    <t>08F38-8XWXR-7TKBV</t>
  </si>
  <si>
    <t>Tails of Iron</t>
  </si>
  <si>
    <t>N95FR-JJFF5-0ZKJC</t>
  </si>
  <si>
    <t>IBVMB-9AR8V-9W9JB</t>
  </si>
  <si>
    <t>MACH9-6EXTR-G9AGY</t>
  </si>
  <si>
    <t>I6LZQ-7BX0D-YXP90</t>
  </si>
  <si>
    <t>Bug Fables: The Everlasting Sapling</t>
  </si>
  <si>
    <t>VV69X-VP3Z6-XQKAX</t>
  </si>
  <si>
    <t>UnderRail</t>
  </si>
  <si>
    <t>49L8I-HDMKC-GG6IZ</t>
  </si>
  <si>
    <t>KGMNL-8N2MR-G3R0N</t>
  </si>
  <si>
    <t>Edge of Eternity</t>
  </si>
  <si>
    <t>0TLB8-JPLT5-H4XBI</t>
  </si>
  <si>
    <t>XRPP8-0PHVJ-35RZF</t>
  </si>
  <si>
    <t>76VX4-NM6XA-X0PTT</t>
  </si>
  <si>
    <t>The Banner Saga 3 Legendary Edition</t>
  </si>
  <si>
    <t>LWXF6-KNM74-QVP4G</t>
  </si>
  <si>
    <t>GJDM2-59C86-HZKEC</t>
  </si>
  <si>
    <t>Tails of Iron EU</t>
  </si>
  <si>
    <t>J0K3E-LEIAL-5K4TM</t>
  </si>
  <si>
    <t>GUILTY GEAR -STRIVE-</t>
  </si>
  <si>
    <t>5NNBJ-Y7TCG-FFM9G</t>
  </si>
  <si>
    <t>Konung 3: Ties of the Dynasty</t>
  </si>
  <si>
    <t>FWWH7-QYAAH-P0YE7</t>
  </si>
  <si>
    <t>VF2C8-P3RF2-58MQT</t>
  </si>
  <si>
    <t>MX vs ATV All Out</t>
  </si>
  <si>
    <t>7PJE0-ZZLNN-H5GIH</t>
  </si>
  <si>
    <t>IN9C5-7I4CN-HJ8GY</t>
  </si>
  <si>
    <t>RESCUE TEAM: EVIL GENIUS</t>
  </si>
  <si>
    <t>VFY9V-F4V34-RQPRN</t>
  </si>
  <si>
    <t>AX2X6-RX08X-HPFQ2</t>
  </si>
  <si>
    <t>Beyond a Steel Sky</t>
  </si>
  <si>
    <t>NFGZA-W4ZMR-6FKAD</t>
  </si>
  <si>
    <t>BNVWJ-REXK5-F6W7L</t>
  </si>
  <si>
    <t>TD8N7-EVLBA-AJIHJ</t>
  </si>
  <si>
    <t>TLWFK-YQ0GK-57627</t>
  </si>
  <si>
    <t>Kingdom Come: Deliverance Royal Edition</t>
  </si>
  <si>
    <t>74ZHP-R2F4C-6YZJK</t>
  </si>
  <si>
    <t>B29DC-QN47E-T6KXL</t>
  </si>
  <si>
    <t>Neverwinter Nights: Enhanced Edition Digital Deluxe</t>
  </si>
  <si>
    <t>img1a</t>
  </si>
  <si>
    <t>0VJK2-4YCBW-VFNV6</t>
  </si>
  <si>
    <t>5ZCE3-F2A0F-2DG4J</t>
  </si>
  <si>
    <t>WP0ZK-Q2WZD-JC6IN</t>
  </si>
  <si>
    <t>XM703-0VTMI-R9858</t>
  </si>
  <si>
    <t>VPQH4-TQF7I-E2DCZ</t>
  </si>
  <si>
    <t>0T5PF-LF8NL-TG932</t>
  </si>
  <si>
    <t>PD0RH-5XYWL-MDTWQ</t>
  </si>
  <si>
    <t>G8NMG-JVBL0-72X92</t>
  </si>
  <si>
    <t>WAXMX-XR3XF-0XQGV</t>
  </si>
  <si>
    <t>J82NT-5GLJL-23KEC</t>
  </si>
  <si>
    <t>IXZIF-XC4FW-3B4HN</t>
  </si>
  <si>
    <t>The Elder Scrolls V: Skyrim VR</t>
  </si>
  <si>
    <t>HGD6R-24QHC-HEFG3</t>
  </si>
  <si>
    <t>3G93J-8Z7HR-8G6MH</t>
  </si>
  <si>
    <t>VXDI9-7GZX7-KGY5C</t>
  </si>
  <si>
    <t>Demon Slayer -Kimetsu no Yaiba- The Hinokami Chronicles: Digital Deluxe Edition RoW</t>
  </si>
  <si>
    <t>DLA70-RKECY-V6MND</t>
  </si>
  <si>
    <t>ALKFH-3ZKP8-PGVRB</t>
  </si>
  <si>
    <t>I53L7-0CZ7V-KE0X6</t>
  </si>
  <si>
    <t>The Walking Dead</t>
  </si>
  <si>
    <t>3DALM-FLCBQ-ZWX0T</t>
  </si>
  <si>
    <t>GBR09-Q8KQB-7A367</t>
  </si>
  <si>
    <t>042KY-NA2W4-98N9J</t>
  </si>
  <si>
    <t>WY4KH-HRGGC-VG77G</t>
  </si>
  <si>
    <t>IDQRI-KTTI5-X3VZ4</t>
  </si>
  <si>
    <t>LEGO Marvel Super Heroes 2 Deluxe Edition</t>
  </si>
  <si>
    <t>5Y363-J48CY-43TMI</t>
  </si>
  <si>
    <t>Z0ZLK-0ACKP-JD0M4</t>
  </si>
  <si>
    <t>B4A4Q-DNIIM-D22TT</t>
  </si>
  <si>
    <t>D3K7P-J9ITF-MJAM8</t>
  </si>
  <si>
    <t>I4HAG-E67HK-J8KD5</t>
  </si>
  <si>
    <t>Witch it</t>
  </si>
  <si>
    <t>39KWY-J7W5R-03FB8</t>
  </si>
  <si>
    <t>GAKZC-YCMZE-TBK26</t>
  </si>
  <si>
    <t>D7XYW-QHHTP-RZP94</t>
  </si>
  <si>
    <t>KQW0D-GBYX9-5PFDK</t>
  </si>
  <si>
    <t>Fall Guys: Ultimate Knockout</t>
  </si>
  <si>
    <t>EFD25-IRIE2-CRDW0</t>
  </si>
  <si>
    <t>B4FXT-YY2K4-2BNDP</t>
  </si>
  <si>
    <t>82YHL-MX7TR-9P3QX</t>
  </si>
  <si>
    <t>XDX9K-76TRM-YC8WM</t>
  </si>
  <si>
    <t>RYP80-95C9L-DNTMQ</t>
  </si>
  <si>
    <t>KeyWe EU</t>
  </si>
  <si>
    <t>E8JMH-LACJE-6Z00M</t>
  </si>
  <si>
    <t>XLE03-ZRAXK-4JGYZ</t>
  </si>
  <si>
    <t>LKNL7-B7WDJ-73LVV</t>
  </si>
  <si>
    <t>Youtubers Life 2</t>
  </si>
  <si>
    <t>8CCRK-4HZX7-BGB6L</t>
  </si>
  <si>
    <t>Sid Meier's Civilization VI</t>
  </si>
  <si>
    <t>THXWF-23THW-CZ0EY</t>
  </si>
  <si>
    <t>V4WFY-6IZJ3-XCMQ7</t>
  </si>
  <si>
    <t>FMAC8-BZ883-IFL4D</t>
  </si>
  <si>
    <t>P043E-ER03D-5B386</t>
  </si>
  <si>
    <t>Star Renegades Deluxe Edition</t>
  </si>
  <si>
    <t>IJN43-PWJD2-YPBFH</t>
  </si>
  <si>
    <t>6A7AR-J9WLW-0QR5R</t>
  </si>
  <si>
    <t>ILA2I-WZQAP-RPGGF</t>
  </si>
  <si>
    <t>The Elder Scrolls V: Skyrim Anniversary Edition EU</t>
  </si>
  <si>
    <t>L54FP-FNTB9-PENWM</t>
  </si>
  <si>
    <t>P0TGF-YLIL0-2EN9L</t>
  </si>
  <si>
    <t>DEJDE-YH7QD-WGRZ9</t>
  </si>
  <si>
    <t>YZK50-2V6FN-FDY9A</t>
  </si>
  <si>
    <t>Last Knight: Rogue Rider</t>
  </si>
  <si>
    <t>M7RZC-ZAIYW-888FH</t>
  </si>
  <si>
    <t>NVY0V-44ELP-BFZER</t>
  </si>
  <si>
    <t>Trash Sailors</t>
  </si>
  <si>
    <t>KR920-EAZDC-RW0QG</t>
  </si>
  <si>
    <t>ScourgeBringer</t>
  </si>
  <si>
    <t>KX8Q4-MBRBJ-M023P</t>
  </si>
  <si>
    <t>DA7KQ-5Z5E9-QW0MY</t>
  </si>
  <si>
    <t>47WVP-A7LDX-TGWC4</t>
  </si>
  <si>
    <t>EDEF7-J9MMW-CDBQ3</t>
  </si>
  <si>
    <t>57E8X-64ZQZ-KNQ9P</t>
  </si>
  <si>
    <t>Imga17a</t>
  </si>
  <si>
    <t>Clue/Cluedo: The Classic Mystery Game</t>
  </si>
  <si>
    <t>IYPRW-W33VZ-4F6TE</t>
  </si>
  <si>
    <t>ARMTW-K396D-5F8ZC</t>
  </si>
  <si>
    <t>KNQY7-6CM6Y-H804N</t>
  </si>
  <si>
    <t>PAN98-K8PXC-M832K</t>
  </si>
  <si>
    <t>EHGDA-44KMM-QZAL8</t>
  </si>
  <si>
    <t>JZ5KA-T7CJ0-WA8CA</t>
  </si>
  <si>
    <t>GNWVW-K0IGT-46LLJ</t>
  </si>
  <si>
    <t>Marvel Vs. Capcom: Infinite Deluxe Edition</t>
  </si>
  <si>
    <t>W6MBQ-2ML0G-J3QN4</t>
  </si>
  <si>
    <t>Ghosts 'n Goblins Resurrection</t>
  </si>
  <si>
    <t>AAPEI-8MLIN-86ZJF</t>
  </si>
  <si>
    <t>Imga20a</t>
  </si>
  <si>
    <t>Imga20b</t>
  </si>
  <si>
    <t>Imga20c</t>
  </si>
  <si>
    <t>Imga20d</t>
  </si>
  <si>
    <t>NXNY2-4R75M-VMDPH</t>
  </si>
  <si>
    <t>DZ69T-7NEE0-JLHWY</t>
  </si>
  <si>
    <t>PIXYR-NQ9MK-LMQV9</t>
  </si>
  <si>
    <t>WV2GH-E4KJW-HRGVZ</t>
  </si>
  <si>
    <t>90EXA-PR9Y3-V8FIG</t>
  </si>
  <si>
    <t>J0J56-BTVF7-6WW63</t>
  </si>
  <si>
    <t>D98JV-WE2KT-NFLGM</t>
  </si>
  <si>
    <t>5VI76-YZIK0-BQTNL</t>
  </si>
  <si>
    <t>NPAJL-E4VKA-GVP67</t>
  </si>
  <si>
    <t>TF0DK-MF7B9-M9VNZ</t>
  </si>
  <si>
    <t>LZKEZ-24HHC-YPDZ7</t>
  </si>
  <si>
    <t>H45KQ-45797-JNXXZ</t>
  </si>
  <si>
    <t>CLR53-7ZQIH-4R0D4</t>
  </si>
  <si>
    <t>TEW7J-6952G-3GLKY</t>
  </si>
  <si>
    <t>NBA 2K22 EU</t>
  </si>
  <si>
    <t>N7X4J-DR728-0Z2AW</t>
  </si>
  <si>
    <t>FQHH2-FVYEI-448Z7</t>
  </si>
  <si>
    <t>DCQIM-MRIZE-NB8EL</t>
  </si>
  <si>
    <t>IMC5P-ZDB7T-YX0EV</t>
  </si>
  <si>
    <t>98EVY-RVGLN-PQPCN</t>
  </si>
  <si>
    <t>QGYTZ-XJNWP-W0DBN</t>
  </si>
  <si>
    <t>DHRMJ-DFCFB-33GGC</t>
  </si>
  <si>
    <t>Serious Sam 4</t>
  </si>
  <si>
    <t>0Z3RC-LD422-IN3HD</t>
  </si>
  <si>
    <t>River City Ransom: Underground</t>
  </si>
  <si>
    <t>9MBMN-N3X5H-25A79</t>
  </si>
  <si>
    <t>XBLRI-WVIA9-YMB6F</t>
  </si>
  <si>
    <t>L8YY6-AAMBM-XWYH3</t>
  </si>
  <si>
    <t>FD4DG-34NB4-L2J7I</t>
  </si>
  <si>
    <t>KVJ9G-3YIVA-55E4P</t>
  </si>
  <si>
    <t>3RF3F-D3QV5-GCC4Y</t>
  </si>
  <si>
    <t>XCZXJ-LB9Q4-78RA6</t>
  </si>
  <si>
    <t>6VQAX-T7F8H-MWKVF</t>
  </si>
  <si>
    <t>M254C-QGTR6-TQCIC</t>
  </si>
  <si>
    <t>8ABHV-IDDMX-GBWCN</t>
  </si>
  <si>
    <t>JEVIY-7FQCN-RBZB7</t>
  </si>
  <si>
    <t>PlayStation Network Card Plus 14 Days Trial EU Card</t>
  </si>
  <si>
    <t>6GN2-LENJ-28NF</t>
  </si>
  <si>
    <t>REKF-3PN8-D2PR</t>
  </si>
  <si>
    <t>LTM5X-25R8I-63Q5A</t>
  </si>
  <si>
    <t>Train Simulator 2022</t>
  </si>
  <si>
    <t>B5QT6-YIJCC-BT4DV</t>
  </si>
  <si>
    <t>Driftland: The Magic Revival</t>
  </si>
  <si>
    <t>PLLZ3-H8QAY-87V5N</t>
  </si>
  <si>
    <t>House Flipper VR</t>
  </si>
  <si>
    <t>KIFMN-3MEXI-G3MQ9</t>
  </si>
  <si>
    <t>The Morrigan</t>
  </si>
  <si>
    <t>LWEZH-375WR-JIG3P</t>
  </si>
  <si>
    <t>Zero Caliber VR</t>
  </si>
  <si>
    <t>P8QNH-FKJ2L-VEPYY</t>
  </si>
  <si>
    <t>AL9Y6-PLCY9-3LR92</t>
  </si>
  <si>
    <t>0CWK3-XCJFA-24R54</t>
  </si>
  <si>
    <t>Raw Data</t>
  </si>
  <si>
    <t>6F0LG-LVPK0-DQIDM</t>
  </si>
  <si>
    <t>5IGGG-68A0J-7GLNZ</t>
  </si>
  <si>
    <t>Fling to the Finish</t>
  </si>
  <si>
    <t>VRRAA-Y9J2A-ZTDNB</t>
  </si>
  <si>
    <t>Evil Genius 2 Deluxe Edition</t>
  </si>
  <si>
    <t>7952E-03H70-F4V7C</t>
  </si>
  <si>
    <t>ML289-9M8B7-G4K7W</t>
  </si>
  <si>
    <t>VZ2BL-TTR25-9WTLF</t>
  </si>
  <si>
    <t>M254V-AGD3E-6BBQX</t>
  </si>
  <si>
    <t>7PJGA-Z3HVJ-Q4ZXI</t>
  </si>
  <si>
    <t>HHIG8-A6CZD-YBFVF</t>
  </si>
  <si>
    <t>DQHW5-Q284B-VDLEV</t>
  </si>
  <si>
    <t>Life is Strange: Before the Storm</t>
  </si>
  <si>
    <t>85AJX-GYA5E-2RB3F</t>
  </si>
  <si>
    <t>20RXY-2QM2F-K63KP</t>
  </si>
  <si>
    <t>4GQ2X-LH8JL-XCDZF</t>
  </si>
  <si>
    <t>IVV3P-PI7EB-V39TN</t>
  </si>
  <si>
    <t>Q474R-GL7MR-24PRE</t>
  </si>
  <si>
    <t>DK67N-3AP8I-WYKYB</t>
  </si>
  <si>
    <t>ILB48-2P9CA-4EY0D</t>
  </si>
  <si>
    <t>THE KING OF FIGHTERS Triple Pack</t>
  </si>
  <si>
    <t>img30a</t>
  </si>
  <si>
    <t>9YY20-6D3PZ-LIQLY</t>
  </si>
  <si>
    <t>HFH0Y-5AD6I-JXC0D</t>
  </si>
  <si>
    <t>CK44H-LLTWT-EFYFJ</t>
  </si>
  <si>
    <t>6IGNL-D6IHY-WVF6W</t>
  </si>
  <si>
    <t>H5PLM-G83XR-903VD</t>
  </si>
  <si>
    <t>img31a</t>
  </si>
  <si>
    <t>img31b</t>
  </si>
  <si>
    <t>Little Nightmares II</t>
  </si>
  <si>
    <t>2A3P4-GG46I-7WK24</t>
  </si>
  <si>
    <t>F5G46-CKM3K-67068</t>
  </si>
  <si>
    <t>PW9IG-ATQD7-NFJT9</t>
  </si>
  <si>
    <t>AMPCW-IN2GI-TKCYE</t>
  </si>
  <si>
    <t>YK3BP-32ERX-YHKZ8</t>
  </si>
  <si>
    <t>HRHB4-QGJF0-VX0FN</t>
  </si>
  <si>
    <t>LNDFP-BX6HW-WQYTJ</t>
  </si>
  <si>
    <t>0FXE2-0LIJ0-TDR9Z</t>
  </si>
  <si>
    <t>QEQKY-H0GGB-XMZTB</t>
  </si>
  <si>
    <t>4T4YQ-FILP3-MVGCN</t>
  </si>
  <si>
    <t>ZD7BY-LFIMA-09ZFX</t>
  </si>
  <si>
    <t>06RH7-CNC0D-4V5J8</t>
  </si>
  <si>
    <t>7J6QV-GQF8X-H3LDX</t>
  </si>
  <si>
    <t>5TLLP-CZPR7-5B490</t>
  </si>
  <si>
    <t>7HW7D-IKLYF-5WWA6</t>
  </si>
  <si>
    <t>JITG5-B7LJ6-HTCBM</t>
  </si>
  <si>
    <t>W7VYZ-9ECIL-FB4GQ</t>
  </si>
  <si>
    <t>8MVQI-HPF0N-08D5X</t>
  </si>
  <si>
    <t>Dick Wilde 2</t>
  </si>
  <si>
    <t>5QADW-6FIPF-AJGEM</t>
  </si>
  <si>
    <t>PCWWP-ENZIJ-VIBJE</t>
  </si>
  <si>
    <t>BDBAX-HIIMJ-DR8TG</t>
  </si>
  <si>
    <t>9EE5D-XGLQK-JAKGD</t>
  </si>
  <si>
    <t>SCARF</t>
  </si>
  <si>
    <t>ZQ7JP-NZ73Z-TGNKM</t>
  </si>
  <si>
    <t>C3PLN-9R97Q-J9DXK</t>
  </si>
  <si>
    <t>DADZC-I2ZPP-Y0BZ7</t>
  </si>
  <si>
    <t>6P64C-IME9P-NG6C5</t>
  </si>
  <si>
    <t>V3FWD-0566C-N79P5</t>
  </si>
  <si>
    <t>T5XC0-8IV30-R30RC</t>
  </si>
  <si>
    <t>Warhammer: Vermintide 2</t>
  </si>
  <si>
    <t>BTFMX-VM06V-ZQ56B</t>
  </si>
  <si>
    <t>2KPZK-LH9GH-J46CB</t>
  </si>
  <si>
    <t>BCM0X-909CQ-LFDTN</t>
  </si>
  <si>
    <t>EZZEQ-67FC4-LJVGT</t>
  </si>
  <si>
    <t>2TFHA-32A5A-HXFP4</t>
  </si>
  <si>
    <t>Post Scriptum</t>
  </si>
  <si>
    <t>8IXEB-J46AK-7YE5A</t>
  </si>
  <si>
    <t>ZM9EY-QZWZC-9Y9HQ</t>
  </si>
  <si>
    <t>K9GPB-TRJ6J-6QNYW</t>
  </si>
  <si>
    <t>Z49LE-KVFVC-C3JTI</t>
  </si>
  <si>
    <t>Sniper Elite 4 Deluxe Edition</t>
  </si>
  <si>
    <t>EHPEE-FG7KD-X4N33</t>
  </si>
  <si>
    <t>P63FI-7F637-A3BZT</t>
  </si>
  <si>
    <t>ALJLQ-RVLEJ-X8C54</t>
  </si>
  <si>
    <t>XDDKY-78X7M-RB5I2</t>
  </si>
  <si>
    <t>5340A-7V6FN-T2I6L</t>
  </si>
  <si>
    <t>Boomerang X</t>
  </si>
  <si>
    <t>0QG6L-J6BAM-27RQ9</t>
  </si>
  <si>
    <t>KZQM9-C24Q9-5BM8N</t>
  </si>
  <si>
    <t>3M5FZ-MX8MZ-5DL6E</t>
  </si>
  <si>
    <t>DCDBK-PLZ92-QE527</t>
  </si>
  <si>
    <t>6FA8Z-YETF8-2VFRZ</t>
  </si>
  <si>
    <t>6F9FH-WDC4Z-RTTFD</t>
  </si>
  <si>
    <t>6EKFA-AIDD4-N39I6</t>
  </si>
  <si>
    <t>6E6D4-5DZDQ-H9EFQ</t>
  </si>
  <si>
    <t>6DTXL-AW9NC-VWVNE</t>
  </si>
  <si>
    <t>6DAJK-KM5AZ-XT7WI</t>
  </si>
  <si>
    <t>QCEWL-08TCX-4CFB8</t>
  </si>
  <si>
    <t>T8RAT-ZR6D0-RL79H</t>
  </si>
  <si>
    <t>ARAZ9-QE8TT-I63G2</t>
  </si>
  <si>
    <t>A436H-0FVZH-ZVHVM</t>
  </si>
  <si>
    <t>EHRZ8-KD5HW-IJEHM</t>
  </si>
  <si>
    <t>AIELM-Q0N8P-7LK3W</t>
  </si>
  <si>
    <t>T47MB-PPQ3C-E9PNF</t>
  </si>
  <si>
    <t>Sid Meier's Civilization VI: Platinum Edition</t>
  </si>
  <si>
    <t>QFEF8-VFG84-5348D</t>
  </si>
  <si>
    <t>Y8L2C-P4IHG-RM8VL</t>
  </si>
  <si>
    <t>Kingdom Rush Frontiers</t>
  </si>
  <si>
    <t>390F0-0FP9W-RCBMY</t>
  </si>
  <si>
    <t>KeyWe</t>
  </si>
  <si>
    <t>KL9P4-GLYK5-40L3H</t>
  </si>
  <si>
    <t>FZ3IW-TCPTV-R2V2L</t>
  </si>
  <si>
    <t>4CGNI-CRFG8-97Z0Q</t>
  </si>
  <si>
    <t>5IM7X-9KM8I-FFNVE</t>
  </si>
  <si>
    <t>Q9ZC4-INHY2-E3H5C</t>
  </si>
  <si>
    <t>2D8RY-3GVNI-FZCE5</t>
  </si>
  <si>
    <t>Pure Farming 2018 Deluxe</t>
  </si>
  <si>
    <t>9Z6AA-BPW8A-NHWVA</t>
  </si>
  <si>
    <t>OlliOlli World</t>
  </si>
  <si>
    <t>H900R-BVQXG-9MPKR</t>
  </si>
  <si>
    <t>Mortal Shell</t>
  </si>
  <si>
    <t>8DK5L-ZFFYV-B9G66</t>
  </si>
  <si>
    <t>Berserk and the Band of the Hawk</t>
  </si>
  <si>
    <t>TV4FF-7ERFV-JE8BN</t>
  </si>
  <si>
    <t>img10aopt</t>
  </si>
  <si>
    <t>Craft The World</t>
  </si>
  <si>
    <t>4JRMA-3XRMK-M76M3</t>
  </si>
  <si>
    <t>Tricky Towers</t>
  </si>
  <si>
    <t>432YA-LK0FB-35ZV5</t>
  </si>
  <si>
    <t>XAGHM-AMQQD-32TCD</t>
  </si>
  <si>
    <t>Kardboard Kings: Card Shop Simulator</t>
  </si>
  <si>
    <t>Q5E9J-HKFE6-9QAAW</t>
  </si>
  <si>
    <t>LA4E7-A8A69-62XQT</t>
  </si>
  <si>
    <t>2DKM3-YWGLW-ZK387</t>
  </si>
  <si>
    <t>J757W-AXVZP-NNZQY</t>
  </si>
  <si>
    <t>TXYJZ-7QR0X-6PXPH</t>
  </si>
  <si>
    <t>8EMKD-9ZZYE-FCH24</t>
  </si>
  <si>
    <t>HRE0I-VMHY5-VITWP</t>
  </si>
  <si>
    <t>HLN0T-KQ2PT-68EHY</t>
  </si>
  <si>
    <t>YHZQ9-PF6WD-7I8T2</t>
  </si>
  <si>
    <t>FWAEN-Q7825-3FKWW</t>
  </si>
  <si>
    <t>PTVTF-DFW50-8L4RV</t>
  </si>
  <si>
    <t>WRC 9 FIA World Rally Championship Deluxe Edition</t>
  </si>
  <si>
    <t>43T6Z-LWC3Z-WVVQC</t>
  </si>
  <si>
    <t>JALNT-4G7MY-DAJBJ</t>
  </si>
  <si>
    <t>DN0GH-4DVFQ-QDVLQ</t>
  </si>
  <si>
    <t>4YZFW-PC35C-20HZC</t>
  </si>
  <si>
    <t>CR3BL-VWEBM-VWP76</t>
  </si>
  <si>
    <t>PFI4A-X59MM-IQKVW</t>
  </si>
  <si>
    <t>WJZXA-KV0NE-AEGXV</t>
  </si>
  <si>
    <t>FZB0L-M3TE9-4LVCQ</t>
  </si>
  <si>
    <t>NJI20-CW0HA-A7H30</t>
  </si>
  <si>
    <t>YYEAE-V49EQ-MPYAF</t>
  </si>
  <si>
    <t>FYQ70-CDEXF-0MYYG</t>
  </si>
  <si>
    <t>RLTGG-HEJBK-K5YIB</t>
  </si>
  <si>
    <t>JMFJ9-4ZZCL-32RF3</t>
  </si>
  <si>
    <t>ZCE7H-CHM8D-YWD6J</t>
  </si>
  <si>
    <t>Twelve Minutes</t>
  </si>
  <si>
    <t>R22CX-4C52E-27RVL</t>
  </si>
  <si>
    <t>QH2TX-WPIE6-G4B5T</t>
  </si>
  <si>
    <t>5LIHP-5VERZ-VECV2</t>
  </si>
  <si>
    <t>A3ZX8-IVII8-9G95N</t>
  </si>
  <si>
    <t>Resident Evil 3</t>
  </si>
  <si>
    <t>GX6CL-G39PX-D6TCC</t>
  </si>
  <si>
    <t>KDCVB-BH0M6-ZQGVQ</t>
  </si>
  <si>
    <t>CL56K-ML9MK-AGRIV</t>
  </si>
  <si>
    <t>Injustice 2 Ultimate Edition</t>
  </si>
  <si>
    <t>3Z7AN-9X6TW-ID257</t>
  </si>
  <si>
    <t>2EFAY-QALB0-QAB6I</t>
  </si>
  <si>
    <t>Cosmic Star Heroine</t>
  </si>
  <si>
    <t>95L4F-7EE8Y-025CJ</t>
  </si>
  <si>
    <t>JN06E-JYXLV-I759V</t>
  </si>
  <si>
    <t>KYMYG-YB0M7-FL4LR</t>
  </si>
  <si>
    <t>CF2A9-ZVVDI-EG86R</t>
  </si>
  <si>
    <t>Just Cause 4 Gold Edition EMEA</t>
  </si>
  <si>
    <t>6LCQF-PLKL9-PPVL9</t>
  </si>
  <si>
    <t>HJYET-8Y6PN-GRTND</t>
  </si>
  <si>
    <t>JTX0C-XT73G-VWRPV</t>
  </si>
  <si>
    <t>MFA4B-CLW6W-EGJR7</t>
  </si>
  <si>
    <t>P9M6L-4T3G7-QPCC0</t>
  </si>
  <si>
    <t>YF9DR-NKW67-5F6DR</t>
  </si>
  <si>
    <t>CPKFE-7F6GT-76INZ</t>
  </si>
  <si>
    <t>GRK46-H5DY9-JTGTE</t>
  </si>
  <si>
    <t>PK3P4-7QYRV-XD246</t>
  </si>
  <si>
    <t>TCDMX-LNKYM-5LBK2</t>
  </si>
  <si>
    <t>MIPZ8-WZC3H-BVQJK</t>
  </si>
  <si>
    <t>5F63H-KW63X-QRCRW</t>
  </si>
  <si>
    <t>Into the Breach</t>
  </si>
  <si>
    <t>2VKM0-D8WJJ-MGJ90</t>
  </si>
  <si>
    <t>XV8WT-VNQDM-0440Z</t>
  </si>
  <si>
    <t>L888N-TRG0P-A6THX</t>
  </si>
  <si>
    <t>I8CPY-AA2EM-YN958</t>
  </si>
  <si>
    <t>Post Scriptum Supporter Edition ROW</t>
  </si>
  <si>
    <t>NBNRP-ZNNLX-HY7QQ</t>
  </si>
  <si>
    <t>64WHZ-K35DG-BM0EF</t>
  </si>
  <si>
    <t>GGELM-8WN54-89YQA</t>
  </si>
  <si>
    <t>B3GZI-W04HV-X54K5</t>
  </si>
  <si>
    <t>CBY5X-QHTLM-8EE2H</t>
  </si>
  <si>
    <t>VRQJP-WDNAP-VC3X0</t>
  </si>
  <si>
    <t>Insurgency: Sandstorm Deluxe Edition</t>
  </si>
  <si>
    <t>38CJ4-VZ0ZL-XQRN9</t>
  </si>
  <si>
    <t>LZ7DN-DVM53-ZPCAB</t>
  </si>
  <si>
    <t>6JNET-9V0Z4-84JPV</t>
  </si>
  <si>
    <t>EZFKF-D7E6G-YZHBP</t>
  </si>
  <si>
    <t>EIDBC-G3RMG-LM2FM</t>
  </si>
  <si>
    <t>E04MV-A0IEW-GM02J</t>
  </si>
  <si>
    <t>FHFFN-Z238Y-F2NM3</t>
  </si>
  <si>
    <t>RKHYB-CYG4L-6T7GF</t>
  </si>
  <si>
    <t>F8CBB-F030Q-YX23F</t>
  </si>
  <si>
    <t>CALMB-PG2H3-HQDQ2</t>
  </si>
  <si>
    <t>F4R8G-LHYBW-HDJ68</t>
  </si>
  <si>
    <t>F6C83-C4TJ9-Z9ZPI</t>
  </si>
  <si>
    <t>EX0Z6-MRCI8-2ATVQ</t>
  </si>
  <si>
    <t>FBHA0-RFCZP-VLYT6</t>
  </si>
  <si>
    <t>DuckTales: Remastered</t>
  </si>
  <si>
    <t>NV3RP-VFLY5-B75J3</t>
  </si>
  <si>
    <t>GAPAL-WFHG3-QK3FX</t>
  </si>
  <si>
    <t>4RPWP-0KVAQ-AGW4E</t>
  </si>
  <si>
    <t>Destiny 2: Legacy Collection</t>
  </si>
  <si>
    <t>TT79B-7MEK9-4GBF8</t>
  </si>
  <si>
    <t>4B0L4-6KK4R-LGP0T</t>
  </si>
  <si>
    <t>JXBXE-TINLH-LPR65</t>
  </si>
  <si>
    <t>WHJT4-C8DCQ-HPV97</t>
  </si>
  <si>
    <t>WF6KV-TG7RN-VHDXF</t>
  </si>
  <si>
    <t>Syberia</t>
  </si>
  <si>
    <t>EQERJ-9XH9H-MCFFM</t>
  </si>
  <si>
    <t>AZ4J8-2A3DH-ZKYTL</t>
  </si>
  <si>
    <t>36Y68-M50TV-5TPG0</t>
  </si>
  <si>
    <t>9Q8V9-L2NPQ-GIJ63</t>
  </si>
  <si>
    <t>A7ERN-TE4G9-J8F8K</t>
  </si>
  <si>
    <t>EPJTF-WTTB0-DCRC0</t>
  </si>
  <si>
    <t>FFIJ7-C34DL-6ILDM</t>
  </si>
  <si>
    <t>F4WXE-E4PL6-V4JRM</t>
  </si>
  <si>
    <t>CTRV8-KMA8M-J63VW</t>
  </si>
  <si>
    <t>PRZEK-XWPQM-Z59Q6</t>
  </si>
  <si>
    <t>95T0A-I3VM3-3L2NZ</t>
  </si>
  <si>
    <t>Super Robot Wars 30</t>
  </si>
  <si>
    <t>6YFDK-FNFBY-0YR7B</t>
  </si>
  <si>
    <t>CELHE-M7AL0-EFBGT</t>
  </si>
  <si>
    <t>Martha Is Dead</t>
  </si>
  <si>
    <t>H2LBN-I7CZC-YBJ5R</t>
  </si>
  <si>
    <t>LDHAK-QBIN0-B0A7A</t>
  </si>
  <si>
    <t>Z5PNP-CDPR4-IEFZ9</t>
  </si>
  <si>
    <t>NLVGT-2ZV99-TMJET</t>
  </si>
  <si>
    <t>8IFVD-9BCX6-2P46Q</t>
  </si>
  <si>
    <t>F79ZD-4GHF9-7HFFJ</t>
  </si>
  <si>
    <t>BH3H5-0DLCJ-PYBQ9</t>
  </si>
  <si>
    <t>5X78T-RW2KR-8R55G</t>
  </si>
  <si>
    <t>PGA0J-A25ZP-BKQRF</t>
  </si>
  <si>
    <t>W6CP2-FQM6Z-NGMVA</t>
  </si>
  <si>
    <t>XRAHC-IC3NE-AH254</t>
  </si>
  <si>
    <t>TWC0T-EF8XT-AKNHA</t>
  </si>
  <si>
    <t>DD5CG-IVBIE-26MJQ</t>
  </si>
  <si>
    <t>L8AF4-VEP03-2LQXH</t>
  </si>
  <si>
    <t>2VWGR-DJJAE-ZPVBE</t>
  </si>
  <si>
    <t>NECROPOLIS: BRUTAL EDITION</t>
  </si>
  <si>
    <t>8P6GM-7W0CR-YZ2JL</t>
  </si>
  <si>
    <t>K2B4Q-2QDCG-EN7DY</t>
  </si>
  <si>
    <t>90ZZM-WZVZC-37M38</t>
  </si>
  <si>
    <t>IZ0KF-2263E-49QG6</t>
  </si>
  <si>
    <t>0EV2Q-20X9Q-AF4QP</t>
  </si>
  <si>
    <t>4AR8R-FJWQ3-V8NAI</t>
  </si>
  <si>
    <t>FQJ47-5P9N3-I675X</t>
  </si>
  <si>
    <t>EZ5BJ-IM5YE-ECYHD</t>
  </si>
  <si>
    <t>5CFVY-G54ZR-IGFVF</t>
  </si>
  <si>
    <t>Main Assembly</t>
  </si>
  <si>
    <t>ZFFAJ-JDIM5-ZR3DC</t>
  </si>
  <si>
    <t>VDKDW-Y6C4A-YQV3G</t>
  </si>
  <si>
    <t>GF86V-52J0A-3ML9H</t>
  </si>
  <si>
    <t>AW03Q-DAJJ4-TN6RL</t>
  </si>
  <si>
    <t>JF6XK-D27CI-Y7KHZ</t>
  </si>
  <si>
    <t>Metal Gear Rising Revengeance</t>
  </si>
  <si>
    <t>RJ5XE-B8KBA-NQZJX</t>
  </si>
  <si>
    <t>RWREJ-W2I9H-KRAF3</t>
  </si>
  <si>
    <t>XCOM 2 Collection</t>
  </si>
  <si>
    <t>KFLH6-P2IW3-EXCNT</t>
  </si>
  <si>
    <t>GQQGE-VBHJ9-JGZRE</t>
  </si>
  <si>
    <t>9X8VA-D5LV8-64L33</t>
  </si>
  <si>
    <t>5W8T9-H3FFZ-F5A97</t>
  </si>
  <si>
    <t>HC7PQ-HEMDQ-V0Y24</t>
  </si>
  <si>
    <t>QXMYG-PNE4K-YEIG3</t>
  </si>
  <si>
    <t>VFP2R-PMCJ5-YG7JJ</t>
  </si>
  <si>
    <t>7J80A-7P9TM-7ABWX</t>
  </si>
  <si>
    <t>CTJ9P-PKKCB-WF350</t>
  </si>
  <si>
    <t>RYW7Z-HZQEJ-J5QI6</t>
  </si>
  <si>
    <t>DKQHQ-JHT79-3DGDV</t>
  </si>
  <si>
    <t>LRMA9-3MLRN-JIATX</t>
  </si>
  <si>
    <t>JG5HR-625TN-7492Y</t>
  </si>
  <si>
    <t>JRBLV-NN5LZ-W7Q4V</t>
  </si>
  <si>
    <t>YGZEQ-MH2IH-N2ACK</t>
  </si>
  <si>
    <t>Hearts of Iron IV: Cadet Edition</t>
  </si>
  <si>
    <t>4WK2F-BFK0Q-GRIP6</t>
  </si>
  <si>
    <t>EKLXT-W8534-CV282</t>
  </si>
  <si>
    <t>3XX7C-VBKRX-A8Y8K</t>
  </si>
  <si>
    <t>HCEQY-GCDR3-A3F7E</t>
  </si>
  <si>
    <t>Sid Meier's Civilization VI Digital Deluxe Edition</t>
  </si>
  <si>
    <t>W87X8-2HI7I-72HBR</t>
  </si>
  <si>
    <t>865QJ-N626P-ZYNX4</t>
  </si>
  <si>
    <t>5FGHT-WA32P-JRTLN</t>
  </si>
  <si>
    <t>NTEYV-VNNIM-RR372</t>
  </si>
  <si>
    <t>RAXXF-98TF7-4V2T3</t>
  </si>
  <si>
    <t>GBWX4-6NAT7-JF2BT</t>
  </si>
  <si>
    <t>20EYY-27CVJ-EJL6K</t>
  </si>
  <si>
    <t>ZP4HE-9ZYNR-JI6HD</t>
  </si>
  <si>
    <t>JR83N-PMZ4M-ZK7YM</t>
  </si>
  <si>
    <t>I80QZ-PGFX4-F53RB</t>
  </si>
  <si>
    <t>QQAP5-RLBWB-4XZ3F</t>
  </si>
  <si>
    <t>3DBKH-VPBWA-085JC</t>
  </si>
  <si>
    <t>06MWY-2C2P3-L3G3Y</t>
  </si>
  <si>
    <t>E0434-6EZEA-TXZ5K</t>
  </si>
  <si>
    <t>N6T9J-3TIXR-BCNQN</t>
  </si>
  <si>
    <t>5CJNL-V7C3B-ICL7N</t>
  </si>
  <si>
    <t>6Q06L-BVBF4-GTDQ4</t>
  </si>
  <si>
    <t>MK0QL-BH5KP-NVK9L</t>
  </si>
  <si>
    <t>TWFVR-CX53A-335XV</t>
  </si>
  <si>
    <t>0PBCI-3RJM3-267Y2</t>
  </si>
  <si>
    <t>MZQMR-EEFF3-KP2AB</t>
  </si>
  <si>
    <t>Devil May Cry HD Collection</t>
  </si>
  <si>
    <t>8Q0ZC-H4V7Q-JPDC9</t>
  </si>
  <si>
    <t>RXP0N-M3L02-H6D73</t>
  </si>
  <si>
    <t>59KZE-8NKKE-2MAD2</t>
  </si>
  <si>
    <t>B0J2Y-RQ2D3-RRA9N</t>
  </si>
  <si>
    <t>3QZI2-HRLHP-W5MZZ</t>
  </si>
  <si>
    <t>M23XY-NWMKF-0NWX2</t>
  </si>
  <si>
    <t>PHD6H-LPFDK-CXK2M</t>
  </si>
  <si>
    <t>0BAZV-VJ4YH-LZWP3</t>
  </si>
  <si>
    <t>H33IX-RA5KF-M7D6X</t>
  </si>
  <si>
    <t>FGDZ6-VZFZA-0L9CA</t>
  </si>
  <si>
    <t>Q7MTC-PEN7R-I2BLL</t>
  </si>
  <si>
    <t>Wartales</t>
  </si>
  <si>
    <t>YJIWL-Q2426-3HWMY</t>
  </si>
  <si>
    <t>Hidden Deep</t>
  </si>
  <si>
    <t>7PGA2-NXFGY-6V6M2</t>
  </si>
  <si>
    <t>Steel Division: Normandy 44 Digital Deluxe</t>
  </si>
  <si>
    <t>MIXWT-GTJNR-0QDXI</t>
  </si>
  <si>
    <t>YKML0-A8CKQ-0AMAH</t>
  </si>
  <si>
    <t>KGLXM-F0KZF-LWT2T</t>
  </si>
  <si>
    <t>The Ascent</t>
  </si>
  <si>
    <t>HPABC-75ARM-6A8YP</t>
  </si>
  <si>
    <t>2HERG-C4DE4-X9MZ6</t>
  </si>
  <si>
    <t>RTLJT-KAE8G-WZK5J</t>
  </si>
  <si>
    <t>Two Point Hospital</t>
  </si>
  <si>
    <t>YLCIB-20BWT-A336Q</t>
  </si>
  <si>
    <t>Trailmakers</t>
  </si>
  <si>
    <t>BNKH6-0N49A-V59V2</t>
  </si>
  <si>
    <t>5G2AN-YF7FH-AVGPN</t>
  </si>
  <si>
    <t>8P04K-YGGPE-BXP9J</t>
  </si>
  <si>
    <t>Shadow Warrior 2 Deluxe Edition</t>
  </si>
  <si>
    <t>YGKZF-G8VNC-D2PW7</t>
  </si>
  <si>
    <t>IV09M-LL3XW-ZCX5D</t>
  </si>
  <si>
    <t>IIIAI-27A97-ZDV70</t>
  </si>
  <si>
    <t>HW0E6-MK57G-RR2G2</t>
  </si>
  <si>
    <t>GX4Q0-GMB8J-X7379</t>
  </si>
  <si>
    <t>67X2F-WRP99-A8C6K</t>
  </si>
  <si>
    <t>BGRDG-28LK4-CE2E2</t>
  </si>
  <si>
    <t>6FP8Y-ZRXRF-6PZBC</t>
  </si>
  <si>
    <t>NDWTP-NI32Z-N4EEH</t>
  </si>
  <si>
    <t>MYGGY-INYZM-5A7ZZ</t>
  </si>
  <si>
    <t>MP22D-LZZQ7-PNJ7C</t>
  </si>
  <si>
    <t>MF9I6-3GAYR-32TQ0</t>
  </si>
  <si>
    <t>ZLGIW-688Q3-2R4YH</t>
  </si>
  <si>
    <t>PYDTQ-4CQFM-75AMM</t>
  </si>
  <si>
    <t>4Z98A-F90A2-BAH2P</t>
  </si>
  <si>
    <t>TZFCN-6EFV9-QNQG3</t>
  </si>
  <si>
    <t>80TAI-7T20Q-75XH0</t>
  </si>
  <si>
    <t>HCVCM-YJPZA-4AYTG</t>
  </si>
  <si>
    <t>0WED0-ZTND0-VRK40</t>
  </si>
  <si>
    <t>WCK3C-PY0Z8-76II2</t>
  </si>
  <si>
    <t>HMNBJ-MKMBZ-WJNAC</t>
  </si>
  <si>
    <t>G09ZP-PTIQX-JRAB9</t>
  </si>
  <si>
    <t>D7HD0-5GMX8-6P6VF</t>
  </si>
  <si>
    <t>I am Setsuna Collector's Edition</t>
  </si>
  <si>
    <t>HWNDQ-W2KRY-FEJBF</t>
  </si>
  <si>
    <t>Roboquest</t>
  </si>
  <si>
    <t>RQH7M-5G59C-VZLX9</t>
  </si>
  <si>
    <t>BB9G3-7EPFH-8XRD7</t>
  </si>
  <si>
    <t>R0H6V-HDXLF-AP2QD</t>
  </si>
  <si>
    <t>CP7JM-4YWDB-LK5E0</t>
  </si>
  <si>
    <t>H7WEN-DG7D0-667GP</t>
  </si>
  <si>
    <t>8ENE8-9DFFZ-AWYEG</t>
  </si>
  <si>
    <t>ZLGMA-A24LR-RWPAG</t>
  </si>
  <si>
    <t>Destiny 2: Legendary Edition EU</t>
  </si>
  <si>
    <t>33DVV-VEHAE-EK0B4</t>
  </si>
  <si>
    <t>VFX4L-2Y98B-KQN8D</t>
  </si>
  <si>
    <t>L7LEB-DYGP3-AG4CY</t>
  </si>
  <si>
    <t>62KBZ-PXCN6-0W6XQ</t>
  </si>
  <si>
    <t>8ER45-7JHYQ-XFM8H</t>
  </si>
  <si>
    <t>KKHR5-7XRY7-6ERPZ</t>
  </si>
  <si>
    <t>AE8VK-PCG0C-2RILI</t>
  </si>
  <si>
    <t>6WP3Q-R0T8Y-QAXJV</t>
  </si>
  <si>
    <t>D3D8E-YK95B-EZ7NL</t>
  </si>
  <si>
    <t>2LAGJ-3KAQA-VWT2W</t>
  </si>
  <si>
    <t>JHV8Z-XJEPZ-JARJR</t>
  </si>
  <si>
    <t>7QPGZ-7ZVWW-ML3AT</t>
  </si>
  <si>
    <t>YP0TF-A39CE-CN8DV</t>
  </si>
  <si>
    <t>INVXP-RGDQX-A3RTP</t>
  </si>
  <si>
    <t>JJ9FJ-B4IP9-VTF6Q</t>
  </si>
  <si>
    <t>C9WMI-RX86J-FAP3G</t>
  </si>
  <si>
    <t>6K4IL-YKNFR-QL7QD</t>
  </si>
  <si>
    <t>A7NAP-MKJGA-IV53K</t>
  </si>
  <si>
    <t>3XTCG-BIPIZ-XJ9AY</t>
  </si>
  <si>
    <t>Z9VHJ-F9H28-ZA4BJ</t>
  </si>
  <si>
    <t>Football Manager 2022 EU</t>
  </si>
  <si>
    <t>imgpng</t>
  </si>
  <si>
    <t>JHFZA-BHCY0-WK8MB</t>
  </si>
  <si>
    <t>7G4VH-VAI5T-XEAGM</t>
  </si>
  <si>
    <t>3T99X-4V2HW-A5BCQ</t>
  </si>
  <si>
    <t>Coromon</t>
  </si>
  <si>
    <t>EMFLT-VPRRI-WJZ84</t>
  </si>
  <si>
    <t>House Party</t>
  </si>
  <si>
    <t>85EN5-JN9YZ-55YAV</t>
  </si>
  <si>
    <t>Metal Gear Rising Revengeance EU</t>
  </si>
  <si>
    <t>7P38N-N96L6-9IG33</t>
  </si>
  <si>
    <t>MQ220-F6QKW-5E5YZ</t>
  </si>
  <si>
    <t>Streets of Rogue</t>
  </si>
  <si>
    <t>LFQW7-MJKPP-WQ2FK</t>
  </si>
  <si>
    <t>4Z7A7-H3FLD-0I85I</t>
  </si>
  <si>
    <t>BDBPK-A6VWA-PE37V</t>
  </si>
  <si>
    <t>QIMWK-M3JHZ-J9DDL</t>
  </si>
  <si>
    <t>CB90W-R8MYC-WLF49</t>
  </si>
  <si>
    <t>4W58W-C2XIF-FIBX9</t>
  </si>
  <si>
    <t>M6Q8X-390Z0-G3RAI</t>
  </si>
  <si>
    <t>KMHIH-LAL9R-IFZ7L</t>
  </si>
  <si>
    <t>KDVFG-FILX9-7LDDX</t>
  </si>
  <si>
    <t>M6Z40-3PG6C-BRKPF</t>
  </si>
  <si>
    <t>WRMTX-PM0RV-6QJIL</t>
  </si>
  <si>
    <t>D4KAX-59Y9H-V7KAT</t>
  </si>
  <si>
    <t>32FHY-5N39M-CHXB7</t>
  </si>
  <si>
    <t>79RMX-7YZYJ-N3EMA</t>
  </si>
  <si>
    <t>7LQRR-TTN90-EYPLQ</t>
  </si>
  <si>
    <t>Drug Dealer Simulator</t>
  </si>
  <si>
    <t>ERYZI-53HWA-MA6CC</t>
  </si>
  <si>
    <t>95NXK-YD4CP-2L30Z</t>
  </si>
  <si>
    <t>TLKI6-FHBQX-80ZDD</t>
  </si>
  <si>
    <t>A65WI-KPYWL-24N0N</t>
  </si>
  <si>
    <t>6IHMJ-3PVER-CFPRC</t>
  </si>
  <si>
    <t>6H7D6-KD2WJ-HCMNK</t>
  </si>
  <si>
    <t>6RBZC-P2YEI-QVP3R</t>
  </si>
  <si>
    <t>90YHF-BBYCW-H08IL</t>
  </si>
  <si>
    <t>436CH-JB78W-PGQE0</t>
  </si>
  <si>
    <t>DI3Q4-B06CN-84CNY</t>
  </si>
  <si>
    <t>Filament</t>
  </si>
  <si>
    <t>7RY7H-P2BK8-CIB60</t>
  </si>
  <si>
    <t>E88W5-GG0QT-20KPG</t>
  </si>
  <si>
    <t>key1</t>
  </si>
  <si>
    <t>key2</t>
  </si>
  <si>
    <t>key3</t>
  </si>
  <si>
    <t>J68FN-VQ4Y6-3ITQP</t>
  </si>
  <si>
    <t>97CZA-4IBPH-3GFI8</t>
  </si>
  <si>
    <t>JJLMM-5FLKZ-IZREM</t>
  </si>
  <si>
    <t>Transport Fever 2 EU</t>
  </si>
  <si>
    <t>WRGXR-NAT8Q-WW7IL</t>
  </si>
  <si>
    <t>3ZPZD-MPJA2-TCJDJ</t>
  </si>
  <si>
    <t>FHIQK-YW6Q8-TE7P0</t>
  </si>
  <si>
    <t>Neighbours Back From Hell</t>
  </si>
  <si>
    <t>35K6E-VRLA9-XR7CL</t>
  </si>
  <si>
    <t>A2L6L-XG4HA-TTTZZ</t>
  </si>
  <si>
    <t>BN9VX-JLDYH-0284X</t>
  </si>
  <si>
    <t>9N6KF-K9742-6Y277</t>
  </si>
  <si>
    <t>T2Q8J-JEHG2-0KJDZ</t>
  </si>
  <si>
    <t>8T7QW-KJL7V-A4IRV</t>
  </si>
  <si>
    <t>6TJZG-RBEWM-ZT4KW</t>
  </si>
  <si>
    <t>95390-7Y9Z9-F73IG</t>
  </si>
  <si>
    <t>8NB7H-J9B34-IF8WM</t>
  </si>
  <si>
    <t>NCJ4L-F8JH0-EA8DQ</t>
  </si>
  <si>
    <t>YEN3R-AJ2IL-N7JVW</t>
  </si>
  <si>
    <t>2HJ8X-0FN2M-D7B2A</t>
  </si>
  <si>
    <t>XZDXE-0QT25-7PQGB</t>
  </si>
  <si>
    <t>ILFHE-PP22E-8F3Z5</t>
  </si>
  <si>
    <t>54AGP-XINFZ-7ZAD0</t>
  </si>
  <si>
    <t>VREIH-ZHPAW-L00LA</t>
  </si>
  <si>
    <t>War for the Overworld Ultimate Edition</t>
  </si>
  <si>
    <t>IT0F0-XVEAT-XTPT3</t>
  </si>
  <si>
    <t>F6GXT-YNV59-G3VCW</t>
  </si>
  <si>
    <t>2937F-NZ5L2-RZ5L6</t>
  </si>
  <si>
    <t>HC2BR-3RRPF-5H533</t>
  </si>
  <si>
    <t>PQVYP-F0970-W6JMM</t>
  </si>
  <si>
    <t>0D9LK-RY2ZG-0KF24</t>
  </si>
  <si>
    <t>HQ2EN-PH5Q3-WC599</t>
  </si>
  <si>
    <t>4C2B5-C6RJI-Y406B</t>
  </si>
  <si>
    <t>EG9WA-7CW4J-IRG9H</t>
  </si>
  <si>
    <t>NDA64-M2NCI-PVKWN</t>
  </si>
  <si>
    <t>VLR4A-GK4JV-E6PI0</t>
  </si>
  <si>
    <t>GKQ8L-8FH00-26JN2</t>
  </si>
  <si>
    <t>VRMQB-QQ2AP-CXGQE</t>
  </si>
  <si>
    <t>N8F2C-DQKAB-0GLKI</t>
  </si>
  <si>
    <t>The House of Da Vinci 2</t>
  </si>
  <si>
    <t>LJY3F-IL3KE-MFIJH</t>
  </si>
  <si>
    <t>8E76E-H89XA-7ETCF</t>
  </si>
  <si>
    <t>0ZC8V-X2QK5-LR43M</t>
  </si>
  <si>
    <t>TEKKEN 7 Ultimate Edition</t>
  </si>
  <si>
    <t>7XAN6-RZ84F-FZNQL</t>
  </si>
  <si>
    <t>4TDTE-60FLW-7IYRH</t>
  </si>
  <si>
    <t>BDY90-YI4RA-2PR3G</t>
  </si>
  <si>
    <t>F7CWE-A2RAC-VYKLB</t>
  </si>
  <si>
    <t>MIDAE-GFFV0-WH0MK</t>
  </si>
  <si>
    <t>RFMRZ-4G7B9-H2XL8</t>
  </si>
  <si>
    <t>5TKGI-TRQQ6-N99IF</t>
  </si>
  <si>
    <t>YQBVR-LP7EP-EBE5D</t>
  </si>
  <si>
    <t>BTVRN-7GW5A-HVC2T</t>
  </si>
  <si>
    <t>CE2G7-LNJRD-4QEPD</t>
  </si>
  <si>
    <t>R9I64-PMK33-PT2FM</t>
  </si>
  <si>
    <t>4CM96-F9N8T-NKD9E</t>
  </si>
  <si>
    <t>The Dark Pictures Anthology: House of Ashes</t>
  </si>
  <si>
    <t>8JDYX-NQCGJ-I8AFA</t>
  </si>
  <si>
    <t>8Z9V6-Q2LQB-47KW7</t>
  </si>
  <si>
    <t>K0I8V-6TTNW-4BQKJ</t>
  </si>
  <si>
    <t>T529J-LKIJV-XP5X9</t>
  </si>
  <si>
    <t>IA69N-DPVPK-YYLJA</t>
  </si>
  <si>
    <t>VLZLI-NGQD0-6KC2G</t>
  </si>
  <si>
    <t>N6Y0Z-NALNR-KX25Y</t>
  </si>
  <si>
    <t>RQ72R-Z55MC-6867X</t>
  </si>
  <si>
    <t>VCHHI-XDXJ0-3Y0ED</t>
  </si>
  <si>
    <t>Before Your Eyes EU</t>
  </si>
  <si>
    <t>0GCXD-PC8YW-QLW7Y</t>
  </si>
  <si>
    <t>BC32Z-WNRG7-Y2EZM</t>
  </si>
  <si>
    <t>RWJ7F-8VYN7-TDJC3</t>
  </si>
  <si>
    <t>AN0FW-HL2A7-VGCW5</t>
  </si>
  <si>
    <t>FQBLN-W5TJL-7Q9ER</t>
  </si>
  <si>
    <t>HBC68-AWM79-GTGDG</t>
  </si>
  <si>
    <t>R7Z2W-422EG-6K3P3</t>
  </si>
  <si>
    <t>8M2EM-P08TW-QCZK8</t>
  </si>
  <si>
    <t>Paint the Town Red</t>
  </si>
  <si>
    <t>3IYKT-HJMTG-D3DY5</t>
  </si>
  <si>
    <t>WACRX-R2J4K-98K86</t>
  </si>
  <si>
    <t>Q0IPN-VR0YW-5K69C</t>
  </si>
  <si>
    <t>D8XGT-FB4NC-GF3IM</t>
  </si>
  <si>
    <t>TNKE7-LNNLN-3Q2B8</t>
  </si>
  <si>
    <t>Northgard</t>
  </si>
  <si>
    <t>4PBI4-375IM-C0KQ4</t>
  </si>
  <si>
    <t>8ACRG-N5L80-KDZ2X</t>
  </si>
  <si>
    <t>2V008-EH5VZ-IM9M2</t>
  </si>
  <si>
    <t>8D67E-YIBB2-3IHZ3</t>
  </si>
  <si>
    <t>FTGPD-WRE27-8FFJ3</t>
  </si>
  <si>
    <t>RCHJF-68M9W-HJNFJ</t>
  </si>
  <si>
    <t>IZ9VL-3AHE6-TFTP9</t>
  </si>
  <si>
    <t>FC8L5-NXZAY-7H5W7</t>
  </si>
  <si>
    <t>L886B-DM777-00XNQ</t>
  </si>
  <si>
    <t>YEV2X-LY5MI-D2Q0I</t>
  </si>
  <si>
    <t>WL9FE-VY00R-6BPVV</t>
  </si>
  <si>
    <t>VEQ33-AN733-C386J</t>
  </si>
  <si>
    <t>V5PQP-NRNF7-7BTWW</t>
  </si>
  <si>
    <t>334XP-EEPP6-HN7HR</t>
  </si>
  <si>
    <t>Q2638-9PAG4-WLTBV</t>
  </si>
  <si>
    <t>Z40QC-F2GD7-K65TV</t>
  </si>
  <si>
    <t>ZTW8P-J7LR9-YZNRB</t>
  </si>
  <si>
    <t>35WBB-CVWW4-GNRQG</t>
  </si>
  <si>
    <t>AP7DQ-5WWG5-XEAYZ</t>
  </si>
  <si>
    <t>Q50J3-PZEG8-3Q5L4</t>
  </si>
  <si>
    <t>LVWPG-8Y7TB-65QF8</t>
  </si>
  <si>
    <t>WI8XW-7NPLP-BQIPJ</t>
  </si>
  <si>
    <t>2RKJ7-H6I62-9LXTD</t>
  </si>
  <si>
    <t>Pathfinder: Kingmaker Enhanced Plus Edition</t>
  </si>
  <si>
    <t>N5K2B-J0CK5-9APDB</t>
  </si>
  <si>
    <t>N30CM-VVMMQ-DCHDB</t>
  </si>
  <si>
    <t>Stronghold: Warlords</t>
  </si>
  <si>
    <t>PRMZT-HHIKW-NWCTF</t>
  </si>
  <si>
    <t>Fallout 4 VR</t>
  </si>
  <si>
    <t>World War Z: Aftermath Deluxe Edition</t>
  </si>
  <si>
    <t>GZ0X4-RF5ME-7K35L</t>
  </si>
  <si>
    <t>7FXRE-8J8G9-0RFR6</t>
  </si>
  <si>
    <t>2EFR6-NPX0K-NDWP7</t>
  </si>
  <si>
    <t>MZFXP-DTQ00-N0IAD</t>
  </si>
  <si>
    <t>Spirit of the North</t>
  </si>
  <si>
    <t>NN5VZ-7NFGP-W0KEI</t>
  </si>
  <si>
    <t>PA6RB-GPKZP-ETHP2</t>
  </si>
  <si>
    <t>9JM7N-ZDYEP-ZT4FP</t>
  </si>
  <si>
    <t>7X8KQ-W2L0W-C7EIR</t>
  </si>
  <si>
    <t>The Red Strings Club</t>
  </si>
  <si>
    <t>ELHA4-49G98-FV3LT</t>
  </si>
  <si>
    <t>DN9QJ-Z3V7V-XVRLN</t>
  </si>
  <si>
    <t>440AQ-QJGRL-B599C</t>
  </si>
  <si>
    <t>PNEZL-TCCXL-TREWC</t>
  </si>
  <si>
    <t>M7Z68-YZTRC-D6Z0A</t>
  </si>
  <si>
    <t>9V5QE-XKT8M-JHFRQ</t>
  </si>
  <si>
    <t>IWLTN-C04TE-FJCD2</t>
  </si>
  <si>
    <t>6BVZK-0XZJ3-VNZ5M</t>
  </si>
  <si>
    <t>FGLMA-V6ABZ-VYYHR</t>
  </si>
  <si>
    <t>26T9F-TZKTK-PKGR5</t>
  </si>
  <si>
    <t>63LI0-C002L-TZ2ZP</t>
  </si>
  <si>
    <t>JHIPR-X9BMF-WEZVB</t>
  </si>
  <si>
    <t>C7A77-CBAGV-48P3N</t>
  </si>
  <si>
    <t>C8ZTV-7CL9K-LKBC8</t>
  </si>
  <si>
    <t>GK34R-G2I57-B9WNW</t>
  </si>
  <si>
    <t>KP3Y0-AV57C-HCQC2</t>
  </si>
  <si>
    <t>25G8T-Q40IT-T8QWF</t>
  </si>
  <si>
    <t>PHP0W-C3ATD-EXR9J</t>
  </si>
  <si>
    <t>B4HTG-WWRMI-8JMQC</t>
  </si>
  <si>
    <t>N59G5-E89YI-VGBXA</t>
  </si>
  <si>
    <t>Wargame European Escalation</t>
  </si>
  <si>
    <t>JB2Y7-GMKZV-3FC3C</t>
  </si>
  <si>
    <t>YHEIE-LVBK9-KY5VZ</t>
  </si>
  <si>
    <t>YN2VV-AJD3C-2J89P</t>
  </si>
  <si>
    <t>YQ7FA-Q7QWJ-2KL6N</t>
  </si>
  <si>
    <t>KZXGY-M9GBF-E6WDN</t>
  </si>
  <si>
    <t>JLNKB-5FIRW-64KBE</t>
  </si>
  <si>
    <t>9ADZ0-2P5KX-5QBWF</t>
  </si>
  <si>
    <t>6C5KK-YMQ0M-6FBWF</t>
  </si>
  <si>
    <t>KW6JD-ZYQFK-L0Z4T</t>
  </si>
  <si>
    <t>8JC4Z-RXPBC-A5BRQ</t>
  </si>
  <si>
    <t>MXPL2-FQ9WB-MI7EX</t>
  </si>
  <si>
    <t>C6064-HDITW-KXEA4</t>
  </si>
  <si>
    <t>TIYDI-Q5M05-3AQ9C</t>
  </si>
  <si>
    <t>0ZCQM-F2TTA-EWRT2</t>
  </si>
  <si>
    <t>26G8D-C46IM-CB4NZ</t>
  </si>
  <si>
    <t>MPB5D-405Y0-TWRHE</t>
  </si>
  <si>
    <t>Dorfromantik</t>
  </si>
  <si>
    <t>E63TN-8PX98-A9FK6</t>
  </si>
  <si>
    <t>The Elder Scrolls V: Skyrim VR EU</t>
  </si>
  <si>
    <t>TE453-HKGQJ-30QVJ</t>
  </si>
  <si>
    <t>BB7HL-R07XH-24C9Y</t>
  </si>
  <si>
    <t>8KNE2-NZJY8-JCPKY</t>
  </si>
  <si>
    <t>Y2DLX-47X88-DN4IV</t>
  </si>
  <si>
    <t>ZKIKJ-MCMH6-DW8KD</t>
  </si>
  <si>
    <t>imgjpg</t>
  </si>
  <si>
    <t>L0FAC-DEMEB-E2ADJ</t>
  </si>
  <si>
    <t>imgjpg1i</t>
  </si>
  <si>
    <t>N9AJY-HDIVG-TGH6L</t>
  </si>
  <si>
    <t>8X2HA-E8HDR-BNE7D</t>
  </si>
  <si>
    <t>Streamer Life Simulator</t>
  </si>
  <si>
    <t>QWFJ8-RBHA9-YKMKD</t>
  </si>
  <si>
    <t>Before Your Eyes</t>
  </si>
  <si>
    <t>EIQRW-LYPFE-C2CB7</t>
  </si>
  <si>
    <t>EW4DP-Z00TL-73YKC</t>
  </si>
  <si>
    <t>YLHDK-406N5-79F5B</t>
  </si>
  <si>
    <t>YIGCQ-D3RK2-7D3RK</t>
  </si>
  <si>
    <t>I4JR7-YEHEL-MMH26</t>
  </si>
  <si>
    <t>Y8H07-3EN80-PELKZ</t>
  </si>
  <si>
    <t>LYF4N-RALDD-5TQFQ</t>
  </si>
  <si>
    <t>M73WB-B7AYG-7V57W</t>
  </si>
  <si>
    <t>MFQB2-3FRCX-VCKLK</t>
  </si>
  <si>
    <t>W2D6M-H0588-MQVE2</t>
  </si>
  <si>
    <t>LV83A-YFPWJ-J5XXC</t>
  </si>
  <si>
    <t>W3EYF-PJ8QV-ICX6N</t>
  </si>
  <si>
    <t>8Y0N0-PYLL7-QFXIP</t>
  </si>
  <si>
    <t>FBMMP-MCNZH-9NAXX</t>
  </si>
  <si>
    <t>7F9RA-PZEZV-8GZJ2</t>
  </si>
  <si>
    <t>9GBK8-JKPAM-Q6Z38</t>
  </si>
  <si>
    <t>R2G5J-KHZZH-8NBPJ</t>
  </si>
  <si>
    <t>LDLXR-MV48I-CFXMA</t>
  </si>
  <si>
    <t>8E4AL-R7BLF-4X9NE</t>
  </si>
  <si>
    <t>Outriders</t>
  </si>
  <si>
    <t>7AYAX-X7QMZ-V9I36</t>
  </si>
  <si>
    <t>6VRNB-TD9NJ-MHMHW</t>
  </si>
  <si>
    <t>5CYZY-NRFYR-RWKM7</t>
  </si>
  <si>
    <t>WBTW7-YWRJN-R8Z92</t>
  </si>
  <si>
    <t>WVA2M-HNBI5-QA3GD</t>
  </si>
  <si>
    <t>C7CKP-ZE70W-0KXKT</t>
  </si>
  <si>
    <t>AA6XK-6GNML-82TLQ</t>
  </si>
  <si>
    <t>Barotrauma EU</t>
  </si>
  <si>
    <t>7FZ2X-6840B-W7IRY</t>
  </si>
  <si>
    <t>FVFQG-RTA8G-AJCBE</t>
  </si>
  <si>
    <t>The Outer Worlds</t>
  </si>
  <si>
    <t>JVD4W-WXADJ-WNX58</t>
  </si>
  <si>
    <t>Journey</t>
  </si>
  <si>
    <t>D63V9-K3RER-9E6C8</t>
  </si>
  <si>
    <t>WZY0X-LI3VM-QA2B2</t>
  </si>
  <si>
    <t>Q2T9C-2D4VY-3PGQ7</t>
  </si>
  <si>
    <t>X52WA-T5639-LTKLF</t>
  </si>
  <si>
    <t>3Y7NW-I2JYI-T540T</t>
  </si>
  <si>
    <t>Smile For Me</t>
  </si>
  <si>
    <t>Z9XA5-8FTWP-0IV32</t>
  </si>
  <si>
    <t>RHQC0-QRQ9D-Q4I94</t>
  </si>
  <si>
    <t>AHXV6-C0HVV-GGIAC</t>
  </si>
  <si>
    <t>9FWFC-XN3F5-6L9DI</t>
  </si>
  <si>
    <t>6WK9H-NWXKF-53LIN</t>
  </si>
  <si>
    <t>7ZGMK-ZI2X9-QXC3K</t>
  </si>
  <si>
    <t>I9WNR-CB27B-MNA77</t>
  </si>
  <si>
    <t>KRWIC-JRA6A-7CZKC</t>
  </si>
  <si>
    <t>KHWN4-J7FXR-3L626</t>
  </si>
  <si>
    <t>4EZDR-Y80BI-X3MVA</t>
  </si>
  <si>
    <t>XBD70-0DL5G-7KD6B</t>
  </si>
  <si>
    <t>2Q35B-2CJKT-AXQKV</t>
  </si>
  <si>
    <t>4BPK5-YNZBN-36RVG</t>
  </si>
  <si>
    <t>TXFY3-29EMJ-ZVGMM</t>
  </si>
  <si>
    <t>I3HZ4-CZVAT-77LN0</t>
  </si>
  <si>
    <t>55R67-DHT7M-9Y5AJ</t>
  </si>
  <si>
    <t>24TID-8CYII-ZJBG0</t>
  </si>
  <si>
    <t>P353H-QCHLG-69G6F</t>
  </si>
  <si>
    <t>YHHZG-LY89Z-905NL</t>
  </si>
  <si>
    <t>D9G5R-BLTVP-HGMV2</t>
  </si>
  <si>
    <t>ELC3V-MA5NK-MCBKK</t>
  </si>
  <si>
    <t>TIFHA-C0D75-48A82</t>
  </si>
  <si>
    <t>HGCRI-C6TKY-C354C</t>
  </si>
  <si>
    <t>T7Q2H-EF2QC-JWD7R</t>
  </si>
  <si>
    <t>GGLXK-70Z2I-BNRT7</t>
  </si>
  <si>
    <t>FXFW7-DT530-QN725</t>
  </si>
  <si>
    <t>H5KYX-ZKTFZ-N7NQ9</t>
  </si>
  <si>
    <t>7JK4X-WX0RI-2LXF2</t>
  </si>
  <si>
    <t>WHHIY-BKMQB-W3DFZ</t>
  </si>
  <si>
    <t>FVK5T-E8G8V-KVJQL</t>
  </si>
  <si>
    <t>PKEJN-XDP2L-NNW40</t>
  </si>
  <si>
    <t>R4YZZ-BCRTN-ZNPQJ</t>
  </si>
  <si>
    <t>8678R-HW50J-DHM07</t>
  </si>
  <si>
    <t>2X62M-K43XR-WIWY7</t>
  </si>
  <si>
    <t>DNI9G-RBWLG-FWL9I</t>
  </si>
  <si>
    <t>MKWD0-JW9M0-8RJL8</t>
  </si>
  <si>
    <t>JHPC4-YQXMG-T2CW3</t>
  </si>
  <si>
    <t>Rebel Galaxy Outlaw</t>
  </si>
  <si>
    <t>N3PKC-CMQ3E-IW77Q</t>
  </si>
  <si>
    <t>N4V42-TE0KN-WIEGZ</t>
  </si>
  <si>
    <t>7DA68-DEK87-C37EC</t>
  </si>
  <si>
    <t>Bloons TD 6</t>
  </si>
  <si>
    <t>KWAB4-39K9X-293YT</t>
  </si>
  <si>
    <t>ZJB5P-996ZD-J7W57</t>
  </si>
  <si>
    <t>K807T-LGT59-7MJZH</t>
  </si>
  <si>
    <t>JZANJ-G3YJ3-749FC</t>
  </si>
  <si>
    <t>QBDRL-R7JDD-IXVC4</t>
  </si>
  <si>
    <t>FT93G-893DZ-DZ4H3</t>
  </si>
  <si>
    <t>5HBLV-CI90B-PXQ0J</t>
  </si>
  <si>
    <t>NAJD6-EDNTW-H0IWI</t>
  </si>
  <si>
    <t>7DL9K-JTP6V-WI332</t>
  </si>
  <si>
    <t>36DD3-80PBE-HL8LF</t>
  </si>
  <si>
    <t>HVN3A-WAZYH-FQ769</t>
  </si>
  <si>
    <t>G6ALV-22WHI-6WDA7</t>
  </si>
  <si>
    <t>Barotrauma</t>
  </si>
  <si>
    <t>JDV9L-PI47D-2KBVA</t>
  </si>
  <si>
    <t>YM06K-G8264-2LF9L</t>
  </si>
  <si>
    <t>EINVX-YX43W-FQ8GB</t>
  </si>
  <si>
    <t>D8M0W-GXNZY-67HY0</t>
  </si>
  <si>
    <t>LKW06-PGQE2-A4ALY</t>
  </si>
  <si>
    <t>Y6VJ7-H6KN2-K0QLK</t>
  </si>
  <si>
    <t>WZ2EH-QXX65-CGVEI</t>
  </si>
  <si>
    <t>B53KV-9Q8ZR-A9A6B</t>
  </si>
  <si>
    <t>AZ8J9-2TGRK-8N5M9</t>
  </si>
  <si>
    <t>DCEXR-GAT3Q-R2J08</t>
  </si>
  <si>
    <t>X8RIJ-5I6FM-449B0</t>
  </si>
  <si>
    <t>N2Q5X-GC23E-33HJ6</t>
  </si>
  <si>
    <t>BRZL6-7T4MN-8PARZ</t>
  </si>
  <si>
    <t>TEBET-WFIM4-N6RLG</t>
  </si>
  <si>
    <t>MQ5FL-VZWX5-NLG59</t>
  </si>
  <si>
    <t>JLYB8-03MX7-Z3QEE</t>
  </si>
  <si>
    <t>MAK4R-THE89-FRFN0</t>
  </si>
  <si>
    <t>Pang Adventures</t>
  </si>
  <si>
    <t>4HKLG-KXVQM-HGCFQ</t>
  </si>
  <si>
    <t>9DJ5D-TFCP3-HZYVB</t>
  </si>
  <si>
    <t>REQDH-MMY8Z-0WG9T</t>
  </si>
  <si>
    <t>GJH2L-F7PTT-APLDE</t>
  </si>
  <si>
    <t>KFG64-6HJ5H-ZLVNJ</t>
  </si>
  <si>
    <t>72K2X-IWGZV-YIXBP</t>
  </si>
  <si>
    <t>I87VN-B4DCG-KWAEZ</t>
  </si>
  <si>
    <t>Solasta: Crown of the Magister</t>
  </si>
  <si>
    <t>Q054E-KEQNH-2G8JI</t>
  </si>
  <si>
    <t>N3Z0L-0PHV8-307IE</t>
  </si>
  <si>
    <t>Y2GZK-H6KPR-E89IK</t>
  </si>
  <si>
    <t>04HZJ-QP882-XPV6N</t>
  </si>
  <si>
    <t>57XLK-CVWCR-EEQX6</t>
  </si>
  <si>
    <t>35TCN-IZJIG-CWIMK</t>
  </si>
  <si>
    <t>8CL7L-VJVWP-GJGVX</t>
  </si>
  <si>
    <t>3JED2-K573N-4A7KI</t>
  </si>
  <si>
    <t>4TXXJ-9JIZ9-YMI87</t>
  </si>
  <si>
    <t>0LYBI-DXX6G-ETGQK</t>
  </si>
  <si>
    <t>MIY9Q-74CMI-JKDTF</t>
  </si>
  <si>
    <t>WKHB5-ACXHV-4IQ99</t>
  </si>
  <si>
    <t>QNM4I-ANVYH-7GNA6</t>
  </si>
  <si>
    <t>C2WTQ-GTMAB-3CKTI</t>
  </si>
  <si>
    <t>Unrailed!</t>
  </si>
  <si>
    <t>LH9KF-QC2AV-00WZT</t>
  </si>
  <si>
    <t>3JDG9-5ZY7Y-67IMZ</t>
  </si>
  <si>
    <t>NRRB7-N9TJT-XIA8V</t>
  </si>
  <si>
    <t>ZNJZM-VLZ44-3B4F9</t>
  </si>
  <si>
    <t>4Y2EF-WMJVD-L72FZ</t>
  </si>
  <si>
    <t>PK56A-9YD0X-D47ZW</t>
  </si>
  <si>
    <t>MHTIK-W4VN6-W7KMP</t>
  </si>
  <si>
    <t>KLLGV-VIQY7-VGP7E</t>
  </si>
  <si>
    <t>CA09F-GFY4W-MGEE0</t>
  </si>
  <si>
    <t>F42MD-E7BKQ-R3Z9V</t>
  </si>
  <si>
    <t>J7WXM-VN9LE-QV3GQ</t>
  </si>
  <si>
    <t>7QGJ7-H56Y5-KIZK6</t>
  </si>
  <si>
    <t>LQJD4-X739L-2F0V8</t>
  </si>
  <si>
    <t>32PZ4-QRBYL-6WH70</t>
  </si>
  <si>
    <t>IEB6W-GDQ7R-LNR9D</t>
  </si>
  <si>
    <t>XL3TX-R3MZA-BKIAF</t>
  </si>
  <si>
    <t>7Z582-H6NGW-FBB3V</t>
  </si>
  <si>
    <t>DNE3J-XMG5W-6K70G</t>
  </si>
  <si>
    <t>WC85H-N6M7K-0ZKLN</t>
  </si>
  <si>
    <t>J6FBL-FZXR3-WC5ZD</t>
  </si>
  <si>
    <t>XPVKT-JYGRK-0HKEJ</t>
  </si>
  <si>
    <t>2BKGK-4AM98-ACKQP</t>
  </si>
  <si>
    <t>64CZW-0D8PX-KL3T4</t>
  </si>
  <si>
    <t>5FPHK-NWQ8Q-C5H74</t>
  </si>
  <si>
    <t>33H9Z-HXCZ3-VHJPI</t>
  </si>
  <si>
    <t>B6LWZ-DGJBY-NL7WN</t>
  </si>
  <si>
    <t>7VI74-655CN-JWLLB</t>
  </si>
  <si>
    <t>Operation: Tango</t>
  </si>
  <si>
    <t>PLGI2-LJ3LX-HL4KC</t>
  </si>
  <si>
    <t>4JGFG-JR2ZA-PGPR0</t>
  </si>
  <si>
    <t>Y436K-7DIHW-6BDKH</t>
  </si>
  <si>
    <t>Gorogoa</t>
  </si>
  <si>
    <t>TMVTK-XNGBC-3EMXR</t>
  </si>
  <si>
    <t>7IJCL-HD6KG-6I69V</t>
  </si>
  <si>
    <t>5VVEZ-8P4XF-2JVG0</t>
  </si>
  <si>
    <t>DiRT Showdown</t>
  </si>
  <si>
    <t>VQP22-9BGI9-RIFB7</t>
  </si>
  <si>
    <t>My Time at Sandrock</t>
  </si>
  <si>
    <t>PZK8X-42X7C-AVNNB</t>
  </si>
  <si>
    <t>T7B8R-XRPZC-PZWF5</t>
  </si>
  <si>
    <t>7EGHG-JYALJ-TTZZW</t>
  </si>
  <si>
    <t>92278-ZPXJC-TFV05</t>
  </si>
  <si>
    <t>HLL68-HHX3T-X2H9L</t>
  </si>
  <si>
    <t>AQMZE-ECLYG-T99Z5</t>
  </si>
  <si>
    <t>8YAA0-QXXTE-ZHYR2</t>
  </si>
  <si>
    <t>43IMH-AGLH8-ZZLZ9</t>
  </si>
  <si>
    <t>2QJ03-2R2DH-IVFCR</t>
  </si>
  <si>
    <t>VN7MD-7JH83-NZRDN</t>
  </si>
  <si>
    <t>UnMetal</t>
  </si>
  <si>
    <t>5M3RD-TT2HX-GKB7Y</t>
  </si>
  <si>
    <t>IW4NW-662NL-FZBKT</t>
  </si>
  <si>
    <t>XKC9V-VI7TL-7ZNPB</t>
  </si>
  <si>
    <t>OlliOlli World EU</t>
  </si>
  <si>
    <t>FFH59-Y927I-38YKJ</t>
  </si>
  <si>
    <t>AY57Q-JLA7B-P69Y5</t>
  </si>
  <si>
    <t>4F7RY-B2885-9YML9</t>
  </si>
  <si>
    <t>CXB02-P9C85-Y7F7J</t>
  </si>
  <si>
    <t>KXBQL-IX787-66N8Z</t>
  </si>
  <si>
    <t>XDJ20-R2C2I-0CTTC</t>
  </si>
  <si>
    <t>GMDNH-YBP97-JKK8M</t>
  </si>
  <si>
    <t>Dead by Daylight - Roots of Dread Chapter DLC</t>
  </si>
  <si>
    <t>5LC2W-WLBP6-X40RQ</t>
  </si>
  <si>
    <t>6VK2I-XCA4N-LH3R7</t>
  </si>
  <si>
    <t>J030K-W8LI6-PTYTT</t>
  </si>
  <si>
    <t>866ZC-CJNC4-KJBIJ</t>
  </si>
  <si>
    <t>Evil Genius 2</t>
  </si>
  <si>
    <t>G6C8Y-5252W-QMX0L</t>
  </si>
  <si>
    <t>6KEI8-ILV7J-MPB77</t>
  </si>
  <si>
    <t>Streets of Rage 4</t>
  </si>
  <si>
    <t>D2Z98-9V78H-VB5CV</t>
  </si>
  <si>
    <t>2QHL6-IFAJI-H8DCQ</t>
  </si>
  <si>
    <t>GCPIF-8LDHM-LXWFQ</t>
  </si>
  <si>
    <t>NEBAF-93VW8-GX2AD</t>
  </si>
  <si>
    <t>ZHFEP-6Y09T-E3KDX</t>
  </si>
  <si>
    <t>X6BQC-CZZG7-56NDP</t>
  </si>
  <si>
    <t>Dead Rising 3 Apocalypse Edition</t>
  </si>
  <si>
    <t>QPQGZ-3WLP6-LM4A3</t>
  </si>
  <si>
    <t>W8MBW-HE97J-N95QM</t>
  </si>
  <si>
    <t>K5B4W-0ZM4X-33AKH</t>
  </si>
  <si>
    <t>9C2EK-Y67Q2-QNVLE</t>
  </si>
  <si>
    <t>JCKTM-A64MW-AZ2XN</t>
  </si>
  <si>
    <t>Outlast Trinity</t>
  </si>
  <si>
    <t>F9Y46-RM7F4-47WG2</t>
  </si>
  <si>
    <t>Kingdom Rush Vengeance</t>
  </si>
  <si>
    <t>FZH55-7J7NV-VJZQA</t>
  </si>
  <si>
    <t>KQRPE-PA48B-YR4QZ</t>
  </si>
  <si>
    <t>DPDEL-Y5T4X-B2BXX</t>
  </si>
  <si>
    <t>3QB69-2X7T2-E0AKA</t>
  </si>
  <si>
    <t>RG4XF-NKYTT-L6LJ8</t>
  </si>
  <si>
    <t>L3PX9-JNLD9-YJ2IM</t>
  </si>
  <si>
    <t>258RT-WVJ7Z-BCAHY</t>
  </si>
  <si>
    <t>P5I2H-W7QTF-6MZHC</t>
  </si>
  <si>
    <t>II4F2-J4MB4-MK5R5</t>
  </si>
  <si>
    <t>YVY62-3E54E-RB8AJ</t>
  </si>
  <si>
    <t>3N97E-XJ02G-WJYG0</t>
  </si>
  <si>
    <t>HGPYB-AZIGP-D3L2A</t>
  </si>
  <si>
    <t>FMX0L-IYRD3-KK38F</t>
  </si>
  <si>
    <t>2DDM3-7M8CD-FBQ4Z</t>
  </si>
  <si>
    <t>4I6XZ-RTPE7-H36QG</t>
  </si>
  <si>
    <t>TCWCF-CZFYY-XIT5A</t>
  </si>
  <si>
    <t>CBG3N-VLXMJ-WLLZE</t>
  </si>
  <si>
    <t>FLFIB-3V58L-NLPB4</t>
  </si>
  <si>
    <t>5GDT4-6HQ6P-IC2CQ</t>
  </si>
  <si>
    <t>A9IYV-QZQHA-FJQLQ</t>
  </si>
  <si>
    <t>NG92H-6ADXM-8BIGJ</t>
  </si>
  <si>
    <t>IINTR-Y2CVX-YM5J3</t>
  </si>
  <si>
    <t>2WHAQ-64J2I-Y0G94</t>
  </si>
  <si>
    <t>DXHCT-8HMN8-FMQ85</t>
  </si>
  <si>
    <t>5V4XD-NV650-7NVC9</t>
  </si>
  <si>
    <t>4XQQC-HC8PB-QYB74</t>
  </si>
  <si>
    <t>65GCC-IE6PF-VRHZY</t>
  </si>
  <si>
    <t>TTJHI-MIPFB-M67ZB</t>
  </si>
  <si>
    <t>NLLZT-6YNGV-C4FBW</t>
  </si>
  <si>
    <t>FCRLC-F3JKJ-MP8NZ</t>
  </si>
  <si>
    <t>LXWFR-C3HBT-Z89IB</t>
  </si>
  <si>
    <t>WAG7I-ALM4I-GBF64</t>
  </si>
  <si>
    <t>CE62I-D785R-TLZ8B</t>
  </si>
  <si>
    <t>QNYBP-PGMBT-232MV</t>
  </si>
  <si>
    <t>XGXPL-9JWZZ-CBH8N</t>
  </si>
  <si>
    <t>P086I-PY9B6-TYFJ3</t>
  </si>
  <si>
    <t>WPJT5-JJGJ2-Z9DIV</t>
  </si>
  <si>
    <t>82WPH-BAIMM-MBZJ4</t>
  </si>
  <si>
    <t>N6VJT-QCMTE-PMEXD</t>
  </si>
  <si>
    <t>Who's Your Daddy</t>
  </si>
  <si>
    <t>FTPVT-K03Z5-3X0K2</t>
  </si>
  <si>
    <t>CWNQ4-ZBVPZ-YVNBZ</t>
  </si>
  <si>
    <t>QFH4H-EHD59-34BG4</t>
  </si>
  <si>
    <t>AVG2E-64E5G-3BJLA</t>
  </si>
  <si>
    <t>Y5IHB-EM6BI-7EQ2W</t>
  </si>
  <si>
    <t>34KHJ-QW4HG-2QNAP</t>
  </si>
  <si>
    <t>0VDBM-PGVDH-6CVTH</t>
  </si>
  <si>
    <t>R6P5J-LWR2G-NIDEB</t>
  </si>
  <si>
    <t>6ZVG7-TRH5L-9QXIX</t>
  </si>
  <si>
    <t>MB209-WI355-Q3457</t>
  </si>
  <si>
    <t>LA23G-XFL97-DQDR7</t>
  </si>
  <si>
    <t>D0REZ-RRFXR-2W89A</t>
  </si>
  <si>
    <t>XJ9Z5-LZQRH-42QPC</t>
  </si>
  <si>
    <t>YZMWX-3WBXV-7YLQL</t>
  </si>
  <si>
    <t>3TDRP-CMWK4-679AD</t>
  </si>
  <si>
    <t>Zorro The Chronicles EU</t>
  </si>
  <si>
    <t>AZKRT-NCT5C-0ACZL</t>
  </si>
  <si>
    <t>RH635-YT9X3-AW2RP</t>
  </si>
  <si>
    <t>ECCBC-3M27F-7IH56</t>
  </si>
  <si>
    <t>Q68BH-ZN4HD-3ZQ3H</t>
  </si>
  <si>
    <t>LF3WX-448FQ-3GF3X</t>
  </si>
  <si>
    <t>96ZLB-8ZGP2-44QXJ</t>
  </si>
  <si>
    <t>24BW7-TAMNJ-NAXMZ</t>
  </si>
  <si>
    <t>65E7P-RX694-HA4MW</t>
  </si>
  <si>
    <t>Sniper Ghost Warrior Contracts 2 Deluxe Arsenal Edition</t>
  </si>
  <si>
    <t>5RZWI-C3BF4-GNWWN</t>
  </si>
  <si>
    <t>YY49W-8MZF6-D9EZR</t>
  </si>
  <si>
    <t>XKV26-85YI6-76CXE</t>
  </si>
  <si>
    <t>Witch It</t>
  </si>
  <si>
    <t>IDR6N-7FR5C-BTZYF</t>
  </si>
  <si>
    <t>RESIDENT EVIL 2 / BIOHAZARD RE:2</t>
  </si>
  <si>
    <t>CMC4G-GTXYN-TFFI9</t>
  </si>
  <si>
    <t>K2VMF-L3DA6-WNADI</t>
  </si>
  <si>
    <t>59LFL-53P4C-PJWJE</t>
  </si>
  <si>
    <t>6PTGJ-CFBFX-K3QPE</t>
  </si>
  <si>
    <t>F54D4-2BTRJ-XBYYQ</t>
  </si>
  <si>
    <t>imge</t>
  </si>
  <si>
    <t>26ZKL-3VJJD-4D402</t>
  </si>
  <si>
    <t>5BAMK-D62RD-VPC0T</t>
  </si>
  <si>
    <t>Ni No Kuni II: Revenant Kingdom The Prince's Edition</t>
  </si>
  <si>
    <t>6NLXM-VFB39-JHNI9</t>
  </si>
  <si>
    <t>BGGKL-BVXVN-T74G4</t>
  </si>
  <si>
    <t>CFG07-BEL33-22L4H</t>
  </si>
  <si>
    <t>TRLTF-2G5G5-LEKAT</t>
  </si>
  <si>
    <t>8CGBK-V4B96-F88YC</t>
  </si>
  <si>
    <t>QR2CI-8H7C3-5L99H</t>
  </si>
  <si>
    <t>KKGT3-B40RR-NXVQZ</t>
  </si>
  <si>
    <t>FPMFY-LLAM9-2RZQ3</t>
  </si>
  <si>
    <t>VQWDT-4MX27-TZHK6</t>
  </si>
  <si>
    <t>BL0KL-0WYJC-ARQC5</t>
  </si>
  <si>
    <t>TX4RD-GJ7Q6-E6D5K</t>
  </si>
  <si>
    <t>FHBQ8-VT2WR-N27XR</t>
  </si>
  <si>
    <t>MVIT6-5F3TH-TYPRW</t>
  </si>
  <si>
    <t>ZGY2V-ZIIT4-TLT9Z</t>
  </si>
  <si>
    <t>3Z99P-FC3YP-5XXEP</t>
  </si>
  <si>
    <t>Control Ultimate Edition RoW</t>
  </si>
  <si>
    <t>9MJ9F-J6ZVF-K8MVF</t>
  </si>
  <si>
    <t>70WQ6-C5RLM-AFRNH</t>
  </si>
  <si>
    <t>imgf</t>
  </si>
  <si>
    <t>UnRailed!</t>
  </si>
  <si>
    <t>JTIE4-82FTI-Y0YRX</t>
  </si>
  <si>
    <t>4THCD-0BF3H-3DI9M</t>
  </si>
  <si>
    <t>WB7JX-6W22D-J3AAQ</t>
  </si>
  <si>
    <t>8RA5Q-MR8CK-8AGD7</t>
  </si>
  <si>
    <t>GMLHV-Q0LW2-RL3AK</t>
  </si>
  <si>
    <t>JR4JK-8F058-DBTC9</t>
  </si>
  <si>
    <t>E3P5L-6MW7G-290KJ</t>
  </si>
  <si>
    <t>NBH02-736DZ-064C4</t>
  </si>
  <si>
    <t>HY933-9K2ZE-Y9Z5C</t>
  </si>
  <si>
    <t>4H3N5-V3DLW-HWTMA</t>
  </si>
  <si>
    <t>WE3KL-R44JQ-YYVW2</t>
  </si>
  <si>
    <t>IZ3QY-WX4P6-7CHM0</t>
  </si>
  <si>
    <t>6N9W2-0X3EX-TVH5L</t>
  </si>
  <si>
    <t>T652N-0EM2K-NBX90</t>
  </si>
  <si>
    <t>62N83-XIXD6-8NIA4</t>
  </si>
  <si>
    <t>FX5ME-CZ9R8-BRXNI</t>
  </si>
  <si>
    <t>HEM7C-D0J3E-RLQEK</t>
  </si>
  <si>
    <t>RQHWY-TMTX7-RIBGQ</t>
  </si>
  <si>
    <t>PFLL3-T3J0F-ZBVBD</t>
  </si>
  <si>
    <t>3N7ZE-YJ2P3-LAG8G</t>
  </si>
  <si>
    <t>ATG4E-WGICJ-AMJ74</t>
  </si>
  <si>
    <t>76JVC-BXG4F-3RGFF</t>
  </si>
  <si>
    <t>33CXY-0ZQZZ-K4M5Z</t>
  </si>
  <si>
    <t>33YJV-CICRM-M5VEG</t>
  </si>
  <si>
    <t>74TXI-PT0IP-VDMJY</t>
  </si>
  <si>
    <t>4Q0EW-B6509-A8DF3</t>
  </si>
  <si>
    <t>F75WT-B5GX9-4PB8G</t>
  </si>
  <si>
    <t>M9M4C-ZEB04-9979Z</t>
  </si>
  <si>
    <t>Shadow Warrior 3</t>
  </si>
  <si>
    <t>VQBET-969NX-VLQKK</t>
  </si>
  <si>
    <t>TNXXP-KGYRY-5LD77</t>
  </si>
  <si>
    <t>W6JTC-7DJWJ-V9TYG</t>
  </si>
  <si>
    <t>9DGLL-ZG40Q-CWHIH</t>
  </si>
  <si>
    <t>WF3N5-8ICGZ-02DDP</t>
  </si>
  <si>
    <t>X2W6X-79V66-8LXN2</t>
  </si>
  <si>
    <t>L2YJP-M79PN-G3DT9</t>
  </si>
  <si>
    <t>Hatsune Miku: Project DIVA Mega Mix+ EU</t>
  </si>
  <si>
    <t>3CVGT-LRIK7-IQJJW</t>
  </si>
  <si>
    <t>NZTKH-5YR5N-KHNBG</t>
  </si>
  <si>
    <t>B2XHF-DTBL0-P2KDB</t>
  </si>
  <si>
    <t>HF924-W3GZR-7AXCN</t>
  </si>
  <si>
    <t>Outward Definitive Edition</t>
  </si>
  <si>
    <t>CWR9B-8M532-JNC3Z</t>
  </si>
  <si>
    <t>IW62V-QTIMV-49VC4</t>
  </si>
  <si>
    <t>RJC6B-XY6ZI-3FPX4</t>
  </si>
  <si>
    <t>C8X50-L3ZB4-0AD4B</t>
  </si>
  <si>
    <t>HFJZ4-M0Q69-VRPJX</t>
  </si>
  <si>
    <t>AXXRG-NP98M-9QE69</t>
  </si>
  <si>
    <t>N0CPL-330DA-73ENF</t>
  </si>
  <si>
    <t>NGERR-Q806Z-6A48G</t>
  </si>
  <si>
    <t>Y2I68-EPIP3-WPGIG</t>
  </si>
  <si>
    <t>NALBW-DLH2C-HJY9K</t>
  </si>
  <si>
    <t>GETL8-J04IE-HMGLM</t>
  </si>
  <si>
    <t>Matchpoint: Tennis Championships</t>
  </si>
  <si>
    <t>D0M09-Z95KK-4MRKE</t>
  </si>
  <si>
    <t>BBEF3-74XIN-WWL0B</t>
  </si>
  <si>
    <t>Stronghold: Warlords Special Edition</t>
  </si>
  <si>
    <t>8FX94-Y50XE-NX9V9</t>
  </si>
  <si>
    <t>9YI66-6JXW0-5XFX6</t>
  </si>
  <si>
    <t>9ZFQC-2AQNJ-E2G54</t>
  </si>
  <si>
    <t>CBGQH-IA4QE-RBB49</t>
  </si>
  <si>
    <t>N7P3H-K6N3T-TXL7Y</t>
  </si>
  <si>
    <t>6E64G-GB672-BXEZL</t>
  </si>
  <si>
    <t>L2ZYY-3LNAR-Q05ZH</t>
  </si>
  <si>
    <t>FINAL FANTASY XV Windows Edition EU</t>
  </si>
  <si>
    <t>N4TJF-PCM75-NN3M7</t>
  </si>
  <si>
    <t>Octopath Traveler</t>
  </si>
  <si>
    <t>39ZVW-PZJHT-P3I8Q</t>
  </si>
  <si>
    <t>CBNG3-3D0Y2-QG67Y</t>
  </si>
  <si>
    <t>XET9F-NYWJM-L69PW</t>
  </si>
  <si>
    <t>7P87C-BB06B-BAB7C</t>
  </si>
  <si>
    <t>6A6WW-GQ4GM-RTNW5</t>
  </si>
  <si>
    <t>J3TND-5W00W-VWCLM</t>
  </si>
  <si>
    <t>M7ZPJ-X82IT-5YQ43</t>
  </si>
  <si>
    <t>AHWNM-PT78N-M3F7B</t>
  </si>
  <si>
    <t>Lethal League Blaze</t>
  </si>
  <si>
    <t>QNILQ-6QQ8W-LHX0A</t>
  </si>
  <si>
    <t>PEQA0-EZJPR-6YNYC</t>
  </si>
  <si>
    <t>LV0YF-9INZ2-YYT4E</t>
  </si>
  <si>
    <t>J27CD-7HD3Y-G3RZ6</t>
  </si>
  <si>
    <t>WD9M2-2FM53-65EFD</t>
  </si>
  <si>
    <t>N5NEF-IV6FJ-F3ZEG</t>
  </si>
  <si>
    <t>MN2X4-WIYHA-DLFAK</t>
  </si>
  <si>
    <t>Tales of Arise</t>
  </si>
  <si>
    <t>7H9VR-KVPKF-K6PHQ</t>
  </si>
  <si>
    <t>7MG8H-KLFWF-0RNTK</t>
  </si>
  <si>
    <t>TZJMA-20D4N-0NKEQ</t>
  </si>
  <si>
    <t>EM8MT-NFAYY-BF3FA</t>
  </si>
  <si>
    <t>VNQLV-REZ49-78VWW</t>
  </si>
  <si>
    <t>HLB22-BWJXA-8EE0Y</t>
  </si>
  <si>
    <t>6DNCP-70KF2-LZTWF</t>
  </si>
  <si>
    <t>L0ZH4-8ZX7L-9EYN2</t>
  </si>
  <si>
    <t>N7GRA-57BMC-Z053D</t>
  </si>
  <si>
    <t>3IHB3-BMZIK-R3YLR</t>
  </si>
  <si>
    <t>Ready Or Not</t>
  </si>
  <si>
    <t>RK3TH-I2CTK-RNI6D</t>
  </si>
  <si>
    <t>BQGLG-PH62D-DYJ7H</t>
  </si>
  <si>
    <t>D5XR4-G0XCF-EC3JZ</t>
  </si>
  <si>
    <t>APICO</t>
  </si>
  <si>
    <t>DQN65-9CIV4-CAFFW</t>
  </si>
  <si>
    <t>XX9D3-6E87X-ZT7BW</t>
  </si>
  <si>
    <t>THE GAME OF LIFE 2</t>
  </si>
  <si>
    <t>D25CD-MHYQ0-6M84R</t>
  </si>
  <si>
    <t>V03NR-X5PQM-V4PZ7</t>
  </si>
  <si>
    <t>5FTDN-IMKB8-XHK3Y</t>
  </si>
  <si>
    <t>EM2T6-G3JLG-Q8VAI</t>
  </si>
  <si>
    <t>7247D-MFP3A-ZD3YH</t>
  </si>
  <si>
    <t>8I4ZW-XRQ2X-ECJ7G</t>
  </si>
  <si>
    <t>JGWII-BI07N-A5ZER</t>
  </si>
  <si>
    <t>KBCND-QTDEN-6EPJG</t>
  </si>
  <si>
    <t>HAD54-FWFZE-C7L0H</t>
  </si>
  <si>
    <t>IBW8C-I6LGQ-7ZTMJ</t>
  </si>
  <si>
    <t>6HEMM-8L65B-M3IAM</t>
  </si>
  <si>
    <t>FA6YM-PW52Y-BNRAR</t>
  </si>
  <si>
    <t>07LEK-CMFTN-7A0ND</t>
  </si>
  <si>
    <t>WYAKC-PVBAJ-8MG7Q</t>
  </si>
  <si>
    <t>R4G3J-T8RIE-XX8JC</t>
  </si>
  <si>
    <t>V8BE9-70Z7X-JTJ6N</t>
  </si>
  <si>
    <t>NARCW-KL0NJ-J2BVX</t>
  </si>
  <si>
    <t>3DM6I-ZAND5-7LK64</t>
  </si>
  <si>
    <t>The Riftbreaker</t>
  </si>
  <si>
    <t>RVN00-X8YBR-B830F</t>
  </si>
  <si>
    <t>ABZU</t>
  </si>
  <si>
    <t>B4B88-FAXVV-RHAZL</t>
  </si>
  <si>
    <t>5GH79-JV8LA-G9FR6</t>
  </si>
  <si>
    <t>I7GDJ-AMNAJ-EBHVJ</t>
  </si>
  <si>
    <t>MGL4W-77IR9-53C8E</t>
  </si>
  <si>
    <t>JDZJG-AGJXR-FYA2L</t>
  </si>
  <si>
    <t>3M0B0-AXLB8-YV2FX</t>
  </si>
  <si>
    <t>2AP9V-RX3R4-LT00K</t>
  </si>
  <si>
    <t>T2KB4-5XGJ2-JAA8R</t>
  </si>
  <si>
    <t>QJL2I-7W2RD-2QJVY</t>
  </si>
  <si>
    <t>MKVHD-JFJDW-PZEET</t>
  </si>
  <si>
    <t>FV7XB-06B27-35ZLI</t>
  </si>
  <si>
    <t>LMCBG-IAE87-QAZ2J</t>
  </si>
  <si>
    <t>049G9-Z9VX4-VBGG5</t>
  </si>
  <si>
    <t>3X26D-AKBYJ-PF9X3</t>
  </si>
  <si>
    <t>63ZTJ-00HT6-47024</t>
  </si>
  <si>
    <t>HJF9W-WFWLQ-MRCA8</t>
  </si>
  <si>
    <t>3BC3K-D4VMB-E2F6V</t>
  </si>
  <si>
    <t>CQP85-4HLXE-KDF8T</t>
  </si>
  <si>
    <t>YQ90J-C7ERE-ABRL5</t>
  </si>
  <si>
    <t>X3F62-82C0Y-HLPMN</t>
  </si>
  <si>
    <t>A2XLN-A9D4Z-CD5ZR</t>
  </si>
  <si>
    <t>8WGEG-MV0A7-FLLT9</t>
  </si>
  <si>
    <t>EN0CA-DYK58-RZDT0</t>
  </si>
  <si>
    <t>IJFYI-P98W0-IK2WR</t>
  </si>
  <si>
    <t>448EK-E8VWK-Q0R8K</t>
  </si>
  <si>
    <t>Death Stranding Director's Cut</t>
  </si>
  <si>
    <t>X2CG0-ZK86E-G5QLR</t>
  </si>
  <si>
    <t>PMWT0-39AP4-P9KY9</t>
  </si>
  <si>
    <t>IW0MA-FQY8A-PIY5F</t>
  </si>
  <si>
    <t>P44YY-2N8HA-96YE2</t>
  </si>
  <si>
    <t>Age of Empires IV</t>
  </si>
  <si>
    <t>B4QIX-6T9HL-JHZMA</t>
  </si>
  <si>
    <t>W3GZK-V5M08-JNPCG</t>
  </si>
  <si>
    <t>EQETL-VN6JI-2IJR8</t>
  </si>
  <si>
    <t>9PX9D-9HD9E-T8580</t>
  </si>
  <si>
    <t>KGGWR-9PRCZ-C9Q8H</t>
  </si>
  <si>
    <t>JRAFZ-8AYIT-WQNRL</t>
  </si>
  <si>
    <t>63G8W-9AAK6-MTP80</t>
  </si>
  <si>
    <t>IWVYH-KGYGX-WF3VC</t>
  </si>
  <si>
    <t>272VV-5QHPE-ZGR3H</t>
  </si>
  <si>
    <t>25Q0P-BN279-FN2R3</t>
  </si>
  <si>
    <t>397NV-V8MAY-W9V5C</t>
  </si>
  <si>
    <t>W7NGB-JL84L-FJ9ML</t>
  </si>
  <si>
    <t>Football Manager 2022</t>
  </si>
  <si>
    <t>0CM7L-BJK72-P3LQE</t>
  </si>
  <si>
    <t>DL5C7-9ZIX9-RXFMG</t>
  </si>
  <si>
    <t>ZA44N-4IY6I-E6HCV</t>
  </si>
  <si>
    <t>BROK the InvestiGator</t>
  </si>
  <si>
    <t>BFJIX-MHYWZ-ZJ7RM</t>
  </si>
  <si>
    <t>8MT0L-GA9QC-WGI3E</t>
  </si>
  <si>
    <t>Z3WB4-GHYV4-P6IGE</t>
  </si>
  <si>
    <t>MZVFX-KIWTQ-Y6AKP</t>
  </si>
  <si>
    <t>XRF76-T7WXJ-L6HLH</t>
  </si>
  <si>
    <t>3I3Y5-VVZLP-PAHQ5</t>
  </si>
  <si>
    <t>PEFQC-A2BG7-TR5BX</t>
  </si>
  <si>
    <t>PKLTX-HIP34-47DRA</t>
  </si>
  <si>
    <t>B9G30-2TZHH-77FNM</t>
  </si>
  <si>
    <t>GLL4M-4GA35-480G2</t>
  </si>
  <si>
    <t>PKPK2-KXWR8-C5G6H</t>
  </si>
  <si>
    <t>6GQCP-BHGL7-IT42J</t>
  </si>
  <si>
    <t>Puzzle Agent 2</t>
  </si>
  <si>
    <t>QF3KA-8R043-XN9XH</t>
  </si>
  <si>
    <t>LEGO Star Wars: The Skywalker Saga Deluxe Edition</t>
  </si>
  <si>
    <t>LVV3P-NZ8XD-8JF87</t>
  </si>
  <si>
    <t>VE28Q-9LJPT-RRX42</t>
  </si>
  <si>
    <t>C6YFQ-6WWZA-6ZIDX</t>
  </si>
  <si>
    <t>DD52X-MYCXA-Q88MQ</t>
  </si>
  <si>
    <t>VE5VW-AB0KL-AABBD</t>
  </si>
  <si>
    <t>DMALZ-2L6IX-FBJIW</t>
  </si>
  <si>
    <t>6TT87-6NPY7-K7ZA6</t>
  </si>
  <si>
    <t>KD2FL-BB2RN-VZC77</t>
  </si>
  <si>
    <t>NDV3Z-R4BH0-PAHN5</t>
  </si>
  <si>
    <t>7J450-LP6W5-CL7CQ</t>
  </si>
  <si>
    <t>6IWCC-H5FI3-F34N5</t>
  </si>
  <si>
    <t>8LFVR-TPH8V-6JQ6Q</t>
  </si>
  <si>
    <t>5D3A4-DMVHM-T34XE</t>
  </si>
  <si>
    <t>FH7AG-JK49T-9BARG</t>
  </si>
  <si>
    <t>6KP5L-22C6B-Y6V4M</t>
  </si>
  <si>
    <t>T74IW-X5NVK-47JCL</t>
  </si>
  <si>
    <t>MRQAA-8IQXM-VGEP2</t>
  </si>
  <si>
    <t>X40TC-4BI94-7R983</t>
  </si>
  <si>
    <t>Death's Door Deluxe Edition</t>
  </si>
  <si>
    <t>FXYIN-MJBHI-W39M3</t>
  </si>
  <si>
    <t>2RLRQ-4P4AD-NNVNJ</t>
  </si>
  <si>
    <t>FBA2A-XNM3I-L06FD</t>
  </si>
  <si>
    <t>FAJ40-ZQTFX-AHBYY</t>
  </si>
  <si>
    <t>WLI0V-9KCDE-046JQ</t>
  </si>
  <si>
    <t>5VJ5J-QXGD4-3TE8T</t>
  </si>
  <si>
    <t>FCQAD-FR4WC-2Q8D3</t>
  </si>
  <si>
    <t>9PEG2-CMPIV-2WI0T</t>
  </si>
  <si>
    <t>MTCY9-NNYY2-9IIVV</t>
  </si>
  <si>
    <t>ZL988-ZCQ6T-53MJ2</t>
  </si>
  <si>
    <t>Whateverland</t>
  </si>
  <si>
    <t>TF7IV-RD40C-I2XRW</t>
  </si>
  <si>
    <t>T5CT3-KAE7G-9AEZ4</t>
  </si>
  <si>
    <t>60JKQ-Y9AZH-Y6V25</t>
  </si>
  <si>
    <t>3A62J-DICF3-TJ75D</t>
  </si>
  <si>
    <t>GFBK9-R88IP-NJDKH</t>
  </si>
  <si>
    <t>KAL5T-PMKW0-E6RL4</t>
  </si>
  <si>
    <t>HYLHX-9QP7Y-K6JB5</t>
  </si>
  <si>
    <t>3FEFC-Z0EVK-FHEH8</t>
  </si>
  <si>
    <t>68TDG-VWQTN-Z48YG</t>
  </si>
  <si>
    <t>4XB3Q-L3MTL-2I5EW</t>
  </si>
  <si>
    <t>ADK3J-M7TYY-RQFMF</t>
  </si>
  <si>
    <t>GLW3C-V5XYI-GCFZY</t>
  </si>
  <si>
    <t>6R4WG-HYWK2-FRD8Z</t>
  </si>
  <si>
    <t>28M39-AAKXH-2GDE2</t>
  </si>
  <si>
    <t>YXFJL-WNLEQ-WTBLR</t>
  </si>
  <si>
    <t>M6FRW-KQYML-5Q4XA</t>
  </si>
  <si>
    <t>TH6NM-CDPGP-99IV5</t>
  </si>
  <si>
    <t>L5AZX-JV4CZ-W36KN</t>
  </si>
  <si>
    <t>PALTD-NWCZ5-FBDDT</t>
  </si>
  <si>
    <t>6RH36-630PY-WN7KI</t>
  </si>
  <si>
    <t>PXWYB-WE7K3-MJ0ZQ</t>
  </si>
  <si>
    <t>53MWV-APY69-M6H9Q</t>
  </si>
  <si>
    <t>Q5T28-TKEF8-NVPTR</t>
  </si>
  <si>
    <t>BHHH3-3ETRP-43JMQ</t>
  </si>
  <si>
    <t>QJ6JZ-JRBKE-3Z3Z3</t>
  </si>
  <si>
    <t>M0V2Y-RA2ME-BGX9J</t>
  </si>
  <si>
    <t>3KCAP-KXI3C-82EN2</t>
  </si>
  <si>
    <t>46JQI-KGIGK-38XFC</t>
  </si>
  <si>
    <t>G9GNN-B8QFM-GYKRX</t>
  </si>
  <si>
    <t>GFMI8-P6AQ3-ZXIX6</t>
  </si>
  <si>
    <t>64Q74-F5GAZ-F6HN3</t>
  </si>
  <si>
    <t>0VGJ8-V48G2-LTA0F</t>
  </si>
  <si>
    <t>8QRWD-XAWM6-E5LQW</t>
  </si>
  <si>
    <t>5RBKE-3P97F-0F5JL</t>
  </si>
  <si>
    <t>2BE4K-MMM93-0EHIN</t>
  </si>
  <si>
    <t>LNPF9-CBA3W-KB2LY</t>
  </si>
  <si>
    <t>L6EI5-JHVBE-F3H5D</t>
  </si>
  <si>
    <t>CEELA-DBYWZ-EPRH0</t>
  </si>
  <si>
    <t>M7D2F-9QLCJ-FMWTG</t>
  </si>
  <si>
    <t>JN7FB-07Q6X-IXQ7R</t>
  </si>
  <si>
    <t>3NCDN-P72QB-4TP8A</t>
  </si>
  <si>
    <t>H9PPI-HBATM-4KPER</t>
  </si>
  <si>
    <t>NLH26-K80QB-6AZW6</t>
  </si>
  <si>
    <t>MTVL7-N4YN4-L3NLP</t>
  </si>
  <si>
    <t>D7Y3N-JYP4F-7XZX0</t>
  </si>
  <si>
    <t>QKCKF-9DBZF-N3IHY</t>
  </si>
  <si>
    <t>XVNK4-HHQCL-E6LBW</t>
  </si>
  <si>
    <t>QY5X2-4Z923-F7PLA</t>
  </si>
  <si>
    <t>00ZCW-CI8KZ-VD5XD</t>
  </si>
  <si>
    <t>TJJQP-MMYEM-JVW6B</t>
  </si>
  <si>
    <t>569A0-C84WN-8PWWB</t>
  </si>
  <si>
    <t>30PZB-MIGCG-VR57D</t>
  </si>
  <si>
    <t>6GEQL-E93A3-GXZ6K</t>
  </si>
  <si>
    <t>DRF9N-GZ0RK-TC66R</t>
  </si>
  <si>
    <t>X880D-7M5NI-AQ2P4</t>
  </si>
  <si>
    <t>R88Y0-QYX0W-FWXJ3</t>
  </si>
  <si>
    <t>Persona 5 Strikers Digital Deluxe Edition EU</t>
  </si>
  <si>
    <t>J6QYX-2XMTT-CBLIL</t>
  </si>
  <si>
    <t>W7X58-FDC30-93F8G</t>
  </si>
  <si>
    <t>ZNDW9-9DYJ4-YK7QA</t>
  </si>
  <si>
    <t>CN3M5-78MHJ-6JX4P</t>
  </si>
  <si>
    <t>EEB82-9IBMH-CW2T8</t>
  </si>
  <si>
    <t>98359-CKWA4-50J98</t>
  </si>
  <si>
    <t>H2Y52-X0N02-WD4EZ</t>
  </si>
  <si>
    <t>W8W9L-7ERXV-B6JBI</t>
  </si>
  <si>
    <t>LPGGJ-IPGBN-2F30P</t>
  </si>
  <si>
    <t>HYKGX-BAPB5-NJR8T</t>
  </si>
  <si>
    <t>WV8ZN-BC2XG-4ME2W</t>
  </si>
  <si>
    <t>8HDPK-WNXC6-VDEGE</t>
  </si>
  <si>
    <t>4NBG5-WY6A3-EAB5Y</t>
  </si>
  <si>
    <t>A3TVM-5DLJ6-M03I2</t>
  </si>
  <si>
    <t>0IFHW-YTBGC-FA5PT</t>
  </si>
  <si>
    <t>B9BTD-2XC4M-89NG6</t>
  </si>
  <si>
    <t>L55ZL-EBH4X-TNZGL</t>
  </si>
  <si>
    <t>GBIRV-DC8FM-9NDAK</t>
  </si>
  <si>
    <t>HDP8P-FIFC5-2NNHY</t>
  </si>
  <si>
    <t>J0C6A-RYMQQ-ED2TR</t>
  </si>
  <si>
    <t>RIXM5-GD5FD-KL3AE</t>
  </si>
  <si>
    <t>GhostWire: Tokyo</t>
  </si>
  <si>
    <t>7MYG0-PI55F-5J2QH</t>
  </si>
  <si>
    <t>L7MI2-NKENG-XG4Y2</t>
  </si>
  <si>
    <t>QLDRP-9G6XD-72H23</t>
  </si>
  <si>
    <t>990HB-6YZKV-D985P</t>
  </si>
  <si>
    <t>HLW6B-5L09X-NZE4E</t>
  </si>
  <si>
    <t>9CT7E-9FLWQ-GTE64</t>
  </si>
  <si>
    <t>7CT3A-2X9FW-JB8A8</t>
  </si>
  <si>
    <t>G82BX-V5APQ-2MBB9</t>
  </si>
  <si>
    <t>9HLK9-ZR26J-QVDDC</t>
  </si>
  <si>
    <t>Q8MB3-62H2C-D97FK</t>
  </si>
  <si>
    <t>ZJ9YV-9ZQCN-0YWIC</t>
  </si>
  <si>
    <t>9XX68-B0H3A-A9XD0</t>
  </si>
  <si>
    <t>7DK0J-ENJRB-7YCRP</t>
  </si>
  <si>
    <t>J83CX-FR7EJ-7RMDM</t>
  </si>
  <si>
    <t>WTYI0-E0JC7-PHW7B</t>
  </si>
  <si>
    <t>PT5H3-M408F-0IACQ</t>
  </si>
  <si>
    <t>JDA6A-47TZQ-43PR0</t>
  </si>
  <si>
    <t>KPZ2N-LNLB2-588LT</t>
  </si>
  <si>
    <t>HX5FA-JMQEH-TD4HD</t>
  </si>
  <si>
    <t>EMGZZ-9GVYT-VEG9B</t>
  </si>
  <si>
    <t>74922-AQNCA-GR8BF</t>
  </si>
  <si>
    <t>RVNE4-P3Z47-L905D</t>
  </si>
  <si>
    <t>DVX7L-YMB33-L8HQF</t>
  </si>
  <si>
    <t>3ZMZI-PHL8X-VCYQY</t>
  </si>
  <si>
    <t>SuchArt: Genius Artist Simulator</t>
  </si>
  <si>
    <t>WPNX8-K9XYJ-Q9DKL</t>
  </si>
  <si>
    <t>5P025-ZAPBB-J47MD</t>
  </si>
  <si>
    <t>DAM9K-B76FH-0A8TT</t>
  </si>
  <si>
    <t>3N858-J7NZ2-XY3CC</t>
  </si>
  <si>
    <t>CD9R2-GLXXX-8DHLX</t>
  </si>
  <si>
    <t>WQW0L-QX2HK-TKNH5</t>
  </si>
  <si>
    <t>BP8B2-BLYG4-G0Q5P</t>
  </si>
  <si>
    <t>XE4J2-J23AA-PVRVW</t>
  </si>
  <si>
    <t>M6QYV-VTVMP-M5GZM</t>
  </si>
  <si>
    <t>DOOM Eternal EU</t>
  </si>
  <si>
    <t>70DTY-F9FLN-7GXQT</t>
  </si>
  <si>
    <t>As Dusk Falls RoW</t>
  </si>
  <si>
    <t>R8NRV-L75XH-2D92D</t>
  </si>
  <si>
    <t>RimWorld</t>
  </si>
  <si>
    <t>BHK4X-K90R0-IDP49</t>
  </si>
  <si>
    <t>Avicii Invector</t>
  </si>
  <si>
    <t>J7HDF-07ATP-QN4QW</t>
  </si>
  <si>
    <t>VD289-ZHJQG-G8869</t>
  </si>
  <si>
    <t>X0IJQ-CLV6B-MZCYJ</t>
  </si>
  <si>
    <t>4YKNF-9P4E5-2A7NX</t>
  </si>
  <si>
    <t>V32JJ-780D8-439PR</t>
  </si>
  <si>
    <t>GRNQH-6JPCG-9BFWT</t>
  </si>
  <si>
    <t>IIQ6X-9XGCK-V02W8</t>
  </si>
  <si>
    <t>XJTVJ-CAN8I-P9IMG</t>
  </si>
  <si>
    <t>BHWH6-HMYFQ-YZ8MQ</t>
  </si>
  <si>
    <t>THN7M-HF4L9-MBHMR</t>
  </si>
  <si>
    <t>PIRN5-3MVWI-42TVT</t>
  </si>
  <si>
    <t>WBEWV-X3HL6-ZAY7J</t>
  </si>
  <si>
    <t>NXG23-CBWP7-NF6WW</t>
  </si>
  <si>
    <t>WQT0G-6WQ0M-HRIQT</t>
  </si>
  <si>
    <t>88CGW-JFLVP-FJ408</t>
  </si>
  <si>
    <t>6C3QB-IVGCV-MKWW3</t>
  </si>
  <si>
    <t>NJ8GC-Y4BV2-L8QFZ</t>
  </si>
  <si>
    <t>AJL59-RLD6L-6AGA8</t>
  </si>
  <si>
    <t>T7Z88-403NI-MWF26</t>
  </si>
  <si>
    <t>MJN6I-Q6XLI-2XGWH</t>
  </si>
  <si>
    <t>56R4E-4NKII-L8F66</t>
  </si>
  <si>
    <t>T9IRB-7T6CF-X2BZM</t>
  </si>
  <si>
    <t xml:space="preserve">3YMPY-2EEVP-A5LH4
</t>
  </si>
  <si>
    <t>H29N5-C5PA9-0TC50</t>
  </si>
  <si>
    <t>055DA-NX7RQ-H4BP7</t>
  </si>
  <si>
    <t>ACI96-Y38A3-INCWM</t>
  </si>
  <si>
    <t>D9DM8-IAD7N-RX24B</t>
  </si>
  <si>
    <t>6BMYW-NJRBA-5FBGY</t>
  </si>
  <si>
    <t>N5N2Z-LXH7H-ELNNC</t>
  </si>
  <si>
    <t>PT79C-IJZCX-C76FF</t>
  </si>
  <si>
    <t>Carrion</t>
  </si>
  <si>
    <t>9QPBA-4ENPI-FCJVM</t>
  </si>
  <si>
    <t>CWVXR-JTVGD-E4B5C</t>
  </si>
  <si>
    <t>L7R0R-3DY4H-ZIEF8</t>
  </si>
  <si>
    <t>PR0J0-F9TDJ-P0AWZ</t>
  </si>
  <si>
    <t>9ZZ65-2NCH3-3FCTR</t>
  </si>
  <si>
    <t>52CX9-E3IF7-9KPP6</t>
  </si>
  <si>
    <t>JJWRG-MVWMR-0X2ZL</t>
  </si>
  <si>
    <t>IX3KL-CDF52-RG2P9</t>
  </si>
  <si>
    <t>KPGGL-HAC7P-5T2II</t>
  </si>
  <si>
    <t>We Were Here Forever</t>
  </si>
  <si>
    <t>74GTA-KGE6N-AKBJG</t>
  </si>
  <si>
    <t>LIHEK-7W0G2-9RTCA</t>
  </si>
  <si>
    <t>WW0QJ-DE2JJ-ZAAL9</t>
  </si>
  <si>
    <t>T3PW3-NQ24A-BJMLX</t>
  </si>
  <si>
    <t>CDYDW-89NRJ-0TGJW</t>
  </si>
  <si>
    <t>985R8-T4V5A-9WCPM</t>
  </si>
  <si>
    <t>77435-PTL04-KXXQT</t>
  </si>
  <si>
    <t>W9CZP-KEADB-07WDG</t>
  </si>
  <si>
    <t>ACR5T-FAJLP-TBXIE</t>
  </si>
  <si>
    <t>27Q8X-554DN-6YCTC</t>
  </si>
  <si>
    <t>JFF94-B94G8-XEZYW</t>
  </si>
  <si>
    <t>NLD9Y-D2XM3-AD7CF</t>
  </si>
  <si>
    <t>KH6XY-IB327-96WAI</t>
  </si>
  <si>
    <t>L854T-AGTE7-56RM6</t>
  </si>
  <si>
    <t>IXVXV-V2FV2-4YMYK</t>
  </si>
  <si>
    <t>Return to Monkey Island</t>
  </si>
  <si>
    <t>9EP9F-PKXKQ-HF95Q</t>
  </si>
  <si>
    <t>BZ8CW-83I72-BPRLC</t>
  </si>
  <si>
    <t>Marvel's Midnight Suns</t>
  </si>
  <si>
    <t>GLY7F-7FFHC-36V0Y</t>
  </si>
  <si>
    <t>Persona 5 Royal EU</t>
  </si>
  <si>
    <t>XHN07-X0D5Y-D0EZD</t>
  </si>
  <si>
    <t>M43EL-TP2D8-3YB6A</t>
  </si>
  <si>
    <t>Marvel's Midnight Suns EU</t>
  </si>
  <si>
    <t>F99C7-4VCYY-90E4I</t>
  </si>
  <si>
    <t>2EJLA-7K3X2-XVJNN</t>
  </si>
  <si>
    <t>D324B-3C97V-WPLDF</t>
  </si>
  <si>
    <t>IG5QB-WQBLV-75M5C</t>
  </si>
  <si>
    <t>8B793-JVMNK-5723P</t>
  </si>
  <si>
    <t>LQ8JV-DQHHX-QW6RA</t>
  </si>
  <si>
    <t>E4KRY-L3ZC7-ZRDN4</t>
  </si>
  <si>
    <t>GP5HE-ENN2D-XM72V</t>
  </si>
  <si>
    <t>BR6G5-7HX6Q-08L92</t>
  </si>
  <si>
    <t>TTX4B-XL7CG-2AGAX</t>
  </si>
  <si>
    <t>PWP8R-3F996-WDH4T</t>
  </si>
  <si>
    <t>8845P-Z9CJJ-VM47M</t>
  </si>
  <si>
    <t>LAB83-98WQY-5VNR7</t>
  </si>
  <si>
    <t>Sid Meier’s Civilization VI Anthology</t>
  </si>
  <si>
    <t>Y87BI-QHPHF-LP97H</t>
  </si>
  <si>
    <t>6Q7XJ-A9J5Q-QKKN3</t>
  </si>
  <si>
    <t>High On Life</t>
  </si>
  <si>
    <t>VR2HR-9CRXY-FY3FF</t>
  </si>
  <si>
    <t>Children of Silentown</t>
  </si>
  <si>
    <t>CAHY3-YHEQN-VHGPN</t>
  </si>
  <si>
    <t>Z624V-TIZ30-HCWNT</t>
  </si>
  <si>
    <t>ANQ53-TNM5Z-2WPHN</t>
  </si>
  <si>
    <t>A3J7M-Y3A4W-G9VXZ</t>
  </si>
  <si>
    <t>R90DJ-CIGFZ-FHQYZ</t>
  </si>
  <si>
    <t>bouncemail</t>
  </si>
  <si>
    <t>A4N5G-JLTGE-ZLF2D</t>
  </si>
  <si>
    <t>JAJ5F-G5P2D-DL8VB</t>
  </si>
  <si>
    <t>TZEV9-452Z2-HXRN3</t>
  </si>
  <si>
    <t>HJNJ2-T2FVZ-A5JX5</t>
  </si>
  <si>
    <t>Syberia: The World Before</t>
  </si>
  <si>
    <t>Y5VMQ-EEXTV-Z99EZ</t>
  </si>
  <si>
    <t>8LG2T-GE9CA-0I5DJ</t>
  </si>
  <si>
    <t>WK5KF-AMC9V-KDCFP</t>
  </si>
  <si>
    <t>QFCRF-LT9PW-ECDLR</t>
  </si>
  <si>
    <t>VZLVK-WY4QN-DYH3C</t>
  </si>
  <si>
    <t>9DH9E-25LD4-4AGMK</t>
  </si>
  <si>
    <t>MH3NC-44EKN-YBM6T</t>
  </si>
  <si>
    <t>BJNZQ-9PQIY-QE3EH</t>
  </si>
  <si>
    <t>KYDGM-N692Z-6Q3HH</t>
  </si>
  <si>
    <t>ED6HG-0ALMH-L3G4Q</t>
  </si>
  <si>
    <t>XPYRZ-EBW39-C3ZQ5</t>
  </si>
  <si>
    <t>MIEYH-JXKCA-HXHIR</t>
  </si>
  <si>
    <t>PKGT7-WX9VQ-G4NPD</t>
  </si>
  <si>
    <t>AVICII Invector: Encore Edition</t>
  </si>
  <si>
    <t>GWZJV-7B5I7-9A596</t>
  </si>
  <si>
    <t>HITMAN 3</t>
  </si>
  <si>
    <t>3N4Q0-Y0L80-V4GB5</t>
  </si>
  <si>
    <t>RII0F-FTVX2-WB2XK</t>
  </si>
  <si>
    <t>N9D3P-QC5KP-NBIRX</t>
  </si>
  <si>
    <t>XMFIL-BN35T-8M7VT</t>
  </si>
  <si>
    <t>ZTVNM-CCZ8I-4Z6B6</t>
  </si>
  <si>
    <t>profilmedia</t>
  </si>
  <si>
    <t>E9C5M-EJQRZ-R7THW</t>
  </si>
  <si>
    <t>Q7XHI-H9TPV-W066C</t>
  </si>
  <si>
    <t>E86VM-N67NA-I3ND0</t>
  </si>
  <si>
    <t>8RBYN-9MKBA-FE5Z7</t>
  </si>
  <si>
    <t>VD9CN-6BGCA-JJ0NC</t>
  </si>
  <si>
    <t>0PBCT-P687Q-3G8Y8</t>
  </si>
  <si>
    <t>Road 96</t>
  </si>
  <si>
    <t>EAVRL-PZB22-B5NPK</t>
  </si>
  <si>
    <t>AM6FG-0ZFZE-Z9WDM</t>
  </si>
  <si>
    <t>AD4KB-6ZBHF-ZT77W</t>
  </si>
  <si>
    <t>VMJYW-8KM2H-T06QQ</t>
  </si>
  <si>
    <t>V Rising</t>
  </si>
  <si>
    <t>G8LZA-H3Z78-3HP8M</t>
  </si>
  <si>
    <t>NIY8L-WBKNM-JHD97</t>
  </si>
  <si>
    <t>Blood Bowl 2 Legendary Edition</t>
  </si>
  <si>
    <t>8TZLX-HTEJC-NIJXI</t>
  </si>
  <si>
    <t>War Mongrels</t>
  </si>
  <si>
    <t>HCW4V-EPA7J-GMPI0</t>
  </si>
  <si>
    <t>GKXRQ-F8E65-335GX</t>
  </si>
  <si>
    <t>DW8NB-K5JLB-PAFNL</t>
  </si>
  <si>
    <t>HCRYC-MARZ4-EZJXE</t>
  </si>
  <si>
    <t>NI2MJ-3GGWC-TD5QG</t>
  </si>
  <si>
    <t>Internet Cafe Simulator 2</t>
  </si>
  <si>
    <t>IEPQE-P0DJT-LTG98</t>
  </si>
  <si>
    <t>QQD7N-MAX20-M3IWY</t>
  </si>
  <si>
    <t>WEE5C-9B7TX-37W6C</t>
  </si>
  <si>
    <t>QZJMY-GG57J-Y9VJJ</t>
  </si>
  <si>
    <t>2PAP9-T2LNW-WJNV5</t>
  </si>
  <si>
    <t>Cook, Serve, Delicious! 2!!</t>
  </si>
  <si>
    <t>CFYHZ-CPN2F-R9F4E</t>
  </si>
  <si>
    <t>K56QZ-FNCJR-GNZ57</t>
  </si>
  <si>
    <t>JIRCT-Q9AAH-FBAEY</t>
  </si>
  <si>
    <t>2E0YJ-MHXHY-Z6NNJ</t>
  </si>
  <si>
    <t>XDP9K-IZAMK-L9693</t>
  </si>
  <si>
    <t>R74KA-EIEDA-H2NKZ</t>
  </si>
  <si>
    <t>XDIKK-6G3MM-AJWI8</t>
  </si>
  <si>
    <t>39WFG-ZCDQF-XDLRP</t>
  </si>
  <si>
    <t>0DG6W-783L4-J92RQ</t>
  </si>
  <si>
    <t>0QQLJ-20DZ5-67YHY</t>
  </si>
  <si>
    <t>B0AMY-T4IYT-8AFRP</t>
  </si>
  <si>
    <t>FFF08-BMCWV-4Q03A</t>
  </si>
  <si>
    <t>N303F-JRC7I-C3BH6</t>
  </si>
  <si>
    <t>3DXJZ-B37A2-EGX3B</t>
  </si>
  <si>
    <t>YCKV5-BJYP7-5NVGN</t>
  </si>
  <si>
    <t>P6FV4-EWBMY-GAXQC</t>
  </si>
  <si>
    <t>FI2W2-VJTQ6-7W4M4</t>
  </si>
  <si>
    <t>JFW2F-36GR5-58IN7</t>
  </si>
  <si>
    <t>74ZIL-6C3W4-E8G7J</t>
  </si>
  <si>
    <t>B9H8N-Y6244-FGV6Z</t>
  </si>
  <si>
    <t>Persona 3 Portable EU</t>
  </si>
  <si>
    <t>8PJIZ-QRVZJ-DNKZE</t>
  </si>
  <si>
    <t>FATAL FRAME / PROJECT ZERO: Maiden of Black Water</t>
  </si>
  <si>
    <t>QDCYK-YJ0CZ-PDFF4</t>
  </si>
  <si>
    <t>E7KCZ-LYXR0-KPXPE</t>
  </si>
  <si>
    <t>WLIEN-TMMY5-KK6XQ</t>
  </si>
  <si>
    <t>Gotham Knights</t>
  </si>
  <si>
    <t>LAQEZ-WHQ7H-2G58K</t>
  </si>
  <si>
    <t>CF8MA-R5WRL-GXWVI</t>
  </si>
  <si>
    <t>5XWJL-HN8AT-MEXWM</t>
  </si>
  <si>
    <t>0N946-ZVHB3-09AVC</t>
  </si>
  <si>
    <t>Y64B8-G9XB7-67AF2</t>
  </si>
  <si>
    <t>8DGC5-20YCP-FNA5A</t>
  </si>
  <si>
    <t>7NXB4-QCWIC-P7M7F</t>
  </si>
  <si>
    <t>Project Wingman</t>
  </si>
  <si>
    <t>8YNKE-2YL6E-LVBNQ</t>
  </si>
  <si>
    <t>Gotham Knights EU</t>
  </si>
  <si>
    <t>P87WP-9JG4R-YYW2E</t>
  </si>
  <si>
    <t>SpellForce: Conquest of Eo</t>
  </si>
  <si>
    <t>P37W5-NJT2H-MNWJ8</t>
  </si>
  <si>
    <t>8VZEF-E68KP-QGPPM</t>
  </si>
  <si>
    <t>FG6RP-ZGCPY-8ALJL</t>
  </si>
  <si>
    <t>79RC4-H9IZ6-0JGXB</t>
  </si>
  <si>
    <t>TDM78-JVGLW-JPPD4</t>
  </si>
  <si>
    <t>7H6E0-TAGLQ-8KZTL</t>
  </si>
  <si>
    <t>8NAIV-VBLGN-LHTP3</t>
  </si>
  <si>
    <t>CIBNQ-9W0EH-VYXEA</t>
  </si>
  <si>
    <t>8QEBM-Z3YK7-FB3VT</t>
  </si>
  <si>
    <t>QZFR3-I73A2-RBWBK</t>
  </si>
  <si>
    <t>W4298-Q0KHG-3G0D4</t>
  </si>
  <si>
    <t>DYBKN-FVTK8-DXB8C</t>
  </si>
  <si>
    <t>3QR4E-9MRXR-FQLXH</t>
  </si>
  <si>
    <t>WL0AA-4Z9BJ-8YZJT</t>
  </si>
  <si>
    <t>FD0RG-VN70P-7CWVA</t>
  </si>
  <si>
    <t>GB6Y2-086T6-DKW94</t>
  </si>
  <si>
    <t>Y8DVY-3FQAG-608WY</t>
  </si>
  <si>
    <t>T0EGV-MTAP3-NA72L</t>
  </si>
  <si>
    <t>IGV9J-0RZN3-5PW3K</t>
  </si>
  <si>
    <t>J3272-CN5NR-IEDEC</t>
  </si>
  <si>
    <t>9G0K6-V4JLJ-GQHRP</t>
  </si>
  <si>
    <t>CJJAJ-XDB3P-B9BX4</t>
  </si>
  <si>
    <t>9X47N-2TDER-5QK7H</t>
  </si>
  <si>
    <t>N6YCM-VJAAG-E2394</t>
  </si>
  <si>
    <t>8KA8B-BYDL3-09P0T</t>
  </si>
  <si>
    <t>PAP6R-HY4YG-QJE5L</t>
  </si>
  <si>
    <t>8IYNT-QM33E-ZH3XM</t>
  </si>
  <si>
    <t>NCDYK-96VAZ-WDTHR</t>
  </si>
  <si>
    <t>WI36P-K4ZDA-ADDWT</t>
  </si>
  <si>
    <t>LFFMY-ENJWA-KENRW</t>
  </si>
  <si>
    <t>I82R4-40VMC-TYE69</t>
  </si>
  <si>
    <t>E3MYJ-N9LHI-RYIF3</t>
  </si>
  <si>
    <t>3XC2Y-RRVC2-YGBJE</t>
  </si>
  <si>
    <t>H6ER9-EVQGN-MLXPF</t>
  </si>
  <si>
    <t>D5898-0G7EX-FT5DM</t>
  </si>
  <si>
    <t>HDGKT-MCRIA-IQDE9</t>
  </si>
  <si>
    <t>G5BAM-8AYKC-AY22Q</t>
  </si>
  <si>
    <t>TH5B2-9T82D-W29XI</t>
  </si>
  <si>
    <t>Sonic Frontiers EU</t>
  </si>
  <si>
    <t>KVVAD-VVEMI-BZ075</t>
  </si>
  <si>
    <t>83I3D-0RFZX-YGHE5</t>
  </si>
  <si>
    <t>494W9-AP3KG-0ICWY</t>
  </si>
  <si>
    <t>0H34Q-HP6KF-6IEN4</t>
  </si>
  <si>
    <t>9MT2B-EF4B0-RFMRD</t>
  </si>
  <si>
    <t>86DFC-G9JBP-7N84Y</t>
  </si>
  <si>
    <t>8G6M7-CYB6H-CDDAZ</t>
  </si>
  <si>
    <t>QDFH7-G7NNQ-0M9DM</t>
  </si>
  <si>
    <t>02JY9-QH73T-0VDKJ</t>
  </si>
  <si>
    <t>X9PGW-PLIBY-GAXLW</t>
  </si>
  <si>
    <t>XZ66C-TC4BA-5BEBB</t>
  </si>
  <si>
    <t>M63GV-KJVYR-L02W0</t>
  </si>
  <si>
    <t>DTPQY-4EWPQ-YNNEG</t>
  </si>
  <si>
    <t>8RWXZ-WQAG0-A8LP3</t>
  </si>
  <si>
    <t>9HDBL-67D77-YD74G</t>
  </si>
  <si>
    <t>NRERM-BFEWA-KPJJN</t>
  </si>
  <si>
    <t>MTPFX-PVVZ9-TL5HK</t>
  </si>
  <si>
    <t>K4Y5W-V50JI-XF3IB</t>
  </si>
  <si>
    <t>9356N-XAW73-KIQTG</t>
  </si>
  <si>
    <t>8ZRDG-K9L8C-JZP4R</t>
  </si>
  <si>
    <t>PERISH</t>
  </si>
  <si>
    <t>ZHHLM-ZCL5H-QQ9J5</t>
  </si>
  <si>
    <t>Slay the Spire EU</t>
  </si>
  <si>
    <t>8IARF-0Q340-6L7GQ</t>
  </si>
  <si>
    <t>3HXTG-C8HL0-GENWE</t>
  </si>
  <si>
    <t>IH6P3-HIE5G-5F6AI</t>
  </si>
  <si>
    <t>EIG24-J9DBL-8J48Z</t>
  </si>
  <si>
    <t>I3EBJ-YAYWY-9GM08</t>
  </si>
  <si>
    <t>IVG6J-XB040-03TT0</t>
  </si>
  <si>
    <t>Y2AWH-YDC42-69CAE</t>
  </si>
  <si>
    <t>JYA9J-G4J9V-CWYMT</t>
  </si>
  <si>
    <t>47AE0-GDMEF-QLH34</t>
  </si>
  <si>
    <t>5EDP6-H8GYR-ZAZ56</t>
  </si>
  <si>
    <t>LA9IP-HVCR5-0636A</t>
  </si>
  <si>
    <t>GDAWK-M0Y5P-2VEWK</t>
  </si>
  <si>
    <t>N5P6P-W7LKI-XQLLJ</t>
  </si>
  <si>
    <t>PIN2F-47ZLF-58Y9B</t>
  </si>
  <si>
    <t>LT2MZ-PHGLM-CNGIE</t>
  </si>
  <si>
    <t>4HI9D-ZQJPC-N4YCC</t>
  </si>
  <si>
    <t>CYPVR-X3356-AWTI2</t>
  </si>
  <si>
    <t>BZDLE-NT2BP-WHFHX</t>
  </si>
  <si>
    <t>GL3L3-F0EK4-3ECC4</t>
  </si>
  <si>
    <t>FTBFL-7BMK4-JWKJT</t>
  </si>
  <si>
    <t>2CQFL-IV95Z-C3939</t>
  </si>
  <si>
    <t>82PWW-7HK0N-HPZFN</t>
  </si>
  <si>
    <t>5K4AG-MXH6M-4L89Y</t>
  </si>
  <si>
    <t>6NLMV-9LVGN-KN6CP</t>
  </si>
  <si>
    <t>H36CM-0TKQ2-BBYAG</t>
  </si>
  <si>
    <t>GZ7P7-26HHE-TPR4J</t>
  </si>
  <si>
    <t>VQVKT-WREXZ-5HACZ</t>
  </si>
  <si>
    <t>NIL7M-D6QG0-DA50M</t>
  </si>
  <si>
    <t>GZMIQ-7D63X-BCR5M</t>
  </si>
  <si>
    <t>8J6ZW-MMGFA-BHZQQ</t>
  </si>
  <si>
    <t>I9AXC-TGNR5-79C0W</t>
  </si>
  <si>
    <t>F3I22-M53J4-04IGZ</t>
  </si>
  <si>
    <t>FZR5V-I05HJ-CL8XM</t>
  </si>
  <si>
    <t>DVNIN-88LP3-DCNAM</t>
  </si>
  <si>
    <t>Tropico 6 El Prez Edition</t>
  </si>
  <si>
    <t>AFVZ5-GD6N2-8N70M</t>
  </si>
  <si>
    <t>Undisputed</t>
  </si>
  <si>
    <t>EPAW5-0MQTW-YHV4R</t>
  </si>
  <si>
    <t>J9990-GR2N2-85YB9</t>
  </si>
  <si>
    <t>MKF64-JKMV7-2ECJM</t>
  </si>
  <si>
    <t>7F2VC-58024-33XDD</t>
  </si>
  <si>
    <t>GPZ4W-8MFGY-H6C8Z</t>
  </si>
  <si>
    <t>Z36P5-XIL28-9NGKK</t>
  </si>
  <si>
    <t>HX2AQ-0DHQN-XB4BI</t>
  </si>
  <si>
    <t>L8ZX9-9PH77-II7QB</t>
  </si>
  <si>
    <t>AG75N-W46WQ-78C5A</t>
  </si>
  <si>
    <t>2VCDG-DDVHC-4AP3Q</t>
  </si>
  <si>
    <t>EYKVI-FD2M4-JP38B</t>
  </si>
  <si>
    <t>9JH7R-58M33-P3IP0</t>
  </si>
  <si>
    <t>90E40-9DT7I-BHPQD</t>
  </si>
  <si>
    <t>2XPE8-9VK4R-V5EDN</t>
  </si>
  <si>
    <t>CL6NF-LIML9-08TWV</t>
  </si>
  <si>
    <t>GI34J-53J4Z-ME6WP</t>
  </si>
  <si>
    <t>H8094-XY6BK-K9A4Q</t>
  </si>
  <si>
    <t>LN0ZN-92IZP-NVH49</t>
  </si>
  <si>
    <t>2GQ83-H8EL5-0P0JC</t>
  </si>
  <si>
    <t>BY27H-MYAGT-FFGF7</t>
  </si>
  <si>
    <t>372ZA-43FHR-FRGD8</t>
  </si>
  <si>
    <t>46MW4-MRRID-3LN9G</t>
  </si>
  <si>
    <t>N0037-TFAMJ-8WVNT</t>
  </si>
  <si>
    <t>3HY5X-30Y84-M9YH5</t>
  </si>
  <si>
    <t>RX6YF-AHJ62-DZ767</t>
  </si>
  <si>
    <t>22NJ8-ZNCV0-QGZ4Q</t>
  </si>
  <si>
    <t>AJ6P8-KHAV7-KPT33</t>
  </si>
  <si>
    <t>TNBHP-40IN2-HJMLY</t>
  </si>
  <si>
    <t>R28HC-G34R6-430L9</t>
  </si>
  <si>
    <t>JN9RP-ML6C5-KYBTV</t>
  </si>
  <si>
    <t>00RB0-LKEF3-B9LGM</t>
  </si>
  <si>
    <t>P3V7B-H824R-GKCJ5</t>
  </si>
  <si>
    <t>G8X0I-L64AG-JMXGW</t>
  </si>
  <si>
    <t>7DXCL-P4KW5-NLAAB</t>
  </si>
  <si>
    <t>3Z3K4-QAN5Z-0CVLY</t>
  </si>
  <si>
    <t>FFK0B-6ACGY-8GBAJ</t>
  </si>
  <si>
    <t>3036V-M7DND-QMGVI</t>
  </si>
  <si>
    <t>E7LCN-F3CPT-Y6F9E</t>
  </si>
  <si>
    <t>LALYD-BW9KR-NIQWQ</t>
  </si>
  <si>
    <t>X9YZT-LHHPM-VGGYL</t>
  </si>
  <si>
    <t>BLV0M-3L8M2-W5Y40</t>
  </si>
  <si>
    <t>Y99EP-6NDNZ-PJKEQ</t>
  </si>
  <si>
    <t>9AGIK-LLGM3-BF4MD</t>
  </si>
  <si>
    <t>8XWBC-DPIKF-GGQLE</t>
  </si>
  <si>
    <t>88XZC-59WIE-YPLDH</t>
  </si>
  <si>
    <t>Wolcen: Lords of Mayhem</t>
  </si>
  <si>
    <t>3FICA-9XYT8-4TQ8Q</t>
  </si>
  <si>
    <t>JFEW8-2J22A-CEXGV</t>
  </si>
  <si>
    <t>AMH6B-7M664-K32XJ</t>
  </si>
  <si>
    <t>H7WC2-7EGRM-IRE00</t>
  </si>
  <si>
    <t>ZCGEN-9RC9G-BBEQ3</t>
  </si>
  <si>
    <t>7IQ35-7MJDG-6DEZM</t>
  </si>
  <si>
    <t>XLVQN-F8Q25-V8N4X</t>
  </si>
  <si>
    <t>8P9NV-8GCG0-P48YN</t>
  </si>
  <si>
    <t>VBGL6-LLVEI-T5RJ7</t>
  </si>
  <si>
    <t>IPCRG-QVM04-8A24Y</t>
  </si>
  <si>
    <t>957GZ-5P6E9-N8WV0</t>
  </si>
  <si>
    <t>YKPTF-74MQK-I0HHN</t>
  </si>
  <si>
    <t>K4PXC-D43XG-04VGF</t>
  </si>
  <si>
    <t>QEAMA-HZ9GL-LYLHV</t>
  </si>
  <si>
    <t>HGN5K-D8LTJ-NKP97</t>
  </si>
  <si>
    <t>KIZF7-97F0E-XFAW2</t>
  </si>
  <si>
    <t>36Z2X-WVXW0-4NK30</t>
  </si>
  <si>
    <t>RHATW-MCAA9-QLZVE</t>
  </si>
  <si>
    <t>EIWQC-FE220-I2VMK</t>
  </si>
  <si>
    <t>4IE78-6VQ4J-5WZBK</t>
  </si>
  <si>
    <t>TBTKJ-A3LT2-CBDXR</t>
  </si>
  <si>
    <t>M8V3P-Y3VPM-P04IC</t>
  </si>
  <si>
    <t>I4RXV-B64T7-KD9AY</t>
  </si>
  <si>
    <t>T7FZA-GM4WV-BXZC7</t>
  </si>
  <si>
    <t>07QRW-DAL25-WHTNA</t>
  </si>
  <si>
    <t>8ZFMI-Y5EC9-WVK3V</t>
  </si>
  <si>
    <t>PVVPK-WZZCB-IJ79R</t>
  </si>
  <si>
    <t>274Q0-DZFD7-HVKD3</t>
  </si>
  <si>
    <t>GTPKT-M5H8J-ZRNJ9</t>
  </si>
  <si>
    <t>47IEG-3RIW9-P0FVL</t>
  </si>
  <si>
    <t>9MZKF-2FDJR-49TI8</t>
  </si>
  <si>
    <t>W6C66-ZPLK0-IQBNX</t>
  </si>
  <si>
    <t>NQG6V-WHJWC-H0LHT</t>
  </si>
  <si>
    <t>DZH44-J49XT-JLDAN</t>
  </si>
  <si>
    <t>Q66G5-DV60L-GKZAK</t>
  </si>
  <si>
    <t>8GGDA-MXXAD-PE83R</t>
  </si>
  <si>
    <t>G63AX-PD3R6-W0CLG</t>
  </si>
  <si>
    <t>JGCG4-I8DAI-C7CNN</t>
  </si>
  <si>
    <t>9FA27-YPPEM-86K2P</t>
  </si>
  <si>
    <t>ZTZFR-VMI0T-G7M9W</t>
  </si>
  <si>
    <t>B2HWN-VWAYW-4A6GH</t>
  </si>
  <si>
    <t>9A8TX-D0T6G-HKDAX</t>
  </si>
  <si>
    <t>EIGGA-E2XWR-JB6D4</t>
  </si>
  <si>
    <t>HZQRR-J2NJN-AB6FZ</t>
  </si>
  <si>
    <t>7EZ2P-G8LXG-CYRXR</t>
  </si>
  <si>
    <t>2DID7-DCYCL-H6QZ3</t>
  </si>
  <si>
    <t>AB45X-BMYZN-V3HKA</t>
  </si>
  <si>
    <t>D8L9L-8FGQJ-YBTWW</t>
  </si>
  <si>
    <t>GELBN-QVMVI-M3LK7</t>
  </si>
  <si>
    <t>ANDH5-TFNFQ-4BWQQ</t>
  </si>
  <si>
    <t>WIWZB-G5R33-BYD5M</t>
  </si>
  <si>
    <t>WNVZY-BVVPB-4TFG8</t>
  </si>
  <si>
    <t>3C627-T4YIE-9ZEWL</t>
  </si>
  <si>
    <t xml:space="preserve">Battle Brothers </t>
  </si>
  <si>
    <t>V6N6V-HA9X5-F52N0</t>
  </si>
  <si>
    <t>TK327-7QET8-Q7TB8</t>
  </si>
  <si>
    <t>PEQE5-PXYNQ-2WFW8</t>
  </si>
  <si>
    <t>DNDBR-A8NLH-TWGLK</t>
  </si>
  <si>
    <t>8NYHB-EB7A3-38ZJM</t>
  </si>
  <si>
    <t>RWDK2-G7E75-C279V</t>
  </si>
  <si>
    <t>8INPP-NLJAN-ZN7D2</t>
  </si>
  <si>
    <t>5347M-MNKR7-JY08J</t>
  </si>
  <si>
    <t>H24BJ-RZGI2-6TLEJ</t>
  </si>
  <si>
    <t>DTEB3-JRICF-NB3NV</t>
  </si>
  <si>
    <t>9TZB2-03LFQ-8TLIE</t>
  </si>
  <si>
    <t>JCQN0-9YZET-8KCJ0</t>
  </si>
  <si>
    <t>PQ2MD-KARPV-NBIR5</t>
  </si>
  <si>
    <t>Q49NQ-LRNJ2-VKNZ8</t>
  </si>
  <si>
    <t>8ZH07-279M3-6JP6E</t>
  </si>
  <si>
    <t>CG20N-AL7IB-EV7IB</t>
  </si>
  <si>
    <t>ICYCW-6PWMR-0YX82</t>
  </si>
  <si>
    <t>00WJ3-ARHB3-8LC0L</t>
  </si>
  <si>
    <t>NP4I8-945ZT-ERNCZ</t>
  </si>
  <si>
    <t>FQPXX-JPNDT-JI50L</t>
  </si>
  <si>
    <t>GM5PF-R0C38-FZD5Y</t>
  </si>
  <si>
    <t>GBFXL-IBH9T-YGXHL</t>
  </si>
  <si>
    <t>B7GNY-8XNEZ-VNT98</t>
  </si>
  <si>
    <t>The Elder Scrolls V: Skyrim Anniversary Edition</t>
  </si>
  <si>
    <t>CZ8VT-IE668-2F4PX</t>
  </si>
  <si>
    <t>IKM0L-6FTYE-YD2N5</t>
  </si>
  <si>
    <t>9DGA3-YYJGX-BHZQE</t>
  </si>
  <si>
    <t>Z2I6T-JR3MT-2VFC6</t>
  </si>
  <si>
    <t>6W7PL-4CVFM-ZR5ZT</t>
  </si>
  <si>
    <t>FXLK4-E5D8H-XPM9G</t>
  </si>
  <si>
    <t>IQT6A-ZLJJH-6I2PF</t>
  </si>
  <si>
    <t>GP7K6-ELQ2J-9Z9E2</t>
  </si>
  <si>
    <t>MGZRR-239QW-4D9IX</t>
  </si>
  <si>
    <t>X6HJC-WNIIB-9F06Y</t>
  </si>
  <si>
    <t>ZC6TF-8HECA-VFQZ7</t>
  </si>
  <si>
    <t>2DL4X-0N5NF-LNDHH</t>
  </si>
  <si>
    <t>IVR5D-MGVP4-3XD98</t>
  </si>
  <si>
    <t>HTIY3-0XBH2-BA8QJ</t>
  </si>
  <si>
    <t>TTP8D-7YRDV-P504C</t>
  </si>
  <si>
    <t>ZW4B5-DCM4G-AFX6N</t>
  </si>
  <si>
    <t>P9M4J-F2Q7P-FP9X7</t>
  </si>
  <si>
    <t>9JT4I-DQ7KA-P4QRE</t>
  </si>
  <si>
    <t>I0LYC-XGVHJ-67565</t>
  </si>
  <si>
    <t>FVYD3-XE2L7-KH6J9</t>
  </si>
  <si>
    <t>J8BI5-JYRD7-RHL08</t>
  </si>
  <si>
    <t>INYY4-42BKM-M20ZM</t>
  </si>
  <si>
    <t>F4PJ4-KJ4WR-R7Z86</t>
  </si>
  <si>
    <t>ETBDR-L4DQ5-J432E</t>
  </si>
  <si>
    <t>L6XLT-P3KIE-IMQ0Y</t>
  </si>
  <si>
    <t>Two Point Campus EU</t>
  </si>
  <si>
    <t>2A3LM-BR2YT-E4AVI</t>
  </si>
  <si>
    <t>EBJTX-3Z7WK-Z28HZ</t>
  </si>
  <si>
    <t>MMNGV-NQHIA-AQ86F</t>
  </si>
  <si>
    <t>HVXCV-EVZ4Q-X2LKH</t>
  </si>
  <si>
    <t>FWL6L-XXN29-6M809</t>
  </si>
  <si>
    <t>GCPGX-X3EZ7-ZMWM4</t>
  </si>
  <si>
    <t>JIQXK-YHWNW-62ND5</t>
  </si>
  <si>
    <t>NGXRQ-B5VCR-RYJ8K</t>
  </si>
  <si>
    <t>TZK0X-JZ454-JGIXC</t>
  </si>
  <si>
    <t>3GRLZ-B8FVA-4F3TQ</t>
  </si>
  <si>
    <t>F3MM3-2KVJH-K7ZQ9</t>
  </si>
  <si>
    <t>AT94J-92QXI-PD2NE</t>
  </si>
  <si>
    <t>N4B8Z-HE87Q-5ZNKK</t>
  </si>
  <si>
    <t>55NZH-4QKYJ-ZY960</t>
  </si>
  <si>
    <t>CGL82-CCNKB-LW2H7</t>
  </si>
  <si>
    <t>N5ACW-YCWCV-QTFCF</t>
  </si>
  <si>
    <t>E4PP3-PK87A-ZX9E9</t>
  </si>
  <si>
    <t>Figment 2: Creed Valley</t>
  </si>
  <si>
    <t>2ANTF-CP0M3-04GFY</t>
  </si>
  <si>
    <t>HH8M2-ZZYLW-RG2JR</t>
  </si>
  <si>
    <t>NRA6K-3ZY54-YGHKD</t>
  </si>
  <si>
    <t>J2HZK-9YQ7H-CZ4BI</t>
  </si>
  <si>
    <t>5WFQW-KPYAJ-VA8CX</t>
  </si>
  <si>
    <t>shapez</t>
  </si>
  <si>
    <t>IXE34-E93C6-BXZ5T</t>
  </si>
  <si>
    <t>0G2E0-C3TCJ-XNCFH</t>
  </si>
  <si>
    <t>B28N0-APAY9-M5VJW</t>
  </si>
  <si>
    <t>Y9VVF-X4C68-6759G</t>
  </si>
  <si>
    <t>BWPRV-7MJ09-3GGDR</t>
  </si>
  <si>
    <t>F54BH-EMBJQ-8AJPA</t>
  </si>
  <si>
    <t>G9HPK-B30R4-7K2VQ</t>
  </si>
  <si>
    <t>IQCJH-IEP5B-B4XHQ</t>
  </si>
  <si>
    <t>IRVEW-7KGIX-DCE22</t>
  </si>
  <si>
    <t>CN6NA-52P6Z-KTZEC</t>
  </si>
  <si>
    <t>Bus Simulator 21</t>
  </si>
  <si>
    <t>EEK4C-Y59CF-26PAV</t>
  </si>
  <si>
    <t>RLC02-FVAR2-BP88Z</t>
  </si>
  <si>
    <t>946V5-NKIRY-0J567</t>
  </si>
  <si>
    <t>I4MTA-RQC0N-ZER3J</t>
  </si>
  <si>
    <t>4PTNG-Y4Z7W-W3NJL</t>
  </si>
  <si>
    <t>AC3CF-4P74Y-8Q2IP</t>
  </si>
  <si>
    <t>ALKEW-HKMRO-JL4M6</t>
  </si>
  <si>
    <t>ERHT3-B3PTI-XRVP4</t>
  </si>
  <si>
    <t>NB7JH-ZJKVK-5YZCD</t>
  </si>
  <si>
    <t>53Q4R-K2DY4-Z4I57</t>
  </si>
  <si>
    <t>GCBPN-CHVCY-CPRJG</t>
  </si>
  <si>
    <t>V6DGH-NF9VC-GI5KA</t>
  </si>
  <si>
    <t>YCN0G-I3WQK-FQKK9</t>
  </si>
  <si>
    <t>2K4RZ-4CMLP-YW992</t>
  </si>
  <si>
    <t>PJGFQ-0Z9J7-VKIHT</t>
  </si>
  <si>
    <t>R22WM-8AHHP-7GKVV</t>
  </si>
  <si>
    <t>XRVBY-XD992-52JXL</t>
  </si>
  <si>
    <t>12 is Better Than 6</t>
  </si>
  <si>
    <t>H3QPG-ZFBVM-XI0Z3</t>
  </si>
  <si>
    <t>0BZ2N-VV7IB-KNGYW</t>
  </si>
  <si>
    <t>Back4Blood US</t>
  </si>
  <si>
    <t>Y9MEX-4T4YQ-P5HWB</t>
  </si>
  <si>
    <t>I0JZP-RD76Y-G37AQ</t>
  </si>
  <si>
    <t>JKF3J-2T4JK-IVAQR</t>
  </si>
  <si>
    <t>GRPB9-BI364-IPJJ2</t>
  </si>
  <si>
    <t>BMQGD-YAW5Z-HE47W</t>
  </si>
  <si>
    <t>VKBLL-6QI0N-36HAR</t>
  </si>
  <si>
    <t>Slain: Back from Hell</t>
  </si>
  <si>
    <t>QRBQ5-5Y65Y-30NWM</t>
  </si>
  <si>
    <t>Yakuza: Like a Dragon RoW</t>
  </si>
  <si>
    <t>W9KX7-00ZT4-FQCL9</t>
  </si>
  <si>
    <t>BCMI8-43W3G-8XHBJ</t>
  </si>
  <si>
    <t>Nioh 2 The Complete Edition</t>
  </si>
  <si>
    <t>ZL3R7-PMW24-CFMC0</t>
  </si>
  <si>
    <t>24W4Z-N3QNB-76924</t>
  </si>
  <si>
    <t>88AE0-QEBID-62QYI</t>
  </si>
  <si>
    <t>Don't Starve Together</t>
  </si>
  <si>
    <t>N5X36-B65XQ-VYT5P</t>
  </si>
  <si>
    <t>I73E3-QT3GV-ZWF88</t>
  </si>
  <si>
    <t>X4QC9-VFP0D-8I378</t>
  </si>
  <si>
    <t>6JM7N-NI4FA-HHG4L</t>
  </si>
  <si>
    <t>F5XHI-0JFGX-0VWPA</t>
  </si>
  <si>
    <t>QKV9M-WLWAZ-XCF64</t>
  </si>
  <si>
    <t>DE7PA-0Q77Z-7BE7J</t>
  </si>
  <si>
    <t>JY9G4-F9ZEB-ZIJ6Z</t>
  </si>
  <si>
    <t>YKTIM-LR9GK-JK7AK</t>
  </si>
  <si>
    <t>DJWJC-0ETL5-QL7JD</t>
  </si>
  <si>
    <t>KXADG-M0XQB-ZRAV9</t>
  </si>
  <si>
    <t>VNKDL-FYHDG-HL32A</t>
  </si>
  <si>
    <t>VYI22-3WW4A-54V9B</t>
  </si>
  <si>
    <t>Q387Y-E0J66-G26HR</t>
  </si>
  <si>
    <t>GDMWR-2FLKE-I9DDG</t>
  </si>
  <si>
    <t>Hard West 2 EU</t>
  </si>
  <si>
    <t>BXB07-ZYHKK-VN4MP</t>
  </si>
  <si>
    <t>ILWCM-NDNW6-LJZIL</t>
  </si>
  <si>
    <t>ARFG6-JIX70-NG7B7</t>
  </si>
  <si>
    <t>PQTEQ-I3J9Q-83X52</t>
  </si>
  <si>
    <t>N4AP8-4EMKR-YKJ7Y</t>
  </si>
  <si>
    <t>GT3VH-KKPI2-JG9A6</t>
  </si>
  <si>
    <t>JAPC8-89RN6-VVWM8</t>
  </si>
  <si>
    <t>JPBPX-ZB5AE-CEZWG</t>
  </si>
  <si>
    <t>AYPPI-7BR0N-8QFCY</t>
  </si>
  <si>
    <t>PBG4H-XK2D2-PGPC6</t>
  </si>
  <si>
    <t>8CQHZ-6IEM8-LHV5Q</t>
  </si>
  <si>
    <t>HTMWY-K66DJ-LHKV7</t>
  </si>
  <si>
    <t>IENF9-GPH4B-5PLQ2</t>
  </si>
  <si>
    <t>HXBFL-IYY0F-NDBI7</t>
  </si>
  <si>
    <t>ZIQPW-W98W7-64CQJ</t>
  </si>
  <si>
    <t>HLW70-LE53T-EPEG6</t>
  </si>
  <si>
    <t>8KBPP-JMYRD-6RHHH</t>
  </si>
  <si>
    <t>B4RA5-0FTIP-9HRBH</t>
  </si>
  <si>
    <t>JI2CF-EWTP7-J3JCN</t>
  </si>
  <si>
    <t>H8QJX-PG2IV-JQJ00</t>
  </si>
  <si>
    <t>H9ZDC-ZWFTW-B4LW3</t>
  </si>
  <si>
    <t>IYQP7-ARLCZ-NAE4R</t>
  </si>
  <si>
    <t>HA93D-T3VL7-HLTND</t>
  </si>
  <si>
    <t>F9H2K-C66VI-D8Q8T</t>
  </si>
  <si>
    <t>7NRCY-CR2RH-LXDVN</t>
  </si>
  <si>
    <t>J4ICK-DAXDG-ZT8KX</t>
  </si>
  <si>
    <t>CVDFH-RB73V-6VI6V</t>
  </si>
  <si>
    <t>J8R96-HBPVD-ZXQ83</t>
  </si>
  <si>
    <t>ZBP04-Q3W3B-2HGKI</t>
  </si>
  <si>
    <t>A460F-VEXA0-9M8RR</t>
  </si>
  <si>
    <t>Forspoken EU</t>
  </si>
  <si>
    <t>TZ42K-L4A88-G9QRT</t>
  </si>
  <si>
    <t>E56R7-204IE-LPFNP</t>
  </si>
  <si>
    <t>77K9J-E8IAL-KRGV2</t>
  </si>
  <si>
    <t>GWJ7K-VXQ0B-H7NQ3</t>
  </si>
  <si>
    <t>G5FM6-WFREH-TTZJP</t>
  </si>
  <si>
    <t>I7KCW-4TENF-AWWT7</t>
  </si>
  <si>
    <t>FFYC3-7MVX7-ZBN98</t>
  </si>
  <si>
    <t>CHYXF-PE7WN-XGBP3</t>
  </si>
  <si>
    <t>6EZW7-RTWBH-8X2JR</t>
  </si>
  <si>
    <t>G69FC-JRY4M-2K0CH</t>
  </si>
  <si>
    <t>FL4Q5-QE0HV-KX6M2</t>
  </si>
  <si>
    <t>IQ7CW-V38FT-3WNJ0</t>
  </si>
  <si>
    <t>VH5D3-5LAHP-PJ5NE</t>
  </si>
  <si>
    <t>07689-2RMTV-BZEPP</t>
  </si>
  <si>
    <t>C82G5-VH7JA-FNGCM</t>
  </si>
  <si>
    <t>XME5R-EYYWM-8WGRI</t>
  </si>
  <si>
    <t>NVHH2-HD29X-2B8E4</t>
  </si>
  <si>
    <t>YH4HR-P2WRH-N3C6V</t>
  </si>
  <si>
    <t>IXAMT-0AEPP-DVHXA</t>
  </si>
  <si>
    <t>IRABF-Z6L4I-5VWZM</t>
  </si>
  <si>
    <t>INVG2-T4H9I-YJLXP</t>
  </si>
  <si>
    <t>Deceive Inc.</t>
  </si>
  <si>
    <t>GKLAB-BGNGH-7BPHY</t>
  </si>
  <si>
    <t>FAIAW-G90EL-V5AD3</t>
  </si>
  <si>
    <t>Valheim</t>
  </si>
  <si>
    <t>L5QKN-DGYFQ-7XKZC</t>
  </si>
  <si>
    <t>VPVRC-VI5B0-NXBTJ</t>
  </si>
  <si>
    <t>Across the Obelisk</t>
  </si>
  <si>
    <t>TA627-N8CIL-JBVCN</t>
  </si>
  <si>
    <t>90MHB-TE8VP-26KIK</t>
  </si>
  <si>
    <t>EG6LH-YEN9K-9D7J2</t>
  </si>
  <si>
    <t>0MJKW-NYHMM-HVJNF</t>
  </si>
  <si>
    <t>Hard West 2</t>
  </si>
  <si>
    <t>E7CWC-9GVVI-2723G</t>
  </si>
  <si>
    <t>M40QJ-GXK9W-AAKY8</t>
  </si>
  <si>
    <t>JL00X-E4DFF-JXMQB</t>
  </si>
  <si>
    <t>XN22M-VH4XA-66HHH</t>
  </si>
  <si>
    <t>BPJ76-HX2PM-TE897</t>
  </si>
  <si>
    <t>Dungeon Defenders: Awakened</t>
  </si>
  <si>
    <t>H55I6-CZ8C8-IC3IZ</t>
  </si>
  <si>
    <t>NME7Z-GR0K7-EJEG2</t>
  </si>
  <si>
    <t>4MM68-GYXHE-LVGAY</t>
  </si>
  <si>
    <t>5B3GW-2TBMT-LCT82</t>
  </si>
  <si>
    <t>Knights of Honor II: Sovereign</t>
  </si>
  <si>
    <t>3AQLZ-T4LQW-ZC9H5</t>
  </si>
  <si>
    <t>IYYNH-6DI94-MV5R0</t>
  </si>
  <si>
    <t>4A00Y-Y6LG0-5YEG8</t>
  </si>
  <si>
    <t>DCKB9-AABN2-P6XAG</t>
  </si>
  <si>
    <t>4LZ8V-G3WH2-6BCAD</t>
  </si>
  <si>
    <t>J8H4D-7Z2XV-572L8</t>
  </si>
  <si>
    <t>Card Shark</t>
  </si>
  <si>
    <t>4HMDY-HW6PR-TTBCM</t>
  </si>
  <si>
    <t>R93HX-F7D3Q-LN2QA</t>
  </si>
  <si>
    <t>39KGI-07WTJ-HKH7G</t>
  </si>
  <si>
    <t>7G7FH-J494T-RWHE4</t>
  </si>
  <si>
    <t>0868I-DT6F5-HR73T</t>
  </si>
  <si>
    <t>76XIL-8HNDX-F5MIW</t>
  </si>
  <si>
    <t>Citizen Sleeper</t>
  </si>
  <si>
    <t>N9D8I-P286V-3JV9I</t>
  </si>
  <si>
    <t>The Eternal Cylinder</t>
  </si>
  <si>
    <t>QP0YQ-PFDNJ-75EWE</t>
  </si>
  <si>
    <t>Beyond: Two Souls</t>
  </si>
  <si>
    <t>VA4VH-VQIQ5-H0XG8</t>
  </si>
  <si>
    <t>T5YET-ABI75-Y9NGQ</t>
  </si>
  <si>
    <t>K2QMJ-FI69I-B43ET</t>
  </si>
  <si>
    <t>Lost Eidolons</t>
  </si>
  <si>
    <t>RLDZN-5MA7V-8EEJ5</t>
  </si>
  <si>
    <t>LFL9B-DVVT8-3VIDQ</t>
  </si>
  <si>
    <t>6A5CG-FXIZE-AJK4P</t>
  </si>
  <si>
    <t>AFZ4V-3NLJJ-0NGC3</t>
  </si>
  <si>
    <t>5CTBQ-QDBAL-EY4M4</t>
  </si>
  <si>
    <t>P58E9-KJQLY-KQXY4</t>
  </si>
  <si>
    <t>7FED5-9A4XZ-GFH5E</t>
  </si>
  <si>
    <t>Metroplex Zero: Sci-Fi Card Battler</t>
  </si>
  <si>
    <t>RRT3Y-XF2DJ-7VF8B</t>
  </si>
  <si>
    <t>6PDLH-TRNDF-0L0XB</t>
  </si>
  <si>
    <t>NBA 2K23</t>
  </si>
  <si>
    <t>6C9TZ-KVBJM-AK6BF</t>
  </si>
  <si>
    <t>R3JLD-6C4NC-APBQY</t>
  </si>
  <si>
    <t>Q5Y0Z-TNLD8-EP3ZN</t>
  </si>
  <si>
    <t>KGPLX-C2NKJ-E8MVB</t>
  </si>
  <si>
    <t>0R8VT-2LT9Z-2CTBJ</t>
  </si>
  <si>
    <t>3MX5J-BLX20-4KYL5</t>
  </si>
  <si>
    <t>E6APW-2LGNQ-R7TZI</t>
  </si>
  <si>
    <t>Q4TB5-CHEAM-IZVWK</t>
  </si>
  <si>
    <t>63CDL-ACEPG-0E24N</t>
  </si>
  <si>
    <t>AIZVM-Q38N9-RMYEV</t>
  </si>
  <si>
    <t>YCIKD-472NW-WG7RF</t>
  </si>
  <si>
    <t>9ZEGR-9A5ZR-RWTJF</t>
  </si>
  <si>
    <t>Mahokenshi</t>
  </si>
  <si>
    <t>A38T4-YAQ60-E6ZH6</t>
  </si>
  <si>
    <t>P9ZBA-KLVEF-4WEK4</t>
  </si>
  <si>
    <t>V7D8A-3B6B6-974GP</t>
  </si>
  <si>
    <t>Sniper Elite 5 EU</t>
  </si>
  <si>
    <t>WDW3M-GPJ6Z-9PY8E</t>
  </si>
  <si>
    <t>V270I-JXNNH-85CA0</t>
  </si>
  <si>
    <t>MQF5R-PIKPG-N0DX5</t>
  </si>
  <si>
    <t>VRAJ6-6TT5J-MZ5JP</t>
  </si>
  <si>
    <t>KWEH5-8TPYA-9IIHM</t>
  </si>
  <si>
    <t>TI65D-EZHCA-K5F5J</t>
  </si>
  <si>
    <t>TN3D5-87HBK-8K3YD</t>
  </si>
  <si>
    <t>TJPKV-P9D7T-3QVBW</t>
  </si>
  <si>
    <t>7BP6M-DDR8M-MBQVW</t>
  </si>
  <si>
    <t>CI35L-XW0TM-IDMQP</t>
  </si>
  <si>
    <t>FMDQF-26GWD-MZFJ8</t>
  </si>
  <si>
    <t>Kenshi</t>
  </si>
  <si>
    <t>LONG CODE</t>
  </si>
  <si>
    <t>Dinkum EU</t>
  </si>
  <si>
    <t>8NDM9-3W78X-J070F</t>
  </si>
  <si>
    <t>G0K42-WN8MH-BRDER</t>
  </si>
  <si>
    <t>6AFHZ-08DJ5-4W4G2</t>
  </si>
  <si>
    <t>Sniper Elite 5 Deluxe Edition EU</t>
  </si>
  <si>
    <t>I8M7T-B808A-7Y5WK</t>
  </si>
  <si>
    <t>NG3DP-E5Q69-VR6WR</t>
  </si>
  <si>
    <t>F3HY3-3JPQD-ZENH0</t>
  </si>
  <si>
    <t>Dark Souls III</t>
  </si>
  <si>
    <t>XZMAJ-TQYX3-WMAD5</t>
  </si>
  <si>
    <t>PCBLK-M8T3X-QCLA9</t>
  </si>
  <si>
    <t>King Of The Castle</t>
  </si>
  <si>
    <t>850G8-ELKPJ-JV349</t>
  </si>
  <si>
    <t>Digimon Survive</t>
  </si>
  <si>
    <t>50GD0-DP5LQ-0WHI8</t>
  </si>
  <si>
    <t>W08VY-4M3AX-WBXTZ</t>
  </si>
  <si>
    <t>J5ANZ-FC62H-9C2Y0</t>
  </si>
  <si>
    <t>RX6KD-7B704-RIMM3</t>
  </si>
  <si>
    <t>DY3P3-6M0NI-V5P2P</t>
  </si>
  <si>
    <t>FGCZX-3NJXY-HFME9</t>
  </si>
  <si>
    <t>Banished</t>
  </si>
  <si>
    <t>NY3QN-2IWLB-MBEX8</t>
  </si>
  <si>
    <t>HJ6PY-HV07V-4JKIG</t>
  </si>
  <si>
    <t>ABF9B-Y6JJG-M82JJ</t>
  </si>
  <si>
    <t>F4DWX-NZFYR-TTWEF</t>
  </si>
  <si>
    <t>T72I8-2ETT7-LMPZ4</t>
  </si>
  <si>
    <t>FI6C2-HYQFB-5F0CB</t>
  </si>
  <si>
    <t>I2JYF-6FVW9-8YWXF</t>
  </si>
  <si>
    <t>0NZR5-7HKV3-AVDGM</t>
  </si>
  <si>
    <t>05RWX-DZM5M-GK6HJ</t>
  </si>
  <si>
    <t>Second Extinction</t>
  </si>
  <si>
    <t>K7QKV-XP6BX-PAC4N</t>
  </si>
  <si>
    <t>25V9T-GWLKP-VDP0K</t>
  </si>
  <si>
    <t>5D3WW-8KIB9-L6I4Y</t>
  </si>
  <si>
    <t>L4DCA-NMAQ0-LHFYP</t>
  </si>
  <si>
    <t>RNFTK-A5YEH-2G0DP</t>
  </si>
  <si>
    <t>PMZ2K-IBQFF-H5YV9</t>
  </si>
  <si>
    <t>RQEBC-YAI0C-PR9Z0</t>
  </si>
  <si>
    <t>F792A-CZMWJ-KX655</t>
  </si>
  <si>
    <t>EVEIB-93RT7-PB9VY</t>
  </si>
  <si>
    <t>02Y0Q-NDD0C-HB5YA</t>
  </si>
  <si>
    <t>3JJYJ-9R4QI-FV7BC</t>
  </si>
  <si>
    <t>HXWCQ-XRAL8-YJBK6</t>
  </si>
  <si>
    <t>ERCYN-VK0A8-67MD8</t>
  </si>
  <si>
    <t>6LZGH-9JTH9-HZE86</t>
  </si>
  <si>
    <t>36Y0L-6A7NQ-0NKZK</t>
  </si>
  <si>
    <t>JQAHG-XGJYZ-G5WAH</t>
  </si>
  <si>
    <t>K7FWB-M6V6H-5PDZK</t>
  </si>
  <si>
    <t>0KYVC-V5AVB-9TT85</t>
  </si>
  <si>
    <t>MRYAV-82HIA-8Q95A</t>
  </si>
  <si>
    <t>6EYHK-59CKT-JE438</t>
  </si>
  <si>
    <t>The Elder Scrolls V: Skyrim</t>
  </si>
  <si>
    <t>P0KN9-AIKPH-KRYN6</t>
  </si>
  <si>
    <t>MR727-AKYMK-MM9KC</t>
  </si>
  <si>
    <t>YJ8IY-63V7Z-24M7P</t>
  </si>
  <si>
    <t>2PYHX-64KC8-9CZ42</t>
  </si>
  <si>
    <t>W6CPA-T7VIP-8F6GZ</t>
  </si>
  <si>
    <t>Warhammer 40,000: Chaos Gate - Daemonhunters</t>
  </si>
  <si>
    <t>R6HN0-JRK2H-BTQ89</t>
  </si>
  <si>
    <t>IRDKI-HWQN8-TTBBK</t>
  </si>
  <si>
    <t>0RG3E-QC9N7-PDIN5</t>
  </si>
  <si>
    <t>AD06R-WTYHC-7FPIT</t>
  </si>
  <si>
    <t>DFM6V-D6843-6GP8R</t>
  </si>
  <si>
    <t>KL8AA-AHKK2-PCAI5</t>
  </si>
  <si>
    <t>AVGL9-VRBLT-3H9RY</t>
  </si>
  <si>
    <t>WRAL0-GL305-7DIJN</t>
  </si>
  <si>
    <t>FT0A0-DH0ND-R9H33</t>
  </si>
  <si>
    <t>Ghost Song</t>
  </si>
  <si>
    <t>XRIL2-ATAHD-K5T2I</t>
  </si>
  <si>
    <t>Endling: Extinction is Forever</t>
  </si>
  <si>
    <t>AEV98-G4E49-57Q0C</t>
  </si>
  <si>
    <t>3C9ZA-XGZK4-C74Y2</t>
  </si>
  <si>
    <t>RNMGF-A2HMY-XTK8D</t>
  </si>
  <si>
    <t>XCMDV-PPHZQ-4HIW4</t>
  </si>
  <si>
    <t>Ravenbound</t>
  </si>
  <si>
    <t>VNPLQ-YHLZC-N5YWL</t>
  </si>
  <si>
    <t>MC4ZP-WAWIH-N9Q6X</t>
  </si>
  <si>
    <t>TNA0W-LJ8XN-FKFHG</t>
  </si>
  <si>
    <t>D6Q0F-J9V2M-MRA4C</t>
  </si>
  <si>
    <t>Marvel's Avengers EU</t>
  </si>
  <si>
    <t>DMGJ3-RG3VA-BYCWY</t>
  </si>
  <si>
    <t>AZ3TD-V6QGY-AGCCZ</t>
  </si>
  <si>
    <t>B3WR0-RZ48J-XW37C</t>
  </si>
  <si>
    <t>AYA25-H90HJ-4FZPN</t>
  </si>
  <si>
    <t>ISLANDERS</t>
  </si>
  <si>
    <t>ITD02-NN267-H5X86</t>
  </si>
  <si>
    <t>G4LZN-KNBRZ-6MIJX</t>
  </si>
  <si>
    <t>Songs of Conquest</t>
  </si>
  <si>
    <t>BXMYD-8A66H-87FGC</t>
  </si>
  <si>
    <t>CB8N5-Q5HAN-NJJZ7</t>
  </si>
  <si>
    <t>IITB8-PD736-VMA4W</t>
  </si>
  <si>
    <t>QYHD9-QH76I-V07CB</t>
  </si>
  <si>
    <t>C3MVJ-T8BFQ-L3Z35</t>
  </si>
  <si>
    <t>ZYGBD-IYG57-PN02W</t>
  </si>
  <si>
    <t>FBFA3-HLAW4-E0DR6</t>
  </si>
  <si>
    <t>The Last Stand: Aftermath</t>
  </si>
  <si>
    <t>IP24F-ZFQQT-LVZ95</t>
  </si>
  <si>
    <t>WTHF6-C6NP4-T5Q67</t>
  </si>
  <si>
    <t>2HFHD-KQALQ-QAL70</t>
  </si>
  <si>
    <t>FHXCB-NMB7R-AYKAV</t>
  </si>
  <si>
    <t>RNAH3-Q45ID-80AHV</t>
  </si>
  <si>
    <t>PCM4A-RIDI7-QQ825</t>
  </si>
  <si>
    <t>WCE0H-LFQ5V-G9TVR</t>
  </si>
  <si>
    <t>TZ3E8-9BJJQ-L9N3G</t>
  </si>
  <si>
    <t>X6JZ2-YQ9BP-G9KBC</t>
  </si>
  <si>
    <t>BIFAY-NKEVP-V6VX3</t>
  </si>
  <si>
    <t>ARQG4-WFWJ3-YF2F2</t>
  </si>
  <si>
    <t>B5VGE-Y3IC4-QAMXF</t>
  </si>
  <si>
    <t>AQ7HP-K9GX8-KDQ6R</t>
  </si>
  <si>
    <t>MK86F-C6KVN-9H6KQ</t>
  </si>
  <si>
    <t>KG0CM-HFZZM-IV4QW</t>
  </si>
  <si>
    <t>M43PN-963LG-NTQR5</t>
  </si>
  <si>
    <t>FL2CF-E0YTF-LPHV4</t>
  </si>
  <si>
    <t>Turbo Overkill</t>
  </si>
  <si>
    <t>FEY6G-L2C75-G4PBH</t>
  </si>
  <si>
    <t>HNKIC-EDRMX-0IE3N</t>
  </si>
  <si>
    <t>WW3W2-EI5XK-P4TM9</t>
  </si>
  <si>
    <t>8AEDB-5VKDG-CGE8K</t>
  </si>
  <si>
    <t>QZR99-V2IPI-QYFKH</t>
  </si>
  <si>
    <t>AKWQH-3HA62-0ZR25</t>
  </si>
  <si>
    <t>Christmas Mission</t>
  </si>
  <si>
    <t>XRQZ8-3C3E8-0ZLXE</t>
  </si>
  <si>
    <t>VB2BY-6Y4KX-CTRBG</t>
  </si>
  <si>
    <t>HEMRC-6I47W-AQL5G</t>
  </si>
  <si>
    <t>7GA4R-N0DKZ-0IIIY</t>
  </si>
  <si>
    <t>WFEGI-I4XBC-C34QJ</t>
  </si>
  <si>
    <t>VDB2T-7QLJC-WJBKX</t>
  </si>
  <si>
    <t>IDNPZ-6PCWB-HC0PW</t>
  </si>
  <si>
    <t>8AW0P-FPWGF-QPEH9</t>
  </si>
  <si>
    <t>QZLP7-M2P60-QA3IQ</t>
  </si>
  <si>
    <t>TW26T-2GG7Z-Q6MM4</t>
  </si>
  <si>
    <t>L8KW8-6VL0A-WJ2CG</t>
  </si>
  <si>
    <t>ZXBAK-IPJFJ-VR8A3</t>
  </si>
  <si>
    <t>FINAL FANTASY VII REMAKE INTERGRADE</t>
  </si>
  <si>
    <t>055VR-KDM8A-AN0CG</t>
  </si>
  <si>
    <t xml:space="preserve">LIB3N-9GMY4-TYFIT
</t>
  </si>
  <si>
    <t>YRLT3-K8L7B-8RZGE</t>
  </si>
  <si>
    <t>MW0ZG-39BHJ-ETDLC</t>
  </si>
  <si>
    <t>5XXE0-72KPM-ZA7PF</t>
  </si>
  <si>
    <t>ALBIJ-N0ECN-6530A</t>
  </si>
  <si>
    <t>KJ7B5-CBXJA-MMG9Y</t>
  </si>
  <si>
    <t>7WZVY-RZHMM-V8RG2</t>
  </si>
  <si>
    <t>QBYJ8-QQWF9-P04EG</t>
  </si>
  <si>
    <t>MZW5G-9RJHV-2LZIF</t>
  </si>
  <si>
    <t>PIYP0-KICV8-GTW9F</t>
  </si>
  <si>
    <t>ICVZA-6G8G2-CM9X2</t>
  </si>
  <si>
    <t>3LD22-WDL3E-54K39</t>
  </si>
  <si>
    <t>K6E3H-37H30-A6KPG</t>
  </si>
  <si>
    <t>P5A3J-FVTMA-H0A25</t>
  </si>
  <si>
    <t>Construction Simulator</t>
  </si>
  <si>
    <t>8XJJL-732MI-LH9IH</t>
  </si>
  <si>
    <t>IP63W-P05V6-E0PW3</t>
  </si>
  <si>
    <t>DHIHJ-0LYNF-679YI</t>
  </si>
  <si>
    <t>IV4H3-08EDE-4ZBV8</t>
  </si>
  <si>
    <t>339AQ-MV9XK-KTA7J</t>
  </si>
  <si>
    <t>PNJXK-Z4AZR-YPDAY</t>
  </si>
  <si>
    <t>ZB4MF-BN0TB-ZPG5L</t>
  </si>
  <si>
    <t>CLB9V-I386Z-QAGN5</t>
  </si>
  <si>
    <t>EAMZ4-MPCT9-ZWF0I</t>
  </si>
  <si>
    <t>BIEH3-CJYBP-6E7IV</t>
  </si>
  <si>
    <t>4N59A-V6X2R-EKGHI</t>
  </si>
  <si>
    <t>20TGR-XRWI5-JBEEI</t>
  </si>
  <si>
    <t>38CTL-WJ5YE-VDCDK</t>
  </si>
  <si>
    <t>K3GWT-RZEWP-X2VJK</t>
  </si>
  <si>
    <t>Steel Division 2 General Deluxe Edition</t>
  </si>
  <si>
    <t>5D58F-BXY2Z-DMHA8</t>
  </si>
  <si>
    <t>Steel Division 2 Commander Deluxe Edition</t>
  </si>
  <si>
    <t>W84MC-XXQ78-NH869</t>
  </si>
  <si>
    <t>Age of Empires IV Anniversary Edition</t>
  </si>
  <si>
    <t>TVLV5-NHYC2-KEYPL</t>
  </si>
  <si>
    <t>E5HJL-XNX6R-HDDN9</t>
  </si>
  <si>
    <t>LGJ32-FYR7M-W26Q6</t>
  </si>
  <si>
    <t>TK5QN-G9CJB-LZCEA</t>
  </si>
  <si>
    <t>3MMIT-3EF0Z-XCKR8</t>
  </si>
  <si>
    <t>ZCD72-FPYR3-GIIZY</t>
  </si>
  <si>
    <t>XBFF0-GP85R-P9MDJ</t>
  </si>
  <si>
    <t>23Q45-LHMHT-5P97M</t>
  </si>
  <si>
    <t>9FT07-R7WQ4-YXID3</t>
  </si>
  <si>
    <t>D59GH-9W3Y7-99ZAX</t>
  </si>
  <si>
    <t>REHKQ-4CL3L-MQZF7</t>
  </si>
  <si>
    <t>F206H-R8892-5IR6F</t>
  </si>
  <si>
    <t>GH9BZ-LPD8Z-BKB06</t>
  </si>
  <si>
    <t>PXAZN-EEW09-5FDNY</t>
  </si>
  <si>
    <t>YCL08-NXLIB-CW8YY</t>
  </si>
  <si>
    <t>L06EK-77AI2-PJR5M</t>
  </si>
  <si>
    <t>H2B4N-0IYXZ-PWY64</t>
  </si>
  <si>
    <t>9APR7-4DZDJ-QJCK3</t>
  </si>
  <si>
    <t>JPD6N-LMVXW-4VVQT</t>
  </si>
  <si>
    <t>XTTJC-4PZTT-HXQH9</t>
  </si>
  <si>
    <t>2Q995-B430B-AMIAZ</t>
  </si>
  <si>
    <t>BG4QW-R0YKE-WR8ZE</t>
  </si>
  <si>
    <t>RW8GL-BFJC3-KR9M0</t>
  </si>
  <si>
    <t>5TQ6X-H3HNK-VVQBX</t>
  </si>
  <si>
    <t>IGPYC-DGZBD-9HKRA</t>
  </si>
  <si>
    <t>CNFAD-2FCZL-J2MKH</t>
  </si>
  <si>
    <t>GCJBE-P6ERH-0CQG8</t>
  </si>
  <si>
    <t>Shadows of Doubt</t>
  </si>
  <si>
    <t>6ITWC-QT7WG-LYMRZ</t>
  </si>
  <si>
    <t>G297J-QZPR8-JGGE7</t>
  </si>
  <si>
    <t>8KBAF-2R36E-9IH32</t>
  </si>
  <si>
    <t>42EQB-5MWL5-WEAV9</t>
  </si>
  <si>
    <t>FVEK6-GNTQ9-FRXDA</t>
  </si>
  <si>
    <t>Hi-Fi RUSH</t>
  </si>
  <si>
    <t>V28MI-X3T24-88B60</t>
  </si>
  <si>
    <t>DN54Q-JP5L8-Z2DIM</t>
  </si>
  <si>
    <t>MX84B-ZHMMT-0NPJZ</t>
  </si>
  <si>
    <t>H8HAV-J6FP3-5M4C7</t>
  </si>
  <si>
    <t>Among Us</t>
  </si>
  <si>
    <t>MKITT-LP98E-NRFZJ</t>
  </si>
  <si>
    <t>Among Us EU</t>
  </si>
  <si>
    <t>JZFE9-VYNMD-KI2D0</t>
  </si>
  <si>
    <t>K87CL-XM5CH-YDGMJ</t>
  </si>
  <si>
    <t>KZ6YH-LD9RZ-KI3C0</t>
  </si>
  <si>
    <t>RCRQD-WD29P-BKMC7</t>
  </si>
  <si>
    <t>NARLW-CFWDD-XYMNF</t>
  </si>
  <si>
    <t>8PHWW-EHVWA-N0EAD</t>
  </si>
  <si>
    <t>383DM-456HR-JNG8L</t>
  </si>
  <si>
    <t>4LTMC-JX255-XYCX2</t>
  </si>
  <si>
    <t>Ragnarock</t>
  </si>
  <si>
    <t>DV7XN-670G6-6MX9T</t>
  </si>
  <si>
    <t>Z5LRP-5ZKD0-2XI9Z</t>
  </si>
  <si>
    <t>QHL34-FCZ6H-II8QG</t>
  </si>
  <si>
    <t>80CHZ-3T6HE-AWHLQ</t>
  </si>
  <si>
    <t>8M3J0-X90Y8-CJCRM</t>
  </si>
  <si>
    <t>CKTKN-06DAL-8T2LX</t>
  </si>
  <si>
    <t>6BK3P-RQDX7-2Y59I</t>
  </si>
  <si>
    <t>2WZZ3-RDQ49-MDYY2</t>
  </si>
  <si>
    <t>Cultist Simulator Anthology Edition</t>
  </si>
  <si>
    <t>Destiny 2: Lightfall</t>
  </si>
  <si>
    <t>V72PR-C5JWG-72RJY</t>
  </si>
  <si>
    <t>K7J7G-AWFFX-2EL8T</t>
  </si>
  <si>
    <t>66Q29-BHJPB-A5HZI</t>
  </si>
  <si>
    <t>P20GF-9EFX5-8N04H</t>
  </si>
  <si>
    <t>YWTFQ-LZ2RA-I83R4</t>
  </si>
  <si>
    <t>7F2EJ-ZY4WE-LCV76</t>
  </si>
  <si>
    <t>6QNJ8-YA5BK-RYH8E</t>
  </si>
  <si>
    <t>PWBPJ-Z9ZX0-CREF3</t>
  </si>
  <si>
    <t>4G73W-2VW8T-ZM6W9</t>
  </si>
  <si>
    <t>BPJ62-5JT06-NC8AL</t>
  </si>
  <si>
    <t>The Elder Scrolls V: Skyrim Legendary Edition</t>
  </si>
  <si>
    <t>HIH94-58BR3-WKNFD</t>
  </si>
  <si>
    <t>3F73C-GCIM3-LCFDM</t>
  </si>
  <si>
    <t>075NF-CMVIZ-PFCB4</t>
  </si>
  <si>
    <t>Mail Time</t>
  </si>
  <si>
    <t>2EBB8-E22P3-IF5TC</t>
  </si>
  <si>
    <t>Q65BW-QD3R4-DLZRA</t>
  </si>
  <si>
    <t>BK6Y3-NKXTP-46CCK</t>
  </si>
  <si>
    <t>BKP2B-5P5RY-NBWYC</t>
  </si>
  <si>
    <t>7WA4E-QJJ8Q-JTX5J</t>
  </si>
  <si>
    <t>IE788-A77J6-L02HI</t>
  </si>
  <si>
    <t>Farthest Frontier</t>
  </si>
  <si>
    <t>4V4GA-B8L7D-9JF33</t>
  </si>
  <si>
    <t>Corporate Lifestyle Simulator</t>
  </si>
  <si>
    <t>JI5AZ-5RPEP-4B3AX</t>
  </si>
  <si>
    <t>WRC Generations</t>
  </si>
  <si>
    <t>HMGC6-GCVDH-ZXX3C</t>
  </si>
  <si>
    <t>BM0CB-YM6NN-VTI0Z</t>
  </si>
  <si>
    <t>BM6MV-PX5IZ-LLWD3</t>
  </si>
  <si>
    <t>BNM3B-ZIVDE-7625K</t>
  </si>
  <si>
    <t>BP0C4-V6PBR-NX98A</t>
  </si>
  <si>
    <t>BPXJ4-0H56P-X839P</t>
  </si>
  <si>
    <t>BPYV8-N9B0C-ZVJFE</t>
  </si>
  <si>
    <t>KY0T0-9I6Q6-ALBDZ</t>
  </si>
  <si>
    <t>095LW-5ETLK-05XX9</t>
  </si>
  <si>
    <t>Y035P-L7C0I-MR0Q5</t>
  </si>
  <si>
    <t>BEFCG-DMJZ3-D5IC5</t>
  </si>
  <si>
    <t>BXF4T-RTF9H-MW2DI</t>
  </si>
  <si>
    <t>BXXAV-2GV46-GMKYB</t>
  </si>
  <si>
    <t>V2RQB-WKZCY-ZXAWD</t>
  </si>
  <si>
    <t>Miasma Chronicles</t>
  </si>
  <si>
    <t>NA92G-MXCF3-3JFG0</t>
  </si>
  <si>
    <t>FZ2BR-9G208-5LYIR</t>
  </si>
  <si>
    <t>W42VJ-8WIN4-AETH8</t>
  </si>
  <si>
    <t>Marvel's Avengers</t>
  </si>
  <si>
    <t>875X7-P20LB-VI0K0</t>
  </si>
  <si>
    <t>MY5HK-2GARK-059FA</t>
  </si>
  <si>
    <t>NL20W-AWKYM-N7QHE</t>
  </si>
  <si>
    <t>95XMT-3PEB3-VIVWE</t>
  </si>
  <si>
    <t>MZGIK-NKXLB-72CME</t>
  </si>
  <si>
    <t>4G4R8-62KFN-62NWT</t>
  </si>
  <si>
    <t>H35K3-BJ7V3-C4M2P</t>
  </si>
  <si>
    <t>R06KZ-6IJK2-Y5DHZ</t>
  </si>
  <si>
    <t>MV0IY-89GDY-5DVJF</t>
  </si>
  <si>
    <t>Z3TV8-NEWAR-77BZT</t>
  </si>
  <si>
    <t>F56B4-N3WQ7-5E0GN</t>
  </si>
  <si>
    <t>9FEBN-GZX3W-9CAEA</t>
  </si>
  <si>
    <t>ICAVD-M2YBJ-WQFQ3</t>
  </si>
  <si>
    <t>6R25L-3GQGI-FY62K</t>
  </si>
  <si>
    <t>JTZCL-6AGJF-WW0RZ</t>
  </si>
  <si>
    <t>NVEEL-NTVLV-PFQQM</t>
  </si>
  <si>
    <t>K60W6-GCAD8-EWAY2</t>
  </si>
  <si>
    <t>RVG60-C5DM4-3YKY8</t>
  </si>
  <si>
    <t>KNYCQ-RL567-WJZP5</t>
  </si>
  <si>
    <t>INHPE-DZW7A-H4QC0</t>
  </si>
  <si>
    <t>bpwebmedia</t>
  </si>
  <si>
    <t>LZX28-VEQNZ-ZJPG9</t>
  </si>
  <si>
    <t>R7NAD-2BMHM-AHBQ6</t>
  </si>
  <si>
    <t>ZGEJE-DX2VY-FHQFK</t>
  </si>
  <si>
    <t>GD33D-0KJYF-0MIGX</t>
  </si>
  <si>
    <t>J8QWZ-FK4NE-KHXQP</t>
  </si>
  <si>
    <t>T3ZJI-ZLIWN-J4C27</t>
  </si>
  <si>
    <t>Q75AN-MVPDW-YPGKE</t>
  </si>
  <si>
    <t>V9VQ2-FFPRE-95GNA</t>
  </si>
  <si>
    <t>Above Snakes</t>
  </si>
  <si>
    <t>VL0IC-C0JFI-NMF5W</t>
  </si>
  <si>
    <t>EJ75N-B62L7-3JC35</t>
  </si>
  <si>
    <t>AYE7Y-ENJN3-0P57E</t>
  </si>
  <si>
    <t>FLVBP-Z6NGA-AXHF8</t>
  </si>
  <si>
    <t>Q2XP4-ENWN0-AMXBW</t>
  </si>
  <si>
    <t>ZBE6X-BQNGD-KEJCL</t>
  </si>
  <si>
    <t>HANR3-ZTEEM-FDQZX</t>
  </si>
  <si>
    <t>QGK72-E4JKF-FK77E</t>
  </si>
  <si>
    <t>P5HHW-ECJFW-5KFTI</t>
  </si>
  <si>
    <t>DN8A8-954C9-H8B5H</t>
  </si>
  <si>
    <t>GPHA9-WIVWQ-6Z6TY</t>
  </si>
  <si>
    <t>0WNMI-M0Q2I-3WA8W</t>
  </si>
  <si>
    <t>Q6CHN-GQQ00-P9PZX</t>
  </si>
  <si>
    <t>3C3TW-27W2T-QDZPC</t>
  </si>
  <si>
    <t>IYTN4-2V6GJ-LTL4Y</t>
  </si>
  <si>
    <t>BGI80-M9PGZ-X2FJM</t>
  </si>
  <si>
    <t>5GLL9-FZCKP-ETZBA</t>
  </si>
  <si>
    <t>DRY84-HDJ4T-5J9PE</t>
  </si>
  <si>
    <t>Dungeon Drafters</t>
  </si>
  <si>
    <t>HBEZ2-H7AJR-0KV4B</t>
  </si>
  <si>
    <t>9JIZL-Y5DT6-GFCMB</t>
  </si>
  <si>
    <t>QXGHY-H4L5H-HX8QJ</t>
  </si>
  <si>
    <t>DNH7J-07ZNC-5IAVD</t>
  </si>
  <si>
    <t>Cat Quest II EU</t>
  </si>
  <si>
    <t>3I8LJ-N4MLI-60NP7</t>
  </si>
  <si>
    <t>Rolling Line</t>
  </si>
  <si>
    <t>2MTC7-LYA4P-P23F8</t>
  </si>
  <si>
    <t>6K0RY-N70XD-W4DQX</t>
  </si>
  <si>
    <t>QD82M-87G2E-NT5PW</t>
  </si>
  <si>
    <t>54GM4-85EHL-927AF</t>
  </si>
  <si>
    <t>5QCQC-8BADB-GGECV</t>
  </si>
  <si>
    <t>EEA0J-67IQM-YZ7L3</t>
  </si>
  <si>
    <t>MKCVP-W6BRV-945FL</t>
  </si>
  <si>
    <t>IIDFV-H5IT0-N6GFK</t>
  </si>
  <si>
    <t>AXBDI-RWMEZ-IZBA5</t>
  </si>
  <si>
    <t>BH9I8-ZAFV8-G94XM</t>
  </si>
  <si>
    <t>RQX69-QB3L6-KDGQE</t>
  </si>
  <si>
    <t>WIVC2-NH40P-A70TC</t>
  </si>
  <si>
    <t>Marvel's Spider-Man: Miles Morales</t>
  </si>
  <si>
    <t>753B5-0FQLG-3YA7V</t>
  </si>
  <si>
    <t>Q0F6A-5KHGR-ZK72R</t>
  </si>
  <si>
    <t>5AVN5-A6FV2-TN099</t>
  </si>
  <si>
    <t>AKC5Y-I5XF3-WZHJ4</t>
  </si>
  <si>
    <t>AQTC5-A9NBQ-H6FQ7</t>
  </si>
  <si>
    <t>75WC4-5WBXK-TW6TX</t>
  </si>
  <si>
    <t>3QCMA-V5H0L-FHY3C</t>
  </si>
  <si>
    <t>08A7W-5QW20-09DIQ</t>
  </si>
  <si>
    <t>BP8RZ-JMG5A-R5BGZ</t>
  </si>
  <si>
    <t>ENZIF-I0WIJ-JVHF4</t>
  </si>
  <si>
    <t>QY0G2-Z2FYV-HI8RQ</t>
  </si>
  <si>
    <t>Y5BHL-AG9XE-MNBJF</t>
  </si>
  <si>
    <t xml:space="preserve">AJHI7-8QD2H-5TAB0
</t>
  </si>
  <si>
    <t>8N7X3-GXFXR-YHGX6</t>
  </si>
  <si>
    <t>HJQM0-Z04HD-H82F0</t>
  </si>
  <si>
    <t>Y8E7E-NNBQK-EYBB2</t>
  </si>
  <si>
    <t>59JT0-E27B5-2YVYW</t>
  </si>
  <si>
    <t>F7Q94-JYDB8-RBFI5</t>
  </si>
  <si>
    <t>3FZTH-2NGZY-BBRC2</t>
  </si>
  <si>
    <t>JWP28-QBNE4-0KH6N</t>
  </si>
  <si>
    <t>BHMN2-0BARI-256ZQ</t>
  </si>
  <si>
    <t>9F0A6-9BTMX-LGEPV</t>
  </si>
  <si>
    <t>VYYW8-3X6RR-IF9HT</t>
  </si>
  <si>
    <t>VRCLW-QKX52-RR2TM</t>
  </si>
  <si>
    <t>0BMHY-LR8DF-DGX6X</t>
  </si>
  <si>
    <t>XMMDM-Y956I-6NL52</t>
  </si>
  <si>
    <t>5ZJ7A-EV5AK-D0P9J</t>
  </si>
  <si>
    <t>7CCVT-EQ0LX-LMCBQ</t>
  </si>
  <si>
    <t>ARK: Survival Evolved</t>
  </si>
  <si>
    <t>HW7MG-ILP6V-P2RLD</t>
  </si>
  <si>
    <t>EZZYV-RCL9D-5J0XT</t>
  </si>
  <si>
    <t>QPV6A-QAKLR-HEB2K</t>
  </si>
  <si>
    <t>5B34J-99GEQ-0L7XT</t>
  </si>
  <si>
    <t>7CNN6-WDD99-AKQTZ</t>
  </si>
  <si>
    <t>5HZFJ-Y4V3R-VCHRX</t>
  </si>
  <si>
    <t>EJYAZ-D3WY2-YPQWW</t>
  </si>
  <si>
    <t>YKDHE-P6WTP-TB9NI</t>
  </si>
  <si>
    <t>The Dark Pictures Anthology: The Devil in Me</t>
  </si>
  <si>
    <t>NP8Z4-20BVA-WNWA9</t>
  </si>
  <si>
    <t>FVWJ0-GKYLJ-LGWHY</t>
  </si>
  <si>
    <t>GHFMZ-ZTK37-26DEC</t>
  </si>
  <si>
    <t>X4: Foundations</t>
  </si>
  <si>
    <t>JKKK8-VYX5Q-T37ED</t>
  </si>
  <si>
    <t>EAV4F-QDJ50-VDN4D</t>
  </si>
  <si>
    <t>7JNP5-C0257-B3T09</t>
  </si>
  <si>
    <t>6HQTD-QCFRH-28CVN</t>
  </si>
  <si>
    <t>EMY5H-RR0MZ-DFLAL</t>
  </si>
  <si>
    <t>PXVHQ-L836D-FGLMY</t>
  </si>
  <si>
    <t>PRBNW-HCYPD-RRMNQ</t>
  </si>
  <si>
    <t>FBF7K-YRDPV-JR7KP</t>
  </si>
  <si>
    <t>ZW7KI-HF5KX-JHEW8</t>
  </si>
  <si>
    <t>JMFXZ-3HWN8-MPYFQ</t>
  </si>
  <si>
    <t>YP08E-0EQBX-2PQ55</t>
  </si>
  <si>
    <t>PQJ2V-BI0E4-P2GFG</t>
  </si>
  <si>
    <t>3GQD0-GW40I-Q37RY</t>
  </si>
  <si>
    <t>QZRL9-T6CHI-BNQ5V</t>
  </si>
  <si>
    <t>PWNN5-YPA4I-ZGCAH</t>
  </si>
  <si>
    <t>FRY6C-5T6RI-TKNPR</t>
  </si>
  <si>
    <t>XG62Q-FJNRJ-XTTMP</t>
  </si>
  <si>
    <t>FPQJG-3BA82-8H7VH</t>
  </si>
  <si>
    <t>Q4RYT-DG494-ZRF49</t>
  </si>
  <si>
    <t>VJF0I-RV80L-L78KC</t>
  </si>
  <si>
    <t>3CNNY-CTY4E-EDMH7</t>
  </si>
  <si>
    <t>Sackboy: A Big Adventure</t>
  </si>
  <si>
    <t>Z3F9R-VCLLH-P8B53</t>
  </si>
  <si>
    <t>X60C6-4Q9RI-AB3PM</t>
  </si>
  <si>
    <t>RB0M7-B7J8L-7X8KX</t>
  </si>
  <si>
    <t>DBW0A-J2MJY-M8JW0</t>
  </si>
  <si>
    <t>RECMJ-5DX32-ITMJZ</t>
  </si>
  <si>
    <t>EZXTI-6NZ4H-0WYEA</t>
  </si>
  <si>
    <t>VYXPR-IE6YM-CWVLI</t>
  </si>
  <si>
    <t>4WJWG-ZVLKM-762N5</t>
  </si>
  <si>
    <t>RGDMF-WHTP5-Q4GJM</t>
  </si>
  <si>
    <t>CDGMQ-0CGRM-YJ0B8</t>
  </si>
  <si>
    <t>22CNP-9MX9T-HG0J4</t>
  </si>
  <si>
    <t>35BJF-5FJHR-PV9WZ</t>
  </si>
  <si>
    <t>RNRNQ-GBGA5-EHGRK</t>
  </si>
  <si>
    <t>SpongeBob SquarePants: The Cosmic Shake</t>
  </si>
  <si>
    <t>RRFXX-2NHIA-GZNPD</t>
  </si>
  <si>
    <t>BPM5B-0QK3M-F46H3</t>
  </si>
  <si>
    <t>J5C44-6BQXA-WMYAP</t>
  </si>
  <si>
    <t>KRL9H-E4MZF-MY2V2</t>
  </si>
  <si>
    <t>DWLQD-7LM2D-E8ZPP</t>
  </si>
  <si>
    <t>Z2VQR-A009E-WBVZ5</t>
  </si>
  <si>
    <t>V78EF-8CQYX-B6YDQ</t>
  </si>
  <si>
    <t>IMA8Y-H9HEP-TLCDJ</t>
  </si>
  <si>
    <t>XXY7L-YXFIV-N7GG9</t>
  </si>
  <si>
    <t>WRC Generations Fully Loaded Edition</t>
  </si>
  <si>
    <t>B0W56-NXKJI-HX35Y</t>
  </si>
  <si>
    <t>XWI7R-V3HZ5-2X9C6</t>
  </si>
  <si>
    <t>MWTKF-XVXRR-BGG2F</t>
  </si>
  <si>
    <t>FLKA8-CJ6QN-ATL7B</t>
  </si>
  <si>
    <t>HXXM9-W6PLZ-R004M</t>
  </si>
  <si>
    <t>Uncharted: Legacy of Thieves Collection</t>
  </si>
  <si>
    <t>5CR7J-W5YIJ-4Z9AW</t>
  </si>
  <si>
    <t>X53MW-H7NB9-C07K0</t>
  </si>
  <si>
    <t>Park Beyond</t>
  </si>
  <si>
    <t>img2a</t>
  </si>
  <si>
    <t>T9KEB-CGMKM-AXKTJ</t>
  </si>
  <si>
    <t>img4a</t>
  </si>
  <si>
    <t>img5a</t>
  </si>
  <si>
    <t>img6a</t>
  </si>
  <si>
    <t>img7a</t>
  </si>
  <si>
    <t>img8a</t>
  </si>
  <si>
    <t>img9a</t>
  </si>
  <si>
    <t>img1b</t>
  </si>
  <si>
    <t>TRY8P-8C0LT-BDEAW</t>
  </si>
  <si>
    <t>YHJJX-CKPG9-D7JLL</t>
  </si>
  <si>
    <t>img2b</t>
  </si>
  <si>
    <t>img2c</t>
  </si>
  <si>
    <t>img2d</t>
  </si>
  <si>
    <t>img2e</t>
  </si>
  <si>
    <t>img2f</t>
  </si>
  <si>
    <t>img2g</t>
  </si>
  <si>
    <t>BY255-DIXTQ-KQG83</t>
  </si>
  <si>
    <t>DKETT-QIW6X-6JAWL</t>
  </si>
  <si>
    <t>img3e</t>
  </si>
  <si>
    <t>img3f</t>
  </si>
  <si>
    <t>img3k</t>
  </si>
  <si>
    <t>img3x</t>
  </si>
  <si>
    <t>img3s</t>
  </si>
  <si>
    <t>img3z</t>
  </si>
  <si>
    <t>img4b</t>
  </si>
  <si>
    <t>img4c</t>
  </si>
  <si>
    <t>img4d</t>
  </si>
  <si>
    <t>VEZ0N-3CC9N-6ITLR</t>
  </si>
  <si>
    <t>XBH3B-HG575-3Q4PA</t>
  </si>
  <si>
    <t>instuffgames</t>
  </si>
  <si>
    <t>Shady Part of Me</t>
  </si>
  <si>
    <t>M0MLB-23W8I-ZPZLY</t>
  </si>
  <si>
    <t>J7Y5Y-GM4HQ-9Q9KQ</t>
  </si>
  <si>
    <t>8IVJA-YYPCF-W6DWL</t>
  </si>
  <si>
    <t>AQ6TK-KDWF2-MIJMH</t>
  </si>
  <si>
    <t>IYXW2-6CG6D-NIYV8</t>
  </si>
  <si>
    <t>67R5X-BK4VY-Z6GRR</t>
  </si>
  <si>
    <t>YFWRR-Y00FL-372E2</t>
  </si>
  <si>
    <t>98LZV-X0RPB-VZM68</t>
  </si>
  <si>
    <t>Chenso Club EU</t>
  </si>
  <si>
    <t>97RZ5-632V7-725R9</t>
  </si>
  <si>
    <t>5EQT4-GLPGN-KN3AB</t>
  </si>
  <si>
    <t>KETZL-MIXCQ-KAEVH</t>
  </si>
  <si>
    <t>N0HGL-HJT0N-5WYY8</t>
  </si>
  <si>
    <t>RMP0N-CNTLT-Q644D</t>
  </si>
  <si>
    <t>T6M6W-K7VXK-KQCLR</t>
  </si>
  <si>
    <t>instuff</t>
  </si>
  <si>
    <t>5ZQQX-CIVKC-LH4HI</t>
  </si>
  <si>
    <t>TVMJ8-B9XQ4-DL2LZ</t>
  </si>
  <si>
    <t>BRCQA-NNWMG-RY483</t>
  </si>
  <si>
    <t>58E4W-HC02J-MGQ2X</t>
  </si>
  <si>
    <t>90VZE-7RIPP-DGZTM</t>
  </si>
  <si>
    <t>36W4J-GQR49-89VNJ</t>
  </si>
  <si>
    <t>F8B7H-RM5BY-ZYNW6</t>
  </si>
  <si>
    <t>3M8E9-NN8TM-Y9VL8</t>
  </si>
  <si>
    <t>A Little To The Left</t>
  </si>
  <si>
    <t>L05GP-RKAVM-QWD9P</t>
  </si>
  <si>
    <t>A Plague Tale: Requiem</t>
  </si>
  <si>
    <t>Z4XKX-F72BX-6GIN5</t>
  </si>
  <si>
    <t>VP4DG-C4ZJP-FMLJT</t>
  </si>
  <si>
    <t>6AML2-26EMY-PLAAA</t>
  </si>
  <si>
    <t>YZ5RY-CP47I-C5GXW</t>
  </si>
  <si>
    <t>Metal Gear Survive</t>
  </si>
  <si>
    <t>8CWBM-L9035-R63HR</t>
  </si>
  <si>
    <t>Redfall</t>
  </si>
  <si>
    <t>XKDA9-4F7GD-YFDY2</t>
  </si>
  <si>
    <t>Dune: Spice Wars</t>
  </si>
  <si>
    <t>RA78C-EH5GC-J6YV6</t>
  </si>
  <si>
    <t>F1 Manager 2022</t>
  </si>
  <si>
    <t>JCEGB-EM0CW-TRD47</t>
  </si>
  <si>
    <t>GMN55-6ZRIH-KZAJY</t>
  </si>
  <si>
    <t>CZXBZ-6X6R4-3EHQM</t>
  </si>
  <si>
    <t>YYAVT-Z07Z6-NAMVE</t>
  </si>
  <si>
    <t>088DZ-E5WHF-N8W82</t>
  </si>
  <si>
    <t>HAWF2-8ZKBY-JR2EI</t>
  </si>
  <si>
    <t>6Z2G2-75P44-V86LK</t>
  </si>
  <si>
    <t>ZD7P3-222RF-ZJY5K</t>
  </si>
  <si>
    <t>5EBJ6-4TIMC-D6BE2</t>
  </si>
  <si>
    <t>37NWJ-8CLCN-JKVEA</t>
  </si>
  <si>
    <t>37NMT-XNANL-82L3A</t>
  </si>
  <si>
    <t>37N8I-VMJAA-2KKW0</t>
  </si>
  <si>
    <t>Persona 5 Royal</t>
  </si>
  <si>
    <t>GE9BC-6M3P8-K8EX2</t>
  </si>
  <si>
    <t>8BPRD-J9R0A-8833W</t>
  </si>
  <si>
    <t>HHRDD-DV5HV-2RTG0</t>
  </si>
  <si>
    <t>50TFE-XNFAG-KY9I5</t>
  </si>
  <si>
    <t>P4NKC-GA7IW-QG4XP</t>
  </si>
  <si>
    <t>BI5KP-5M2LF-PFAEH</t>
  </si>
  <si>
    <t>Marvel's Avengers The Definitive Edition</t>
  </si>
  <si>
    <t>T6K2X-ER5HC-8T2HQ</t>
  </si>
  <si>
    <t>83BJB-H2KV6-ZL9VJ</t>
  </si>
  <si>
    <t>9CK89-FCWPJ-2JAJ9</t>
  </si>
  <si>
    <t>Rhythm Sprout: Sick Beats &amp; Bad Sweets</t>
  </si>
  <si>
    <t>GAGYH-CEAV0-DYN8I</t>
  </si>
  <si>
    <t>38YRW-YHL2J-CLZFV</t>
  </si>
  <si>
    <t>Sonic Colors: Ultimate Digital Deluxe EU</t>
  </si>
  <si>
    <t>JA54Z-PJL6I-ECIRV</t>
  </si>
  <si>
    <t>Autonauts vs Piratebots</t>
  </si>
  <si>
    <t>X2HLG-49K85-Y9TP4</t>
  </si>
  <si>
    <t>K2AAB-JMD6H-5X40M</t>
  </si>
  <si>
    <t>Sid Meier’s Civilization VI Anthology EU</t>
  </si>
  <si>
    <t>LJDLZ-JYYTI-9W5I9</t>
  </si>
  <si>
    <t>IK6GQ-JNR4L-9PIGW</t>
  </si>
  <si>
    <t>The Pathless</t>
  </si>
  <si>
    <t>CQYEZ-E5P8G-C6CNW</t>
  </si>
  <si>
    <t>YZXX0-PIH29-HLMK5</t>
  </si>
  <si>
    <t>W6W4D-JQJPB-P78TA</t>
  </si>
  <si>
    <t>BXHGF-6MTKW-3L5GP</t>
  </si>
  <si>
    <t>9HC2B-Z56YE-96FBP</t>
  </si>
  <si>
    <t>J5KLG-3DVE3-XTEM8</t>
  </si>
  <si>
    <t>E2F5Y-LXJ9P-6XKDQ</t>
  </si>
  <si>
    <t>3YK0Y-2506W-PZKMG</t>
  </si>
  <si>
    <t>5AR3Z-E5NYH-XKV94</t>
  </si>
  <si>
    <t>XC74F-QRH8F-3CIKF</t>
  </si>
  <si>
    <t>94G0T-LR72B-9G0AN</t>
  </si>
  <si>
    <t>8CT3E-L06RA-GQV2Z</t>
  </si>
  <si>
    <t>My Time at Sandrock EU</t>
  </si>
  <si>
    <t>77KCP-M0HXP-7H708</t>
  </si>
  <si>
    <t>YNPB7-KIQ2D-DDLYB</t>
  </si>
  <si>
    <t>6RLP4-0N0FY-JYG0V</t>
  </si>
  <si>
    <t>6G9NP-0YJ25-ZRQW8</t>
  </si>
  <si>
    <t>PowerWash Simulator</t>
  </si>
  <si>
    <t>83EQR-YXBH4-7CXQW</t>
  </si>
  <si>
    <t>2RDZV-27ELX-CPIMI</t>
  </si>
  <si>
    <t>KHL82-2IPIR-W0HNT</t>
  </si>
  <si>
    <t>D36LR-J9CQA-NFZDP</t>
  </si>
  <si>
    <t>7WNN5-M2TRJ-LZDHJ</t>
  </si>
  <si>
    <t>FYB8Q-DCTHK-VDKND</t>
  </si>
  <si>
    <t>RIAH8-HBV0K-4AFJ3</t>
  </si>
  <si>
    <t xml:space="preserve">REWDZ-E9T2Z-LREPP
</t>
  </si>
  <si>
    <t>F855P-02GNX-PAAER</t>
  </si>
  <si>
    <t>FEIFX-K5CRP-YNHRI</t>
  </si>
  <si>
    <t>3GQFJ-P24DT-F4HYZ</t>
  </si>
  <si>
    <t>3GQ5X-R4C9Z-HCCX2</t>
  </si>
  <si>
    <t>3GPLA-KQBK5-VFBBF</t>
  </si>
  <si>
    <t>M83FK-MRV5P-M6BEW</t>
  </si>
  <si>
    <t>3IAGE-DTJ09-N8TCR</t>
  </si>
  <si>
    <t>3I9IF-DZEAR-G2YPM</t>
  </si>
  <si>
    <t>3IPG8-PY6D6-NW63W</t>
  </si>
  <si>
    <t>3IQ9I-9MPD8-R47DI</t>
  </si>
  <si>
    <t>3IQ5E-KEHFC-GBEFF</t>
  </si>
  <si>
    <t>3MP0X-ZW0C3-N97DZ</t>
  </si>
  <si>
    <t>3MN5C-MY03C-YF5EY</t>
  </si>
  <si>
    <t>VDXMV-8IPW9-M98TN</t>
  </si>
  <si>
    <t>3TC4T-M4RHM-JRQDG</t>
  </si>
  <si>
    <t>3TBLD-8VQ8M-944C4</t>
  </si>
  <si>
    <t>3TBJK-VGEXF-43VL8</t>
  </si>
  <si>
    <t>LKCM0-6ZXFN-8IJJ3</t>
  </si>
  <si>
    <t>3TWAT-793QA-RV8DH</t>
  </si>
  <si>
    <t>3TW4C-7RMRJ-QAPYT</t>
  </si>
  <si>
    <t>3TW3M-NN8MY-RQG0M</t>
  </si>
  <si>
    <t>PB2N4-32959-MHC4I</t>
  </si>
  <si>
    <t>0EYJL-B3XJG-62ZCW</t>
  </si>
  <si>
    <t>75CDF-HDN9Y-RFZEV</t>
  </si>
  <si>
    <t>EEYP2-HGLZ0-H2BB7</t>
  </si>
  <si>
    <t>bounce</t>
  </si>
  <si>
    <t>EJ2FH-B43VV-IJQCX</t>
  </si>
  <si>
    <t>3C49A-YGRMZ-TI8AY</t>
  </si>
  <si>
    <t>C9ZBY-HPWBT-AX0LQ</t>
  </si>
  <si>
    <t>C77F4-XEA5L-KIV23</t>
  </si>
  <si>
    <t>C7E0X-YM9NC-LPG8I</t>
  </si>
  <si>
    <t>Crisis Core: Final Fantasy VII Reunion EU</t>
  </si>
  <si>
    <t>6YFJ5-6LGG2-46B0I</t>
  </si>
  <si>
    <t>ZHTHN-R88G6-379TA</t>
  </si>
  <si>
    <t>3WAEN-V6Y2W-QF67C</t>
  </si>
  <si>
    <t>3W8NM-YBBJ7-IA62R</t>
  </si>
  <si>
    <t>W44V9-PCV08-RZ63J</t>
  </si>
  <si>
    <t>EWMWM-HWYZZ-2LQ73</t>
  </si>
  <si>
    <t>N59CD-0VM5A-GTQPN</t>
  </si>
  <si>
    <t>5EN39-BJF44-R94HQ</t>
  </si>
  <si>
    <t>24VWH-NFI9N-7MRZX</t>
  </si>
  <si>
    <t>KECD7-6ZGRH-G7N2N</t>
  </si>
  <si>
    <t>4FFHY-VPN60-M34XX</t>
  </si>
  <si>
    <t>BKVEL-ML95V-E4J0E</t>
  </si>
  <si>
    <t>usa</t>
  </si>
  <si>
    <t>22WGN-YN07W-B0K22</t>
  </si>
  <si>
    <t>Digimon World: Next Order</t>
  </si>
  <si>
    <t>E99MF-H9VFZ-2QRX0</t>
  </si>
  <si>
    <t>TAIBW-QP0LK-A5FWQ</t>
  </si>
  <si>
    <t>Only Up!</t>
  </si>
  <si>
    <t>7XF4L-3A4YV-YA4IY</t>
  </si>
  <si>
    <t>3WRF4-C7V4Y-TKW2V</t>
  </si>
  <si>
    <t>3WQHM-NITPY-0BMTB</t>
  </si>
  <si>
    <t>HGWCV-8Z242-DF9JZ</t>
  </si>
  <si>
    <t>V3HEA-H6J6J-A4X3C</t>
  </si>
  <si>
    <t>JZTG0-89K7B-Y8YAE</t>
  </si>
  <si>
    <t>25FT3-PN83Z-3HF98</t>
  </si>
  <si>
    <t>3R0PY-JBZM6-XZWJ8</t>
  </si>
  <si>
    <t>F2X0D-GNWJT-ZZ3LR</t>
  </si>
  <si>
    <t>7N2PF-BDPQP-L57AM</t>
  </si>
  <si>
    <t>BDKX0-NDVWT-NW5GX</t>
  </si>
  <si>
    <t>JAPL3-5NTLT-KB9DJ</t>
  </si>
  <si>
    <t>HIYE2-TF7DC-N95DW</t>
  </si>
  <si>
    <t>WIH9Y-VMGQ0-WIWN8</t>
  </si>
  <si>
    <t>2XVHL-R8XE5-XCDJD</t>
  </si>
  <si>
    <t>XFTJD-HXP8Y-8C6CR</t>
  </si>
  <si>
    <t>2LLGW-49X50-I5T6X</t>
  </si>
  <si>
    <t>9NZ9M-B3K28-M054G</t>
  </si>
  <si>
    <t>NKD76-L4K9G-GC7RB</t>
  </si>
  <si>
    <t>89TRP-0PV3Z-DBKNX</t>
  </si>
  <si>
    <t>M2Q9E-IAKRZ-IG5WB</t>
  </si>
  <si>
    <t>6WKZY-DXMGE-PE4WQ</t>
  </si>
  <si>
    <t>HBWFW-BIK05-3XT0G</t>
  </si>
  <si>
    <t>7DVW0-9DAT0-5IRM3</t>
  </si>
  <si>
    <t>FFQNX-0VL0T-NDNXD</t>
  </si>
  <si>
    <t>KCJZH-KQM66-2BX7X</t>
  </si>
  <si>
    <t>2V682-PP0DQ-BALAW</t>
  </si>
  <si>
    <t>HELLCARD</t>
  </si>
  <si>
    <t>NKZF3-4K6X9-M82FB</t>
  </si>
  <si>
    <t>4TA7B-JEVM8-F8VRW</t>
  </si>
  <si>
    <t>4T9NV-JQ3ZB-7R5ZY</t>
  </si>
  <si>
    <t>4T9LF-G0K5P-R7X4G</t>
  </si>
  <si>
    <t>C6YBV-AGRC8-6HTM3</t>
  </si>
  <si>
    <t>Witch it EU</t>
  </si>
  <si>
    <t>T6PB6-T9ZWP-JLB3C</t>
  </si>
  <si>
    <t>KZTKJ-PL6KT-DINYC</t>
  </si>
  <si>
    <t>9EGT6-0P9GX-4N59F</t>
  </si>
  <si>
    <t>3KTTN-DX80K-8A52G</t>
  </si>
  <si>
    <t>JJQV0-A6X5M-46PGB</t>
  </si>
  <si>
    <t>HPVK0-26DTF-GQ68D</t>
  </si>
  <si>
    <t>Z3EVJ-R3WMX-EICKH</t>
  </si>
  <si>
    <t>M8MYV-BZ87N-NIWIA</t>
  </si>
  <si>
    <t>XNPVG-694LP-GK4D6</t>
  </si>
  <si>
    <t>78FQ5-RJTRM-WT9C7</t>
  </si>
  <si>
    <t>R2ZPK-NWD2A-G8RDT</t>
  </si>
  <si>
    <t>REN50-MGHHK-P42P7</t>
  </si>
  <si>
    <t>LI77X-700KZ-6D24Q</t>
  </si>
  <si>
    <t>4MBD2-4EC5J-39RA7</t>
  </si>
  <si>
    <t>L06MC-V2T0M-KHVGK</t>
  </si>
  <si>
    <t>JMBJ2-QGJZL-RNE77</t>
  </si>
  <si>
    <t>Marvel's Avengers - The Definitive Edition EU</t>
  </si>
  <si>
    <t>AI4G8-J8AWY-LE7XW</t>
  </si>
  <si>
    <t>ATLNE-LRPXZ-HKDK5</t>
  </si>
  <si>
    <t>B3VR2-87FN6-MZV6L</t>
  </si>
  <si>
    <t>GMB80-H0BYQ-MZW96</t>
  </si>
  <si>
    <t>JT3K5-LNJI9-VKV5D</t>
  </si>
  <si>
    <t>B88DF-ABC5H-TQIFG</t>
  </si>
  <si>
    <t>5889I-BC4A3-PW3HM</t>
  </si>
  <si>
    <t>587IV-T23RX-IC2T6</t>
  </si>
  <si>
    <t>587FP-IIYH3-5WCER</t>
  </si>
  <si>
    <t>QWNHI-62ADZ-R5VP2</t>
  </si>
  <si>
    <t>A0IK5-ZA32G-3G0PH</t>
  </si>
  <si>
    <t>6G5HH-R6JZB-798VQ</t>
  </si>
  <si>
    <t>W6VNC-W3BH8-QVHQ4</t>
  </si>
  <si>
    <t>2BH8W-6TR8J-DXMKA</t>
  </si>
  <si>
    <t>WARNO</t>
  </si>
  <si>
    <t>HD800-KB577-EJD06</t>
  </si>
  <si>
    <t>Shadows of Doubt EU</t>
  </si>
  <si>
    <t>8R77Y-0BVWZ-BZNAH</t>
  </si>
  <si>
    <t>BZ674-46Z60-GF3HN</t>
  </si>
  <si>
    <t>48CLN-DG4TV-8L8CY</t>
  </si>
  <si>
    <t>3RJJY-QZTHE-NP92H</t>
  </si>
  <si>
    <t>MQDC6-MAIEV-2CDCE</t>
  </si>
  <si>
    <t>WRKMK-ZAGNT-48N5Z</t>
  </si>
  <si>
    <t>WBIRQ-3CKJV-LQ3MW</t>
  </si>
  <si>
    <t>MDPBZ-2F6TW-38KAN</t>
  </si>
  <si>
    <t>9LLFT-M7ZGI-BAWWK</t>
  </si>
  <si>
    <t>7V3IG-EXDQV-L60MP</t>
  </si>
  <si>
    <t>0I3Q9-GG2WA-8MMQK</t>
  </si>
  <si>
    <t>K0639-PCC6Y-GXQGH</t>
  </si>
  <si>
    <t>BX83M-TNZBP-8Y7YB</t>
  </si>
  <si>
    <t>C3HL0-NFP5T-46GPE</t>
  </si>
  <si>
    <t>C7F6N-TAV8W-QR46K</t>
  </si>
  <si>
    <t>Smalland: Survive the Wilds</t>
  </si>
  <si>
    <t>7E4ZI-0Q3RF-4BYCT</t>
  </si>
  <si>
    <t>CQC7Z-W3YI5-PDT5L</t>
  </si>
  <si>
    <t>C7X9J-NJ4EH-YIP5G</t>
  </si>
  <si>
    <t>L9EP9-7PG57-DXWYA</t>
  </si>
  <si>
    <t>N2RTM-AAG5X-687HW</t>
  </si>
  <si>
    <t>LFBIG-QCWEW-74854</t>
  </si>
  <si>
    <t>XJ3B9-NNA53-BR0W4</t>
  </si>
  <si>
    <t>7LW7I-RV4XE-XR3H0</t>
  </si>
  <si>
    <t>LC2RM-EEV8M-YEEGD</t>
  </si>
  <si>
    <t>C8P7E-499VW-TE5HB</t>
  </si>
  <si>
    <t>K576D-GWM4N-CJ93D</t>
  </si>
  <si>
    <t>CH57I-NW7EA-DZW7I</t>
  </si>
  <si>
    <t>58WPJ-P3B9H-99P5N</t>
  </si>
  <si>
    <t>58WMK-7NG2E-NFN8B</t>
  </si>
  <si>
    <t>58WB8-H0QVM-HJ57R</t>
  </si>
  <si>
    <t>PGA TOUR 2K23</t>
  </si>
  <si>
    <t>GN3AB-2DB9B-NAGI5</t>
  </si>
  <si>
    <t>TZWYY-6JHNY-3TZKK</t>
  </si>
  <si>
    <t>H2A9P-AKNZI-LA59L</t>
  </si>
  <si>
    <t>Showgunners</t>
  </si>
  <si>
    <t>5Q9FN-3TDTJ-3WIID</t>
  </si>
  <si>
    <t>Atelier Ryza 3: Alchemist of the End &amp; the Secret Key</t>
  </si>
  <si>
    <t>BF372-A44GR-EVVQA</t>
  </si>
  <si>
    <t>5AJ2A-52EDP-4ERYJ</t>
  </si>
  <si>
    <t>5AI4L-HGJPN-BWPMC</t>
  </si>
  <si>
    <t>5AI39-PFAW6-R9VJ4</t>
  </si>
  <si>
    <t>5AI2P-Z729M-QB74H</t>
  </si>
  <si>
    <t>5AI2M-ZME95-NJQ4N</t>
  </si>
  <si>
    <t>H68PX-KRA68-B942X</t>
  </si>
  <si>
    <t>The Universim</t>
  </si>
  <si>
    <t>BPIXL-3DNNT-8BQXJ</t>
  </si>
  <si>
    <t>4LZ2Q-3KPBC-B03QG</t>
  </si>
  <si>
    <t>KTDVB-9M2Q4-PN3F4</t>
  </si>
  <si>
    <t>Serious Sam: Siberian Mayhem</t>
  </si>
  <si>
    <t>0C86V-J70H8-XNW8R</t>
  </si>
  <si>
    <t>FGZM3-FD67Y-5DB9B</t>
  </si>
  <si>
    <t>FJQBV-FX0G4-M0C96</t>
  </si>
  <si>
    <t>F4HK0-V36X9-ZD7J2</t>
  </si>
  <si>
    <t>5BDW7-QE8C3-BB9JD</t>
  </si>
  <si>
    <t>5BF5H-ID24A-EAQKN</t>
  </si>
  <si>
    <t>5BF4A-J0M07-Y2D4P</t>
  </si>
  <si>
    <t>5BEZD-ZRBHH-6JW35</t>
  </si>
  <si>
    <t>5BE7I-6AT6W-CFMMC</t>
  </si>
  <si>
    <t>D97H3-3GVBK-0BA2I</t>
  </si>
  <si>
    <t>85QTP-AWXDH-VEHEY</t>
  </si>
  <si>
    <t>KY5CN-TA9K4-B5ID6</t>
  </si>
  <si>
    <t>WH8Z4-EELP4-LG6CF</t>
  </si>
  <si>
    <t>5CQ3V-7MAEW-WFF7H</t>
  </si>
  <si>
    <t>5CPQV-KQN7Z-NRE7E</t>
  </si>
  <si>
    <t>5CPNM-8ZRB7-IZLG5</t>
  </si>
  <si>
    <t>5CP7P-3JHN5-N89BM</t>
  </si>
  <si>
    <t>5CNLR-4NZ9P-843HW</t>
  </si>
  <si>
    <t>4KMIN-9LPND-T8KWX</t>
  </si>
  <si>
    <t>Hogwarts Legacy</t>
  </si>
  <si>
    <t>WGLKH-F0XJM-BLBEG</t>
  </si>
  <si>
    <t>FCYM0-9MRAW-NI96J</t>
  </si>
  <si>
    <t>3XZD2-8ZYJL-N8H8K</t>
  </si>
  <si>
    <t>9ZL7H-67W0X-G6XDC</t>
  </si>
  <si>
    <t>287VE-ABEL2-DP2C5</t>
  </si>
  <si>
    <t>5DK5T-5VPW4-DX3B7</t>
  </si>
  <si>
    <t>5DMKC-44W25-A0N46</t>
  </si>
  <si>
    <t>5DLPG-AM3MM-NQ7TX</t>
  </si>
  <si>
    <t>5DL4P-6QR32-4405T</t>
  </si>
  <si>
    <t>5DKW8-ZPVQQ-FIP4I</t>
  </si>
  <si>
    <t>Beacon Pines</t>
  </si>
  <si>
    <t>X0N34-JVVVY-ZN0FI</t>
  </si>
  <si>
    <t>VZXG5-VDRW0-ZN5YJ</t>
  </si>
  <si>
    <t>RZ595-D0GRM-RYWYI</t>
  </si>
  <si>
    <t>EQTNT-TB2GC-YM3A4</t>
  </si>
  <si>
    <t>AEYEH-LYHCV-H2T7B</t>
  </si>
  <si>
    <t>A0BQ8-GY4DE-I2DHL</t>
  </si>
  <si>
    <t>PAM7P-XTM8L-EAZ85</t>
  </si>
  <si>
    <t>5GLX5-A63MC-PTFQ4</t>
  </si>
  <si>
    <t>5GLV3-8JZKB-L3T3E</t>
  </si>
  <si>
    <t>5GLGQ-CQD5D-7Z7KA</t>
  </si>
  <si>
    <t>5GL8V-ID4WM-A80HB</t>
  </si>
  <si>
    <t>5GKZA-PIML3-E8Y7Z</t>
  </si>
  <si>
    <t>Kingdom Rush</t>
  </si>
  <si>
    <t>L3ENB-FTDC5-6YLDF</t>
  </si>
  <si>
    <t>PNVNI-629IV-778P7</t>
  </si>
  <si>
    <t>C8FAK-G2PFR-ZJMXB</t>
  </si>
  <si>
    <t>FQY28-D4AVE-7T5FW</t>
  </si>
  <si>
    <t>5LYI7-9FDE5-IW0WG</t>
  </si>
  <si>
    <t>5LYHR-EZ3YN-B6T70</t>
  </si>
  <si>
    <t>5LYGR-BTIVH-L08E8</t>
  </si>
  <si>
    <t>5LXWY-XNP8H-ILXW0</t>
  </si>
  <si>
    <t>5LW9J-NZZRY-7NKGP</t>
  </si>
  <si>
    <t>After Us</t>
  </si>
  <si>
    <t>HBPWL-YG4TF-DYLGF</t>
  </si>
  <si>
    <t>MT0GA-07X8H-JEGI9</t>
  </si>
  <si>
    <t>MQGE2-BHW5X-PA6AG</t>
  </si>
  <si>
    <t>939MK-LX5ZV-YA7FN</t>
  </si>
  <si>
    <t>620YX-HX9FA-MFMXK</t>
  </si>
  <si>
    <t>620N9-ZZHPI-8MMJN</t>
  </si>
  <si>
    <t>620LR-D84TG-MY3ZQ</t>
  </si>
  <si>
    <t>62066-NAEWI-0EWZ5</t>
  </si>
  <si>
    <t>60ZRR-HAXLA-LGPT4</t>
  </si>
  <si>
    <t>MM9KD-MHKZ6-LNYYY</t>
  </si>
  <si>
    <t>624VE-BNI0R-60ZW8</t>
  </si>
  <si>
    <t>624NA-J8CJZ-PB0QN</t>
  </si>
  <si>
    <t>62449-H5BLQ-3748F</t>
  </si>
  <si>
    <t>623CX-7JGPN-D0JWT</t>
  </si>
  <si>
    <t>6234G-C0V2M-QQ9CZ</t>
  </si>
  <si>
    <t>06WJX-T0AH3-BZF69</t>
  </si>
  <si>
    <t>YNF8Q-CGBY9-GGTLJ</t>
  </si>
  <si>
    <t>ZKKD2-JV3HB-IZ2EK</t>
  </si>
  <si>
    <t>40D5Y-WQVQ2-QJNPM</t>
  </si>
  <si>
    <t>Danger Scavenger</t>
  </si>
  <si>
    <t>7AARA-RG0I0-L9YIP</t>
  </si>
  <si>
    <t>BQ3PD-YWPD8-YJNFQ</t>
  </si>
  <si>
    <t>ZG3IE-TQPAA-NNKI0</t>
  </si>
  <si>
    <t>YHLNY-6GN4C-ZWJ80</t>
  </si>
  <si>
    <t>The Town of Light</t>
  </si>
  <si>
    <t>WKCQJ-XWG7H-4ZBIP</t>
  </si>
  <si>
    <t>Y39Q6-YV6N0-6FMHN</t>
  </si>
  <si>
    <t>N8XTK-4BYCR-LKX9P</t>
  </si>
  <si>
    <t xml:space="preserve">XVC98-JZ8B7-XXY5I
</t>
  </si>
  <si>
    <t>65736-6TFM3-2V4E8</t>
  </si>
  <si>
    <t>656E5-M6CF8-6PZCW</t>
  </si>
  <si>
    <t>655XM-99JX9-JXBF6</t>
  </si>
  <si>
    <t>654XM-BDI6Z-94XNG</t>
  </si>
  <si>
    <t>654QD-87WXT-49ARR</t>
  </si>
  <si>
    <t>26HWE-QYXRB-WBA3T</t>
  </si>
  <si>
    <t>H65ZG-A2TZW-0NN72</t>
  </si>
  <si>
    <t>TRGGH-82JIT-HA6DW</t>
  </si>
  <si>
    <t>BWVPW-I30JL-5HG4R</t>
  </si>
  <si>
    <t>V2RRW-D22DL-4B5G2</t>
  </si>
  <si>
    <t>RIB8N-2EZ5Z-5EEGC</t>
  </si>
  <si>
    <t>M2D65-YC3DT-AMZBI</t>
  </si>
  <si>
    <t xml:space="preserve">DJ0K2-QYFV4-KV0LR
</t>
  </si>
  <si>
    <t>8FWZ8-B5W2C-PN9NC</t>
  </si>
  <si>
    <t>BW50A-9J4NV-4GHTM</t>
  </si>
  <si>
    <t>32B3F-0Q6XN-ELJGZ</t>
  </si>
  <si>
    <t>8J0LF-ML5ZR-XFBWA</t>
  </si>
  <si>
    <t>0LWVP-D3M2C-GKQCG</t>
  </si>
  <si>
    <t>VI9Y4-M0YNY-47PY6</t>
  </si>
  <si>
    <t>QQ08R-J2T77-9NZ85</t>
  </si>
  <si>
    <t>5FMZJ-23KF3-3IA0Y</t>
  </si>
  <si>
    <t>2Q9V3-VY6K8-QTL07</t>
  </si>
  <si>
    <t>58B6H-DY56H-Q0LD7</t>
  </si>
  <si>
    <t>83QYE-3RDQB-B8Q8Z</t>
  </si>
  <si>
    <t>R3EWW-8HNM3-P0L6F</t>
  </si>
  <si>
    <t>RP83V-J6PWG-H00ZA</t>
  </si>
  <si>
    <t>X9F65-YP9I7-LZ9JG</t>
  </si>
  <si>
    <t>CW4N3-RQ7XQ-JXYKK</t>
  </si>
  <si>
    <t>KCZ78-TVH65-KNM3M</t>
  </si>
  <si>
    <t>Storyteller EU</t>
  </si>
  <si>
    <t>Z6IHW-DKD37-JAZWV</t>
  </si>
  <si>
    <t>75Y9E-JPXJ8-L209W</t>
  </si>
  <si>
    <t>75Y0D-4KN8Q-LKNYT</t>
  </si>
  <si>
    <t>75X5P-V7CV7-6MYRF</t>
  </si>
  <si>
    <t>Bunker Punks</t>
  </si>
  <si>
    <t>3K4V3-KXD8F-EJLGH</t>
  </si>
  <si>
    <t>W5LGG-VC0PY-W87NN</t>
  </si>
  <si>
    <t>ACVJK-7QTBQ-E2DN4</t>
  </si>
  <si>
    <t>C6IGE-5QEVP-52PD5</t>
  </si>
  <si>
    <t>Space Crew: Legendary Edition</t>
  </si>
  <si>
    <t>A2P60-LRTHC-Q4EGI</t>
  </si>
  <si>
    <t>YI25Y-BNFKY-KMHAM</t>
  </si>
  <si>
    <t>7AGRW-LLXF9-76DF0</t>
  </si>
  <si>
    <t>7AFP4-NWBHK-KXCJG</t>
  </si>
  <si>
    <t>7AF5Z-A2NH3-3LIJD</t>
  </si>
  <si>
    <t>86KAR-795PQ-FXQJW</t>
  </si>
  <si>
    <t>7AKF2-GFWNV-JX5FB</t>
  </si>
  <si>
    <t>7AJHM-XAVPZ-WIGDR</t>
  </si>
  <si>
    <t>Sifu</t>
  </si>
  <si>
    <t>NZ2A9-7T2M8-Z0EW8</t>
  </si>
  <si>
    <t>Football Manager 2023</t>
  </si>
  <si>
    <t>2YJLQ-E2C3J-VK6YQ</t>
  </si>
  <si>
    <t>I0L20-4E668-QB7XA</t>
  </si>
  <si>
    <t>PLDMP-CMNQ4-E70HL</t>
  </si>
  <si>
    <t>G2GTI-P34KW-3T006</t>
  </si>
  <si>
    <t>NJGV3-TTZA5-7TREI</t>
  </si>
  <si>
    <t>85862-8648X-2INBT</t>
  </si>
  <si>
    <t>G2KJK-W0NX9-GV74C</t>
  </si>
  <si>
    <t>ICI0A-WW90P-486IG</t>
  </si>
  <si>
    <t>56CG2-9E537-TEJ8F</t>
  </si>
  <si>
    <t>ZNT9B-50FH7-Y5IXX</t>
  </si>
  <si>
    <t>5XJWV-VR8PN-T0CMK</t>
  </si>
  <si>
    <t>V34I5-0R2XI-4BEHZ</t>
  </si>
  <si>
    <t>90RZB-LJWNX-LV6E3</t>
  </si>
  <si>
    <t>90RIY-BMTMT-4VZGQ</t>
  </si>
  <si>
    <t>90R2N-9ZFYW-TV797</t>
  </si>
  <si>
    <t>90QKF-3J8LD-GVDFT</t>
  </si>
  <si>
    <t>90PCC-M54HW-DX0AA</t>
  </si>
  <si>
    <t>4A6H9-DB5T0-DTGGR</t>
  </si>
  <si>
    <t>IA76G-MT803-NRKJL</t>
  </si>
  <si>
    <t>4G90P-XB5LX-HLW02</t>
  </si>
  <si>
    <t>AHD58-Q95CG-FFTVJ</t>
  </si>
  <si>
    <t>RFPIN-MYIZT-G543D</t>
  </si>
  <si>
    <t>GQYYN-YZA5V-6XCBA</t>
  </si>
  <si>
    <t>BN66J-45NPQ-H05RZ</t>
  </si>
  <si>
    <t>MCX9P-W7LKR-54AA0</t>
  </si>
  <si>
    <t>K8FZW-7I2GV-K5VYZ</t>
  </si>
  <si>
    <t>KJBNT-7GHJY-9FGHF</t>
  </si>
  <si>
    <t>DIKC3-C95HT-9BT6N</t>
  </si>
  <si>
    <t>VQHYP-49P2B-RAVAJ</t>
  </si>
  <si>
    <t>46FCF-XDD5W-N97B5</t>
  </si>
  <si>
    <t>Dog Sled Saga</t>
  </si>
  <si>
    <t>D8IQT-NC0BV-9WNIV</t>
  </si>
  <si>
    <t>FCV4L-AGZBG-A7HIA</t>
  </si>
  <si>
    <t>5THII-3TCWT-CBEAR</t>
  </si>
  <si>
    <t>XK0XA-A3J2J-ZI7LD</t>
  </si>
  <si>
    <t>XY9AH-IFX0N-3BAF4</t>
  </si>
  <si>
    <t>0BEXM-BKIRP-C2505</t>
  </si>
  <si>
    <t>8KKG8-XKJN5-8X43I</t>
  </si>
  <si>
    <t>XB3NI-PDB6V-V4L2I</t>
  </si>
  <si>
    <t>FTVPH-ZB83N-MV88K</t>
  </si>
  <si>
    <t>TWZX2-T2IHF-ANWVA</t>
  </si>
  <si>
    <t>I62A7-B7EW0-34W0C</t>
  </si>
  <si>
    <t>PR97P-PTXAG-N25BQ</t>
  </si>
  <si>
    <t>CMELH-90TKZ-HB2NW</t>
  </si>
  <si>
    <t>E8Q8Q-70QZX-99LAJ</t>
  </si>
  <si>
    <t>7DYGZ-8020G-IWYWV</t>
  </si>
  <si>
    <t>ZHRZ7-WLQLK-A84VB</t>
  </si>
  <si>
    <t>L9CLR-R8IMI-IN9JI</t>
  </si>
  <si>
    <t>Hammerwatch II</t>
  </si>
  <si>
    <t>2WBVY-TIRB9-H3LWL</t>
  </si>
  <si>
    <t>85WZI-RGRQX-9K46K</t>
  </si>
  <si>
    <t>J59DG-PAZ9P-HW4W9</t>
  </si>
  <si>
    <t>X6C0D-NMDVR-4YDGP</t>
  </si>
  <si>
    <t>RFQMV-ZNC3E-W88NM</t>
  </si>
  <si>
    <t>45KQ2-JH7PZ-ERJNQ</t>
  </si>
  <si>
    <t>T70K3-TQVA9-66IWG</t>
  </si>
  <si>
    <t>5W87B-M0TB5-YBNA7</t>
  </si>
  <si>
    <t>7NGIM-ZDHZW-8KC2V</t>
  </si>
  <si>
    <t>GK3IW-C9I27-ZXGLP</t>
  </si>
  <si>
    <t>0VKL9-L29NJ-CCMTX</t>
  </si>
  <si>
    <t>9M4V6-AK0H4-TDBZC</t>
  </si>
  <si>
    <t>Against the Storm</t>
  </si>
  <si>
    <t>I6F5W-MPPAB-L2BNW</t>
  </si>
  <si>
    <t>KVCY0-DE2Y8-93KRC</t>
  </si>
  <si>
    <t>7NDLJ-9KJGA-VD469</t>
  </si>
  <si>
    <t>WN0A8-XT0FB-4J2LK</t>
  </si>
  <si>
    <t>H7JL0-3LNHE-JGP6A</t>
  </si>
  <si>
    <t>LQJPA-3BZBR-987GC</t>
  </si>
  <si>
    <t>A95QR-TVGMC-FEAD9</t>
  </si>
  <si>
    <t>IW4R2-87L7L-DXKHX</t>
  </si>
  <si>
    <t>KPBY2-IK57J-3XK49</t>
  </si>
  <si>
    <t>TYHC8-CLPDF-K54I3</t>
  </si>
  <si>
    <t>Through the Woods</t>
  </si>
  <si>
    <t>5R8Y0-D645C-WX6QI</t>
  </si>
  <si>
    <t>VACH8-QP23K-DRKPN</t>
  </si>
  <si>
    <t>5IK83-GVE3R-CT0TT</t>
  </si>
  <si>
    <t>PRGZR-N6PJ4-7FXKJ</t>
  </si>
  <si>
    <t>LP7IK-QKQTW-9TWP3</t>
  </si>
  <si>
    <t>QD2V7-6JY5V-7IT7Q</t>
  </si>
  <si>
    <t>WQL3H-69302-TTXKR</t>
  </si>
  <si>
    <t>PVMZH-Y6JK0-XZZ7L</t>
  </si>
  <si>
    <t>KVWC2-A2NAH-WQ0MK</t>
  </si>
  <si>
    <t>AA5TI-8KTP8-40T4V</t>
  </si>
  <si>
    <t>6J8V6-XFJNF-TA7HR</t>
  </si>
  <si>
    <t>RKLRT-GXGK9-REYPP</t>
  </si>
  <si>
    <t>MKF99-QJEPZ-A57T5</t>
  </si>
  <si>
    <t>3QP36-HLATA-LC796</t>
  </si>
  <si>
    <t>5E8JN-J88LY-EYLZI</t>
  </si>
  <si>
    <t>8E3DM-6Y3BH-LZITX</t>
  </si>
  <si>
    <t>ETHGP-8NF6A-4YEDP</t>
  </si>
  <si>
    <t>WYYF0-L5RBL-8TEAK</t>
  </si>
  <si>
    <t>ZYQHE-IK9ZP-0FJ2W</t>
  </si>
  <si>
    <t>EH3LK-XM25I-5N3FH</t>
  </si>
  <si>
    <t>0KXTW-I8RQK-A2P2T</t>
  </si>
  <si>
    <t>XRNJL-2WCNV-BXRIE</t>
  </si>
  <si>
    <t>God of War</t>
  </si>
  <si>
    <t>GRH0W-WWN0P-ALE85</t>
  </si>
  <si>
    <t>04W5M-9KRXQ-X5T4R</t>
  </si>
  <si>
    <t>HIDY9-P5N7G-M0BQ2</t>
  </si>
  <si>
    <t>E0EJW-2W8MA-ZJTKC</t>
  </si>
  <si>
    <t>H9TAM-MP0HM-X0LXL</t>
  </si>
  <si>
    <t>KR204-DAE7I-LT3L7</t>
  </si>
  <si>
    <t>6XFV8-20H56-MQLEI</t>
  </si>
  <si>
    <t>06P4N-EGBLQ-AE603</t>
  </si>
  <si>
    <t>2ANWE-KPYRP-NV8GH</t>
  </si>
  <si>
    <t>NPT7B-ZJW2G-FR0LP</t>
  </si>
  <si>
    <t>8RVNQ-Z9WWD-W729B</t>
  </si>
  <si>
    <t>N50L4-C02PG-0JJ2K</t>
  </si>
  <si>
    <t>R9X2F-C4ZLE-86BH3</t>
  </si>
  <si>
    <t>CHRRG-DCIHX-F72BP</t>
  </si>
  <si>
    <t>N493C-V58AJ-KZKIH</t>
  </si>
  <si>
    <t>072FP-AJ27I-4LL44</t>
  </si>
  <si>
    <t>R2EFW-K99Y4-HC4GX</t>
  </si>
  <si>
    <t>J8ZAB-JRN37-WNJ6B</t>
  </si>
  <si>
    <t>3PV2T-XL9WJ-DEVHY</t>
  </si>
  <si>
    <t>K68X5-9FTHH-I4J2E</t>
  </si>
  <si>
    <t>ADFPD-XB0Z8-320IM</t>
  </si>
  <si>
    <t>GLMYY-T62ZB-4N5D5</t>
  </si>
  <si>
    <t>4VW6R-W4GB5-ZX39G</t>
  </si>
  <si>
    <t>VKDJG-48AGV-4W846</t>
  </si>
  <si>
    <t>74AI5-4Q0WZ-7526G</t>
  </si>
  <si>
    <t>FK0D7-RWW8M-CYLCC</t>
  </si>
  <si>
    <t>LDA8T-LXNN8-DW2RP</t>
  </si>
  <si>
    <t>AJ27K-9FI6E-IXD4X</t>
  </si>
  <si>
    <t>YZ589-EECX4-C9BGY</t>
  </si>
  <si>
    <t>7C0LH-E8DAA-QZ2VE</t>
  </si>
  <si>
    <t>PLMPA-9FND8-6VIJM</t>
  </si>
  <si>
    <t>R5DYQ-ZFGI0-40VQY</t>
  </si>
  <si>
    <t>A6HQ0-0MZ6C-QMV06</t>
  </si>
  <si>
    <t>RAG9K-LTQWZ-Y2627</t>
  </si>
  <si>
    <t>jennylhynn</t>
  </si>
  <si>
    <t>6ZTRI-3FG78-Y3IT0</t>
  </si>
  <si>
    <t>I70B0-QXKN9-52RZR</t>
  </si>
  <si>
    <t>AYF4M-YPY68-BACNR</t>
  </si>
  <si>
    <t>AYE8J-VQR3E-7ZC8V</t>
  </si>
  <si>
    <t>AYDNR-4Z66A-M7V52</t>
  </si>
  <si>
    <t>AYCI9-5768X-T8AH6</t>
  </si>
  <si>
    <t>AYC7T-MCREB-RQX2F</t>
  </si>
  <si>
    <t>AYPRW-5D67L-BVQ2A</t>
  </si>
  <si>
    <t>AYPQ7-QI6ZA-HYLI0</t>
  </si>
  <si>
    <t>AYP7T-803AT-TRNPY</t>
  </si>
  <si>
    <t>AYML0-9V8QG-7X5NV</t>
  </si>
  <si>
    <t>AYM3E-3WPM5-XKAKD</t>
  </si>
  <si>
    <t>Total War: WARHAMMER III EU</t>
  </si>
  <si>
    <t>M83QZ-JC809-T9XV5</t>
  </si>
  <si>
    <t>img2</t>
  </si>
  <si>
    <t>img3</t>
  </si>
  <si>
    <t>img4</t>
  </si>
  <si>
    <t>FG7MH-RNBAG-C23NP</t>
  </si>
  <si>
    <t>ZY48P-Q6ACN-VMKT8</t>
  </si>
  <si>
    <t>9YH94-8FWKT-0RRRM</t>
  </si>
  <si>
    <t>Resident Evil 4 (2023)</t>
  </si>
  <si>
    <t>E0EQZ-MV7DJ-MVFVD</t>
  </si>
  <si>
    <t>Factorio</t>
  </si>
  <si>
    <t>IHGRL-GT8M3-T7VQ3</t>
  </si>
  <si>
    <t>69YHV-KY8EI-Y4RCE</t>
  </si>
  <si>
    <t>8KTBP-Y5AE8-CZ2VI</t>
  </si>
  <si>
    <t>V8KWX-YLCIT-PFAQB</t>
  </si>
  <si>
    <t>78X56-ILNW0-C44PN</t>
  </si>
  <si>
    <t>23M7Y-NPLCE-AXNA8</t>
  </si>
  <si>
    <t>AB4C4-3LPHR-E65WW</t>
  </si>
  <si>
    <t>Sunkenland</t>
  </si>
  <si>
    <t>C9438-DBJC8-Z3V4X</t>
  </si>
  <si>
    <t>AK0W0-G8WQ8-C0CAW</t>
  </si>
  <si>
    <t>Remnant II</t>
  </si>
  <si>
    <t>ZJ5YY-WMGRP-9ATWV</t>
  </si>
  <si>
    <t>DYFLC-3YRWI-B2F5V</t>
  </si>
  <si>
    <t>ECR4X-8PDML-V95HQ</t>
  </si>
  <si>
    <t>8EK4E-F98RY-N03PF</t>
  </si>
  <si>
    <t>TC7XE-7T39D-PCJCC</t>
  </si>
  <si>
    <t>QRPEZ-782K5-G74Z3</t>
  </si>
  <si>
    <t>EVA4A-JW52G-HJJYW</t>
  </si>
  <si>
    <t>ZTYJK-MLIZI-YYHTB</t>
  </si>
  <si>
    <t>FEBEE-TGC5B-G4J5A</t>
  </si>
  <si>
    <t>Two Point Campus</t>
  </si>
  <si>
    <t>4ZK8J-3C9XZ-RX7PK</t>
  </si>
  <si>
    <t>PCKYY-I5B0A-ZG38D</t>
  </si>
  <si>
    <t>Q8WJD-AGM6F-CTX9E</t>
  </si>
  <si>
    <t>I3G36-B4G2X-NAAXF</t>
  </si>
  <si>
    <t>PQXQD-AF62Q-WDW42</t>
  </si>
  <si>
    <t>34GQP-VCAPI-M25AF</t>
  </si>
  <si>
    <t>XY25V-TYGKB-02E5D</t>
  </si>
  <si>
    <t>KM742-43WG6-L922G</t>
  </si>
  <si>
    <t>HRM90-LZ5N8-P37KK</t>
  </si>
  <si>
    <t>KPDDC-D095A-YC30R</t>
  </si>
  <si>
    <t>0Z4PV-6JIA7-A8QNY</t>
  </si>
  <si>
    <t>WL0BH-3JW0J-PFJWA</t>
  </si>
  <si>
    <t>7AD2H-205PP-X37BX</t>
  </si>
  <si>
    <t>KRNCC-9BLHM-G49E2</t>
  </si>
  <si>
    <t>4YR8E-MBZ6D-5MGRY</t>
  </si>
  <si>
    <t>ZI3R9-H9HK7-KT0TN</t>
  </si>
  <si>
    <t>MFN90-N5704-R35GM</t>
  </si>
  <si>
    <t>W6AWY-YIQWI-T87W5</t>
  </si>
  <si>
    <t>VHGI8-XKIB6-Q97YY</t>
  </si>
  <si>
    <t>I changed it to simple Marvel Avengers because it was deleted from Kinguin</t>
  </si>
  <si>
    <t>Saints Row</t>
  </si>
  <si>
    <t>WZQJQ-5QYVJ-WH3B9</t>
  </si>
  <si>
    <t>FJMQQ-55ARL-BNHZP</t>
  </si>
  <si>
    <t>X0TFK-B7ZEN-X0MHM</t>
  </si>
  <si>
    <t>Q52RE-RBFG7-BC7Z8</t>
  </si>
  <si>
    <t>IJJQY-95QPN-KPPCA</t>
  </si>
  <si>
    <t>X8ECD-T9BX0-YXLWL</t>
  </si>
  <si>
    <t>LR5YG-NDKE5-DXX7Y</t>
  </si>
  <si>
    <t>X8N92-FJARE-PI985</t>
  </si>
  <si>
    <t>X8P55-63I9G-2484I</t>
  </si>
  <si>
    <t>X8W9B-BEDDI-86KEG</t>
  </si>
  <si>
    <t>K6QK8-XK2E9-9AFTR</t>
  </si>
  <si>
    <t>Fallout 76</t>
  </si>
  <si>
    <t>NHC8B-V7Z48-CWI6V</t>
  </si>
  <si>
    <t>Last Epoch</t>
  </si>
  <si>
    <t>7RD9D-ZMGEM-LBNKY</t>
  </si>
  <si>
    <t>X9V20-AGVAN-VHN5J</t>
  </si>
  <si>
    <t>XAAHX-8BDVE-LNZIX</t>
  </si>
  <si>
    <t>XALB3-59BCK-F8ZN6</t>
  </si>
  <si>
    <t>R8FNY-3RWXP-6E32K</t>
  </si>
  <si>
    <t>EJDGD-96VK6-GRZ4T</t>
  </si>
  <si>
    <t>KWMFJ-C0RTP-L0APL</t>
  </si>
  <si>
    <t>I8GRT-WVRDC-M7G4C</t>
  </si>
  <si>
    <t>IXF8B-ALXAP-NWP94</t>
  </si>
  <si>
    <t>RMZ8A-CDJTA-77N63</t>
  </si>
  <si>
    <t>HLE69-6V7GB-M76BJ</t>
  </si>
  <si>
    <t>847EK-TJ8RY-2VKEP</t>
  </si>
  <si>
    <t>5WZ0D-L8R04-XEWEB</t>
  </si>
  <si>
    <t>DM2MB-8452W-R9F35</t>
  </si>
  <si>
    <t>DMVM3-LBM4F-NAEZ4</t>
  </si>
  <si>
    <t>Atomic Heart</t>
  </si>
  <si>
    <t>K5FN6-X8N7N-BM5GY</t>
  </si>
  <si>
    <t>E65AN-8NTE5-VL4LJ</t>
  </si>
  <si>
    <t>JYQ7C-5EF57-0X67W</t>
  </si>
  <si>
    <t>7WKDG-66MLI-M2AGY</t>
  </si>
  <si>
    <t>DEIH4-X47TJ-KYVRY</t>
  </si>
  <si>
    <t>HUMANKIND EU</t>
  </si>
  <si>
    <t>B9L0K-CT2PC-MLKEQ</t>
  </si>
  <si>
    <t>J96GP-ZV0DJ-7CIDJ</t>
  </si>
  <si>
    <t>Warstride Challenges</t>
  </si>
  <si>
    <t>8WQ2P-7YQMK-ZH833</t>
  </si>
  <si>
    <t>ABRISS - build to destroy</t>
  </si>
  <si>
    <t>MPHYD-3NT3Q-D6VZC</t>
  </si>
  <si>
    <t>Chants of Sennaar</t>
  </si>
  <si>
    <t>983KG-HZNQM-PP5BI</t>
  </si>
  <si>
    <t>2F5NP-07DIE-5473D</t>
  </si>
  <si>
    <t>X6DEA-GTTY8-EZEHV</t>
  </si>
  <si>
    <t>0Z9AZ-HN8P4-Q66XN</t>
  </si>
  <si>
    <t>8J9DI-BPYZL-Z44J3</t>
  </si>
  <si>
    <t>RYGB5-8DQ3C-0Z4PV</t>
  </si>
  <si>
    <t>GAA59-VRGY0-8N74M</t>
  </si>
  <si>
    <t>NJIFR-CWJQ0-QFCC7</t>
  </si>
  <si>
    <t>No Man's Sky</t>
  </si>
  <si>
    <t>KVRLT-ZXAKR-DL3TM</t>
  </si>
  <si>
    <t>2H780-RXZXP-55J5E</t>
  </si>
  <si>
    <t>0B9I8-V75NK-90X4X</t>
  </si>
  <si>
    <t>No Man's Sky EU</t>
  </si>
  <si>
    <t>INFZ9-KIHC0-PXP8E</t>
  </si>
  <si>
    <t>0G7XL-T007D-IJMK</t>
  </si>
  <si>
    <t>G60FB-MPQ24-ENRDY</t>
  </si>
  <si>
    <t>X90BJ-IPNW7-M9EGH</t>
  </si>
  <si>
    <t>HJ9VW-54CR7-HVPIW</t>
  </si>
  <si>
    <t>6CRWL-WIK69-5C450</t>
  </si>
  <si>
    <t>85957-CRR98-KG7WW</t>
  </si>
  <si>
    <t>YJFCR-RDW0Y-NVIMZ</t>
  </si>
  <si>
    <t>BMNC2-TPJNP-2EX6E</t>
  </si>
  <si>
    <t>3QR52-YJTP0-PEK0R</t>
  </si>
  <si>
    <t>5KKQW-2ZRFL-780JG</t>
  </si>
  <si>
    <t>9JTGM-Z5XFY-M28XH</t>
  </si>
  <si>
    <t>F1 Manager 2023</t>
  </si>
  <si>
    <t>AMBMN-4R79H-8A75Y</t>
  </si>
  <si>
    <t>7VEKI-49IRM-P675C</t>
  </si>
  <si>
    <t>profilnet</t>
  </si>
  <si>
    <t>2P6A4-3AREF-NNBZM</t>
  </si>
  <si>
    <t>HVNQB-8QX8G-CLH33</t>
  </si>
  <si>
    <t>GNRM6-HJ79N-QG83Y</t>
  </si>
  <si>
    <t>3KIH6-GW3ZZ-LYWF9</t>
  </si>
  <si>
    <t>The Outlast Trials</t>
  </si>
  <si>
    <t>A7VDZ-7J4Y0-Q27T9</t>
  </si>
  <si>
    <t>KCCCB-XJKZZ-PQZT5</t>
  </si>
  <si>
    <t>ZIGGH-E5PNV-2VVG9</t>
  </si>
  <si>
    <t>YF560-4HJM9-8YEVH</t>
  </si>
  <si>
    <t>HZFRD-Y5RR9-ZE70I</t>
  </si>
  <si>
    <t>XWQ2P-KVQXL-KY8KE</t>
  </si>
  <si>
    <t>BMYIW-FYK5X-EP5VN</t>
  </si>
  <si>
    <t>6WFGR-LK3YK-DC6IL</t>
  </si>
  <si>
    <t>CPVJL-HXHFY-KVDH6</t>
  </si>
  <si>
    <t>WB7NT-JZAPD-W7VWR</t>
  </si>
  <si>
    <t>VIZHF-FJPJ7-BRN2T</t>
  </si>
  <si>
    <t>Atlas Fallen</t>
  </si>
  <si>
    <t>5FNL3-Y46Y8-JJ4ZB</t>
  </si>
  <si>
    <t>Y5F50-PJK0X-YPGXW</t>
  </si>
  <si>
    <t>3G7AG-94QF6-QG08F</t>
  </si>
  <si>
    <t>LT34R-E9M80-YG25D</t>
  </si>
  <si>
    <t>9MBQT-D6R4K-YRIXX</t>
  </si>
  <si>
    <t>D5QM8-A257W-HAPWF</t>
  </si>
  <si>
    <t>QAB9V-0R78M-3EYL7</t>
  </si>
  <si>
    <t>FEB58-P9Y63-XQIKJ</t>
  </si>
  <si>
    <t>8Y9I3-80DPG-YJWIN</t>
  </si>
  <si>
    <t>DGJYH-FKQ8D-RK404</t>
  </si>
  <si>
    <t>HY28R-V6XED-4ND8L</t>
  </si>
  <si>
    <t>CH6XD-6YPRN-5R2KR</t>
  </si>
  <si>
    <t>AH6GK-T24KF-37RFM</t>
  </si>
  <si>
    <t>INNTL-CGJM9-9INCT</t>
  </si>
  <si>
    <t>CAM0X-NKTC8-JWXR0</t>
  </si>
  <si>
    <t>CALY3-05G4R-BMVHN</t>
  </si>
  <si>
    <t>CAKZ2-9RLGK-KVANL</t>
  </si>
  <si>
    <t>CAKRR-BPECY-I0QTV</t>
  </si>
  <si>
    <t>CAJWH-HTE27-HLCE9</t>
  </si>
  <si>
    <t>DY6CC-AAJ8A-BK7YA</t>
  </si>
  <si>
    <t>F0EFM-GRW33-JL0RZ</t>
  </si>
  <si>
    <t>Z03RG-J4ZAR-TVG6B</t>
  </si>
  <si>
    <t>7Q4RY-WCVMZ-M90A0</t>
  </si>
  <si>
    <t>X7BPN-AEDMR-G0RW4</t>
  </si>
  <si>
    <t>Z6CWJ-J66GN-YN9YI</t>
  </si>
  <si>
    <t>Lies of P</t>
  </si>
  <si>
    <t>EIHBC-PYQ4I-XMIQ8</t>
  </si>
  <si>
    <t>5EZ9L-K4YTN-2A0PQ</t>
  </si>
  <si>
    <t>7YYXH-XXWD5-ZRRNR</t>
  </si>
  <si>
    <t>HumanitZ</t>
  </si>
  <si>
    <t>BPEL8-9T3DA-WCDZ5</t>
  </si>
  <si>
    <t>NTJYR-RFIE8-ATL69</t>
  </si>
  <si>
    <t>476LT-AE06Q-6GEAV</t>
  </si>
  <si>
    <t>B3LCR-HL0X3-D985G</t>
  </si>
  <si>
    <t>QF2JX-TMRPK-L5FCV</t>
  </si>
  <si>
    <t>Z49RH-09IIX-QKBXW</t>
  </si>
  <si>
    <t>0FGKG-M74KT-T7RFN</t>
  </si>
  <si>
    <t>8BJ5C-LKPG5-CEIV9</t>
  </si>
  <si>
    <t>5MTR6-3CQ6F-7LCEW</t>
  </si>
  <si>
    <t>admin</t>
  </si>
  <si>
    <t>JM0VL-H45J5-FP6MT</t>
  </si>
  <si>
    <t>L7HIM-LXK4W-4P5ZQ</t>
  </si>
  <si>
    <t>7IWYE-F0F08-L3407</t>
  </si>
  <si>
    <t>CCTVR-FIIGA-4KCAH</t>
  </si>
  <si>
    <t>FJG3R-E2WVL-D55M7</t>
  </si>
  <si>
    <t>Elite: Dangerous</t>
  </si>
  <si>
    <t>Z62XM-7ZN3P-V4D5L</t>
  </si>
  <si>
    <t>RR4QV-7523F-PRAAR</t>
  </si>
  <si>
    <t>I7FP3-K8D5K-2GT3I</t>
  </si>
  <si>
    <t>VINZW-NM2W0-ZG7TG</t>
  </si>
  <si>
    <t>Remnant II Deluxe Edition</t>
  </si>
  <si>
    <t>N7K9N-43JZQ-3NQWN</t>
  </si>
  <si>
    <t>Z2J3V-5NF0K-QN0MV</t>
  </si>
  <si>
    <t>Q089N-CAZHC-4ENQG</t>
  </si>
  <si>
    <t>ZHK0L-LP2EH-EZIDC</t>
  </si>
  <si>
    <t>C03B5-YGI9E-ZVK45</t>
  </si>
  <si>
    <t>NZZE8-YX0IE-RDRJT</t>
  </si>
  <si>
    <t>EXPJX-7YQY4-6X0QC</t>
  </si>
  <si>
    <t>JPFWH-TGNRJ-7QX9E</t>
  </si>
  <si>
    <t>imgbb</t>
  </si>
  <si>
    <t>0XA60-4QWWV-QWKCE</t>
  </si>
  <si>
    <t>BD37L-H3VN8-3X2EA</t>
  </si>
  <si>
    <t>F7A49-X2YXN-K9NXY</t>
  </si>
  <si>
    <t>Prodeus</t>
  </si>
  <si>
    <t>PHC9F-ZKI4Y-LHT2P</t>
  </si>
  <si>
    <t>V9I9R-RDY2P-F3K7R</t>
  </si>
  <si>
    <t>6Y24F-CLMX3-0YWGN</t>
  </si>
  <si>
    <t>4VEBR-JZXZJ-CF99K</t>
  </si>
  <si>
    <t>DK4QA-KFI9X-B0XPW</t>
  </si>
  <si>
    <t>I6WM8-D26XC-L79E2</t>
  </si>
  <si>
    <t>imgcc</t>
  </si>
  <si>
    <t>M03NH-XC8B2-0IWNB</t>
  </si>
  <si>
    <t>L6AXF-MN9RY-PF2P9</t>
  </si>
  <si>
    <t>FQV3M-C2RX2-EXWHX</t>
  </si>
  <si>
    <t>VBD5X-YXA6J-2AIPD</t>
  </si>
  <si>
    <t>MLF0B-G6WJD-Y5BFA</t>
  </si>
  <si>
    <t>Layers of Fear (2023)</t>
  </si>
  <si>
    <t>FG0MV-234JH-MC33M</t>
  </si>
  <si>
    <t>XC7Z4-LW23Z-H2KXE</t>
  </si>
  <si>
    <t>W42CC-A8VT9-QPEPD</t>
  </si>
  <si>
    <t>Squad</t>
  </si>
  <si>
    <t>Q6TVI-0NXI3-KWDAY</t>
  </si>
  <si>
    <t>H27I7-Q5J52-PYMA3</t>
  </si>
  <si>
    <t>CPXZ4-VKZH4-9MVFD</t>
  </si>
  <si>
    <t>WQCM3-VBEDC-4GWCW</t>
  </si>
  <si>
    <t>WFEKZ-YT7Z2-7TJBG</t>
  </si>
  <si>
    <t>5DP49-W79EM-Z2ZGX</t>
  </si>
  <si>
    <t>WD75C-VHXFG-B6TZ5</t>
  </si>
  <si>
    <t>3EDGA-H2FP9-65C0Q</t>
  </si>
  <si>
    <t>DTDVL-57J5D-GYGGF</t>
  </si>
  <si>
    <t>PBYCJ-XXM0Q-QN6NZ</t>
  </si>
  <si>
    <t>ZAFWK-MBH3Q-WX785</t>
  </si>
  <si>
    <t>Pile Up!</t>
  </si>
  <si>
    <t>YDYWA-Z5HY0-F6PJW</t>
  </si>
  <si>
    <t>Conan Exiles</t>
  </si>
  <si>
    <t>7YBXH-HX7N5-33XIN</t>
  </si>
  <si>
    <t>Spyro Reignited Trilogy RoW</t>
  </si>
  <si>
    <t>IVIVZ-GB27N-FINXC</t>
  </si>
  <si>
    <t>GPTY7-3T5EL-JEJRB</t>
  </si>
  <si>
    <t>P6TQW-ZI4XG-35G7E</t>
  </si>
  <si>
    <t>CBJII-KZ5HF-9LJ43</t>
  </si>
  <si>
    <t>42RCD-66PIQ-3773G</t>
  </si>
  <si>
    <t>Mordhau</t>
  </si>
  <si>
    <t>5CCKE-GN7W7-0G5GZ</t>
  </si>
  <si>
    <t>Z346H-HDEW8-6RP0A</t>
  </si>
  <si>
    <t>82P0L-P4JJ2-EN2QK</t>
  </si>
  <si>
    <t>82NIL-0CIMB-VZZVV</t>
  </si>
  <si>
    <t>82NFB-KJG4Q-L03Y6</t>
  </si>
  <si>
    <t>82N0M-ZQC3I-TJBER</t>
  </si>
  <si>
    <t>82MN8-02YT5-P082C</t>
  </si>
  <si>
    <t>PPMH3-PGCXE-AQAE7</t>
  </si>
  <si>
    <t>82VYX-T4JCQ-K79NE</t>
  </si>
  <si>
    <t>JIIYD-M7W9X-KHJ50</t>
  </si>
  <si>
    <t>82XNZ-IWJNJ-X0W2H</t>
  </si>
  <si>
    <t>82X7J-ZCJ2I-KIGVH</t>
  </si>
  <si>
    <t>82WTF-2TIXM-Z585A</t>
  </si>
  <si>
    <t>82WK4-FGXQA-GKHEL</t>
  </si>
  <si>
    <t>82ZKL-ZCGII-FKHF2</t>
  </si>
  <si>
    <t>830RA-4EBWA-5XVRJ</t>
  </si>
  <si>
    <t>8307V-4MYDM-7M8PP</t>
  </si>
  <si>
    <t>8306M-RX6TT-PMYTN</t>
  </si>
  <si>
    <t>83049-R3LX3-2WKTT</t>
  </si>
  <si>
    <t>NGIHA-F2GPJ-EP3AZ</t>
  </si>
  <si>
    <t>YNHF8-AIC4F-VWZQL</t>
  </si>
  <si>
    <t>WBM2P-QBY5P-8IM4H</t>
  </si>
  <si>
    <t>6YQEC-HFL7H-AC7IX</t>
  </si>
  <si>
    <t>NIBV3-7TQVD-5HP6M</t>
  </si>
  <si>
    <t>83KBQ-PHNBF-IK9HB</t>
  </si>
  <si>
    <t>83LDN-QR2M5-Q4T0M</t>
  </si>
  <si>
    <t>83KYD-JMIEK-YHQ7F</t>
  </si>
  <si>
    <t>83KV0-JC2CG-PXM0A</t>
  </si>
  <si>
    <t>YJJHP-EY69J-G7RQK</t>
  </si>
  <si>
    <t>N9KTE-RAEVR-ML73Q</t>
  </si>
  <si>
    <t>DJD32-THY0W-2CK7K</t>
  </si>
  <si>
    <t>900J6-HXKKT-EYIZP</t>
  </si>
  <si>
    <t>BYFZP-YIHF2-QFTZ2</t>
  </si>
  <si>
    <t>RLA7L-VIGDT-VZMHI</t>
  </si>
  <si>
    <t>RLA7G-R79DJ-JLI6F</t>
  </si>
  <si>
    <t>RL9TF-NRKHL-BIIWQ</t>
  </si>
  <si>
    <t>RL9HF-0G6BA-B2DPR</t>
  </si>
  <si>
    <t>RL8Z5-N8B39-6AGQF</t>
  </si>
  <si>
    <t>0M6B3-ADLER-538AW</t>
  </si>
  <si>
    <t>22N9Z-N652P-K3HH5</t>
  </si>
  <si>
    <t>FL652-AHRTF-Y692N</t>
  </si>
  <si>
    <t>ARPPB-T0NFR-J6LF5</t>
  </si>
  <si>
    <t>X2L0A-CP24N-XX4MY</t>
  </si>
  <si>
    <t>QTVGB-C9HV0-HM8XT</t>
  </si>
  <si>
    <t>BPA6Q-GY5J0-R7MR8</t>
  </si>
  <si>
    <t>DOOM Eternal</t>
  </si>
  <si>
    <t>M2GHZ-58LQY-GPHPF</t>
  </si>
  <si>
    <t>JIRBV-TJ787-TPE5C</t>
  </si>
  <si>
    <t>9RDXC-RGDJ6-L44NE</t>
  </si>
  <si>
    <t>Company of Heroes 3</t>
  </si>
  <si>
    <t>EZVVX-HRKIQ-MIRG2</t>
  </si>
  <si>
    <t>YWDPN-MI0FY-XZTD2</t>
  </si>
  <si>
    <t>HITMAN World of Assassination</t>
  </si>
  <si>
    <t>imgaa</t>
  </si>
  <si>
    <t>Witch It EU</t>
  </si>
  <si>
    <t>YX9AY-D9HWM-TC465</t>
  </si>
  <si>
    <t>2VK2J-YMRAC-9CKL4</t>
  </si>
  <si>
    <t>HPLPM-0GQ4V-GBIG2</t>
  </si>
  <si>
    <t>A4DNJ-V508N-YCGMV</t>
  </si>
  <si>
    <t>3Q4FH-6RIEJ-TF074</t>
  </si>
  <si>
    <t>CMBT3-PBFNH-YN3EN</t>
  </si>
  <si>
    <t>6IY7A-LKCTW-MM9T9</t>
  </si>
  <si>
    <t>RM88Z-T3Q8X-V3EHY</t>
  </si>
  <si>
    <t>RM7XK-X4CI7-YN7BP</t>
  </si>
  <si>
    <t>RM6N9-804VV-PIL6K</t>
  </si>
  <si>
    <t>RM6LA-VP2AN-DKQLV</t>
  </si>
  <si>
    <t>RM6CB-G3P4L-QHM57</t>
  </si>
  <si>
    <t>imgnd</t>
  </si>
  <si>
    <t>imgxx</t>
  </si>
  <si>
    <t>hfimg</t>
  </si>
  <si>
    <t>gyimg</t>
  </si>
  <si>
    <t>V2LQI-XG730-Y89G2</t>
  </si>
  <si>
    <t>zzimg</t>
  </si>
  <si>
    <t>CM0YZ-L4XE0-77TXE</t>
  </si>
  <si>
    <t>EZPZP-3TWED-3IYGN</t>
  </si>
  <si>
    <t>EZXY9-IDGJG-F9IHG</t>
  </si>
  <si>
    <t>IB4LR-QM4KP-VJYD5</t>
  </si>
  <si>
    <t>LGLT4-7DQMT-RPNBN</t>
  </si>
  <si>
    <t>CL9Y0-87LGZ-G3QNJ</t>
  </si>
  <si>
    <t>Bang-On Balls: Chronicles</t>
  </si>
  <si>
    <t>QVA8B-8IVJW-LFCKA</t>
  </si>
  <si>
    <t>REMW0-TQP9M-2772Z</t>
  </si>
  <si>
    <t>8BDXE-A045L-PT7J8</t>
  </si>
  <si>
    <t>7ZY0P-FN8CR-9KDCB</t>
  </si>
  <si>
    <t>CL385-EM4WY-DE0A0</t>
  </si>
  <si>
    <t>9IT38-7F5B8-7405E</t>
  </si>
  <si>
    <t>68DAV-HV7YC-TPJRE</t>
  </si>
  <si>
    <t>DGRP3-9B8IX-903ZX</t>
  </si>
  <si>
    <t>XE0YK-3GCQR-YJZQV</t>
  </si>
  <si>
    <t>RFPH7-AQ33T-2LVJ2</t>
  </si>
  <si>
    <t>H2JFE-JTIN8-G4T6Z</t>
  </si>
  <si>
    <t>XY8GN-2QXL2-QZT0Q</t>
  </si>
  <si>
    <t>CMVIP-HEKMJ-3W693</t>
  </si>
  <si>
    <t>J3JE4-0Y95B-2E3YX</t>
  </si>
  <si>
    <t>R9JMT-KV79V-7D93H</t>
  </si>
  <si>
    <t>43QTA-NN83Q-KHBK0</t>
  </si>
  <si>
    <t>ZA4Y3-9LGFD-HKKC5</t>
  </si>
  <si>
    <t>V65N0-PYW7X-FTWF2</t>
  </si>
  <si>
    <t>02MY2-0WJX2-3AYIZ</t>
  </si>
  <si>
    <t>XD2MI-5PP80-2JARL</t>
  </si>
  <si>
    <t>GP9RP-BMI5T-ETFKR</t>
  </si>
  <si>
    <t>I7D7B-CFXHY-J39KZ</t>
  </si>
  <si>
    <t>Bramble: The Mountain King</t>
  </si>
  <si>
    <t>L6YGP-WZ8HY-7I328</t>
  </si>
  <si>
    <t>HITMAN World of Assassination EU Epic Games</t>
  </si>
  <si>
    <t>aaimg</t>
  </si>
  <si>
    <t>bbimg</t>
  </si>
  <si>
    <t>DN9LQ-GGRPP-9K4R0</t>
  </si>
  <si>
    <t>2IBAH-GPZYR-554H2</t>
  </si>
  <si>
    <t>0ADAH-DZQPD-C29RG</t>
  </si>
  <si>
    <t>stimg</t>
  </si>
  <si>
    <t>rrimg</t>
  </si>
  <si>
    <t>lfimg</t>
  </si>
  <si>
    <t>KWADH-WWNYA-J28LM</t>
  </si>
  <si>
    <t>Q9J6Y-4Z39L-ET90R</t>
  </si>
  <si>
    <t>mmimg</t>
  </si>
  <si>
    <t>Tormented Souls</t>
  </si>
  <si>
    <t>J6JDR-AZPYR-5NV46</t>
  </si>
  <si>
    <t>P3GEY-F7RDQ-2KI8C</t>
  </si>
  <si>
    <t>lpimg</t>
  </si>
  <si>
    <t>Timberborn</t>
  </si>
  <si>
    <t>3GLTB-2RKYD-63ETQ</t>
  </si>
  <si>
    <t>5LYW0-X48DM-RDGIC</t>
  </si>
  <si>
    <t>Daymare: 1994 Sandcastle</t>
  </si>
  <si>
    <t>HJV87-ALXXN-22MXA</t>
  </si>
  <si>
    <t>Y66IB-FD6RN-7NK5W</t>
  </si>
  <si>
    <t>Party Animals</t>
  </si>
  <si>
    <t>IQ2FK-YICBR-92RLZ</t>
  </si>
  <si>
    <t>CZ6JP-KT269-7LJ7C</t>
  </si>
  <si>
    <t>A9CL8-FVFJA-JQ26B</t>
  </si>
  <si>
    <t>MYQAM-4WRTP-BHN3N</t>
  </si>
  <si>
    <t>YZHA2-3JA6C-ZNFF8</t>
  </si>
  <si>
    <t>RMED3-CZYFR-5AG9K</t>
  </si>
  <si>
    <t>QVXA0-BBPN3-BK68D</t>
  </si>
  <si>
    <t>R6F3R-DTIDN-95G26</t>
  </si>
  <si>
    <t>KZM9E-MGCPA-GM5GY</t>
  </si>
  <si>
    <t>ntimg</t>
  </si>
  <si>
    <t>xmimage</t>
  </si>
  <si>
    <t>A4KP7-NZEXB-2TE5V</t>
  </si>
  <si>
    <t>WX922-LEHVR-PJ04F</t>
  </si>
  <si>
    <t>T5FWY-ZI3VP-BYBHY</t>
  </si>
  <si>
    <t>8BCCP-N8PL7-QWL5D</t>
  </si>
  <si>
    <t>DIP06-T4AP2-ZKF27</t>
  </si>
  <si>
    <t>ftimg</t>
  </si>
  <si>
    <t>Q404K-3DQCR-JLGR7</t>
  </si>
  <si>
    <t>VC4DJ-ACQLZ-30DKA</t>
  </si>
  <si>
    <t>Q6Q3W-WN7B6-E87LI</t>
  </si>
  <si>
    <t>K6A3T-KDRGQ-3E54H</t>
  </si>
  <si>
    <t>5JLJ7-P75I8-JTATD</t>
  </si>
  <si>
    <t>9MC2M-0E7QC-Z5ELK</t>
  </si>
  <si>
    <t>3H42J-GWPNX-VQD2W</t>
  </si>
  <si>
    <t>554HQ-JPYFQ-GLK0N</t>
  </si>
  <si>
    <t>8L8VP-PF7RB-9GJXK</t>
  </si>
  <si>
    <t>LHZ3F-697A9-ACCGE</t>
  </si>
  <si>
    <t>4YJ97-IJ276-Z7EZC</t>
  </si>
  <si>
    <t>EK8NW-8GZCJ-9LCWZ</t>
  </si>
  <si>
    <t>FAT4A-XZK2F-FKHYM</t>
  </si>
  <si>
    <t>aaimg2</t>
  </si>
  <si>
    <t>AET7W-JTM6A-CXL82</t>
  </si>
  <si>
    <t>5H5FD-953KG-MIMI9</t>
  </si>
  <si>
    <t>CENBW-8FYH8-F376T</t>
  </si>
  <si>
    <t>PVJY6-0JRBA-PEXYL</t>
  </si>
  <si>
    <t>REHPD-M337K-MTREH</t>
  </si>
  <si>
    <t>KZ5ER-KLDPI-IDZJT</t>
  </si>
  <si>
    <t>L7WQC-EG7F7-0NEMJ</t>
  </si>
  <si>
    <t>TQD4W-AJ29M-Y6E8V</t>
  </si>
  <si>
    <t>The Last of Us Part 1 PC</t>
  </si>
  <si>
    <t>YJ0P3-AC4GD-8QIC8</t>
  </si>
  <si>
    <t>0MXD9-VJF62-HA3QN</t>
  </si>
  <si>
    <t>YDMEA-Y8C27-LC4LP</t>
  </si>
  <si>
    <t>AMQY9-HFD3X-WIYYH</t>
  </si>
  <si>
    <t>The Quarry Deluxe Edition</t>
  </si>
  <si>
    <t>6X852-3XGYT-MX2HE</t>
  </si>
  <si>
    <t>75FKZ-VF7R6-ICDXQ</t>
  </si>
  <si>
    <t>6T5RP-LCFZP-N2TLF</t>
  </si>
  <si>
    <t>6FQ7A-8BY2W-LPREB</t>
  </si>
  <si>
    <t>69D0F-626NX-FZWW6</t>
  </si>
  <si>
    <t>GR5F2-YBTFB-4QBIM</t>
  </si>
  <si>
    <t>5Q6JE-9QWHB-JXJTI</t>
  </si>
  <si>
    <t>5PI20-FDY8Y-VQXED</t>
  </si>
  <si>
    <t>Workers &amp; Resources: Soviet Republic</t>
  </si>
  <si>
    <t>HZRNI-N462C-CF9C5</t>
  </si>
  <si>
    <t>IA5MV-ME3AK-FD59G</t>
  </si>
  <si>
    <t>AT9WY-256DV-497ND</t>
  </si>
  <si>
    <t>6IJ3V-QBP00-I20I6</t>
  </si>
  <si>
    <t>6E8V4-GQV5K-5L4GM</t>
  </si>
  <si>
    <t>6RJRZ-2QD29-YCRH7</t>
  </si>
  <si>
    <t>6CG80-ZA9R2-3BANY</t>
  </si>
  <si>
    <t>6CPPJ-AYB3I-P6HQC</t>
  </si>
  <si>
    <t>L5AV4-8T07R-A9Z07</t>
  </si>
  <si>
    <t>2WR0Y-IV2YX-KK234</t>
  </si>
  <si>
    <t>DQ69L-Q273I-L9XNM</t>
  </si>
  <si>
    <t>DQDKR-BY888-2W75T</t>
  </si>
  <si>
    <t>R957H-9JRJ3-VA2PI</t>
  </si>
  <si>
    <t>XMQGG-L97J9-FWMBY</t>
  </si>
  <si>
    <t>2IJWL-9TGHK-L2MWG</t>
  </si>
  <si>
    <t>LXGHD-DMICD-K7INC</t>
  </si>
  <si>
    <t>KJYJG-5ET97-ZKEMG</t>
  </si>
  <si>
    <t>NFTD6-WZRB0-H2TFA</t>
  </si>
  <si>
    <t>CRQWP-EGC96-WK5H9</t>
  </si>
  <si>
    <t>7IPLV-DWJ5L-N5J60</t>
  </si>
  <si>
    <t>JPTJ7-07GCA-VJMYJ</t>
  </si>
  <si>
    <t>ECBN9-I5L2B-LJN56</t>
  </si>
  <si>
    <t>7XYZ8-W5MMZ-IV57E</t>
  </si>
  <si>
    <t>6QYK5-YE5RP-MMK94</t>
  </si>
  <si>
    <t>NJCZQ-0QN5P-9JA0I</t>
  </si>
  <si>
    <t>DH0X4-33PJ2-PKNGW</t>
  </si>
  <si>
    <t>dgimg</t>
  </si>
  <si>
    <t>8RQM2-6LDWN-ZWNJ7</t>
  </si>
  <si>
    <t>X48Y9-559PV-N5000</t>
  </si>
  <si>
    <t>AMFE5-XGHP6-JHQTR</t>
  </si>
  <si>
    <t>2J8TM-3KT4D-7YG0X</t>
  </si>
  <si>
    <t>yjimage</t>
  </si>
  <si>
    <t>8TI4E-G0XT3-XMR7B</t>
  </si>
  <si>
    <t>5RILN-G8V4K-HVQPX</t>
  </si>
  <si>
    <t>B6DRV-7FBVC-NCWNP</t>
  </si>
  <si>
    <t>3JMT8-MY8C8-8DTKJ</t>
  </si>
  <si>
    <t>QGIZP-KYG2P-84A3E</t>
  </si>
  <si>
    <t>TRHNI-9X7I2-VXYI6</t>
  </si>
  <si>
    <t>FEVXF-RQ58W-K9V6E</t>
  </si>
  <si>
    <t>H65ML-N55P2-Z6BVZ</t>
  </si>
  <si>
    <t>ENDLESS Dungeon</t>
  </si>
  <si>
    <t>F8C79-6E5YC-8IPJC</t>
  </si>
  <si>
    <t>CA5T6-7YZK5-3PN6L</t>
  </si>
  <si>
    <t>WARFL-HLP2N-C5CK5</t>
  </si>
  <si>
    <t>C87YG-Z5KLN-RCFT8</t>
  </si>
  <si>
    <t>BYI8A-PQXA9-TTZ7T</t>
  </si>
  <si>
    <t>X49XX-AFJ3F-XB2DI</t>
  </si>
  <si>
    <t>DQC4C-IDBIT-54867</t>
  </si>
  <si>
    <t>IV9FL-JQ8VG-N4M5P</t>
  </si>
  <si>
    <t>T97BY-9XI0Y-VD8GL</t>
  </si>
  <si>
    <t>BWF2W-TY0ZN-TYZXT</t>
  </si>
  <si>
    <t>4YQJ2-KEILQ-4ZBAJ</t>
  </si>
  <si>
    <t>CZHXG-KYB67-J98TY</t>
  </si>
  <si>
    <t>85NXF-ALM0K-WXYGB</t>
  </si>
  <si>
    <t>T3CK6-3TYN7-7BDTM</t>
  </si>
  <si>
    <t>Vampyr</t>
  </si>
  <si>
    <t>EZXQL-M5Y99-7PILK</t>
  </si>
  <si>
    <t>AGBLK-0HD9L-KYDYQ</t>
  </si>
  <si>
    <t>HEV69-63Y2A-55KAR</t>
  </si>
  <si>
    <t>9XPNR-EQTRW-XTAH5</t>
  </si>
  <si>
    <t>BRQVD-2ZIQ4-BKTBK</t>
  </si>
  <si>
    <t>7Q2A2-WICLR-B8RA2</t>
  </si>
  <si>
    <t>HFNZY-YR94N-BNR2J</t>
  </si>
  <si>
    <t>AADM3-WRKI7-D5WCN</t>
  </si>
  <si>
    <t>DVBCC-YH2G8-AZEX6</t>
  </si>
  <si>
    <t>CZFME-NXZRA-W8EIY</t>
  </si>
  <si>
    <t>MZ6VC-LKEGJ-I4H63</t>
  </si>
  <si>
    <t>K7LJJ-XQ5V5-58HWF</t>
  </si>
  <si>
    <t>IAYWB-0YJQV-Z06FD</t>
  </si>
  <si>
    <t>Beneath Oresa</t>
  </si>
  <si>
    <t>T8L56-Z9M5H-KV80E</t>
  </si>
  <si>
    <t>5D9CH-53X4W-9EYVF</t>
  </si>
  <si>
    <t>4ADYQ-600MK-7T2JD</t>
  </si>
  <si>
    <t>PT4VF-VT4RA-R6B6L</t>
  </si>
  <si>
    <t>JAH93-TFEEY-4Y53Q</t>
  </si>
  <si>
    <t>46Z6C-407FW-X00ZN</t>
  </si>
  <si>
    <t>E2ZM0-5E6VH-YYK4J</t>
  </si>
  <si>
    <t>ZA73P-34EQ3-L6P86</t>
  </si>
  <si>
    <t>X0TZN-8AP6I-A8ZPV</t>
  </si>
  <si>
    <t>0EBD4-PXV9M-H0NIR</t>
  </si>
  <si>
    <t>N8K5P-5GD8Q-XGYYT</t>
  </si>
  <si>
    <t>C0V94-H3L2F-RJJF6</t>
  </si>
  <si>
    <t>JA7HQ-J74KG-ERXBY</t>
  </si>
  <si>
    <t>IYTZQ-4R0BT-6V4X4</t>
  </si>
  <si>
    <t>ELG8E-PW5D8-EL6HT</t>
  </si>
  <si>
    <t>CICGC-3JI9Z-03VE3</t>
  </si>
  <si>
    <t>WWAN9-XCM4B-P976V</t>
  </si>
  <si>
    <t>HA0LI-QIKA6-IFCHP</t>
  </si>
  <si>
    <t>VIJX3-MBHX0-5HT4B</t>
  </si>
  <si>
    <t>DC8HF-954Z8-XDHXP</t>
  </si>
  <si>
    <t>The Dark Pictures Anthology: The Devil in Me EU</t>
  </si>
  <si>
    <t>QTVWM-F5M4C-560B6</t>
  </si>
  <si>
    <t>jenny</t>
  </si>
  <si>
    <t>IGBRA-DBCRX-6G9XG</t>
  </si>
  <si>
    <t>T4DFA-XF36E-94RAV</t>
  </si>
  <si>
    <t>K0VY7-VXYDF-VHVE7</t>
  </si>
  <si>
    <t>RFC7E-IV8G5-QK2K3</t>
  </si>
  <si>
    <t>JNTXE-AMMTG-LMNID</t>
  </si>
  <si>
    <t>WMDHV-EJW87-J3YJN</t>
  </si>
  <si>
    <t>C2NRT-J8L7C-ZXLLA</t>
  </si>
  <si>
    <t>GDCFH-3842F-EVCM8</t>
  </si>
  <si>
    <t>Z48IC-3DKRV-BIF9B</t>
  </si>
  <si>
    <t>TNBHE-VGH70-59NZT</t>
  </si>
  <si>
    <t>DH0KP-KC3T0-5X8Z8</t>
  </si>
  <si>
    <t>K55AC-Q7WT8-FKX4R</t>
  </si>
  <si>
    <t>56C4Z-WBQ38-D68HB</t>
  </si>
  <si>
    <t>Total War: PHARAOH</t>
  </si>
  <si>
    <t>DH9WK-ENR7B-DR0P4</t>
  </si>
  <si>
    <t>DHW0Y-Y705C-YADIM</t>
  </si>
  <si>
    <t>DINQF-IF07A-3E9GY</t>
  </si>
  <si>
    <t>7I86Z-44NJ0-0GFXC</t>
  </si>
  <si>
    <t>8AG0X-D6FW9-5NEGM</t>
  </si>
  <si>
    <t>A5H9D-XBXD8-7ZIXN</t>
  </si>
  <si>
    <t>60I7G-Z6E6E-KTABQ</t>
  </si>
  <si>
    <t xml:space="preserve">5KNAC-4DDTW-NWQML
</t>
  </si>
  <si>
    <t>LAQTP-BRWFE-76ATC</t>
  </si>
  <si>
    <t>NV507-L5L7M-LH50F</t>
  </si>
  <si>
    <t>647AG-CN80W-7PK2X</t>
  </si>
  <si>
    <t>TYRXH-74NGB-9Z54Q</t>
  </si>
  <si>
    <t>K93KY-FCMXZ-WRAGX</t>
  </si>
  <si>
    <t>Bendy and the Ink Machine</t>
  </si>
  <si>
    <t>H72CM-EXN8P-YXGQ5</t>
  </si>
  <si>
    <t>GYYZX-4VDW9-NHT9M</t>
  </si>
  <si>
    <t>GBWAJ-PEW8A-00BHQ</t>
  </si>
  <si>
    <t>GK002-TQQ2Q-GVDIW</t>
  </si>
  <si>
    <t>48EA5-IHTAA-3I823</t>
  </si>
  <si>
    <t>AD85K-B59ZT-LTKJK</t>
  </si>
  <si>
    <t>DT3LW-XXD6N-KW04P</t>
  </si>
  <si>
    <t>7XTXR-TDXXL-0EMNH</t>
  </si>
  <si>
    <t>DN2FP-WCFMG-VT70K</t>
  </si>
  <si>
    <t>E3T86-TFPC7-IPA07</t>
  </si>
  <si>
    <t>Ratchet &amp; Clank Rift Apart RoW</t>
  </si>
  <si>
    <t>0CQH5-0A6Z0-R7JRI</t>
  </si>
  <si>
    <t>6L8P6-PBZMD-LHT9E</t>
  </si>
  <si>
    <t>7BYEH-HCXJN-D3CQ9</t>
  </si>
  <si>
    <t>562YA-WD6IR-VT4TW</t>
  </si>
  <si>
    <t>T60IR-20KGZ-8AQ0W</t>
  </si>
  <si>
    <t>C24VE-DX4ZA-E2R0D</t>
  </si>
  <si>
    <t>H766E-VC3X5-0YV8D</t>
  </si>
  <si>
    <t>XQ234-ZV0GY-NQLD5</t>
  </si>
  <si>
    <t>PKVB4-R46KC-5J2VJ</t>
  </si>
  <si>
    <t>9F5TX-E3GZE-66D2W</t>
  </si>
  <si>
    <t>TMZ79-JRZIP-YMVP7</t>
  </si>
  <si>
    <t>WAHKK-9I003-ZEBFM</t>
  </si>
  <si>
    <t>NG2HB-8PNEA-FPK90</t>
  </si>
  <si>
    <t>WF4MZ-FF9PL-2IBLH</t>
  </si>
  <si>
    <t>GWEAF-XX64F-WA4TR</t>
  </si>
  <si>
    <t>5TJ83-QDVM5-VF6TT</t>
  </si>
  <si>
    <t>6PVJ5-N6CN0-Y67FV</t>
  </si>
  <si>
    <t>JVT85-K2GTB-YW5XF</t>
  </si>
  <si>
    <t>BYLMM-NTEX8-EFCM8</t>
  </si>
  <si>
    <t>6BHLR-XP58Q-DACP8</t>
  </si>
  <si>
    <t>9K8DY-8D77J-EHRY6</t>
  </si>
  <si>
    <t>E7JDL-3CTFK-BY26L</t>
  </si>
  <si>
    <t>CC42D-35RK0-46LNC</t>
  </si>
  <si>
    <t>5DMDZ-P4JCE-N5C6F</t>
  </si>
  <si>
    <t>Fort Solis</t>
  </si>
  <si>
    <t>7ITWD-2QDJ3-2HLXV</t>
  </si>
  <si>
    <t>Sword Art Online: Fatal Bullet</t>
  </si>
  <si>
    <t>6V9P9-2V5VZ-C8ZKB</t>
  </si>
  <si>
    <t>KVFZX-MFNTI-X5CWP</t>
  </si>
  <si>
    <t>6I78V-GQC3F-LKCEF</t>
  </si>
  <si>
    <t>CD3R2-R4LTI-WG0NV</t>
  </si>
  <si>
    <t>2Y80Z-7DV08-TKWGC</t>
  </si>
  <si>
    <t>TPJQB-KDLH8-4Y4BF</t>
  </si>
  <si>
    <t>F0Z98-GLHK6-YW9VV</t>
  </si>
  <si>
    <t>C4BLF-Z000J-DRWWV</t>
  </si>
  <si>
    <t>23CLF-9TPF9-PAC9F</t>
  </si>
  <si>
    <t>IBZDQ-02JZ8-J2DIT</t>
  </si>
  <si>
    <t>JPK36-3IK48-KRMJF</t>
  </si>
  <si>
    <t>RC456-H5PQP-02IP9</t>
  </si>
  <si>
    <t>CBZFJ-7XDWC-ETG6J</t>
  </si>
  <si>
    <t>Z4YMH-IG2EQ-E289C</t>
  </si>
  <si>
    <t>J7782-LZLI0-3MTCZ</t>
  </si>
  <si>
    <t>QABX3-TC8DW-LXQ49</t>
  </si>
  <si>
    <t>W973G-7HT62-GA6NY</t>
  </si>
  <si>
    <t>GLE00-Z0L3M-ZJQPB</t>
  </si>
  <si>
    <t>0VK0L-BY49Z-XJT8P</t>
  </si>
  <si>
    <t>AYQHI-V7DG3-CFL6Q</t>
  </si>
  <si>
    <t>G3HND-CDZCJ-ZWNBF</t>
  </si>
  <si>
    <t>I6NEZ-63XZ5-44K6B</t>
  </si>
  <si>
    <t>The Texas Chain Saw Massacre</t>
  </si>
  <si>
    <t>THL5D-VW2BG-TL5YA</t>
  </si>
  <si>
    <t>Ebenezer and The Invisible World</t>
  </si>
  <si>
    <t>B73YB-VAHZM-B57NC</t>
  </si>
  <si>
    <t>Ship of Fools</t>
  </si>
  <si>
    <t>9IZ8X-3VWTX-ILELK</t>
  </si>
  <si>
    <t>ZHAKI-48DKC-2WJ2K</t>
  </si>
  <si>
    <t>The Iron Oath</t>
  </si>
  <si>
    <t>8WE4Y-5BEM6-W04NP</t>
  </si>
  <si>
    <t>The Invincible</t>
  </si>
  <si>
    <t>vvimg</t>
  </si>
  <si>
    <t>EMQFF-E7AGH-EK99N</t>
  </si>
  <si>
    <t>WWMXI-5I0LG-09VRW</t>
  </si>
  <si>
    <t>ZD3E5-24W6N-JPYWH</t>
  </si>
  <si>
    <t>GV9V0-4TT96-844RE</t>
  </si>
  <si>
    <t>IPA7Q-ZVF57-2PAG4</t>
  </si>
  <si>
    <t>LEGO Worlds</t>
  </si>
  <si>
    <t>6ZVBK-XMI0C-T5YMP</t>
  </si>
  <si>
    <t>9YXGD-E3HX5-0I0HV</t>
  </si>
  <si>
    <t>L7JA7-2R6BD-A70JH</t>
  </si>
  <si>
    <t>JLPX4-39IXL-X8ZJA</t>
  </si>
  <si>
    <t>F0FJH-MIHQR-PLW5V</t>
  </si>
  <si>
    <t>C2HGN-3HIL9-W2AJV</t>
  </si>
  <si>
    <t>GLIB6-4WWFL-M8CDI</t>
  </si>
  <si>
    <t>GNJW8-ATBW3-88DEE</t>
  </si>
  <si>
    <t>GXHG0-YCV69-H5ET5</t>
  </si>
  <si>
    <t>QHRFL-A22VH-MK2Q9</t>
  </si>
  <si>
    <t>V6VTE-X079N-XI6T9</t>
  </si>
  <si>
    <t>69JEY-D5W39-A99XD</t>
  </si>
  <si>
    <t>38WTC-IGLYE-IGT77</t>
  </si>
  <si>
    <t>0WX4N-QCPRA-C5QLE</t>
  </si>
  <si>
    <t>7DRHC-BPV80-ZJ06N</t>
  </si>
  <si>
    <t>4Q7QJ-3WRVH-L9M6H</t>
  </si>
  <si>
    <t>6DKYP-LGIY6-8HRKI</t>
  </si>
  <si>
    <t>TTHX3-DGNB5-7QR3N</t>
  </si>
  <si>
    <t>TQ593-35FF3-30HTR</t>
  </si>
  <si>
    <t>CR2Z3-I3VAN-HZTD6</t>
  </si>
  <si>
    <t>L4NQ7-6LAAX-GM6NV</t>
  </si>
  <si>
    <t>I80VB-Z4MXY-52AHE</t>
  </si>
  <si>
    <t>4HXXR-M66ZH-4YF67</t>
  </si>
  <si>
    <t>8NCEC-D7MAI-348XA</t>
  </si>
  <si>
    <t>Dying Light 2 Stay Human</t>
  </si>
  <si>
    <t>GJ5MF-XD2FQ-AH2WX</t>
  </si>
  <si>
    <t>Unity of Command: Stalingrad Campaigns</t>
  </si>
  <si>
    <t>7XC5Z-MHG0F-6EQGH</t>
  </si>
  <si>
    <t>Lost Judgment EU</t>
  </si>
  <si>
    <t>6P6V6-WMB7J-JYDMM</t>
  </si>
  <si>
    <t>Ikonei Island: An Earthlock Adventure</t>
  </si>
  <si>
    <t>8A4Z4-W3ZZE-9TL7W</t>
  </si>
  <si>
    <t>ccimg</t>
  </si>
  <si>
    <t>CK2RY-FZR9H-4DIP4</t>
  </si>
  <si>
    <t>ggimg</t>
  </si>
  <si>
    <t>GB254-GTXA7-AMFL0</t>
  </si>
  <si>
    <t>297WQ-992FP-A3V9P</t>
  </si>
  <si>
    <t>8C2QA-47G2W-99977</t>
  </si>
  <si>
    <t>nnimg</t>
  </si>
  <si>
    <t>DAAR2-9ET3M-K6WLM</t>
  </si>
  <si>
    <t>H6H8D-5D0YH-ZPDV6</t>
  </si>
  <si>
    <t>ttimg</t>
  </si>
  <si>
    <t>eeimg</t>
  </si>
  <si>
    <t>yyimg</t>
  </si>
  <si>
    <t>CKY88-DADFZ-4TR8Z</t>
  </si>
  <si>
    <t>ETADQ-9ZM5G-A0WRI</t>
  </si>
  <si>
    <t>YJX3H-3XLHK-7TYHQ</t>
  </si>
  <si>
    <t>RZJ5T-IFP5D-M25DG</t>
  </si>
  <si>
    <t>QKY4P-VFCQW-CI80B</t>
  </si>
  <si>
    <t>ooimg</t>
  </si>
  <si>
    <t>cfimg</t>
  </si>
  <si>
    <t>NWBRM-7DTKM-5GD6K</t>
  </si>
  <si>
    <t>ffimg</t>
  </si>
  <si>
    <t>FR6R5-3GWFY-56WY2</t>
  </si>
  <si>
    <t>WMKE7-PQHR8-FQM38</t>
  </si>
  <si>
    <t>VIRPP-F0FTX-0Y9GI</t>
  </si>
  <si>
    <t>YT9KW-54HHQ-PKZ30</t>
  </si>
  <si>
    <t>PBVIF-9HZPC-G4FFB</t>
  </si>
  <si>
    <t>PYNKF-RER3I-FTT5Y</t>
  </si>
  <si>
    <t>Z2LY4-BN9KV-KWY0R</t>
  </si>
  <si>
    <t>8KGZL-FZ2WB-FDXK4</t>
  </si>
  <si>
    <t>44T45-AWX9G-VL3J3</t>
  </si>
  <si>
    <t>EY50Y-IGJG3-LIQF6</t>
  </si>
  <si>
    <t>4I7ZN-VJE6W-H7IRL</t>
  </si>
  <si>
    <t>6I0JB-VJDJD-INACK</t>
  </si>
  <si>
    <t>ZG5XY-MBXMC-AY58I</t>
  </si>
  <si>
    <t>GWMAT-QV6RK-XJ4I4</t>
  </si>
  <si>
    <t>YD0W2-LVDAR-7DE70</t>
  </si>
  <si>
    <t>FWKBY-74TFD-VECY6</t>
  </si>
  <si>
    <t>A7WE7-K9MJW-7II0Y</t>
  </si>
  <si>
    <t>LG00G-TC9CQ-E0HG5</t>
  </si>
  <si>
    <t>3VWQA-6F7WB-BPNCZ</t>
  </si>
  <si>
    <t>gmimg</t>
  </si>
  <si>
    <t>N3NXV-EC2KB-5NWRE</t>
  </si>
  <si>
    <t>A7J5H-PEDY9-PKK4Q</t>
  </si>
  <si>
    <t>GNPEA-M9EHW-PTZ9B</t>
  </si>
  <si>
    <t>H448X-NDKVI-VDDP7</t>
  </si>
  <si>
    <t>FPIB3-CKWJZ-7N7RW</t>
  </si>
  <si>
    <t>Dwarf Fortress</t>
  </si>
  <si>
    <t>3VWRK-XZW02-F7IH9</t>
  </si>
  <si>
    <t>2PN5M-L7938-PKB9R</t>
  </si>
  <si>
    <t>VKPZH-X08HV-3BMFE</t>
  </si>
  <si>
    <t>DQZQG-22D5E-MAVW4</t>
  </si>
  <si>
    <t>DQI6C-H2L2A-AC3AZ</t>
  </si>
  <si>
    <t>6TC29-B0DXN-FLVNT</t>
  </si>
  <si>
    <t>GPW06-4K28N-J4VPA</t>
  </si>
  <si>
    <t>GKZLH-RQH6Z-NXFE9</t>
  </si>
  <si>
    <t>GJXBQ-8A42R-ZENJF</t>
  </si>
  <si>
    <t>R5HBI-426B8-HA0HL</t>
  </si>
  <si>
    <t>M60AF-JLR67-5YIKG</t>
  </si>
  <si>
    <t>CWF7T-0BW9R-NPZ35</t>
  </si>
  <si>
    <t>TQQLE-DNN7A-RE6FP</t>
  </si>
  <si>
    <t>Dungeons 4</t>
  </si>
  <si>
    <t>FDYGJ-IJYRB-9LBR3</t>
  </si>
  <si>
    <t>J04ET-E5Z8P-FPEX6</t>
  </si>
  <si>
    <t>NXHGP-KHPTX-EBYQ9</t>
  </si>
  <si>
    <t>RE6PT-TXHNW-FPGD6</t>
  </si>
  <si>
    <t>Astral Ascent</t>
  </si>
  <si>
    <t>XBA6R-Y28GM-9HDKT</t>
  </si>
  <si>
    <t>KKV7H-7PLVY-MZ3EX</t>
  </si>
  <si>
    <t>59E8G-ZM9FJ-LQQ47</t>
  </si>
  <si>
    <t>H9END-6NQWP-PAFR0</t>
  </si>
  <si>
    <t>GGG88-EXB4H-KQMMY</t>
  </si>
  <si>
    <t>FLYQL-6MREK-6CDJQ</t>
  </si>
  <si>
    <t>GRN3J-B5DER-EM7CJ</t>
  </si>
  <si>
    <t>H4FV4-MF5CX-B2AWJ</t>
  </si>
  <si>
    <t>H7ALE-DI57P-DPL9A</t>
  </si>
  <si>
    <t>FDNB4-HEHKJ-HFJA3</t>
  </si>
  <si>
    <t>GM3DW-CTLWE-RGCF9</t>
  </si>
  <si>
    <t>HDVHL-249N2-RJEEA</t>
  </si>
  <si>
    <t>H3HFT-F259L-2MK9F</t>
  </si>
  <si>
    <t>BP4AI-3E9QN-T45LM</t>
  </si>
  <si>
    <t>BH3IX-CE6LK-6ZCY2</t>
  </si>
  <si>
    <t>FFT0G-TQG66-QYN37</t>
  </si>
  <si>
    <t>Marvel's Guardians of the Galaxy EU</t>
  </si>
  <si>
    <t>NMWAR-4KR3V-Z3TFP</t>
  </si>
  <si>
    <t>DWPA6-QJ09X-L9XR7</t>
  </si>
  <si>
    <t>Marvel's Spider-Man Remastered</t>
  </si>
  <si>
    <t>9IC2L-RTI07-7KD5C</t>
  </si>
  <si>
    <t>TK9EY-XJB4X-4Y766</t>
  </si>
  <si>
    <t>3L6E8-MG5ZH-F5W5Z</t>
  </si>
  <si>
    <t>IK5NG-K3002-696PT</t>
  </si>
  <si>
    <t>ML6KP-D8MJQ-RR7JF</t>
  </si>
  <si>
    <t>A4BGX-FCPDA-3Q6FI</t>
  </si>
  <si>
    <t>3FPLL-IF828-3ZHKF</t>
  </si>
  <si>
    <t>Spin Rhythm XD</t>
  </si>
  <si>
    <t>TRZJK-7BMZV-RM94Q</t>
  </si>
  <si>
    <t>Dune: Spice Wars EU</t>
  </si>
  <si>
    <t>XGN3K-VZI32-FYIWF</t>
  </si>
  <si>
    <t>Wolfenstein: The Old Blood</t>
  </si>
  <si>
    <t>FIBN5-0NW75-NA5I2</t>
  </si>
  <si>
    <t>K6L48-L9596-W2JXW</t>
  </si>
  <si>
    <t>Empyrion - Galactic Survival EU</t>
  </si>
  <si>
    <t>NXFLY-DB2XX-PVQTV</t>
  </si>
  <si>
    <t>V29AB-HQYK0-Q4KWP</t>
  </si>
  <si>
    <t>4WPD4-4EYEN-WEDHG</t>
  </si>
  <si>
    <t>H863I-RP2XC-XXDAL</t>
  </si>
  <si>
    <t>WZJFW-3GC9E-G2C9E</t>
  </si>
  <si>
    <t>TKL70-645PQ-8L9B7</t>
  </si>
  <si>
    <t>YA702-NIZA8-LM352</t>
  </si>
  <si>
    <t>YMLWN-8AJIP-ZKID6</t>
  </si>
  <si>
    <t>PZVZE-6JBZV-QRB7H</t>
  </si>
  <si>
    <t>HAFEZ-YTCT6-LAT43</t>
  </si>
  <si>
    <t>IA574-ALCMZ-FZVIV</t>
  </si>
  <si>
    <t>3MC50-C8CX7-2NPXT</t>
  </si>
  <si>
    <t>TGF2N-QVKJM-7G8D5</t>
  </si>
  <si>
    <t>6YEN7-5FW5Z-F8BXW</t>
  </si>
  <si>
    <t>4J65E-E5VQF-7DEJL</t>
  </si>
  <si>
    <t>R57A4-AVHXR-QXDAW</t>
  </si>
  <si>
    <t>4G6YH-G567Q-WL77R</t>
  </si>
  <si>
    <t>Q5Z77-ENIBT-80PW4</t>
  </si>
  <si>
    <t>KW6KL-6YDIZ-2N8NI</t>
  </si>
  <si>
    <t>VA82M-YXLDC-XGE5C</t>
  </si>
  <si>
    <t>5DGXF-TJLL6-H9V39</t>
  </si>
  <si>
    <t>Y8R9D-TB4BF-PEDYX</t>
  </si>
  <si>
    <t>LHH7Y-B2AWI-ITWHY</t>
  </si>
  <si>
    <t>NQENY-AV9II-DFLX0</t>
  </si>
  <si>
    <t>GPB2I-YZJJT-XYH78</t>
  </si>
  <si>
    <t>GYTAZ-0LFI2-DKHGF</t>
  </si>
  <si>
    <t>GBR4T-IKWXR-B6LVQ</t>
  </si>
  <si>
    <t>H2VZQ-H24HP-XI3HV</t>
  </si>
  <si>
    <t>GTIKV-C6D29-E620E</t>
  </si>
  <si>
    <t>GLXHX-7589I-5I8JF</t>
  </si>
  <si>
    <t>GR0M7-94Q23-6E67T</t>
  </si>
  <si>
    <t>GHI8I-XVIQZ-KJ7JC</t>
  </si>
  <si>
    <t>GHEGC-WMENY-B8FC6</t>
  </si>
  <si>
    <t>G8C4A-0GFG8-8AYIQ</t>
  </si>
  <si>
    <t>4YVKM-YH77I-HTHXC</t>
  </si>
  <si>
    <t>WKERW-FNGEL-5XGLN</t>
  </si>
  <si>
    <t>GNJAV-G2BHW-IW9BD</t>
  </si>
  <si>
    <t>CH8LC-EPBQP-AYKLK</t>
  </si>
  <si>
    <t>GT20A-X4C2Z-7Z5Y9</t>
  </si>
  <si>
    <t>W9GIA-PWZ04-V3J20</t>
  </si>
  <si>
    <t>FC8ZT-BGPGY-0RVT9</t>
  </si>
  <si>
    <t>HHAAW-70WEW-X67TN</t>
  </si>
  <si>
    <t>ETFBG-TWI4C-EZ4HI</t>
  </si>
  <si>
    <t>CT8M2-396JH-DF9H6</t>
  </si>
  <si>
    <t>GZGIM-4RDW2-CYFAY</t>
  </si>
  <si>
    <t>TWZ67-4XN4Y-8EJZJ</t>
  </si>
  <si>
    <t>Forspoken</t>
  </si>
  <si>
    <t>0B9IP-XI4K5-PT0AL</t>
  </si>
  <si>
    <t>NRWGN-ZX6VV-9ZTQW</t>
  </si>
  <si>
    <t>HWLGW-P6XN7-MFEBX</t>
  </si>
  <si>
    <t>W5WBH-E6GIA-2GEF7</t>
  </si>
  <si>
    <t>Shadow Gambit: The Cursed Crew</t>
  </si>
  <si>
    <t>ZP74V-RZ4IH-G05IW</t>
  </si>
  <si>
    <t>Windward</t>
  </si>
  <si>
    <t>W6EAI-X4GVQ-TD6CW</t>
  </si>
  <si>
    <t>ICGER-X74KG-34X2A</t>
  </si>
  <si>
    <t>B2BZI-R6M7C-PGF7G</t>
  </si>
  <si>
    <t>Starfield</t>
  </si>
  <si>
    <t>Z3ZZ5-VZFKN-NZMNV</t>
  </si>
  <si>
    <t>RAILGRADE</t>
  </si>
  <si>
    <t>2HC3H-GFBJL-C2NFV</t>
  </si>
  <si>
    <t>Hellboy Web of Wyrd</t>
  </si>
  <si>
    <t>CD6ZI-896HQ-PWD4R</t>
  </si>
  <si>
    <t>NLVYA-5LNRK-WLI3G</t>
  </si>
  <si>
    <t>BBR4X-WMBZN-D6M3L</t>
  </si>
  <si>
    <t>EYEQM-3V52V-XP0AN</t>
  </si>
  <si>
    <t>RIPOUT</t>
  </si>
  <si>
    <t>3Z8KM-N0TC5-Y2V6N</t>
  </si>
  <si>
    <t>Ultimate Zombie Defense</t>
  </si>
  <si>
    <t>AHEMX-Y0G5W-AQ3QN</t>
  </si>
  <si>
    <t>3VE06-W2NRC-XXT8E</t>
  </si>
  <si>
    <t>7FD95-FH907-8PXF4</t>
  </si>
  <si>
    <t>ZCVV6-ZDI5W-ZF48D</t>
  </si>
  <si>
    <t>38MB7-ZQ68D-WDWVD</t>
  </si>
  <si>
    <t>R73CP-J6HVF-RGP8J</t>
  </si>
  <si>
    <t>FV62B-220Q7-KEK2X</t>
  </si>
  <si>
    <t>GK0HI-LV3NJ-ZYCF7</t>
  </si>
  <si>
    <t>4V7WN-42PZ4-WPAYW</t>
  </si>
  <si>
    <t>AF76A-KQEEE-8EDTY</t>
  </si>
  <si>
    <t>TBBIA-Z7DL6-GRF0P</t>
  </si>
  <si>
    <t>GXARE-VA0LA-GY0ML</t>
  </si>
  <si>
    <t>3BPVM-52RLF-2KJDP</t>
  </si>
  <si>
    <t>DGDQB-GMP9V-F6GX7</t>
  </si>
  <si>
    <t>APFNP-HXBX9-RI2XE</t>
  </si>
  <si>
    <t>2E4ZL-YYRGL-JJHFC</t>
  </si>
  <si>
    <t>E8C3N-7EDTJ-838AF</t>
  </si>
  <si>
    <t>L4M6Q-XN42H-Q6MBL</t>
  </si>
  <si>
    <t>A8F6H-3NHWD-G7WIQ</t>
  </si>
  <si>
    <t>IRAR7-HQM6K-7FV5A</t>
  </si>
  <si>
    <t>DNCMR-LMDZD-QXJL3</t>
  </si>
  <si>
    <t>ZZELC-YIJDD-A0ZYM</t>
  </si>
  <si>
    <t>85B69-YYR8T-R7QEQ</t>
  </si>
  <si>
    <t>KIYKJ-YZDBA-X9AC3</t>
  </si>
  <si>
    <t>Last Train Home</t>
  </si>
  <si>
    <t>G52N2-3E4YK-RRPBQ</t>
  </si>
  <si>
    <t>Tropico 6</t>
  </si>
  <si>
    <t>424F2-7XBBL-WG56Z</t>
  </si>
  <si>
    <t>EHW3P-BV9HC-CA335</t>
  </si>
  <si>
    <t>GPRBR-JZ6RF-C8GQJ</t>
  </si>
  <si>
    <t>ZRILE-4A50G-EC3C7</t>
  </si>
  <si>
    <t>CVCBB-8I8DA-IXZ92</t>
  </si>
  <si>
    <t>HYPERCHARGE: Unboxed</t>
  </si>
  <si>
    <t>5Q4DI-IALYQ-CL2WJ</t>
  </si>
  <si>
    <t>Q62YT-G728N-WHYLK</t>
  </si>
  <si>
    <t>67FCT-ZJ3KP-L9FBH</t>
  </si>
  <si>
    <t>JYYPG-QC0V7-HR772</t>
  </si>
  <si>
    <t>7Q9A6-0LMFB-8ER62</t>
  </si>
  <si>
    <t>9T4CM-FPK3M-976BK</t>
  </si>
  <si>
    <t>TRQ0Y-7NCHY-CJF97</t>
  </si>
  <si>
    <t>IYD7Z-9X85I-2Z9LB</t>
  </si>
  <si>
    <t>0C3PJ-FGYEL-L32NB</t>
  </si>
  <si>
    <t>NWMPI-XT4V8-L6RPB</t>
  </si>
  <si>
    <t>LDA0L-I4G9N-T0DH2</t>
  </si>
  <si>
    <t>RJ24X-EQPXA-N9YLX</t>
  </si>
  <si>
    <t>Octopath Traveler II EU</t>
  </si>
  <si>
    <t>7Q7WT-YKQQI-RX2VJ</t>
  </si>
  <si>
    <t>FL0VT-GYQYA-RV62B</t>
  </si>
  <si>
    <t>X6DJL-NGPM2-4YXXC</t>
  </si>
  <si>
    <t>4BVIT-W0HP9-0IPN2</t>
  </si>
  <si>
    <t>XT0B2-QTBAP-XE68I</t>
  </si>
  <si>
    <t>AKP8A-V6B7T-PWQED</t>
  </si>
  <si>
    <t>Y0A9E-QINMB-R7VAX</t>
  </si>
  <si>
    <t>0DCPI-E0902-DJ9TY</t>
  </si>
  <si>
    <t>W4H6M-XLEAG-9IJLA</t>
  </si>
  <si>
    <t>E6HJA-D2IHD-5ZNI0</t>
  </si>
  <si>
    <t>323Z6-4HGTQ-8AJEH</t>
  </si>
  <si>
    <t>RQKL5-PXTT7-9TQIP</t>
  </si>
  <si>
    <t>33TWX-F87Q4-I5GHZ</t>
  </si>
  <si>
    <t>K7K95-DEEMR-NKQGC</t>
  </si>
  <si>
    <t>9JI3D-4VARI-49Z3T</t>
  </si>
  <si>
    <t>MXC4A-BCJGA-668WD</t>
  </si>
  <si>
    <t>P9GHE-ANDBV-MK5KK</t>
  </si>
  <si>
    <t>LTJVD-WYATB-PE7LH</t>
  </si>
  <si>
    <t>HYNJQ-CDE5Q-JCFJH</t>
  </si>
  <si>
    <t>H30R7-07X7N-2AEXD</t>
  </si>
  <si>
    <t>N6XZM-70DCB-B9N64</t>
  </si>
  <si>
    <t>B8YIJ-EKRQB-Y7QD0</t>
  </si>
  <si>
    <t>VK8H4-VH0AD-E3VD2</t>
  </si>
  <si>
    <t>VLB79-QT27M-8L9ZI</t>
  </si>
  <si>
    <t>0DQKV-PE953-8F3MK</t>
  </si>
  <si>
    <t>6CAXV-AARZX-W2PK4</t>
  </si>
  <si>
    <t>5Z927-P0H92-DQ0NG</t>
  </si>
  <si>
    <t>MXP8I-YIHWA-TZI57</t>
  </si>
  <si>
    <t>M9V8H-R2M50-FB29L</t>
  </si>
  <si>
    <t>9BX4E-JJF72-IWH7K</t>
  </si>
  <si>
    <t>CIMNC-7LP2X-M9MHJ</t>
  </si>
  <si>
    <t>AN4FM-6ZNVD-VFWNL</t>
  </si>
  <si>
    <t>Gangs of Sherwood</t>
  </si>
  <si>
    <t>FJI4R-WCIWT-90BQH</t>
  </si>
  <si>
    <t>GTFO EU</t>
  </si>
  <si>
    <t>TCM35-BW6LH-Y23B5</t>
  </si>
  <si>
    <t>MHX6H-8MNAZ-74KLI</t>
  </si>
  <si>
    <t>JQB2P-MM7WR-0WIAI</t>
  </si>
  <si>
    <t>0CB6T-G8GCT-FC9JT</t>
  </si>
  <si>
    <t>4ZW32-X9H73-ACGEZ</t>
  </si>
  <si>
    <t>RPRVV-K4JIH-KQPA0</t>
  </si>
  <si>
    <t>CD0QE-Z2RL5-8IIC6</t>
  </si>
  <si>
    <t>74YG4-8IY2E-NFHN2</t>
  </si>
  <si>
    <t>I2R87-IA85F-X9RYT</t>
  </si>
  <si>
    <t>R2GX5-0DRC9-EBXL4</t>
  </si>
  <si>
    <t>QQ5FC-YE0RZ-8T7AN</t>
  </si>
  <si>
    <t>JQXCQ-THHXG-AWI7A</t>
  </si>
  <si>
    <t>MWATV-KJ6HV-9EPTD</t>
  </si>
  <si>
    <t>A5II4-XEM4Y-QG3IX</t>
  </si>
  <si>
    <t>RQA4K-ZDWW8-5DYNX</t>
  </si>
  <si>
    <t>3KRZ2-4GXCW-PB7AH</t>
  </si>
  <si>
    <t>ABFW2-QK6M0-N5DR0</t>
  </si>
  <si>
    <t>4WMR9-H6L40-HNHIG</t>
  </si>
  <si>
    <t>Teardown</t>
  </si>
  <si>
    <t>JXYQZ-L7C39-CNFP0</t>
  </si>
  <si>
    <t>Y6TDK-29RZT-WHV3R</t>
  </si>
  <si>
    <t>X0YXZ-656AQ-6HZH4</t>
  </si>
  <si>
    <t>K53VK-ZEI88-CP6FQ</t>
  </si>
  <si>
    <t>9LL8W-KD8GG-GYFLF</t>
  </si>
  <si>
    <t>5WHWK-XMITG-LTNHA</t>
  </si>
  <si>
    <t>85G4H-TQRT5-EY5HG</t>
  </si>
  <si>
    <t>W5NYM-GQX6Y-ENY5C</t>
  </si>
  <si>
    <t>CNYD5-FGNZD-XTPGJ</t>
  </si>
  <si>
    <t>B8MT9-FMJX6-BG2WQ</t>
  </si>
  <si>
    <t>F4C67-9DZNY-2DNGE</t>
  </si>
  <si>
    <t>KPXJ5-0KWZ0-7BTJZ</t>
  </si>
  <si>
    <t>80X8M-3ZLTV-3RKM4</t>
  </si>
  <si>
    <t>K4R7V-FRB3P-456QT</t>
  </si>
  <si>
    <t>5NR3E-TKHT5-6V72T</t>
  </si>
  <si>
    <t>Z53CW-NADXR-4I8AG</t>
  </si>
  <si>
    <t>6BZ6F-5RWXN-GCER7</t>
  </si>
  <si>
    <t>D3R28-YK282-GNM3G</t>
  </si>
  <si>
    <t>97P3F-X23CF-D0IIA</t>
  </si>
  <si>
    <t>0KNF0-PZBBZ-FF5DH</t>
  </si>
  <si>
    <t>HXMR6-M2AMK-RGJ6Z</t>
  </si>
  <si>
    <t>W48C3-74C0G-5JMWH</t>
  </si>
  <si>
    <t>NCZ37-F235V-K9XPY</t>
  </si>
  <si>
    <t>543Z0-8JH60-GDXIP</t>
  </si>
  <si>
    <t>8XX76-20VF7-8ZAH6</t>
  </si>
  <si>
    <t>LZ72V-PHPV0-P8Z48</t>
  </si>
  <si>
    <t>IAZ68-CRXNY-C50CC</t>
  </si>
  <si>
    <t>QM07P-VBNXG-I8XKY</t>
  </si>
  <si>
    <t>NTCBN-IG0QV-RXAR2</t>
  </si>
  <si>
    <t>HITMAN World of Assassination EU</t>
  </si>
  <si>
    <t>MIH64-ZYEY3-24PPT</t>
  </si>
  <si>
    <t>K98BM-ATTKI-R2KG3</t>
  </si>
  <si>
    <t>JHV86-RFK5R-XIBWF</t>
  </si>
  <si>
    <t>Q535B-GCZAJ-3FIGQ</t>
  </si>
  <si>
    <t>FCQT5-EW9YP-FQJ96</t>
  </si>
  <si>
    <t>H42GP-G2AWJ-KCQL9</t>
  </si>
  <si>
    <t>Cult of the Lamb</t>
  </si>
  <si>
    <t>LHEIN-EQ4Q3-H25G7</t>
  </si>
  <si>
    <t>ZHV9Y-W2JW0-7V46X</t>
  </si>
  <si>
    <t>QT9F4-WZXQY-Y4ICI</t>
  </si>
  <si>
    <t>W7PR6-ZB2LZ-TW2KV</t>
  </si>
  <si>
    <t>0L0PG-W9ITZ-K0R4K</t>
  </si>
  <si>
    <t>TXXMX-XC4H9-4B0IB</t>
  </si>
  <si>
    <t>2NIZ3-5N9FM-Y485D</t>
  </si>
  <si>
    <t>8LJ8C-7397C-KE5R6</t>
  </si>
  <si>
    <t>08KJD-WETJE-ZJVVI</t>
  </si>
  <si>
    <t>Like a Dragon: Ishin!</t>
  </si>
  <si>
    <t>VIJMJ-DPHPZ-47M46</t>
  </si>
  <si>
    <t>L63ZL-FKP4I-N933D</t>
  </si>
  <si>
    <t>EJMC0-2RC9J-5HRLY</t>
  </si>
  <si>
    <t>B0HY7-N9JJ6-RTN3Z</t>
  </si>
  <si>
    <t>03D76-A5XEL-K0WWF</t>
  </si>
  <si>
    <t>479VX-BF0Y4-B6QKK</t>
  </si>
  <si>
    <t>CFCJZ-CJ3Q6-KW5FE</t>
  </si>
  <si>
    <t>C543F-9YCK9-38ZMZ</t>
  </si>
  <si>
    <t>YDCB9-YGTBM-VEVDH</t>
  </si>
  <si>
    <t>HEF3C-WDPEH-KQ3MZ</t>
  </si>
  <si>
    <t>KLI26-K0RWL-B6A2M</t>
  </si>
  <si>
    <t>H3HDE-4BD5X-JQX8A</t>
  </si>
  <si>
    <t>Z48M0-4X2D7-TQD62</t>
  </si>
  <si>
    <t>E5BGG-DY690-2R03X</t>
  </si>
  <si>
    <t>PTI0K-ZC460-8N023</t>
  </si>
  <si>
    <t>TPT0H-0RE77-P3CEJ</t>
  </si>
  <si>
    <t>9ZTCJ-EF2HB-EE8T2</t>
  </si>
  <si>
    <t>8M5F8-L56W7-0APD3</t>
  </si>
  <si>
    <t>6BF2G-B66LL-HTPIC</t>
  </si>
  <si>
    <t>R39YI-8MGL5-F3IYG</t>
  </si>
  <si>
    <t>GB4GN-5JHEP-PFIEN</t>
  </si>
  <si>
    <t>M785W-TJZE8-VQHBQ</t>
  </si>
  <si>
    <t>6AJCE-BGMJZ-EEVQ5</t>
  </si>
  <si>
    <t>L9P3X-IYDXA-9AE9D</t>
  </si>
  <si>
    <t>MGQ7K-HJM6Z-WICKV</t>
  </si>
  <si>
    <t>ICRQI-PYJ8K-2482D</t>
  </si>
  <si>
    <t>JRW9M-R7INX-G6TKR</t>
  </si>
  <si>
    <t>XYACP-JRJJM-8LL03</t>
  </si>
  <si>
    <t>6JD4E-H3TCI-33MA7</t>
  </si>
  <si>
    <t>2RR92-0FJPW-3AQ4M</t>
  </si>
  <si>
    <t>D46I7-RF5T7-E897G</t>
  </si>
  <si>
    <t>49B0I-MJZHR-02E3Q</t>
  </si>
  <si>
    <t>04IK2-NMRCF-VPT39</t>
  </si>
  <si>
    <t>MJ3GT-NMWZ5-23BLK</t>
  </si>
  <si>
    <t>72K5I-7KQWB-BVL52</t>
  </si>
  <si>
    <t>LPRWA-B973R-48L2D</t>
  </si>
  <si>
    <t>N7MHG-88T75-68THP</t>
  </si>
  <si>
    <t>Q3JDV-BIFCW-W2FAZ</t>
  </si>
  <si>
    <t>ZBGRA-TB4BW-J7PLZ</t>
  </si>
  <si>
    <t>4JQEJ-97YW8-0DDCQ</t>
  </si>
  <si>
    <t>M5NRB-27QC4-XK28A</t>
  </si>
  <si>
    <t>TZY0V-YZ86P-0T4WK</t>
  </si>
  <si>
    <t>MW2W0-DJAH7-9VEKA</t>
  </si>
  <si>
    <t>DWT23-56QXY-E3MKD</t>
  </si>
  <si>
    <t>MLE9A-HI8RW-8MZFR</t>
  </si>
  <si>
    <t>YLV9W-IWF2C-LQ7I8</t>
  </si>
  <si>
    <t>3X8YN-P75FG-BLG75</t>
  </si>
  <si>
    <t>EXB40-BTNLX-BVFPH</t>
  </si>
  <si>
    <t>I8X8R-AHBMT-YQX8Y</t>
  </si>
  <si>
    <t>N252C-HMFVL-C6YNY</t>
  </si>
  <si>
    <t>HJF72-7XV4Y-E75DW</t>
  </si>
  <si>
    <t>0FQVM-XZC3H-7A7W5</t>
  </si>
  <si>
    <t>XDKCQ-ME4NG-IC0R5</t>
  </si>
  <si>
    <t>9H3RA-EHVPQ-9F78N</t>
  </si>
  <si>
    <t>AITN9-BBHEV-40I86</t>
  </si>
  <si>
    <t>JYFE3-8D7PH-W5X4M</t>
  </si>
  <si>
    <t>L570C-ZJAHG-2MFB2</t>
  </si>
  <si>
    <t>BYQPD-ZB2KR-WIM0L</t>
  </si>
  <si>
    <t>V96DF-J9VCZ-HXPIK</t>
  </si>
  <si>
    <t>Terra Nil</t>
  </si>
  <si>
    <t>A95AV-7NNVM-DP8M9</t>
  </si>
  <si>
    <t>9QT85-W8ZJH-5NJ5Z</t>
  </si>
  <si>
    <t>EA76K-P29Q4-CDKRD</t>
  </si>
  <si>
    <t>VCCV3-GW9EF-KIIH2</t>
  </si>
  <si>
    <t>DLGAMER</t>
  </si>
  <si>
    <t>ZKXC7-TJQPY-IFP5M</t>
  </si>
  <si>
    <t>7EWIG-GFIHL-DEI3L</t>
  </si>
  <si>
    <t>Y9VJ0-09XDV-84LM</t>
  </si>
  <si>
    <t>8FPKQ-P2KR6-QTJQN</t>
  </si>
  <si>
    <t>6I4ER-PKMB4-60J24</t>
  </si>
  <si>
    <t>PZLZF-NZENB-WBTRH</t>
  </si>
  <si>
    <t>LHZQM-QWNZJ-8QA40</t>
  </si>
  <si>
    <t>img.png</t>
  </si>
  <si>
    <t>Men of War</t>
  </si>
  <si>
    <t>KG6VQ-M234E-ME95X</t>
  </si>
  <si>
    <t>ZD89H-HZQAB-QZZ5X</t>
  </si>
  <si>
    <t>LV4BQ-YDJEC-Z5V4L</t>
  </si>
  <si>
    <t>VQYB4-W4YXD-LI2XJ</t>
  </si>
  <si>
    <t>XB3A5-4GLLV-JQXPA</t>
  </si>
  <si>
    <t>LNBW0-5VRFV-MERRX</t>
  </si>
  <si>
    <t>KZGEX-GZ5XH-DIMFQ</t>
  </si>
  <si>
    <t>Cats in Time</t>
  </si>
  <si>
    <t>WPBWH-ZGINX-TK9JF</t>
  </si>
  <si>
    <t>MV3VR-TNYXH-TQFPV</t>
  </si>
  <si>
    <t>L09HA-LVYAJ-0ZHLW</t>
  </si>
  <si>
    <t>Cities: Skylines II</t>
  </si>
  <si>
    <t>skylines2a</t>
  </si>
  <si>
    <t>Octopath Traveler II</t>
  </si>
  <si>
    <t>6X2JX-WL6IT-T7JT8</t>
  </si>
  <si>
    <t>HBB5Z-EC7AA-J62J3</t>
  </si>
  <si>
    <t>X27K6-HEA8K-97CK9</t>
  </si>
  <si>
    <t>BMX8P-7WXDF-CAXPX</t>
  </si>
  <si>
    <t>2MPZC-K9G5F-DKIQ0</t>
  </si>
  <si>
    <t>WBGM7-LR43I-XINK4</t>
  </si>
  <si>
    <t>D2200-2VEJ3-7RW5C</t>
  </si>
  <si>
    <t>QJ52Z-NV35G-53DKY</t>
  </si>
  <si>
    <t>HPI4P-JIZ2C-ZZ307</t>
  </si>
  <si>
    <t>HT6KB-INHJF-JWZXK</t>
  </si>
  <si>
    <t>Palworld</t>
  </si>
  <si>
    <t>X6X00-0A29X-22BPA</t>
  </si>
  <si>
    <t>EX2EM-WDY8I-ENQL6</t>
  </si>
  <si>
    <t>AKIWI-BBMI3-9I4VP</t>
  </si>
  <si>
    <t>AIC6T-7I439-6G3EJ</t>
  </si>
  <si>
    <t>NK9DV-DIMVP-M8F7T</t>
  </si>
  <si>
    <t>HXRRD-N98HK-K5E3M</t>
  </si>
  <si>
    <t>N5RPZ-CGQ2Z-6JD20</t>
  </si>
  <si>
    <t>2GEQ8-ME32X-5RFTY</t>
  </si>
  <si>
    <t>RP30D-PREAY-IR9NH</t>
  </si>
  <si>
    <t>Resident Evil 4 (2023) EMEA</t>
  </si>
  <si>
    <t>5N45A-HTPY3-QDBFE</t>
  </si>
  <si>
    <t>K955M-DNNRK-MJV6T</t>
  </si>
  <si>
    <t>AKEMK-6IX4J-53KLJ</t>
  </si>
  <si>
    <t>HEIAM-54X5I-7VXKB</t>
  </si>
  <si>
    <t>CLX8I-DX30T-EXHGH</t>
  </si>
  <si>
    <t>TEKKEN 8</t>
  </si>
  <si>
    <t>6TMGR-9CQVV-4E7F9</t>
  </si>
  <si>
    <t>IZXD9-WXFVP-T60BW</t>
  </si>
  <si>
    <t>TN5R9-Y66IY-XDXBD</t>
  </si>
  <si>
    <t>958JF-K6WHV-7KJDQ</t>
  </si>
  <si>
    <t>5CXJD-VJQAT-TEZG0</t>
  </si>
  <si>
    <t>WZHZJ-EL4V6-YPRL8</t>
  </si>
  <si>
    <t>CPM7Y-VJHAW-Z85M7</t>
  </si>
  <si>
    <t>9QYPI-5ZDC6-P2K7Y</t>
  </si>
  <si>
    <t>AQQZK-CRBP3-N79NQ</t>
  </si>
  <si>
    <t>YM7DR-Q5P7K-40405</t>
  </si>
  <si>
    <t>5LKWN-YKAE0-7CHJX</t>
  </si>
  <si>
    <t>L4PLL-4E45F-IPDFK</t>
  </si>
  <si>
    <t>XKCF5-2AWEF-00BM3</t>
  </si>
  <si>
    <t>K4AB0-XWJDT-HBMXB</t>
  </si>
  <si>
    <t>4RQQG-M8VDX-AJDFX</t>
  </si>
  <si>
    <t>GCTBQ-Z07M5-VDGXV</t>
  </si>
  <si>
    <t>PN2BX-TAYHH-GVIH6</t>
  </si>
  <si>
    <t>CI7QH-PJQP7-J4WKR</t>
  </si>
  <si>
    <t>LWCZH-FL0ZQ-E3C35</t>
  </si>
  <si>
    <t>8A0XP-LQQJ4-VDJ83</t>
  </si>
  <si>
    <t>XFL3Z-YN2QD-4K74J</t>
  </si>
  <si>
    <t>WRNA3-7EPFM-M3Q7K</t>
  </si>
  <si>
    <t>487V4-I2YHY-Z7Y9Y</t>
  </si>
  <si>
    <t>LRBP4-RT4M7-IGB9R</t>
  </si>
  <si>
    <t>K8YPX-Q6DKG-69J87</t>
  </si>
  <si>
    <t>N9PV5-X06EJ-P4GXX</t>
  </si>
  <si>
    <t>X2IND-0KEDK-VIPPJ</t>
  </si>
  <si>
    <t>J2JRI-CLZMQ-X97JK</t>
  </si>
  <si>
    <t>profilnet googlemail</t>
  </si>
  <si>
    <t>VAQXD-KHPLL-HZPGV</t>
  </si>
  <si>
    <t>JTINP-PQQ6X-RE83M</t>
  </si>
  <si>
    <t>C2FQK-YX0E0-3I9TN</t>
  </si>
  <si>
    <t>Q0VW9-DW96M-BI6NB</t>
  </si>
  <si>
    <t>J3YJG-GHGA4-R685N</t>
  </si>
  <si>
    <t>Elden Ring EMEA</t>
  </si>
  <si>
    <t>BXJ28-X4MI5-9HDJJ</t>
  </si>
  <si>
    <t>CZDIL-KB203-0PR7X</t>
  </si>
  <si>
    <t>QA5RG-JG2E7-7Y95X</t>
  </si>
  <si>
    <t>DREDGE</t>
  </si>
  <si>
    <t>Q0HNM-NZV8I-WKMR9</t>
  </si>
  <si>
    <t>JKD9D-IXD7B-9002L</t>
  </si>
  <si>
    <t>WIPY5-QGWTX-0BDRW</t>
  </si>
  <si>
    <t>YPWPP-0Z0RW-BY382</t>
  </si>
  <si>
    <t>9G2PX-ACVXZ-ELD5M</t>
  </si>
  <si>
    <t>LEGO Marvel Super Heroes</t>
  </si>
  <si>
    <t>KZ9BD-FWMF6-P4FX2</t>
  </si>
  <si>
    <t>9BKZ7-6BQNB-YABCP</t>
  </si>
  <si>
    <t>92EZ2-VWJ3N-8N69M</t>
  </si>
  <si>
    <t>L7K44-4TDI9-DR95J</t>
  </si>
  <si>
    <t>LCRJG-VLXPC-N5XPZ</t>
  </si>
  <si>
    <t>3XEPQ-4NLTY-RCENT</t>
  </si>
  <si>
    <t>TA893-DBR2Y-V7AM4</t>
  </si>
  <si>
    <t>YW7Z8-YGDX9-XYX7L</t>
  </si>
  <si>
    <t>TWLV9-MB4EW-FAXG9</t>
  </si>
  <si>
    <t>KATE5-EZH7N-09MBR</t>
  </si>
  <si>
    <t>T67FG-53M73-ZWAZI</t>
  </si>
  <si>
    <t>Starfield EU</t>
  </si>
  <si>
    <t>0J9DJ-PY3C5-QDY0Q</t>
  </si>
  <si>
    <t>3HKEB-HX023-2ZWGW</t>
  </si>
  <si>
    <t>RATXX-RR58B-64ZY9</t>
  </si>
  <si>
    <t>DZH73-M9L3L-JJWIL</t>
  </si>
  <si>
    <t>66D4V-ZQD7Y-FFFQT</t>
  </si>
  <si>
    <t>23P9J-HAP6Q-Q3K8G</t>
  </si>
  <si>
    <t>Z56WQ-KQJ7B-YEPP9</t>
  </si>
  <si>
    <t>33C42-JAX5P-TZ5PV</t>
  </si>
  <si>
    <t>0YXR8-XHG8Q-X3ZQJ</t>
  </si>
  <si>
    <t>DI6I4-Y088B-GDYFT</t>
  </si>
  <si>
    <t>DGFTD-9Z5PI-62HML</t>
  </si>
  <si>
    <t>Tomb Raider: Definitive Survivor Trilogy</t>
  </si>
  <si>
    <t>2IYC7-GQREG-8T9QH</t>
  </si>
  <si>
    <t>XT32L-9DD8B-C37G3</t>
  </si>
  <si>
    <t>VL05H-CQVXF-KN5RW</t>
  </si>
  <si>
    <t>Stellaris</t>
  </si>
  <si>
    <t>IBWLC-3E8Y0-EZ27T</t>
  </si>
  <si>
    <t>Elden Ring Deluxe Edition EU</t>
  </si>
  <si>
    <t>CX73D-RYXJA-453CG</t>
  </si>
  <si>
    <t>ECCRM-FJ00H-8V292</t>
  </si>
  <si>
    <t>QKXAV-Q8WFW-D4LIE</t>
  </si>
  <si>
    <t>57QW3-GW9MW-HZPFA</t>
  </si>
  <si>
    <t>DJ5G2-5KMEF-Y03Y4</t>
  </si>
  <si>
    <t>ZCGLQ-KCB5Z-J8VAE</t>
  </si>
  <si>
    <t>ADX0J-LWCLD-27FE8</t>
  </si>
  <si>
    <t>5L890-EVE7Q-58H62</t>
  </si>
  <si>
    <t>NF386-LQEH4-DK775</t>
  </si>
  <si>
    <t>QJE9W-R56QV-MP4ZG</t>
  </si>
  <si>
    <t>RMFGY-08TVY-Y3YG6</t>
  </si>
  <si>
    <t>2RWQ6-MEQ3G-042IN</t>
  </si>
  <si>
    <t>VE2P0-FEVJV-XCLKK</t>
  </si>
  <si>
    <t>CVLBW-R93MB-YNQLI</t>
  </si>
  <si>
    <t>MXIEG-25IE8-ZDRL6</t>
  </si>
  <si>
    <t>AMA0T-770CY-NIPGD</t>
  </si>
  <si>
    <t>IILGZ-7AZHV-RB04D</t>
  </si>
  <si>
    <t>R2FRZ-72ZKJ-7I5R2</t>
  </si>
  <si>
    <t>FAKXF-ZNF2W-BG8HH</t>
  </si>
  <si>
    <t>9PAH8-KPBPX-5PL79</t>
  </si>
  <si>
    <t>6YCZJ-4B6TW-LDC2G</t>
  </si>
  <si>
    <t>C68B7-QHAQB-TW8CL</t>
  </si>
  <si>
    <t>TJ7ZG-M3QDH-MV8KK</t>
  </si>
  <si>
    <t>0DQB3-7R7T5-LCVIJ</t>
  </si>
  <si>
    <t>Y5PNV-QAPK3-J2LAD</t>
  </si>
  <si>
    <t>GKMZZ-TMFKF-8F0T7</t>
  </si>
  <si>
    <t>ADK2Q-P77L7-LBCGX</t>
  </si>
  <si>
    <t>C92CE-PPJ6L-ZZC60</t>
  </si>
  <si>
    <t>EX6PJ-0QQWV-5QY8T</t>
  </si>
  <si>
    <t>AIFEG-4GH88-RQTF8</t>
  </si>
  <si>
    <t>WLGVE-DTMK4-RTA9Y</t>
  </si>
  <si>
    <t>5XTJY-342LB-QBW6Y</t>
  </si>
  <si>
    <t>HEB8F-GMRAP-R3PEL</t>
  </si>
  <si>
    <t>BM8KJ-HKA7H-YQ6PH</t>
  </si>
  <si>
    <t>7VR45-YZ55F-3IABE</t>
  </si>
  <si>
    <t>NQYNN-GIHXE-R3KKL</t>
  </si>
  <si>
    <t>NJFB7-JZ3ZH-ZGR3R</t>
  </si>
  <si>
    <t>WQ687-Z6A7P-C4576</t>
  </si>
  <si>
    <t>RFYZC-4V38J-93T0P</t>
  </si>
  <si>
    <t>5T07I-K2N5F-9X3NB</t>
  </si>
  <si>
    <t>EBZAH-B8ACQ-T8CZE</t>
  </si>
  <si>
    <t>4G2I9-2J3EK-GC5ZG</t>
  </si>
  <si>
    <t>WNZG0-0XHJL-GGJC7</t>
  </si>
  <si>
    <t>NC5XE-CJGB6-NB8WJ</t>
  </si>
  <si>
    <t>DFXEC-XGI0L-WXH4D</t>
  </si>
  <si>
    <t>4EZ5P-ICEFL-434T7</t>
  </si>
  <si>
    <t>4IY60-3RWEA-QCHXX</t>
  </si>
  <si>
    <t>NVHZI-90BCR-Q37EJ</t>
  </si>
  <si>
    <t>RI3PJ-RFRLQ-2K3XK</t>
  </si>
  <si>
    <t>6TWFK-R9CNA-ZZ7LV</t>
  </si>
  <si>
    <t>G2EYI-W9PV9-9KGIG</t>
  </si>
  <si>
    <t>AM5JL-47ENA-AHCX0</t>
  </si>
  <si>
    <t>9Y3NN-QE365-3NL5Z</t>
  </si>
  <si>
    <t>A95YF-6DH56-AQZNE</t>
  </si>
  <si>
    <t>M8X8I-72NV5-BLGK3</t>
  </si>
  <si>
    <t>09L37-V72FT-3ZVEI</t>
  </si>
  <si>
    <t>5MJJ4-ET7MV-YEV4J</t>
  </si>
  <si>
    <t>7NFKZ-8BN4Q-G55IV</t>
  </si>
  <si>
    <t>HHGQR-EC7QK-I97XP</t>
  </si>
  <si>
    <t>HZY47-CZ4QK-B0IWE</t>
  </si>
  <si>
    <t>BAXZI-0FALI-GE4VX</t>
  </si>
  <si>
    <t>H5W88-50587-ZKB4T</t>
  </si>
  <si>
    <t>8K886-M40VL-03AJG</t>
  </si>
  <si>
    <t>GZ9RA-KEFQW-I9M6Z</t>
  </si>
  <si>
    <t>BLLLK-QQVBC-9XCTP</t>
  </si>
  <si>
    <t>K9GQ0-H2DJT-LPPMD</t>
  </si>
  <si>
    <t>G2ZPC-69RJV-THPZZ</t>
  </si>
  <si>
    <t>CW9TB-YYJ48-HF3WK</t>
  </si>
  <si>
    <t>JMJAJ-KPWAI-8YCMB</t>
  </si>
  <si>
    <t>YL5MX-68HJL-BREZM</t>
  </si>
  <si>
    <t>V9CBR-64F48-IJL2Z</t>
  </si>
  <si>
    <t>L26NH-WPTEK-RA2XW</t>
  </si>
  <si>
    <t>RJVZZ-0IMYK-P356H</t>
  </si>
  <si>
    <t>8GAQT-2ZPD0-2MKAZ</t>
  </si>
  <si>
    <t>D6PF7-LQJRT-XDFWK</t>
  </si>
  <si>
    <t>ZYCKV-IMP84-JQ7D4</t>
  </si>
  <si>
    <t>XFKWK-DZB2P-N5Q7Z</t>
  </si>
  <si>
    <t>V60AF-M863V-W2TB9</t>
  </si>
  <si>
    <t>P37BY-XDVZ9-CYTLM</t>
  </si>
  <si>
    <t>DJD0X-HBQMJ-EN4TE</t>
  </si>
  <si>
    <t>GDFAI-HALP5-5LPN2</t>
  </si>
  <si>
    <t>9TFDV-J25DI-FQ4HW</t>
  </si>
  <si>
    <t>JNEYK-Y3KYQ-3WBE4</t>
  </si>
  <si>
    <t>HTMGQ-WK2HJ-MCHMY</t>
  </si>
  <si>
    <t>CCXAY-0DTVL-BDA8A</t>
  </si>
  <si>
    <t>JRA6K-7ZTMM-PBDBK</t>
  </si>
  <si>
    <t>Stellaris - Galaxy Edition Upgrade Pack DLC</t>
  </si>
  <si>
    <t>0RHY4-JARBZ-TQH79</t>
  </si>
  <si>
    <t>TZ0CD-K906P-CXGN3</t>
  </si>
  <si>
    <t>QKNX0-L3L56-NME73</t>
  </si>
  <si>
    <t>adminprofilnet</t>
  </si>
  <si>
    <t>WNPRN-4MVN0-YP9D6</t>
  </si>
  <si>
    <t>QN8A2-N00AT-MQYTT</t>
  </si>
  <si>
    <t>2PWXL-YBNF8-VNEWM</t>
  </si>
  <si>
    <t>WNZBH-PRPT6-BQX8Z</t>
  </si>
  <si>
    <t>NFZYN-0V30F-V8P7V</t>
  </si>
  <si>
    <t>WPEYK-ITKNY-HCGT2</t>
  </si>
  <si>
    <t>WXE66-PIC8Y-5ZBRK</t>
  </si>
  <si>
    <t>Warhammer 40,000: Rogue Trader EU</t>
  </si>
  <si>
    <t>3Y2QF-FEFE8-2M3CV</t>
  </si>
  <si>
    <t>KDPK9-KQ3DB-LBEXY</t>
  </si>
  <si>
    <t>WTBIV-EGK89-0YDAY</t>
  </si>
  <si>
    <t>HQEYN-25MV6-3J32P</t>
  </si>
  <si>
    <t>QAHPJ-DP7PJ-JLPPM</t>
  </si>
  <si>
    <t>948ET-PL077-CYVWN</t>
  </si>
  <si>
    <t>WTHIL-DH5KC-PY9HE</t>
  </si>
  <si>
    <t>AXQZ2-GBC0P-3C40Y</t>
  </si>
  <si>
    <t>WTJ6L-0ZVKX-3EMIP</t>
  </si>
  <si>
    <t>BN6B6-QM6BH-PX4NM</t>
  </si>
  <si>
    <t>YGZKI-LVALT-4AQ6K</t>
  </si>
  <si>
    <t>DG6AD-QQKW4-695XD</t>
  </si>
  <si>
    <t>ZB269-5CGHR-GCW0Z</t>
  </si>
  <si>
    <t>HYC0A-E9CTP-V8YGI</t>
  </si>
  <si>
    <t>D5DM3-70A7C-Q3LNK</t>
  </si>
  <si>
    <t>24X9L-FXL79-69FB4</t>
  </si>
  <si>
    <t>B0ZMA-VYER4-RLKYN</t>
  </si>
  <si>
    <t>3HZJH-PYR8A-6Y92Z</t>
  </si>
  <si>
    <t>AZHXE-RN279-382YH</t>
  </si>
  <si>
    <t>JQZX4-FYGX2-RWVMI</t>
  </si>
  <si>
    <t>884HE-L2TIM-VJVF3</t>
  </si>
  <si>
    <t>TNCMX-HG05W-9QE6W</t>
  </si>
  <si>
    <t>WX2YX-MTDBB-0380F</t>
  </si>
  <si>
    <t>M20EL-9KW0J-5JM0N</t>
  </si>
  <si>
    <t>TJWI5-XPGCY-GJKKD</t>
  </si>
  <si>
    <t>PZHWP-Y5VF5-K4B96</t>
  </si>
  <si>
    <t>XLKFR-Q3HAR-0I4E3</t>
  </si>
  <si>
    <t>RXR0C-DRBAE-YBYBE</t>
  </si>
  <si>
    <t>RA63X-AJ4AH-KL6JR</t>
  </si>
  <si>
    <t>CWHZ8-FMLIW-CCYRR</t>
  </si>
  <si>
    <t>FKQPC-Y9BGD-RYLF9</t>
  </si>
  <si>
    <t>TYD2N-I70KA-V0IHR</t>
  </si>
  <si>
    <t>TYB2G-KTWMB-94CGD</t>
  </si>
  <si>
    <t>XZM5K-TJWNX-2Z99L</t>
  </si>
  <si>
    <t>874C7-LWBGN-VBRZM</t>
  </si>
  <si>
    <t>PMHY6-K496N-FZVXI</t>
  </si>
  <si>
    <t>8V0FY-0E2FB-8H6IA</t>
  </si>
  <si>
    <t>HEYBI-AN2FP-8AZ33</t>
  </si>
  <si>
    <t>F4ARX-JGDK3-ZN24A</t>
  </si>
  <si>
    <t>A09KB-C3VJN-6YRBV</t>
  </si>
  <si>
    <t>YXCHL-RLEF7-TFWN2</t>
  </si>
  <si>
    <t>GNLDJ-XZWPE-0G70L</t>
  </si>
  <si>
    <t>V68EQ-QM67V-VDKME</t>
  </si>
  <si>
    <t>PR455-TTRE5-8HYXP</t>
  </si>
  <si>
    <t>I07TJ-CWVHD-0ZWL0</t>
  </si>
  <si>
    <t>AZW54-NLZX6-WZWN4</t>
  </si>
  <si>
    <t>MXXVG-A7BZT-RPKDR</t>
  </si>
  <si>
    <t>IRETL-Z0RE9-6EN7D</t>
  </si>
  <si>
    <t>Lost Judgment</t>
  </si>
  <si>
    <t>HB9Q4-AEEG8-N674W</t>
  </si>
  <si>
    <t>3CCAB-M4XJA-2KWN8</t>
  </si>
  <si>
    <t>W2DND-3G77M-TVTAC</t>
  </si>
  <si>
    <t>Blacksad: Under the Skin</t>
  </si>
  <si>
    <t>I3QK4-LXN0G-5IRIC</t>
  </si>
  <si>
    <t>FRB6K-W00XG-69GLH</t>
  </si>
  <si>
    <t>IMG67-XYPID-ZG2A2</t>
  </si>
  <si>
    <t>AJ4Q6-PKZZ5-PYWG8</t>
  </si>
  <si>
    <t>RJ2JI-CG7Z8-HYXC2</t>
  </si>
  <si>
    <t>J4A32-EGYHT-FVM5V</t>
  </si>
  <si>
    <t>7PJ66-BBDD5-FFJE2</t>
  </si>
  <si>
    <t>FN6CH-VLVL2-HJR8B</t>
  </si>
  <si>
    <t>5MZTI-9B8E3-4HYPI</t>
  </si>
  <si>
    <t>Death Track: Resurrection</t>
  </si>
  <si>
    <t>0EYDB-K90NN-FG0EC</t>
  </si>
  <si>
    <t>Evil West</t>
  </si>
  <si>
    <t>YWXRZ-GV6QA-H0NH3</t>
  </si>
  <si>
    <t>W5894-MN579-BTNXI</t>
  </si>
  <si>
    <t>Warhammer 40,000: Rogue Trader Deluxe Edition EU</t>
  </si>
  <si>
    <t>DFFMV-BC4KL-TVEKN</t>
  </si>
  <si>
    <t>KR50F-TAZF7-6NDQ9</t>
  </si>
  <si>
    <t>9W2KR-FIH2A-ETX0G</t>
  </si>
  <si>
    <t>79ZZV-KFWQY-ZIL90</t>
  </si>
  <si>
    <t>KJ450-T5ZYM-H0LGD</t>
  </si>
  <si>
    <t>I3E8D-V4FFM-VTCHV</t>
  </si>
  <si>
    <t>KRMD5-YR0TQ-59GQM</t>
  </si>
  <si>
    <t>33B5R-PHDKQ-W9M9G</t>
  </si>
  <si>
    <t>PYQN9-9NVNJ-R66MG</t>
  </si>
  <si>
    <t>XDWT2-JMA47-78F5X</t>
  </si>
  <si>
    <t>LW8BC-WPDVX-LCNDP</t>
  </si>
  <si>
    <t>TATY5-07TBV-WJW7X</t>
  </si>
  <si>
    <t>QHCJH-IJ7ZT-VLIWG</t>
  </si>
  <si>
    <t>ACM6H-GGDRX-7FW8C</t>
  </si>
  <si>
    <t>T8VZ2-T24PL-EMIZ8</t>
  </si>
  <si>
    <t>XLC8Q-P0MF9-CYYKQ</t>
  </si>
  <si>
    <t>HY3WH-7ZX3Q-V39JG</t>
  </si>
  <si>
    <t>KEFNR-Z2EEQ-A75Q4</t>
  </si>
  <si>
    <t>9BJPP-2VFBM-2QDVH</t>
  </si>
  <si>
    <t>TEW0E-22ZR9-VJVFB</t>
  </si>
  <si>
    <t>P2G75-N0Z6H-YQVPM</t>
  </si>
  <si>
    <t>7XC37-39Z53-6KYFV</t>
  </si>
  <si>
    <t>R49QR-FVBCV-ZZYRB</t>
  </si>
  <si>
    <t>LKKPV-YNIQE-85CPD</t>
  </si>
  <si>
    <t>AI877-JZY4W-0KECH</t>
  </si>
  <si>
    <t>I9MF7-VHQBD-HHJ3K</t>
  </si>
  <si>
    <t>F8NZW-DA7JW-RPV3K</t>
  </si>
  <si>
    <t>6LQWI-PMJBY-BW3WB</t>
  </si>
  <si>
    <t>H4VWC-4KD4J-HKX85</t>
  </si>
  <si>
    <t>LA3VG-2CA02-AB9DC</t>
  </si>
  <si>
    <t>6KG5C-V82CH-W6PBY</t>
  </si>
  <si>
    <t>JDMZA-IRQJJ-RJ3Z6</t>
  </si>
  <si>
    <t>AIEAT-F5YFZ-A9NLZ</t>
  </si>
  <si>
    <t>57CAW-4TT2D-RV0VG</t>
  </si>
  <si>
    <t>PHHJZ-43MWD-TCHE0</t>
  </si>
  <si>
    <t>GM5C2-28CCV-77GY3</t>
  </si>
  <si>
    <t>IFVVN-CPX2A-GC5VK</t>
  </si>
  <si>
    <t>MG5D3-89DNZ-EP60X</t>
  </si>
  <si>
    <t>WK2CR-PI3R3-TH6NL</t>
  </si>
  <si>
    <t>J4958-XX4AL-53YKN</t>
  </si>
  <si>
    <t>RCY9B-JQ4N6-ZLA57</t>
  </si>
  <si>
    <t>0EM26-XR4MM-942BF</t>
  </si>
  <si>
    <t>GC92X-VE7RR-BQQCB</t>
  </si>
  <si>
    <t>BITLB-40JP8-FIZ7K</t>
  </si>
  <si>
    <t>G825J-JTHKJ-TW7TZ</t>
  </si>
  <si>
    <t>GIEGL-5FK28-BK27F</t>
  </si>
  <si>
    <t>GWQ2X-2CCYF-I9998</t>
  </si>
  <si>
    <t>LMY3L-XMTHR-IBNPD</t>
  </si>
  <si>
    <t>QPK4W-N3BR7-PA8XD</t>
  </si>
  <si>
    <t>G2FDE-A8X0F-KI6PX</t>
  </si>
  <si>
    <t>CJIQ4-PT7D9-JF7KV</t>
  </si>
  <si>
    <t>The Elder Scrolls V: Skyrim Special Edition EU</t>
  </si>
  <si>
    <t>IGRTE-JLCG0-6Q0P7</t>
  </si>
  <si>
    <t>ARK: Survival Ascended</t>
  </si>
  <si>
    <t>KY0HI-ITJA3-MZ0QP</t>
  </si>
  <si>
    <t>SENTRY</t>
  </si>
  <si>
    <t>KIEP5-3KBM6-H6VIX</t>
  </si>
  <si>
    <t>JQC8A-8QYE6-JCPY2</t>
  </si>
  <si>
    <t>QX3PV-LRGGK-JI0R6</t>
  </si>
  <si>
    <t>D9NB4-NRHLQ-0DA5M</t>
  </si>
  <si>
    <t>W6ALX-H0RW8-53FFE</t>
  </si>
  <si>
    <t>GHXR4-EQMVN-YL2EY</t>
  </si>
  <si>
    <t>Evil West EU</t>
  </si>
  <si>
    <t>KMGWE-J28YW-TM5ZI</t>
  </si>
  <si>
    <t>QXR90-QEZ6E-VL0R5</t>
  </si>
  <si>
    <t>7YXBH-ZD4KE-M036R</t>
  </si>
  <si>
    <t>YJELY-4KZ72-9HMEQ</t>
  </si>
  <si>
    <t>TMF62-QYM7F-97IP3</t>
  </si>
  <si>
    <t>HT7CA-KWDVQ-TR030</t>
  </si>
  <si>
    <t>22FKT-56RVL-Y8XI9</t>
  </si>
  <si>
    <t>ZJJK3-YFNLH-CRZB7</t>
  </si>
  <si>
    <t>MY2JN-2JRBW-KAQTI</t>
  </si>
  <si>
    <t>EZY2G-EGVQ3-5N66E</t>
  </si>
  <si>
    <t>2ZZ5I-MZKZ8-GT4WM</t>
  </si>
  <si>
    <t>2RQET-C97FB-V5NGZ</t>
  </si>
  <si>
    <t>E4QMM-B2ZQL-4IBR3</t>
  </si>
  <si>
    <t>QXTBL-GKQV2-3AN6C</t>
  </si>
  <si>
    <t>4MDEG-2RR4I-RXIWE</t>
  </si>
  <si>
    <t>D7J4T-RI9GH-Y3A4L</t>
  </si>
  <si>
    <t>Q4QFR-8PZP0-J7LVY</t>
  </si>
  <si>
    <t>Tropico Trilogy</t>
  </si>
  <si>
    <t>7RK3L-N9PDZ-6KXRK</t>
  </si>
  <si>
    <t>The Elder Scrolls V: Skyrim Special Edition</t>
  </si>
  <si>
    <t>64HDC-8ZLM6-ZREL4</t>
  </si>
  <si>
    <t>BEQWI-8V58A-E577N</t>
  </si>
  <si>
    <t>389T0-ACBJ5-WPA2C</t>
  </si>
  <si>
    <t>9RJ6V-FM42E-RKF6E</t>
  </si>
  <si>
    <t>3TPK8-HFI9G-BLA6H</t>
  </si>
  <si>
    <t>NRMMC-P4A75-K9IWC</t>
  </si>
  <si>
    <t>R43PN-GTAXZ-4B55Y</t>
  </si>
  <si>
    <t>0QTIP-QKQI3-74NMT</t>
  </si>
  <si>
    <t>ZJEHF-XE9ZK-TLWM8</t>
  </si>
  <si>
    <t>NGD2Y-3TELG-PR5ZK</t>
  </si>
  <si>
    <t>6FVFN-VCD7V-WNQVZ</t>
  </si>
  <si>
    <t>VN0FZ-5KEH9-Y76GA</t>
  </si>
  <si>
    <t>LHIZ4-E97Q2-3K98T</t>
  </si>
  <si>
    <t>0PDQC-FWEXL-0H22Q</t>
  </si>
  <si>
    <t>CXCFQ-ZHAI7-2QYYM</t>
  </si>
  <si>
    <t>RZ3T2-3T069-D0MIE</t>
  </si>
  <si>
    <t>X75HC-6E84R-AC0Z0</t>
  </si>
  <si>
    <t>GYBRP-ZKYPR-DNYKT</t>
  </si>
  <si>
    <t>85NFD-YVYWK-3WG82</t>
  </si>
  <si>
    <t>ENDER MAGNOLIA: Bloom in the Mist</t>
  </si>
  <si>
    <t>RVL73-3ANJN-NPED2</t>
  </si>
  <si>
    <t>84AC9-TKD27-MJRX3</t>
  </si>
  <si>
    <t>0D32H-NIEVE-M8DHZ</t>
  </si>
  <si>
    <t>X8ERH-HPPFH-5EJNY</t>
  </si>
  <si>
    <t>H3TA2-WBA42-0RA6K</t>
  </si>
  <si>
    <t>3BIPN-3L4PJ-AQDD5</t>
  </si>
  <si>
    <t>PNFVG-EBN26-84N4Y</t>
  </si>
  <si>
    <t>PLGJT-DMK8A-8746M</t>
  </si>
  <si>
    <t>AXCP6-QFFI9-6XEMM</t>
  </si>
  <si>
    <t>PZK8I-JCG8T-ZCG7T</t>
  </si>
  <si>
    <t>4AACE-3CZJM-7R2CA</t>
  </si>
  <si>
    <t>TJKTQ-XTI06-PYBVW</t>
  </si>
  <si>
    <t>AD8TJ-Y3EJA-B4N2X</t>
  </si>
  <si>
    <t>4FZZ5-IIJIM-K8VD8</t>
  </si>
  <si>
    <t>A0V96-45Q9R-4Z0QW</t>
  </si>
  <si>
    <t>BAVMQ-LKV6J-FR9LR</t>
  </si>
  <si>
    <t>FIN9L-NQF3Q-EADJJ</t>
  </si>
  <si>
    <t>45REV-FKCNC-MQQPD</t>
  </si>
  <si>
    <t>YL208-FGP8M-4G88B</t>
  </si>
  <si>
    <t>BRWKE-PTHW2-W5ZV5</t>
  </si>
  <si>
    <t>GFLD2-FY886-MWHBY</t>
  </si>
  <si>
    <t>FKLRJ-J8TI0-ZCY55</t>
  </si>
  <si>
    <t>NFNLN-3V4HT-8RIDD</t>
  </si>
  <si>
    <t>PDPPY-9LXF6-P6P49</t>
  </si>
  <si>
    <t>ZPWRX-IGGFD-JRKN0</t>
  </si>
  <si>
    <t>QXYDN-K8LKM-P7PZ4</t>
  </si>
  <si>
    <t>GN68P-GFGIA-Y6BP8</t>
  </si>
  <si>
    <t>DBPD9-9QN8M-A5G5Y</t>
  </si>
  <si>
    <t>ZIWTP-Z8LCG-LI05P</t>
  </si>
  <si>
    <t>CJBKD-FP57P-N6JFM</t>
  </si>
  <si>
    <t>5822M-YEF7C-PFN0K</t>
  </si>
  <si>
    <t>88IYE-C83I0-EEDXR</t>
  </si>
  <si>
    <t>TWM8D-ME3W0-8ZRCZ</t>
  </si>
  <si>
    <t>YB4GK-W07CN-ENC70</t>
  </si>
  <si>
    <t>50MFL-Y3X0H-06JTY</t>
  </si>
  <si>
    <t>QFNB9-DZHD9-YMPKY</t>
  </si>
  <si>
    <t>WED4C-5N3H0-HWZTM</t>
  </si>
  <si>
    <t>GYFLW-WK22V-Q8GFY</t>
  </si>
  <si>
    <t>9IK5W-RHKI0-7BA6F</t>
  </si>
  <si>
    <t>45LF6-CIEJJ-7AI0A</t>
  </si>
  <si>
    <t>GT6GW-LA8KF-J2870</t>
  </si>
  <si>
    <t>6N5JT-2DHIB-D675I</t>
  </si>
  <si>
    <t>NRX2K-MTD0P-GIQZ3</t>
  </si>
  <si>
    <t>K0ICM-GNY56-2K9QF</t>
  </si>
  <si>
    <t>T0NLH-I064X-WJDDH</t>
  </si>
  <si>
    <t>36YZT-VDHV4-9W0D0</t>
  </si>
  <si>
    <t>LYGJR-FW8PC-Q3EQ4</t>
  </si>
  <si>
    <t>AL95T-B3WP6-WIK9Q</t>
  </si>
  <si>
    <t>0JNNX-EWZWK-FWAHD</t>
  </si>
  <si>
    <t>YLVJB-D0V2G-4K8X0</t>
  </si>
  <si>
    <t>5VFH8-TL3JF-GD286</t>
  </si>
  <si>
    <t>Stellaris EU</t>
  </si>
  <si>
    <t>JPX0Y-BNCVC-AP6KM</t>
  </si>
  <si>
    <t>r.ondey.s.k.och@gmail.com</t>
  </si>
  <si>
    <t>V5</t>
  </si>
  <si>
    <t>QVPLJ-5QM40-HNDH8</t>
  </si>
  <si>
    <t>XMVAD-TTCQV-0C6TB</t>
  </si>
  <si>
    <t>2JJL5-4YMRI-HKNM8</t>
  </si>
  <si>
    <t>PBCBY-5GTRL-X7PK2</t>
  </si>
  <si>
    <t>GEBV5-5KAWD-KTDB6</t>
  </si>
  <si>
    <t>NF0IM-G27L6-JRZGI</t>
  </si>
  <si>
    <t>GV5QF-X5I5R-4PXQB</t>
  </si>
  <si>
    <t>2ZDMY-5MRXV-8EYB3</t>
  </si>
  <si>
    <t>802DC-R4I69-Z2I4N</t>
  </si>
  <si>
    <t>PZH7G-AKJNM-5IPLN</t>
  </si>
  <si>
    <t>VZTZ8-8EK2K-LBM52</t>
  </si>
  <si>
    <t>ZHA74-7EJ7I-4VG02</t>
  </si>
  <si>
    <t>HBXQG-ECQ8K-LGGLA</t>
  </si>
  <si>
    <t>9AZET-8XH6I-375YR</t>
  </si>
  <si>
    <t>P576J-GP44Q-CKW4K</t>
  </si>
  <si>
    <t>H3H7G-FET3C-AQJGR</t>
  </si>
  <si>
    <t>WQ6X7-86CLF-6348I</t>
  </si>
  <si>
    <t>XLBD5-AVEMJ-WW8JJ</t>
  </si>
  <si>
    <t>3HWMW-0WVR9-589CI</t>
  </si>
  <si>
    <t>8LD5Q-JW4LM-DGK39</t>
  </si>
  <si>
    <t>3MCXG-BCLHB-03T2F</t>
  </si>
  <si>
    <t>J5YY8-XDPF7-WKJTQ</t>
  </si>
  <si>
    <t>BTB67-IBBBT-L7W9A</t>
  </si>
  <si>
    <t>WVHNZ-Q4RPA-JNNGF</t>
  </si>
  <si>
    <t>4IIXD-7Q5XV-89ZLA</t>
  </si>
  <si>
    <t>AYXWW-X9029-P83NH</t>
  </si>
  <si>
    <t>9CCXV-X4AWB-V9DWC</t>
  </si>
  <si>
    <t>H9RNH-HA44C-IAECF</t>
  </si>
  <si>
    <t>N3TNY-KTZBK-E89TY</t>
  </si>
  <si>
    <t>YLE0A-M99MC-F740D</t>
  </si>
  <si>
    <t>PGA TOUR 2K23 EU</t>
  </si>
  <si>
    <t>AVVP7-3AHM2-LVIRT</t>
  </si>
  <si>
    <t>VECY2-KIJ3T-JMBHW</t>
  </si>
  <si>
    <t>N3IPT-QCJPA-7ZDCG</t>
  </si>
  <si>
    <t>8L7LY-DN583-QGTVF</t>
  </si>
  <si>
    <t>27PG8-X74VZ-5TBKB</t>
  </si>
  <si>
    <t>QHL79-7WIT4-45FDH</t>
  </si>
  <si>
    <t>5AEMY-73N9P-J47QD</t>
  </si>
  <si>
    <t>N4T3N-BHIK0-VNKHL</t>
  </si>
  <si>
    <t>MB59M-M55KZ-7D2E7</t>
  </si>
  <si>
    <t>V4ZYW-ATEV0-3FXE2</t>
  </si>
  <si>
    <t>8V4HK-C6K42-AVLYZ</t>
  </si>
  <si>
    <t>WJ6PH-70ZIR-I9QPF</t>
  </si>
  <si>
    <t>76Q26-9HDR5-7M88Z</t>
  </si>
  <si>
    <t>Necrosmith</t>
  </si>
  <si>
    <t>K8V8W-M56W7-7X284</t>
  </si>
  <si>
    <t>ZGBI6-JJTR9-67I4P</t>
  </si>
  <si>
    <t>JV4B3-DGVD7-29BWX</t>
  </si>
  <si>
    <t>4BRFC-NF357-JQ6XT</t>
  </si>
  <si>
    <t>TR40A-4E89N-BAGH5</t>
  </si>
  <si>
    <t>9PT2M-DIGZ0-CNRDQ</t>
  </si>
  <si>
    <t>Q3JI7-5VK7Z-MX6CW</t>
  </si>
  <si>
    <t>XCNDH-WGPV5-CYI7K</t>
  </si>
  <si>
    <t>PL4GZ-NB9R2-4KJ6X</t>
  </si>
  <si>
    <t>4HB5W-WYWLW-X5FQ0</t>
  </si>
  <si>
    <t>YBCPM-7TKKH-KZJWA</t>
  </si>
  <si>
    <t>BPRAL-K9T8R-Z4JCL</t>
  </si>
  <si>
    <t>QD2MF-2E693-IINCL</t>
  </si>
  <si>
    <t>outstuff1@gmail.com</t>
  </si>
  <si>
    <t>S82</t>
  </si>
  <si>
    <t>BVHAA-2A9T2-HVYEH</t>
  </si>
  <si>
    <t>95HGX-C48NE-V0PMH</t>
  </si>
  <si>
    <t>5976T-GMAIH-8QTV4</t>
  </si>
  <si>
    <t>A68XJ-RTLDX-2ZFTF</t>
  </si>
  <si>
    <t>KWWAN-AZG4K-WFZ2P</t>
  </si>
  <si>
    <t>ZN0YJ-VKE72-IPE4G</t>
  </si>
  <si>
    <t>IYIJV-K00CG-W9ELZ</t>
  </si>
  <si>
    <t>PQM7T-PZWCG-Q8Q0J</t>
  </si>
  <si>
    <t>PY7MT-Y9TFE-QCMHK</t>
  </si>
  <si>
    <t>P9CDR-E70Z2-RWDZ3</t>
  </si>
  <si>
    <t>07IPE-4PH97-LVETK</t>
  </si>
  <si>
    <t>Nomad Survival</t>
  </si>
  <si>
    <t>X9TNC-T8XRB-YF47J</t>
  </si>
  <si>
    <t>VXAQL-DCADQ-X7MPX</t>
  </si>
  <si>
    <t>DHHF2-PGHM9-7V340</t>
  </si>
  <si>
    <t>XLAEI-IMPW7-40RC8</t>
  </si>
  <si>
    <t>D7JJ4-02KKY-FR23V</t>
  </si>
  <si>
    <t>3656P-CAR7Q-P7EAA</t>
  </si>
  <si>
    <t>5CK8R-TWQQH-QKK95</t>
  </si>
  <si>
    <t>Hero of the Kingdom: The Lost Tales 1</t>
  </si>
  <si>
    <t>MRY45-PN8MY-FECRE</t>
  </si>
  <si>
    <t>VZKP9-MQ9N5-LJAVT</t>
  </si>
  <si>
    <t>T0JMC-MQNHA-M8GF0</t>
  </si>
  <si>
    <t>MM9PY-2GM3C-D23BM</t>
  </si>
  <si>
    <t>C5RL7-ELK3I-VP0TT</t>
  </si>
  <si>
    <t>The Sexy Brutale</t>
  </si>
  <si>
    <t>WYD7N-YY5KH-RZXR7</t>
  </si>
  <si>
    <t>TI3LT-CNL3J-4YTFA</t>
  </si>
  <si>
    <t>AA0M2-6JRNW-YIF80</t>
  </si>
  <si>
    <t>A8NRE-JM2R4-MY24Y</t>
  </si>
  <si>
    <t>MPWE9-C23FE-DMND8</t>
  </si>
  <si>
    <t>R0G4T-K9CQK-A832M</t>
  </si>
  <si>
    <t>M6K6F-8IA2H-5IM7W</t>
  </si>
  <si>
    <t>Y83R6-YV6JV-8799D</t>
  </si>
  <si>
    <t>TD4BI-T8465-PLIZW</t>
  </si>
  <si>
    <t>0A08A-PXC52-CHY9R</t>
  </si>
  <si>
    <t>KDT6G-GZZW8-CIEGC</t>
  </si>
  <si>
    <t>0C7XX-QCTZ5-XENBE</t>
  </si>
  <si>
    <t>2QN67-DIDQJ-PXEGF</t>
  </si>
  <si>
    <t>AZ4IR-KXBIT-JE032</t>
  </si>
  <si>
    <t>L7088-NJ5CR-DJ0VE</t>
  </si>
  <si>
    <t>GHXXE-34NCI-HMRGE</t>
  </si>
  <si>
    <t>BKJZN-TBLNN-EFM2F</t>
  </si>
  <si>
    <t>V3H35-FZ9BR-C8ZTP</t>
  </si>
  <si>
    <t>T7WIX-RPJFE-PNKIV</t>
  </si>
  <si>
    <t>6XJMA-ZJ5EG-0CH60</t>
  </si>
  <si>
    <t>803BP-RFMD8-Y5968</t>
  </si>
  <si>
    <t>BKMZZ-HC0JC-D3P7A</t>
  </si>
  <si>
    <t>T40YC-PFB9C-45W4Y</t>
  </si>
  <si>
    <t>NYDNJ-8VZFQ-9I3W6</t>
  </si>
  <si>
    <t>G394N-VLENT-JBYW8</t>
  </si>
  <si>
    <t>48VYA-3KJ0T-I3FR8</t>
  </si>
  <si>
    <t>CVNQ0-9436J-IF6G4</t>
  </si>
  <si>
    <t>D0CBC-TQAY4-6PAKX</t>
  </si>
  <si>
    <t>EG8TY-KEKC5-GXKNH</t>
  </si>
  <si>
    <t>L4YII-XN8KI-7F4Y0</t>
  </si>
  <si>
    <t>JZV0M-Q2NE0-AJCAW</t>
  </si>
  <si>
    <t>WKGVF-AMQ8B-JPHYF</t>
  </si>
  <si>
    <t>2PXLR-CVLVK-MK43Z</t>
  </si>
  <si>
    <t>0QFEP-6YWLW-I4BZ0</t>
  </si>
  <si>
    <t>42ELP-2VNZT-LQZZ3</t>
  </si>
  <si>
    <t>B4H2K-GCA6C-785D6</t>
  </si>
  <si>
    <t>GCQMG-RP9L9-VDTTB</t>
  </si>
  <si>
    <t>Mini Thief</t>
  </si>
  <si>
    <t>B9CNK-VEQ4V-KR3NT</t>
  </si>
  <si>
    <t>KRIXR-YL80T-NC3RE</t>
  </si>
  <si>
    <t>RCL86-9TRAF-PEX8P</t>
  </si>
  <si>
    <t>RJ8ZY-XH2G7-4MKE6</t>
  </si>
  <si>
    <t>Z6HTV-BLAMW-F3YT0</t>
  </si>
  <si>
    <t>BNTXZ-PNMN2-K8IRV</t>
  </si>
  <si>
    <t>M4V6N-0GEIK-QTNV3</t>
  </si>
  <si>
    <t>EY3ZA-949B5-Y2DXM</t>
  </si>
  <si>
    <t>GELTR-K90Y2-Z26V5</t>
  </si>
  <si>
    <t>XTQME-I79GF-QFGIW</t>
  </si>
  <si>
    <t>LKYAW-WLQ6H-J4FWC</t>
  </si>
  <si>
    <t>AT58D-8DP7A-77XKD</t>
  </si>
  <si>
    <t>4FR36-IQ8F3-YRD3B</t>
  </si>
  <si>
    <t>Brunch Club</t>
  </si>
  <si>
    <t>R39AB-WE7FR-67WAN</t>
  </si>
  <si>
    <t>9JJLA-9GQ47-THW29</t>
  </si>
  <si>
    <t>FVY3N-6XG0F-FMKJW</t>
  </si>
  <si>
    <t>89N34-P7736-0HI0F</t>
  </si>
  <si>
    <t>X82IV-AHY5L-55FPC</t>
  </si>
  <si>
    <t>QK3XH-W7M70-QV7FY</t>
  </si>
  <si>
    <t>4A5AT-QKAHJ-INMGE</t>
  </si>
  <si>
    <t>954K3-33XQB-PWYK9</t>
  </si>
  <si>
    <t>D9A33-GJMPD-RRCVT</t>
  </si>
  <si>
    <t>9NHTT-J94YZ-88V9Y</t>
  </si>
  <si>
    <t>33N0D-2DGH5-Z7J0V</t>
  </si>
  <si>
    <t>BAVV7-0IPZ8-02CE4</t>
  </si>
  <si>
    <t>HG6YH-H9HCG-AEWIV</t>
  </si>
  <si>
    <t>Squad 44</t>
  </si>
  <si>
    <t>ACZHJ-RFYL3-7GBLC</t>
  </si>
  <si>
    <t>NUUVEM</t>
  </si>
  <si>
    <t>Dragon's Dogma 2 Deluxe Edition EU</t>
  </si>
  <si>
    <t>TAIRD-X9P7W-A5MRQ</t>
  </si>
  <si>
    <t>FNL6L-VNETK-QJTLD</t>
  </si>
  <si>
    <t>3ADIM-DQEY0-9C6XW</t>
  </si>
  <si>
    <t>CKIYN-XAPNA-W5QZZ</t>
  </si>
  <si>
    <t>RY4QY-YLNVC-TDMIP</t>
  </si>
  <si>
    <t>3RFVL-RY6PI-Z92JC</t>
  </si>
  <si>
    <t>4W747-9GGQQ-TI22W</t>
  </si>
  <si>
    <t>FEYZJ-CRWCF-9Y5DI</t>
  </si>
  <si>
    <t>BK4H2-LF3LK-D2DAN</t>
  </si>
  <si>
    <t>AX0TR-V0PT5-V2LWE</t>
  </si>
  <si>
    <t>LIXRI-C8GRM-WWZVR</t>
  </si>
  <si>
    <t>DFFD3-HAH6C-Q9CI5</t>
  </si>
  <si>
    <t xml:space="preserve">Y7TMD-0AI2Q-7NCVN
</t>
  </si>
  <si>
    <t>5RAPM-93V5N-XDTIX</t>
  </si>
  <si>
    <t>RGYDI-XX6Z6-E9MRZ</t>
  </si>
  <si>
    <t>6TDJ9-RLZCY-8BJZ2</t>
  </si>
  <si>
    <t>PQJME-M7B6J-4ZRCV</t>
  </si>
  <si>
    <t>JWRHE-B5R66-KA6JT</t>
  </si>
  <si>
    <t>J5FH3-TVA32-I2YB4</t>
  </si>
  <si>
    <t>NMG6B-YJ69K-GRNNP</t>
  </si>
  <si>
    <t>5HB85-RVI4Q-FW9BZ</t>
  </si>
  <si>
    <t>GFJMD-8AAKB-TDWE3</t>
  </si>
  <si>
    <t>4JK3P-N86TK-4L3TQ</t>
  </si>
  <si>
    <t>Q5CD8-ECM9I-KQYLD</t>
  </si>
  <si>
    <t>Six Days in Fallujah EU</t>
  </si>
  <si>
    <t>YHQJX-DK4BT-9FG4B</t>
  </si>
  <si>
    <t>WWXJF-N5RB4-N2DHA</t>
  </si>
  <si>
    <t>I5P6R-EKQVB-H2J5E</t>
  </si>
  <si>
    <t>Ready Or Not EU</t>
  </si>
  <si>
    <t>2N3A4-JVQ3A-6AZ8P</t>
  </si>
  <si>
    <t>NMDX9-0BCAX-HMDH8</t>
  </si>
  <si>
    <t>PI7QE-ND3RW-ZWYVK</t>
  </si>
  <si>
    <t>X67LW-RRQ60-H9MDI</t>
  </si>
  <si>
    <t>5RJAK-QRAHM-QTHM5</t>
  </si>
  <si>
    <t>XW94C-HQG73-K88A0</t>
  </si>
  <si>
    <t>E5RMJ-PZBH5-XKHP5</t>
  </si>
  <si>
    <t>DX0V3-WH49F-EPL5W</t>
  </si>
  <si>
    <t>3BT0I-JTN96-MGKMH</t>
  </si>
  <si>
    <t>7Q5W5-BTZL5-ZD8ZK</t>
  </si>
  <si>
    <t>J0E04-IB93N-4WF32</t>
  </si>
  <si>
    <t>DCI9E-ZTVH6-4HJDR</t>
  </si>
  <si>
    <t>LWJLI-PECTF-6DJBE</t>
  </si>
  <si>
    <t>P30QD-P4V8T-XJ50N</t>
  </si>
  <si>
    <t>4P55C-DWBB0-TDLJ6</t>
  </si>
  <si>
    <t>02ZT2-LFVIQ-LABC4</t>
  </si>
  <si>
    <t>W92B0-TJAZD-8WGFH</t>
  </si>
  <si>
    <t>5GVMT-CTKVF-WNTZK</t>
  </si>
  <si>
    <t>CH97F-MCM9Y-FTCKM</t>
  </si>
  <si>
    <t>0X6RT-LMEVH-256BN</t>
  </si>
  <si>
    <t>Doorways: Holy Mountains of Flesh</t>
  </si>
  <si>
    <t>09NIA-YJ7HN-72NR5</t>
  </si>
  <si>
    <t>CRKFA-NIGEE-V93B6</t>
  </si>
  <si>
    <t>BVD9W-PEJEV-K8YMG</t>
  </si>
  <si>
    <t>ZMGRW-FWM2N-2J69D</t>
  </si>
  <si>
    <t>5K3PC-4V0KK-J5XLF</t>
  </si>
  <si>
    <t>XPEYA-TQPX8-9TG3A</t>
  </si>
  <si>
    <t>GY33Z-YJWCB-GPRMF</t>
  </si>
  <si>
    <t>ZK2ED-ZTTD6-ECJYI</t>
  </si>
  <si>
    <t>ZZ96G-R2K8T-GEFXW</t>
  </si>
  <si>
    <t>3TY2V-0TW74-DQQE5</t>
  </si>
  <si>
    <t>EY052-7HTHL-D3JC9</t>
  </si>
  <si>
    <t>MNDK2-7J6FX-67P5Y</t>
  </si>
  <si>
    <t>TMAWX-PPFNH-753RR</t>
  </si>
  <si>
    <t>XG8LL-8PPX2-P2CFQ</t>
  </si>
  <si>
    <t>XE33T-7ZPVI-PQBQV</t>
  </si>
  <si>
    <t>XVYHV-BDQPN-479Y8</t>
  </si>
  <si>
    <t>X3H8Z-P9NKV-96JDL</t>
  </si>
  <si>
    <t>RYVF0-D7EYK-3EZCX</t>
  </si>
  <si>
    <t>W98AK-WL84L-E0BQH</t>
  </si>
  <si>
    <t>IVY88-AF0LL-XGFQM</t>
  </si>
  <si>
    <t>4T496-KYY76-0I506</t>
  </si>
  <si>
    <t>72NWI-67WI2-9ICKN</t>
  </si>
  <si>
    <t>D0B78-MB0VN-W7IYZ</t>
  </si>
  <si>
    <t>AK6M5-6EIGL-24ZVQ</t>
  </si>
  <si>
    <t>DA682-40F7E-B64GR</t>
  </si>
  <si>
    <t>TVMQE-5FL3X-I2AKC</t>
  </si>
  <si>
    <t>WX07H-JF8ZY-4HGFG</t>
  </si>
  <si>
    <t>QH7CG-3RNAX-B5VPI</t>
  </si>
  <si>
    <t>L6JYD-652XD-9M692</t>
  </si>
  <si>
    <t>4N3BA-IQLF7-EYY8V</t>
  </si>
  <si>
    <t>P5ALL-8H5IF-H6D0X</t>
  </si>
  <si>
    <t>ENCODYA</t>
  </si>
  <si>
    <t>BBRKF-VJN99-W6FNN</t>
  </si>
  <si>
    <t>J6BG4-0C02K-MXX0D</t>
  </si>
  <si>
    <t>MYIBE-7J5QK-P286C</t>
  </si>
  <si>
    <t>6PKX9-2EDWR-XQZCI</t>
  </si>
  <si>
    <t>5AIYK-YG8R9-C8BRT</t>
  </si>
  <si>
    <t>8MJIL-ABZEN-CMI7B</t>
  </si>
  <si>
    <t>AKTYY-PW329-J2GEA</t>
  </si>
  <si>
    <t>I7WC6-65FCE-7MN5Y</t>
  </si>
  <si>
    <t>I0GWK-2G30V-M9TZA</t>
  </si>
  <si>
    <t>Z9T9J-2MWVF-FJBKQ</t>
  </si>
  <si>
    <t>GW22F-2ALZC-QFKV9</t>
  </si>
  <si>
    <t>QEIPF-VKC3B-TAYP6</t>
  </si>
  <si>
    <t>PMWIX-QR3QC-WHWEY</t>
  </si>
  <si>
    <t>W66VT-4L838-YWEYM</t>
  </si>
  <si>
    <t>N3GWI-PWIC0-2HJR9</t>
  </si>
  <si>
    <t>QKZCF-4A30G-MQV55</t>
  </si>
  <si>
    <t>XKKPF-F8LE3-ERGJL</t>
  </si>
  <si>
    <t>0L93A-VGW02-2KQV8</t>
  </si>
  <si>
    <t>Ironcast</t>
  </si>
  <si>
    <t>ZJZ5H-2CBKX-2FT2F</t>
  </si>
  <si>
    <t>Y3CAG-IQANF-65Y0F</t>
  </si>
  <si>
    <t>GVNRD-N37Q2-PA4XP</t>
  </si>
  <si>
    <t>XFNJK-4PDMV-KRNXJ</t>
  </si>
  <si>
    <t>6ZD5Z-DNGYE-DQTIL</t>
  </si>
  <si>
    <t>7H0GB-GRVJC-7IZ6K</t>
  </si>
  <si>
    <t>KAFIR-ZQAVT-H8PG8</t>
  </si>
  <si>
    <t>E84MT-AA35Q-RN70W</t>
  </si>
  <si>
    <t>FMY65-CJLR2-RME7E</t>
  </si>
  <si>
    <t>6ML2P-B7FFD-8TWKC</t>
  </si>
  <si>
    <t>JE6DX-NKLBA-QH59C</t>
  </si>
  <si>
    <t>4C6DG-0YTBF-83640</t>
  </si>
  <si>
    <t>43CV7-4KGAC-Z5JAQ</t>
  </si>
  <si>
    <t>0P8AR-DWEE9-5V93M</t>
  </si>
  <si>
    <t>6VZ3I-0X4YL-NC60H</t>
  </si>
  <si>
    <t>HADIB-594Q9-V4ZWB</t>
  </si>
  <si>
    <t>5VR4E-0R7YA-TVNRF</t>
  </si>
  <si>
    <t>2MZVC-BMKR3-N506F</t>
  </si>
  <si>
    <t>G8MG9-ZYRKG-QR5AX</t>
  </si>
  <si>
    <t>NCPF9-CIQEY-QGDL5</t>
  </si>
  <si>
    <t>W5VED-KK7C8-WLHLD</t>
  </si>
  <si>
    <t>Fallout 4 GOTY Edition</t>
  </si>
  <si>
    <t>C7XNL-2ZPTQ-6QGJ4</t>
  </si>
  <si>
    <t>A84JW-97VW0-IEHWD</t>
  </si>
  <si>
    <t>7LQB0-JL4R7-HH5MJ</t>
  </si>
  <si>
    <t>M6Z2J-MKPQM-6GGNV</t>
  </si>
  <si>
    <t>Q6R2V-EKEHW-WW7VK</t>
  </si>
  <si>
    <t>GR6QB-B6K7D-FTXKR</t>
  </si>
  <si>
    <t>I0AG6-0MTCJ-BX7PZ</t>
  </si>
  <si>
    <t>C7PTA-AZ2DJ-R9VFY</t>
  </si>
  <si>
    <t>6J6N3-DPKGZ-YR9Y5</t>
  </si>
  <si>
    <t>MCZH7-I76FB-5TPMW</t>
  </si>
  <si>
    <t>AKCIL-25M46-E2L7Z</t>
  </si>
  <si>
    <t>BQILB-E3EAD-Y8B52</t>
  </si>
  <si>
    <t>PGXIZ-GNEZ4-D7CAP</t>
  </si>
  <si>
    <t>X8QRM-8CJL8-F9Y7R</t>
  </si>
  <si>
    <t>K26AH-DJM54-9G4PW</t>
  </si>
  <si>
    <t>HPWC4-4GTNV-WYP54</t>
  </si>
  <si>
    <t>QH7KQ-YZLFR-L79R8</t>
  </si>
  <si>
    <t>4QNW2-EZAEB-XHCGM</t>
  </si>
  <si>
    <t>WCL6X-GQK0V-PC4FJ</t>
  </si>
  <si>
    <t>9X2K6-A3DMZ-T2N5Y</t>
  </si>
  <si>
    <t>H6KWQ-IL6M2-NZX4E</t>
  </si>
  <si>
    <t>54HTN-PQK2B-4XFAQ</t>
  </si>
  <si>
    <t>87ZD2-M97Z8-5YVVA</t>
  </si>
  <si>
    <t>CABLP-LFGJT-N3XA3</t>
  </si>
  <si>
    <t>DY5DK-Z8403-KHAHI</t>
  </si>
  <si>
    <t>RNE06-CN2N5-3N9Z2</t>
  </si>
  <si>
    <t>4HMK7-3PAY2-8Z634</t>
  </si>
  <si>
    <t>983LA-ZXXVQ-90PP7</t>
  </si>
  <si>
    <t>30RVE-8XD0H-J0GTY</t>
  </si>
  <si>
    <t>A649Q-5GGVD-MWLYQ</t>
  </si>
  <si>
    <t>Z60JK-99BCX-PRN66</t>
  </si>
  <si>
    <t>XTWC6-NHF0T-V828H</t>
  </si>
  <si>
    <t>3NWGI-9Y3L6-XGZ3W</t>
  </si>
  <si>
    <t>6P5DV-HC0ZX-D5BMP</t>
  </si>
  <si>
    <t>5J5PG-FVGB0-77R0R</t>
  </si>
  <si>
    <t>LXYLR-JIV8I-7G3L6</t>
  </si>
  <si>
    <t>5Q49N-I0PHZ-NWF82</t>
  </si>
  <si>
    <t>EWCTC-896EA-E8MLD</t>
  </si>
  <si>
    <t>56GW9-YC05N-JM9T4</t>
  </si>
  <si>
    <t>TL9P3-C6R0V-DDV3M</t>
  </si>
  <si>
    <t>T7DLM-LCTIZ-JTVKW</t>
  </si>
  <si>
    <t>M9VN6-NXVX9-LDG3F</t>
  </si>
  <si>
    <t>V63MD-DIILZ-4R8TR</t>
  </si>
  <si>
    <t>K472Y-QGVZ6-KANK4</t>
  </si>
  <si>
    <t>GIDVQ-F2NQ8-W229N</t>
  </si>
  <si>
    <t>WZEVE-0J44E-9QVYL</t>
  </si>
  <si>
    <t>MWD0I-0TKN2-TW0BN</t>
  </si>
  <si>
    <t>30G6Z-R5ZM0-9QL95</t>
  </si>
  <si>
    <t>2FLIR-W8YK3-9KP87</t>
  </si>
  <si>
    <t>RPTH6-X09YR-8XCHV</t>
  </si>
  <si>
    <t>E82VQ-9FRDW-YL299</t>
  </si>
  <si>
    <t>Marvel's Midnight Suns Legendary Edition EU</t>
  </si>
  <si>
    <t>QEIPA-3KRRV-K9MJ0</t>
  </si>
  <si>
    <t>GTFQX-KTRMA-J2200</t>
  </si>
  <si>
    <t>Fallout 76 EU</t>
  </si>
  <si>
    <t>NZ2KX-NZQBY-E2DQ7</t>
  </si>
  <si>
    <t>DH2KH-0WC3D-GYBNG</t>
  </si>
  <si>
    <t>Fallout 76: Atlantic City - Boardwalk Paradise Deluxe Edition</t>
  </si>
  <si>
    <t>QHMGG-DWN35-JZGTE</t>
  </si>
  <si>
    <t>Dragon's Dogma 2 EU</t>
  </si>
  <si>
    <t>45ZDZ-5R5BW-EJ262</t>
  </si>
  <si>
    <t>NGW26-GBKK2-E2VPP</t>
  </si>
  <si>
    <t>XRX7B-TG296-Q0GR2</t>
  </si>
  <si>
    <t>AQT3E-AGGFT-QGZ9G</t>
  </si>
  <si>
    <t>8PYE7-06BM6-W0H4V</t>
  </si>
  <si>
    <t>YRM68-CP07H-KDBJA</t>
  </si>
  <si>
    <t>5J594-VL3YR-T5AYB</t>
  </si>
  <si>
    <t>Sand Land EU</t>
  </si>
  <si>
    <t>9RY86-YJTZT-0AH3C</t>
  </si>
  <si>
    <t>47Z89-YIVT3-CHNXQ</t>
  </si>
  <si>
    <t>2CJRH-9XX6B-3I7KA</t>
  </si>
  <si>
    <t>C5QCE-PKXYV-TY8PT</t>
  </si>
  <si>
    <t>CHQBA-HTIEG-I6VRM</t>
  </si>
  <si>
    <t>Nuuvem</t>
  </si>
  <si>
    <t>CYLNM-TXKET-EJBPI</t>
  </si>
  <si>
    <t>70JWC-2M6RB-BCJV8</t>
  </si>
  <si>
    <t>3XLDM-HVEWJ-KIWH4</t>
  </si>
  <si>
    <t>ZFXJI-NL0WT-2FCLD</t>
  </si>
  <si>
    <t>ZFNQ4-W0Z9Q-9Q93H</t>
  </si>
  <si>
    <t>DJXRP-NB7XQ-7YRKW</t>
  </si>
  <si>
    <t>FP2AD-6JCIJ-0PR4M</t>
  </si>
  <si>
    <t>C9263-BRTRF-I2W7P</t>
  </si>
  <si>
    <t>Street Fighter 6 EU</t>
  </si>
  <si>
    <t>HYYNE-XI8PK-PW6NH</t>
  </si>
  <si>
    <t>C74LY-TARZ5-QGPNJ</t>
  </si>
  <si>
    <t>R3KER-XKGGK-D0EW0</t>
  </si>
  <si>
    <t>NAD7L-6B86T-67T0M</t>
  </si>
  <si>
    <t>AFVVC-ZKH5H-W69FB</t>
  </si>
  <si>
    <t>7HWBE-V03M6-TBFI6</t>
  </si>
  <si>
    <t>NPVYT-L7LHK-BVVN4</t>
  </si>
  <si>
    <t>FHDJ3-68BM6-GM3L3</t>
  </si>
  <si>
    <t>452CT-BZX7X-DF2QQ</t>
  </si>
  <si>
    <t>TII58-IDN0K-GFLFJ</t>
  </si>
  <si>
    <t>4KVKK-MIL2E-BVWGP</t>
  </si>
  <si>
    <t>X2CM8-X02FP-FEJJN</t>
  </si>
  <si>
    <t>K2WC5-7M5JY-5XQ4N</t>
  </si>
  <si>
    <t>DC4VW-46A8Q-NGGCA</t>
  </si>
  <si>
    <t>7WNFB-44KGJ-NDKX8</t>
  </si>
  <si>
    <t>FFB35-KH9LA-379LD</t>
  </si>
  <si>
    <t>BPFML-KQLPF-24ZNE</t>
  </si>
  <si>
    <t>P6C04-Q2W3Z-M80Q2</t>
  </si>
  <si>
    <t>RQLKX-7IT5X-DD482</t>
  </si>
  <si>
    <t>Osteoblasts</t>
  </si>
  <si>
    <t>TF37Y-WBN2Q-2AQD8</t>
  </si>
  <si>
    <t>9PVIX-Z7099-K0EVZ</t>
  </si>
  <si>
    <t>Fallout 4 GOTY Edition EU</t>
  </si>
  <si>
    <t>H64W9-08FNF-QH7D7</t>
  </si>
  <si>
    <t>Fallout 3 GOTY EU</t>
  </si>
  <si>
    <t>XLEJB-BK7C9-L5VLE</t>
  </si>
  <si>
    <t>Fallout: New Vegas Ultimate Edition EU</t>
  </si>
  <si>
    <t>HBX7W-2EZA0-FG5FP</t>
  </si>
  <si>
    <t>Fallout Classic Collection EU</t>
  </si>
  <si>
    <t>DP28A-VVY98-TI78D</t>
  </si>
  <si>
    <t>4Z0TA-P3QKF-0DAAP</t>
  </si>
  <si>
    <t>XFBR0-77BYH-DT6G6</t>
  </si>
  <si>
    <t>PTRPN-QQEAH-025L5</t>
  </si>
  <si>
    <t>A36LF-NKDRA-08W42</t>
  </si>
  <si>
    <t>AY7AD-CI4V6-0EREF</t>
  </si>
  <si>
    <t>JHGI0-485EC-IPDZK</t>
  </si>
  <si>
    <t>FKFVW-AXVTA-H4QWX</t>
  </si>
  <si>
    <t>0FTM2-D5E5X-JD6M3</t>
  </si>
  <si>
    <t>KWPJK-6EAI3-YLBZA</t>
  </si>
  <si>
    <t>34X3K-IW5N7-K82CG</t>
  </si>
  <si>
    <t>RPMIJ-FLDEG-ZP6PW</t>
  </si>
  <si>
    <t>03AXZ-N7VZ6-Y5D6C</t>
  </si>
  <si>
    <t>NMCEE-GXVF0-GT8II</t>
  </si>
  <si>
    <t>JVVRZ-HIB9N-GQJW3</t>
  </si>
  <si>
    <t>JH8NV-G7APW-7N2D6</t>
  </si>
  <si>
    <t>RGF3V-WMAND-5VPNL</t>
  </si>
  <si>
    <t>6GTXV-XN8GM-RV34R</t>
  </si>
  <si>
    <t>80D6X-3BEXE-9RWKY</t>
  </si>
  <si>
    <t>F8X4V-MNWPF-GVD26</t>
  </si>
  <si>
    <t>IZ5QM-8BG2W-RW33H</t>
  </si>
  <si>
    <t>FRHMK-0XYT0-27VF0</t>
  </si>
  <si>
    <t>H9ZIA-8LPGV-X3YG3</t>
  </si>
  <si>
    <t>Rage in Peace</t>
  </si>
  <si>
    <t>TQB8N-JANBK-8YEM7</t>
  </si>
  <si>
    <t>MX2TX-0BPIF-CXV4A</t>
  </si>
  <si>
    <t>0PHV6-3QC6Z-FMHD6</t>
  </si>
  <si>
    <t>HANJN-NXHZM-TG4KT</t>
  </si>
  <si>
    <t>XHA28-5V8I3-Z3FL5</t>
  </si>
  <si>
    <t>WM58J-9D3N6-LTREK</t>
  </si>
  <si>
    <t>GJGPH-JG2WR-M2WTZ</t>
  </si>
  <si>
    <t>TJK44-50CGY-63GNA</t>
  </si>
  <si>
    <t>J4MGB-GTK8C-J70LE</t>
  </si>
  <si>
    <t>Train Sim World 4 Deluxe Edition</t>
  </si>
  <si>
    <t>VHCX2-KLMLY-ZQMAD</t>
  </si>
  <si>
    <t>MONSTER HUNTER RISE EU</t>
  </si>
  <si>
    <t>HQB5R-2IL79-W3RDI</t>
  </si>
  <si>
    <t>Monster Hunter Stories 2: Wings of Ruin EU</t>
  </si>
  <si>
    <t>WAYKF-4J7N0-9ZNPY</t>
  </si>
  <si>
    <t>WGZ0E-A4W7W-4A7GM</t>
  </si>
  <si>
    <t>400R2-QVENB-XTJ77</t>
  </si>
  <si>
    <t>YNF4B-PTY8L-N7KRI</t>
  </si>
  <si>
    <t>8YJXM-PXNMN-BFRKF</t>
  </si>
  <si>
    <t>6D4PX-8M6N8-2MTRG</t>
  </si>
  <si>
    <t>TVRBB-HFQW3-GZ2IJ</t>
  </si>
  <si>
    <t>GP3HG-RCYRA-3GQG8</t>
  </si>
  <si>
    <t>XLDHA-B5GE6-Q5DL4</t>
  </si>
  <si>
    <t>54WY7-JNXL7-LBTH2</t>
  </si>
  <si>
    <t>FCBFJ-DFNFF-73KX5</t>
  </si>
  <si>
    <t>Warman</t>
  </si>
  <si>
    <t>FY4WI-JP0RF-JMJIR</t>
  </si>
  <si>
    <t>JE8E3-GD6E8-WBVFH</t>
  </si>
  <si>
    <t>JBXMC-EKLB9-EA9D5</t>
  </si>
  <si>
    <t>QZQ6V-TW544-5B8DK</t>
  </si>
  <si>
    <t>J20GL-FI2Y8-G2MAG</t>
  </si>
  <si>
    <t>JKPZC-YM057-6IN5M</t>
  </si>
  <si>
    <t>C79X4-ZE8PY-E7AGT</t>
  </si>
  <si>
    <t>VKBNQ-N62XQ-34T47</t>
  </si>
  <si>
    <t>52F77-HRK9T-PYX3E</t>
  </si>
  <si>
    <t>T364I-XXPAV-BVP25</t>
  </si>
  <si>
    <t>IVBQ2-K5M4H-LE5JT</t>
  </si>
  <si>
    <t>IBZFE-Q55NN-RPM6W</t>
  </si>
  <si>
    <t>G564K-HD227-E663F</t>
  </si>
  <si>
    <t>RWFRB-Q02Z9-Y75DF</t>
  </si>
  <si>
    <t>0V6DR-498NI-B9XE2</t>
  </si>
  <si>
    <t>B24Q4-CL60Y-H33EX</t>
  </si>
  <si>
    <t>Street Fighter 6</t>
  </si>
  <si>
    <t>WXK27-6965Y-0YVI7</t>
  </si>
  <si>
    <t>9VJPR-HIDAH-GLCNT</t>
  </si>
  <si>
    <t>AELX0-WGM2G-7YYLX</t>
  </si>
  <si>
    <t>H7V5B-29G83-CNKL7</t>
  </si>
  <si>
    <t>EEGRX-GLB4T-332HI</t>
  </si>
  <si>
    <t>RJ6CJ-E36EF-TP2QE</t>
  </si>
  <si>
    <t>8DZ74-H0NJE-PI7AN</t>
  </si>
  <si>
    <t>YE0ID-5N6ZN-ZWGCV</t>
  </si>
  <si>
    <t>CNDRN-F2Z0C-L6HER</t>
  </si>
  <si>
    <t>F3LMK-MGREV-2BL3A</t>
  </si>
  <si>
    <t>4DFVL-CM7W8-TR3X3</t>
  </si>
  <si>
    <t>5DZEE-5QKCT-CDD2M</t>
  </si>
  <si>
    <t>B6D0K-IXYMC-VNEQ7</t>
  </si>
  <si>
    <t>3EKE6-JH9CP-FG9PK</t>
  </si>
  <si>
    <t>2KDT5-HWH5Z-LH6JN</t>
  </si>
  <si>
    <t>6F83W-7E557-WHQAJ</t>
  </si>
  <si>
    <t>TMZJ5-K75Y7-8VYGY</t>
  </si>
  <si>
    <t>N84RW-HTK4D-QKXWT</t>
  </si>
  <si>
    <t>80LCK-6EBZQ-Y6ITP</t>
  </si>
  <si>
    <t>JY5HJ-WBTPT-GCZBB</t>
  </si>
  <si>
    <t>0NNYN-BJCJD-M67KZ</t>
  </si>
  <si>
    <t>MVF3X-TAQLH-CQ2V6</t>
  </si>
  <si>
    <t>5M7L6-LYLGC-8A6RP</t>
  </si>
  <si>
    <t>0MPB8-R2P8N-EGJK4</t>
  </si>
  <si>
    <t>IW8Q9-Q6278-YVE8E</t>
  </si>
  <si>
    <t>VJXXK-BTH0I-8MVG4</t>
  </si>
  <si>
    <t>7LQCI-NKKFH-GE063</t>
  </si>
  <si>
    <t>6EEQ0-5BKRV-7H6XB</t>
  </si>
  <si>
    <t>EDQCQ-7XY0C-ME5HB</t>
  </si>
  <si>
    <t>56L66-CE540-3MQQ3</t>
  </si>
  <si>
    <t>20KTR-CG955-J3QPT</t>
  </si>
  <si>
    <t>TJZY3-TG5Y4-I3GI9</t>
  </si>
  <si>
    <t>XWGWF-42P6B-2N3D7</t>
  </si>
  <si>
    <t>CD9A5-G8TKB-NQI08</t>
  </si>
  <si>
    <t>ATNPI-XJBGI-3CPPD</t>
  </si>
  <si>
    <t>FENCF-PGGD9-MR276</t>
  </si>
  <si>
    <t>TQ95A-NXQQJ-K84Q5</t>
  </si>
  <si>
    <t>4MWKC-YD5J7-PYYXM</t>
  </si>
  <si>
    <t>5CCF6-9PR2L-ZXTJL</t>
  </si>
  <si>
    <t>FGK7G-C7MZP-980NX</t>
  </si>
  <si>
    <t>IGQLA-ENVPF-Z6PM4</t>
  </si>
  <si>
    <t>XK82H-EDBNH-YMVEA</t>
  </si>
  <si>
    <t>HAGXN-206LK-ZY97I</t>
  </si>
  <si>
    <t>388VT-CQRQM-PI8EY</t>
  </si>
  <si>
    <t>E73GW-HJKF4-PB43Y</t>
  </si>
  <si>
    <t>ZNQJC-D6YNJ-FZZKQ</t>
  </si>
  <si>
    <t>MLTKT-JP8PX-JK8IK</t>
  </si>
  <si>
    <t>XDY5J-G5ENZ-TLT2Q</t>
  </si>
  <si>
    <t>XZ0I3-63DHY-7EKQE</t>
  </si>
  <si>
    <t>XTR75-P8EHF-5LQNH</t>
  </si>
  <si>
    <t>A967E-NF2RA-JWVZ8</t>
  </si>
  <si>
    <t>XX3FL-FHBVN-GBYDH</t>
  </si>
  <si>
    <t>4RHRE-ZCFLQ-HIH8Z</t>
  </si>
  <si>
    <t>4M70J-FJQYB-J7P3H</t>
  </si>
  <si>
    <t>3RPDR-RJJ8F-H9G4T</t>
  </si>
  <si>
    <t>AQC2Z-JXAJ3-93CPR</t>
  </si>
  <si>
    <t>HB57X-MW9L8-YK52Z</t>
  </si>
  <si>
    <t>HDCT2-G2J0G-Q7QR9</t>
  </si>
  <si>
    <t>XKHQ6-JBGVW-HERFV</t>
  </si>
  <si>
    <t>84H5L-T82H5-XMT6N</t>
  </si>
  <si>
    <t>905ZT-E7MHX-YQVDM</t>
  </si>
  <si>
    <t>0EFPR-NYTR8-KKGKK</t>
  </si>
  <si>
    <t>RKQ2R-I2VG9-LCD9R</t>
  </si>
  <si>
    <t>BZT3J-3JHNR-MIAMQ</t>
  </si>
  <si>
    <t>Aliens: Dark Descent</t>
  </si>
  <si>
    <t>4VJBF-Q0BRM-98IEE</t>
  </si>
  <si>
    <t>NP87B-7K442-23MHP</t>
  </si>
  <si>
    <t>W45K7-P4MB0-C5DEM</t>
  </si>
  <si>
    <t>NX97P-B9BWH-FYKEM</t>
  </si>
  <si>
    <t>YEKAX-P7YDW-58B5L</t>
  </si>
  <si>
    <t>V35HJ-DKVW7-I5QYP</t>
  </si>
  <si>
    <t>2QYVI-08YXI-0C760</t>
  </si>
  <si>
    <t>00HNB-ATCEY-JTVWY</t>
  </si>
  <si>
    <t>W4CTB-6HHP3-9AWC5</t>
  </si>
  <si>
    <t>YI37M-N9JWD-XLH9N</t>
  </si>
  <si>
    <t>HMK89-RHNVR-X5R4D</t>
  </si>
  <si>
    <t>YX5EP-VF0X7-A726Q</t>
  </si>
  <si>
    <t>KZ9JT-0LCQW-IYNDX</t>
  </si>
  <si>
    <t>8P3GE-BTCWZ-IPLZT</t>
  </si>
  <si>
    <t>FLKFM-WQ7Z7-5BWZ8</t>
  </si>
  <si>
    <t>GKVQV-XCGH0-FZ86M</t>
  </si>
  <si>
    <t>TJHDM-FLLA0-DFGJM</t>
  </si>
  <si>
    <t>L7DE9-G64J7-J7DVB</t>
  </si>
  <si>
    <t>B6EWB-IK3CY-Z7BB0</t>
  </si>
  <si>
    <t>VE8VV-JLMZL-TP45V</t>
  </si>
  <si>
    <t>LWD0V-TINKB-ID9DC</t>
  </si>
  <si>
    <t>LN0VZ-T50N8-VXIYV</t>
  </si>
  <si>
    <t>T5GN9-0Z2AA-ADBLB</t>
  </si>
  <si>
    <t>DQI0Y-NBA0Y-VHRIH</t>
  </si>
  <si>
    <t>RKT08-6TMF4-IHAZ0</t>
  </si>
  <si>
    <t>TNZYG-EQMBH-LHGP6</t>
  </si>
  <si>
    <t>F7RK2-BXIQK-7IAGI</t>
  </si>
  <si>
    <t>VKM5C-VQ60E-CVXCW</t>
  </si>
  <si>
    <t>AXA27-J566I-8ZJJC</t>
  </si>
  <si>
    <t>I0DMP-EL9C2-BMJFX</t>
  </si>
  <si>
    <t>AP063-ITNXJ-2H66V</t>
  </si>
  <si>
    <t>P0ZDF-Q6MYW-Y936D</t>
  </si>
  <si>
    <t>6XEMC-LTJR7-WLTXK</t>
  </si>
  <si>
    <t>EIHFV-9G7L7-G3TNV</t>
  </si>
  <si>
    <t>9RX50-5FAQ3-BVHM9</t>
  </si>
  <si>
    <t>BBC9W-PDTBZ-L59Z5</t>
  </si>
  <si>
    <t>LDBAZ-YINDD-EN22H</t>
  </si>
  <si>
    <t>N84IE-QIR56-5MA2X</t>
  </si>
  <si>
    <t>PowerWash Simulator EU</t>
  </si>
  <si>
    <t>3K0AE-RAPY9-0Q7F6</t>
  </si>
  <si>
    <t>Last Train Home EU</t>
  </si>
  <si>
    <t>VVGYV-IMP93-8NYTR</t>
  </si>
  <si>
    <t>Wreckfest EU</t>
  </si>
  <si>
    <t>RVH9X-FDEEG-B3C68</t>
  </si>
  <si>
    <t>X69IP-4NLVP-0XVCW</t>
  </si>
  <si>
    <t>DWPCC-BENB8-CNW20</t>
  </si>
  <si>
    <t>H7G6J-2APAM-M7VAH</t>
  </si>
  <si>
    <t>Q9GVD-I5YXD-YJHJ3</t>
  </si>
  <si>
    <t>5PRM4-LHE42-MR72A</t>
  </si>
  <si>
    <t>58C8L-P29ZK-8QCTB</t>
  </si>
  <si>
    <t>DJLN9-DQNMN-MVC9F</t>
  </si>
  <si>
    <t>AYBVH-J8DR3-Z0H27</t>
  </si>
  <si>
    <t>7FN2J-MA0F3-AZLN8</t>
  </si>
  <si>
    <t>PNYK9-CP623-MJMV4</t>
  </si>
  <si>
    <t>J42KI-Z0QD3-82EV8</t>
  </si>
  <si>
    <t>W3A03-I4TGQ-EZ3X4</t>
  </si>
  <si>
    <t>L9EQH-WCF7G-0MF3N</t>
  </si>
  <si>
    <t>0CZRY-A8G5A-7LNI7</t>
  </si>
  <si>
    <t>XLNJZ-04BNW-MB9CD</t>
  </si>
  <si>
    <t>DG9Z9-MCQIP-NJ6N7</t>
  </si>
  <si>
    <t>FRBQI-JX9II-485J7</t>
  </si>
  <si>
    <t>KX047-0VWD6-F87DB</t>
  </si>
  <si>
    <t>2X9T6-2R7ND-5F258</t>
  </si>
  <si>
    <t>86FCZ-28CPV-27Z9D</t>
  </si>
  <si>
    <t>X4ZGY-6A6FE-HRD48</t>
  </si>
  <si>
    <t>J9GYI-LCQA2-FNYCQ</t>
  </si>
  <si>
    <t>V5QXR-PPW3G-E7QKX</t>
  </si>
  <si>
    <t>5ZVLH-XKEM7-E2QKV</t>
  </si>
  <si>
    <t>QW0KV-5P9PD-27Y8W</t>
  </si>
  <si>
    <t>6JWDD-WYW43-AB30F</t>
  </si>
  <si>
    <t>H070V-0LE2K-F6F20</t>
  </si>
  <si>
    <t>PXH25-8HE9A-5ZXFK</t>
  </si>
  <si>
    <t>AF8ZC-DJP4R-K4GT7</t>
  </si>
  <si>
    <t>QLAFA-070MW-RYFV3</t>
  </si>
  <si>
    <t>RL5I5-ZRMLY-WZ5C4</t>
  </si>
  <si>
    <t>M62G0-7KZDK-VN72Z</t>
  </si>
  <si>
    <t>AIBKH-5NNH6-LELFT</t>
  </si>
  <si>
    <t>VKMLK-5CZ39-J2AQH</t>
  </si>
  <si>
    <t>JPRZV-MWF86-389E3</t>
  </si>
  <si>
    <t>2H430-FXN3M-R3PTF</t>
  </si>
  <si>
    <t>3P8IV-RVFXE-6LDNW</t>
  </si>
  <si>
    <t>9RIKX-5EFGT-EP6IX</t>
  </si>
  <si>
    <t>PHWCM-D4KKK-PTTMA</t>
  </si>
  <si>
    <t>LKFXT-8V0LH-XFKW9</t>
  </si>
  <si>
    <t>5440L-GT062-VZ8VG</t>
  </si>
  <si>
    <t>ARVD3-FYRXZ-PIBRR</t>
  </si>
  <si>
    <t>88K3X-9G6QM-MN0D6</t>
  </si>
  <si>
    <t>V974X-R68NI-I3P9F</t>
  </si>
  <si>
    <t>F6DJT-T8WC8-9H3RA</t>
  </si>
  <si>
    <t>HKLD2-WMQ6Y-PQNZD</t>
  </si>
  <si>
    <t>YLT7E-4JEZK-NNP8Y</t>
  </si>
  <si>
    <t>K7427-JXCC4-R4R8I</t>
  </si>
  <si>
    <t>6XQ7P-EVE08-JHPAC</t>
  </si>
  <si>
    <t>F6CM9-H76HG-34LTE</t>
  </si>
  <si>
    <t>TNQQV-7ZHD7-7J3M9</t>
  </si>
  <si>
    <t>7FVMT-X2427-MRWRR</t>
  </si>
  <si>
    <t>E7W39-679M3-5W2MN</t>
  </si>
  <si>
    <t>CHY5P-2X3PV-3D7X0</t>
  </si>
  <si>
    <t>B89CZ-FMDYJ-IZWXR</t>
  </si>
  <si>
    <t>8C5M0-WL55H-FNLPJ</t>
  </si>
  <si>
    <t>Telepath Tactics Liberated</t>
  </si>
  <si>
    <t>NG7TZ-KBW7V-49AXF</t>
  </si>
  <si>
    <t>The Elder Scrolls Online Standard Edition</t>
  </si>
  <si>
    <t>MDCD5T3TCXEF3YR5KRFM</t>
  </si>
  <si>
    <t>ID84K-0V9ZH-RDAPL</t>
  </si>
  <si>
    <t>Fabledom</t>
  </si>
  <si>
    <t>QW7VL-FE5XX-B9G8Z</t>
  </si>
  <si>
    <t>INDIKA PC</t>
  </si>
  <si>
    <t>DGQAI-C93EA-BZ0GC</t>
  </si>
  <si>
    <t>6J7K4-BVDZV-GXJN0</t>
  </si>
  <si>
    <t>E63EF-C476A-6F2LQ</t>
  </si>
  <si>
    <t>KMQI0-WVR4N-5D8TH</t>
  </si>
  <si>
    <t>Penny’s Big Breakaway EU</t>
  </si>
  <si>
    <t>33DN7-669R7-X60MT</t>
  </si>
  <si>
    <t>HTZE8-IZ8H4-0JKTK</t>
  </si>
  <si>
    <t>63XXX-QLMHG-FNHLT</t>
  </si>
  <si>
    <t>NC3LW-MTYPW-FK5WB</t>
  </si>
  <si>
    <t>MAHAM-X6JKB-93HE4</t>
  </si>
  <si>
    <t>FJXPC-CY26F-EXRL0</t>
  </si>
  <si>
    <t>5BT5G-TLCHI-VE9QV</t>
  </si>
  <si>
    <t>V7FAD-H2IGV-56MND</t>
  </si>
  <si>
    <t>T84AP-JH9YE-XFP5A</t>
  </si>
  <si>
    <t>CA53J-NEXDC-250A7</t>
  </si>
  <si>
    <t>MP7I3-F9Y2H-YWLCX</t>
  </si>
  <si>
    <t>E0NI6-V8M46-N6YI7</t>
  </si>
  <si>
    <t>House Flipper VR EU</t>
  </si>
  <si>
    <t>AWT46-T8AP4-RG0ZX</t>
  </si>
  <si>
    <t>6HR5R-2DMJM-8A0VW</t>
  </si>
  <si>
    <t>YQ36W-2KQKH-VL303</t>
  </si>
  <si>
    <t>6NHY6-NJJK0-YBTMC</t>
  </si>
  <si>
    <t>5ZKL8-7XVM3-54JD2</t>
  </si>
  <si>
    <t>Worms Rumble</t>
  </si>
  <si>
    <t>TQ40G-P0DVL-YM7PX</t>
  </si>
  <si>
    <t>2C9LY-TR6TQ-N2N4M</t>
  </si>
  <si>
    <t>DOOM Eternal Deluxe Edition</t>
  </si>
  <si>
    <t>PG2FI-2WW2N-CMCBA</t>
  </si>
  <si>
    <t>Holdfast Nations at War: Special Edition</t>
  </si>
  <si>
    <t>B3YJT-5CC6Z-RXKVN</t>
  </si>
  <si>
    <t>7RYC0-57CYN-63GXH</t>
  </si>
  <si>
    <t>8XJD7-2P8AH-K357L</t>
  </si>
  <si>
    <t>L9JZ5-VE5N6-W2ILP</t>
  </si>
  <si>
    <t>NEQ5X-2QAQ8-5G70L</t>
  </si>
  <si>
    <t>RVVCQ-BVX9Q-XHPK7</t>
  </si>
  <si>
    <t>KN95H-6HL5L-27I08</t>
  </si>
  <si>
    <t>XBTY5-GRBA7-QMIDB</t>
  </si>
  <si>
    <t>EA2GM-IYBTH-XBKTP</t>
  </si>
  <si>
    <t>6TQZ7-97FLH-Y0IKL</t>
  </si>
  <si>
    <t>XWK8N-BYNLC-EFPX2</t>
  </si>
  <si>
    <t>5FW73-CTK9V-A9D5H</t>
  </si>
  <si>
    <t>PD93K-ZNLG6-BT82L</t>
  </si>
  <si>
    <t>BJH6K-76ZMY-H54M3</t>
  </si>
  <si>
    <t>76LFW-N57BQ-3ACQ6</t>
  </si>
  <si>
    <t>ZG0IJ-XY8DY-AIHI9</t>
  </si>
  <si>
    <t>09EB5-GD6GA-EEEE7</t>
  </si>
  <si>
    <t>TI28T-JGVTD-IEDM6</t>
  </si>
  <si>
    <t>BB3A0-62AJG-VPWXV</t>
  </si>
  <si>
    <t>TDWN2-7QHWT-6CJDG</t>
  </si>
  <si>
    <t>BND3B-BX6V3-DL6Y5</t>
  </si>
  <si>
    <t>KEMXP-R3QA0-VPBXI</t>
  </si>
  <si>
    <t>9K7NY-20L5R-IG3VQ</t>
  </si>
  <si>
    <t>L8XGZ-Q953A-YBWWD</t>
  </si>
  <si>
    <t>MZPHT-IKYM3-Y6M9P</t>
  </si>
  <si>
    <t>HHX2J-27PHB-V6YG0</t>
  </si>
  <si>
    <t>F437E-5LCXM-99W7N</t>
  </si>
  <si>
    <t>GFQZY-E2633-49FN7</t>
  </si>
  <si>
    <t>2J0JI-FRNKG-4F0YV</t>
  </si>
  <si>
    <t>VCICX-JG0LW-PL9BV</t>
  </si>
  <si>
    <t>7Y5XK-EQ96M-JM93N</t>
  </si>
  <si>
    <t>HT6WZ-I2TRH-WVBMV</t>
  </si>
  <si>
    <t>7A3G7-2MIXA-QM8JY</t>
  </si>
  <si>
    <t>NB4HE-XA54N-JJT06</t>
  </si>
  <si>
    <t>7BN32-FB3BT-M7F5K</t>
  </si>
  <si>
    <t>Palworld Steam Altergift</t>
  </si>
  <si>
    <t>link</t>
  </si>
  <si>
    <t>WX4KM-P4GRL-0D8LR</t>
  </si>
  <si>
    <t>VIKG2-58VDK-D67MA</t>
  </si>
  <si>
    <t>A60NT-PBLDJ-7YXZ8</t>
  </si>
  <si>
    <t>Q0C6D-KYF07-6AN5M</t>
  </si>
  <si>
    <t>WV7WF-XZHHH-N90ME</t>
  </si>
  <si>
    <t>Imperator: Rome</t>
  </si>
  <si>
    <t>B6N2K-FGTFV-30CWN</t>
  </si>
  <si>
    <t>9XIRI-9ELN5-W5DGG</t>
  </si>
  <si>
    <t>7YHL8-CQ45X-2P9DQ</t>
  </si>
  <si>
    <t>8Q3WE-K4C8G-HW9BW</t>
  </si>
  <si>
    <t>TopSpin 2K25 EU</t>
  </si>
  <si>
    <t>V90XC-NJWJC-634L9</t>
  </si>
  <si>
    <t>Tainted Grail: The Fall of Avalon</t>
  </si>
  <si>
    <t>TFNJM-TJMAD-Z5K60</t>
  </si>
  <si>
    <t>98J25-XTBWI-DNY9M</t>
  </si>
  <si>
    <t>F3XDM-LQE7J-ERXJR</t>
  </si>
  <si>
    <t>K44PJ-XWDEL-FMRPW</t>
  </si>
  <si>
    <t>Horizon Forbidden West: Complete Edition EU</t>
  </si>
  <si>
    <t>V0LYG-VV26G-RLK48</t>
  </si>
  <si>
    <t>6XIJ6-CCGXE-X9N76</t>
  </si>
  <si>
    <t>GHE4H-RBN7C-T2F5B</t>
  </si>
  <si>
    <t>GHE4C-DDLQG-A4YAE</t>
  </si>
  <si>
    <t>Lobotomy Corporation: Monster Management Simulator</t>
  </si>
  <si>
    <t>5BLHV-D40VL-LQMTL</t>
  </si>
  <si>
    <t>4VRWZ-TMT0G-4QQ92</t>
  </si>
  <si>
    <t>LP78K-NX2NH-DCTR2</t>
  </si>
  <si>
    <t>J9QTX-49GLX-HYAFN</t>
  </si>
  <si>
    <t>RHRW3-96XDH-3DNZD</t>
  </si>
  <si>
    <t>XVJKQ-CLNMN-GBILG</t>
  </si>
  <si>
    <t>NVJ86-4PP3R-EK2WT</t>
  </si>
  <si>
    <t>HR08G-MQCTH-L8C0L</t>
  </si>
  <si>
    <t>G2FQ4-BQ64B-8VRPC</t>
  </si>
  <si>
    <t>TLCPX-YJ87I-0R7KY</t>
  </si>
  <si>
    <t>6FDT7-T0ICQ-I02JQ</t>
  </si>
  <si>
    <t>WZLM0-KVEPG-3ZHIG</t>
  </si>
  <si>
    <t>img maybe duplicate</t>
  </si>
  <si>
    <t>Elden Ring EU</t>
  </si>
  <si>
    <t>ZGT9A-9LCNI-8733P</t>
  </si>
  <si>
    <t>3VQQZ-F4T8H-IM7MX</t>
  </si>
  <si>
    <t>9L2XD-AE8BV-4M2DV</t>
  </si>
  <si>
    <t>DNDD3-RKY3E-LD5BR</t>
  </si>
  <si>
    <t>50WH5-BLHFC-R3XAY</t>
  </si>
  <si>
    <t>EVK9A-LK5FY-G95TY</t>
  </si>
  <si>
    <t>WI5PF-RP8GA-9ZCEQ</t>
  </si>
  <si>
    <t>7Z822-D9I3W-3RC62</t>
  </si>
  <si>
    <t>HTQL2-NK4T4-L5WV7</t>
  </si>
  <si>
    <t>HITMAN 2</t>
  </si>
  <si>
    <t>QEKT6-AXB9L-D38P2</t>
  </si>
  <si>
    <t>FCN7L-LMZQK-QPWJX</t>
  </si>
  <si>
    <t>TQFRR-WTMAL-Q2DAT</t>
  </si>
  <si>
    <t>PMHZ9-V4J08-TT486</t>
  </si>
  <si>
    <t>EJZ0B-Q9MB9-BRRFM</t>
  </si>
  <si>
    <t>L5FPK-G6ADV-PKXXH</t>
  </si>
  <si>
    <t>DIGGB-2V4LI-CC4GV</t>
  </si>
  <si>
    <t>X384F-2RP7W-ZE8J3</t>
  </si>
  <si>
    <t>BN47W-TDL67-I4JW4</t>
  </si>
  <si>
    <t>KI7KT-TBKJK-T896Q</t>
  </si>
  <si>
    <t>3569P-B4GHM-9DP2P</t>
  </si>
  <si>
    <t>3QYE4-BLKE2-40G89</t>
  </si>
  <si>
    <t>72CV4-H7E2W-9LG60</t>
  </si>
  <si>
    <t>LHJW3-ER7AH-CEMGX</t>
  </si>
  <si>
    <t>F7XKP-8ATK0-KD6T8</t>
  </si>
  <si>
    <t>H45ZZ-6ZEY3-FLD3V</t>
  </si>
  <si>
    <t>YWEKY-GDTAF-KVTR4</t>
  </si>
  <si>
    <t>295RE-04XTR-HFA5K</t>
  </si>
  <si>
    <t>BD78I-IRLKX-4XYZD</t>
  </si>
  <si>
    <t>6N6WG-2CTW5-8KIRP</t>
  </si>
  <si>
    <t>0TA03-NRDXH-IFDP0</t>
  </si>
  <si>
    <t>Q5A23-FIXBZ-CVGYH</t>
  </si>
  <si>
    <t>ICI50-HMGBG-JH2R8</t>
  </si>
  <si>
    <t>J7Y3Y-2W97E-QDRAR</t>
  </si>
  <si>
    <t>Dungeons 4 Deluxe Edition</t>
  </si>
  <si>
    <t>WR8MZ-Q6W4A-Z7X69</t>
  </si>
  <si>
    <t>TTWDG-HDITF-GZL5Q</t>
  </si>
  <si>
    <t>P0FW4-2HBYI-EFX45</t>
  </si>
  <si>
    <t>0AX6R-82JD2-VTKKH</t>
  </si>
  <si>
    <t>JEA8X-JMLWN-H2KIY</t>
  </si>
  <si>
    <t>C9FFR-V24DH-4K95E</t>
  </si>
  <si>
    <t>M0DWF-C66RF-9XWIL</t>
  </si>
  <si>
    <t>AC767-3PHAF-ZEGRF</t>
  </si>
  <si>
    <t>BDJYI-T557L-M8ITJ</t>
  </si>
  <si>
    <t>KF9BN-LRPR5-IZ8NP</t>
  </si>
  <si>
    <t>F7DFX-MZFEA-QBAIX</t>
  </si>
  <si>
    <t>H2EBW-F4XQ0-ZHHI3</t>
  </si>
  <si>
    <t>TZLT5-JVAEH-KYQ27</t>
  </si>
  <si>
    <t>0MCDK-KY8KV-53AV0</t>
  </si>
  <si>
    <t>66RK9-8PJKZ-P9XBI</t>
  </si>
  <si>
    <t>IQLKM-PWGNH-9XG6B</t>
  </si>
  <si>
    <t>247KL-Z855E-VINFD</t>
  </si>
  <si>
    <t>F9WRK-0CYY5-30AAI</t>
  </si>
  <si>
    <t>3NZDK-8FX5J-AV964</t>
  </si>
  <si>
    <t>2IYZ6-RJCH0-RX4NJ</t>
  </si>
  <si>
    <t>HCQ6T-NXC5P-MAZYR</t>
  </si>
  <si>
    <t>WPBRM-IPLZI-YLXT0</t>
  </si>
  <si>
    <t>8EKWH-6PK26-6XLBD</t>
  </si>
  <si>
    <t>BJLL4-TCGDZ-QQEF5</t>
  </si>
  <si>
    <t>P8YPH-HMA55-D54EH</t>
  </si>
  <si>
    <t>Soulmask</t>
  </si>
  <si>
    <t>55GAT-2I724-KI7J8</t>
  </si>
  <si>
    <t>R9DFB-VAJ63-DERDE</t>
  </si>
  <si>
    <t>DBMWI-FMC6X-596AR</t>
  </si>
  <si>
    <t>40G9E-VZFQG-NVW9Z</t>
  </si>
  <si>
    <t>JWMLP-A3PD8-I0TLV</t>
  </si>
  <si>
    <t>5GTKR-REZDQ-EBAI0</t>
  </si>
  <si>
    <t>5E04W-XV899-ZBC7T</t>
  </si>
  <si>
    <t>5775B-4I6FR-G7J7L</t>
  </si>
  <si>
    <t>8VCGM-5CLFT-6JA7N</t>
  </si>
  <si>
    <t>FJTF9-63C0B-A3M2N</t>
  </si>
  <si>
    <t>ZFKX7-77RR2-RMXYL</t>
  </si>
  <si>
    <t>L6HNA-HMN43-KIJR0</t>
  </si>
  <si>
    <t>Dishonored: Complete Collection</t>
  </si>
  <si>
    <t>QFW6Y-VQPQN-FINIE</t>
  </si>
  <si>
    <t>D8T68-DMA9G-R2AZ0</t>
  </si>
  <si>
    <t>ASKA PC</t>
  </si>
  <si>
    <t>3D9PB-QH0KC-PXALM</t>
  </si>
  <si>
    <t>42ZQX-HTCIK-MG6WE</t>
  </si>
  <si>
    <t>A3IRH-4VTMQ-ZJVZK</t>
  </si>
  <si>
    <t>QJ4JA-C90HG-BZE2G</t>
  </si>
  <si>
    <t>8B34D-GB7TE-PBMP2</t>
  </si>
  <si>
    <t>Republic of Pirates PC</t>
  </si>
  <si>
    <t>2V0L7-828NE-6QCXY</t>
  </si>
  <si>
    <t>5DG4F-D7J58-7AC5X</t>
  </si>
  <si>
    <t>BJL6M-E55PE-ZV0KC</t>
  </si>
  <si>
    <t>DM2B8-HHGZC-JVYYL</t>
  </si>
  <si>
    <t>PR2F8-7WGY6-6XML7</t>
  </si>
  <si>
    <t>5CEVK-TPWR4-LRITG</t>
  </si>
  <si>
    <t>R0383-4J69C-PR6KI</t>
  </si>
  <si>
    <t>6V6EQ-ZYPAX-5DDX8</t>
  </si>
  <si>
    <t>IRHW7-GIE07-IRF6I</t>
  </si>
  <si>
    <t>5T39W-9ATF0-XVFHI</t>
  </si>
  <si>
    <t>AW5XJ-PNPP8-66QC4</t>
  </si>
  <si>
    <t>WMP34-WRG6A-ZWEA5</t>
  </si>
  <si>
    <t>JCJF4-35XE8-J4PI9</t>
  </si>
  <si>
    <t>B2BHJ-BXLKM-PNV99</t>
  </si>
  <si>
    <t>96RGL-WIKL4-BECJ3</t>
  </si>
  <si>
    <t>T2PR6-EN89A-03IJZ</t>
  </si>
  <si>
    <t>F5MEA-YA5VD-PC30N</t>
  </si>
  <si>
    <t>2BINQ-3L3FY-9YKKP</t>
  </si>
  <si>
    <t>6Q38I-0IJDW-LMG94</t>
  </si>
  <si>
    <t>M9PQ3-XQLEX-6QP6M</t>
  </si>
  <si>
    <t>Gladiator Guild Manager</t>
  </si>
  <si>
    <t>89LDR-45DFY-MDVZZ</t>
  </si>
  <si>
    <t>22Z45-36RKB-BRFXJ</t>
  </si>
  <si>
    <t>MAZP4-M82BW-AXB7L</t>
  </si>
  <si>
    <t>LJZYZ-M7F6V-HT6BY</t>
  </si>
  <si>
    <t>Manor Lords MENA</t>
  </si>
  <si>
    <t>MCENY-78LEN-Q3CKW</t>
  </si>
  <si>
    <t>Manor Lords EU</t>
  </si>
  <si>
    <t>XTLN7-K4RDG-K36TX</t>
  </si>
  <si>
    <t>AXP6R-ELLGK-LTTN5</t>
  </si>
  <si>
    <t>Project Zomboid</t>
  </si>
  <si>
    <t>KZ5V0-45CVZ-656BI</t>
  </si>
  <si>
    <t>6DG85-YWAPD-R72X6</t>
  </si>
  <si>
    <t>P7LKE-08YYC-ZWPWP</t>
  </si>
  <si>
    <t>5NXTR-TNLRL-J0C8A</t>
  </si>
  <si>
    <t>VM6GQ-I3VPW-HMQ9Z</t>
  </si>
  <si>
    <t>Planet Zoo Deluxe Edition EU</t>
  </si>
  <si>
    <t>8CF83-X4DWN-94X6X</t>
  </si>
  <si>
    <t>2RHBD-ERYG0-CG2Y2</t>
  </si>
  <si>
    <t>W77VF-6L0FB-R00J4</t>
  </si>
  <si>
    <t>Y82WT-XH7PN-E47FH</t>
  </si>
  <si>
    <t>WD9D0-8JQLL-DT8ZC</t>
  </si>
  <si>
    <t>8J3IP-PHYMF-MKMAZ</t>
  </si>
  <si>
    <t>CZICC-4D368-V7HZ5</t>
  </si>
  <si>
    <t>I6JHB-3J0FV-2TF6Y</t>
  </si>
  <si>
    <t>2KLEL-930NM-7WKPQ</t>
  </si>
  <si>
    <t>YZDY9-L2EDF-X7279</t>
  </si>
  <si>
    <t>4I8HF-KK8N2-N9R8L</t>
  </si>
  <si>
    <t>P2H2C-6FPRX-502LD</t>
  </si>
  <si>
    <t>NB9QE-FEBRP-36C9R</t>
  </si>
  <si>
    <t>0T2A8-V9RQD-H7B6R</t>
  </si>
  <si>
    <t>BNNJD-HRGT7-BJHYN</t>
  </si>
  <si>
    <t>AD29H-RX42L-LG26I</t>
  </si>
  <si>
    <t>29JQC-M9RH8-DZVNM</t>
  </si>
  <si>
    <t>KXEGN-XPVRW-A4IPR</t>
  </si>
  <si>
    <t>EGLRG-PIMV7-K7BKZ</t>
  </si>
  <si>
    <t>IKFPX-G77A8-BGAJG</t>
  </si>
  <si>
    <t>9X3PM-3WWXB-3KZD9</t>
  </si>
  <si>
    <t>Nightingale</t>
  </si>
  <si>
    <t>FVF97-HJQRP-W9NMP</t>
  </si>
  <si>
    <t>KK4Z3-JMQ3T-6TQYB</t>
  </si>
  <si>
    <t>Until Then PC</t>
  </si>
  <si>
    <t>2BXWL-CTA6E-83T5C</t>
  </si>
  <si>
    <t>MM5F6-9H4GC-P243P</t>
  </si>
  <si>
    <t>7FT2E-QLZQB-GVW4K</t>
  </si>
  <si>
    <t>B0JDP-5ANAE-ABXMW</t>
  </si>
  <si>
    <t>EA SPORTS FC 24</t>
  </si>
  <si>
    <t>L3AD0-GINPK-GF9EC</t>
  </si>
  <si>
    <t>XY4VP-77LJW-WTKFH</t>
  </si>
  <si>
    <t>PHJZB-C8QTN-TZ8F9</t>
  </si>
  <si>
    <t>Drug Dealer Simulator 2 PC</t>
  </si>
  <si>
    <t>MQTJC-PQ7RD-EHRR8</t>
  </si>
  <si>
    <t>VFGY2-JATQJ-WXCM9</t>
  </si>
  <si>
    <t>ZIWEI-X7CNH-I8BTV</t>
  </si>
  <si>
    <t>EGHA5-MHYY2-9NXA0</t>
  </si>
  <si>
    <t>3CE8L-D3AX9-XWRYW</t>
  </si>
  <si>
    <t>30HFY-A07VN-ICPL0</t>
  </si>
  <si>
    <t>GAY4Q-GFP6R-7MB5F</t>
  </si>
  <si>
    <t>407CZ-XXC7G-9MDP3</t>
  </si>
  <si>
    <t>00EF0-LFA30-3GV2B</t>
  </si>
  <si>
    <t>CPHLA-4ZRF9-42TVK</t>
  </si>
  <si>
    <t>Z6595-5HE0A-QKF0V</t>
  </si>
  <si>
    <t>8IV6Y-ZL5MV-YCBQI</t>
  </si>
  <si>
    <t>Outward Definitive Edition EU</t>
  </si>
  <si>
    <t>TK3HW-2D5JH-2V5EE</t>
  </si>
  <si>
    <t>V6V0H-GLMLE-P0IFC</t>
  </si>
  <si>
    <t>XYAD8-34BF6-9FEJJ</t>
  </si>
  <si>
    <t>Soulmask PC</t>
  </si>
  <si>
    <t>2LAMB-NCAT0-FT7PZ</t>
  </si>
  <si>
    <t>0F4FA-VRZTI-T3RN9</t>
  </si>
  <si>
    <t>CQIEE-Y77ZY-V3GI4</t>
  </si>
  <si>
    <t>Battlefield 2042</t>
  </si>
  <si>
    <t>9EEFH-H3ZPE-MY7H0</t>
  </si>
  <si>
    <t>CB8CC-MC82M-6XFNY</t>
  </si>
  <si>
    <t>DayZ PC</t>
  </si>
  <si>
    <t>KPW7G-AXB8C-WJEE7</t>
  </si>
  <si>
    <t>5YM5P-A99IW-4ZJMN</t>
  </si>
  <si>
    <t>ME7VF-ZLH8C-FPBWY</t>
  </si>
  <si>
    <t>VFEPA-6C4V8-6LZ0E</t>
  </si>
  <si>
    <t>XV2N3-F3X07-L3JAE</t>
  </si>
  <si>
    <t>3GFHY-DGG27-N0MH2</t>
  </si>
  <si>
    <t>MXAWP-M2BI8-85L2C</t>
  </si>
  <si>
    <t>Bō: Path of the Teal Lotus PC</t>
  </si>
  <si>
    <t>3N9GX-BV4K7-A0ZQJ</t>
  </si>
  <si>
    <t>95V9K-IPTFN-JDLLK</t>
  </si>
  <si>
    <t>9IWN7-AJ7ZQ-5FHJP</t>
  </si>
  <si>
    <t>KHFQP-6NTAX-L0WY6</t>
  </si>
  <si>
    <t>XPEL3-T8Y62-CGFXW</t>
  </si>
  <si>
    <t>Flintlock: The Siege of Dawn PC</t>
  </si>
  <si>
    <t>ACXGR-65BGV-H6FNC</t>
  </si>
  <si>
    <t>N8A89-5J7BP-JQYFM</t>
  </si>
  <si>
    <t>M4N7Q-KGWQL-WQXZ3</t>
  </si>
  <si>
    <t>CE5FG-AFG2Y-29F06</t>
  </si>
  <si>
    <t>BZXX2-7MC9N-6V8VI</t>
  </si>
  <si>
    <t>Gray Zone Warfare PC</t>
  </si>
  <si>
    <t>7BX5P-VGG6T-XMTEE</t>
  </si>
  <si>
    <t>Cataclismo PC</t>
  </si>
  <si>
    <t>V3J4K-RXJM4-WKA49</t>
  </si>
  <si>
    <t>Deathbound PC</t>
  </si>
  <si>
    <t>RVLMP-0Q7I6-LTQ72</t>
  </si>
  <si>
    <t>YAKPV-CM4B3-NKE92</t>
  </si>
  <si>
    <t>LFZA8-TJD69-C9RC8</t>
  </si>
  <si>
    <t>CYE3Q-HVD8Y-4XBZW</t>
  </si>
  <si>
    <t>8GM00-DWD74-G33QV</t>
  </si>
  <si>
    <t>Squirrel with a Gun RoW PC</t>
  </si>
  <si>
    <t>KQ2GP-GK7QM-IRY9Q</t>
  </si>
  <si>
    <t>ZCGPK-Q8ZVB-0CD2J</t>
  </si>
  <si>
    <t>Red Bow</t>
  </si>
  <si>
    <t>V9477-92D5G-KCZ2Z</t>
  </si>
  <si>
    <t>IPYIL-7WP3R-TJT76</t>
  </si>
  <si>
    <t>XZ6YG-T3EVL-W6FKK</t>
  </si>
  <si>
    <t>YACCV-GEFMB-WVHJ8</t>
  </si>
  <si>
    <t>2WNBI-K2E73-Q2BGW</t>
  </si>
  <si>
    <t>VFITN-NG6YK-TWJK2</t>
  </si>
  <si>
    <t>F4X70-V47ZK-IP3WL</t>
  </si>
  <si>
    <t>R2VIH-QB6WE-D05HP</t>
  </si>
  <si>
    <t>A6003-XEGB6-AT6NF</t>
  </si>
  <si>
    <t>5ZD64-DR4FI-JATF8</t>
  </si>
  <si>
    <t>46GYF-V9EX3-PE06I</t>
  </si>
  <si>
    <t>TP2F9-2VLM2-HQPJN</t>
  </si>
  <si>
    <t>63Z33-MLL5R-6RG5V</t>
  </si>
  <si>
    <t>8XWRW-3XYMT-WCAWW</t>
  </si>
  <si>
    <t>9HM3D-R0L64-96Z0C</t>
  </si>
  <si>
    <t>NMEZJ-ADBJE-FDV73</t>
  </si>
  <si>
    <t>WIF94-YHJJ4-RA4E3</t>
  </si>
  <si>
    <t>E0C2X-90DA6-XX745</t>
  </si>
  <si>
    <t>X9979-DLYZW-X2G3H</t>
  </si>
  <si>
    <t>EZAJE-LTDPF-VFAXT</t>
  </si>
  <si>
    <t>EZAMW-CVEX8-970EA</t>
  </si>
  <si>
    <t>The Elder Scrolls V: Skyrim - Anniversary Upgrade DLC PC</t>
  </si>
  <si>
    <t>D9I5H-N4NKZ-D05I6</t>
  </si>
  <si>
    <t>The Elder Scrolls Online Standard Edition Digital Download</t>
  </si>
  <si>
    <t>LA44JG3AKEWTCN6LG9JH</t>
  </si>
  <si>
    <t>0F90L-FVRGT-KFTVL</t>
  </si>
  <si>
    <t>The Elder Scrolls IV: Oblivion GOTY Edition</t>
  </si>
  <si>
    <t>Q2082-BWW5Q-4ICMZ</t>
  </si>
  <si>
    <t>The Elder Scrolls III Morrowind GOTY</t>
  </si>
  <si>
    <t>35AAT-0E926-TBJCH</t>
  </si>
  <si>
    <t>The Elder Scrolls Adventures: Redguard</t>
  </si>
  <si>
    <t>3GWQC-JJP9C-M2ICT</t>
  </si>
  <si>
    <t>An Elder Scrolls Legend: Battlespire</t>
  </si>
  <si>
    <t>MIM9V-WDW33-54BGE</t>
  </si>
  <si>
    <t>9ZFL9-PCZ56-XN0WL</t>
  </si>
  <si>
    <t>N0FTI-RAELA-DRXV5</t>
  </si>
  <si>
    <t>AJAVY-7Y99J-9VIK0</t>
  </si>
  <si>
    <t>LVE3Y-WLCWH-W2HHY</t>
  </si>
  <si>
    <t>APNVF-EY0Q5-NRYI3</t>
  </si>
  <si>
    <t>Age of Mythology: Retold PC</t>
  </si>
  <si>
    <t>F3ZH0-DE8NJ-09236</t>
  </si>
  <si>
    <t>T444W-ZV2TR-TJ7FQ</t>
  </si>
  <si>
    <t>WNC8C-8BE9R-ZAD3E</t>
  </si>
  <si>
    <t>3AJT0-R3IVP-NZECV</t>
  </si>
  <si>
    <t>JLMCK-KLD6R-E4XB2</t>
  </si>
  <si>
    <t>CVH5W-NXA68-8KH8W</t>
  </si>
  <si>
    <t>QI3CW-PGIWH-ZHXPR</t>
  </si>
  <si>
    <t>35EG6-BPAPK-H8RR3</t>
  </si>
  <si>
    <t>MKCGPPK764567G3364CR</t>
  </si>
  <si>
    <t>LAFCI-QPED6-FYM0J</t>
  </si>
  <si>
    <t>5KK88-W073K-Z5V24</t>
  </si>
  <si>
    <t>5Y7XB-GX6MN-4ICLD</t>
  </si>
  <si>
    <t>K4XFQ-7RV5Z-6QAY8</t>
  </si>
  <si>
    <t>DNAPG-KP0T9-VFDQ3</t>
  </si>
  <si>
    <t>EIRRQ-KZGAH-ZTL4X</t>
  </si>
  <si>
    <t>FG8AY-LRY4G-7NYT5</t>
  </si>
  <si>
    <t>3ZMYL-3WX9I-5GE33</t>
  </si>
  <si>
    <t>3BZ7R-9WE0L-032TN</t>
  </si>
  <si>
    <t>5JBHG-VIXR2-8JD4R</t>
  </si>
  <si>
    <t>Shogun Showdown NA</t>
  </si>
  <si>
    <t>DXH8X-FXWCK-9N323</t>
  </si>
  <si>
    <t>complain in kinguin, change it to NA</t>
  </si>
  <si>
    <t>9J6DW-3P9QR-J3M2D</t>
  </si>
  <si>
    <t>Selfloss PC</t>
  </si>
  <si>
    <t>VPHYF-ICNZG-ZVGIC</t>
  </si>
  <si>
    <t>H6P24-FW27Q-IWD4J</t>
  </si>
  <si>
    <t>YRVTB-VF0H3-BL6M0</t>
  </si>
  <si>
    <t>BWPQV-FK5KG-X96Z0</t>
  </si>
  <si>
    <t>ZELLP-PEXCI-9V39K</t>
  </si>
  <si>
    <t>MLV36-ZXM70-CT4CJ</t>
  </si>
  <si>
    <t>E36DJLXTJRNW4W5WCMYR</t>
  </si>
  <si>
    <t>3T8WP-J86E6-G0XYL</t>
  </si>
  <si>
    <t>2TYHR-LNWQV-AM7LQ</t>
  </si>
  <si>
    <t>6LYFH-5CQWL-GXXE6</t>
  </si>
  <si>
    <t>4ZWFR-C66Q5-X73DJ</t>
  </si>
  <si>
    <t>F3G8E-70BW2-EE6HB</t>
  </si>
  <si>
    <t>Nine Sols</t>
  </si>
  <si>
    <t>WVM7C-GXPX5-6Y0QB</t>
  </si>
  <si>
    <t>PNBP6-TJQ9B-XW9IR</t>
  </si>
  <si>
    <t>GUNDAM BREAKER 4 PC</t>
  </si>
  <si>
    <t>EN7H8-2QCJ9-05PX6</t>
  </si>
  <si>
    <t>2L4F9-ZP7W7-65AKQ</t>
  </si>
  <si>
    <t>Q3VCD-FVIC5-XEZD7</t>
  </si>
  <si>
    <t>TFZRA-ZQ20N-MLBL7</t>
  </si>
  <si>
    <t>ZKID8-RAPMK-0PGB0</t>
  </si>
  <si>
    <t>5DW6P-7XNG8-PVFCB</t>
  </si>
  <si>
    <t>QR900-CZ3JA-MJAWM</t>
  </si>
  <si>
    <t>LKVQV-VWY42-GWFK5</t>
  </si>
  <si>
    <t>ZWBRM-DYLDY-AC4NI</t>
  </si>
  <si>
    <t>EZZPA-NYYB7-3XH3M</t>
  </si>
  <si>
    <t>Drill Core PC</t>
  </si>
  <si>
    <t>IKAKE-5FLPY-DEHPJ</t>
  </si>
  <si>
    <t>ZL994-4HDMT-YCVAV</t>
  </si>
  <si>
    <t>HAR5H-J2RH6-XKIM0</t>
  </si>
  <si>
    <t>I0JE5-GMJA2-4EVIE</t>
  </si>
  <si>
    <t>TNDGI-DVJB7-BIPN8</t>
  </si>
  <si>
    <t>ETBGH-56ZXN-RBN7M</t>
  </si>
  <si>
    <t>WHGVV-8N07Y-YE0NK</t>
  </si>
  <si>
    <t>6Z866-HA5XJ-Y7MQ4</t>
  </si>
  <si>
    <t>PNDG8-8IY5G-IXJZC</t>
  </si>
  <si>
    <t>It Takes Two</t>
  </si>
  <si>
    <t>AAN4Y-FHAL3-HYJDL</t>
  </si>
  <si>
    <t>H9B3I-LRA46-QWVCA</t>
  </si>
  <si>
    <t>J9PWI-I8KRC-4JDFY</t>
  </si>
  <si>
    <t>RG5L7-8D9VZ-JEBKF</t>
  </si>
  <si>
    <t>C9D9L-7LA36-BEA09</t>
  </si>
  <si>
    <t>KYYAA-BJ8DY-LGZTJ</t>
  </si>
  <si>
    <t>XLNHG-9V7IR-JB5TQ</t>
  </si>
  <si>
    <t>Pre-Order</t>
  </si>
  <si>
    <t>2E3Y6-HW0TA-KQIYD</t>
  </si>
  <si>
    <t>PTHNE-WXG02-DRJ3P</t>
  </si>
  <si>
    <t>6XHTH-DFXLW-B52MT</t>
  </si>
  <si>
    <t>WMCFB-44ZNT-YQBPI</t>
  </si>
  <si>
    <t>XK4JT-LP3YY-89TIB</t>
  </si>
  <si>
    <t>Test Drive Unlimited Solar Crown PC</t>
  </si>
  <si>
    <t>E7GGG-PKBHQ-MMR7N</t>
  </si>
  <si>
    <t>0FR3Y-WH8WJ-2PIN8</t>
  </si>
  <si>
    <t>9HG2H-W7BFM-DJLRW</t>
  </si>
  <si>
    <t>M7C6G-J854Q-T33ND</t>
  </si>
  <si>
    <t>87NV6-JVYTJ-RII3R</t>
  </si>
  <si>
    <t>Q53LH-JNRBC-ABZGC</t>
  </si>
  <si>
    <t>R40BA-MDH4K-BE85A</t>
  </si>
  <si>
    <t>TETJW-24J3W-B0HHP</t>
  </si>
  <si>
    <t>GAK3F-XVT86-BW42V</t>
  </si>
  <si>
    <t>ZBAFT-D50MH-EH8G2</t>
  </si>
  <si>
    <t>W0276-455YN-LRGWZ</t>
  </si>
  <si>
    <t>NEJ3C-KGPHE-D3BCJ</t>
  </si>
  <si>
    <t>VLEXT-GC2BM-VIEFL</t>
  </si>
  <si>
    <t>2544Z-I4D0N-0KAZA</t>
  </si>
  <si>
    <t>A8FHW-MZ7VB-YZWHA</t>
  </si>
  <si>
    <t>RP5Z9-H0LC3-HAK0D</t>
  </si>
  <si>
    <t>J36I0-J0NRG-WJADP</t>
  </si>
  <si>
    <t>Test Drive Unlimited Solar Crown EU PC</t>
  </si>
  <si>
    <t>4LZLB-9G936-RMWM7</t>
  </si>
  <si>
    <t>4IGTZ-JITHZ-GECDK</t>
  </si>
  <si>
    <t>9VATT-M0FYB-M4VTR</t>
  </si>
  <si>
    <t>FTL67-Y4A59-868FJ</t>
  </si>
  <si>
    <t>7L7PI-NPRJT-PFPDT</t>
  </si>
  <si>
    <t>M3BH5-64EFC-GIGTF</t>
  </si>
  <si>
    <t>NZ7EN-JA6GZ-XIMC6</t>
  </si>
  <si>
    <t>FZE50-7IPB7-QE8KJ</t>
  </si>
  <si>
    <t>KFR6J-W3WJX-4WY0D</t>
  </si>
  <si>
    <t>PDWT0-BV8KD-BQRP8</t>
  </si>
  <si>
    <t>RT2QK-GFKP3-AMW8Y</t>
  </si>
  <si>
    <t>4BX9J-QD55P-QHYCC</t>
  </si>
  <si>
    <t>Q4ZXZ-WT5D2-YV20M</t>
  </si>
  <si>
    <t>V48KW-V8MZ2-XB7H0</t>
  </si>
  <si>
    <t>HNBNK-5NIW0-NX8XZ</t>
  </si>
  <si>
    <t>X3KGA-7EA6W-GBW7E</t>
  </si>
  <si>
    <t>66IK9-LIWGV-45H94</t>
  </si>
  <si>
    <t>NRDV0-6LV3N-798ER</t>
  </si>
  <si>
    <t>GKARZ-GQRNE-TYXBN</t>
  </si>
  <si>
    <t>678XV-J7P02-AZ4K6</t>
  </si>
  <si>
    <t>WHCMX-2H44R-9LLG2</t>
  </si>
  <si>
    <t>FMXFQ-82909-LKJYW</t>
  </si>
  <si>
    <t>P9ZF3-FDRC3-39WMZ</t>
  </si>
  <si>
    <t>9ECMC-I25GI-7MEYV</t>
  </si>
  <si>
    <t>VL603-3B5VW-VNGGF</t>
  </si>
  <si>
    <t>3MMML-TC0JI-D455M</t>
  </si>
  <si>
    <t>PVQDQ-WEE69-PW2R9</t>
  </si>
  <si>
    <t>9QTYT-L0FTA-RL809</t>
  </si>
  <si>
    <t>3AGMP-RHPPQ-HAQBD</t>
  </si>
  <si>
    <t>2BRQ7-ZPBX3-55DP6</t>
  </si>
  <si>
    <t>QEXKC-YJYKA-IZEQL</t>
  </si>
  <si>
    <t>IN0TQ-94BFD-BXZTJ</t>
  </si>
  <si>
    <t>A7VDR-EBML2-25PH3</t>
  </si>
  <si>
    <t>TM7IQ-00H6K-G06K9</t>
  </si>
  <si>
    <t>Nine Sols PC</t>
  </si>
  <si>
    <t>9DY36-EI7GJ-2VPQC</t>
  </si>
  <si>
    <t>B60JH-W5ILF-NCX4B</t>
  </si>
  <si>
    <t>TKI7P-CPKJD-0D9HR</t>
  </si>
  <si>
    <t>8YJVY-C5YVH-H7TBQ</t>
  </si>
  <si>
    <t>4TYHP-CGI5M-EHAD3</t>
  </si>
  <si>
    <t>XV64E-X8HPR-DKPN9</t>
  </si>
  <si>
    <t>E9JGT-CM3YX-B5PTP</t>
  </si>
  <si>
    <t>89JRK-G5G5R-7BYEP</t>
  </si>
  <si>
    <t>EK78N-Q450M-7NVM9</t>
  </si>
  <si>
    <t>7LJRV-0RXRP-9X2WQ</t>
  </si>
  <si>
    <t>96EZN-9EI9T-A2PNQ</t>
  </si>
  <si>
    <t>DJEXJ-KNNB2-4BIFC</t>
  </si>
  <si>
    <t>Castlevania Dominus Collection PC</t>
  </si>
  <si>
    <t>AKBJW-3A0J2-DJ25P</t>
  </si>
  <si>
    <t>QXKHE-HDIJT-GRJZ3</t>
  </si>
  <si>
    <t>YN6IW-V32XK-67IXZ</t>
  </si>
  <si>
    <t>HI0ZE-CVIB0-9WTTA</t>
  </si>
  <si>
    <t>4R8KF-6LEI3-45DIC</t>
  </si>
  <si>
    <t>L3QHI-EI3KP-B738M</t>
  </si>
  <si>
    <t>Z04D0-JII78-MBKEC</t>
  </si>
  <si>
    <t>V745K-CHD7R-975HG</t>
  </si>
  <si>
    <t>GY633-F6FBD-P4A53</t>
  </si>
  <si>
    <t>W6ZYB-L9EAR-2E2FR</t>
  </si>
  <si>
    <t>GD542-QQKAC-ICELX</t>
  </si>
  <si>
    <t>RTKN0-I2JH6-Q56PA</t>
  </si>
  <si>
    <t>T08PB-8VIRT-DXP8G</t>
  </si>
  <si>
    <t>W0RZF-0PCV4-K3ZIL</t>
  </si>
  <si>
    <t>54KAN-3FPH6-MLYWE</t>
  </si>
  <si>
    <t>Satisfactory PC</t>
  </si>
  <si>
    <t>EQDAA-A3756-8BVNW</t>
  </si>
  <si>
    <t>6FG6E-HDHQ4-QEXZA</t>
  </si>
  <si>
    <t>PRWIR-XP89H-APW7C</t>
  </si>
  <si>
    <t>BCQ2A-0H82K-G9ZTM</t>
  </si>
  <si>
    <t>ED4BX-6EGPT-FFTCV</t>
  </si>
  <si>
    <t>F0LPA-FE5XL-7X9H7</t>
  </si>
  <si>
    <t>JDZAW-PT6WZ-FV7QK</t>
  </si>
  <si>
    <t>ZI0J7-RKJ0Y-V80BQ</t>
  </si>
  <si>
    <t>EC0E0-MFB0I-EFWN3</t>
  </si>
  <si>
    <t>Haimrik</t>
  </si>
  <si>
    <t>7P487-D4BYK-XB560</t>
  </si>
  <si>
    <t>TIJAB-GK85J-8Y5F2</t>
  </si>
  <si>
    <t>8LJP5-A2H3Y-M33W0</t>
  </si>
  <si>
    <t>H78YM-DH32T-V0TYB</t>
  </si>
  <si>
    <t>BFE60-6KK0C-8AY4A</t>
  </si>
  <si>
    <t>9BL0A-TMC3D-BP8V6</t>
  </si>
  <si>
    <t>9H49Y-JHB0J-XBPAR</t>
  </si>
  <si>
    <t>Disney Epic Mickey: Rebrushed EU PC Steam</t>
  </si>
  <si>
    <t>YEQF5-ZC0D7-YTWYZ</t>
  </si>
  <si>
    <t>XQXGR-QH2FL-B23ZP</t>
  </si>
  <si>
    <t>EGMKP-4AI6L-2V29V</t>
  </si>
  <si>
    <t>55Y7R-7PAJP-33J7T</t>
  </si>
  <si>
    <t>N4KKB-7G486-9P0IX</t>
  </si>
  <si>
    <t>0JV8I-2DN9M-BBYTJ</t>
  </si>
  <si>
    <t>G.I. Joe: Wrath of Cobra PC</t>
  </si>
  <si>
    <t>9RWER-43Q8H-X2Z2B</t>
  </si>
  <si>
    <t>Greedfall II: The Dying World EU PC</t>
  </si>
  <si>
    <t>7MCGX-C3GWD-FE8K0</t>
  </si>
  <si>
    <t>DKE5V-2WXY8-E6QZL</t>
  </si>
  <si>
    <t>N7AR9-E5CTP-N7DR3</t>
  </si>
  <si>
    <t>K9GXQ-ZQVZJ-HMP0K</t>
  </si>
  <si>
    <t>AGZ5G-GZ32X-VWE6X</t>
  </si>
  <si>
    <t>T38NJ-JRBKJ-0F8L5</t>
  </si>
  <si>
    <t>GDZK2-RXKB9-XVCBL</t>
  </si>
  <si>
    <t>NAHW0-3ADBL-EMHFZ</t>
  </si>
  <si>
    <t>YEP9P-BXVBZ-R2IQY</t>
  </si>
  <si>
    <t>ARD6Z-PKNZN-J030Z</t>
  </si>
  <si>
    <t>V7KAV-2WWP7-YXC7N</t>
  </si>
  <si>
    <t>VY5JP-4B0RL-ZDG47</t>
  </si>
  <si>
    <t>EK43L-KGKZP-WF5VN</t>
  </si>
  <si>
    <t>VB4R0-VZFYT-PIEIY</t>
  </si>
  <si>
    <t>RWYVR-LBQRG-RZV7W</t>
  </si>
  <si>
    <t>DNT59-HDGMH-ZPTRZ</t>
  </si>
  <si>
    <t>Penarium</t>
  </si>
  <si>
    <t>Q2KEG-B204V-RZX8P</t>
  </si>
  <si>
    <t>Core Keeper EU</t>
  </si>
  <si>
    <t>TH45X-BRWN2-9D2BF</t>
  </si>
  <si>
    <t>HCLWF-5W354-VC44N</t>
  </si>
  <si>
    <t>H3MXB-D0TPD-7R8V3</t>
  </si>
  <si>
    <t>A3QBM-VRMXV-9M589</t>
  </si>
  <si>
    <t>WI3BT-5RTAZ-RHZGD</t>
  </si>
  <si>
    <t>2A8QQ-ICP5Y-90M2V</t>
  </si>
  <si>
    <t>2R69F-HA5HK-8NX93</t>
  </si>
  <si>
    <t>2BV76-8B8LX-6B6E7</t>
  </si>
  <si>
    <t>RWPC5-WZ8X4-V7XQG</t>
  </si>
  <si>
    <t>9X8PM-WV65T-95T9K</t>
  </si>
  <si>
    <t>LNB07-KR8KX-5ENMB</t>
  </si>
  <si>
    <t>K5BD9-BYB0M-ZBPJK</t>
  </si>
  <si>
    <t>XW6QE-RMYX6-JKBEW</t>
  </si>
  <si>
    <t>BNIMK-6VDVK-KPRA0</t>
  </si>
  <si>
    <t>ICTZK-JJRZJ-LZW46</t>
  </si>
  <si>
    <t>0RVP5-FH8MX-3G463</t>
  </si>
  <si>
    <t>NP2IR-PET55-KJ6YQ</t>
  </si>
  <si>
    <t>24Z5M-C44B7-ELPPC</t>
  </si>
  <si>
    <t>ILBNC-F3G4F-5HDWG</t>
  </si>
  <si>
    <t>37Y3N-VA0Z3-2N3YI</t>
  </si>
  <si>
    <t>4K0VM-VVLB3-FFBDL</t>
  </si>
  <si>
    <t>KKD2D-CBVT8-I06CN</t>
  </si>
  <si>
    <t>8ZNGH-3DBD7-J39XX</t>
  </si>
  <si>
    <t>R760Y-RH8RD-62PZQ</t>
  </si>
  <si>
    <t>5HR7N-75DBD-2XQVE</t>
  </si>
  <si>
    <t>PCHBI-LG5N5-2VY2A</t>
  </si>
  <si>
    <t>KYIT0-FGYVE-FM2I8</t>
  </si>
  <si>
    <t>TI8IH-2P0CH-IEKXG</t>
  </si>
  <si>
    <t>0A3QE-GYQEZ-LKCXG</t>
  </si>
  <si>
    <t>ZH5VF-TTD2M-D7YHN</t>
  </si>
  <si>
    <t>PH4VN-PN5MV-58WVI</t>
  </si>
  <si>
    <t>48QZI-5A80Y-ZLTVL</t>
  </si>
  <si>
    <t>6MBD6-LZ6FZ-HZ9DQ</t>
  </si>
  <si>
    <t>ER0EQ-G8PIL-BYT7X</t>
  </si>
  <si>
    <t>Rogue Waters PC</t>
  </si>
  <si>
    <t>XQ06Q-A04GP-F2J3C</t>
  </si>
  <si>
    <t>Z77AY-5WNXQ-VGQZP</t>
  </si>
  <si>
    <t>2WJ3V-9CLCM-7869M</t>
  </si>
  <si>
    <t>RH3GR-YA4R7-9QIZ5</t>
  </si>
  <si>
    <t>QTWWX-KGCGT-7VRRC</t>
  </si>
  <si>
    <t>7MYBM-HMGT6-3XMBK</t>
  </si>
  <si>
    <t>ADQ9Q-J0FGW-H2GD5</t>
  </si>
  <si>
    <t>VDNNR-H9PFH-VIDNQ</t>
  </si>
  <si>
    <t>8YP20-JYKAE-FTBEL</t>
  </si>
  <si>
    <t>5HRPA-9H6KY-0K9L5</t>
  </si>
  <si>
    <t>RVF2B-LQMRL-B660T</t>
  </si>
  <si>
    <t>ZEJ5A-NT67J-8IM0J</t>
  </si>
  <si>
    <t>ND83F-Z2AJ7-IPDWK</t>
  </si>
  <si>
    <t>Ghost of Tsushima Director's Cut PC</t>
  </si>
  <si>
    <t>QJ4ZZ-G7TY2-D5ZXE</t>
  </si>
  <si>
    <t>XLVF9-3PZGK-Z274J</t>
  </si>
  <si>
    <t>VP99I-WN6ZV-TVV3V</t>
  </si>
  <si>
    <t>Ravenswatch</t>
  </si>
  <si>
    <t>QA6AT-638F8-200PE</t>
  </si>
  <si>
    <t>Y68KZ-94ELT-EBZMF</t>
  </si>
  <si>
    <t>3GD7X-AIAH6-Q3RZ3</t>
  </si>
  <si>
    <t>553JF-97GHG-D0YPR</t>
  </si>
  <si>
    <t>47476-XFKZG-0W3VH</t>
  </si>
  <si>
    <t>LWY0W-XLCL4-JRTVE</t>
  </si>
  <si>
    <t>BPVQ2-K53P8-6099Y</t>
  </si>
  <si>
    <t>A6YH9-XRBKA-VPYGW</t>
  </si>
  <si>
    <t>KILL KNIGHT PC</t>
  </si>
  <si>
    <t>H7L7Y-9KXE2-HTP7D</t>
  </si>
  <si>
    <t>542W7-IIMVL-H9EF3</t>
  </si>
  <si>
    <t>Z33DD-E22H6-QLXXP</t>
  </si>
  <si>
    <t>X246X-QMKZD-NPBAT</t>
  </si>
  <si>
    <t>QM04T-ZQ68G-ZRDC7</t>
  </si>
  <si>
    <t>R09IY-R66GF-2CAIK</t>
  </si>
  <si>
    <t>ZFARW-DRB9I-Q6ZGD</t>
  </si>
  <si>
    <t>A2X0L-7X79X-EQM64</t>
  </si>
  <si>
    <t>4NAFF-40KA5-X39ZC</t>
  </si>
  <si>
    <t>ZE8K9-83R8G-JIW4T</t>
  </si>
  <si>
    <t>9E0R5-K9X7I-W4WIV</t>
  </si>
  <si>
    <t>P9N27-VQ9ZB-7WT3M</t>
  </si>
  <si>
    <t>GB474-5PJR8-N62MN</t>
  </si>
  <si>
    <t>Sand Land</t>
  </si>
  <si>
    <t>TRKML-Q8EEA-RE32M</t>
  </si>
  <si>
    <t>5D44E-QXPGQ-II4VA</t>
  </si>
  <si>
    <t>D72AP-WNAV8-YI8Y0</t>
  </si>
  <si>
    <t>GLLJW-EHPR2-IRMZ9</t>
  </si>
  <si>
    <t>VRQ4J-YCHH2-YHCYV</t>
  </si>
  <si>
    <t>6LM9F-0YWFM-DF6K8</t>
  </si>
  <si>
    <t>8EDNB-D6LLZ-M3YLG</t>
  </si>
  <si>
    <t>ZWRXC-L25LH-4D2CK</t>
  </si>
  <si>
    <t>IL5C4-9G8RN-3EB58</t>
  </si>
  <si>
    <t>FMGDF-7YIWZ-ZJNBF</t>
  </si>
  <si>
    <t>IB2RD-XKNRV-DZXJY</t>
  </si>
  <si>
    <t>E8TTT-KIBZ0-Y6A6N</t>
  </si>
  <si>
    <t>BCW9J-3BGA6-2YBP9</t>
  </si>
  <si>
    <t>3HEJX-KIB8D-AVN2K</t>
  </si>
  <si>
    <t>IZ284-4JDWD-BITPZ</t>
  </si>
  <si>
    <t>VE9AL-DDYCZ-NAFQQ</t>
  </si>
  <si>
    <t>Sky Oceans: Wings for Hire PC</t>
  </si>
  <si>
    <t>PW7G6-35P8Q-Q46N9</t>
  </si>
  <si>
    <t>JNQF2-FHFZ5-JRY7N</t>
  </si>
  <si>
    <t>KGWN6-5EN3J-CPR77</t>
  </si>
  <si>
    <t>XTD0B-W363V-9VNHD</t>
  </si>
  <si>
    <t>VWVDT-VPYEN-8W63Y</t>
  </si>
  <si>
    <t>JIYMH-ZM8Z0-GPJ3D</t>
  </si>
  <si>
    <t>DBYY5-EQHYV-K7GMJ</t>
  </si>
  <si>
    <t>NTGG3-M3C3X-95QPJ</t>
  </si>
  <si>
    <t>LZZYQ-0Z0XJ-XJV6D</t>
  </si>
  <si>
    <t>ZQJ8K-436ZN-VRZMT</t>
  </si>
  <si>
    <t>NVLGV-EB7I0-DDY5C</t>
  </si>
  <si>
    <t>9DE8L-3H04I-DCDGW</t>
  </si>
  <si>
    <t>02P66-DRA00-PYG32</t>
  </si>
  <si>
    <t>FXIK9-NTW4B-9RLHP</t>
  </si>
  <si>
    <t>NEE53-MQEIL-4RC9K</t>
  </si>
  <si>
    <t>YH6ML-VR48L-H9EZ2</t>
  </si>
  <si>
    <t>68BD7-ENLNV-HTRX9</t>
  </si>
  <si>
    <t>Horizon Forbidden West: Complete Edition</t>
  </si>
  <si>
    <t>C9G0F-D093L-32XZR</t>
  </si>
  <si>
    <t>Marvel's Spider-Man Remastered EU</t>
  </si>
  <si>
    <t>MHC42-ZQ2WN-IDPN3</t>
  </si>
  <si>
    <t>FVYQ7-FHZB2-ZBXKL</t>
  </si>
  <si>
    <t>HZ33Y-F7W06-YNZAT</t>
  </si>
  <si>
    <t>N4VBA-LJKF4-AZF67</t>
  </si>
  <si>
    <t>QGIT2-EEZTI-D4M4I</t>
  </si>
  <si>
    <t>HDG50-HIHBH-QYW0Z</t>
  </si>
  <si>
    <t>FKYZW-FJPFL-WAPKV</t>
  </si>
  <si>
    <t>V5YQP-QPK84-XKK8G</t>
  </si>
  <si>
    <t>Dungeon Tycoon EU</t>
  </si>
  <si>
    <t>5P7MX-VWAAH-KCMX3</t>
  </si>
  <si>
    <t>VEYP5-J7E25-HPGF0</t>
  </si>
  <si>
    <t>P0YB6-MZ7HF-WYYY2</t>
  </si>
  <si>
    <t>B57G2-LYHRD-C7V8K</t>
  </si>
  <si>
    <t>ZX2MG-77IYB-ABMY4</t>
  </si>
  <si>
    <t>G7BGQ-WRLCV-XE3M3</t>
  </si>
  <si>
    <t>WJ3GQ-HZRN4-32KNE</t>
  </si>
  <si>
    <t>4LJDZ-ZAK4G-KQD4I</t>
  </si>
  <si>
    <t>Dungeon Tycoon NA</t>
  </si>
  <si>
    <t>DJ0ZQ-A3J7D-PIV93</t>
  </si>
  <si>
    <t>DayZ - Frostline DLC</t>
  </si>
  <si>
    <t>YJ6NA-0DFVY-F0FFW</t>
  </si>
  <si>
    <t>BQ562-RHVAJ-ZVLXR</t>
  </si>
  <si>
    <t>PPH3A-L725B-IIANJ</t>
  </si>
  <si>
    <t>9PVPY-JQLFD-E7FMQ</t>
  </si>
  <si>
    <t>0F6TL-3JRRK-KJHQW</t>
  </si>
  <si>
    <t>The Wanderer: Frankenstein's Creature</t>
  </si>
  <si>
    <t>78GG8-BJXPC-7NVL2</t>
  </si>
  <si>
    <t>Helldivers 2</t>
  </si>
  <si>
    <t>JDT3I-K3AFG-J904A</t>
  </si>
  <si>
    <t>X5D79-HZG0T-9D0RN</t>
  </si>
  <si>
    <t>JPFLP-V4TDL-TB2RT</t>
  </si>
  <si>
    <t>H9C24-K0BV4-QPFM7</t>
  </si>
  <si>
    <t>72ARZ-QKGFK-PPI2G</t>
  </si>
  <si>
    <t>70T9T-HRW4Q-42TXA</t>
  </si>
  <si>
    <t>7QG4C-TP59C-IBY60</t>
  </si>
  <si>
    <t>9V2VJ-JNWTY-QEVIL</t>
  </si>
  <si>
    <t>4FGG9-ZK4RG-07XIE</t>
  </si>
  <si>
    <t>39QAC-FL9YK-LX8KD</t>
  </si>
  <si>
    <t>W0V33-7I6MJ-H9YR2</t>
  </si>
  <si>
    <t>RKZ59-7IGL0-7QADW</t>
  </si>
  <si>
    <t>JCX45-JZBT3-4YXAK</t>
  </si>
  <si>
    <t>XVGX2-9NX49-4FVWN</t>
  </si>
  <si>
    <t>EJI46-0B3IH-ZQWJY</t>
  </si>
  <si>
    <t>EMRTC-K8DNQ-JR67C</t>
  </si>
  <si>
    <t>6NI9N-V9DCJ-AYYC5</t>
  </si>
  <si>
    <t>RXJ08-QHBRQ-QGXCJ</t>
  </si>
  <si>
    <t>4KF6L-84B77-82BVK</t>
  </si>
  <si>
    <t>LJ5IV-AZERW-BGK4H</t>
  </si>
  <si>
    <t xml:space="preserve">YNYC8-EH603-H6B7N	</t>
  </si>
  <si>
    <t>JQBPL-EXHAB-K9A43</t>
  </si>
  <si>
    <t>EZ3RE-ZABGZ-TJTG2</t>
  </si>
  <si>
    <t>62I7Q-KC99V-RG8AD</t>
  </si>
  <si>
    <t>9M8DG-9NNG7-5ATYC</t>
  </si>
  <si>
    <t>NQ9GA-E3EHA-4Z32D</t>
  </si>
  <si>
    <t>TZ8LM-ZJH6V-Z87HV</t>
  </si>
  <si>
    <t>X4ZZ8-XY57J-36KLY</t>
  </si>
  <si>
    <t>EJ64K-ZBLCD-2VJYL</t>
  </si>
  <si>
    <t>0YBVP-BNA5R-N562P</t>
  </si>
  <si>
    <t>9XF27-YZQC0-YNTJX</t>
  </si>
  <si>
    <t>Uncharted: Legacy of Thieves Collection EU</t>
  </si>
  <si>
    <t>80GCF-EK8QW-QNC9G</t>
  </si>
  <si>
    <t>ZVBQL-9V3XP-M00CB</t>
  </si>
  <si>
    <t>A5Y26-H7PV5-5WBM8</t>
  </si>
  <si>
    <t>Factorio - Space Age DLC</t>
  </si>
  <si>
    <t>C729A-M3Y3E-N0Y2W</t>
  </si>
  <si>
    <t>No More Room in Hell 2</t>
  </si>
  <si>
    <t>E29TR-XLF5Q-KNM2V</t>
  </si>
  <si>
    <t>874WA-0JVDB-AD63B</t>
  </si>
  <si>
    <t>YAQDH-NGAWA-YHP2D</t>
  </si>
  <si>
    <t>5AKX8-0L62E-ILVRE</t>
  </si>
  <si>
    <t>AQ0M8-PTVY8-BD8YY</t>
  </si>
  <si>
    <t>Elite: Dangerous EU</t>
  </si>
  <si>
    <t>VXTPX-REL6K-HG2FZ</t>
  </si>
  <si>
    <t>TC7K4-X6NAC-23BTI</t>
  </si>
  <si>
    <t>K9GGF-0EF4B-BM4EJ</t>
  </si>
  <si>
    <t>RXK3X-HERML-MQ2GL</t>
  </si>
  <si>
    <t>L629Z-RB2TR-JB82B</t>
  </si>
  <si>
    <t>J2RJR-EKA9J-6Y2XL</t>
  </si>
  <si>
    <t>WNVB9-KYGLJ-03Q5A</t>
  </si>
  <si>
    <t>WDRNJ-LPVB3-WIJ8J</t>
  </si>
  <si>
    <t>TAV8P-9986W-PVFGG</t>
  </si>
  <si>
    <t>5LXFJ-FI2ZT-TTFJQ</t>
  </si>
  <si>
    <t>CKNA7-5XVXV-7FLMD</t>
  </si>
  <si>
    <t>5HX5X-XN5IL-HED9J</t>
  </si>
  <si>
    <t>47RMV-EXBZ4-ZHQKM</t>
  </si>
  <si>
    <t>J5B9C-EI2WJ-40BF5</t>
  </si>
  <si>
    <t>CEZBY-482CN-PDIT9</t>
  </si>
  <si>
    <t>LQ3KW-G74YV-00YRG</t>
  </si>
  <si>
    <t>9R0E9-7C39A-GJZW8</t>
  </si>
  <si>
    <t>RYD3A-8BP0I-4RD72</t>
  </si>
  <si>
    <t>YRRE0-YFR0C-X3KJY</t>
  </si>
  <si>
    <t>0B3AD-6GLLY-YVBBE</t>
  </si>
  <si>
    <t>46Q8V-QICKY-EP8VA</t>
  </si>
  <si>
    <t>LBANM-J5DXJ-MZRCJ</t>
  </si>
  <si>
    <t>8GDZD-B3A5Y-68FF0</t>
  </si>
  <si>
    <t>B4BDB-RAKGL-XT6K0</t>
  </si>
  <si>
    <t>0NGV2-P09WD-4M2IR</t>
  </si>
  <si>
    <t>QB0TT-XBZQV-V6KXL</t>
  </si>
  <si>
    <t>65XW4-Y6JL7-BILG2</t>
  </si>
  <si>
    <t>4843E-J2PN2-BPQWA</t>
  </si>
  <si>
    <t>God Of War Ragnarök EU</t>
  </si>
  <si>
    <t>P2R34-Z67WW-IJG3V</t>
  </si>
  <si>
    <t>0E7A3-930T0-Q6K4B</t>
  </si>
  <si>
    <t>5LZ4A-WF22L-N30R5</t>
  </si>
  <si>
    <t>LRXAC-94LPH-K7350</t>
  </si>
  <si>
    <t>777G3-M9BTR-5N2DA</t>
  </si>
  <si>
    <t>HBCXI-30E9B-K48VJ</t>
  </si>
  <si>
    <t>D3YVY-RHQ8Y-NMVJN</t>
  </si>
  <si>
    <t>WZ7CN-3T36C-VX636</t>
  </si>
  <si>
    <t>TWQH8-GTTKY-NELMP</t>
  </si>
  <si>
    <t>A4PLQ-T4EAJ-2FTG6</t>
  </si>
  <si>
    <t>5BDPV-4JN8C-9LD7D</t>
  </si>
  <si>
    <t>Sonic x Shadow Generations EU</t>
  </si>
  <si>
    <t>K84HJ-ABY93-XVZMX</t>
  </si>
  <si>
    <t>ABA5I-D83TN-A942N</t>
  </si>
  <si>
    <t>ZCM6E-79AHV-QNDX8</t>
  </si>
  <si>
    <t>K8WA4-FCB59-M923W</t>
  </si>
  <si>
    <t>B4QH5-AQT0K-QQFAH</t>
  </si>
  <si>
    <t>6HFZX-5J47I-D0AF0</t>
  </si>
  <si>
    <t>DXGF0-T5DZ0-R55Z4</t>
  </si>
  <si>
    <t>9HKLX-KQJ6B-BA9A2</t>
  </si>
  <si>
    <t>2HDRI-3LDMD-3M7GG</t>
  </si>
  <si>
    <t>473Y9-40AL2-K2WKM</t>
  </si>
  <si>
    <t>ALV5B-WHD6Y-KXZJY</t>
  </si>
  <si>
    <t>05FM9-KEIBP-IKNHV</t>
  </si>
  <si>
    <t>YVLXD-AQCNZ-X9J0I</t>
  </si>
  <si>
    <t>God Of War Ragnarök</t>
  </si>
  <si>
    <t>NC64R-XI3ZI-FBKDL</t>
  </si>
  <si>
    <t>AKHQX-2LPG5-T7G5D</t>
  </si>
  <si>
    <t>7YQZG-A509X-R6LM0</t>
  </si>
  <si>
    <t>P8LB0-3ZVQY-EB5E4</t>
  </si>
  <si>
    <t>Voidwrought</t>
  </si>
  <si>
    <t>9TKY5-I4X56-Z9KH0</t>
  </si>
  <si>
    <t>Warhammer 40,000: Rogue Trader</t>
  </si>
  <si>
    <t>N2DT7-DBR39-IBV3F</t>
  </si>
  <si>
    <t>2FYWF-30JYD-FXLJ6</t>
  </si>
  <si>
    <t>7VTKT-DHZXQ-AC9EM</t>
  </si>
  <si>
    <t>WWE 2K24 EU</t>
  </si>
  <si>
    <t>Q5L09-JZM6W-YL4YE</t>
  </si>
  <si>
    <t>WWE 2K24</t>
  </si>
  <si>
    <t>LKDRJ-YJR2T-QH3ZG</t>
  </si>
  <si>
    <t>B0IRK-D499T-M005V</t>
  </si>
  <si>
    <t>RW57C-6NCPP-LJKYJ</t>
  </si>
  <si>
    <t>YLRED-GVMR3-Y7MGB</t>
  </si>
  <si>
    <t>Magicraft</t>
  </si>
  <si>
    <t>HDGT3-DI4FP-NVCKG</t>
  </si>
  <si>
    <t>Driffle</t>
  </si>
  <si>
    <t>Q7DX7-EBYNX-RK2DR</t>
  </si>
  <si>
    <t>Metal Slug Tactics EU/NA</t>
  </si>
  <si>
    <t>P3V30-M9ZRX-DMVZR</t>
  </si>
  <si>
    <t>4BFVT-LG29Y-AD07T</t>
  </si>
  <si>
    <t>B5F9Y-GEATA-CNTNP</t>
  </si>
  <si>
    <t>DBJC2-JJ4D7-3I3KT</t>
  </si>
  <si>
    <t>CF6TA-LHJDI-V52HD</t>
  </si>
  <si>
    <t>K5KEP-NA8YK-VGLZ2</t>
  </si>
  <si>
    <t>D0NA5-26XGC-RKMIM</t>
  </si>
  <si>
    <t>QFEIF-P0I72-FTQMZ</t>
  </si>
  <si>
    <t>YFC49-KGM2P-XFVBJ</t>
  </si>
  <si>
    <t>EDNGT-F98DZ-XCMV9</t>
  </si>
  <si>
    <t>RIQG8-TKRTN-07NWC</t>
  </si>
  <si>
    <t>Thrive: Heavy Lies The Crown</t>
  </si>
  <si>
    <t>9Q442-PWLWZ-B0MYM</t>
  </si>
  <si>
    <t>NBA 2K25</t>
  </si>
  <si>
    <t>A38QY-Z7K4W-E4MAW</t>
  </si>
  <si>
    <t>Dead Space Remake Deluxe Edition</t>
  </si>
  <si>
    <t>0AF8X-W44G3-JL963</t>
  </si>
  <si>
    <t>Dead Space Remake</t>
  </si>
  <si>
    <t>YMT6D-EGRVY-725FW</t>
  </si>
  <si>
    <t>E86GN-NT6AX-YVXPQ</t>
  </si>
  <si>
    <t>KFAFT-5AEKA-27T6H</t>
  </si>
  <si>
    <t>3LKRD-XW33C-76QB0</t>
  </si>
  <si>
    <t>3G95B-9025W-W62GV</t>
  </si>
  <si>
    <t>AWM8K-7IIJY-NIEPG</t>
  </si>
  <si>
    <t>HWYLC-VTLNX-4B2LN</t>
  </si>
  <si>
    <t>VVILL-XNJQ2-R54GP</t>
  </si>
  <si>
    <t>I40X9-YWY9R-2Y576</t>
  </si>
  <si>
    <t>L68GK-0ENBQ-VWITV</t>
  </si>
  <si>
    <t>WFEEY-RKBI9-NJ462</t>
  </si>
  <si>
    <t>80R6I-G7JQK-8QP54</t>
  </si>
  <si>
    <t>FYQ3B-XKM2C-4LL68</t>
  </si>
  <si>
    <t>DHTXT-N96LY-TTX05</t>
  </si>
  <si>
    <t>R7QVP-CT76Y-E8DPA</t>
  </si>
  <si>
    <t>40J5Y-6XQTP-6CF5B</t>
  </si>
  <si>
    <t>0ZYXC-72ZMM-9I5D7</t>
  </si>
  <si>
    <t>A3DQA-Z3N3V-NQICB</t>
  </si>
  <si>
    <t>A4NIR-9M90G-RZ8HY</t>
  </si>
  <si>
    <t>Disney Epic Mickey: Rebrushed</t>
  </si>
  <si>
    <t>W6GKF-GVZJV-FYBT2</t>
  </si>
  <si>
    <t>FBDXN-V4WWE-YCZXV</t>
  </si>
  <si>
    <t>IF97X-FL8AQ-QDA8T</t>
  </si>
  <si>
    <t>WLBJW-WLKZT-RH2C3</t>
  </si>
  <si>
    <t>43ZH3-L4DFY-FVB2K</t>
  </si>
  <si>
    <t>Disney Epic Mickey: Rebrushed EU</t>
  </si>
  <si>
    <t>R8N47-GJ537-BNQ83</t>
  </si>
  <si>
    <t>C2H0B-NQEV8-X4P0J</t>
  </si>
  <si>
    <t>DRAGON QUEST III HD-2D Remake</t>
  </si>
  <si>
    <t>EQ3KC-25D37-X8LT9</t>
  </si>
  <si>
    <t>NFIZC-B59EC-MNDM3</t>
  </si>
  <si>
    <t>DZHLT-XB7H9-ZYPVD</t>
  </si>
  <si>
    <t>VNPIF-JHVIM-0RN9J</t>
  </si>
  <si>
    <t>KPG3Q-6D3PT-JDT9J</t>
  </si>
  <si>
    <t>FHKZL-LEC6V-7MWZI</t>
  </si>
  <si>
    <t>Everholm</t>
  </si>
  <si>
    <t>HZ0GI-A2WJ5-627FV</t>
  </si>
  <si>
    <t>DC2P2-8CREA-22MFT</t>
  </si>
  <si>
    <t>DGJHP-2N0ZN-9GIN3</t>
  </si>
  <si>
    <t>EDK6H-J7G9E-ZHLV3</t>
  </si>
  <si>
    <t>8LQN9-Q747G-KXR53</t>
  </si>
  <si>
    <t>53NI5-FBLJT-7K5RT</t>
  </si>
  <si>
    <t>0Y4Y2-AQVHQ-2W5IB</t>
  </si>
  <si>
    <t>Life is Strange: Double Exposure</t>
  </si>
  <si>
    <t>RYV9M-BHLQ9-2I7DP</t>
  </si>
  <si>
    <t>LGRL3-X3A33-TPG72</t>
  </si>
  <si>
    <t>DG7ZR-670GB-2QI5E</t>
  </si>
  <si>
    <t>XW33Q-BHV4T-H3682</t>
  </si>
  <si>
    <t>Planet Zoo</t>
  </si>
  <si>
    <t>BRKZ8-N2BEN-2A7F9</t>
  </si>
  <si>
    <t>2AFVV-VJ4DH-YVKBI</t>
  </si>
  <si>
    <t>TIM00-E79XZ-TCYME</t>
  </si>
  <si>
    <t>HGFPM-0HF4V-T2GF4</t>
  </si>
  <si>
    <t>DFG06-B7VNV-MRV6C</t>
  </si>
  <si>
    <t>MQJ2P-A6LKX-LPWP0</t>
  </si>
  <si>
    <t>7TM97-843HE-0A6AJ</t>
  </si>
  <si>
    <t>IPVMP-7PPV8-T6FPX</t>
  </si>
  <si>
    <t>Z77C0-MLM7G-6Q7WN</t>
  </si>
  <si>
    <t>JIA3B-KLMT6-ZVAK0</t>
  </si>
  <si>
    <t>7B846-8RDLJ-RG3KH</t>
  </si>
  <si>
    <t>XKDWG-2D7IH-FLV8F</t>
  </si>
  <si>
    <t>7DI6X-WXA20-7EM5K</t>
  </si>
  <si>
    <t>MMI48-5A0N8-WYICB</t>
  </si>
  <si>
    <t>YPJXV-QA9QJ-YJ5TQ</t>
  </si>
  <si>
    <t>JK388-MP9Q9-0RG2G</t>
  </si>
  <si>
    <t>GGJEY-W5TJP-WD6LY</t>
  </si>
  <si>
    <t>QAHFQ-D9HHA-GP0EN</t>
  </si>
  <si>
    <t>R4TMR-B8NFT-8Q268</t>
  </si>
  <si>
    <t>2RH3A-8Z8FC-5M65M</t>
  </si>
  <si>
    <t>C325H-ZN4CL-EIFBA</t>
  </si>
  <si>
    <t>L7YNY-A6PV3-XEA33</t>
  </si>
  <si>
    <t>H8F5I-VZ8NB-4Z5P7</t>
  </si>
  <si>
    <t>82ELT-2DWYL-G02XT</t>
  </si>
  <si>
    <t>VL33J-KQDIP-XHDJB</t>
  </si>
  <si>
    <t>6WLQ9-DQ8W4-NE9LZ</t>
  </si>
  <si>
    <t>2YEGT-AB3QY-0TDTK</t>
  </si>
  <si>
    <t>JWXF8-JB95K-TALAY</t>
  </si>
  <si>
    <t>Teenage Mutant Ninja Turtles: Splintered Fate</t>
  </si>
  <si>
    <t>9MY6E-WRL9Z-MIYZT</t>
  </si>
  <si>
    <t>6T06M-6YW5L-P8KDM</t>
  </si>
  <si>
    <t>JBD6C-PHLKK-5908X</t>
  </si>
  <si>
    <t>YG6V6-JJQ6X-QFYI0</t>
  </si>
  <si>
    <t>IPG5X-78FKN-M7MXC</t>
  </si>
  <si>
    <t>40K2B-Y62DE-JTERH</t>
  </si>
  <si>
    <t>GCAGQ-C9AB3-D6MPQ</t>
  </si>
  <si>
    <t>C6N75-QQG3J-DEDGG</t>
  </si>
  <si>
    <t>Z0IM3-YW7H6-CIQGA</t>
  </si>
  <si>
    <t>DRQI0-BZEQR-PEF0V</t>
  </si>
  <si>
    <t>ALNQG-LNK7Q-M3V7C</t>
  </si>
  <si>
    <t>63HLN-CKQ9Z-H2RJA</t>
  </si>
  <si>
    <t>KXI5V-E0QH6-JBHEM</t>
  </si>
  <si>
    <t>C9HWT-VH86V-CZE9J</t>
  </si>
  <si>
    <t>X38BA-PLIV8-DCGQP</t>
  </si>
  <si>
    <t>QC77D-Y0HZV-84L4X</t>
  </si>
  <si>
    <t>ZGRVK-6ZEJE-A5WVZ</t>
  </si>
  <si>
    <t>IMDR7-Z76TX-M4G5M</t>
  </si>
  <si>
    <t>EBRD5-FT40V-RD8BJ</t>
  </si>
  <si>
    <t>Planet Zoo Deluxe Edition</t>
  </si>
  <si>
    <t>5YX88-EYVQ7-X0G8X</t>
  </si>
  <si>
    <t>7AFT3-H5F7M-ARZEJ</t>
  </si>
  <si>
    <t>The Walking Dead: Saints &amp; Sinners</t>
  </si>
  <si>
    <t>VG7AK-7X7FQ-HPA8J</t>
  </si>
  <si>
    <t>N3FAE-DGWDX-NRDEC</t>
  </si>
  <si>
    <t>GWZXA-6NM0F-XQD2Q</t>
  </si>
  <si>
    <t>6KC6R-E7WGQ-D7QMA</t>
  </si>
  <si>
    <t>ERL72-FV5EH-3P7IG</t>
  </si>
  <si>
    <t>H5EDV-7DW6I-N7BMX</t>
  </si>
  <si>
    <t>GDEYA-ZQA90-IXRD5</t>
  </si>
  <si>
    <t>8ZA86-HH4E8-M6IB2</t>
  </si>
  <si>
    <t>IWQZ3-H763C-9BJ9D</t>
  </si>
  <si>
    <t>PBZJQ-HZWRX-EQLBV</t>
  </si>
  <si>
    <t>DEN5E-R2E3D-0KRD0</t>
  </si>
  <si>
    <t>Suicide Squad: Kill The Justice League Digital Deluxe Edition</t>
  </si>
  <si>
    <t>PFBT5-XF0L0-K82Y7</t>
  </si>
  <si>
    <t>3TZGH-XC6WC-CP4E0</t>
  </si>
  <si>
    <t>2NACX-PJ8DX-4HQZ5</t>
  </si>
  <si>
    <t>ZKQK3-D05YY-7JI6X</t>
  </si>
  <si>
    <t>6G0CL-I6H20-HPNAD</t>
  </si>
  <si>
    <t>DESOLATE</t>
  </si>
  <si>
    <t>BPPPW-VFXLZ-PNDLF</t>
  </si>
  <si>
    <t>30K0A-52VYJ-PJJ2L</t>
  </si>
  <si>
    <t>0F6EQ-MLX6N-EJDNL</t>
  </si>
  <si>
    <t>UNDETECTED</t>
  </si>
  <si>
    <t>82E63-XTTC3-5YM3M</t>
  </si>
  <si>
    <t>0EY4X-E955B-HA3HH</t>
  </si>
  <si>
    <t>3Y08G-CHFWI-BI0NN</t>
  </si>
  <si>
    <t>RBPTG-X3X6X-JDVAA</t>
  </si>
  <si>
    <t>Void Crew</t>
  </si>
  <si>
    <t>AVHT6-589MD-V2JLV</t>
  </si>
  <si>
    <t>6FDEV-I3TLK-580IQ</t>
  </si>
  <si>
    <t>ICNM7-D6RZ6-667X0</t>
  </si>
  <si>
    <t>T2V24-6H8WB-L00FD</t>
  </si>
  <si>
    <t>Atomic Heart RoW</t>
  </si>
  <si>
    <t>NL20N-RCKWB-ZMDBY</t>
  </si>
  <si>
    <t>NX853-L0J6F-MGYA9</t>
  </si>
  <si>
    <t>6ZJ5X-R7M4R-Q6J9A</t>
  </si>
  <si>
    <t>PQBJN-LJAQC-5B6DE</t>
  </si>
  <si>
    <t>E4APR-Q75CJ-XGCDR</t>
  </si>
  <si>
    <t>553J8-5D5MB-NIGEW</t>
  </si>
  <si>
    <t>ZDV4Q-3202A-5EFZR</t>
  </si>
  <si>
    <t>NBZ4M-NC8FP-TN782</t>
  </si>
  <si>
    <t>YECX6-LT98I-0DXEM</t>
  </si>
  <si>
    <t>P7YY0-EKRC8-FMC3V</t>
  </si>
  <si>
    <t>V9ECI-D9DG8-0DP4C</t>
  </si>
  <si>
    <t>YOU DON'T KNOW JACK HEADRUSH</t>
  </si>
  <si>
    <t>5YCAZ-F275J-T5ZHA</t>
  </si>
  <si>
    <t>ZQDQ8-GHX5P-22754</t>
  </si>
  <si>
    <t>GR42R-PATMK-EAIND</t>
  </si>
  <si>
    <t>LXMR4-YGTW7-MJRG4</t>
  </si>
  <si>
    <t>Into the Radius VR</t>
  </si>
  <si>
    <t>28MQ3-FG2B3-FNCBT</t>
  </si>
  <si>
    <t>Satisfactory</t>
  </si>
  <si>
    <t>FVLZK-TF7AH-EGTFT</t>
  </si>
  <si>
    <t>QN5HA-Y7NVF-2ZAXJ</t>
  </si>
  <si>
    <t>YW9KZ-6VFR4-0B4XT</t>
  </si>
  <si>
    <t>4GG9P-G3800-DGZ97</t>
  </si>
  <si>
    <t>8TYMT-FZP4T-WZB32</t>
  </si>
  <si>
    <t>MHRNN-VVM3A-YKV6P</t>
  </si>
  <si>
    <t>ZW96E-34FVT-WKQWK</t>
  </si>
  <si>
    <t>ZWWL2-GQ9WM-H730L</t>
  </si>
  <si>
    <t>VAGI7-QL6AD-JHEJK</t>
  </si>
  <si>
    <t>XME6B-DHWC3-I0NGW</t>
  </si>
  <si>
    <t>XC0JT-88X2C-BXZRF</t>
  </si>
  <si>
    <t>CFV6W-0ACE4-BHVYW</t>
  </si>
  <si>
    <t>8AE8W-6D83B-ITETF</t>
  </si>
  <si>
    <t>9EYGH-6AZL7-KWD7T</t>
  </si>
  <si>
    <t>FDR20-6A4TN-P8AM6</t>
  </si>
  <si>
    <t>AZNM7-W75B6-V34XL</t>
  </si>
  <si>
    <t>JEKA2-N4DQX-9Q0KD</t>
  </si>
  <si>
    <t>A57KQ-NAAA4-QM5HZ</t>
  </si>
  <si>
    <t>Uncle Chop's Rocket Shop</t>
  </si>
  <si>
    <t>49TMY-GH4MP-VHIAL</t>
  </si>
  <si>
    <t>0DYCT-BC8V5-XJPN4</t>
  </si>
  <si>
    <t>INVXC-KYDEF-QZ0B5</t>
  </si>
  <si>
    <t>DQIDG-H6QH9-WG8PR</t>
  </si>
  <si>
    <t>0JPCH-5B9IE-RKT8A</t>
  </si>
  <si>
    <t>FCDYT-8RM5C-BAJ9N</t>
  </si>
  <si>
    <t>06BCE-I0B8V-7VYW0</t>
  </si>
  <si>
    <t>XQX5P-VK2ZT-FN9LC</t>
  </si>
  <si>
    <t>YF9BL-LXHC7-8AJTY</t>
  </si>
  <si>
    <t>RWP26-DY78N-HNH80</t>
  </si>
  <si>
    <t>LIXFJ-FZ05F-W0KRR</t>
  </si>
  <si>
    <t>VOIN</t>
  </si>
  <si>
    <t>83YPV-HHFRT-JIA26</t>
  </si>
  <si>
    <t>P6YMC-3L0PT-VQDEP</t>
  </si>
  <si>
    <t>T4FKR-K5KFC-2CTI6</t>
  </si>
  <si>
    <t>ENHNK-M0N8G-J2PYH</t>
  </si>
  <si>
    <t>G7L0R-WKXWM-2MIG7</t>
  </si>
  <si>
    <t>4I0Z9-KZA5M-3AIGV</t>
  </si>
  <si>
    <t>The Lord of the Rings: Return to Moria</t>
  </si>
  <si>
    <t>KCQKX-KR5AM-750MQ</t>
  </si>
  <si>
    <t>LYMRJ-ZJ0KY-HC0ZC</t>
  </si>
  <si>
    <t>P8V52-97P0V-HBBNV</t>
  </si>
  <si>
    <t>TFXEN-JZGRD-D0AFH</t>
  </si>
  <si>
    <t>The Forever Winter EU</t>
  </si>
  <si>
    <t>8HAAP-CAN36-P8L45</t>
  </si>
  <si>
    <t>GPR8N-HHZFB-E97LJ</t>
  </si>
  <si>
    <t>QPJHJ-T0CY6-CDJK6</t>
  </si>
  <si>
    <t>3VP08-EQ7AZ-Y07QR</t>
  </si>
  <si>
    <t>HPCAN-RAVBY-M4NQY</t>
  </si>
  <si>
    <t>JBIV9-B9JR7-RQGHV</t>
  </si>
  <si>
    <t>BPEPB-4YMQQ-HRW6H</t>
  </si>
  <si>
    <t>ZVP6R-9LN7P-CQZQF</t>
  </si>
  <si>
    <t>9B7IN-XWYD6-RPV7V</t>
  </si>
  <si>
    <t>K89D6-RV4K0-8N2VD</t>
  </si>
  <si>
    <t>LEVIJ-QWMKN-3KFQ0</t>
  </si>
  <si>
    <t>64M9H-CVG7F-7T3VX</t>
  </si>
  <si>
    <t>QPX47-PPNW5-JAP5E</t>
  </si>
  <si>
    <t>0TXTK-BEDHE-4WTDG</t>
  </si>
  <si>
    <t>02K7N-GN43D-EP6KP</t>
  </si>
  <si>
    <t>7C0AZ-JJ7GN-JJFHJ</t>
  </si>
  <si>
    <t>WTLCF-LBDHF-7X60J</t>
  </si>
  <si>
    <t>NCBBI-YYWW3-PX5AW</t>
  </si>
  <si>
    <t>65GDP-9X3XD-ZCY0B</t>
  </si>
  <si>
    <t>CL4TM-MZDP3-D042F</t>
  </si>
  <si>
    <t>BN2PC-FJGN4-Q42FR</t>
  </si>
  <si>
    <t>AKL58-CA89E-IEW35</t>
  </si>
  <si>
    <t>BZ36G-BHYNH-PE3XH</t>
  </si>
  <si>
    <t>ABB9C-VMRFC-M25J2</t>
  </si>
  <si>
    <t>Y2YEY-TCAJ3-XPBKT</t>
  </si>
  <si>
    <t>6A04B-JI4H3-4QHMP</t>
  </si>
  <si>
    <t>The Spirit of the Samurai</t>
  </si>
  <si>
    <t>WRZBR-N5EYJ-VREWK</t>
  </si>
  <si>
    <t>GI5A7-BPTMQ-6N76D</t>
  </si>
  <si>
    <t>YBRGR-798AI-0XJ7M</t>
  </si>
  <si>
    <t>BVM5K-AQYP7-67KW2</t>
  </si>
  <si>
    <t>MiSide</t>
  </si>
  <si>
    <t>ZHXFH-ZLP8I-IN5V4</t>
  </si>
  <si>
    <t>KL77R-WRDQB-AGFC5</t>
  </si>
  <si>
    <t>Wild Woods EU</t>
  </si>
  <si>
    <t>06X5F-5YZ86-ZHA42</t>
  </si>
  <si>
    <t>MiSide EU</t>
  </si>
  <si>
    <t>WK8TT-DZEGB-37M4A</t>
  </si>
  <si>
    <t>2XVDL-TKT4A-8BP7D</t>
  </si>
  <si>
    <t>HFHYT-06NNL-97Z6P</t>
  </si>
  <si>
    <t>XJCIW-G2H02-RTXTK</t>
  </si>
  <si>
    <t>CTVFM-RCK73-EVX7L</t>
  </si>
  <si>
    <t>J63IJ-KIRL4-EB0FC</t>
  </si>
  <si>
    <t>D3ITX-D7AJ9-ZF6BQ</t>
  </si>
  <si>
    <t>Alien: Rogue Incursion</t>
  </si>
  <si>
    <t>Q3I2D-LQKYI-IELJ2</t>
  </si>
  <si>
    <t>ZBW6F-VG67D-HB2GT</t>
  </si>
  <si>
    <t>ZZA9L-QE3VM-BG3QP</t>
  </si>
  <si>
    <t>VKMMH-FWLVI-4FAYN</t>
  </si>
  <si>
    <t>X3I2Y-REC0L-LZC50</t>
  </si>
  <si>
    <t>FCZXK-LD62J-RE8LI</t>
  </si>
  <si>
    <t>322DA-JPC59-GMCVC</t>
  </si>
  <si>
    <t>MATZP-9628P-2YWLC</t>
  </si>
  <si>
    <t>0JYKV-LYDCD-7LTY0</t>
  </si>
  <si>
    <t>3Q9NR-ERID3-V2TBP</t>
  </si>
  <si>
    <t>Y55HV-IG4WR-GK5F8</t>
  </si>
  <si>
    <t>NE86E-QNXFE-3TZ3D</t>
  </si>
  <si>
    <t>MX2P6-2CEY2-FBV7T</t>
  </si>
  <si>
    <t>C85QQ-JGTTT-GWWNH</t>
  </si>
  <si>
    <t>ZRAVI-BLV57-GWB87</t>
  </si>
  <si>
    <t>T5Z6I-TB79Q-MJLBK</t>
  </si>
  <si>
    <t>J0TVJ-ICIQT-P9W2F</t>
  </si>
  <si>
    <t>BA09K-DC2YZ-W42J2</t>
  </si>
  <si>
    <t>P7I92-F34V9-7NINP</t>
  </si>
  <si>
    <t>GKAEN-TXRLK-5V5R6</t>
  </si>
  <si>
    <t>4DEAB-FPJQ7-JNIDL</t>
  </si>
  <si>
    <t>42Z27-Y7NZN-EL9JM</t>
  </si>
  <si>
    <t>BE60K-EGXDY-4Z23K</t>
  </si>
  <si>
    <t>REQRY-E39J2-04T9P</t>
  </si>
  <si>
    <t>VJGXI-IE0PY-GX4LE</t>
  </si>
  <si>
    <t>FXP2Z-Z9AEH-QMCYJ</t>
  </si>
  <si>
    <t>DDZV3-JJNQV-GDTL8</t>
  </si>
  <si>
    <t>D8VVM-R4RFZ-GGMMC</t>
  </si>
  <si>
    <t>4D6VM-N6LR4-J458M</t>
  </si>
  <si>
    <t>HR3P7-GTFXG-H9VPA</t>
  </si>
  <si>
    <t>2KDQ0-NQK58-8IWXR</t>
  </si>
  <si>
    <t>7FWCX-4C0Z9-H0LDF</t>
  </si>
  <si>
    <t>46GEI-E6CZQ-76NE9</t>
  </si>
  <si>
    <t>G9TCG-BPKNL-7JNNC</t>
  </si>
  <si>
    <t>2CQVM-TVD66-7YAMI</t>
  </si>
  <si>
    <t>0ATJI-RAZ3M-I8GMT</t>
  </si>
  <si>
    <t>0A7GM-ZHNRP-V28FP</t>
  </si>
  <si>
    <t>7TDDC-9P7L9-EVL6I</t>
  </si>
  <si>
    <t>EY7RC-Y4ICG-9AA0M</t>
  </si>
  <si>
    <t>EZ44G-AQ3RV-ZEJRC</t>
  </si>
  <si>
    <t>CM9JZ-TICH0-MXFXE</t>
  </si>
  <si>
    <t>5WX02-F4TML-5W7RP</t>
  </si>
  <si>
    <t>X0ZY3-L97E3-V54P2</t>
  </si>
  <si>
    <t>NQQZV-VNV42-GBYLQ</t>
  </si>
  <si>
    <t>BR2V5-LYY5X-BPF7I</t>
  </si>
  <si>
    <t>VRY20-5IRM2-0FIG9</t>
  </si>
  <si>
    <t>LLFKH-GIPV9-QGLVV</t>
  </si>
  <si>
    <t>5PWZP-3Q50M-9N9PD</t>
  </si>
  <si>
    <t>4FHQQ-T4XLD-7F789</t>
  </si>
  <si>
    <t>TPJW2-JPY8Z-LIRGI</t>
  </si>
  <si>
    <t>7WBE2-4E53Y-Y279T</t>
  </si>
  <si>
    <t>Q0N5G-AHG6G-LKWNL</t>
  </si>
  <si>
    <t>Y0A3P-9DAJP-6CNDJ</t>
  </si>
  <si>
    <t>408JJ-TI73Q-QEGGP</t>
  </si>
  <si>
    <t>QRD4N-BN5LM-7C8VX</t>
  </si>
  <si>
    <t>AJ83L-2PDKK-MF0W0</t>
  </si>
  <si>
    <t>8HCLD-V9AR8-4CQ59</t>
  </si>
  <si>
    <t>9I7QJ-T69LJ-ILB58</t>
  </si>
  <si>
    <t>RPKNQ-DB3QV-LRLZK</t>
  </si>
  <si>
    <t>INEPC-A9CKZ-887HB</t>
  </si>
  <si>
    <t>M9KCE-MG564-Y75XK</t>
  </si>
  <si>
    <t>P45RQ-7R9VZ-NQV7J</t>
  </si>
  <si>
    <t>QQFZJ-TRVR2-V5DRC</t>
  </si>
  <si>
    <t>807N0-5H83G-0RA4T</t>
  </si>
  <si>
    <t>G4YGQ-JJMFM-CYAX8</t>
  </si>
  <si>
    <t>NRCNZ-XQIW6-ACTCM</t>
  </si>
  <si>
    <t>DLCF9-RZDBD-EEF5R</t>
  </si>
  <si>
    <t>LM98W-GDMAG-I7LNP</t>
  </si>
  <si>
    <t>3IK3Q-J0TFI-EYGRI</t>
  </si>
  <si>
    <t>056EA-96LE7-8M4ZQ</t>
  </si>
  <si>
    <t>ZZ9JZ-F36FR-WPVG2</t>
  </si>
  <si>
    <t>XXZPQ-TEQ8J-87H67</t>
  </si>
  <si>
    <t>TT5E3-X50VW-HK2WP</t>
  </si>
  <si>
    <t>GXE8Y-JP9RN-6BBE5</t>
  </si>
  <si>
    <t>QI6YJ-RLQ8D-YC5D3</t>
  </si>
  <si>
    <t>P3ZXN-GELI5-IVNX8</t>
  </si>
  <si>
    <t>34I5E-LPJHI-WQBXL</t>
  </si>
  <si>
    <t>97DAX-5J3NF-FAXI2</t>
  </si>
  <si>
    <t>G46JZ-L3RL2-DNJKW</t>
  </si>
  <si>
    <t>TN95R-6X5X0-V2BL8</t>
  </si>
  <si>
    <t>D4CTC-EB4ZV-FAPQT</t>
  </si>
  <si>
    <t>QHJ38-7TCB9-Y7GII</t>
  </si>
  <si>
    <t>A74VV-JFJP3-W7XAE</t>
  </si>
  <si>
    <t>KILL KNIGHT EU</t>
  </si>
  <si>
    <t>PA2FE-Z2JGC-6L349</t>
  </si>
  <si>
    <t>Leisure Suit Larry Bundle</t>
  </si>
  <si>
    <t>N3704-P5L8J-NF7YV</t>
  </si>
  <si>
    <t>MV0H6-5QZ82-PCQ2K</t>
  </si>
  <si>
    <t>QC3BK-ELJ8D-3QPB0</t>
  </si>
  <si>
    <t>4E4FK-FWQGC-H20F2</t>
  </si>
  <si>
    <t>4VZGG-PQ5BH-86HM9</t>
  </si>
  <si>
    <t>G78GB-QTBJX-58I2Z</t>
  </si>
  <si>
    <t>7AKI0-YEYW2-PFPXF</t>
  </si>
  <si>
    <t>QD6TG-MAWEI-FJHDC</t>
  </si>
  <si>
    <t>3K3QQ-2IAT9-D8432</t>
  </si>
  <si>
    <t>R4ZRH-AT9X8-CRF6T</t>
  </si>
  <si>
    <t>R8C4B-4C6LG-FEQD2</t>
  </si>
  <si>
    <t>7I70J-5Q9HJ-FHZ4R</t>
  </si>
  <si>
    <t>RJCYY-LR6D7-D6Z6G</t>
  </si>
  <si>
    <t>JZ2EL-NG2P0-AVFXT</t>
  </si>
  <si>
    <t>KHTZQ-XLP8E-4J92M</t>
  </si>
  <si>
    <t>HAFD8-8QE3K-CEMQK</t>
  </si>
  <si>
    <t>D8H4R-46LRX-F35LR</t>
  </si>
  <si>
    <t>BMTL0-IFHME-2M23V</t>
  </si>
  <si>
    <t>P0956-QWG66-LTEVE</t>
  </si>
  <si>
    <t>F60KK-DQTTD-M38BK</t>
  </si>
  <si>
    <t>4475A-T5Z3W-VBFMQ</t>
  </si>
  <si>
    <t>6FF0H-WK2MN-KIGWN</t>
  </si>
  <si>
    <t>AXEYD-CQRL9-9KZ6P</t>
  </si>
  <si>
    <t>JAINQ-ZZ007-K80ZT</t>
  </si>
  <si>
    <t>YA5KC-60ZMF-AWJBI</t>
  </si>
  <si>
    <t>C5FCN-CPW02-NTXR8</t>
  </si>
  <si>
    <t>Q3VWN-LRJV7-ZIL3B</t>
  </si>
  <si>
    <t>7TPE2-CTXKQ-826F5</t>
  </si>
  <si>
    <t>ND6LV-F8CGA-IEKB6</t>
  </si>
  <si>
    <t>LQQI5-7JRMC-TTA58</t>
  </si>
  <si>
    <t>NZX4Q-NAQHN-W702K</t>
  </si>
  <si>
    <t>DLQ0D-N880Q-6ILK2</t>
  </si>
  <si>
    <t>IJ2R4-ZYZF2-NI699</t>
  </si>
  <si>
    <t>IPJQD-L88LA-4I9GX</t>
  </si>
  <si>
    <t>CALMT-X3E38-AAXCA</t>
  </si>
  <si>
    <t>LRB7G-L2VDC-QW42Q</t>
  </si>
  <si>
    <t>45DYJ-H0LZM-6X34W</t>
  </si>
  <si>
    <t>0M2CR-VHGF3-50VZC</t>
  </si>
  <si>
    <t>DLD35-854ZJ-G5PJ5</t>
  </si>
  <si>
    <t>YQYKM-N2YKE-LI7E7</t>
  </si>
  <si>
    <t>AIPM7-NNJA4-MPTVG</t>
  </si>
  <si>
    <t>NQZ8N-TPJL5-WYVH2</t>
  </si>
  <si>
    <t>H7NR7-QWBAF-29DJ0</t>
  </si>
  <si>
    <t>C62KR-NTYD7-CVIX6</t>
  </si>
  <si>
    <t>MBXTN-R7PRM-6CMIW</t>
  </si>
  <si>
    <t>EY4Q9-XIRV7-H9QGV</t>
  </si>
  <si>
    <t>HBVPL-VJ8AA-J99NE</t>
  </si>
  <si>
    <t>FD808-77NTK-T3HAB</t>
  </si>
  <si>
    <t>932KA-22VY7-KZTXL</t>
  </si>
  <si>
    <t>DVBGX-M75LJ-BPWEV</t>
  </si>
  <si>
    <t>4XC5H-GPFB6-0W0EL</t>
  </si>
  <si>
    <t>A5RZW-M9CH8-43MEB</t>
  </si>
  <si>
    <t>638NQ-8FWT7-QDV8R</t>
  </si>
  <si>
    <t>02PE3-M9H3P-IEEBT</t>
  </si>
  <si>
    <t>24ECK-C22I7-6754B</t>
  </si>
  <si>
    <t>4CJJC-GQNQ0-GD7MH</t>
  </si>
  <si>
    <t>YJLYY-IJAKN-RAG9X</t>
  </si>
  <si>
    <t>Q543K-IX3TL-WTW0E</t>
  </si>
  <si>
    <t>7BDQT-40E08-KZLWH</t>
  </si>
  <si>
    <t>M7ZME-D3PVZ-D8K6B</t>
  </si>
  <si>
    <t>ZNVHC-RQBBY-PWRXL</t>
  </si>
  <si>
    <t>X9L4I-WBJ7E-79BGC</t>
  </si>
  <si>
    <t>V8TE9-RYYYD-A3AD0</t>
  </si>
  <si>
    <t>95RTL-IR5M6-FPWH6</t>
  </si>
  <si>
    <t>CJ5CT-D633V-7LIYY</t>
  </si>
  <si>
    <t>GVZ7I-V7Z8R-Y2WJ5</t>
  </si>
  <si>
    <t>30L4K-09VK2-7Y69Y</t>
  </si>
  <si>
    <t>XWJGD-3M55B-2J0QX</t>
  </si>
  <si>
    <t>EVPWE-3EZK4-I5QIA</t>
  </si>
  <si>
    <t>6C67K-KEGT2-ZYDRD</t>
  </si>
  <si>
    <t>2FPJH-HFRTK-NN357</t>
  </si>
  <si>
    <t>NZFVI-LAY9W-DL5TL</t>
  </si>
  <si>
    <t>L6PXH-YMJHL-BKTQ3</t>
  </si>
  <si>
    <t>MIV9B-V42PF-TL386</t>
  </si>
  <si>
    <t>T9I6Y-6H8G4-IHCBN</t>
  </si>
  <si>
    <t>DPQGM-74FMQ-YD8RC</t>
  </si>
  <si>
    <t>9BVTM-506T5-WT2R3</t>
  </si>
  <si>
    <t>MND39-0RZ69-FDWLK</t>
  </si>
  <si>
    <t>D7X6D-RR403-TFYZI</t>
  </si>
  <si>
    <t>5B5D9-P8R98-RA527</t>
  </si>
  <si>
    <t>3DXV2-JE5NX-NAVP5</t>
  </si>
  <si>
    <t>0ZWN0-N5748-NC6I2</t>
  </si>
  <si>
    <t>DPBW6-Q370J-NFR8P</t>
  </si>
  <si>
    <t>M9VAW-K6ZRV-QH4D3</t>
  </si>
  <si>
    <t>M5WDZ-CPYTZ-PQTAC</t>
  </si>
  <si>
    <t>E37JR-J7L8Z-CPQ6L</t>
  </si>
  <si>
    <t>MBR7X-QK604-M9EHJ</t>
  </si>
  <si>
    <t>T43MA-PYDD3-BVGX8</t>
  </si>
  <si>
    <t>E7XLY-07D5A-3LHQ3</t>
  </si>
  <si>
    <t>RFKGZ-3979P-3NWWG</t>
  </si>
  <si>
    <t>6YZ2K-HGL4G-4LHZK</t>
  </si>
  <si>
    <t>Z9HLJ-H0L64-N9N4X</t>
  </si>
  <si>
    <t>XX0DF-8K237-NKMXQ</t>
  </si>
  <si>
    <t>RJGJ7-YA5L3-NGZFH</t>
  </si>
  <si>
    <t>YIZYZ-5V356-WMY4J</t>
  </si>
  <si>
    <t>X7TNX-0M9TW-5X7RZ</t>
  </si>
  <si>
    <t>5DQ30-0VRT5-BPJAG</t>
  </si>
  <si>
    <t>43VVW-5LR9L-V5RQW</t>
  </si>
  <si>
    <t>HJ02J-Q8L4Q-JLHPH</t>
  </si>
  <si>
    <t>7RV28-DPWVH-HWMWY</t>
  </si>
  <si>
    <t>HQWFV-0GIC8-QHG9D</t>
  </si>
  <si>
    <t>V0WX3-IECI7-3JJC5</t>
  </si>
  <si>
    <t>DVXKR-BVVHL-395XV</t>
  </si>
  <si>
    <t>MFG0A-MPNAT-YTTXA</t>
  </si>
  <si>
    <t>3IMYX-CMICE-NZBL5</t>
  </si>
  <si>
    <t>YX252-RHAWI-EG85Y</t>
  </si>
  <si>
    <t>JP2IF-3L96H-M8M5H</t>
  </si>
  <si>
    <t>DY9L9-08J9Q-QI277</t>
  </si>
  <si>
    <t>6CZLY-0RFLJ-PB2MP</t>
  </si>
  <si>
    <t>DHR6P-05Q26-7CEPP</t>
  </si>
  <si>
    <t>BY3VZ-VL7GJ-IRFNZ</t>
  </si>
  <si>
    <t>FL88H-G8X88-JEV85</t>
  </si>
  <si>
    <t>FJ5F6-JM5RH-8CMVN</t>
  </si>
  <si>
    <t>Q2V2X-0GYMJ-GE4NB</t>
  </si>
  <si>
    <t>HRDDW-KFZGY-8WBNZ</t>
  </si>
  <si>
    <t>IGV9B-FV960-F0ZK6</t>
  </si>
  <si>
    <t>Red Matter 2</t>
  </si>
  <si>
    <t>08H8F-B4CMT-Y6ZHR</t>
  </si>
  <si>
    <t>DVEAN-94E65-FRKMM</t>
  </si>
  <si>
    <t>C3LKZ-M0Q34-M8K33</t>
  </si>
  <si>
    <t>2NXJ0-4PGWC-G0NLP</t>
  </si>
  <si>
    <t>ITHAT-EMX6E-XQQW9</t>
  </si>
  <si>
    <t>Elden Ring US</t>
  </si>
  <si>
    <t>3D2RP-0QV0W-2MP7F</t>
  </si>
  <si>
    <t>Q207V-ATILF-RGTB7</t>
  </si>
  <si>
    <t>VJGYL-PXPX5-GGXDF</t>
  </si>
  <si>
    <t>96F32-8CR4G-CL832</t>
  </si>
  <si>
    <t>ELC98-D96JM-NFVBE</t>
  </si>
  <si>
    <t>AR7GK-XXM5K-HLT5V</t>
  </si>
  <si>
    <t>X40KV-WB593-YH749</t>
  </si>
  <si>
    <t>VXXKD-52LDK-QA8KX</t>
  </si>
  <si>
    <t>EAAY5-B87IP-K42M3</t>
  </si>
  <si>
    <t>XBVK3-W9ERT-I9J8Y</t>
  </si>
  <si>
    <t>ECB5J-WXG3P-I5FFC</t>
  </si>
  <si>
    <t>2GZND-F0ZTT-G05J7</t>
  </si>
  <si>
    <t>TC5Z6-RFFF9-X7GJF</t>
  </si>
  <si>
    <t>I23D4-BZC86-J60ZR</t>
  </si>
  <si>
    <t>9HQQ2-BB5EG-CWG0P</t>
  </si>
  <si>
    <t>D4HCZ-ED5IJ-VP6QL</t>
  </si>
  <si>
    <t>MCFZZ-NTV5D-MBLKR</t>
  </si>
  <si>
    <t>L3G35-RB08G-BM9L9</t>
  </si>
  <si>
    <t>W87RH-J2DR2-HAHPI</t>
  </si>
  <si>
    <t>MJMTD-ACGJD-TZ7E6</t>
  </si>
  <si>
    <t>XCJL0-W7FM7-MT4V4</t>
  </si>
  <si>
    <t>Q7EGT-R86DH-NECDG</t>
  </si>
  <si>
    <t>NPWT4-WKJ2R-TT5LL</t>
  </si>
  <si>
    <t>WXCEL-X5J4E-QA28F</t>
  </si>
  <si>
    <t>56LLM-YATPK-Y5F38</t>
  </si>
  <si>
    <t>ZMPB8-RIQGF-3Z0QQ</t>
  </si>
  <si>
    <t>B45NQ-AC726-R60MR</t>
  </si>
  <si>
    <t>6R2LW-I84EN-GH2J5</t>
  </si>
  <si>
    <t>D99RC-QTW4I-QBWRZ</t>
  </si>
  <si>
    <t>43KFL-LQQ2L-VZVR6</t>
  </si>
  <si>
    <t>ZD9G9-P0QCX-6CD07</t>
  </si>
  <si>
    <t>CWRFG-8PYW4-HW30R</t>
  </si>
  <si>
    <t>Overthrown</t>
  </si>
  <si>
    <t>5Q20E-EAEK2-PDKFN</t>
  </si>
  <si>
    <t>Dragon's Dogma 2 US</t>
  </si>
  <si>
    <t>AGEA8-K4PB3-QACDL</t>
  </si>
  <si>
    <t>EG8IT-CHPQ8-Y4BP8</t>
  </si>
  <si>
    <t>7FRBG-LHQRQ-CQJW8</t>
  </si>
  <si>
    <t>ELIA7-EARIM-8MYTH</t>
  </si>
  <si>
    <t>NA2LP-I4EEN-J7X08</t>
  </si>
  <si>
    <t>97ZD9-9X3BJ-GN02R</t>
  </si>
  <si>
    <t>VII8D-KLIY3-L65MM</t>
  </si>
  <si>
    <t>8A3KB-YL6KL-2AK4I</t>
  </si>
  <si>
    <t>G2PVK-9D9X9-WWGA6</t>
  </si>
  <si>
    <t>3VJI7-MZVPG-Q3RRD</t>
  </si>
  <si>
    <t>KTGQI-F47TG-0APTH</t>
  </si>
  <si>
    <t>Planet Coaster 2</t>
  </si>
  <si>
    <t>VZ38G-EHZ8E-697BJ</t>
  </si>
  <si>
    <t>DEDFF-9T7XE-BY0GW</t>
  </si>
  <si>
    <t>R590I-X7YRC-VZAQN</t>
  </si>
  <si>
    <t>GTFO</t>
  </si>
  <si>
    <t>WZQ88-XGQKC-478AR</t>
  </si>
  <si>
    <t>MINMN-ENKFW-MT53N</t>
  </si>
  <si>
    <t>5F0M6-7NXFD-7CEFT</t>
  </si>
  <si>
    <t>QLPET-JHJJW-G4BBG</t>
  </si>
  <si>
    <t>YCR2W-0QTN3-YIM9C</t>
  </si>
  <si>
    <t>KXV9Y-V9HNF-APHKX</t>
  </si>
  <si>
    <t>ZKBEC-JXI9H-MMWM9</t>
  </si>
  <si>
    <t>Z00IK-4WH0D-ZXDGJ</t>
  </si>
  <si>
    <t>5TTNR-ZAVGN-QB5JR</t>
  </si>
  <si>
    <t>ZB5CP-CPL74-9WK3P</t>
  </si>
  <si>
    <t>NBA 2K25 EU</t>
  </si>
  <si>
    <t>DJNXJ-H9NP9-RDLWH</t>
  </si>
  <si>
    <t>Hell Let Loose: Ultimate Edition</t>
  </si>
  <si>
    <t>RNDIH-BWIJF-4M5IK</t>
  </si>
  <si>
    <t>Hell Let Loose: Ultimate Edition EU</t>
  </si>
  <si>
    <t>TH58J-890P4-W07D8</t>
  </si>
  <si>
    <t>CRW9I-T9R4B-4WQ7X</t>
  </si>
  <si>
    <t>FTBIV-4YG79-CEI5E</t>
  </si>
  <si>
    <t>HREQH-FYTA8-5B5F2</t>
  </si>
  <si>
    <t>85F5R-7IXHW-JXAPN</t>
  </si>
  <si>
    <t>DD04V-VNV28-EWDY0</t>
  </si>
  <si>
    <t>HIT78-4TH60-9R323</t>
  </si>
  <si>
    <t>DFKF3-4T3RK-L0W5B</t>
  </si>
  <si>
    <t>MCI7C-FEY2V-CZVNV</t>
  </si>
  <si>
    <t>KMCYF-XPJ0H-PIAHP</t>
  </si>
  <si>
    <t>FLJFD-TXH5L-DHM5M</t>
  </si>
  <si>
    <t>6VXJB-9A83D-PAWW6</t>
  </si>
  <si>
    <t>NGFBA-CERRV-LL9CG</t>
  </si>
  <si>
    <t>86KHC-4GQLB-FQV5M</t>
  </si>
  <si>
    <t>QJ7ZA-PB8WA-DZH3H</t>
  </si>
  <si>
    <t>XG056-ETY2M-LQPK4</t>
  </si>
  <si>
    <t>5KG8Q-X95WL-CH2GN</t>
  </si>
  <si>
    <t>6KB56-F7T3Z-J8LPB</t>
  </si>
  <si>
    <t>2IQA8-IDRPK-R9758</t>
  </si>
  <si>
    <t>5WK8M-BCBW8-B87GY</t>
  </si>
  <si>
    <t>726K7-DIBRQ-H78H6</t>
  </si>
  <si>
    <t>K3NXF-L2NI9-P5GZR</t>
  </si>
  <si>
    <t>AH2G0-B5YN7-Q00FB</t>
  </si>
  <si>
    <t>EWMPN-P2A65-0NIIM</t>
  </si>
  <si>
    <t>Frostpunk 2</t>
  </si>
  <si>
    <t>ZVFTG-RZYM3-JMXWR</t>
  </si>
  <si>
    <t>M7BH6-4E4YH-Y5TYV</t>
  </si>
  <si>
    <t>PAB6C-JJVTX-E7A8J</t>
  </si>
  <si>
    <t>0YD6K-P5RKF-GCJJ3</t>
  </si>
  <si>
    <t>PWYBX-KGH42-6Z3XF</t>
  </si>
  <si>
    <t>EVW52-KMTYP-G6ZWL</t>
  </si>
  <si>
    <t>TDG5V-BX4I7-DL7ZV</t>
  </si>
  <si>
    <t>PYXLM-ZFPEF-0CNT6</t>
  </si>
  <si>
    <t>8CMKJ-R9X84-QG35H</t>
  </si>
  <si>
    <t>BX8N4-GNEMX-85WIE</t>
  </si>
  <si>
    <t>30ZFZ-FM0V3-LKPC8</t>
  </si>
  <si>
    <t>ZWFP2-4XT0T-IJYQW</t>
  </si>
  <si>
    <t>Jotunnslayer: Hordes of Hel</t>
  </si>
  <si>
    <t>ENFVN-5P5NN-49Q2A</t>
  </si>
  <si>
    <t>F5YRG-7NA0T-D8I39</t>
  </si>
  <si>
    <t>7XN6Q-5KQ2V-AZYLN</t>
  </si>
  <si>
    <t>RZTTX-952AJ-WBNY8</t>
  </si>
  <si>
    <t>5ND43-BFM95-WZFCI</t>
  </si>
  <si>
    <t>V30QN-JJV77-72PZN</t>
  </si>
  <si>
    <t>DTAYD-99L2V-D99Z8</t>
  </si>
  <si>
    <t>EWHX0-2VT5K-3IKDQ</t>
  </si>
  <si>
    <t>EWV5G-6YK9X-3A9PC</t>
  </si>
  <si>
    <t>EWYXW-38ZFM-7KCDQ</t>
  </si>
  <si>
    <t>EALHE-WQ0JF-FGN5I</t>
  </si>
  <si>
    <t>ELYVA-Y6YCB-KZAQD</t>
  </si>
  <si>
    <t>KNFGJ-B0QZ3-XDE73</t>
  </si>
  <si>
    <t>MY8DM-K0IPZ-D0K0N</t>
  </si>
  <si>
    <t>Path of Exile 2 Early Access</t>
  </si>
  <si>
    <t>DifMark</t>
  </si>
  <si>
    <t>MTDKB-Y3MEL-RUXL9-X5ZQC</t>
  </si>
  <si>
    <t>NT96I-B9VYI-K8R4P</t>
  </si>
  <si>
    <t>MTCRX-CE9AT-5F234-TZT5Z</t>
  </si>
  <si>
    <t>MTUKE-HY576-PFE5V-3YYR7</t>
  </si>
  <si>
    <t>9WXAK-7FCNJ-30YHR</t>
  </si>
  <si>
    <t>MLMW9-FG5QX-Z58GW</t>
  </si>
  <si>
    <t>DB22B-6DD84-EQZN3</t>
  </si>
  <si>
    <t>XXRPC-RB7VC-RFKWN</t>
  </si>
  <si>
    <t>4474P-TQQ3C-ATVHE</t>
  </si>
  <si>
    <t>53XLC-JWPYX-ZMWAB</t>
  </si>
  <si>
    <t>MRGQJ-VIW76-FP7EG</t>
  </si>
  <si>
    <t>SYNDUALITY: Echo of Ada EU</t>
  </si>
  <si>
    <t>9DDD3-25C6Y-3CJL9</t>
  </si>
  <si>
    <t>L37VE-BCIF6-0ABAY</t>
  </si>
  <si>
    <t>GI62F-5ITMI-VYZFL</t>
  </si>
  <si>
    <t>3JPR7-62WA2-JITV5</t>
  </si>
  <si>
    <t>MR9DT-Z666F-0BE0F</t>
  </si>
  <si>
    <t>HCHLV-6WRLN-D8LWR</t>
  </si>
  <si>
    <t>TKX3I-Q977R-FR6HL</t>
  </si>
  <si>
    <t>AM6ED-EETCT-RR722</t>
  </si>
  <si>
    <t>9V3WF-6A3V4-VRNAK</t>
  </si>
  <si>
    <t>PK4PI-LY622-PXV7K</t>
  </si>
  <si>
    <t>Path of Exile 2 Early Access PC Official website</t>
  </si>
  <si>
    <t>MTJH5-B78GW-LZHYZ-S7NBS</t>
  </si>
  <si>
    <t>MTCS7-NV7NF-8HDUD-995B8</t>
  </si>
  <si>
    <t>K886M-72PDM-M6955</t>
  </si>
  <si>
    <t>WFW9I-YL0RY-864JD</t>
  </si>
  <si>
    <t>KH25T-4NI20-CXTTW</t>
  </si>
  <si>
    <t>XD468-2234A-6BR88</t>
  </si>
  <si>
    <t>METAL GEAR SOLID 2: Sons of Liberty - Master Collection Version EU</t>
  </si>
  <si>
    <t>B6GQW-QGIHJ-JYVBI</t>
  </si>
  <si>
    <t>G2G3H-BNQ9V-4LX3J</t>
  </si>
  <si>
    <t>XED8E-W9F7Q-4CG6H</t>
  </si>
  <si>
    <t>IZY4H-08LZP-RKX44</t>
  </si>
  <si>
    <t>KFD5T-0RJP4-DZXLJ</t>
  </si>
  <si>
    <t>NINJA GAIDEN 2 Black</t>
  </si>
  <si>
    <t>2VJ4A-5B22J-FEE65</t>
  </si>
  <si>
    <t>G.I. Joe: Wrath of Cobra</t>
  </si>
  <si>
    <t>PIGXB-6GX2N-B52KX</t>
  </si>
  <si>
    <t>Beyon</t>
  </si>
  <si>
    <t>Metaphor: ReFantazio EU</t>
  </si>
  <si>
    <t>M5LHR-G8R2Z-KZ6IT</t>
  </si>
  <si>
    <t>GACV6-QI4W4-BPI5M</t>
  </si>
  <si>
    <t>Mouthwashing</t>
  </si>
  <si>
    <t>EGQWK-RGIVA-7TFJH</t>
  </si>
  <si>
    <t>5BXB0-T8GED-ZLYXJ</t>
  </si>
  <si>
    <t>HELLDIVERS 2</t>
  </si>
  <si>
    <t>P9H74-2CK5W-TAF8J</t>
  </si>
  <si>
    <t>KINQM-BCLLD-D002D</t>
  </si>
  <si>
    <t>T54NZ-PRGQ7-RJ0KG</t>
  </si>
  <si>
    <t>L0FCZ-D70H2-63IAT</t>
  </si>
  <si>
    <t>AEMH9-70THR-39KGB</t>
  </si>
  <si>
    <t>V6GF6-3JKGE-B9BCM</t>
  </si>
  <si>
    <t>NVGMY-Q705N-MMG9L</t>
  </si>
  <si>
    <t>C3T9X-NBF3W-3DIMQ</t>
  </si>
  <si>
    <t>HTP4V-G6LZP-HQXJA</t>
  </si>
  <si>
    <t>03KXV-NF0JN-W9MZB</t>
  </si>
  <si>
    <t>658JM-N5ARY-RIFZ7</t>
  </si>
  <si>
    <t>Rift of the NecroDancer EU</t>
  </si>
  <si>
    <t>KXPDV-BTRGC-QL96F</t>
  </si>
  <si>
    <t>ZLEGY-0570N-QI680</t>
  </si>
  <si>
    <t>CRR5L-ABLPW-ND9V4</t>
  </si>
  <si>
    <t>NBDML-7LDTP-2PM9D</t>
  </si>
  <si>
    <t>TA58Z-JWJQV-IKF8T</t>
  </si>
  <si>
    <t>VP5I5-TPZHX-57LWI</t>
  </si>
  <si>
    <t>2JYRF-0K953-Q30CK</t>
  </si>
  <si>
    <t>ZEHTW-LWCHN-HVBPC</t>
  </si>
  <si>
    <t>H0PXF-LIAPP-0MFLQ</t>
  </si>
  <si>
    <t>Big Helmet Heroes</t>
  </si>
  <si>
    <t>Q45JC-JMHGC-8LT9Y</t>
  </si>
  <si>
    <t>CA4WT-M0J8T-BMT50</t>
  </si>
  <si>
    <t>EYA5I-92ZWN-025QA</t>
  </si>
  <si>
    <t>Thank Goodness You're Here!</t>
  </si>
  <si>
    <t>TKLMY-792G8-3LAI4</t>
  </si>
  <si>
    <t>032WE-HENZ9-KB0YT</t>
  </si>
  <si>
    <t>Reality Break</t>
  </si>
  <si>
    <t>DZT9E-V70V4-BJNAC</t>
  </si>
  <si>
    <t>56078-RKTDB-7IEWJ</t>
  </si>
  <si>
    <t>NJPY8-Z75C4-4MQZ7</t>
  </si>
  <si>
    <t>A Game About Digging A Hole</t>
  </si>
  <si>
    <t>AGMLF-6BJME-2KQR7</t>
  </si>
  <si>
    <t>Q4EG9-RTMRT-6NMHW</t>
  </si>
  <si>
    <t>J9RY5-ANLV7-Y3YPN</t>
  </si>
  <si>
    <t>086YT-DZ0DX-BQD4V</t>
  </si>
  <si>
    <t>TW037-BKFG0-MCIEH</t>
  </si>
  <si>
    <t>9F0ER-59RRC-32PJB</t>
  </si>
  <si>
    <t>KXQX4-TZJ2C-TXIZW</t>
  </si>
  <si>
    <t>KTJAF-AYMPJ-5RFNV</t>
  </si>
  <si>
    <t>AIHQL-IW7W5-5QRTP</t>
  </si>
  <si>
    <t>Kingdom Come: Deliverance II</t>
  </si>
  <si>
    <t>M5DER-QDTGN-CA7VH</t>
  </si>
  <si>
    <t>NH0YI-WDDCM-NDQHZ</t>
  </si>
  <si>
    <t>8B2WI-DI8YR-9YNX6</t>
  </si>
  <si>
    <t>FY6GT-K0GAH-WI3CI</t>
  </si>
  <si>
    <t>89NRK-K4PYD-8CJD2</t>
  </si>
  <si>
    <t>KAHLW-DB028-FE7X3</t>
  </si>
  <si>
    <t>0D40C-5RNFE-4RN5J</t>
  </si>
  <si>
    <t>2NYGW-N6F8Z-7CDFC</t>
  </si>
  <si>
    <t>6ZY9T-HP7WF-4GRB9</t>
  </si>
  <si>
    <t>I5LGM-7PD5Q-WB25A</t>
  </si>
  <si>
    <t>IY8E5-KK239-ZG8GL</t>
  </si>
  <si>
    <t>Door Kickers 2: Task Force North</t>
  </si>
  <si>
    <t>I8EJ0-GGNPN-CIXVT</t>
  </si>
  <si>
    <t>NTDE3-HRLHX-44LYG</t>
  </si>
  <si>
    <t>GN7E4-52N5Y-97KH5</t>
  </si>
  <si>
    <t>E35WH-VH65T-MPYI8</t>
  </si>
  <si>
    <t>VX3GY-6Z7BC-HB9JX</t>
  </si>
  <si>
    <t>5R0LR-B5RA5-P4Z94</t>
  </si>
  <si>
    <t>Farming Simulator 25</t>
  </si>
  <si>
    <t>HZVWZ-L5B43-MF26V</t>
  </si>
  <si>
    <t>LFMFP-HXC7V-TARLL</t>
  </si>
  <si>
    <t>RPZF5-88VWA-GXJXA</t>
  </si>
  <si>
    <t>050TX-M42DQ-6GGI9</t>
  </si>
  <si>
    <t>RCC63-ABIG5-WHE6F</t>
  </si>
  <si>
    <t>IJCA4-YZV97-PPTGP</t>
  </si>
  <si>
    <t>R4DME-V8JYE-HZ040</t>
  </si>
  <si>
    <t>HFRX0-XRE58-BZTFP</t>
  </si>
  <si>
    <t>CJTDP-CC96Q-YC4NY</t>
  </si>
  <si>
    <t>T6WC4-DD4NI-MVQCB</t>
  </si>
  <si>
    <t>2JQNA-85WNH-TWFYN</t>
  </si>
  <si>
    <t>0ZZKC-AVWPK-3PAC4</t>
  </si>
  <si>
    <t>G4Y8C-KPJQ9-0TCRI</t>
  </si>
  <si>
    <t>MP08Z-EWBLC-JXIE2</t>
  </si>
  <si>
    <t>JLHPC-B4R58-46BZG</t>
  </si>
  <si>
    <t>90HYT-H3FED-F840F</t>
  </si>
  <si>
    <t>Legacy Steel &amp; Sorcery</t>
  </si>
  <si>
    <t>T9HTE-Y9WFL-FT4E9</t>
  </si>
  <si>
    <t>95X8A-N5ZX5-XXCAG</t>
  </si>
  <si>
    <t>MQCE9-0LCHP-EMEKD</t>
  </si>
  <si>
    <t>Sid Meier's Civilization VII Deluxe Edition EU</t>
  </si>
  <si>
    <t>NGYH2-EJCHR-L6GNT</t>
  </si>
  <si>
    <t>0X56D-KNVWF-7XR0K</t>
  </si>
  <si>
    <t>XWL8I-DIVIZ-T8CBQ</t>
  </si>
  <si>
    <t>3TBGE-TP4GZ-XPNH0</t>
  </si>
  <si>
    <t>KHM6V-5CG5G-IPXH2</t>
  </si>
  <si>
    <t>ED2CT-IC5NZ-WBL9N</t>
  </si>
  <si>
    <t>GZW6V-PLTK9-KGDYD</t>
  </si>
  <si>
    <t>LPATV-7FP37-N29Y0</t>
  </si>
  <si>
    <t>5HNDX-XJCJP-48H26</t>
  </si>
  <si>
    <t>TVZIE-GQGW3-YLK7R</t>
  </si>
  <si>
    <t>Abiotic Factor</t>
  </si>
  <si>
    <t>NYXG8-YJ6IR-GZRMV</t>
  </si>
  <si>
    <t>F7MXR-XMNCE-X43Z7</t>
  </si>
  <si>
    <t>Football Manager 2024 EU</t>
  </si>
  <si>
    <t>QTWV6-G3G5W-AW382</t>
  </si>
  <si>
    <t>IJXXD-GNMJF-EGW5V</t>
  </si>
  <si>
    <t>Die in the Dungeon</t>
  </si>
  <si>
    <t>YITAH-99RY6-B87IN</t>
  </si>
  <si>
    <t>GHVCN-YYKGP-Y8DDP</t>
  </si>
  <si>
    <t>GLLE4-Y6KY4-XMVYF</t>
  </si>
  <si>
    <t>E89HF-N3LW2-3XT8J</t>
  </si>
  <si>
    <t>YXZG2-VPWWP-T40HW</t>
  </si>
  <si>
    <t>CBEBJ-QWFXT-0LCBM</t>
  </si>
  <si>
    <t>PJP2X-NRPIG-CH9VE</t>
  </si>
  <si>
    <t>LXJJK-0L90R-A3IKB</t>
  </si>
  <si>
    <t>6T43E-C869Y-FZRZK</t>
  </si>
  <si>
    <t>LBACB-H356P-YKZF5</t>
  </si>
  <si>
    <t>GK2DA-TIJ0M-BQEKC</t>
  </si>
  <si>
    <t>QTQ0K-I5F7C-VBAE0</t>
  </si>
  <si>
    <t>EYZQB-M8YQM-ZB4AI</t>
  </si>
  <si>
    <t>WRXWP-KWA77-846NN</t>
  </si>
  <si>
    <t>WPDLV-0NZJK-H7ZC3</t>
  </si>
  <si>
    <t>FHJJL-ADLMZ-WRRVW</t>
  </si>
  <si>
    <t>F4N9C-0NM0L-3KNCB</t>
  </si>
  <si>
    <t>4Y78B-M866G-7N7RG</t>
  </si>
  <si>
    <t>L0ZJE-DZJ27-M3I0Q</t>
  </si>
  <si>
    <t>Kingdom Come: Deliverance II Gold Edition EU</t>
  </si>
  <si>
    <t>9MXX3-4MNA9-X60XE</t>
  </si>
  <si>
    <t>ALJBM-R36IW-LYHCI</t>
  </si>
  <si>
    <t>MIPW7-CXF2Q-Z9IA2</t>
  </si>
  <si>
    <t>HIEFP-AAZDP-LXLTN</t>
  </si>
  <si>
    <t>NINJA GAIDEN 2 Black EU</t>
  </si>
  <si>
    <t>GGVI0-PHK0N-L2YTV</t>
  </si>
  <si>
    <t>WXDPT-93VMN-FJ5BH</t>
  </si>
  <si>
    <t>F5JEC-YVPBH-H8C6C</t>
  </si>
  <si>
    <t>9Q3VR-VA4MQ-LPF9D</t>
  </si>
  <si>
    <t>5AX67-3G7CK-IA8MJ</t>
  </si>
  <si>
    <t>JYXND-K6LCG-Q5XY0</t>
  </si>
  <si>
    <t>SILENT HILL 2 EU</t>
  </si>
  <si>
    <t>GV7CC-W4PRY-VXXQL</t>
  </si>
  <si>
    <t>RPX2K-7V3Z2-T7PT4</t>
  </si>
  <si>
    <t>5Y72X-3D74L-YTH87</t>
  </si>
  <si>
    <t>AF5Z5-VFW72-M5KZV</t>
  </si>
  <si>
    <t>KT5PL-5J07K-BAE3B</t>
  </si>
  <si>
    <t>3DFF0-9WKZK-LGM8G</t>
  </si>
  <si>
    <t>RA4J6-PDE8J-N2EDF</t>
  </si>
  <si>
    <t>PL2YA-2V0B5-FX7G7</t>
  </si>
  <si>
    <t>8V505-FKM6Z-E9WZK</t>
  </si>
  <si>
    <t>QZLGI-83KJ8-W5DWT</t>
  </si>
  <si>
    <t>ZTLKX-EVFYE-PFI9A</t>
  </si>
  <si>
    <t>54KFW-B8I50-5LV9X</t>
  </si>
  <si>
    <t>JMDH8-DJH22-MD4PL</t>
  </si>
  <si>
    <t>JNMYC-VGVBW-8HHDQ</t>
  </si>
  <si>
    <t>YFVEF-N2EP4-8DHZG</t>
  </si>
  <si>
    <t>DQTGI-TLWQT-B0BFJ</t>
  </si>
  <si>
    <t>7F2LE-QT7B5-0GPWQ</t>
  </si>
  <si>
    <t>QEJLD-94Y85-6PMIE</t>
  </si>
  <si>
    <t>MPEKE-9J3FN-ARJJ6</t>
  </si>
  <si>
    <t>ZRECX-9MIP8-WNDZ5</t>
  </si>
  <si>
    <t>Two Point Museum Explorer Edition EU</t>
  </si>
  <si>
    <t>XYEYC-BBJDE-7LK3D</t>
  </si>
  <si>
    <t>T4PBX-2M4GA-DFJ5E</t>
  </si>
  <si>
    <t>The Magister EU</t>
  </si>
  <si>
    <t>NT28L-NXN49-LZFDM</t>
  </si>
  <si>
    <t>Drill Core</t>
  </si>
  <si>
    <t>7NV9J-WBI7J-2P8CY</t>
  </si>
  <si>
    <t>HBGII-LBI9L-DLBYI</t>
  </si>
  <si>
    <t>WRMW2-0XQ7R-TG7K9</t>
  </si>
  <si>
    <t>X4VP6-GT2IY-X9VQX</t>
  </si>
  <si>
    <t>HJL3L-74WX4-RZRVN</t>
  </si>
  <si>
    <t>Ravenswatch EU</t>
  </si>
  <si>
    <t>KELYP-B99PL-8EW82</t>
  </si>
  <si>
    <t>Drug Dealer Simulator 2</t>
  </si>
  <si>
    <t>I5AQZ-4HG2A-57HHH</t>
  </si>
  <si>
    <t>2BEGE-4WVHA-C7MZF</t>
  </si>
  <si>
    <t>K7329-EZG2F-FDBG6</t>
  </si>
  <si>
    <t>Q06QH-4N2IB-I6VHW</t>
  </si>
  <si>
    <t>ND5RT-84LNK-7ZPTG</t>
  </si>
  <si>
    <t>Z8JMG-BR0G8-EWX23</t>
  </si>
  <si>
    <t>3AMCC-XTXXY-7R0P5</t>
  </si>
  <si>
    <t>7HDZ0-MNYG0-EYD4H</t>
  </si>
  <si>
    <t>DayZ EU</t>
  </si>
  <si>
    <t>NVNM9-HCXVC-2F7II</t>
  </si>
  <si>
    <t>HH2NG-6J7G4-FGHXA</t>
  </si>
  <si>
    <t>HJX3C-LZ2VK-ZVMTA</t>
  </si>
  <si>
    <t>TVXFB-Y7RBM-EHZP6</t>
  </si>
  <si>
    <t>A Tale of Paper: Refolded</t>
  </si>
  <si>
    <t>I8H0E-BLV6K-84IHL</t>
  </si>
  <si>
    <t>6NN9E-2AWHF-0ZIJ7</t>
  </si>
  <si>
    <t>EPK2X-N6769-WGEPE</t>
  </si>
  <si>
    <t>I3Y27-QNV9T-AJKVI</t>
  </si>
  <si>
    <t>Teslagrad Remastered</t>
  </si>
  <si>
    <t>R7A4Z-T22LA-0RQFQ</t>
  </si>
  <si>
    <t>L39LX-RYBHN-BDQD8</t>
  </si>
  <si>
    <t>FY29H-9GJ0H-68CYR</t>
  </si>
  <si>
    <t>55JK5-5PH5P-RCEPB</t>
  </si>
  <si>
    <t>H2NNQ-8BMZ5-MND5X</t>
  </si>
  <si>
    <t>APKI9-I7IZJ-GTEBD</t>
  </si>
  <si>
    <t>7C2IB-NXWCQ-RC5WX</t>
  </si>
  <si>
    <t>PJFRR-5LFGH-9HR2P</t>
  </si>
  <si>
    <t>Frostpunk 2 Deluxe Edition EU</t>
  </si>
  <si>
    <t>RR3T7-ZHNXP-HI7AE</t>
  </si>
  <si>
    <t>2DWPI-BQCMK-59Z2N</t>
  </si>
  <si>
    <t>RTNR2-AT8MC-XDC7K</t>
  </si>
  <si>
    <t>Warhammer 40,000: Space Marine 2</t>
  </si>
  <si>
    <t>H5DH4-M2C5Y-0ITY9</t>
  </si>
  <si>
    <t>8V4TP-YZIRJ-4FIP2</t>
  </si>
  <si>
    <t>VHH59-RZXKW-G0TZ7</t>
  </si>
  <si>
    <t>J5PC8-M3JFR-WCITW</t>
  </si>
  <si>
    <t>AHW5W-2JQB9-6JH7A</t>
  </si>
  <si>
    <t>5W85X-QVJN4-9Z8GK</t>
  </si>
  <si>
    <t>08LT4-4RIER-RWG0C</t>
  </si>
  <si>
    <t>CXZJD-VHG8L-T69R7</t>
  </si>
  <si>
    <t>Shields of Loyalty</t>
  </si>
  <si>
    <t>AEAAI-RIFHT-BF3BZ</t>
  </si>
  <si>
    <t>WPDFC-LIFY0-89C85</t>
  </si>
  <si>
    <t>TT5R9-QNDYD-JWCZG</t>
  </si>
  <si>
    <t>0JI9W-JA0MM-0MW72</t>
  </si>
  <si>
    <t>X85E5-VG33K-QZL70</t>
  </si>
  <si>
    <t>NMTXP-WGLGI-MDER6</t>
  </si>
  <si>
    <t>IV8DZ-L7B8T-0JFQB</t>
  </si>
  <si>
    <t>AFJYP-R907J-3XX9G</t>
  </si>
  <si>
    <t>473R3-ZMK5Q-NRY6E</t>
  </si>
  <si>
    <t>MDQGW-0K73Y-F4P9B</t>
  </si>
  <si>
    <t>White Noise 2</t>
  </si>
  <si>
    <t>W5HRB-KT6NB-5EJV5</t>
  </si>
  <si>
    <t>NL4WC-3PGNP-59YR9</t>
  </si>
  <si>
    <t>4BTXT-KPNAW-QRMIQ</t>
  </si>
  <si>
    <t>DKKH8-XX5FJ-ME749</t>
  </si>
  <si>
    <t>3RLED-GVLZJ-V4DEI</t>
  </si>
  <si>
    <t>3BW95-XV2IH-RM3ZK</t>
  </si>
  <si>
    <t>Sparklite</t>
  </si>
  <si>
    <t>FVPKQ-3WL37-LBZWH</t>
  </si>
  <si>
    <t>576J4-BHDVP-DHBA5</t>
  </si>
  <si>
    <t>JXYY8-9BV8L-K9M3Q</t>
  </si>
  <si>
    <t>E4ZWD-45I39-EHD73</t>
  </si>
  <si>
    <t>F88DA-E2VB0-ZR3FV</t>
  </si>
  <si>
    <t>TF3HM-KYLEY-MNBDQ</t>
  </si>
  <si>
    <t>X7RQY-5GEM6-ZPRH8</t>
  </si>
  <si>
    <t>4HEA8-9REJY-YFQRI</t>
  </si>
  <si>
    <t>GAMWR-EQYC7-ZL0NM</t>
  </si>
  <si>
    <t>K37RC-0KEXY-Y36HC</t>
  </si>
  <si>
    <t>Z4RJY-R5IMP-VTY55</t>
  </si>
  <si>
    <t>Creepy Tale 3: Ingrid Penance</t>
  </si>
  <si>
    <t>2H5NK-HG4FJ-9KD5T</t>
  </si>
  <si>
    <t>GG7PW-2M794-NJBLF</t>
  </si>
  <si>
    <t>6YFVT-34Q64-8X9ET</t>
  </si>
  <si>
    <t>ZHW4B-FG42K-2BTC8</t>
  </si>
  <si>
    <t>NMYEL-2KKKQ-DBLXD</t>
  </si>
  <si>
    <t>BJX8C-W4GJR-Q5A0K</t>
  </si>
  <si>
    <t>MM6DX-TN42B-ZF52R</t>
  </si>
  <si>
    <t>WKEL6-A0HAE-RMG8C</t>
  </si>
  <si>
    <t>Rise of the Ronin EU</t>
  </si>
  <si>
    <t>54GFZ-HQIWM-8D38R</t>
  </si>
  <si>
    <t>EXZDI-9ZDG6-D6ZX2</t>
  </si>
  <si>
    <t>CCDGR-P3XHG-D82YP</t>
  </si>
  <si>
    <t>Sniper Elite: Resistance EU</t>
  </si>
  <si>
    <t>542ZG-7A0T9-K3NXN</t>
  </si>
  <si>
    <t>Sid Meier's Civilization VII EU</t>
  </si>
  <si>
    <t>5KJEV-4PKP6-2C3RR</t>
  </si>
  <si>
    <t>QY462-00N68-R0DVT</t>
  </si>
  <si>
    <t>Z8P3N-QVH5L-IC2HQ</t>
  </si>
  <si>
    <t>8LDDZ-D5QA0-IN48I</t>
  </si>
  <si>
    <t>TKTEY-I8NWL-YGEED</t>
  </si>
  <si>
    <t>8ZVQT-DVDX8-HE9LG</t>
  </si>
  <si>
    <t>Dark Deity 2</t>
  </si>
  <si>
    <t>IYPCB-YVQGM-RWQ2H</t>
  </si>
  <si>
    <t>I83R2-5RRRJ-43870</t>
  </si>
  <si>
    <t>QYH5L-KN4HN-6CYNI</t>
  </si>
  <si>
    <t>KV5Z8-Z0D06-3CZYW</t>
  </si>
  <si>
    <t>Indiana Jones and the Great Circle</t>
  </si>
  <si>
    <t>LRVC3-5WNRD-4HA6L</t>
  </si>
  <si>
    <t>7P36G-45C3C-NERLP</t>
  </si>
  <si>
    <t>6X2D2-GECDZ-XZNAQ</t>
  </si>
  <si>
    <t>LMJVB-BEQ9M-4CNP4</t>
  </si>
  <si>
    <t>QL83P-X8D4M-TZV5V</t>
  </si>
  <si>
    <t>5C59A-T025Y-HL2N7</t>
  </si>
  <si>
    <t>Balatro EU</t>
  </si>
  <si>
    <t>YWBMJ-QX54B-JM2VB</t>
  </si>
  <si>
    <t>GXWER-MWMWH-BAQ4B</t>
  </si>
  <si>
    <t>MENCJ-JQZHA-T23PK</t>
  </si>
  <si>
    <t>5ZKIG-QIQ6H-0IBI0</t>
  </si>
  <si>
    <t>P7CQX-H7EVP-W8C2F</t>
  </si>
  <si>
    <t>LFDXT-RCX05-KJ6WL</t>
  </si>
  <si>
    <t>A5DI6-C9H79-VNY3G</t>
  </si>
  <si>
    <t>4FYZL-7RQ2E-TTB7Q</t>
  </si>
  <si>
    <t>H390A-E07QY-KJ3RD</t>
  </si>
  <si>
    <t>LN6GP-CN47P-BN535</t>
  </si>
  <si>
    <t>NZBVM-76J4E-PTXYP</t>
  </si>
  <si>
    <t>8299M-W9MG7-I92G2</t>
  </si>
  <si>
    <t>068AX-23PMD-MLLB4</t>
  </si>
  <si>
    <t>73I8Y-V7MI3-P4KY2</t>
  </si>
  <si>
    <t>Commandos: Origins</t>
  </si>
  <si>
    <t>90V9C-BLNEL-7ZXH9</t>
  </si>
  <si>
    <t>HY72P-MWGY6-ID0FA</t>
  </si>
  <si>
    <t>3GHTZ-WLKJK-ZTZ80</t>
  </si>
  <si>
    <t>DPIF3-PK28C-2ZGDE</t>
  </si>
  <si>
    <t>42CD6-AW729-2A77G</t>
  </si>
  <si>
    <t>5TV2D-YTRNB-FZEKF</t>
  </si>
  <si>
    <t>QY8W5-BVZLG-9ZKAB</t>
  </si>
  <si>
    <t>2H78Q-JRLRC-X5LWR</t>
  </si>
  <si>
    <t>GY2I8-GC8VA-403Z5</t>
  </si>
  <si>
    <t>EAMW3-33EQ2-LTFD4</t>
  </si>
  <si>
    <t>5A407-E8IHE-2605Y</t>
  </si>
  <si>
    <t>X74A3-G5N76-G4FKJ</t>
  </si>
  <si>
    <t>K8PGW-IWH4Z-9BNJK</t>
  </si>
  <si>
    <t>WR2LL-34R0B-HJP96</t>
  </si>
  <si>
    <t>AJWJD-3A8PF-KQLKB</t>
  </si>
  <si>
    <t>AI LIMIT</t>
  </si>
  <si>
    <t>55IET-ZCZ5B-VG0D0</t>
  </si>
  <si>
    <t>H6CLK-BXBN3-ABVIV</t>
  </si>
  <si>
    <t>G570W-FBKTL-C9RL4</t>
  </si>
  <si>
    <t>FR0DP-D7BXJ-YBDZQ</t>
  </si>
  <si>
    <t>Roman Triumph: Survival City Builder EU</t>
  </si>
  <si>
    <t>NQT82-0ATII-IFGEN</t>
  </si>
  <si>
    <t>6T5YG-D0NE4-METHF</t>
  </si>
  <si>
    <t>C7BME-JTMT8-0HFR6</t>
  </si>
  <si>
    <t>YZ0D5-HVFDH-3R9BC</t>
  </si>
  <si>
    <t>YIQRR-W6VNE-QATC6</t>
  </si>
  <si>
    <t>NY2XB-CW0MW-TRBMF</t>
  </si>
  <si>
    <t>RVK9C-WQPTR-B9JZD</t>
  </si>
  <si>
    <t>CI4QB-DMJTN-5BFGJ</t>
  </si>
  <si>
    <t>KMCXE-8W4CQ-7NJNP</t>
  </si>
  <si>
    <t>NMNL3-YQCEW-PAMIF</t>
  </si>
  <si>
    <t>3G55W-LMDHV-C4Y8N</t>
  </si>
  <si>
    <t>9M2VG-RDTFJ-G0GTG</t>
  </si>
  <si>
    <t>Crashlands 2</t>
  </si>
  <si>
    <t>AVTRD-E0RKQ-I5836</t>
  </si>
  <si>
    <t>IF9EX-8573W-DQZ9A</t>
  </si>
  <si>
    <t>8474Y-42D9G-E8G5L</t>
  </si>
  <si>
    <t>87D2D-LB9FG-D7GKV</t>
  </si>
  <si>
    <t>3LQ9A-LRRB3-DF73H</t>
  </si>
  <si>
    <t>6GRKT-W7GM7-PY8J5</t>
  </si>
  <si>
    <t>Mandragora: Whispers of the Witch Tree</t>
  </si>
  <si>
    <t>T69VN-WNB7J-KM4CJ</t>
  </si>
  <si>
    <t>Mandragora: Whispers of the Witch Tree EU</t>
  </si>
  <si>
    <t>XH2Y3-49WXC-CCZ2T</t>
  </si>
  <si>
    <t>QK3X0-CI83M-EEVE8</t>
  </si>
  <si>
    <t>XE3V2-A7JN9-88Q4Z</t>
  </si>
  <si>
    <t>Lost Skies</t>
  </si>
  <si>
    <t>CYQY8-AYKKI-E24A8</t>
  </si>
  <si>
    <t>GEPDV-Q3Z6G-B94JN</t>
  </si>
  <si>
    <t>EEGD6-RA6LG-CC22X</t>
  </si>
  <si>
    <t>W527V-XNCAK-X2H0P</t>
  </si>
  <si>
    <t>XXMKA-7GGRR-A9A0I</t>
  </si>
  <si>
    <t>LP05F-EHLQG-6XB49</t>
  </si>
  <si>
    <t>Mandragora: Whispers of the Witch Tree Deluxe Edition EU</t>
  </si>
  <si>
    <t>YJYYI-M7AIC-JEYLQ</t>
  </si>
  <si>
    <t>H5VGX-BQEP0-KHKMT</t>
  </si>
  <si>
    <t>Pax Augusta EU</t>
  </si>
  <si>
    <t>L6RJ2-FCY9L-29RFL</t>
  </si>
  <si>
    <t>750X6-A4LT5-ZFPN5</t>
  </si>
  <si>
    <t>Neighbors: Suburban Warfare</t>
  </si>
  <si>
    <t>IPWRH-XBV7D-JTET7</t>
  </si>
  <si>
    <t>The Elder Scrolls IV: Oblivion Remastered Deluxe Edition EU</t>
  </si>
  <si>
    <t>E60IJ-6VR00-GLZQF</t>
  </si>
  <si>
    <t>RJZIJ-IQWHQ-LWX4Y</t>
  </si>
  <si>
    <t>JG564-DLCNZ-0KYIK</t>
  </si>
  <si>
    <t>HHE6N-8IM55-EHFIC</t>
  </si>
  <si>
    <t>EQDA6-GWQMA-PTRK0</t>
  </si>
  <si>
    <t>D68MC-EH3PQ-2VH6X</t>
  </si>
  <si>
    <t>WPFAR-6EGW8-7WY73</t>
  </si>
  <si>
    <t xml:space="preserve">The Hundred Line: Last Defense Academy </t>
  </si>
  <si>
    <t>DH8YN-YZDT7-6JTBC</t>
  </si>
  <si>
    <t>The Hundred Line: Last Defense Academy</t>
  </si>
  <si>
    <t>QH7NR-5HYCC-42KTW</t>
  </si>
  <si>
    <t>5QZ9C-JQ5IJ-GR7NE</t>
  </si>
  <si>
    <t>68LLN-YJ952-976EC</t>
  </si>
  <si>
    <t>CYWMW-IA37M-26LZQ</t>
  </si>
  <si>
    <t>DR08W-GV5GV-6PDFH</t>
  </si>
  <si>
    <t>MH3DG-VCQJF-AQXWG</t>
  </si>
  <si>
    <t>MB2VA-8BKGC-DETH9</t>
  </si>
  <si>
    <t>VEAAM-T3J5F-TD69R</t>
  </si>
  <si>
    <t>IYZWJ-7HLR9-J7XFI</t>
  </si>
  <si>
    <t>AZC4I-QZET8-H6TIE</t>
  </si>
  <si>
    <t>KDHYE-VHLY4-4FNZJ</t>
  </si>
  <si>
    <t>NBA 2K25: All-Star Edition EU</t>
  </si>
  <si>
    <t>A5200-9NRMZ-DWYZN</t>
  </si>
  <si>
    <t>IKAJY-WAB6I-GP385</t>
  </si>
  <si>
    <t>YFHRF-QNRYR-LKXV3</t>
  </si>
  <si>
    <t>QM52D-XLRPV-CVI99</t>
  </si>
  <si>
    <t>MEMORIAPOLIS</t>
  </si>
  <si>
    <t>5ZQMH-5BLRG-5A54X</t>
  </si>
  <si>
    <t>2LLPF-08NPT-3ZLF7</t>
  </si>
  <si>
    <t>BHT0N-947C9-BXBH3</t>
  </si>
  <si>
    <t>Warfare Legacy Collection</t>
  </si>
  <si>
    <t>HPC27-TR53C-6IQEY</t>
  </si>
  <si>
    <t>2I7EJ-RHDK9-MJCK5</t>
  </si>
  <si>
    <t>E5C8R-5ACTJ-P2QY7</t>
  </si>
  <si>
    <t>JWF2H-NX6I9-99BBP</t>
  </si>
  <si>
    <t>RailGods of Hysterra</t>
  </si>
  <si>
    <t>NQKGF-WLJ3R-G9076</t>
  </si>
  <si>
    <t>9Z2ET-PEJCT-FEWDG</t>
  </si>
  <si>
    <t>Drop Duchy EU</t>
  </si>
  <si>
    <t>M7ICT-2PDL6-CI7PX</t>
  </si>
  <si>
    <t>AE0V5-N295D-VCTM3</t>
  </si>
  <si>
    <t>348ZJ-B2NRG-2TLAD</t>
  </si>
  <si>
    <t>JPAK8-AKJD2-RF2A6</t>
  </si>
  <si>
    <t>PCKBW-LILZB-2MN92</t>
  </si>
  <si>
    <t>ZYNNK-D6PPI-8TBYL</t>
  </si>
  <si>
    <t>Revenge of the Savage Planet</t>
  </si>
  <si>
    <t xml:space="preserve">B0PDV-8T2IR-KQRT0
</t>
  </si>
  <si>
    <t>Gray Zone Warfare EU</t>
  </si>
  <si>
    <t>E5Q94-QHE50-HFJRM</t>
  </si>
  <si>
    <t>DPH7I-IK37J-0F0G9</t>
  </si>
  <si>
    <t>5ZLVE-447IW-KAE05</t>
  </si>
  <si>
    <t>0W7RD-5TJK9-VMHJ2</t>
  </si>
  <si>
    <t>QFXJ3-VM0JJ-IGTET</t>
  </si>
  <si>
    <t>5PH05-CWPQQ-EYFWD</t>
  </si>
  <si>
    <t>2XH0F-G7C04-6GF7E</t>
  </si>
  <si>
    <t>30WYH-MWMP5-NTM60</t>
  </si>
  <si>
    <t>EKJMA-FVVF0-NG9J9</t>
  </si>
  <si>
    <t>80NYL-5TDW8-9LXTX</t>
  </si>
  <si>
    <t>FPXW3-PXJXT-RZWVJ</t>
  </si>
  <si>
    <t>TJ0XZ-VCLFZ-RDHIM</t>
  </si>
  <si>
    <t>EFMBT-K3ACD-L9H08</t>
  </si>
  <si>
    <t>Q5ICK-C8AEB-PE8Z8</t>
  </si>
  <si>
    <t>603IF-M9503-73WRC</t>
  </si>
  <si>
    <t>Atomfall Deluxe Edition EU</t>
  </si>
  <si>
    <t>T8GP2-PPIJF-QZAVA</t>
  </si>
  <si>
    <t>766YT-FA0MB-QGH8Y</t>
  </si>
  <si>
    <t>EHY64-EM33F-ELZXN</t>
  </si>
  <si>
    <t>YC3FQ-JR47I-85VM5</t>
  </si>
  <si>
    <t>The Precinct</t>
  </si>
  <si>
    <t>GZDRZ-WWTV9-5FT3X</t>
  </si>
  <si>
    <t>Tower Dominion EU</t>
  </si>
  <si>
    <t>YHZ7X-PLA3K-Q344D</t>
  </si>
  <si>
    <t>5EA8B-IGJWK-5BEZI</t>
  </si>
  <si>
    <t>5EJNR-ZXAD6-BHIWR</t>
  </si>
  <si>
    <t>WWLYH-NPGRW-BT0T3</t>
  </si>
  <si>
    <t>Yes, Your Grace 2: Snowfall</t>
  </si>
  <si>
    <t>ZJHK6-7D0B3-799GE</t>
  </si>
  <si>
    <t>BZQ5M-9TD3C-R5758</t>
  </si>
  <si>
    <t>78DRL-3NPFQ-86KJQ</t>
  </si>
  <si>
    <t>E5KT3-H8YAA-94YQ2</t>
  </si>
  <si>
    <t>Hunt: Showdown 1896</t>
  </si>
  <si>
    <t>RFCFV-IJEQZ-MLZHW</t>
  </si>
  <si>
    <t>EPE95-KVGIP-TGDB2</t>
  </si>
  <si>
    <t>RAZ4N-GB5FD-5YVBN</t>
  </si>
  <si>
    <t>The Elder Scrolls IV: Oblivion Remastered</t>
  </si>
  <si>
    <t>54XK4-G3H5N-MGZ8K</t>
  </si>
  <si>
    <t>2TZT9-P5JCW-GVA8M</t>
  </si>
  <si>
    <t>9L8EZ-YPX00-AQ48Q</t>
  </si>
  <si>
    <t>K22NA-EEWCA-KAE3H</t>
  </si>
  <si>
    <t>P40KZ-XA7QK-NHE7Y</t>
  </si>
  <si>
    <t>HGQ9L-Y9I7G-H9JN8</t>
  </si>
  <si>
    <t>Streamer Life Simulator 2</t>
  </si>
  <si>
    <t>WGN73-F002P-5KJXN</t>
  </si>
  <si>
    <t>VXZ6W-386FV-2VNJL</t>
  </si>
  <si>
    <t>Add the key to Kinguin</t>
  </si>
  <si>
    <t>PACEQ-FZJYL-7NKEH</t>
  </si>
  <si>
    <t>TTW32-GW9ZJ-X7PAA</t>
  </si>
  <si>
    <t>67T6Y-FQQF0-DVV6N</t>
  </si>
  <si>
    <t>P9598-LRLF8-A3Q04</t>
  </si>
  <si>
    <t>0KH97-3N32P-RHQ8R</t>
  </si>
  <si>
    <t>BGWRP-6045E-H9ILV</t>
  </si>
  <si>
    <t>WWCHA-APPWF-4T6P0</t>
  </si>
  <si>
    <t>LXHLT-YDB77-XWRFK</t>
  </si>
  <si>
    <t>EVG40-Y4RY2-J0GK4</t>
  </si>
  <si>
    <t>Drop Duchy</t>
  </si>
  <si>
    <t>H23EH-KQ6PQ-XXNLI</t>
  </si>
  <si>
    <t>L5WWH-Y057A-6DZR0</t>
  </si>
  <si>
    <t>hotmail</t>
  </si>
  <si>
    <t>M32ZI-WB7F6-DLIHQ</t>
  </si>
  <si>
    <t>onmail</t>
  </si>
  <si>
    <t>4BB30-5M5LP-P2NFN</t>
  </si>
  <si>
    <t>X7Z0G-TG8R4-LTJ02</t>
  </si>
  <si>
    <t>Pure Farming 2018 Deluxe Edition</t>
  </si>
  <si>
    <t>5A6P5-0XHDC-X4JBG</t>
  </si>
  <si>
    <t>5TW2I-4G76R-2VZ8G</t>
  </si>
  <si>
    <t>10% - UDqKLDipgzG5kd</t>
  </si>
  <si>
    <t>K72BL-DRBEL-2KMDE</t>
  </si>
  <si>
    <t>4L3AB-A98R3-G7MKW</t>
  </si>
  <si>
    <t>Broken Sword 5 - the Serpent's Curse</t>
  </si>
  <si>
    <t>EZN8G-GVD3M-WEBME</t>
  </si>
  <si>
    <t>JHID0-8KNYR-XIIEJ</t>
  </si>
  <si>
    <t>IB675-62AFZ-3T3W4</t>
  </si>
  <si>
    <t>DIRJG-I7QIR-TF8K7</t>
  </si>
  <si>
    <t>Bomber Crew Deluxe Edition</t>
  </si>
  <si>
    <t>B4N9P-D368G-X0VV2</t>
  </si>
  <si>
    <t>95ZM6-L5QZN-95K0E</t>
  </si>
  <si>
    <t>KABBX-TME8I-VGD9G</t>
  </si>
  <si>
    <t>BN8EC-KYH22-RYXRZ</t>
  </si>
  <si>
    <t>B9LRC-58353-HW3MA</t>
  </si>
  <si>
    <t>R4TEW-HIVDL-LMKEK</t>
  </si>
  <si>
    <t>UDZNzHBXHPXSAe - 1$</t>
  </si>
  <si>
    <t>NAVR0-XVTT4-92JP3</t>
  </si>
  <si>
    <t>FGIPF-8F8G5-X5N77</t>
  </si>
  <si>
    <t>XL0PG-XZJH6-6Y9RJ</t>
  </si>
  <si>
    <t>UD6wGT32Xgzzmk - 1$</t>
  </si>
  <si>
    <t>8ZAXW-PIDQ9-58C8K</t>
  </si>
  <si>
    <t>UD4teESCgx267a - 10%</t>
  </si>
  <si>
    <t>METZR-2RGYA-QYJAX</t>
  </si>
  <si>
    <t>YKVH7-RFIT4-DD2IV</t>
  </si>
  <si>
    <t>AI LIMIT EU</t>
  </si>
  <si>
    <t>ADZLH-7MCF4-R8AXN</t>
  </si>
  <si>
    <t>R7DR8-MXRZF-VV2HL</t>
  </si>
  <si>
    <t>Onimusha 2: Samurai’s Destiny EU</t>
  </si>
  <si>
    <t>TVPV7-8QI68-ZRL7K</t>
  </si>
  <si>
    <t>IZIYF-GBAPW-DEJYC</t>
  </si>
  <si>
    <t>REAVER</t>
  </si>
  <si>
    <t>RF6W0-MD49P-7CZZA</t>
  </si>
  <si>
    <t>Tales of Seikyu EU</t>
  </si>
  <si>
    <t>6YXAB-RMIRT-XRTGR</t>
  </si>
  <si>
    <t>28690-EG4WB-HYGGZ</t>
  </si>
  <si>
    <t>L2LTP-FAFF6-7WCNL</t>
  </si>
  <si>
    <t>43G7Q-8292Z-32GQY</t>
  </si>
  <si>
    <t>29R5G-AG8KX-Y2YQB</t>
  </si>
  <si>
    <t>P8T04-LMYWI-IV9CL</t>
  </si>
  <si>
    <t>Z73EH-5FNMG-JAZEC</t>
  </si>
  <si>
    <t>RC6B5-7Y0Z8-P9MTF</t>
  </si>
  <si>
    <t>UDhZxE4tbwjUa2 - 1$</t>
  </si>
  <si>
    <t>CKW7H-JKDGF-KXC02</t>
  </si>
  <si>
    <t>UDdLB8B2N2aA7W - 10%</t>
  </si>
  <si>
    <t>EG4I2-JFJIC-L785G</t>
  </si>
  <si>
    <t>FHR9N-3N7Y6-QB7C4</t>
  </si>
  <si>
    <t>KYQHJ-FIE92-NF5X6</t>
  </si>
  <si>
    <t>UDjzHsj51L8Cd9</t>
  </si>
  <si>
    <t>WZR7T-NWENI-E6I0D</t>
  </si>
  <si>
    <t>LI2ZW-33YG3-ZPVKR</t>
  </si>
  <si>
    <t>ADGDH-P8443-JLNZK</t>
  </si>
  <si>
    <t>82QHC-Y45EG-4ZQ0M</t>
  </si>
  <si>
    <t>Grandma, No!</t>
  </si>
  <si>
    <t>VPMYK-ZLZDM-9KLCQ</t>
  </si>
  <si>
    <t>KAISERPUNK</t>
  </si>
  <si>
    <t>TCBNC-BT5HW-CBL5Y</t>
  </si>
  <si>
    <t>NBA 2K25: All-Star Edition</t>
  </si>
  <si>
    <t>80YHW-4D8JY-F0LLH</t>
  </si>
  <si>
    <t>Goat Simulator 3</t>
  </si>
  <si>
    <t>7LMHI-KJGZQ-0L4V4</t>
  </si>
  <si>
    <t>8JV0F-RTWA8-RAAPH</t>
  </si>
  <si>
    <t>DJ5PE-R2E4A-AV2XP</t>
  </si>
  <si>
    <t>AG79G-QEB0D-MN78J</t>
  </si>
  <si>
    <t>5CQZC-V8CNF-K6QC3</t>
  </si>
  <si>
    <t>DFWXP-0JPBY-Q8F6I</t>
  </si>
  <si>
    <t>2JRAW-I2QLY-WKRL8</t>
  </si>
  <si>
    <t>P9WP2-TWAHK-62E9Y</t>
  </si>
  <si>
    <t>ZLDCQ-6K3C9-YGDKJ</t>
  </si>
  <si>
    <t>ZQE5D-I5YDD-77YCX</t>
  </si>
  <si>
    <t>8IIY0-4BICR-GFG2L</t>
  </si>
  <si>
    <t>The Last of Us Part 1 Digital Deluxe Edition</t>
  </si>
  <si>
    <t>XK328-9R35H-QENPN</t>
  </si>
  <si>
    <t>AMAL0-62RNP-W4FJ0</t>
  </si>
  <si>
    <t>IMWRL-AZZWC-HJQYQ</t>
  </si>
  <si>
    <t>B23IW-QM62R-E3BCC</t>
  </si>
  <si>
    <t>7JCC5-BWCYI-FZYIG</t>
  </si>
  <si>
    <t>J2XN3-DV2I7-LEIKP</t>
  </si>
  <si>
    <t>F3FRQ-9H2FJ-5P4DN</t>
  </si>
  <si>
    <t>ALQRR-NWP5D-MHJR3</t>
  </si>
  <si>
    <t>XXAFQ-RY0P6-2V7IJ</t>
  </si>
  <si>
    <t>BQAVD-CV8EQ-MQJYI</t>
  </si>
  <si>
    <t>Cash Cleaner Simulator EU</t>
  </si>
  <si>
    <t>6G7CW-MQJB7-G0TZK</t>
  </si>
  <si>
    <t>Automate It: Factory Puzzle EU</t>
  </si>
  <si>
    <t>VDEX9-9P70Q-VCVYP</t>
  </si>
  <si>
    <t>9P62A-9GN88-4W9I6</t>
  </si>
  <si>
    <t>J957Y-PDQQ4-88PCW</t>
  </si>
  <si>
    <t>QW2LY-QRGCT-HJBYK</t>
  </si>
  <si>
    <t>6LFC8-3BAZF-6MRMM</t>
  </si>
  <si>
    <t>The First Berserker: Khazan</t>
  </si>
  <si>
    <t>4MP4Z-MK9ZC-F3L8E</t>
  </si>
  <si>
    <t>PQCYM-ZCI7Z-GIL25</t>
  </si>
  <si>
    <t>N7XYC-GFWQ4-3LKJ4</t>
  </si>
  <si>
    <t>FFRCW-2HI2Y-LBXNM</t>
  </si>
  <si>
    <t>LNQHX-8C42F-Y5204</t>
  </si>
  <si>
    <t>B22Z7-Q7QTZ-NMHF7</t>
  </si>
  <si>
    <t>K9430-XRARN-9W2VN</t>
  </si>
  <si>
    <t>MN4QL-HYVCK-DZJEF</t>
  </si>
  <si>
    <t>5KZY9-WCWGI-YJ9JL</t>
  </si>
  <si>
    <t>JZZLI-KII2P-NX2XF</t>
  </si>
  <si>
    <t>DA9X7-8KCC8-RIWIE</t>
  </si>
  <si>
    <t>48VYI-C3Q5R-EH8PB</t>
  </si>
  <si>
    <t>0Y4GK-E68ZL-7BM7D</t>
  </si>
  <si>
    <t>Returnal</t>
  </si>
  <si>
    <t>Pipistrello and the Cursed Yoyo</t>
  </si>
  <si>
    <t>DZGCH-K070I-M5MM8</t>
  </si>
  <si>
    <t>CHENM-9572K-8BV4D</t>
  </si>
  <si>
    <t>C3EEW-R2N4H-ZVBIB</t>
  </si>
  <si>
    <t>EYJDP-LIGQG-ILDNT</t>
  </si>
  <si>
    <t>C0IB3-YV200-4INY0</t>
  </si>
  <si>
    <t>4AZRH-LLPXJ-R3JM2</t>
  </si>
  <si>
    <t>XHCD6-9NJN3-XTQ89</t>
  </si>
  <si>
    <t>VTXRJ-D77V7-6W49Y</t>
  </si>
  <si>
    <t>GZNRI-EQRVA-H4WGY</t>
  </si>
  <si>
    <t>Pro Cycling Manager 2025 RoW</t>
  </si>
  <si>
    <t>7YAK7-ZPPFX-650A5</t>
  </si>
  <si>
    <t>6JATQ-79DTL-NN8BX</t>
  </si>
  <si>
    <t>Sid Meier's Civilization V</t>
  </si>
  <si>
    <t>ZEI23-BQBAK-H3AAW</t>
  </si>
  <si>
    <t>HLE3D-CPWY4-5JFI9</t>
  </si>
  <si>
    <t xml:space="preserve">LG78J-WQ6NL-99J3D
</t>
  </si>
  <si>
    <t>8BGV9-F8LV8-CX20F</t>
  </si>
  <si>
    <t>Black Myth: Wukong</t>
  </si>
  <si>
    <t>GTCBZ-I9237-K02ZD</t>
  </si>
  <si>
    <t>LPKPV-V6EGA-T2BZA</t>
  </si>
  <si>
    <t>77XDP-YHC6D-34BRB</t>
  </si>
  <si>
    <t>X55E9-KVZKD-YJEZG</t>
  </si>
  <si>
    <t>PZRXQ-GTT6B-F6P8D</t>
  </si>
  <si>
    <t>VFPN8-WPNTJ-Y4CZN</t>
  </si>
  <si>
    <t>YRRWY-8KDW7-CV8QB</t>
  </si>
  <si>
    <t>0KIQ9-ZG5G7-XNRYH</t>
  </si>
  <si>
    <t>7XE0K-47FDB-KC4QR</t>
  </si>
  <si>
    <t>Date Everything!</t>
  </si>
  <si>
    <t>IP250-BILG8-KE4FJ</t>
  </si>
  <si>
    <t>K82ZP-ZQ3IM-RCLJT</t>
  </si>
  <si>
    <t>XL982-03FII-76TZV</t>
  </si>
  <si>
    <t>ZG046-TFLL5-ZMGX0</t>
  </si>
  <si>
    <t>REP47-WVGC9-4V54E</t>
  </si>
  <si>
    <t>Chronicles of the Wolf</t>
  </si>
  <si>
    <t>5QNQJ-GIM88-MB4Y4</t>
  </si>
  <si>
    <t>5VMRX-50IMY-FTEHD</t>
  </si>
  <si>
    <t>2286F-BJCD0-7JZFG</t>
  </si>
  <si>
    <t>nick</t>
  </si>
  <si>
    <t>QAZZ0-RZ9XN-JPQF6</t>
  </si>
  <si>
    <t>Sniper Elite 5 Deluxe Edition</t>
  </si>
  <si>
    <t>ZFG64-B7KM2-MVZ9N</t>
  </si>
  <si>
    <t>4274B-VAFYQ-BQCW5</t>
  </si>
  <si>
    <t>nick hotmail</t>
  </si>
  <si>
    <t>GVVYF-TDXAD-HQ849</t>
  </si>
  <si>
    <t>Rock of Ages 3: Make &amp; Break</t>
  </si>
  <si>
    <t>YWIA8-Y9NJA-IX5P5</t>
  </si>
  <si>
    <t>Sid Meier's Civilization VII</t>
  </si>
  <si>
    <t>F7LAK-3J9PA-8GHTA</t>
  </si>
  <si>
    <t>EA SPORTS FC 25</t>
  </si>
  <si>
    <t>VG08G-JFXIR-G4JVG</t>
  </si>
  <si>
    <t>MN4QL-HYVCK-DZJEF - Indiana</t>
  </si>
  <si>
    <t>RHEFK-M223K-ARWIP</t>
  </si>
  <si>
    <t>M49IP-GQPH3-GY2P6</t>
  </si>
  <si>
    <t>2KW8B-LHJZ4-IGIT4</t>
  </si>
  <si>
    <t>ILXAP-JCE68-3QCT2</t>
  </si>
  <si>
    <t>FGV65-VH8NY-WTIJP</t>
  </si>
  <si>
    <t>MWAVI-RDY0N-89AAV</t>
  </si>
  <si>
    <t>Z9PWK-5GPIK-MD69R</t>
  </si>
  <si>
    <t>AI Limit</t>
  </si>
  <si>
    <t>8MQ52-XHBZG-EED8I</t>
  </si>
  <si>
    <t>VJ5N2-CEMVZ-976KI</t>
  </si>
  <si>
    <t>4VJFM-9K8W4-Y6DG7</t>
  </si>
  <si>
    <t>T76HF-DGIAM-9AT0L</t>
  </si>
  <si>
    <t>2MDMM-MHL6W-H8HIJ</t>
  </si>
  <si>
    <t>N27WD-3QEKC-DDEQF</t>
  </si>
  <si>
    <t>CVM50-VB7N0-YJ0E7</t>
  </si>
  <si>
    <t>The Battle of Polytopia</t>
  </si>
  <si>
    <t>QD7V4-PTWJB-VKVCB</t>
  </si>
  <si>
    <t>2LWT0-4RNM9-8QMFV</t>
  </si>
  <si>
    <t>IWY6K-8GG4Z-WH3P2</t>
  </si>
  <si>
    <t>L039V-H72M8-J93VP</t>
  </si>
  <si>
    <t>LLTF2-INMBZ-V44LW</t>
  </si>
  <si>
    <t>5YP2Z-EC8AP-H7H5L</t>
  </si>
  <si>
    <t>4JDLK-QVMCY-HL7DK</t>
  </si>
  <si>
    <t>2BHFD-5QNPN-343P0</t>
  </si>
  <si>
    <t>Return From Core</t>
  </si>
  <si>
    <t>2F32D-ZQW4B-QBY42</t>
  </si>
  <si>
    <t>INLK2-5JX8R-G7IPV</t>
  </si>
  <si>
    <t>86504-92KD4-T5YXZ</t>
  </si>
  <si>
    <t>NHXRK-509I8-2ZXF0</t>
  </si>
  <si>
    <t>7WB2D-5WZMP-PWGDE</t>
  </si>
  <si>
    <t>D9WI0-NWI79-PFA4Q</t>
  </si>
  <si>
    <t>TEJ95-DGWDE-CQT7B</t>
  </si>
  <si>
    <t>L5PQT-LRHQ3-A86P4</t>
  </si>
  <si>
    <t>9Z7FM-2VZ3R-0JIR0</t>
  </si>
  <si>
    <t>J92W0-7MCNK-N53WF</t>
  </si>
  <si>
    <t>Company of Heroes 3 EU</t>
  </si>
  <si>
    <t>NQ520-8HE40-MXQ3F</t>
  </si>
  <si>
    <t>HM6R5-9L24L-E3GK3</t>
  </si>
  <si>
    <t>ZC605-PTKWL-L5IZC</t>
  </si>
  <si>
    <t>DK6M3-2Y76H-RQCBG</t>
  </si>
  <si>
    <t>MEEZC-25W48-GBG58</t>
  </si>
  <si>
    <t>HLRBD-03X3D-E6C3K</t>
  </si>
  <si>
    <t>2R0CM-CIJWW-Y2PMN</t>
  </si>
  <si>
    <t>TEIH6-F4DX2-TVIV6</t>
  </si>
  <si>
    <t>M7B7I-I3Q8K-KRJAI</t>
  </si>
  <si>
    <t>I4D8V-LHW8P-3G4TI</t>
  </si>
  <si>
    <t>HNTTJ-Z95FR-78M2R</t>
  </si>
  <si>
    <t>HW2VD-TIZFL-V7IR6</t>
  </si>
  <si>
    <t>VJV4T-5ALH9-ZPVX7</t>
  </si>
  <si>
    <t>VD8ER-8XMDQ-X40J8</t>
  </si>
  <si>
    <t>Z4VF3-63BJI-ZQN8Q</t>
  </si>
  <si>
    <t>EL9VW-E9RLB-0L30I</t>
  </si>
  <si>
    <t>R98HE-EAWNY-IH5VN</t>
  </si>
  <si>
    <t>BXWKX-BAFPF-ABLCZ</t>
  </si>
  <si>
    <t>EYG95-6DWWT-P4W0W</t>
  </si>
  <si>
    <t>HZQHQ-VAV3R-AX2AY</t>
  </si>
  <si>
    <t>MMHVV-WMEE7-C0YV9</t>
  </si>
  <si>
    <t>LG43I-KA3LX-K5C5Z</t>
  </si>
  <si>
    <t>Killing Floor 2 EU</t>
  </si>
  <si>
    <t>MGLNX-3T70Q-GV3IN</t>
  </si>
  <si>
    <t>Ghost of Tsushima Director's Cut RoW</t>
  </si>
  <si>
    <t>KA40F-GWCWH-29I3B</t>
  </si>
  <si>
    <t>PlayAsia</t>
  </si>
  <si>
    <t>J36DP-JANP2-TEX6H</t>
  </si>
  <si>
    <t>Dungeon of the Endless</t>
  </si>
  <si>
    <t>DCAT8-ZR46V-T0W8V</t>
  </si>
  <si>
    <t>I5QXF-4FT65-PBZFC</t>
  </si>
  <si>
    <t>7G429-P6R7Z-NE6A4</t>
  </si>
  <si>
    <t>XAY67-ATGHX-EFPBC</t>
  </si>
  <si>
    <t>D0XH2-J2C6P-5Q3C0</t>
  </si>
  <si>
    <t>606TY-NNXGY-FVIZI</t>
  </si>
  <si>
    <t>4EBCQ-9TTQ0-FRWC5</t>
  </si>
  <si>
    <t>0X0ZL-2H5TP-NHAAD</t>
  </si>
  <si>
    <t>M9HEX-EE4VC-836WA</t>
  </si>
  <si>
    <t>V799J-J0PBA-NX4RA</t>
  </si>
  <si>
    <t>SUPER ROBOT WARS Y</t>
  </si>
  <si>
    <t>MDN93-EA0DV-L3V3V</t>
  </si>
  <si>
    <t>YH0IB-3C6AZ-8WK7X</t>
  </si>
  <si>
    <t>D7PYI-RCX8B-7Q9T3</t>
  </si>
  <si>
    <t>Z3H9B-8AD9B-7T3Z8</t>
  </si>
  <si>
    <t>YFAQ2-689GZ-4YR6J</t>
  </si>
  <si>
    <t>YKN0M-JAYP9-P20YM</t>
  </si>
  <si>
    <t>VQYG2-8RPMW-LLKLE</t>
  </si>
  <si>
    <t>3K7T7-R3W0J-K5IEN</t>
  </si>
  <si>
    <t>4YPWD-MNZ76-WVN93</t>
  </si>
  <si>
    <t>AYW0J-YNHHE-P3Z6C</t>
  </si>
  <si>
    <t>KYWAA-NJ2A3-9WVFQ</t>
  </si>
  <si>
    <t>Horizon Forbidden West: Complete Edition RoW</t>
  </si>
  <si>
    <t>Baught on 30/5/25</t>
  </si>
  <si>
    <t>BYN4Q-8ACM6-603EJ</t>
  </si>
  <si>
    <t>outstuff2 email</t>
  </si>
  <si>
    <t>WC9LW-D3K2T-ECJ2B</t>
  </si>
  <si>
    <t>DHYL3-TWXHV-RGJ7B</t>
  </si>
  <si>
    <t>XK5L7-ZMGCX-ICNGN</t>
  </si>
  <si>
    <t>T32XN-5AY5K-MT0RW</t>
  </si>
  <si>
    <t>RPZ2I-9GWIH-EDWXT</t>
  </si>
  <si>
    <t>8Y9Q2-63NCC-YY95N</t>
  </si>
  <si>
    <t>50T6Z-3FI42-EQCWN</t>
  </si>
  <si>
    <t>498AG-HVPK5-LKIYA</t>
  </si>
  <si>
    <t>ZD64L-B9K2Y-2FI7K</t>
  </si>
  <si>
    <t>GamingDragons</t>
  </si>
  <si>
    <t>Dune: Awakening</t>
  </si>
  <si>
    <t>QN3PR-2EXXV-G0CLR</t>
  </si>
  <si>
    <t>97N3V-HA8ZD-E2JWG</t>
  </si>
  <si>
    <t>outstuff2</t>
  </si>
  <si>
    <t>2WQNK-NX86B-G7YFL</t>
  </si>
  <si>
    <t>outstuff3</t>
  </si>
  <si>
    <t>HHBMF-VICF3-3DWT0</t>
  </si>
  <si>
    <t>YC40M-GV4PW-679XM</t>
  </si>
  <si>
    <t>B5000-H4T52-HWB2K</t>
  </si>
  <si>
    <t>Lords of the Fallen (2023)</t>
  </si>
  <si>
    <t>YZ3N7-I774L-8CLGH</t>
  </si>
  <si>
    <t>G7GYL-K0TEP-8J4I2</t>
  </si>
  <si>
    <t>The Dungeon Of Naheulbeuk: The Amulet Of Chaos</t>
  </si>
  <si>
    <t>DMQ3C-FTB0B-PBJ20</t>
  </si>
  <si>
    <t>CGVE6-3C3G7-ZL3N6</t>
  </si>
  <si>
    <t>7R0WQ-6I6B2-BBLGJ</t>
  </si>
  <si>
    <t>AI War 2</t>
  </si>
  <si>
    <t>NTZGC-9TZAC-KV65J</t>
  </si>
  <si>
    <t>E02ND-N5NY4-JATIR</t>
  </si>
  <si>
    <t>IFQ58-X9PG0-7KKXQ</t>
  </si>
  <si>
    <t>profilnet@g</t>
  </si>
  <si>
    <t>3C859-6BKG4-XF2AN</t>
  </si>
  <si>
    <t>QMQKJ-RMFKM-RF5N5</t>
  </si>
  <si>
    <t>KPDXZ-KZD9L-JJTIH</t>
  </si>
  <si>
    <t>WARYK-WKKZV-QIBKI</t>
  </si>
  <si>
    <t>5BMP4-WXILP-GH0WP</t>
  </si>
  <si>
    <t>FNQ6K-ZAF75-2J2IB</t>
  </si>
  <si>
    <t>Lichtspeer: Double Speer Edition</t>
  </si>
  <si>
    <t>EMFK5-IVJD8-8XPAD</t>
  </si>
  <si>
    <t>PEAK</t>
  </si>
  <si>
    <t>CGLIR-RZGKG-XFEM2</t>
  </si>
  <si>
    <t>Endless Legend 2 EU</t>
  </si>
  <si>
    <t>ZLFAZ-67TM6-Z2DVF</t>
  </si>
  <si>
    <t>Little Problems: A Cozy Detective Game</t>
  </si>
  <si>
    <t>NMKJK-NVVF8-8TAYC</t>
  </si>
  <si>
    <t>Kingdom Hearts 1.5 + 2.5 HD ReMIX</t>
  </si>
  <si>
    <t>3FIDR-ABK2Q-HJEGY</t>
  </si>
  <si>
    <t>AGEZ2-T6H50-DBN9D</t>
  </si>
  <si>
    <t>WFTAD-DJ8B0-83BCF</t>
  </si>
  <si>
    <t>AZJH2-Q6364-0K0LC</t>
  </si>
  <si>
    <t>Jump Space</t>
  </si>
  <si>
    <t>G0J6Q-84A95-ENZEB</t>
  </si>
  <si>
    <t>QQTTJ-GKCRP-9TNJN</t>
  </si>
  <si>
    <t>3Q0QX-QCKBI-GQGHK</t>
  </si>
  <si>
    <t>DGWCA-EX3E0-DYMYK</t>
  </si>
  <si>
    <t>RG3FM-6E3WJ-T0IEX</t>
  </si>
  <si>
    <t>7IFLD-ZILFY-AMI2G</t>
  </si>
  <si>
    <t xml:space="preserve">Cook, Serve, Delicious! 2!! </t>
  </si>
  <si>
    <t>VEARR-ABNYN-JEL9P</t>
  </si>
  <si>
    <t>5JDCP-3TYKJ-DY0AT</t>
  </si>
  <si>
    <t>Train Sim World 6 Special Edition</t>
  </si>
  <si>
    <t>678GJ-VMTCC-X47RI</t>
  </si>
  <si>
    <t>Train Sim World 6</t>
  </si>
  <si>
    <t>KAC57-64P76-MXCAB</t>
  </si>
  <si>
    <t>Train Sim World 6 Deluxe Edition</t>
  </si>
  <si>
    <t>87PZY-E89YM-QTN6A</t>
  </si>
  <si>
    <t>NQ3PA-0EFLH-2JFM9</t>
  </si>
  <si>
    <t>R832B-NE5TJ-9ADI8</t>
  </si>
  <si>
    <t>FWRPB-TA60C-ZDMQW</t>
  </si>
  <si>
    <t>Cook Serve Delicious! 2!!</t>
  </si>
  <si>
    <t>9 Kings EU</t>
  </si>
  <si>
    <t>Z3C7Q-WBHH3-XAFKZ</t>
  </si>
  <si>
    <t>L9BL7-6EM2Y-9BM0E</t>
  </si>
  <si>
    <t>Metal Gear Solid - Master Collection Version EU</t>
  </si>
  <si>
    <t>296D4-IEGWN-7IM5A</t>
  </si>
  <si>
    <t>Final Fantasy Tactics: The Ivalice Chronicles</t>
  </si>
  <si>
    <t>29NNQ-3C08M-J93P3</t>
  </si>
  <si>
    <t>AKEHM-ETE80-HNYWT</t>
  </si>
  <si>
    <t>HX0AR-4IQQD-TNMP0</t>
  </si>
  <si>
    <t>NP3AC-68GWC-2E0FP</t>
  </si>
  <si>
    <t>METAL GEAR SOLID 3: Snake Eater - Master Collection Version EU</t>
  </si>
  <si>
    <t>QMMEM-C2WN2-HDLFZ</t>
  </si>
  <si>
    <t>5I0F8-3IW6I-W865L</t>
  </si>
  <si>
    <t>B37ZW-GYKQB-A8R3W</t>
  </si>
  <si>
    <t>ED6AI-ZHCDV-LXMTX</t>
  </si>
  <si>
    <t>FV3FT-X344D-7ZRD2</t>
  </si>
  <si>
    <t>K3AGL-DYW4L-57CYJ</t>
  </si>
  <si>
    <t>Shrine's Legacy</t>
  </si>
  <si>
    <t>LA8VD-394KV-88QNF</t>
  </si>
  <si>
    <t xml:space="preserve">82XL7-LKRPY-N365M </t>
  </si>
  <si>
    <t>Dead by Daylight</t>
  </si>
  <si>
    <t>8LTBT-3PPHW-FBWFR</t>
  </si>
  <si>
    <t>KRDRG-5PJG7-RX0JM</t>
  </si>
  <si>
    <t>WFHQY-A9YI8-AHXBP</t>
  </si>
  <si>
    <t>HQQVB-Y5I07-QDMNV</t>
  </si>
  <si>
    <t>FHKP4-RNKY2-Z9JLZ</t>
  </si>
  <si>
    <t>7LHP9-8Q0LC-D9IA9</t>
  </si>
  <si>
    <t>IDAGQ-7ZE7C-K4P70</t>
  </si>
  <si>
    <t>Gray Zone Warfare</t>
  </si>
  <si>
    <t>33YPR-H3HFZ-AA3QP</t>
  </si>
  <si>
    <t>BCEBP-FG3KX-6DXWP</t>
  </si>
  <si>
    <t>KH09R-NXE9V-W5BII</t>
  </si>
  <si>
    <t>FCBKM-4X9CV-0YLI9</t>
  </si>
  <si>
    <t>LQPVQ-M90N7-V2VJC</t>
  </si>
  <si>
    <t>PTB5F-3JV9T-GNGH6</t>
  </si>
  <si>
    <t>ALCYC-BRD22-XTDMD</t>
  </si>
  <si>
    <t>5ZCP9-DIL48-FE7BE</t>
  </si>
  <si>
    <t>WP5XN-82FWI-YN593</t>
  </si>
  <si>
    <t>W9XN6-BQG60-R4075</t>
  </si>
  <si>
    <t>0KWFN-J9J7J-Y9IKQ</t>
  </si>
  <si>
    <t>9W5EJ-KAGYI-X5IBA</t>
  </si>
  <si>
    <t>FHGYH-IR3C4-M3JE8</t>
  </si>
  <si>
    <t>IY6HB-8G323-ZF70R</t>
  </si>
  <si>
    <t>CLV9R-0CE58-M5C52</t>
  </si>
  <si>
    <t>img1</t>
  </si>
  <si>
    <t>ZMNIE-B7QX6-PWNBG</t>
  </si>
  <si>
    <t>YJTC9-KLFMJ-YB0Y9</t>
  </si>
  <si>
    <t>CY5YF-M46DT-49Y7Z</t>
  </si>
  <si>
    <t>XR4W3-2M4E0-BZQBN</t>
  </si>
  <si>
    <t>KM7IT-7IP9G-8V7ZH</t>
  </si>
  <si>
    <t>G6C0X-NEQ3Q-3WGT4</t>
  </si>
  <si>
    <t>JW84I-V9JZH-EEIEX</t>
  </si>
  <si>
    <t>FPFGF-AP587-GB36M</t>
  </si>
  <si>
    <t>QYA4H-WIHHV-KFBVL</t>
  </si>
  <si>
    <t>VLFXP-072WN-67JEW</t>
  </si>
  <si>
    <t>AXV0W-M0VEA-50W73</t>
  </si>
  <si>
    <t>RV4ZZ-PCJ3N-L527Z</t>
  </si>
  <si>
    <t>M5FPC-R8LC2-9AFZE</t>
  </si>
  <si>
    <t xml:space="preserve">A9A67-T542Z-2HPBI
</t>
  </si>
  <si>
    <t xml:space="preserve">Necesse EU </t>
  </si>
  <si>
    <t>RYEH5-IZK28-ZF7RL</t>
  </si>
  <si>
    <t>ADDIV-2C3F8-Y5557</t>
  </si>
  <si>
    <t>TV4FA-20BW8-H4797</t>
  </si>
  <si>
    <t>9PPEK-5DRNI-8V7JA</t>
  </si>
  <si>
    <t>IN2V9-RGK56-ZA7NR</t>
  </si>
  <si>
    <t>BX202-LDHD2-J2QX7</t>
  </si>
  <si>
    <t>MEE57-K7IM7-4JPQ6</t>
  </si>
  <si>
    <t>A6CC3-FRTFW-IKQ6Y</t>
  </si>
  <si>
    <t>Q5AHE-AFA3P-2HQ0H</t>
  </si>
  <si>
    <t>ZBIPR-ZLPIC-6IHAW</t>
  </si>
  <si>
    <t>2HBYW-42Z69-JXJNV</t>
  </si>
  <si>
    <t>5NXVN-YN5Y8-42D82</t>
  </si>
  <si>
    <t>IAELQ-0LCCN-8GNVT</t>
  </si>
  <si>
    <t>DQ0FY-0YQZW-N8XWB</t>
  </si>
  <si>
    <t>94ELP-VCRYZ-EYMMF</t>
  </si>
  <si>
    <t>VQDX8-MKVNQ-AME5W</t>
  </si>
  <si>
    <t>Tormented Souls 2</t>
  </si>
  <si>
    <t>EACF6-N59CE-C2EME</t>
  </si>
  <si>
    <t>MISERY</t>
  </si>
  <si>
    <t>CCZIB-AWMYQ-NHDK6</t>
  </si>
  <si>
    <t>V8IKW-NH6BM-TT792</t>
  </si>
  <si>
    <t>LN86N-5A7FI-7D0RP</t>
  </si>
  <si>
    <t>MFB4F-72R73-IFWTZ</t>
  </si>
  <si>
    <t>Y20FW-RXA8A-GR7B5</t>
  </si>
  <si>
    <t>Z3GZN-5RME8-62J3N</t>
  </si>
  <si>
    <t>X43ZF-F5FTQ-WMDGG</t>
  </si>
  <si>
    <t>QDI3T-ZQ2XZ-54M7W</t>
  </si>
  <si>
    <t>KDE4N-PX4KP-H37W8</t>
  </si>
  <si>
    <t>QPFGV-6FC6J-B8EJI</t>
  </si>
  <si>
    <t>FP960-RG8KF-2YB6A</t>
  </si>
  <si>
    <t>Don't Starve Together EU</t>
  </si>
  <si>
    <t>AF55W-FT6J4-M78QV</t>
  </si>
  <si>
    <t>NA80G-6HBX2-VZ8I6</t>
  </si>
  <si>
    <t>J9WWK-AYFEM-G7PT4</t>
  </si>
  <si>
    <t>CIL5T-54IB6-9X66E</t>
  </si>
  <si>
    <t>PKCNL-XQIPQ-RZML6</t>
  </si>
  <si>
    <t>LVK7K-80VZR-X0C6R</t>
  </si>
  <si>
    <t>Mars Attracts RoW</t>
  </si>
  <si>
    <t>ZNXQ5-YJJNL-IPFAG</t>
  </si>
  <si>
    <t>LF3FH-8Y4QH-8F8C9</t>
  </si>
  <si>
    <t>WKE5H-MVKPQ-TFD60</t>
  </si>
  <si>
    <t>Baby Steps</t>
  </si>
  <si>
    <t>NV5P0-XKY5E-3PTPH</t>
  </si>
  <si>
    <t>PAC-MAN WORLD 2 Re-PAC PC</t>
  </si>
  <si>
    <t>KVWYZ-0RD5W-ACB4P</t>
  </si>
  <si>
    <t>8LMPX-MJ8FV-HMYTW</t>
  </si>
  <si>
    <t>9FIDD-9R0M4-MLHXM</t>
  </si>
  <si>
    <t>CH3FK-3HKJD-2MCR3</t>
  </si>
  <si>
    <t>J7LCW-W40C0-P2RN7</t>
  </si>
  <si>
    <t>0JBV4-J903H-LJPXV</t>
  </si>
  <si>
    <t>QVNZ8-6GZJ7-ZJ53R</t>
  </si>
  <si>
    <t>TTW7W-G5FCY-WJ932</t>
  </si>
  <si>
    <t>9343Y-36EKD-BRQZ8</t>
  </si>
  <si>
    <t>TVPNX-DF5BG-WQZKK</t>
  </si>
  <si>
    <t>5IZJM-FC97K-XJFCX</t>
  </si>
  <si>
    <t>8JEZ8-QZKKA-V6YF2</t>
  </si>
  <si>
    <t>BCRAP-MBKEL-JA2CV</t>
  </si>
  <si>
    <t>5GPG5-FLIHX-B2GDE</t>
  </si>
  <si>
    <t>V328J-T02IE-IXRLP</t>
  </si>
  <si>
    <t>MTBG6-KP2RG-3VCZE</t>
  </si>
  <si>
    <t>HR6V9-QBARJ-QYBGQ</t>
  </si>
  <si>
    <t>V9LGF-DPQBI-ICHK2</t>
  </si>
  <si>
    <t>T2VIZ-BEZ09-FWYTZ</t>
  </si>
  <si>
    <t>H20KV-W6YIP-NFIBB</t>
  </si>
  <si>
    <t>Kingdom Come: Deliverance II EU</t>
  </si>
  <si>
    <t>HBFCB-AE2FG-5E0CT</t>
  </si>
  <si>
    <t>79TXQ-8M5G0-IJRA5</t>
  </si>
  <si>
    <t>PPHFT-8V0J5-2579K</t>
  </si>
  <si>
    <t>WC3K7-X0MCD-8YM03</t>
  </si>
  <si>
    <t>FD4CZ-BXXDK-CZMA5</t>
  </si>
  <si>
    <t>3TW0N-8769L-L628Y</t>
  </si>
  <si>
    <t>Dead by Daylight EU</t>
  </si>
  <si>
    <t>22ZQF-E3740-ENDMN</t>
  </si>
  <si>
    <t>YX8XG-3DA9R-QC53A</t>
  </si>
  <si>
    <t>YRXZE-5YTF0-DKXPY</t>
  </si>
  <si>
    <t>2AQ26-CEDZK-W0Q9T</t>
  </si>
  <si>
    <t>765QG-GRH3M-V3MKP</t>
  </si>
  <si>
    <t>Super Fantasy Kingdom EU</t>
  </si>
  <si>
    <t>EB66J-474FW-G68GN</t>
  </si>
  <si>
    <t>Hotline Miami</t>
  </si>
  <si>
    <t>QLK0B-3MV3N-J8Z98</t>
  </si>
  <si>
    <t>M722J-AXBRG-269F9</t>
  </si>
  <si>
    <t>The Wild Eight</t>
  </si>
  <si>
    <t>L0422-2PPKN-Y5YK5</t>
  </si>
  <si>
    <t>Biped 2</t>
  </si>
  <si>
    <t>QYWJ6-YTGP5-7YRNJ</t>
  </si>
  <si>
    <t>Clair Obscur: Expedition 33</t>
  </si>
  <si>
    <t>KB9AN-QIWM7-NXEZZ</t>
  </si>
  <si>
    <t>Killing Floor 3</t>
  </si>
  <si>
    <t>Z4V9R-5EHL7-QW5T5</t>
  </si>
  <si>
    <t>V3HBQ-8V0TA-KP9MB</t>
  </si>
  <si>
    <t>XM05R-CF5EL-H38EL</t>
  </si>
  <si>
    <t>Football Manager 26</t>
  </si>
  <si>
    <t>XXQ4N-R60DT-LIEIC</t>
  </si>
  <si>
    <t>PAYDAY 3: Year 1 Edition</t>
  </si>
  <si>
    <t>PRHCM-4V6TH-FHVMZ</t>
  </si>
  <si>
    <t>0887D-KDC80-ND0Y4</t>
  </si>
  <si>
    <t>PAYDAY 3 - Year 1 Pass DLC</t>
  </si>
  <si>
    <t>J9LAV-LI6P4-4403H</t>
  </si>
  <si>
    <t>WP462-EKM06-IWFYD</t>
  </si>
  <si>
    <t>Age of Empires IV - Dynasties of the East DLC</t>
  </si>
  <si>
    <t>XEFA0-ZXAG9-LTTTK</t>
  </si>
  <si>
    <t>ZHNDN-L6D89-683X4</t>
  </si>
  <si>
    <t>Y3HFI-DR6PK-6JHBW</t>
  </si>
  <si>
    <t>JY6MB-NCXCD-GJJ4I</t>
  </si>
  <si>
    <t>GQGB2-TYL3E-QVAM5</t>
  </si>
  <si>
    <t>JYXJJ-F5IT9-P2ZR6</t>
  </si>
  <si>
    <t>7BTEV-F4TXD-DL70J</t>
  </si>
  <si>
    <t>PIK3Z-AXNWN-FJEYT</t>
  </si>
  <si>
    <t>DZEEY-CMIEE-6CNJ9</t>
  </si>
  <si>
    <t>J5IB5-3EXPW-XECYN</t>
  </si>
  <si>
    <t>F7C22-FHQFZ-KXNZ6</t>
  </si>
  <si>
    <t>Sacred 2 Remaster EU</t>
  </si>
  <si>
    <t>ILPM8-48I7K-3LKHI</t>
  </si>
  <si>
    <t>Verho: Curse of Faces</t>
  </si>
  <si>
    <t>3AG6Z-50VR5-7T2AN</t>
  </si>
  <si>
    <t>NW0A6-2W5D3-7YJMI</t>
  </si>
  <si>
    <t>PlateUp!</t>
  </si>
  <si>
    <t>BAXRW-VXNF2-N32NR</t>
  </si>
  <si>
    <t>R0RX2-G5LBC-E662B</t>
  </si>
  <si>
    <t>KPFTP-K030D-TJJMW</t>
  </si>
  <si>
    <t>3EAMM-VXBT3-QFHGN</t>
  </si>
  <si>
    <t>I03CZ-8F3I6-0VLPN</t>
  </si>
  <si>
    <t>5GHY5-GF7JY-R9EW9</t>
  </si>
  <si>
    <t>JAQ37-R3ZFR-CXNFE</t>
  </si>
  <si>
    <t>C0PQN-ITVR8-DZCLB</t>
  </si>
  <si>
    <t>0DHL9-8PQY3-H6P06</t>
  </si>
  <si>
    <t>NDANT-LFIRV-PG67Z</t>
  </si>
  <si>
    <t xml:space="preserve">The Elder Scrolls IV: Oblivion Remastered </t>
  </si>
  <si>
    <t>3BCT4-F7FD3-GGTTY</t>
  </si>
  <si>
    <t>00PZZ-QIV5Q-NLTJ7</t>
  </si>
  <si>
    <t>SILENT HILL f</t>
  </si>
  <si>
    <t>2BMF7-3KHMC-K46V0</t>
  </si>
  <si>
    <t>93PF2-DENW3-R02Y2</t>
  </si>
  <si>
    <t>L9RP2-XYZXG-WN853</t>
  </si>
  <si>
    <t>P8HAM-B05P7-DI3QM</t>
  </si>
  <si>
    <t>Escape from Tarkov: Standard Edition EU Digital Download</t>
  </si>
  <si>
    <t>PRBJP-WCIT0-GQ3I7</t>
  </si>
  <si>
    <t>KTTLF-H7P4H-4LD4H</t>
  </si>
  <si>
    <t xml:space="preserve">Abra-Cooking-Dabra </t>
  </si>
  <si>
    <t>Z3AXC-06GGZ-V3I4B</t>
  </si>
  <si>
    <t>ANQBE-KPMIH-IXG43</t>
  </si>
  <si>
    <t>AWZW0-MK9BL-C50X3</t>
  </si>
  <si>
    <t>2KQWT-7C5RV-37EAX</t>
  </si>
  <si>
    <t>9FWQK-3JFRI-QK0KP</t>
  </si>
  <si>
    <t>2FGNC-JK3P2-7NGZG</t>
  </si>
  <si>
    <t>E0IIK-G50TT-QPACC</t>
  </si>
  <si>
    <t>ZE74F-PPQT7-VF8ML</t>
  </si>
  <si>
    <t>HCGHA-N35K2-A205H</t>
  </si>
  <si>
    <t>4EBXP-3W0AX-ZB7H3</t>
  </si>
  <si>
    <t>K7HXA-ZG92Q-3DER5</t>
  </si>
  <si>
    <t>PAYDAY 3 EU</t>
  </si>
  <si>
    <t>XNQ7E-2EQ66-HEHMI</t>
  </si>
  <si>
    <t>ZNHA5-H530V-3EFJF</t>
  </si>
  <si>
    <t>9072D-8QA37-C9J0G</t>
  </si>
  <si>
    <t>Star Wars: Jedi Fallen Order Deluxe Edition</t>
  </si>
  <si>
    <t>Moonlighter 2: The Endless Vault</t>
  </si>
  <si>
    <t>PYQYN-Q8AXE-CG469</t>
  </si>
  <si>
    <t>VFG93-QIHP5-8DP03</t>
  </si>
  <si>
    <t>W97Q3-W04A6-M7B8W</t>
  </si>
  <si>
    <t>7YVKN-F9WYW-92XZD</t>
  </si>
  <si>
    <t>V8MRY-K4W7P-EHZM0</t>
  </si>
  <si>
    <t>TWGK9-J68K3-YLAEM</t>
  </si>
  <si>
    <t>8GMA4-ZYN5K-7AJTT</t>
  </si>
  <si>
    <t>DBRYY-05MIK-20TBG</t>
  </si>
  <si>
    <t>AEA6K-A4ILW-E22H2</t>
  </si>
  <si>
    <t>XFI3Q-3Z6GJ-792B6</t>
  </si>
  <si>
    <t>IFQF9-68VK6-APRH5</t>
  </si>
  <si>
    <t>FATLG-LLJJJ-2BWJG</t>
  </si>
  <si>
    <t>BMVE7-E0I58-9BXT8</t>
  </si>
  <si>
    <t>8MF7I-K4Z0A-YCWKM</t>
  </si>
  <si>
    <t>PPD4T-DFQ7R-58IYH</t>
  </si>
  <si>
    <t>FF5QL-XPMD3-LR8R8</t>
  </si>
  <si>
    <t>GL7ZL-PIDEL-7YV57</t>
  </si>
  <si>
    <t>375QT-TXRLW-5F42G</t>
  </si>
  <si>
    <t>D36J7-MQX9W-TD3N4</t>
  </si>
  <si>
    <t>D0ZWP-PPEJW-TW2MX</t>
  </si>
  <si>
    <t>XG58I-LLF5D-9F7N8</t>
  </si>
  <si>
    <t>Q05QK-NFI7P-WC6ZK</t>
  </si>
  <si>
    <t>A.I.L.A EU</t>
  </si>
  <si>
    <t>EZPNN-4IMTV-IRF7H</t>
  </si>
  <si>
    <t>APJB4-9T3B9-GBTH5</t>
  </si>
  <si>
    <t>Escape from Tarkov: Standard Edition EU</t>
  </si>
  <si>
    <t>W8TCR-84AFI-EEXMA</t>
  </si>
  <si>
    <t>Incursion Red River EU</t>
  </si>
  <si>
    <t>VXPAB-B0W2C-NXIC5</t>
  </si>
  <si>
    <t>Mount &amp; Blade II: Bannerlord - War Sails DLC EU</t>
  </si>
  <si>
    <t>TCCMI-B2GXD-0JBFH</t>
  </si>
  <si>
    <t>4HZ6R-KE4CE-N2LHI</t>
  </si>
  <si>
    <t>LAY5M-BHL2C-89LD0</t>
  </si>
  <si>
    <t>7587A-HQB52-IFCBE</t>
  </si>
  <si>
    <t>N6A0Y-F4BED-7Y57D</t>
  </si>
  <si>
    <t>9WVQJ-85QVI-Y87GL</t>
  </si>
  <si>
    <t>A20FK-8ZIYJ-VT240</t>
  </si>
  <si>
    <t>BRXBH-DE8WR-7DKM3</t>
  </si>
  <si>
    <t>2JD7L-TZLHE-FHGPQ</t>
  </si>
  <si>
    <t>R35ZH-D9L6F-7W73E</t>
  </si>
  <si>
    <t>ND47Z-KIIHR-6IEGV</t>
  </si>
  <si>
    <t>QT0CD-79E9Z-20BHK</t>
  </si>
  <si>
    <t>26C7M-VXK7J-KBBB4</t>
  </si>
  <si>
    <t>C8EW8-A3BQQ-KGVQE</t>
  </si>
  <si>
    <t>MXX0Y-8RZ4X-PHB60</t>
  </si>
  <si>
    <t>News Tower</t>
  </si>
  <si>
    <t>79BVZ-6A2KY-JYLQH</t>
  </si>
  <si>
    <t>AI59K-KG0YR-H9BBT</t>
  </si>
  <si>
    <t>CB3FI-54LIH-YLWFE</t>
  </si>
  <si>
    <t>98TN9-9VK6R-7A3FB</t>
  </si>
  <si>
    <t>Y7NPM-EP9TE-FX2ZZ</t>
  </si>
  <si>
    <t>5BKNF-LVTVR-GG82I</t>
  </si>
  <si>
    <t>DKF34-67H6E-6CRHI</t>
  </si>
  <si>
    <t>9Y72E-PP6PM-NNBWF</t>
  </si>
  <si>
    <t>7TW5Y-PMDGI-RHV79</t>
  </si>
  <si>
    <t>WM667-QA8N5-QRPJV</t>
  </si>
  <si>
    <t>XC4QY-ZFDV9-NRBRH</t>
  </si>
  <si>
    <t>AX23Z-A3VK4-7KZEM</t>
  </si>
  <si>
    <t>UNBEATABLE</t>
  </si>
  <si>
    <t>8E2GY-9578R-8DI9C</t>
  </si>
  <si>
    <t>W9L7Y-HRR8G-M7JKY</t>
  </si>
  <si>
    <t>K0WQV-LW6HX-4TDMQ</t>
  </si>
  <si>
    <t>8IMDI-VZ4MJ-JF9FD</t>
  </si>
  <si>
    <t>PKLKY-8NAX8-4BB2J</t>
  </si>
  <si>
    <t>I23I5-708ZE-9BQKH</t>
  </si>
  <si>
    <t>I33C5-QPP0X-5J6VA</t>
  </si>
  <si>
    <t>E0TF6-T9X4H-86JAP</t>
  </si>
  <si>
    <t>0PGKJ-WKPXN-PR06A</t>
  </si>
  <si>
    <t>LC72G-ILBCZ-MAN6A</t>
  </si>
  <si>
    <t>LJ66E-DE6WB-BB6IX</t>
  </si>
  <si>
    <t>T0KA6-6KPCA-5M8KW</t>
  </si>
  <si>
    <t>A2PQF-0ZIMY-8BIB7</t>
  </si>
  <si>
    <t>QTM96-WG52H-APAQN</t>
  </si>
  <si>
    <t>ZEQIY-3ZH2F-TF5R2</t>
  </si>
  <si>
    <t>QYFZI-40KQT-TG903</t>
  </si>
  <si>
    <t>NEWFK-T6DDI-NXZ4G</t>
  </si>
  <si>
    <t>FRWM5-YX0HH-0957H</t>
  </si>
  <si>
    <t>LY8XI-6C77L-KC6V3</t>
  </si>
  <si>
    <t>09Z47-029EB-7AX6J</t>
  </si>
  <si>
    <t>6E8K7-KNJIJ-RKZLR</t>
  </si>
  <si>
    <t>6YGCT-VLW6J-FV297</t>
  </si>
  <si>
    <t>QPHGC-WGIMR-4TF4I</t>
  </si>
  <si>
    <t>79Z7B-T35KE-HB0L2</t>
  </si>
  <si>
    <t>83T3C-6D27Q-Z4NZR</t>
  </si>
  <si>
    <t>R4PMX-4B44R-8Z7X6</t>
  </si>
  <si>
    <t>Z7AM0-PHIRK-ZGKE5</t>
  </si>
  <si>
    <t>0VFDG-GGNJM-ZQVDR</t>
  </si>
  <si>
    <t>PIONER</t>
  </si>
  <si>
    <t>8X4CN-Q9RDJ-KYVLC</t>
  </si>
  <si>
    <t>ZQTNQ-XIYRL-LAPEM</t>
  </si>
  <si>
    <t>279F6-B7ECA-JL0TG</t>
  </si>
  <si>
    <t>F0QNL-IF3QR-R6RHX</t>
  </si>
  <si>
    <t>I0CWM-2F9WG-LPR2W</t>
  </si>
  <si>
    <t>4P5FH-34X9W-X8EN8</t>
  </si>
  <si>
    <t>V54I8-I0G9T-CZER9</t>
  </si>
  <si>
    <t>KYCTE-QWLZE-6PZ6V</t>
  </si>
  <si>
    <t>TF5XB-WHTVM-JHJWF</t>
  </si>
  <si>
    <t>9KP88-KV2H0-L2LJ0</t>
  </si>
  <si>
    <t>ZCHZ9-D3DNJ-CFNIF</t>
  </si>
  <si>
    <t>4R57Q-BAE97-MR9DJ</t>
  </si>
  <si>
    <t>ABH57-JQF6E-N4ZZH</t>
  </si>
  <si>
    <t>FZLFG-7333F-43NBD</t>
  </si>
  <si>
    <t>XTW67-V2YT5-JJGBL</t>
  </si>
  <si>
    <t>CDD8N-W9F49-ZD78C</t>
  </si>
  <si>
    <t>J5027-MXQNA-F6DAG</t>
  </si>
  <si>
    <t>4VGM2-YWQC6-R8W5Y</t>
  </si>
  <si>
    <t>8NDM7-H8PFM-LY8V3</t>
  </si>
  <si>
    <t>2093Q-B8RF0-HJKKP</t>
  </si>
  <si>
    <t>Formula Legends</t>
  </si>
  <si>
    <t>BH292-5K9Q5-L3JIR</t>
  </si>
  <si>
    <t>3ARBX-5KBE4-W69CW</t>
  </si>
  <si>
    <t>Core Keeper</t>
  </si>
  <si>
    <t>YVDJ5-H65CJ-LJ6IV</t>
  </si>
  <si>
    <t>557DE-XYXNQ-WX7WK</t>
  </si>
  <si>
    <t>I9QBC-0BYQ2-H85HF</t>
  </si>
  <si>
    <t>AT7MG-3F5VA-2J9KI</t>
  </si>
  <si>
    <t>RML73-3KKR5-PD26P</t>
  </si>
  <si>
    <t>2XMGX-FW4XI-Y3ZTX</t>
  </si>
  <si>
    <t>GWLV3-WNMTL-HQGB6</t>
  </si>
  <si>
    <t>N8D9Y-H9C9Q-LA8X7</t>
  </si>
  <si>
    <t>PZGTZ-FG3MX-9NY9Q</t>
  </si>
  <si>
    <t>D7MYY-WXZJZ-7EFFG</t>
  </si>
  <si>
    <t>VRBZ4-W45TH-QZJV8</t>
  </si>
  <si>
    <t>WVXIZ-8YAVD-7GEXW</t>
  </si>
  <si>
    <t>WDBZB-BDQAF-4E37M</t>
  </si>
  <si>
    <t>8QH8W-7Z4W7-63JV4</t>
  </si>
  <si>
    <t>Q8GEY-KA9KL-ETGV3</t>
  </si>
  <si>
    <t>N00ZM-WZP7A-8JPJF</t>
  </si>
  <si>
    <t>Escape from Duckov EU</t>
  </si>
  <si>
    <t>DHB48-7LV49-GCGV8</t>
  </si>
  <si>
    <t>Empyrion - Galactic Survival</t>
  </si>
  <si>
    <t>E5LAM-55ADK-Q9QWY</t>
  </si>
  <si>
    <t>MELKH-6YFV9-2NG0P</t>
  </si>
  <si>
    <t>H7HLH-FC9DJ-9QWGG</t>
  </si>
  <si>
    <t>YLVHY-DEEZ8-3L3VK</t>
  </si>
  <si>
    <t>A43TI-LKYLT-H6QZR</t>
  </si>
  <si>
    <t>Y2TGZ-0IM92-MLGCQ</t>
  </si>
  <si>
    <t>E94DW-JZ5N2-9VQN2</t>
  </si>
  <si>
    <t>9Q6V7-N9FID-XDTK4</t>
  </si>
  <si>
    <t>PKZ9C-9LWRV-A75ZB</t>
  </si>
  <si>
    <t>T8ZZL-HVL07-WB9NB</t>
  </si>
  <si>
    <t>KWXM4-V865X-E8T33</t>
  </si>
  <si>
    <t>3GX2F-DX2KF-VNAK6</t>
  </si>
  <si>
    <t>QXIDD-20FTH-F5JNZ</t>
  </si>
  <si>
    <t>Terra Invicta EU</t>
  </si>
  <si>
    <t>A4GW5-2MPYH-QV30F</t>
  </si>
  <si>
    <t>Netherworld Covenant</t>
  </si>
  <si>
    <t>X2KHB-DR8AH-PWWJW</t>
  </si>
  <si>
    <t>LR366-FFV83-EQA54</t>
  </si>
  <si>
    <t>FGC7R-62ZRV-K0QBP</t>
  </si>
  <si>
    <t>K6E82-PVM25-Q9M0A</t>
  </si>
  <si>
    <t>ZZ83Z-9AH2Y-LM8BY</t>
  </si>
  <si>
    <t>P4D03-056HV-XJC4N</t>
  </si>
  <si>
    <t>CMACG-XMWTM-V4D2J</t>
  </si>
  <si>
    <t>WX8Z4-H4AIH-L5LWV</t>
  </si>
  <si>
    <t>4QR6H-T9ITA-5WFJF</t>
  </si>
  <si>
    <t>6PDK5-VJWCB-Y2NHJ</t>
  </si>
  <si>
    <t>6NZNI-37XXI-93Z0E</t>
  </si>
  <si>
    <t>5YLQL-CXFT3-F4ZCK</t>
  </si>
  <si>
    <t>V492P-LHC3A-LPP0F</t>
  </si>
  <si>
    <t>KAVZB-RX9A5-L0X55</t>
  </si>
  <si>
    <t>FN3TW-LGH4C-JW54H</t>
  </si>
  <si>
    <t>JC3M9-55Q26-6V9DI</t>
  </si>
  <si>
    <t>NWXNF-QCGF0-CTBIA</t>
  </si>
  <si>
    <t>WLB3N-GYZZM-6TIGD</t>
  </si>
  <si>
    <t>2TJY5-MV69R-CEMXC</t>
  </si>
  <si>
    <t>WV3VK-B27IL-I9V2P</t>
  </si>
  <si>
    <t>4TJZL-PTD70-IFHW0</t>
  </si>
  <si>
    <t>6RBNH-WI0BP-BH37C</t>
  </si>
  <si>
    <t>EJ84L-HAWI6-WRRQL</t>
  </si>
  <si>
    <t>BX</t>
  </si>
  <si>
    <t>BR</t>
  </si>
  <si>
    <t>7LQ2C-4XEI3-2CETW</t>
  </si>
  <si>
    <t>QA97T-AH4WV-ALWM7</t>
  </si>
  <si>
    <t>MX59C-CPYAG-HT58N</t>
  </si>
  <si>
    <t>R7ABT-3NAKQ-3GG9I</t>
  </si>
  <si>
    <t>N9HL0-2PD5Z-TJR3Z</t>
  </si>
  <si>
    <t>JG605-I5NCF-5KAI4</t>
  </si>
  <si>
    <t>AIT8E-Y6I84-7ZN6Z</t>
  </si>
  <si>
    <t>9WY8V-CCLJY-EQ6TP</t>
  </si>
  <si>
    <t>ZGWI7-8JX5B-JCPAZ</t>
  </si>
  <si>
    <t>JRDGL-V8RF5-G0QDW</t>
  </si>
  <si>
    <t>RRI8C-JTF77-K4FBX</t>
  </si>
  <si>
    <t>0TZ99-DYDR7-4IWKJ</t>
  </si>
  <si>
    <t>AEQKF-WM08R-DC9VF</t>
  </si>
  <si>
    <t>6RRJ6-I4L7Q-0LFKK</t>
  </si>
  <si>
    <t>RVPHY-83AHP-5PEG6</t>
  </si>
  <si>
    <t>FAXEN-2C68Y-QYD3L</t>
  </si>
  <si>
    <t>9ZFHV-XW0W2-P9RHD</t>
  </si>
  <si>
    <t>B4T7N-CM62N-5L4Z2</t>
  </si>
  <si>
    <t>YMB3N-LCH23-AQWLG</t>
  </si>
  <si>
    <t>7XYPH-7PDW5-K4XRT</t>
  </si>
  <si>
    <t>EXK4B-M84GC-BYT9Z</t>
  </si>
  <si>
    <t>XZXGD-RAXWE-X760X</t>
  </si>
  <si>
    <t>Bladesong</t>
  </si>
  <si>
    <t>XJQ8G-AKLQK-TA3JQ</t>
  </si>
  <si>
    <t>94XIG-NN32H-I0J3G</t>
  </si>
  <si>
    <t>JE63R-6JA9R-NCVRH</t>
  </si>
  <si>
    <t>IYYH8-ZLXYL-YQEMB</t>
  </si>
  <si>
    <t>X7B7R-LXXFC-LINPC</t>
  </si>
  <si>
    <t>JZMIK-FDCMJ-9C592</t>
  </si>
  <si>
    <t>X48H5-HMT9T-QQZLV</t>
  </si>
  <si>
    <t>No Rest for the Wicked</t>
  </si>
  <si>
    <t>V8MMH-FW9X9-J52A5</t>
  </si>
  <si>
    <t>LEQXA-MVVPV-X6GGX</t>
  </si>
  <si>
    <t>DEFYH-X6QA4-CRTR0</t>
  </si>
  <si>
    <t>ZELIR-AP3DX-4KQE2</t>
  </si>
  <si>
    <t>IKFB0-X5K60-40AZ3</t>
  </si>
  <si>
    <t>Y5A6T-HBXKA-8QQER</t>
  </si>
  <si>
    <t>E5Q95-24FK2-KH2NC</t>
  </si>
  <si>
    <t>7QV8I-W02TI-V5HD0</t>
  </si>
  <si>
    <t>CMANI-MBL79-XQ7T9</t>
  </si>
  <si>
    <t>BL57F-ZINY6-W9662</t>
  </si>
  <si>
    <t>NXVW4-XZVT9-THLKF</t>
  </si>
  <si>
    <t>Adaptory</t>
  </si>
  <si>
    <t>XWZC2-PVD6I-TKPTD</t>
  </si>
  <si>
    <t>M4C2H-KL0YH-GAGBJ</t>
  </si>
  <si>
    <t>9GZD5-LQ7J3-QIJI5</t>
  </si>
  <si>
    <t>P0C2L-HFM36-AYICF</t>
  </si>
  <si>
    <t>Back 4 Blood EU</t>
  </si>
  <si>
    <t>30QIP-AF8DC-445TC</t>
  </si>
  <si>
    <t>NBA 2K26 Standard Edition</t>
  </si>
  <si>
    <t>4VBR0-B4D8X-28WDI</t>
  </si>
  <si>
    <t>68YPR-LZ84N-00I4C</t>
  </si>
  <si>
    <t>43EYC-XTCKF-NX5ZP</t>
  </si>
  <si>
    <t>LAGIR-8RBI4-M2Z0D</t>
  </si>
  <si>
    <t>I Hate This Place</t>
  </si>
  <si>
    <t>6WIWG-93I9I-96WQY</t>
  </si>
  <si>
    <t>KMMAJ-TV09P-R9QAI</t>
  </si>
  <si>
    <t>Calyx</t>
  </si>
  <si>
    <t>TXT6X-ZNZVV-B7KNG</t>
  </si>
  <si>
    <t>7MTA7-XYIQ6-IZL4N</t>
  </si>
  <si>
    <t>MIMESIS</t>
  </si>
  <si>
    <t>3V4Y2-Q34QL-4WP73</t>
  </si>
  <si>
    <t>V4EKW-PWVQM-8XND9</t>
  </si>
  <si>
    <t>MRHKK-CH8I8-5Y6DC</t>
  </si>
  <si>
    <t>92HMB-80IWC-80WV3</t>
  </si>
  <si>
    <t>EIARI-KI07K-8N2WB</t>
  </si>
  <si>
    <t>042ZN-0E789-I3VFC</t>
  </si>
  <si>
    <t>JZI9A-QQPVV-HL09A</t>
  </si>
  <si>
    <t>VGHJ8-KBAMT-D65KD</t>
  </si>
  <si>
    <t>VG0JY-NJ4TE-2A4EN</t>
  </si>
  <si>
    <t>RZRGI-LRRHM-ZWFTA</t>
  </si>
  <si>
    <t>XMTXQ-4EYJ4-9KZ9F</t>
  </si>
  <si>
    <t>GP9WV-4EGQ0-YQ5E6</t>
  </si>
  <si>
    <t>XP8MN-L4P48-274DX</t>
  </si>
  <si>
    <t>MENACE EU</t>
  </si>
  <si>
    <t>4JWD5-TYADH-R4BTA</t>
  </si>
  <si>
    <t>REANIMAL Digital Deluxe Edition</t>
  </si>
  <si>
    <t>5TDTZ-774I4-ELYD8</t>
  </si>
  <si>
    <t>GFDVC-4E4DY-F787Z</t>
  </si>
  <si>
    <t>QRF94-J0FQR-GQ52D</t>
  </si>
  <si>
    <t>B4C7E-PQP75-B54DF</t>
  </si>
  <si>
    <t>REANIMAL EU</t>
  </si>
  <si>
    <t>F7535-255IN-5MJTH</t>
  </si>
  <si>
    <t>UNBEATABLE Breakout Edition</t>
  </si>
  <si>
    <t>Of Ash and Steel</t>
  </si>
  <si>
    <t>E2MPJ-KJZP4-7YYB4</t>
  </si>
  <si>
    <t>Tingus Goose</t>
  </si>
  <si>
    <t>IBBAY-LZVNY-LTLKK</t>
  </si>
  <si>
    <t>QA3YV-XY677-8T3D9</t>
  </si>
  <si>
    <t>IPDTJ-57L0W-4KW9G</t>
  </si>
  <si>
    <t>REANIMAL Digital Deluxe Edition EU</t>
  </si>
  <si>
    <t>0XC55-X4REF-8388J</t>
  </si>
  <si>
    <t>XC45X-T803B-9IXIL</t>
  </si>
  <si>
    <t>Keycense</t>
  </si>
  <si>
    <t>Europa Universalis V</t>
  </si>
  <si>
    <t>0ZWKN-9GP39-BYMBG</t>
  </si>
  <si>
    <t>Tavern Manager Simulator</t>
  </si>
  <si>
    <t>ChromaGun 2: Dye Hard</t>
  </si>
  <si>
    <t>X3GCV-DJGGL-FMIX2</t>
  </si>
  <si>
    <t>PPIJ6-8VF02-R2YJM</t>
  </si>
  <si>
    <t>Europa Universalis V EU</t>
  </si>
  <si>
    <t>6KYAE-EB9DF-IZMGP</t>
  </si>
  <si>
    <t>C2J20-Y2IJP-LJCVP</t>
  </si>
  <si>
    <t>4LGDV-IZXER-2EK20</t>
  </si>
  <si>
    <t>F64F6-3M4WQ-DNB9F</t>
  </si>
  <si>
    <t>NORSE: Oath of Blood</t>
  </si>
  <si>
    <t>XBCXC-RBRZV-Y4BP3</t>
  </si>
  <si>
    <t>Yakuza Kiwami 3 &amp; Dark Ties EU</t>
  </si>
  <si>
    <t>IFAY3-H6XD6-0HKLG</t>
  </si>
  <si>
    <t>XKVG4-LEBT6-I23D8</t>
  </si>
  <si>
    <t>HD60K-TAY4J-ACEG8</t>
  </si>
  <si>
    <t>Nested Lands</t>
  </si>
  <si>
    <t>FWKGT-C7IQP-NGEG3</t>
  </si>
  <si>
    <t>YNJTN-PGMZH-9J8X8</t>
  </si>
  <si>
    <t>MC2FK-LI9E0-Y3QFB</t>
  </si>
  <si>
    <t>FFFG7-ZVKNZ-CJG4J</t>
  </si>
  <si>
    <t>ERYRR-WDD2Z-CQ9H3</t>
  </si>
  <si>
    <t>JECVJ-073CA-AD729</t>
  </si>
  <si>
    <t>MQEMR-WM32G-P0Q8E</t>
  </si>
  <si>
    <t>2Q2KY-J55L9-4EDCV</t>
  </si>
  <si>
    <t>QG6R6-30I2G-TVR2A</t>
  </si>
  <si>
    <t>HBH82-4WYH0-KIN6T</t>
  </si>
  <si>
    <t>NFQ49-G8YEA-I324E</t>
  </si>
  <si>
    <t>W429A-PEDMG-WT5G0</t>
  </si>
  <si>
    <t>KTPQD-9KY0E-DHLNW</t>
  </si>
  <si>
    <t>9FA8V-K97T6-QAAQE</t>
  </si>
  <si>
    <t>Monster Hunter Wilds</t>
  </si>
  <si>
    <t>3L7JQ-PPJW9-I0HYI</t>
  </si>
  <si>
    <t>Z7KIZ-D57P8-4MWG8</t>
  </si>
  <si>
    <t>V9H70-WQ9WM-3JHLG</t>
  </si>
  <si>
    <t>QM2Z0-04JD2-L9LRL</t>
  </si>
  <si>
    <t>GQM9Z-QHYYI-F04J2</t>
  </si>
  <si>
    <t>DII3A-DCMYJ-74Y8E</t>
  </si>
  <si>
    <t>KTPV0-T3FJL-YTK2M</t>
  </si>
  <si>
    <t>04V30-F8W87-QKB3G</t>
  </si>
  <si>
    <t>jl</t>
  </si>
  <si>
    <t>2QZWH-TRMMH-ZR3FR</t>
  </si>
  <si>
    <t>9FDV6-94MX6-RDPK9</t>
  </si>
  <si>
    <t>R6VAI-46IPK-Y2YY0</t>
  </si>
  <si>
    <t>V5LKM-5VLVJ-FIPWH</t>
  </si>
  <si>
    <t>0LGQ6-ABEER-B9H3P</t>
  </si>
  <si>
    <t>FK92X-6QJIA-V5JPB</t>
  </si>
  <si>
    <t>03GPH-JD6TF-3PVI0</t>
  </si>
  <si>
    <t>MX4IX-826LV-NH607</t>
  </si>
  <si>
    <t>T5NIQ-C8WEQ-89Z9N</t>
  </si>
  <si>
    <t>Toki</t>
  </si>
  <si>
    <t>KFFJ4-8I0EC-GI9MX</t>
  </si>
  <si>
    <t>8NCBD-YGQGA-3JVIE</t>
  </si>
  <si>
    <t>BQHL7-IC9M6-92BDK</t>
  </si>
  <si>
    <t>88ZGP-8M7MB-KZB57</t>
  </si>
  <si>
    <t>A2FHP-LAP2V-T6N4B</t>
  </si>
  <si>
    <t>Football Manager 26 EU</t>
  </si>
  <si>
    <t>LWQH9-C6A9X-YKVF7</t>
  </si>
  <si>
    <t>RF9LY-0RJ7J-Z6K6W</t>
  </si>
  <si>
    <t>Police Stories</t>
  </si>
  <si>
    <t>RF386-9G3MR-P0BA4</t>
  </si>
  <si>
    <t>EJQJG-C8W07-JXQPP</t>
  </si>
  <si>
    <t>CNCFM-ACBNI-TK703</t>
  </si>
  <si>
    <t>2ARM4-KTCEI-A9Y2A</t>
  </si>
  <si>
    <t>ZN8HT-4CTEZ-DA9N7</t>
  </si>
  <si>
    <t>NV2XC-CQN5L-7PJDN</t>
  </si>
  <si>
    <t>ZXCV8-I7G89-C872Y</t>
  </si>
  <si>
    <t>TYJ2D-G72JI-VYNZY</t>
  </si>
  <si>
    <t>No Vacation for an Executioner</t>
  </si>
  <si>
    <t>8BJGN-0RHML-JLW9I</t>
  </si>
  <si>
    <t>VMR6F-PFH6F-WWWXB</t>
  </si>
  <si>
    <t>IW0CJ-IPP4D-GNW6J</t>
  </si>
  <si>
    <t>CNJD6-TACY8-2L52B</t>
  </si>
  <si>
    <t>MXKBQ-4GYNW-JCYDZ</t>
  </si>
  <si>
    <t>0629H-QW2D5-KDY9N</t>
  </si>
  <si>
    <t>LFC6F-8H0Z3-QVJ6D</t>
  </si>
  <si>
    <t>8HR35-PP87A-0J3IV</t>
  </si>
  <si>
    <t>B5ZFE-9EWP9-HK40A</t>
  </si>
  <si>
    <t>Esoteric Ebb</t>
  </si>
  <si>
    <t>NMK3G-HJIZ5-IJ5Y3</t>
  </si>
  <si>
    <t>9Y873-ZA8WQ-IZR9J</t>
  </si>
  <si>
    <t>Cash Cleaner Simulator</t>
  </si>
  <si>
    <t>6W8GZ-VBRLP-GJRRL</t>
  </si>
  <si>
    <t>850VB-F7M2A-8Q0JP</t>
  </si>
  <si>
    <t>Nova Roma</t>
  </si>
  <si>
    <t>7JV3F-BDAKL-Q7743</t>
  </si>
  <si>
    <t>V8TA2-62LBX-MGRMI</t>
  </si>
  <si>
    <t>J66D8-4Q3YR-XQW7D</t>
  </si>
  <si>
    <t>H2XZG-7MVGF-YTBNJ</t>
  </si>
  <si>
    <t>Z7ZRR-PNPZA-EBDI9</t>
  </si>
  <si>
    <t>23KDQ-J558Y-LFCYL</t>
  </si>
  <si>
    <t>EKKEM-A2XPR-7BMET</t>
  </si>
  <si>
    <t>EBGEN-KD94P-NALV0</t>
  </si>
  <si>
    <t>406KZ-EVMIZ-3RP6R</t>
  </si>
  <si>
    <t>TA3VH-N38FP-QK48I</t>
  </si>
  <si>
    <t>I4T8H-I6K4R-REJWD</t>
  </si>
  <si>
    <t>RACCOIN: Coin Pusher Roguelike</t>
  </si>
  <si>
    <t>8FMBC-TA7MT-R6RKD</t>
  </si>
  <si>
    <t>NQCXI-8DLJ2-DW4IP</t>
  </si>
  <si>
    <t>EverSiege: Untold Ages</t>
  </si>
  <si>
    <t>6GWJQ-A52XV-4CQHT</t>
  </si>
  <si>
    <t>A0G5I-0VFMX-B6F8V</t>
  </si>
  <si>
    <t>R95YL-CKDN9-525ZD</t>
  </si>
  <si>
    <t>PNV4N-8ZPJH-MHAIF</t>
  </si>
  <si>
    <t>NEMCR-KXAL7-76FD0</t>
  </si>
  <si>
    <t>2Z0R7-IGA8V-KME72</t>
  </si>
  <si>
    <t>EP3AM-8HDTI-RNC9I</t>
  </si>
  <si>
    <t>64EX0-LWVI8-C6V6J</t>
  </si>
  <si>
    <t>PRRVJ-6M5KN-B7MIB</t>
  </si>
  <si>
    <t>AD84B-4VXZW-L6Q2Y</t>
  </si>
  <si>
    <t>AllYouPlay</t>
  </si>
  <si>
    <t>LQM9G-6FRE6-4J79K</t>
  </si>
  <si>
    <t>CKDXM-PI7GT-A4GIP</t>
  </si>
  <si>
    <t>0EE2N-JP7EA-DFA4F</t>
  </si>
  <si>
    <t>YTYZW-A7P7N-6G4TT</t>
  </si>
  <si>
    <t>I68LX-KE6BW-ZT72W</t>
  </si>
  <si>
    <t>3I5XZ-WHWTD-TP5AM</t>
  </si>
  <si>
    <t>B9G2J-MNKY2-FL3M7</t>
  </si>
  <si>
    <t>VL9EA-F5PBZ-AK08W</t>
  </si>
  <si>
    <t>N39AM-2898V-T54IB</t>
  </si>
  <si>
    <t>EKF7V-NB04Z-N2K3T</t>
  </si>
  <si>
    <t>VAKL6-2G8HQ-V28Q5</t>
  </si>
  <si>
    <t>G6GF9-CANLK-BC3L2</t>
  </si>
  <si>
    <t>9RF5I-EWIGT-0TB4B</t>
  </si>
  <si>
    <t>7LRHE-J9AP2-F8CKQ</t>
  </si>
  <si>
    <t>DMPH8-IRFPE-BDZ0K</t>
  </si>
  <si>
    <t>F302V-9780B-LEXE0</t>
  </si>
  <si>
    <t>Darwin's Paradox!</t>
  </si>
  <si>
    <t>QZ3ER-TT0LL-BZW9Y</t>
  </si>
  <si>
    <t>DYYWR-W850Q-EETT5</t>
  </si>
  <si>
    <t>ZQ5ZV-YWFLW-3IHNP</t>
  </si>
  <si>
    <t>B7DQ5-0W904-255K6</t>
  </si>
  <si>
    <t>K8WDV-478CR-ZKV4Y</t>
  </si>
  <si>
    <t>GXAL5-V8RNB-ELYGT</t>
  </si>
  <si>
    <t>8IBCK-V5888-8FZTM</t>
  </si>
  <si>
    <t>F26W3-AYKJE-BNKQP</t>
  </si>
  <si>
    <t>A6H4C-F5JLX-2KW5D</t>
  </si>
  <si>
    <t>Super Meat Boy 3D</t>
  </si>
  <si>
    <t>Y6ZNV-T4LY4-XMXMF</t>
  </si>
  <si>
    <t>Tempest Rising</t>
  </si>
  <si>
    <t>5VWE9-N3JLZ-Y395G</t>
  </si>
  <si>
    <t>L9R2V-KV42V-5HFA0</t>
  </si>
  <si>
    <t>GAN39-GX9XP-3WV8Z</t>
  </si>
  <si>
    <t>N2Z8R-KNKZT-Q0QWL</t>
  </si>
  <si>
    <t>RIRIN-R5V0N-ZI8I0</t>
  </si>
  <si>
    <t>8Q78L-ZAYPE-KALBR</t>
  </si>
  <si>
    <t>YQPL9-9DZCF-4NW2R</t>
  </si>
  <si>
    <t>8KHL0-8YV9W-7NZMA</t>
  </si>
  <si>
    <t>7IR9N-E7N9G-YHIJK</t>
  </si>
  <si>
    <t>X329N-B3YBL-B5D7Z</t>
  </si>
  <si>
    <t>R73DQ-QXDC6-YK62R</t>
  </si>
  <si>
    <t>FH555-XW2QR-7CW6H</t>
  </si>
  <si>
    <t>X7NZP-WTGK2-77MRD</t>
  </si>
  <si>
    <t>YTWD8-6Q88H-VGE43</t>
  </si>
  <si>
    <t>MRR46-XVYVZ-XLETW</t>
  </si>
  <si>
    <t>V5D7Z-WCM7A-GP5AV</t>
  </si>
  <si>
    <t>BEMQL-MJPBY-V3BFC</t>
  </si>
  <si>
    <t>CR7EJ-7I239-9I8LM</t>
  </si>
  <si>
    <t>I6JJE-7GYZZ-MJT92</t>
  </si>
  <si>
    <t>74M4J-CA6BP-MMYIC</t>
  </si>
  <si>
    <t>N2PNN-TLCI6-YGBVX</t>
  </si>
  <si>
    <t>WARNO Gold Edition</t>
  </si>
  <si>
    <t>imgWARNO1</t>
  </si>
  <si>
    <t>2WBPH-ZNRYC-FYX80</t>
  </si>
  <si>
    <t>3VRP5-06H55-YHXDN</t>
  </si>
  <si>
    <t>5K66T-QZZTL-AAEJ5</t>
  </si>
  <si>
    <t>7Z4P6-LW6LD-GCY9A</t>
  </si>
  <si>
    <t>M2WQ3-Q2BNH-A79DQ</t>
  </si>
  <si>
    <t>8MQW3-N2M54-HD34C</t>
  </si>
  <si>
    <t>7ZGAN-5EI68-29HV2</t>
  </si>
  <si>
    <t>Samson</t>
  </si>
  <si>
    <t>DHKCD-CYWDV-R06ZA</t>
  </si>
  <si>
    <t>The Occultist</t>
  </si>
  <si>
    <t>9KF3A-T6FCE-0TB8Y</t>
  </si>
  <si>
    <t>Borderlands 4</t>
  </si>
  <si>
    <t>FG3T0-MB640-CFIT5</t>
  </si>
  <si>
    <t>LTYIL-I362C-HR2NE</t>
  </si>
  <si>
    <t>NNDI7-CY8RN-38AYY</t>
  </si>
  <si>
    <t>8JPHD-BHZIW-6YRAT</t>
  </si>
  <si>
    <t>XP99E-804XB-WG737</t>
  </si>
  <si>
    <t>9R5VN-GKNGW-856I4</t>
  </si>
  <si>
    <t>8DMCT-P3AHW-EZBBW</t>
  </si>
  <si>
    <t>GameSeal</t>
  </si>
  <si>
    <t>JG3Z5-VYMDL-FXCI2</t>
  </si>
  <si>
    <t>47K6M-JGH44-0K009</t>
  </si>
  <si>
    <t>HN2J3-G3HJE-PMYII</t>
  </si>
  <si>
    <t>EQ0EL-EC8YZ-8ZEJB</t>
  </si>
  <si>
    <t>HTLKC-DGIQR-FVA9N</t>
  </si>
  <si>
    <t>imgWARNO3</t>
  </si>
  <si>
    <t>KW6RY-CDQ8I-32TPB</t>
  </si>
  <si>
    <t xml:space="preserve">Will be resold from k4g and refunded in balance </t>
  </si>
  <si>
    <t>EPNFT-GZKBF-70LDZ</t>
  </si>
  <si>
    <t>G0NCP-DG8PD-YV4KK</t>
  </si>
  <si>
    <t>G2FV8-WM5HB-ZPRMT</t>
  </si>
  <si>
    <t>FH8GD-CWJ44-KTTGX</t>
  </si>
  <si>
    <t>FPBGG-59VLD-08AVZ</t>
  </si>
  <si>
    <t>G3G2F-PQKQR-HTL6R</t>
  </si>
  <si>
    <t>F4PCZ-JBMCV-905V6</t>
  </si>
  <si>
    <t>G3QIM-8VKWG-9GLKM</t>
  </si>
  <si>
    <t>FGD6T-4NVF0-73TYJ</t>
  </si>
  <si>
    <t>FIEPB-BGJBQ-ERBDQ</t>
  </si>
  <si>
    <t>Windrose</t>
  </si>
  <si>
    <t>2M6IT-3V7K3-TDJGP</t>
  </si>
  <si>
    <t>C8B4X-2CV3H-QC437</t>
  </si>
  <si>
    <t>I8J5J-7HGBT-2VZB0</t>
  </si>
  <si>
    <t>Sintopia</t>
  </si>
  <si>
    <t>VHX33-YILYW-Q57MG</t>
  </si>
  <si>
    <t>E0T9K-Q6YWR-T7TXI</t>
  </si>
  <si>
    <t>Creed: Rise to Glory EU</t>
  </si>
  <si>
    <t>HY3ZT-6D25B-JLI7Q</t>
  </si>
  <si>
    <t>Hozy</t>
  </si>
  <si>
    <t>6YQIB-5NI67-NK03Y</t>
  </si>
  <si>
    <t>Ready or Not: Home Invasion Bundle EU</t>
  </si>
  <si>
    <t>0WYTB-GX6J6-9T4A4</t>
  </si>
  <si>
    <t>Blazing Sails: Pirate Battle Royale</t>
  </si>
  <si>
    <t>GEYHT-D9TD4-PRCJK</t>
  </si>
  <si>
    <t>Z2HK3-M7ZH9-EPWGI</t>
  </si>
  <si>
    <t>All Will Fall</t>
  </si>
  <si>
    <t>JIJGA-H9W8W-QCDRD</t>
  </si>
  <si>
    <t>Police Simulator: Patrol Officers</t>
  </si>
  <si>
    <t>Marathon EU</t>
  </si>
  <si>
    <t>L9E5C-8PXCL-XIH7N</t>
  </si>
  <si>
    <t>GCDI8-63XZ7-A3ZLT</t>
  </si>
  <si>
    <t>7NVIE-AY98K-CCZK4</t>
  </si>
  <si>
    <t>WWVI5-TKDTT-B34IL</t>
  </si>
  <si>
    <t>TV7V7-6QYPJ-RWYN7</t>
  </si>
  <si>
    <t>ZIZC7-NYAKY-8LBVY</t>
  </si>
  <si>
    <t>MOUSE: P.I. For Hire</t>
  </si>
  <si>
    <t>DM9ZH-EXY6F-ADMB6</t>
  </si>
  <si>
    <t>Sol Cesto EU</t>
  </si>
  <si>
    <t>refunded not EU</t>
  </si>
  <si>
    <t>IKGY3-4V9Z4-JC7V0</t>
  </si>
  <si>
    <t>YR64A-3H6XW-05RNW</t>
  </si>
  <si>
    <t>4TTL3-BC873-EGA39</t>
  </si>
  <si>
    <t>83</t>
  </si>
  <si>
    <t>Z6AJN-5HYVG-BCJN3</t>
  </si>
  <si>
    <t>Backpack Battles</t>
  </si>
  <si>
    <t>ZLGFX-2XC43-368IC</t>
  </si>
  <si>
    <t>QZAI5-RP5IB-L3KAM</t>
  </si>
  <si>
    <t>GQRR2-J85JN-3HNYN</t>
  </si>
  <si>
    <t>Ready or Not: Home Invasion Bundle</t>
  </si>
  <si>
    <t>bundleimg</t>
  </si>
  <si>
    <t>H4HR7-WEQYL-GBZ2A</t>
  </si>
  <si>
    <t>GEGCA-6C63A-M8D6D</t>
  </si>
  <si>
    <t>SoulQuest</t>
  </si>
  <si>
    <t>NFPMZ-66YJC-V2R35</t>
  </si>
  <si>
    <t>IXQCV-FM57M-DYEAF</t>
  </si>
  <si>
    <t>Mafia The Old Country EU</t>
  </si>
  <si>
    <t>KDEG5-3EYRK-7RHBH</t>
  </si>
  <si>
    <t>IF87I-APEKI-WNX53</t>
  </si>
  <si>
    <t>Tropico 4 Collector's Bundle</t>
  </si>
  <si>
    <t>DAIR9-RZY8Q-995YD</t>
  </si>
  <si>
    <t>3TNIT-7WKI9-YFVXC</t>
  </si>
  <si>
    <t>IY2B5-ATAFZ-IFWK0</t>
  </si>
  <si>
    <t>XKZYD-J2YA2-2L5LR</t>
  </si>
  <si>
    <t>BCJVW-2L4EM-F05IN</t>
  </si>
  <si>
    <t>PEGHH-BKB49-PXEMZ</t>
  </si>
  <si>
    <t>8MQ0D-76EGL-28BTQ</t>
  </si>
  <si>
    <t>The Last of Us Part II Remastered</t>
  </si>
  <si>
    <t>JPL3Y-WDCDI-TDZHB</t>
  </si>
  <si>
    <t>JV5G5-9J7CL-ECZWJ</t>
  </si>
  <si>
    <t>The Forever Winter</t>
  </si>
  <si>
    <t>IZN3Q-9WDCN-EBPRF</t>
  </si>
  <si>
    <t>FIIZL-EXX07-E74E3</t>
  </si>
  <si>
    <t>XD9RQ-YJV8A-D6979</t>
  </si>
  <si>
    <t>IYLWH-3QAT4-4NMIW</t>
  </si>
  <si>
    <t>HJB93-2WPIJ-J70G7</t>
  </si>
  <si>
    <t>RF6VB-KD3YX-V2K76</t>
  </si>
  <si>
    <t>YPNRC-DBK2I-9AYHJ</t>
  </si>
  <si>
    <t>B72Y0-9R9NQ-4FH2V</t>
  </si>
  <si>
    <t>DLN9R-FIP4N-WE9XH</t>
  </si>
  <si>
    <t>HKECA-5IWK8-KNMTD</t>
  </si>
  <si>
    <t>W5NMI-GGWAH-I6483</t>
  </si>
  <si>
    <t>AGTLP-Z83G4-7Y4NC</t>
  </si>
  <si>
    <t>6AYWD-ELCNY-KPZMK</t>
  </si>
  <si>
    <t>MYPGK-JKMCL-GBZI0</t>
  </si>
  <si>
    <t>Everything is Crab: The Animal Evolution Roguelite</t>
  </si>
  <si>
    <t>V6G37-VXVM0-65TRW</t>
  </si>
  <si>
    <t>WILL: Follow The Light</t>
  </si>
  <si>
    <t>6FT25-9TP66-P3KIF</t>
  </si>
  <si>
    <t>45TZX-NDYPR-NR864</t>
  </si>
  <si>
    <t>AM29B-0VG0G-QH8HQ</t>
  </si>
  <si>
    <t>6M7XD-FE3HX-R7FD2</t>
  </si>
  <si>
    <t>J5IX9-FRMKW-H7XNX</t>
  </si>
  <si>
    <t>HA4M0-EY6TX-T2CA3</t>
  </si>
  <si>
    <t>6660K-8N55T-XDDKZ</t>
  </si>
  <si>
    <t>AWBT3-EBKBT-ZM4ZL</t>
  </si>
  <si>
    <t>QJG38-E4RR9-YVZA4</t>
  </si>
  <si>
    <t>B0T5C-MQBPQ-JXTQQ</t>
  </si>
  <si>
    <t>3LW5H-4T7GM-AHB79</t>
  </si>
  <si>
    <t>9HWY5-DV3H6-B7NY3</t>
  </si>
  <si>
    <t>98B5B-LXAIW-VI4FM</t>
  </si>
  <si>
    <t>TTGHA-2PW90-YY6BW</t>
  </si>
  <si>
    <t>4WQ85-G54AF-R703G</t>
  </si>
  <si>
    <t>7JEF5-V700K-8K6PX</t>
  </si>
  <si>
    <t>CMTMJ-AFZXQ-YDGG5</t>
  </si>
  <si>
    <t>Call of the Elder Gods</t>
  </si>
  <si>
    <t>JQ3T0-LR830-NBW3W</t>
  </si>
  <si>
    <t>HQV5J-98IYZ-5WPPN</t>
  </si>
  <si>
    <t>L7F86-EIA70-3VJME</t>
  </si>
  <si>
    <t>EIIC0-QJQFG-YII44</t>
  </si>
  <si>
    <t>DBZIR-MRV7W-LCKQM</t>
  </si>
  <si>
    <t>DMZTT-2PTQF-GJA70</t>
  </si>
  <si>
    <t>MD4XR-WGRC6-GE0RY</t>
  </si>
  <si>
    <t>NBR9X-THK56-DXDL9</t>
  </si>
  <si>
    <t>Space Haven</t>
  </si>
  <si>
    <t>87F8H-DRM24-M4PWY</t>
  </si>
  <si>
    <t>NVYA9-CTNYL-I44TM</t>
  </si>
  <si>
    <t>KRD8M-006Z2-RI6MZ</t>
  </si>
  <si>
    <t>PQJ4P-07ILD-7A358</t>
  </si>
  <si>
    <t>MPJ5D-A6R0H-BI4NH</t>
  </si>
  <si>
    <t>LDL0J-5B4LI-WI5KZ</t>
  </si>
  <si>
    <t>NGWNL-GMV77-MRCB9</t>
  </si>
  <si>
    <t>Bandit Trap</t>
  </si>
  <si>
    <t>JVAJ6-AHHTY-2AQLK</t>
  </si>
  <si>
    <t>Manor Lords</t>
  </si>
  <si>
    <t>7EWHL-89CY0-MGHK7</t>
  </si>
  <si>
    <t>8T7V4-4MG9W-2BIER</t>
  </si>
  <si>
    <t>Mafia: The Old Country Deluxe Edition</t>
  </si>
  <si>
    <t>BRYXZ-WQCWZ-JHQ7X</t>
  </si>
  <si>
    <t>YDA9I-6YX6Q-0VRBL</t>
  </si>
  <si>
    <t xml:space="preserve">86577-3MBPI-JVFB9
</t>
  </si>
  <si>
    <t>4I7ZJ-RL3YK-VTH7W</t>
  </si>
  <si>
    <t>N7LBN-5DYRZ-G4V35</t>
  </si>
  <si>
    <t>6TRDA-JKPVY-0ANLY</t>
  </si>
  <si>
    <t>KKA4D-HB7E8-FYC5G</t>
  </si>
  <si>
    <t>044KH-IK258-RNMBE</t>
  </si>
  <si>
    <t>XX45T-RVANQ-VD7ML</t>
  </si>
  <si>
    <t>D8N6N-7D62K-IIKZY</t>
  </si>
  <si>
    <t>9BCYC-83359-3I0DV</t>
  </si>
  <si>
    <t>FN5TW-9QJ4W-MW6VM</t>
  </si>
  <si>
    <t>I43PN-IHDJX-45NDV</t>
  </si>
  <si>
    <t>FE659-H866N-2WF5R</t>
  </si>
  <si>
    <t>I26A3-KC5N8-ADTPP</t>
  </si>
  <si>
    <t>9FXXM-9G033-M77JQ</t>
  </si>
  <si>
    <t>NIZRJ-YB0GJ-DLRKH</t>
  </si>
  <si>
    <t>MNI5B-3DMN9-LCF0E</t>
  </si>
  <si>
    <t>CBN84-NELE7-RKDR4</t>
  </si>
  <si>
    <t>5GT5L-T6C5L-FYL86</t>
  </si>
  <si>
    <t>IJ3WN-2JCK4-4ZCCC</t>
  </si>
  <si>
    <t>HL7CR-7C4XZ-G4TH6</t>
  </si>
  <si>
    <t>KA4N9-V3AJD-ICN2K</t>
  </si>
  <si>
    <t>RWCVV-5NHJD-428R2</t>
  </si>
  <si>
    <t>ELDEN RING NIGHTREIGN EMEA</t>
  </si>
  <si>
    <t>8AV6V-AF2EM-BW2PQ</t>
  </si>
  <si>
    <t>AFI45-5J0X5-FKIL9</t>
  </si>
  <si>
    <t>FJVPW-8D7DR-B85I8</t>
  </si>
  <si>
    <t>2M64D-XIK3P-8ZX3K</t>
  </si>
  <si>
    <t>GCZMF-MAV4L-WJQ5I</t>
  </si>
  <si>
    <t>9KN2L-9VA93-G6KLD</t>
  </si>
  <si>
    <t>R48R6-XCVBY-JHF50</t>
  </si>
  <si>
    <t>V24AJ-IDJV9-Z3MQV</t>
  </si>
  <si>
    <t>RY29V-FH624-BWWLM</t>
  </si>
  <si>
    <t>GW3TX-7T9GF-KVJW8</t>
  </si>
  <si>
    <t>09QHM-NJ3EP-03D7I</t>
  </si>
  <si>
    <t>Z5V20-F6DD3-4LFG6</t>
  </si>
  <si>
    <t>4IKVL-04JR4-8D285</t>
  </si>
  <si>
    <t>3WPK7-JPIWV-B0F2G</t>
  </si>
  <si>
    <t>EJJE8-69C46-LHL6B</t>
  </si>
  <si>
    <t>RAFA0-DY3W8-7PITR</t>
  </si>
  <si>
    <t>YFYIZ-T998D-DTL4V</t>
  </si>
  <si>
    <t>GKLH5-Q8H28-GG2GG</t>
  </si>
  <si>
    <t>Deep Rock Galactic: Rogue Core</t>
  </si>
  <si>
    <t>QY8NZ-ICMWY-2LZFH</t>
  </si>
  <si>
    <t>6ZLNQ-XBPEE-ENMN7</t>
  </si>
  <si>
    <t>KGZ06-GQ3FI-QY8FX</t>
  </si>
  <si>
    <t>E60FT-VEABF-WX4JZ</t>
  </si>
  <si>
    <t>F4XRJ-X8HXX-Y72IY</t>
  </si>
  <si>
    <t>ZIWNY-TBX5Z-VGWXQ</t>
  </si>
  <si>
    <t>AAR6L-JFJBJ-EDMGI</t>
  </si>
  <si>
    <t>FPBHT-NBV3J-K9Z3Y</t>
  </si>
  <si>
    <t>0AIJN-4LIYQ-JDXAB</t>
  </si>
  <si>
    <t>RLCV5-3DLL2-CJK5V</t>
  </si>
  <si>
    <t>I4B6T-W244I-V6QLB</t>
  </si>
  <si>
    <t>TFMGR-AMDFW-TLPZ2</t>
  </si>
  <si>
    <t>VGZXZ-6LJZV-JMF27</t>
  </si>
  <si>
    <t>JIZC6-B0W3B-QB5GK</t>
  </si>
  <si>
    <t>Warhammer 40,000: Mechanicus II</t>
  </si>
  <si>
    <t>4X9DE-JWHEZ-4WBKZ</t>
  </si>
  <si>
    <t>CZJ6K-YQ5QD-7TXYE</t>
  </si>
  <si>
    <t>4H5DZ-79MVM-4657I</t>
  </si>
  <si>
    <t>TN5VY-NXIWY-6WHJ3</t>
  </si>
  <si>
    <t>GK5P7-8Y6PY-TGMKN</t>
  </si>
  <si>
    <t>JFACM-R6BDB-94LAW</t>
  </si>
  <si>
    <t>3CVI9-AIQ8Z-RAGY6</t>
  </si>
  <si>
    <t>M6KE5-TJ9CJ-PELIC</t>
  </si>
  <si>
    <t>RYQ3K-RRA0L-WN88M</t>
  </si>
  <si>
    <t>XZJFV-QELWJ-K8FY8</t>
  </si>
  <si>
    <t>AY08A-BLTJ4-CK9EW</t>
  </si>
  <si>
    <t>XZDPK-08RBF-V3YFA</t>
  </si>
  <si>
    <t>AB0YA-RXWHY-ECH6I</t>
  </si>
  <si>
    <t>GEK6H-GQZJZ-N43TN</t>
  </si>
  <si>
    <t>9CQTP-7YA04-P8JM6</t>
  </si>
  <si>
    <t>ETEFP-N6VBN-5GA06</t>
  </si>
  <si>
    <t>25TDJ-3KNV7-FWQ6J</t>
  </si>
  <si>
    <t>Human: Fall Flat</t>
  </si>
  <si>
    <t>PL2XI-XZVA3-P4E3X</t>
  </si>
  <si>
    <t>VF5K0-MTKK7-NR5BN</t>
  </si>
  <si>
    <t>0QWJ5-Z4LWA-693FI</t>
  </si>
  <si>
    <t>CQ873-P50BN-P8JT0</t>
  </si>
  <si>
    <t>FR07F-TKW67-5V4YC</t>
  </si>
  <si>
    <t>KEE89-96N52-HZ4Y5</t>
  </si>
  <si>
    <t>PRAGMATA EU</t>
  </si>
  <si>
    <t>60A20-73VEP-ALVWV</t>
  </si>
  <si>
    <t>4L60M-CQ94L-CZE4A</t>
  </si>
  <si>
    <t>JWXE0-K69MB-93DX8</t>
  </si>
  <si>
    <t>JB5Z2-7KJYQ-PLI7V</t>
  </si>
  <si>
    <t>The Last of Us Part 2 Remastered</t>
  </si>
  <si>
    <t>6Z6LR-RGGLN-YFCLA</t>
  </si>
  <si>
    <t>NK6XJ-X7AXF-99EN2</t>
  </si>
  <si>
    <t>AAI35-QIZPN-EA3BD</t>
  </si>
  <si>
    <t>img5</t>
  </si>
  <si>
    <t>5X2RE-WH0CY-7HLPI</t>
  </si>
  <si>
    <t>FIAE2-LR4WB-EAMXH</t>
  </si>
  <si>
    <t>60LQN-CFTY7-TJXYF</t>
  </si>
  <si>
    <t>V8T0Y-ERL70-KJXRJ</t>
  </si>
  <si>
    <t>CAKXB-M60HJ-2EYER</t>
  </si>
  <si>
    <t>ELDEN RING NIGHTREIGN EU</t>
  </si>
  <si>
    <t>3LC4N-CEFTZ-3KZJ9</t>
  </si>
  <si>
    <t>Lootbar</t>
  </si>
  <si>
    <t>KXMNI-Q9BZF-GM6BG</t>
  </si>
  <si>
    <t>AT97E-VVRAN-44F6H</t>
  </si>
  <si>
    <t>LG8AY-RDCT0-VV3KJ</t>
  </si>
  <si>
    <t>0YQ4P-C25ZW-PFTYA</t>
  </si>
  <si>
    <t>LDZMA-27KRI-CLHH0</t>
  </si>
  <si>
    <t>E2ZZD-GZW2X-RFAL6</t>
  </si>
  <si>
    <t>CAN68-Q5FG3-G0PEJ</t>
  </si>
  <si>
    <t>BYGKE-JZRDQ-M0P3Z</t>
  </si>
  <si>
    <t>X2X86-L2M8N-MPQ4V</t>
  </si>
  <si>
    <t>3EGZK-RLDTI-B55NY</t>
  </si>
  <si>
    <t>IM84M-VL8VT-FE8ZJ</t>
  </si>
  <si>
    <t>IMBX8-58Z4L-QLBVZ</t>
  </si>
  <si>
    <t>IMA4N-HG7CD-PQPZY</t>
  </si>
  <si>
    <t>IMRJN-36QV5-GHZWA</t>
  </si>
  <si>
    <t>IMZCW-3DYF2-9VL35</t>
  </si>
  <si>
    <t>5F0IK-KMQTC-QXW7N</t>
  </si>
  <si>
    <t>FMCXI-FLL23-MBPET</t>
  </si>
  <si>
    <t>4H4YE-427A3-0G7EA</t>
  </si>
  <si>
    <t>AFAJ0-AINBW-WCRTP</t>
  </si>
  <si>
    <t>F78G3-0F8XC-V42EP</t>
  </si>
  <si>
    <t>I90Y4-M69B2-I0PWM</t>
  </si>
  <si>
    <t>547XW-528NW-H3KAZ</t>
  </si>
  <si>
    <t>69WP6-N3479-Q5D2B</t>
  </si>
  <si>
    <t>ZZ7WR-NI3C6-YCEH4</t>
  </si>
  <si>
    <t>IDZ3Y-X94R4-KWYK4</t>
  </si>
  <si>
    <t>C2QNZ-E4GFJ-E5AH0</t>
  </si>
  <si>
    <t>WI7VK-EE84K-265RJ</t>
  </si>
  <si>
    <t>BZ6ZW-H48B8-B9TCA</t>
  </si>
  <si>
    <t>Tour de France 2026 EU/NA</t>
  </si>
  <si>
    <t>BH6GC-CA4HN-664RW</t>
  </si>
  <si>
    <t>Marathon Deluxe Edition EU</t>
  </si>
  <si>
    <t>E0Y3X-QMVVL-TLPNX</t>
  </si>
  <si>
    <t>E0WP4-FZ2YJ-RI8CG</t>
  </si>
  <si>
    <t>Tour de France 2026: Deluxe Edition EU</t>
  </si>
  <si>
    <t>QN6QC-4XRAA-LJTTQ</t>
  </si>
  <si>
    <t>Final Fantasy VII Rebirth</t>
  </si>
  <si>
    <t>3Z73W-WMK88-BZYMQ</t>
  </si>
  <si>
    <t>VTACN-WF7FH-P35R2</t>
  </si>
  <si>
    <t>Witchspire</t>
  </si>
  <si>
    <t>YY8EJ-KTYD5-QB6YI</t>
  </si>
  <si>
    <t>cvii img</t>
  </si>
  <si>
    <t>EH2GK-4C8ZN-LIIKP</t>
  </si>
  <si>
    <t>CV28I-R7BVJ-BZ6PC</t>
  </si>
  <si>
    <t>ZWBGM-4A3YC-6HZJ0</t>
  </si>
  <si>
    <t>E6CR3-KKPRG-ETAWI</t>
  </si>
  <si>
    <t>V3KT4-52DBY-LBWX7</t>
  </si>
  <si>
    <t xml:space="preserve">V3XBW-B7A79-GI6M3 </t>
  </si>
  <si>
    <t>IKZCL-H8Z8J-2G206</t>
  </si>
  <si>
    <t>C9C0I-892B2-Y5P8P</t>
  </si>
  <si>
    <t>BQR3C-A92BB-9IVKC</t>
  </si>
  <si>
    <t>7CMVA-6FTIR-DJH02</t>
  </si>
  <si>
    <t>Gothic 1 Remake EU</t>
  </si>
  <si>
    <t>3J4TM-0JDQY-I3RL3</t>
  </si>
  <si>
    <t>VJKYM-0H2WH-4RQC3</t>
  </si>
  <si>
    <t>8MMXL-WK29G-8AXW2</t>
  </si>
  <si>
    <t>AQ9MQ-M6IHW-E6YKM</t>
  </si>
  <si>
    <t>DAVE THE DIVER - In the Jungle Content Pack DLC</t>
  </si>
  <si>
    <t>ZP5L9-2ATGL-H2NPC</t>
  </si>
  <si>
    <t>QA6HF-E70HT-EGVZ4</t>
  </si>
  <si>
    <t>D0KGR-8RHCJ-IKXMT</t>
  </si>
  <si>
    <t>Z9J7K-ZBX8M-XW0KW</t>
  </si>
  <si>
    <t>GGZXN-0VIMD-GGA4V</t>
  </si>
  <si>
    <t>8V0HT-86ZIG-C4J9F</t>
  </si>
  <si>
    <t>IRDGE-0LZEG-EV6VI</t>
  </si>
  <si>
    <t>QVRG8-3B6HG-6MM6T</t>
  </si>
  <si>
    <t>CIWMT-79K6X-Q7ZRT</t>
  </si>
  <si>
    <t>5BCMR-9GH70-JA225</t>
  </si>
  <si>
    <t>J78BQ-KMV3K-4PGHA</t>
  </si>
  <si>
    <t>E9R0K-6A2ER-26JFR</t>
  </si>
  <si>
    <t>22G60-JZDAW-ITG6E</t>
  </si>
  <si>
    <t>PBH0H-W32TH-N5J69</t>
  </si>
  <si>
    <t>GNZ3G-8GJJH-PGQ4V</t>
  </si>
  <si>
    <t>GQ2T5-H4DNY-WW8QG</t>
  </si>
  <si>
    <t>GV5T3-IDN2H-8VK7K</t>
  </si>
  <si>
    <t>GQPZH-QPKBV-ZBV8B</t>
  </si>
  <si>
    <t>GV5RX-QHDNY-XAMWR</t>
  </si>
  <si>
    <t>H2AJ9-3HWNN-2T42Y</t>
  </si>
  <si>
    <t>EB4GN-NLCMV-E5KVZ</t>
  </si>
  <si>
    <t>Escape Machine City: Airborne</t>
  </si>
  <si>
    <t>55P7G-DV9RN-DMETI</t>
  </si>
  <si>
    <t>JEC2D-PAZ0F-QQ8X6</t>
  </si>
  <si>
    <t>GNBGQ-YC262-V9GZC</t>
  </si>
  <si>
    <t>Worms Armageddon</t>
  </si>
  <si>
    <t>HRX70-IN9VL-CVIC2</t>
  </si>
  <si>
    <t>J3MFX-4CYD3-EWXNZ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</si>
  <si>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</si>
  <si>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</si>
  <si>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</si>
  <si>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</si>
  <si>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</si>
  <si>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</si>
  <si>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</si>
  <si>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</si>
  <si>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</si>
  <si>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</si>
  <si>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</si>
  <si>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</si>
  <si>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Final</t>
  </si>
  <si>
    <t>Total
Income</t>
  </si>
  <si>
    <t>Total
Spent</t>
  </si>
  <si>
    <t>Total
Profit</t>
  </si>
  <si>
    <t>Sold
Items</t>
  </si>
  <si>
    <t>Avg Sold
Price</t>
  </si>
  <si>
    <t>Average
Profit</t>
  </si>
  <si>
    <t>Average
Margin</t>
  </si>
  <si>
    <t>Average
Duration</t>
  </si>
  <si>
    <t>Expenses</t>
  </si>
  <si>
    <t>Sold Items</t>
  </si>
  <si>
    <t>~Sold Price</t>
  </si>
  <si>
    <t>~Profit</t>
  </si>
  <si>
    <t>~Margin</t>
  </si>
  <si>
    <t>~Duration</t>
  </si>
  <si>
    <t>Payouts</t>
  </si>
  <si>
    <t>~Margin %</t>
  </si>
  <si>
    <t>Sheets</t>
  </si>
  <si>
    <t>3876,32</t>
  </si>
  <si>
    <t>Final 2020</t>
  </si>
  <si>
    <t>Final 2021</t>
  </si>
  <si>
    <t>Final 2022</t>
  </si>
  <si>
    <t>Final 2023</t>
  </si>
  <si>
    <t>Final 2024</t>
  </si>
  <si>
    <t>Final 2025</t>
  </si>
  <si>
    <t>Final 2026</t>
  </si>
  <si>
    <t>~Revenue</t>
  </si>
  <si>
    <t>~Expenses</t>
  </si>
  <si>
    <t>~Sold Items</t>
  </si>
  <si>
    <t>Payout</t>
  </si>
  <si>
    <t xml:space="preserve">Search for Games... </t>
  </si>
  <si>
    <t>SUBTOTALS</t>
  </si>
  <si>
    <t>🔍</t>
  </si>
  <si>
    <t>tempest</t>
  </si>
  <si>
    <t>Sold Price</t>
  </si>
  <si>
    <t>Total Profit</t>
  </si>
  <si>
    <t>Min</t>
  </si>
  <si>
    <t>High</t>
  </si>
  <si>
    <t>Average</t>
  </si>
  <si>
    <t>Difference</t>
  </si>
  <si>
    <t>Reference AVG</t>
  </si>
  <si>
    <t>Games</t>
  </si>
  <si>
    <t>Quantity</t>
  </si>
  <si>
    <t>Profit Margin</t>
  </si>
  <si>
    <t>Avg Profit</t>
  </si>
  <si>
    <t>Star</t>
  </si>
  <si>
    <t>STK</t>
  </si>
  <si>
    <t>Craft the World</t>
  </si>
  <si>
    <t>House Flipper</t>
  </si>
  <si>
    <t>Phantom Brigade</t>
  </si>
  <si>
    <t>Propnight</t>
  </si>
  <si>
    <t>Smoke and Sacrifice</t>
  </si>
  <si>
    <t>Annapurna Interactive</t>
  </si>
  <si>
    <t>Top 20 Total Sold Items</t>
  </si>
  <si>
    <t>Top 20 Total Profit</t>
  </si>
  <si>
    <t>Top 20 Average Profit</t>
  </si>
  <si>
    <t>Top 20 Highest Profit</t>
  </si>
  <si>
    <t>Title</t>
  </si>
  <si>
    <t>Publishers</t>
  </si>
  <si>
    <t>Earned</t>
  </si>
  <si>
    <t>10 Chambers</t>
  </si>
  <si>
    <t>10tons Ltd</t>
  </si>
  <si>
    <t>11 bit studios</t>
  </si>
  <si>
    <t>Top 25 Profit</t>
  </si>
  <si>
    <t>Top 25 Publishers</t>
  </si>
  <si>
    <t>1C Entertainment</t>
  </si>
  <si>
    <t>2K</t>
  </si>
  <si>
    <t>34BigThings</t>
  </si>
  <si>
    <t>505 Games</t>
  </si>
  <si>
    <t>ACE Team</t>
  </si>
  <si>
    <t>Activision</t>
  </si>
  <si>
    <t>Adult Swim Games</t>
  </si>
  <si>
    <t>Aerosoft</t>
  </si>
  <si>
    <t>Aksys Games</t>
  </si>
  <si>
    <t>Akupara Games</t>
  </si>
  <si>
    <t>Alawar Premium</t>
  </si>
  <si>
    <t>Anvil Game Studios</t>
  </si>
  <si>
    <t>Avalanche Studios</t>
  </si>
  <si>
    <t>Apogee Entertainment</t>
  </si>
  <si>
    <t>Applava</t>
  </si>
  <si>
    <t>Arc System Works</t>
  </si>
  <si>
    <t>Armor Games</t>
  </si>
  <si>
    <t>Aspyr</t>
  </si>
  <si>
    <t>Assemble Entertainment</t>
  </si>
  <si>
    <t>astragon Entertainment</t>
  </si>
  <si>
    <t>Atari</t>
  </si>
  <si>
    <t>Autumn Games</t>
  </si>
  <si>
    <t>Awe Interactive</t>
  </si>
  <si>
    <t>BANDAI NAMCO</t>
  </si>
  <si>
    <t>Beamdog</t>
  </si>
  <si>
    <t>Bedtime Digital Games</t>
  </si>
  <si>
    <t>Behaviour Interactive</t>
  </si>
  <si>
    <t>Berserk Games</t>
  </si>
  <si>
    <t>Bethesda Softworks</t>
  </si>
  <si>
    <t>Big Sugar</t>
  </si>
  <si>
    <t>Black Eye Games</t>
  </si>
  <si>
    <t>Black Maple Games</t>
  </si>
  <si>
    <t>Bloober Team</t>
  </si>
  <si>
    <t>Blue Brain Games</t>
  </si>
  <si>
    <t>Blueside</t>
  </si>
  <si>
    <t>Brace Yourself Games</t>
  </si>
  <si>
    <t>Brightrock Games</t>
  </si>
  <si>
    <t>Bungie</t>
  </si>
  <si>
    <t>Caligari Games</t>
  </si>
  <si>
    <t>Camel 101</t>
  </si>
  <si>
    <t>Camouflaj</t>
  </si>
  <si>
    <t>CAPCOM</t>
  </si>
  <si>
    <t>Codemasters</t>
  </si>
  <si>
    <t>Coffee Stain</t>
  </si>
  <si>
    <t>Cheesecake Dev</t>
  </si>
  <si>
    <t>Chromatic Games</t>
  </si>
  <si>
    <t>CI Games</t>
  </si>
  <si>
    <t>Clever Plays</t>
  </si>
  <si>
    <t>Coatsink</t>
  </si>
  <si>
    <t>Codalyn</t>
  </si>
  <si>
    <t>Conatus Creative</t>
  </si>
  <si>
    <t>Copybugpaste</t>
  </si>
  <si>
    <t>COWCAT</t>
  </si>
  <si>
    <t>Crate Entertainment</t>
  </si>
  <si>
    <t>Crystal Dynamics</t>
  </si>
  <si>
    <t>Crytivo</t>
  </si>
  <si>
    <t>Curve Digital</t>
  </si>
  <si>
    <t>Cyanide Studio</t>
  </si>
  <si>
    <t>Daedalic Entertainment</t>
  </si>
  <si>
    <t>DANGEN Entertainment</t>
  </si>
  <si>
    <t>Darkwind Media</t>
  </si>
  <si>
    <t>Dear Villagers</t>
  </si>
  <si>
    <t>Deep Silver</t>
  </si>
  <si>
    <t>Destructive Creation</t>
  </si>
  <si>
    <t>Devolver Digital</t>
  </si>
  <si>
    <t>Digerati</t>
  </si>
  <si>
    <t>Digixart</t>
  </si>
  <si>
    <t>Dimension 32</t>
  </si>
  <si>
    <t>DolphinBarn</t>
  </si>
  <si>
    <t>Double Damage Games</t>
  </si>
  <si>
    <t>Dotemu</t>
  </si>
  <si>
    <t>Dovetail Games</t>
  </si>
  <si>
    <t>Driven Arts</t>
  </si>
  <si>
    <t>EarthWork Games</t>
  </si>
  <si>
    <t>Eek! Games</t>
  </si>
  <si>
    <t>Egosoft</t>
  </si>
  <si>
    <t>Electronic Arts</t>
  </si>
  <si>
    <t>Element Games</t>
  </si>
  <si>
    <t>Eleventh Hour Games</t>
  </si>
  <si>
    <t>Enigma Dragons</t>
  </si>
  <si>
    <t>Eugen Systems</t>
  </si>
  <si>
    <t>Event Horizon</t>
  </si>
  <si>
    <t>Evil Tortilla Games</t>
  </si>
  <si>
    <t>Evil Twin Artworks</t>
  </si>
  <si>
    <t>Excalibur Games</t>
  </si>
  <si>
    <t>EXOR Studios</t>
  </si>
  <si>
    <t>Expansive Worlds</t>
  </si>
  <si>
    <t>Fatshark</t>
  </si>
  <si>
    <t>Fellow Traveller</t>
  </si>
  <si>
    <t>FireFly Studios</t>
  </si>
  <si>
    <t>Fireshine Games</t>
  </si>
  <si>
    <t>Flashbulb</t>
  </si>
  <si>
    <t>Focus Home Interactive</t>
  </si>
  <si>
    <t>Freedom Games</t>
  </si>
  <si>
    <t>Frogwares</t>
  </si>
  <si>
    <t>Frontier Foundry</t>
  </si>
  <si>
    <t>Frozenbyte</t>
  </si>
  <si>
    <t>Fullbright</t>
  </si>
  <si>
    <t>Funcom</t>
  </si>
  <si>
    <t>Gamepires</t>
  </si>
  <si>
    <t>Games Operators</t>
  </si>
  <si>
    <t>Game Science</t>
  </si>
  <si>
    <t>Gaugepunk Games</t>
  </si>
  <si>
    <t>Gentleman Squid Studio</t>
  </si>
  <si>
    <t>Goblinz Publishing</t>
  </si>
  <si>
    <t>Good Shepherd Entertainment</t>
  </si>
  <si>
    <t>Gearbox Publishing</t>
  </si>
  <si>
    <t>Gun Interactive</t>
  </si>
  <si>
    <t>HandyGames</t>
  </si>
  <si>
    <t>HB Studios</t>
  </si>
  <si>
    <t>Headup</t>
  </si>
  <si>
    <t>Hello Games</t>
  </si>
  <si>
    <t>Hooded Horse</t>
  </si>
  <si>
    <t>Humble Games</t>
  </si>
  <si>
    <t>HypeTrain Digital</t>
  </si>
  <si>
    <t>Ice-Pick Lodge</t>
  </si>
  <si>
    <t>Iceberg Interactive</t>
  </si>
  <si>
    <t>id Software</t>
  </si>
  <si>
    <t>Image &amp; Form Games</t>
  </si>
  <si>
    <t>IMGN.PRO</t>
  </si>
  <si>
    <t>indie.io</t>
  </si>
  <si>
    <t>Innersloth</t>
  </si>
  <si>
    <t>inXile Entertainment</t>
  </si>
  <si>
    <t>IO Interactive</t>
  </si>
  <si>
    <t>Ironhide Game Studio</t>
  </si>
  <si>
    <t>Jackbox Games</t>
  </si>
  <si>
    <t>James Bendon</t>
  </si>
  <si>
    <t>Joey Drew Studios</t>
  </si>
  <si>
    <t>Junkfish Limited</t>
  </si>
  <si>
    <t>Kalypso Media</t>
  </si>
  <si>
    <t>Kasedo Games</t>
  </si>
  <si>
    <t>Kepler Interactive</t>
  </si>
  <si>
    <t>Klabater</t>
  </si>
  <si>
    <t>Klei Entertainment</t>
  </si>
  <si>
    <t>KOEI TECMO GAMES</t>
  </si>
  <si>
    <t>Konami</t>
  </si>
  <si>
    <t>Krillbite Studio</t>
  </si>
  <si>
    <t>LimboLane</t>
  </si>
  <si>
    <t>Lo-Fi Games</t>
  </si>
  <si>
    <t>Lonely Troops</t>
  </si>
  <si>
    <t>Ludeon Studios</t>
  </si>
  <si>
    <t>Ludosity</t>
  </si>
  <si>
    <t>Lukas Rustemeyer</t>
  </si>
  <si>
    <t>LucasArts</t>
  </si>
  <si>
    <t>LW Games</t>
  </si>
  <si>
    <t>M2H</t>
  </si>
  <si>
    <t>Marmalade Game Studio</t>
  </si>
  <si>
    <t>Mechanistry</t>
  </si>
  <si>
    <t>Mediatonic</t>
  </si>
  <si>
    <t>Mega Crit Games</t>
  </si>
  <si>
    <t>Maximum Entertainment</t>
  </si>
  <si>
    <t>Merge Games</t>
  </si>
  <si>
    <t>META Publishing</t>
  </si>
  <si>
    <t>Microids</t>
  </si>
  <si>
    <t>Milestone</t>
  </si>
  <si>
    <t>Mixed Realms</t>
  </si>
  <si>
    <t>Modus Games</t>
  </si>
  <si>
    <t>Motion Twin</t>
  </si>
  <si>
    <t>Motorsport Games</t>
  </si>
  <si>
    <t>MYTONA</t>
  </si>
  <si>
    <t>Nacon</t>
  </si>
  <si>
    <t>Natsume</t>
  </si>
  <si>
    <t>Neon Doctrine</t>
  </si>
  <si>
    <t>NEOWIZ</t>
  </si>
  <si>
    <t>Next in Game</t>
  </si>
  <si>
    <t>NEXT Studios</t>
  </si>
  <si>
    <t>Nightdive Studios</t>
  </si>
  <si>
    <t>Ninja Kiwi</t>
  </si>
  <si>
    <t>Ninja Robot Dinosaur</t>
  </si>
  <si>
    <t>NIS America</t>
  </si>
  <si>
    <t>North Beach</t>
  </si>
  <si>
    <t>Nyu Media</t>
  </si>
  <si>
    <t>Ocean Drive Studio</t>
  </si>
  <si>
    <t>Oddworld Inhabitants</t>
  </si>
  <si>
    <t>Offworld Industries</t>
  </si>
  <si>
    <t>oneoreight</t>
  </si>
  <si>
    <t>Overhype Studios</t>
  </si>
  <si>
    <t>Overseer Games</t>
  </si>
  <si>
    <t>Over The Moon</t>
  </si>
  <si>
    <t>Owlcat Games</t>
  </si>
  <si>
    <t>Oxymoron Games</t>
  </si>
  <si>
    <t>Paradox Interactive</t>
  </si>
  <si>
    <t>Pathea Games</t>
  </si>
  <si>
    <t>Perfect World Entertainment</t>
  </si>
  <si>
    <t>Pixelatto</t>
  </si>
  <si>
    <t>Play on Worlds</t>
  </si>
  <si>
    <t>Playstack</t>
  </si>
  <si>
    <t>PlayStation</t>
  </si>
  <si>
    <t>PlayWay</t>
  </si>
  <si>
    <t>Pocketpair</t>
  </si>
  <si>
    <t>PQube Limited</t>
  </si>
  <si>
    <t>Prime Matter</t>
  </si>
  <si>
    <t>Private Division</t>
  </si>
  <si>
    <t>Quantic Dream</t>
  </si>
  <si>
    <t>Raiser Games</t>
  </si>
  <si>
    <t>Raw Fury</t>
  </si>
  <si>
    <t>Rebellion</t>
  </si>
  <si>
    <t>Red Barrels</t>
  </si>
  <si>
    <t>Reverie World Studios</t>
  </si>
  <si>
    <t>Revival Productions</t>
  </si>
  <si>
    <t>Revolution Software</t>
  </si>
  <si>
    <t>RIVER CROW STUDIO</t>
  </si>
  <si>
    <t>ROCKFISH Games</t>
  </si>
  <si>
    <t>Rogueside</t>
  </si>
  <si>
    <t>Runic Games</t>
  </si>
  <si>
    <t>RyseUp Studios</t>
  </si>
  <si>
    <t>SadSquare Studio</t>
  </si>
  <si>
    <t>Saber Interactive</t>
  </si>
  <si>
    <t>Schell Games</t>
  </si>
  <si>
    <t>SCKR Games</t>
  </si>
  <si>
    <t>Scraping Bottom</t>
  </si>
  <si>
    <t>Screen 7</t>
  </si>
  <si>
    <t>SCS Software</t>
  </si>
  <si>
    <t>Secret Mode</t>
  </si>
  <si>
    <t>Sector D2</t>
  </si>
  <si>
    <t>SEGA</t>
  </si>
  <si>
    <t>Serenity Forge</t>
  </si>
  <si>
    <t>Shining Rock</t>
  </si>
  <si>
    <t>Shiro Games</t>
  </si>
  <si>
    <t>Siege Camp</t>
  </si>
  <si>
    <t>Silver Dollar Games</t>
  </si>
  <si>
    <t>Skybound Games</t>
  </si>
  <si>
    <t>Skystone Games</t>
  </si>
  <si>
    <t>Slitherine Ltd</t>
  </si>
  <si>
    <t>Sludj Games</t>
  </si>
  <si>
    <t>Snapshot Games</t>
  </si>
  <si>
    <t>SNK CORPORATION</t>
  </si>
  <si>
    <t>Sold Out</t>
  </si>
  <si>
    <t>South East Games</t>
  </si>
  <si>
    <t>Squanch Games</t>
  </si>
  <si>
    <t>Square Enix</t>
  </si>
  <si>
    <t>Star Drifters</t>
  </si>
  <si>
    <t>Starbreeze Publishing</t>
  </si>
  <si>
    <t>Steel City Interactive</t>
  </si>
  <si>
    <t>Steel Sky Productions</t>
  </si>
  <si>
    <t>Stoic Studio</t>
  </si>
  <si>
    <t>Studio Wildcard</t>
  </si>
  <si>
    <t>Stunlock Studios</t>
  </si>
  <si>
    <t>Stygian Software</t>
  </si>
  <si>
    <t>Subset Games</t>
  </si>
  <si>
    <t>SUPERHOT Team</t>
  </si>
  <si>
    <t>Surprise Attack</t>
  </si>
  <si>
    <t>Survios</t>
  </si>
  <si>
    <t>Systemic Reaction</t>
  </si>
  <si>
    <t>Tactical Adventures</t>
  </si>
  <si>
    <t>Team Reptile</t>
  </si>
  <si>
    <t>Team17 Digital</t>
  </si>
  <si>
    <t>Techland Publishing</t>
  </si>
  <si>
    <t>Telltale</t>
  </si>
  <si>
    <t>Terry Cavanagh</t>
  </si>
  <si>
    <t>THE BROTHERHOOD</t>
  </si>
  <si>
    <t>The Farm 51</t>
  </si>
  <si>
    <t>The Irregular Corporation</t>
  </si>
  <si>
    <t>The Pixel Mine</t>
  </si>
  <si>
    <t>The Voxel Agents</t>
  </si>
  <si>
    <t>Thing Trunk</t>
  </si>
  <si>
    <t>Those Awesome Guys</t>
  </si>
  <si>
    <t>THQ Nordic</t>
  </si>
  <si>
    <t>Thunder Lotus Games</t>
  </si>
  <si>
    <t>Thunderful Publishing</t>
  </si>
  <si>
    <t>tinyBuild</t>
  </si>
  <si>
    <t>Toco Games</t>
  </si>
  <si>
    <t>Top Hat Studios</t>
  </si>
  <si>
    <t>Torn Banner Studios</t>
  </si>
  <si>
    <t>Total Mayhem Games</t>
  </si>
  <si>
    <t>Toukana Interactive</t>
  </si>
  <si>
    <t>Tripwire Presents</t>
  </si>
  <si>
    <t>Triternion</t>
  </si>
  <si>
    <t>Untold Tales</t>
  </si>
  <si>
    <t>Versus Evil</t>
  </si>
  <si>
    <t>Vertigo Gaming</t>
  </si>
  <si>
    <t>Warhorse Studios</t>
  </si>
  <si>
    <t>Vector3 Studio</t>
  </si>
  <si>
    <t>VOID Interactive</t>
  </si>
  <si>
    <t>WanadevStudio</t>
  </si>
  <si>
    <t>Warner Bros</t>
  </si>
  <si>
    <t>Weather Factory</t>
  </si>
  <si>
    <t>WeirdBeard</t>
  </si>
  <si>
    <t>Wired Productions</t>
  </si>
  <si>
    <t>Whitethorn Games</t>
  </si>
  <si>
    <t>WOLCEN Studio</t>
  </si>
  <si>
    <t>Wube Software</t>
  </si>
  <si>
    <t>Xbox Game Studios</t>
  </si>
  <si>
    <t>XREAL Games</t>
  </si>
  <si>
    <t>YAW Studios</t>
  </si>
  <si>
    <t>YGGDRAZIL GROUP</t>
  </si>
  <si>
    <t>Zeboyd Games</t>
  </si>
  <si>
    <t>Items</t>
  </si>
  <si>
    <t>Sum</t>
  </si>
  <si>
    <t>Site</t>
  </si>
  <si>
    <t>Amount</t>
  </si>
  <si>
    <t>Total in Euro</t>
  </si>
  <si>
    <t>Banggood</t>
  </si>
  <si>
    <t>Mipad + Case</t>
  </si>
  <si>
    <t>Envato</t>
  </si>
  <si>
    <t>Analko theme</t>
  </si>
  <si>
    <t>Shop&amp;Ship</t>
  </si>
  <si>
    <t>Lifetime Subscr</t>
  </si>
  <si>
    <t>Gearbest</t>
  </si>
  <si>
    <t>Xiaomi mi 9 se</t>
  </si>
  <si>
    <t>Namshi</t>
  </si>
  <si>
    <t>Dress</t>
  </si>
  <si>
    <t>Nightdresses</t>
  </si>
  <si>
    <t>Namecheap</t>
  </si>
  <si>
    <t>webmedia.website</t>
  </si>
  <si>
    <t>Surfshark</t>
  </si>
  <si>
    <t>annual subscription</t>
  </si>
  <si>
    <t>GeekBuying</t>
  </si>
  <si>
    <t>Roborock S5 Max</t>
  </si>
  <si>
    <t>Tops Shirts</t>
  </si>
  <si>
    <t>Eros - S10+</t>
  </si>
  <si>
    <t>S5 Max Parts</t>
  </si>
  <si>
    <t>Mumzworld</t>
  </si>
  <si>
    <t>WaterTable</t>
  </si>
  <si>
    <t>Sensor Lights</t>
  </si>
  <si>
    <t>S5 Max parts</t>
  </si>
  <si>
    <t>Mothercare</t>
  </si>
  <si>
    <t>Bed Rail</t>
  </si>
  <si>
    <t>Sharaf UAE</t>
  </si>
  <si>
    <t>Galaxy S10</t>
  </si>
  <si>
    <t>HomeCentre</t>
  </si>
  <si>
    <t>Liza Duvait</t>
  </si>
  <si>
    <t>cdiscount.com</t>
  </si>
  <si>
    <t>Honor Choice x2</t>
  </si>
  <si>
    <t>Z2U-Isaac</t>
  </si>
  <si>
    <t>Netflix 1-month</t>
  </si>
  <si>
    <t>Denim + jacket</t>
  </si>
  <si>
    <t>Clothe + socks</t>
  </si>
  <si>
    <t>Z2U-Wael</t>
  </si>
  <si>
    <t>Flix-1y</t>
  </si>
  <si>
    <t>thegreencity.xyz</t>
  </si>
  <si>
    <t>Skype</t>
  </si>
  <si>
    <t>Skype credits</t>
  </si>
  <si>
    <t>Sookie</t>
  </si>
  <si>
    <t>6months</t>
  </si>
  <si>
    <t>Flex 1-year</t>
  </si>
  <si>
    <t>The Conqueror</t>
  </si>
  <si>
    <t>2 medals</t>
  </si>
  <si>
    <t>Baseus Pump</t>
  </si>
  <si>
    <t>CentrePoint</t>
  </si>
  <si>
    <t>Pyjamas</t>
  </si>
  <si>
    <t>Alensa</t>
  </si>
  <si>
    <t>Contact lenses</t>
  </si>
  <si>
    <t>EasyNotebooks DE</t>
  </si>
  <si>
    <t>Lenovo PC</t>
  </si>
  <si>
    <t>Swimming Suits</t>
  </si>
  <si>
    <t>Alensa Lenses</t>
  </si>
  <si>
    <t>GoDeal24</t>
  </si>
  <si>
    <t>Win 10 Pro</t>
  </si>
  <si>
    <t>Themeforest</t>
  </si>
  <si>
    <t>Burst Theme</t>
  </si>
  <si>
    <t>Gear-up.me</t>
  </si>
  <si>
    <t>8gb Ram &amp; external</t>
  </si>
  <si>
    <t>Dresses</t>
  </si>
  <si>
    <t>HomeCenter</t>
  </si>
  <si>
    <t>Kitchen utils</t>
  </si>
  <si>
    <t>xtrix 1year</t>
  </si>
  <si>
    <t>GMK</t>
  </si>
  <si>
    <t>Mini pc</t>
  </si>
  <si>
    <t>Flixcard 75TL</t>
  </si>
  <si>
    <t>TurGame</t>
  </si>
  <si>
    <t>Flixcard 100TL</t>
  </si>
  <si>
    <t>livecards.co.uk</t>
  </si>
  <si>
    <t>Office 2019 Pro</t>
  </si>
  <si>
    <t>DealExtreme</t>
  </si>
  <si>
    <t>Q5 Bluetooth Remote</t>
  </si>
  <si>
    <t>StableHost</t>
  </si>
  <si>
    <t>3months + Domain</t>
  </si>
  <si>
    <t>Yoast</t>
  </si>
  <si>
    <t>Yoast Premium 1-yr</t>
  </si>
  <si>
    <t>WP Rocket</t>
  </si>
  <si>
    <t>Rathod Optician</t>
  </si>
  <si>
    <t>Solution for Lenses</t>
  </si>
  <si>
    <t>Stadia 3+1 trial</t>
  </si>
  <si>
    <t>Clothes</t>
  </si>
  <si>
    <t>Home Centre</t>
  </si>
  <si>
    <t>Pillows</t>
  </si>
  <si>
    <t>G2A Plus</t>
  </si>
  <si>
    <t>1 month</t>
  </si>
  <si>
    <t>TP-Link Router</t>
  </si>
  <si>
    <t>Skirt</t>
  </si>
  <si>
    <t>Philips Shaver</t>
  </si>
  <si>
    <t>Sharaf BH</t>
  </si>
  <si>
    <t>Philips Speaker</t>
  </si>
  <si>
    <t>Iron + Canon Ink</t>
  </si>
  <si>
    <t>Viber</t>
  </si>
  <si>
    <t>Viberout</t>
  </si>
  <si>
    <t>Google play 100TL</t>
  </si>
  <si>
    <t>Beuatycom.gr</t>
  </si>
  <si>
    <t>Miss Dior</t>
  </si>
  <si>
    <t>JoyFashion</t>
  </si>
  <si>
    <t>Dress delivery</t>
  </si>
  <si>
    <t>Lookshop gr</t>
  </si>
  <si>
    <t>Contact Lenses</t>
  </si>
  <si>
    <t>Almalakea Mobile</t>
  </si>
  <si>
    <t>SUP</t>
  </si>
  <si>
    <t>12m Disney+</t>
  </si>
  <si>
    <t>Kinguin</t>
  </si>
  <si>
    <t>Flixcard 100TL x2</t>
  </si>
  <si>
    <t>Flixcard 75 TL x2</t>
  </si>
  <si>
    <t>xtrix 1year Chris</t>
  </si>
  <si>
    <t>DealSafari</t>
  </si>
  <si>
    <t>Thai Massage</t>
  </si>
  <si>
    <t>Canva</t>
  </si>
  <si>
    <t>1 year subscription</t>
  </si>
  <si>
    <t>Etsy</t>
  </si>
  <si>
    <t>necklace</t>
  </si>
  <si>
    <t>EyeConcept Gr</t>
  </si>
  <si>
    <t>Lenses</t>
  </si>
  <si>
    <t>xtrix 1year Christina</t>
  </si>
  <si>
    <t>1 month Smart</t>
  </si>
  <si>
    <t>LookShop</t>
  </si>
  <si>
    <t>Wecare</t>
  </si>
  <si>
    <t>APIVITA</t>
  </si>
  <si>
    <t>kafenedaki gr</t>
  </si>
  <si>
    <t>Mrs Rose</t>
  </si>
  <si>
    <t>e-Food</t>
  </si>
  <si>
    <t>Burgers Coffee</t>
  </si>
  <si>
    <t>APIVITA x3</t>
  </si>
  <si>
    <t>Prenatal</t>
  </si>
  <si>
    <t>BBluv λιμα</t>
  </si>
  <si>
    <t>Plus Annual</t>
  </si>
  <si>
    <t>xtrix 6m Bill</t>
  </si>
  <si>
    <t>Techinn</t>
  </si>
  <si>
    <t>Roborock Q7 Max</t>
  </si>
  <si>
    <t>Flix 200TL x2</t>
  </si>
  <si>
    <t>christos 6month</t>
  </si>
  <si>
    <t>Homebox</t>
  </si>
  <si>
    <t>carpet</t>
  </si>
  <si>
    <t>1-year + domain</t>
  </si>
  <si>
    <t>Notonthehighstreet</t>
  </si>
  <si>
    <t>Fotis Comic</t>
  </si>
  <si>
    <t>6+1 φακοι επαφής</t>
  </si>
  <si>
    <t>Dad 6 months</t>
  </si>
  <si>
    <t>Booking</t>
  </si>
  <si>
    <t>Walton Gardens Pera IST</t>
  </si>
  <si>
    <t>Taxi2Airport</t>
  </si>
  <si>
    <t>ISTanbul</t>
  </si>
  <si>
    <t>Burgers</t>
  </si>
  <si>
    <t>Lights</t>
  </si>
  <si>
    <t>myikona</t>
  </si>
  <si>
    <t>600TL NETFLIX</t>
  </si>
  <si>
    <t>Wincdkey</t>
  </si>
  <si>
    <t>Office 2021 Pro</t>
  </si>
  <si>
    <t>Homecenter</t>
  </si>
  <si>
    <t>Mattress 120x200</t>
  </si>
  <si>
    <t>Agoda</t>
  </si>
  <si>
    <t>Fox Indo</t>
  </si>
  <si>
    <t>Public</t>
  </si>
  <si>
    <t>Rafa Apple watch</t>
  </si>
  <si>
    <t>Flix 250*4</t>
  </si>
  <si>
    <t>My24Shop greece</t>
  </si>
  <si>
    <t>2 Xbox Controllers</t>
  </si>
  <si>
    <t>CazaSouq</t>
  </si>
  <si>
    <t>PS5 + Controller</t>
  </si>
  <si>
    <t>PS Portal</t>
  </si>
  <si>
    <t>MyTrip Greece</t>
  </si>
  <si>
    <t>BAH-ATH-BAH (3 tickets)</t>
  </si>
  <si>
    <t xml:space="preserve">Lenovo Tab M11 Georgie </t>
  </si>
  <si>
    <t>Atlas Template</t>
  </si>
  <si>
    <t>Govee</t>
  </si>
  <si>
    <t>Tv Light (x2)</t>
  </si>
  <si>
    <t>tsagiannidis-medical</t>
  </si>
  <si>
    <t>Nebulier Gima</t>
  </si>
  <si>
    <t>12 months Dad</t>
  </si>
  <si>
    <t>12 months xristina</t>
  </si>
  <si>
    <t>12 months Ego</t>
  </si>
  <si>
    <t>Flix 250*3</t>
  </si>
  <si>
    <t>Surfshark 3 months trial</t>
  </si>
  <si>
    <t>Dreamhost</t>
  </si>
  <si>
    <t>worldmarathon Projects</t>
  </si>
  <si>
    <t xml:space="preserve">Gamivo </t>
  </si>
  <si>
    <t xml:space="preserve"> office 365 12 months</t>
  </si>
  <si>
    <t>Palio Office 19 Key 00414-65320-60141-AA034</t>
  </si>
  <si>
    <t>Surfshark 2 months trial</t>
  </si>
  <si>
    <t xml:space="preserve">UPERFECT </t>
  </si>
  <si>
    <t>Monitor UTouch E6 Pro</t>
  </si>
  <si>
    <t>EXTRA5 5%</t>
  </si>
  <si>
    <t>Φακοι</t>
  </si>
  <si>
    <t>Aramex</t>
  </si>
  <si>
    <t>Floor Lights</t>
  </si>
  <si>
    <t>Playstation</t>
  </si>
  <si>
    <t>Smurfs Village Party</t>
  </si>
  <si>
    <t>NordVPN 2-yrs 6dvcs</t>
  </si>
  <si>
    <t>FuelForFans</t>
  </si>
  <si>
    <t>Mercedes Clothes</t>
  </si>
  <si>
    <t>Essentials</t>
  </si>
  <si>
    <t>Astro Bot</t>
  </si>
  <si>
    <t>HomeBox</t>
  </si>
  <si>
    <t>Topper</t>
  </si>
  <si>
    <t>Arafa</t>
  </si>
  <si>
    <t>Samsung Buds 3 x2</t>
  </si>
  <si>
    <t>Dragon City</t>
  </si>
  <si>
    <t>Balcony Sofas</t>
  </si>
  <si>
    <t>Lifetime Subscription</t>
  </si>
  <si>
    <t>key-wrld.com</t>
  </si>
  <si>
    <t>Windows 11 Pro</t>
  </si>
  <si>
    <t>FLIX 250 TRY</t>
  </si>
  <si>
    <t>GameSir G8 Plus</t>
  </si>
  <si>
    <t>G2G</t>
  </si>
  <si>
    <t>Disney+ Account</t>
  </si>
  <si>
    <t>Dealify</t>
  </si>
  <si>
    <t>Scramble 2TB</t>
  </si>
  <si>
    <t>Master Key: 2565a6d5afb5e1f6a812e7777896ec5125e9dd0c5bb1c9ab16f7ed7948cfaa55</t>
  </si>
  <si>
    <t>Disney+ Premium Account</t>
  </si>
  <si>
    <t>Monitor UMAX21 Touch</t>
  </si>
  <si>
    <t>WeCare</t>
  </si>
  <si>
    <t>Solgar Meta Flex</t>
  </si>
  <si>
    <t>Shein</t>
  </si>
  <si>
    <t>Kefalonia</t>
  </si>
  <si>
    <t>GGSEL</t>
  </si>
  <si>
    <t>12-m netflix 4k</t>
  </si>
  <si>
    <t>6-m netflix 4k</t>
  </si>
  <si>
    <t>polytechnic.site Business Package</t>
  </si>
  <si>
    <t>Gamers-Outlet</t>
  </si>
  <si>
    <t>Office 365 Personal 1TB</t>
  </si>
  <si>
    <t>StackSocial</t>
  </si>
  <si>
    <t>Drime 6TB Lifetime</t>
  </si>
  <si>
    <t>OpticalDirect</t>
  </si>
  <si>
    <t>Surakarta, Indonesia</t>
  </si>
  <si>
    <t>6x100 netflix</t>
  </si>
  <si>
    <t>Jakarta, Indonesia</t>
  </si>
  <si>
    <t>Autodesk Rive</t>
  </si>
  <si>
    <t>4 x75 flix</t>
  </si>
  <si>
    <t>LinkedinIn 12months</t>
  </si>
  <si>
    <t>e-sim</t>
  </si>
  <si>
    <t>1day Saudi</t>
  </si>
  <si>
    <t>8x100 flix</t>
  </si>
  <si>
    <t>PSN GR 20</t>
  </si>
  <si>
    <t>Gallerie</t>
  </si>
  <si>
    <t>Beauty Products</t>
  </si>
  <si>
    <t>Steigenberger Hotel</t>
  </si>
  <si>
    <t>ByteSim</t>
  </si>
  <si>
    <t>3days Global</t>
  </si>
  <si>
    <t>GoToGate</t>
  </si>
  <si>
    <t>Gulf DOH to BAH</t>
  </si>
  <si>
    <t>3x200 flix</t>
  </si>
  <si>
    <t>AppSumo</t>
  </si>
  <si>
    <t>NoCode MBA lifetime</t>
  </si>
  <si>
    <t>Yesim</t>
  </si>
  <si>
    <t>Global 80GB 365Days</t>
  </si>
  <si>
    <t>4BIRW-FQP54-X570E</t>
  </si>
  <si>
    <t>My mistake</t>
  </si>
  <si>
    <t>KX4X6-EE7FY-09RN2</t>
  </si>
  <si>
    <t>Deleted from Steam on Jan 2024</t>
  </si>
  <si>
    <t>To Be Given</t>
  </si>
  <si>
    <t>Fanatical - Sticky Business - 4TBN4-D22N6-66H5G</t>
  </si>
  <si>
    <t>Fanatical - Sticky Business - BA5AC-TFK95-CE6FP</t>
  </si>
  <si>
    <t>Fanatical - Deckline - T6Z0Y-72WR4-B7TNE</t>
  </si>
  <si>
    <t>(27/1/26)</t>
  </si>
  <si>
    <t>GamingDragon - Dead Bits - HLY8P-9WY6Z-2BAYH</t>
  </si>
  <si>
    <t>YuPlay - Love &amp; Fear Game Gift - 9NWIV-C0I6E-DNN54 (15/2/26)</t>
  </si>
  <si>
    <t xml:space="preserve">YuPlay - Love &amp; Fear Game Gift - P7NRP-MQ85F-WND80
</t>
  </si>
  <si>
    <t xml:space="preserve"> - 1$ Fanatical</t>
  </si>
  <si>
    <t>5% FANTASTIC5 - Fanatical</t>
  </si>
  <si>
    <t>OMENVIP - 5%</t>
  </si>
  <si>
    <t>LOLLUJO - 10%</t>
  </si>
  <si>
    <t>Play-asia</t>
  </si>
  <si>
    <t>DOESITPLAY - 5%</t>
  </si>
  <si>
    <t>Yuplay</t>
  </si>
  <si>
    <t>GAMEON - 5%</t>
  </si>
  <si>
    <t>PLANETKEYGAMIVO - 15% Gamivo</t>
  </si>
  <si>
    <t>KeysforgamersGamivo - 10%</t>
  </si>
  <si>
    <t>Weekend_ON</t>
  </si>
  <si>
    <t>10GamerGlee - 10% Gamivo</t>
  </si>
  <si>
    <t>ENEBA - KEYSFORGAMES -8%</t>
  </si>
  <si>
    <t>MIGUEL10 -10%</t>
  </si>
  <si>
    <t>G2A -</t>
  </si>
  <si>
    <t>ENEBA - 5% CDKEYPRICES</t>
  </si>
  <si>
    <t>Driffle - CDKEYPRICES - 6%</t>
  </si>
  <si>
    <t>https://simplycodes.com/store/driffle.com?page_section&amp;order&amp;pc&amp;pk&amp;productId&amp;su&amp;rs&amp;mi&amp;criteriaId&amp;cb&amp;po#verified-promos-section</t>
  </si>
  <si>
    <t>dlcompare.com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</si>
</sst>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#,##0.00[$€]"/>
    <numFmt numFmtId="165" formatCode="[$€]#,##0.00"/>
    <numFmt numFmtId="166" formatCode="d&quot;-&quot;m&quot;-&quot;yyyy"/>
    <numFmt numFmtId="167" formatCode="d"/>
    <numFmt numFmtId="168" formatCode="dddd"/>
    <numFmt numFmtId="169" formatCode="yyyy-mm-dd"/>
    <numFmt numFmtId="170" formatCode="M/d/yyyy H:mm:ss"/>
    <numFmt numFmtId="171" formatCode="M/d/yyyy"/>
    <numFmt numFmtId="172" formatCode="d&quot;/&quot;m&quot;/&quot;yy"/>
    <numFmt numFmtId="173" formatCode="[$€]#,##0.000"/>
    <numFmt numFmtId="174" formatCode="&quot;€&quot;#,##0.00"/>
    <numFmt numFmtId="175" formatCode="0.0"/>
    <numFmt numFmtId="176" formatCode="d&quot;/&quot;m&quot;/&quot;yyyy"/>
    <numFmt numFmtId="177" formatCode="d&quot;-&quot;mm&quot;-&quot;yyyy"/>
    <numFmt numFmtId="178" formatCode="&quot;--&quot;dmyy"/>
  </numFmts>
  <fonts count="6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sz val="10.0"/>
      <color rgb="FFFFFFFF"/>
      <name val="Arial"/>
      <scheme val="minor"/>
    </font>
    <font>
      <i/>
      <sz val="9.0"/>
      <color rgb="FFFF9900"/>
      <name val="Arial"/>
      <scheme val="minor"/>
    </font>
    <font>
      <i/>
      <sz val="9.0"/>
      <color theme="5"/>
      <name val="Arial"/>
      <scheme val="minor"/>
    </font>
    <font>
      <b/>
      <i/>
      <sz val="9.0"/>
      <color rgb="FF57BB8A"/>
      <name val="Arial"/>
      <scheme val="minor"/>
    </font>
    <font>
      <b/>
      <sz val="9.0"/>
      <color theme="1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b/>
      <sz val="10.0"/>
      <color theme="4"/>
      <name val="Arial"/>
      <scheme val="minor"/>
    </font>
    <font>
      <b/>
      <sz val="9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8.0"/>
      <color theme="1"/>
      <name val="Arial"/>
      <scheme val="minor"/>
    </font>
    <font>
      <sz val="9.0"/>
      <color theme="1"/>
      <name val="Arial"/>
      <scheme val="minor"/>
    </font>
    <font>
      <sz val="6.0"/>
      <color theme="1"/>
      <name val="Arial"/>
      <scheme val="minor"/>
    </font>
    <font>
      <b/>
      <i/>
      <sz val="9.0"/>
      <color rgb="FFFF9900"/>
      <name val="Arial"/>
      <scheme val="minor"/>
    </font>
    <font>
      <b/>
      <sz val="10.0"/>
      <color theme="5"/>
      <name val="Arial"/>
      <scheme val="minor"/>
    </font>
    <font>
      <b/>
      <i/>
      <sz val="9.0"/>
      <color theme="5"/>
      <name val="Arial"/>
      <scheme val="minor"/>
    </font>
    <font>
      <b/>
      <sz val="10.0"/>
      <color rgb="FF57BB8A"/>
      <name val="Arial"/>
      <scheme val="minor"/>
    </font>
    <font>
      <b/>
      <sz val="10.0"/>
      <color rgb="FFFF9900"/>
      <name val="Arial"/>
      <scheme val="minor"/>
    </font>
    <font>
      <b/>
      <sz val="10.0"/>
      <color rgb="FFB7B7B7"/>
      <name val="Arial"/>
      <scheme val="minor"/>
    </font>
    <font>
      <b/>
      <sz val="9.0"/>
      <color theme="4"/>
      <name val="Arial"/>
      <scheme val="minor"/>
    </font>
    <font>
      <b/>
      <sz val="9.0"/>
      <color theme="5"/>
      <name val="Arial"/>
      <scheme val="minor"/>
    </font>
    <font>
      <b/>
      <sz val="9.0"/>
      <color rgb="FF57BB8A"/>
      <name val="Arial"/>
      <scheme val="minor"/>
    </font>
    <font>
      <b/>
      <sz val="9.0"/>
      <color rgb="FFFF9900"/>
      <name val="Arial"/>
      <scheme val="minor"/>
    </font>
    <font>
      <b/>
      <color rgb="FFB7B7B7"/>
      <name val="Arial"/>
      <scheme val="minor"/>
    </font>
    <font>
      <b/>
      <sz val="10.0"/>
      <color rgb="FF000000"/>
      <name val="Arial"/>
      <scheme val="minor"/>
    </font>
    <font>
      <b/>
      <sz val="11.0"/>
      <color rgb="FF434343"/>
      <name val="Arial"/>
      <scheme val="minor"/>
    </font>
    <font>
      <b/>
      <strike/>
      <sz val="11.0"/>
      <color rgb="FF434343"/>
      <name val="Arial"/>
      <scheme val="minor"/>
    </font>
    <font/>
    <font>
      <b/>
      <sz val="11.0"/>
      <color rgb="FF4285F4"/>
      <name val="Arial"/>
      <scheme val="minor"/>
    </font>
    <font>
      <b/>
      <sz val="11.0"/>
      <color theme="5"/>
      <name val="Arial"/>
      <scheme val="minor"/>
    </font>
    <font>
      <b/>
      <sz val="11.0"/>
      <color rgb="FF34A853"/>
      <name val="Arial"/>
      <scheme val="minor"/>
    </font>
    <font>
      <sz val="11.0"/>
      <color rgb="FF000000"/>
      <name val="Inconsolata"/>
    </font>
    <font>
      <color theme="1"/>
      <name val="Arial"/>
    </font>
    <font>
      <color rgb="FF000000"/>
      <name val="Arial"/>
    </font>
    <font>
      <color rgb="FF272727"/>
      <name val="Roboto"/>
    </font>
    <font>
      <u/>
      <color rgb="FF0000FF"/>
    </font>
    <font>
      <color rgb="FFFFFFFF"/>
      <name val="Arial"/>
    </font>
    <font>
      <color rgb="FF000000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>
      <b/>
      <sz val="7.0"/>
      <color rgb="FFFF9900"/>
      <name val="Arial"/>
      <scheme val="minor"/>
    </font>
    <font>
      <b/>
      <sz val="7.0"/>
      <color rgb="FFE06666"/>
      <name val="Arial"/>
      <scheme val="minor"/>
    </font>
    <font>
      <b/>
      <sz val="7.0"/>
      <color rgb="FF93C47D"/>
      <name val="Arial"/>
      <scheme val="minor"/>
    </font>
    <font>
      <b/>
      <sz val="7.0"/>
      <color rgb="FF6D9EEB"/>
      <name val="Arial"/>
      <scheme val="minor"/>
    </font>
    <font>
      <b/>
      <sz val="7.0"/>
      <color rgb="FFFFFF00"/>
      <name val="Arial"/>
      <scheme val="minor"/>
    </font>
    <font>
      <b/>
      <sz val="7.0"/>
      <color rgb="FFF6B26B"/>
      <name val="Arial"/>
      <scheme val="minor"/>
    </font>
    <font>
      <b/>
      <sz val="7.0"/>
      <color theme="7"/>
      <name val="Arial"/>
      <scheme val="minor"/>
    </font>
    <font>
      <b/>
      <color rgb="FF000000"/>
      <name val="Arial"/>
      <scheme val="minor"/>
    </font>
    <font>
      <b/>
      <sz val="7.0"/>
      <color rgb="FFC27BA0"/>
      <name val="Arial"/>
      <scheme val="minor"/>
    </font>
    <font>
      <b/>
      <sz val="9.0"/>
      <color rgb="FF000000"/>
      <name val="Arial"/>
      <scheme val="minor"/>
    </font>
    <font>
      <b/>
      <sz val="7.0"/>
      <color rgb="FFFFF2CC"/>
      <name val="Arial"/>
      <scheme val="minor"/>
    </font>
    <font>
      <b/>
      <sz val="7.0"/>
      <color rgb="FF34A853"/>
      <name val="Arial"/>
      <scheme val="minor"/>
    </font>
    <font>
      <b/>
      <sz val="7.0"/>
      <color rgb="FFD5A6BD"/>
      <name val="Arial"/>
      <scheme val="minor"/>
    </font>
    <font>
      <b/>
      <sz val="9.0"/>
      <color rgb="FFFF6D01"/>
      <name val="Arial"/>
      <scheme val="minor"/>
    </font>
    <font>
      <b/>
      <sz val="9.0"/>
      <color rgb="FF34A853"/>
      <name val="Arial"/>
      <scheme val="minor"/>
    </font>
    <font>
      <b/>
      <sz val="11.0"/>
      <color rgb="FFFFFFFF"/>
      <name val="Arial"/>
      <scheme val="minor"/>
    </font>
    <font>
      <b/>
      <sz val="10.0"/>
      <color rgb="FF434343"/>
      <name val="Arial"/>
      <scheme val="minor"/>
    </font>
    <font>
      <u/>
      <color rgb="FF1155CC"/>
      <name val="Arial"/>
      <scheme val="minor"/>
    </font>
    <font>
      <sz val="8.0"/>
      <color theme="1"/>
      <name val="Arial"/>
      <scheme val="minor"/>
    </font>
    <font>
      <b/>
      <color theme="1"/>
      <name val="Arial"/>
    </font>
    <font>
      <u/>
      <color rgb="FF0000FF"/>
    </font>
  </fonts>
  <fills count="3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rgb="FF57BB8A"/>
        <bgColor rgb="FF57BB8A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EEEEEE"/>
      </patternFill>
    </fill>
    <fill>
      <patternFill patternType="solid">
        <fgColor rgb="FF00FF00"/>
        <bgColor rgb="FF00FF00"/>
      </patternFill>
    </fill>
    <fill>
      <patternFill patternType="solid">
        <fgColor rgb="FFFF6D01"/>
        <bgColor rgb="FFFF6D01"/>
      </patternFill>
    </fill>
    <fill>
      <patternFill patternType="solid">
        <fgColor theme="1"/>
        <bgColor theme="1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E69138"/>
        <bgColor rgb="FFE69138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21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FF00"/>
      </left>
      <right style="thick">
        <color rgb="FF00FF00"/>
      </right>
      <top style="thick">
        <color rgb="FF00FF00"/>
      </top>
    </border>
    <border>
      <right style="thick">
        <color rgb="FFFFFF00"/>
      </right>
      <bottom style="thick">
        <color rgb="FFFFFF00"/>
      </bottom>
    </border>
    <border>
      <left style="thick">
        <color rgb="FF4285F4"/>
      </left>
      <right style="thick">
        <color rgb="FF4285F4"/>
      </right>
      <top style="thick">
        <color rgb="FF4285F4"/>
      </top>
      <bottom style="thick">
        <color rgb="FF4285F4"/>
      </bottom>
    </border>
    <border>
      <right style="thick">
        <color rgb="FF4285F4"/>
      </right>
      <top style="thick">
        <color rgb="FF4285F4"/>
      </top>
    </border>
    <border>
      <right style="thick">
        <color rgb="FFFFFF00"/>
      </right>
      <top style="thick">
        <color rgb="FFFFFF00"/>
      </top>
    </border>
    <border>
      <right style="thick">
        <color rgb="FF4285F4"/>
      </right>
      <bottom style="thick">
        <color rgb="FF4285F4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Font="1"/>
    <xf borderId="0" fillId="2" fontId="4" numFmtId="164" xfId="0" applyAlignment="1" applyFont="1" applyNumberFormat="1">
      <alignment horizontal="center" vertical="center"/>
    </xf>
    <xf borderId="0" fillId="2" fontId="5" numFmtId="164" xfId="0" applyAlignment="1" applyFont="1" applyNumberFormat="1">
      <alignment horizontal="center" vertical="center"/>
    </xf>
    <xf borderId="0" fillId="2" fontId="6" numFmtId="164" xfId="0" applyAlignment="1" applyFont="1" applyNumberForma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4" numFmtId="10" xfId="0" applyAlignment="1" applyFont="1" applyNumberFormat="1">
      <alignment horizontal="center" vertical="center"/>
    </xf>
    <xf borderId="0" fillId="2" fontId="4" numFmtId="10" xfId="0" applyAlignment="1" applyFont="1" applyNumberFormat="1">
      <alignment horizontal="center" vertical="center"/>
    </xf>
    <xf borderId="0" fillId="3" fontId="3" numFmtId="0" xfId="0" applyFill="1" applyFont="1"/>
    <xf borderId="0" fillId="3" fontId="8" numFmtId="0" xfId="0" applyAlignment="1" applyFont="1">
      <alignment horizontal="center" readingOrder="0"/>
    </xf>
    <xf borderId="0" fillId="4" fontId="9" numFmtId="0" xfId="0" applyAlignment="1" applyFill="1" applyFont="1">
      <alignment horizontal="center" readingOrder="0"/>
    </xf>
    <xf borderId="0" fillId="4" fontId="9" numFmtId="0" xfId="0" applyAlignment="1" applyFont="1">
      <alignment readingOrder="0"/>
    </xf>
    <xf borderId="0" fillId="4" fontId="10" numFmtId="0" xfId="0" applyAlignment="1" applyFont="1">
      <alignment readingOrder="0"/>
    </xf>
    <xf borderId="0" fillId="5" fontId="11" numFmtId="164" xfId="0" applyAlignment="1" applyFill="1" applyFont="1" applyNumberFormat="1">
      <alignment horizontal="center" textRotation="90" vertical="center"/>
    </xf>
    <xf borderId="0" fillId="6" fontId="12" numFmtId="164" xfId="0" applyAlignment="1" applyFill="1" applyFont="1" applyNumberFormat="1">
      <alignment horizontal="center" vertical="center"/>
    </xf>
    <xf borderId="0" fillId="6" fontId="13" numFmtId="164" xfId="0" applyAlignment="1" applyFont="1" applyNumberFormat="1">
      <alignment horizontal="center" vertical="center"/>
    </xf>
    <xf borderId="0" fillId="7" fontId="14" numFmtId="0" xfId="0" applyAlignment="1" applyFill="1" applyFont="1">
      <alignment horizontal="right" readingOrder="0"/>
    </xf>
    <xf borderId="0" fillId="0" fontId="15" numFmtId="0" xfId="0" applyAlignment="1" applyFont="1">
      <alignment horizontal="center"/>
    </xf>
    <xf borderId="0" fillId="0" fontId="15" numFmtId="2" xfId="0" applyAlignment="1" applyFont="1" applyNumberFormat="1">
      <alignment horizontal="center"/>
    </xf>
    <xf borderId="0" fillId="8" fontId="15" numFmtId="10" xfId="0" applyFill="1" applyFont="1" applyNumberFormat="1"/>
    <xf borderId="0" fillId="0" fontId="3" numFmtId="0" xfId="0" applyFont="1"/>
    <xf borderId="0" fillId="0" fontId="3" numFmtId="165" xfId="0" applyAlignment="1" applyFont="1" applyNumberFormat="1">
      <alignment horizontal="center"/>
    </xf>
    <xf borderId="0" fillId="0" fontId="3" numFmtId="166" xfId="0" applyFont="1" applyNumberFormat="1"/>
    <xf borderId="0" fillId="0" fontId="16" numFmtId="0" xfId="0" applyAlignment="1" applyFont="1">
      <alignment horizontal="center" vertical="center"/>
    </xf>
    <xf borderId="0" fillId="0" fontId="17" numFmtId="164" xfId="0" applyAlignment="1" applyFont="1" applyNumberFormat="1">
      <alignment horizontal="center" vertical="center"/>
    </xf>
    <xf borderId="0" fillId="5" fontId="18" numFmtId="164" xfId="0" applyAlignment="1" applyFont="1" applyNumberFormat="1">
      <alignment horizontal="center" textRotation="90" vertical="center"/>
    </xf>
    <xf borderId="0" fillId="9" fontId="12" numFmtId="164" xfId="0" applyAlignment="1" applyFill="1" applyFont="1" applyNumberFormat="1">
      <alignment horizontal="center" vertical="center"/>
    </xf>
    <xf borderId="0" fillId="9" fontId="13" numFmtId="164" xfId="0" applyAlignment="1" applyFont="1" applyNumberFormat="1">
      <alignment horizontal="center" vertical="center"/>
    </xf>
    <xf borderId="0" fillId="0" fontId="19" numFmtId="164" xfId="0" applyAlignment="1" applyFont="1" applyNumberFormat="1">
      <alignment horizontal="center" vertical="center"/>
    </xf>
    <xf borderId="0" fillId="5" fontId="20" numFmtId="164" xfId="0" applyAlignment="1" applyFont="1" applyNumberFormat="1">
      <alignment horizontal="center" textRotation="90" vertical="center"/>
    </xf>
    <xf borderId="0" fillId="10" fontId="12" numFmtId="164" xfId="0" applyAlignment="1" applyFill="1" applyFont="1" applyNumberFormat="1">
      <alignment horizontal="center" vertical="center"/>
    </xf>
    <xf borderId="0" fillId="10" fontId="13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5" fontId="21" numFmtId="164" xfId="0" applyAlignment="1" applyFont="1" applyNumberFormat="1">
      <alignment horizontal="center" textRotation="90" vertical="center"/>
    </xf>
    <xf borderId="0" fillId="11" fontId="12" numFmtId="0" xfId="0" applyAlignment="1" applyFill="1" applyFont="1">
      <alignment horizontal="center" vertical="center"/>
    </xf>
    <xf borderId="0" fillId="11" fontId="13" numFmtId="0" xfId="0" applyAlignment="1" applyFont="1">
      <alignment horizontal="center" vertical="center"/>
    </xf>
    <xf borderId="0" fillId="5" fontId="22" numFmtId="164" xfId="0" applyAlignment="1" applyFont="1" applyNumberFormat="1">
      <alignment horizontal="center" readingOrder="0" textRotation="90" vertical="center"/>
    </xf>
    <xf borderId="0" fillId="7" fontId="4" numFmtId="10" xfId="0" applyAlignment="1" applyFont="1" applyNumberFormat="1">
      <alignment horizontal="center" vertical="center"/>
    </xf>
    <xf borderId="0" fillId="7" fontId="13" numFmtId="10" xfId="0" applyAlignment="1" applyFont="1" applyNumberFormat="1">
      <alignment horizontal="center" vertical="center"/>
    </xf>
    <xf borderId="0" fillId="7" fontId="12" numFmtId="10" xfId="0" applyAlignment="1" applyFont="1" applyNumberFormat="1">
      <alignment horizontal="center" vertical="center"/>
    </xf>
    <xf borderId="0" fillId="6" fontId="4" numFmtId="164" xfId="0" applyAlignment="1" applyFont="1" applyNumberFormat="1">
      <alignment horizontal="center" vertical="center"/>
    </xf>
    <xf borderId="0" fillId="9" fontId="4" numFmtId="164" xfId="0" applyAlignment="1" applyFont="1" applyNumberFormat="1">
      <alignment horizontal="center" vertical="center"/>
    </xf>
    <xf borderId="0" fillId="10" fontId="4" numFmtId="164" xfId="0" applyAlignment="1" applyFont="1" applyNumberFormat="1">
      <alignment horizontal="center" readingOrder="0" vertical="center"/>
    </xf>
    <xf borderId="0" fillId="11" fontId="4" numFmtId="164" xfId="0" applyAlignment="1" applyFont="1" applyNumberFormat="1">
      <alignment horizontal="center" readingOrder="0" vertical="center"/>
    </xf>
    <xf borderId="0" fillId="7" fontId="4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textRotation="90" vertical="center"/>
    </xf>
    <xf borderId="0" fillId="0" fontId="23" numFmtId="164" xfId="0" applyAlignment="1" applyFont="1" applyNumberFormat="1">
      <alignment horizontal="center" vertical="center"/>
    </xf>
    <xf borderId="0" fillId="0" fontId="24" numFmtId="164" xfId="0" applyAlignment="1" applyFont="1" applyNumberFormat="1">
      <alignment horizontal="center" vertical="center"/>
    </xf>
    <xf borderId="0" fillId="0" fontId="25" numFmtId="164" xfId="0" applyAlignment="1" applyFont="1" applyNumberForma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7" numFmtId="10" xfId="0" applyAlignment="1" applyFont="1" applyNumberFormat="1">
      <alignment horizontal="center" vertical="center"/>
    </xf>
    <xf borderId="1" fillId="7" fontId="1" numFmtId="0" xfId="0" applyAlignment="1" applyBorder="1" applyFont="1">
      <alignment horizontal="right" readingOrder="0"/>
    </xf>
    <xf borderId="1" fillId="0" fontId="8" numFmtId="0" xfId="0" applyAlignment="1" applyBorder="1" applyFont="1">
      <alignment horizontal="center"/>
    </xf>
    <xf borderId="1" fillId="0" fontId="8" numFmtId="2" xfId="0" applyAlignment="1" applyBorder="1" applyFont="1" applyNumberFormat="1">
      <alignment horizontal="center"/>
    </xf>
    <xf borderId="0" fillId="0" fontId="15" numFmtId="10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12" fontId="9" numFmtId="0" xfId="0" applyAlignment="1" applyFill="1" applyFont="1">
      <alignment readingOrder="0" textRotation="90" vertical="center"/>
    </xf>
    <xf borderId="2" fillId="13" fontId="28" numFmtId="0" xfId="0" applyAlignment="1" applyBorder="1" applyFill="1" applyFont="1">
      <alignment horizontal="center" readingOrder="0"/>
    </xf>
    <xf borderId="3" fillId="13" fontId="28" numFmtId="0" xfId="0" applyAlignment="1" applyBorder="1" applyFont="1">
      <alignment horizontal="center" readingOrder="0"/>
    </xf>
    <xf borderId="4" fillId="13" fontId="28" numFmtId="0" xfId="0" applyAlignment="1" applyBorder="1" applyFont="1">
      <alignment horizontal="center" readingOrder="0"/>
    </xf>
    <xf borderId="5" fillId="0" fontId="29" numFmtId="0" xfId="0" applyAlignment="1" applyBorder="1" applyFont="1">
      <alignment horizontal="center" vertical="center"/>
    </xf>
    <xf borderId="6" fillId="0" fontId="29" numFmtId="164" xfId="0" applyAlignment="1" applyBorder="1" applyFont="1" applyNumberFormat="1">
      <alignment horizontal="center" vertical="center"/>
    </xf>
    <xf borderId="5" fillId="0" fontId="30" numFmtId="0" xfId="0" applyAlignment="1" applyBorder="1" applyFont="1">
      <alignment horizontal="center" vertical="center"/>
    </xf>
    <xf borderId="7" fillId="0" fontId="31" numFmtId="0" xfId="0" applyBorder="1" applyFont="1"/>
    <xf borderId="3" fillId="0" fontId="31" numFmtId="0" xfId="0" applyBorder="1" applyFont="1"/>
    <xf borderId="0" fillId="14" fontId="1" numFmtId="0" xfId="0" applyAlignment="1" applyFill="1" applyFont="1">
      <alignment readingOrder="0"/>
    </xf>
    <xf borderId="0" fillId="14" fontId="8" numFmtId="164" xfId="0" applyAlignment="1" applyFont="1" applyNumberFormat="1">
      <alignment horizontal="center"/>
    </xf>
    <xf borderId="0" fillId="14" fontId="8" numFmtId="0" xfId="0" applyAlignment="1" applyFont="1">
      <alignment horizontal="center"/>
    </xf>
    <xf borderId="0" fillId="14" fontId="1" numFmtId="9" xfId="0" applyAlignment="1" applyFont="1" applyNumberFormat="1">
      <alignment horizontal="center" readingOrder="0" vertical="center"/>
    </xf>
    <xf borderId="0" fillId="5" fontId="32" numFmtId="0" xfId="0" applyAlignment="1" applyFont="1">
      <alignment horizontal="center" readingOrder="0" textRotation="90" vertical="center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3" numFmtId="167" xfId="0" applyFont="1" applyNumberFormat="1"/>
    <xf borderId="0" fillId="0" fontId="3" numFmtId="165" xfId="0" applyFont="1" applyNumberFormat="1"/>
    <xf borderId="0" fillId="0" fontId="3" numFmtId="0" xfId="0" applyAlignment="1" applyFont="1">
      <alignment readingOrder="0"/>
    </xf>
    <xf borderId="0" fillId="5" fontId="33" numFmtId="0" xfId="0" applyAlignment="1" applyFont="1">
      <alignment horizontal="center" readingOrder="0" textRotation="90" vertical="center"/>
    </xf>
    <xf borderId="0" fillId="5" fontId="34" numFmtId="0" xfId="0" applyAlignment="1" applyFont="1">
      <alignment horizontal="center" readingOrder="0" textRotation="90" vertical="center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3" numFmtId="10" xfId="0" applyFont="1" applyNumberFormat="1"/>
    <xf borderId="0" fillId="0" fontId="3" numFmtId="0" xfId="0" applyAlignment="1" applyFont="1">
      <alignment horizontal="center" readingOrder="0"/>
    </xf>
    <xf borderId="0" fillId="0" fontId="3" numFmtId="168" xfId="0" applyFont="1" applyNumberFormat="1"/>
    <xf borderId="0" fillId="5" fontId="35" numFmtId="0" xfId="0" applyFont="1"/>
    <xf borderId="0" fillId="0" fontId="3" numFmtId="0" xfId="0" applyAlignment="1" applyFont="1">
      <alignment horizontal="left" readingOrder="0"/>
    </xf>
    <xf borderId="0" fillId="15" fontId="3" numFmtId="0" xfId="0" applyAlignment="1" applyFill="1" applyFont="1">
      <alignment readingOrder="0"/>
    </xf>
    <xf borderId="0" fillId="0" fontId="36" numFmtId="0" xfId="0" applyAlignment="1" applyFont="1">
      <alignment vertical="bottom"/>
    </xf>
    <xf borderId="0" fillId="5" fontId="37" numFmtId="0" xfId="0" applyAlignment="1" applyFont="1">
      <alignment horizontal="left" readingOrder="0"/>
    </xf>
    <xf borderId="0" fillId="16" fontId="38" numFmtId="0" xfId="0" applyAlignment="1" applyFill="1" applyFont="1">
      <alignment readingOrder="0"/>
    </xf>
    <xf borderId="0" fillId="0" fontId="39" numFmtId="0" xfId="0" applyAlignment="1" applyFont="1">
      <alignment readingOrder="0"/>
    </xf>
    <xf borderId="0" fillId="5" fontId="3" numFmtId="0" xfId="0" applyAlignment="1" applyFont="1">
      <alignment readingOrder="0"/>
    </xf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17" fontId="3" numFmtId="0" xfId="0" applyAlignment="1" applyFill="1" applyFont="1">
      <alignment readingOrder="0"/>
    </xf>
    <xf borderId="0" fillId="18" fontId="40" numFmtId="0" xfId="0" applyAlignment="1" applyFill="1" applyFont="1">
      <alignment vertical="bottom"/>
    </xf>
    <xf borderId="0" fillId="0" fontId="36" numFmtId="0" xfId="0" applyAlignment="1" applyFont="1">
      <alignment horizontal="right" readingOrder="0" vertical="bottom"/>
    </xf>
    <xf borderId="0" fillId="0" fontId="41" numFmtId="0" xfId="0" applyAlignment="1" applyFont="1">
      <alignment readingOrder="0"/>
    </xf>
    <xf borderId="0" fillId="5" fontId="3" numFmtId="0" xfId="0" applyFont="1"/>
    <xf borderId="0" fillId="0" fontId="3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3" numFmtId="171" xfId="0" applyFont="1" applyNumberFormat="1"/>
    <xf borderId="0" fillId="17" fontId="3" numFmtId="0" xfId="0" applyFont="1"/>
    <xf borderId="0" fillId="0" fontId="36" numFmtId="166" xfId="0" applyAlignment="1" applyFont="1" applyNumberFormat="1">
      <alignment horizontal="right" vertical="bottom"/>
    </xf>
    <xf borderId="0" fillId="15" fontId="3" numFmtId="166" xfId="0" applyAlignment="1" applyFont="1" applyNumberFormat="1">
      <alignment readingOrder="0"/>
    </xf>
    <xf borderId="0" fillId="15" fontId="3" numFmtId="165" xfId="0" applyAlignment="1" applyFont="1" applyNumberFormat="1">
      <alignment readingOrder="0"/>
    </xf>
    <xf borderId="0" fillId="15" fontId="3" numFmtId="165" xfId="0" applyAlignment="1" applyFont="1" applyNumberFormat="1">
      <alignment readingOrder="0"/>
    </xf>
    <xf borderId="0" fillId="15" fontId="3" numFmtId="165" xfId="0" applyFont="1" applyNumberFormat="1"/>
    <xf borderId="0" fillId="15" fontId="3" numFmtId="10" xfId="0" applyFont="1" applyNumberFormat="1"/>
    <xf borderId="0" fillId="15" fontId="3" numFmtId="166" xfId="0" applyFont="1" applyNumberFormat="1"/>
    <xf quotePrefix="1" borderId="0" fillId="0" fontId="3" numFmtId="0" xfId="0" applyAlignment="1" applyFont="1">
      <alignment readingOrder="0"/>
    </xf>
    <xf borderId="8" fillId="13" fontId="1" numFmtId="0" xfId="0" applyAlignment="1" applyBorder="1" applyFont="1">
      <alignment horizontal="center" readingOrder="0"/>
    </xf>
    <xf borderId="9" fillId="0" fontId="31" numFmtId="0" xfId="0" applyBorder="1" applyFont="1"/>
    <xf borderId="10" fillId="13" fontId="43" numFmtId="0" xfId="0" applyAlignment="1" applyBorder="1" applyFont="1">
      <alignment horizontal="center" readingOrder="0" vertical="center"/>
    </xf>
    <xf borderId="0" fillId="0" fontId="3" numFmtId="166" xfId="0" applyAlignment="1" applyFont="1" applyNumberFormat="1">
      <alignment readingOrder="0"/>
    </xf>
    <xf borderId="11" fillId="4" fontId="9" numFmtId="172" xfId="0" applyAlignment="1" applyBorder="1" applyFont="1" applyNumberFormat="1">
      <alignment readingOrder="0"/>
    </xf>
    <xf borderId="12" fillId="0" fontId="31" numFmtId="0" xfId="0" applyBorder="1" applyFont="1"/>
    <xf borderId="0" fillId="4" fontId="44" numFmtId="0" xfId="0" applyAlignment="1" applyFont="1">
      <alignment horizontal="center" readingOrder="0"/>
    </xf>
    <xf borderId="13" fillId="0" fontId="28" numFmtId="165" xfId="0" applyAlignment="1" applyBorder="1" applyFont="1" applyNumberFormat="1">
      <alignment horizontal="center"/>
    </xf>
    <xf borderId="14" fillId="0" fontId="31" numFmtId="0" xfId="0" applyBorder="1" applyFont="1"/>
    <xf borderId="13" fillId="0" fontId="28" numFmtId="0" xfId="0" applyAlignment="1" applyBorder="1" applyFont="1">
      <alignment horizontal="center"/>
    </xf>
    <xf borderId="15" fillId="19" fontId="2" numFmtId="165" xfId="0" applyAlignment="1" applyBorder="1" applyFill="1" applyFont="1" applyNumberFormat="1">
      <alignment horizontal="center" readingOrder="0"/>
    </xf>
    <xf borderId="0" fillId="4" fontId="45" numFmtId="0" xfId="0" applyAlignment="1" applyFont="1">
      <alignment horizontal="center" readingOrder="0"/>
    </xf>
    <xf borderId="13" fillId="0" fontId="28" numFmtId="165" xfId="0" applyAlignment="1" applyBorder="1" applyFont="1" applyNumberFormat="1">
      <alignment horizontal="center"/>
    </xf>
    <xf borderId="0" fillId="4" fontId="46" numFmtId="0" xfId="0" applyAlignment="1" applyFont="1">
      <alignment horizontal="center" readingOrder="0"/>
    </xf>
    <xf borderId="13" fillId="0" fontId="2" numFmtId="165" xfId="0" applyAlignment="1" applyBorder="1" applyFont="1" applyNumberFormat="1">
      <alignment horizontal="center"/>
    </xf>
    <xf borderId="13" fillId="0" fontId="2" numFmtId="0" xfId="0" applyAlignment="1" applyBorder="1" applyFont="1">
      <alignment horizontal="center"/>
    </xf>
    <xf borderId="0" fillId="4" fontId="47" numFmtId="0" xfId="0" applyAlignment="1" applyFont="1">
      <alignment horizontal="center" readingOrder="0"/>
    </xf>
    <xf borderId="0" fillId="4" fontId="48" numFmtId="0" xfId="0" applyAlignment="1" applyFont="1">
      <alignment horizontal="center" readingOrder="0"/>
    </xf>
    <xf borderId="13" fillId="0" fontId="1" numFmtId="165" xfId="0" applyAlignment="1" applyBorder="1" applyFont="1" applyNumberFormat="1">
      <alignment horizontal="center" readingOrder="0"/>
    </xf>
    <xf borderId="0" fillId="4" fontId="49" numFmtId="0" xfId="0" applyAlignment="1" applyFont="1">
      <alignment horizontal="center" readingOrder="0"/>
    </xf>
    <xf borderId="13" fillId="0" fontId="1" numFmtId="173" xfId="0" applyAlignment="1" applyBorder="1" applyFont="1" applyNumberFormat="1">
      <alignment horizontal="center"/>
    </xf>
    <xf borderId="13" fillId="20" fontId="1" numFmtId="173" xfId="0" applyAlignment="1" applyBorder="1" applyFill="1" applyFont="1" applyNumberFormat="1">
      <alignment horizontal="center"/>
    </xf>
    <xf borderId="0" fillId="4" fontId="50" numFmtId="0" xfId="0" applyAlignment="1" applyFont="1">
      <alignment horizontal="center" readingOrder="0"/>
    </xf>
    <xf borderId="13" fillId="0" fontId="51" numFmtId="10" xfId="0" applyAlignment="1" applyBorder="1" applyFont="1" applyNumberFormat="1">
      <alignment horizontal="center"/>
    </xf>
    <xf borderId="0" fillId="4" fontId="52" numFmtId="0" xfId="0" applyAlignment="1" applyFont="1">
      <alignment horizontal="center" readingOrder="0"/>
    </xf>
    <xf borderId="13" fillId="0" fontId="5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6" fillId="0" fontId="3" numFmtId="0" xfId="0" applyBorder="1" applyFont="1"/>
    <xf borderId="16" fillId="0" fontId="31" numFmtId="0" xfId="0" applyBorder="1" applyFont="1"/>
    <xf borderId="17" fillId="0" fontId="31" numFmtId="0" xfId="0" applyBorder="1" applyFont="1"/>
    <xf borderId="15" fillId="0" fontId="2" numFmtId="165" xfId="0" applyAlignment="1" applyBorder="1" applyFont="1" applyNumberFormat="1">
      <alignment horizontal="center" readingOrder="0"/>
    </xf>
    <xf borderId="8" fillId="0" fontId="53" numFmtId="165" xfId="0" applyAlignment="1" applyBorder="1" applyFont="1" applyNumberFormat="1">
      <alignment horizontal="center"/>
    </xf>
    <xf borderId="11" fillId="0" fontId="53" numFmtId="165" xfId="0" applyAlignment="1" applyBorder="1" applyFont="1" applyNumberFormat="1">
      <alignment horizontal="center"/>
    </xf>
    <xf borderId="18" fillId="0" fontId="31" numFmtId="0" xfId="0" applyBorder="1" applyFont="1"/>
    <xf borderId="11" fillId="0" fontId="8" numFmtId="165" xfId="0" applyAlignment="1" applyBorder="1" applyFont="1" applyNumberFormat="1">
      <alignment horizontal="center"/>
    </xf>
    <xf borderId="11" fillId="0" fontId="8" numFmtId="0" xfId="0" applyAlignment="1" applyBorder="1" applyFont="1">
      <alignment horizontal="center"/>
    </xf>
    <xf borderId="0" fillId="4" fontId="54" numFmtId="0" xfId="0" applyAlignment="1" applyFont="1">
      <alignment horizontal="center" readingOrder="0"/>
    </xf>
    <xf borderId="11" fillId="0" fontId="8" numFmtId="165" xfId="0" applyAlignment="1" applyBorder="1" applyFont="1" applyNumberFormat="1">
      <alignment horizontal="center" readingOrder="0"/>
    </xf>
    <xf borderId="11" fillId="0" fontId="8" numFmtId="173" xfId="0" applyAlignment="1" applyBorder="1" applyFont="1" applyNumberFormat="1">
      <alignment horizontal="center"/>
    </xf>
    <xf borderId="0" fillId="4" fontId="55" numFmtId="0" xfId="0" applyAlignment="1" applyFont="1">
      <alignment horizontal="center" readingOrder="0"/>
    </xf>
    <xf borderId="11" fillId="0" fontId="53" numFmtId="10" xfId="0" applyAlignment="1" applyBorder="1" applyFont="1" applyNumberFormat="1">
      <alignment horizontal="center"/>
    </xf>
    <xf borderId="0" fillId="0" fontId="53" numFmtId="10" xfId="0" applyAlignment="1" applyFont="1" applyNumberFormat="1">
      <alignment horizontal="center"/>
    </xf>
    <xf borderId="0" fillId="4" fontId="56" numFmtId="0" xfId="0" applyAlignment="1" applyFont="1">
      <alignment horizontal="center" readingOrder="0"/>
    </xf>
    <xf borderId="19" fillId="0" fontId="8" numFmtId="2" xfId="0" applyAlignment="1" applyBorder="1" applyFont="1" applyNumberFormat="1">
      <alignment horizontal="center"/>
    </xf>
    <xf borderId="16" fillId="0" fontId="8" numFmtId="2" xfId="0" applyAlignment="1" applyBorder="1" applyFont="1" applyNumberFormat="1">
      <alignment horizontal="center"/>
    </xf>
    <xf borderId="16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 readingOrder="0"/>
    </xf>
    <xf borderId="0" fillId="0" fontId="15" numFmtId="0" xfId="0" applyFont="1"/>
    <xf borderId="0" fillId="17" fontId="8" numFmtId="0" xfId="0" applyAlignment="1" applyFont="1">
      <alignment readingOrder="0"/>
    </xf>
    <xf borderId="0" fillId="15" fontId="8" numFmtId="174" xfId="0" applyAlignment="1" applyFont="1" applyNumberFormat="1">
      <alignment readingOrder="0"/>
    </xf>
    <xf borderId="0" fillId="0" fontId="8" numFmtId="165" xfId="0" applyAlignment="1" applyFont="1" applyNumberFormat="1">
      <alignment horizontal="center"/>
    </xf>
    <xf borderId="0" fillId="0" fontId="8" numFmtId="165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2" xfId="0" applyAlignment="1" applyFont="1" applyNumberFormat="1">
      <alignment horizontal="center"/>
    </xf>
    <xf borderId="0" fillId="0" fontId="8" numFmtId="165" xfId="0" applyAlignment="1" applyFont="1" applyNumberFormat="1">
      <alignment horizontal="center" readingOrder="0"/>
    </xf>
    <xf borderId="0" fillId="21" fontId="14" numFmtId="0" xfId="0" applyAlignment="1" applyFill="1" applyFont="1">
      <alignment horizontal="center" readingOrder="0"/>
    </xf>
    <xf borderId="0" fillId="15" fontId="8" numFmtId="174" xfId="0" applyAlignment="1" applyFont="1" applyNumberFormat="1">
      <alignment horizontal="right" readingOrder="0"/>
    </xf>
    <xf borderId="0" fillId="22" fontId="9" numFmtId="0" xfId="0" applyAlignment="1" applyFill="1" applyFont="1">
      <alignment horizontal="center" readingOrder="0"/>
    </xf>
    <xf borderId="0" fillId="19" fontId="9" numFmtId="0" xfId="0" applyAlignment="1" applyFont="1">
      <alignment horizontal="center" readingOrder="0"/>
    </xf>
    <xf borderId="0" fillId="19" fontId="44" numFmtId="0" xfId="0" applyAlignment="1" applyFont="1">
      <alignment horizontal="center" readingOrder="0"/>
    </xf>
    <xf borderId="8" fillId="5" fontId="53" numFmtId="165" xfId="0" applyAlignment="1" applyBorder="1" applyFont="1" applyNumberFormat="1">
      <alignment horizontal="center"/>
    </xf>
    <xf borderId="9" fillId="5" fontId="31" numFmtId="0" xfId="0" applyBorder="1" applyFont="1"/>
    <xf borderId="8" fillId="23" fontId="53" numFmtId="165" xfId="0" applyAlignment="1" applyBorder="1" applyFill="1" applyFont="1" applyNumberFormat="1">
      <alignment horizontal="center"/>
    </xf>
    <xf borderId="11" fillId="22" fontId="53" numFmtId="165" xfId="0" applyAlignment="1" applyBorder="1" applyFont="1" applyNumberFormat="1">
      <alignment horizontal="center"/>
    </xf>
    <xf borderId="11" fillId="19" fontId="57" numFmtId="165" xfId="0" applyAlignment="1" applyBorder="1" applyFont="1" applyNumberFormat="1">
      <alignment horizontal="center"/>
    </xf>
    <xf borderId="18" fillId="14" fontId="31" numFmtId="0" xfId="0" applyBorder="1" applyFont="1"/>
    <xf borderId="0" fillId="19" fontId="45" numFmtId="0" xfId="0" applyAlignment="1" applyFont="1">
      <alignment horizontal="center" readingOrder="0"/>
    </xf>
    <xf borderId="11" fillId="5" fontId="53" numFmtId="165" xfId="0" applyAlignment="1" applyBorder="1" applyFont="1" applyNumberFormat="1">
      <alignment horizontal="center"/>
    </xf>
    <xf borderId="18" fillId="5" fontId="31" numFmtId="0" xfId="0" applyBorder="1" applyFont="1"/>
    <xf borderId="11" fillId="19" fontId="24" numFmtId="165" xfId="0" applyAlignment="1" applyBorder="1" applyFont="1" applyNumberFormat="1">
      <alignment horizontal="center"/>
    </xf>
    <xf borderId="11" fillId="19" fontId="24" numFmtId="165" xfId="0" applyAlignment="1" applyBorder="1" applyFont="1" applyNumberFormat="1">
      <alignment horizontal="center"/>
    </xf>
    <xf borderId="0" fillId="19" fontId="46" numFmtId="0" xfId="0" applyAlignment="1" applyFont="1">
      <alignment horizontal="center" readingOrder="0"/>
    </xf>
    <xf borderId="11" fillId="5" fontId="53" numFmtId="165" xfId="0" applyAlignment="1" applyBorder="1" applyFont="1" applyNumberFormat="1">
      <alignment horizontal="center"/>
    </xf>
    <xf borderId="11" fillId="24" fontId="58" numFmtId="165" xfId="0" applyAlignment="1" applyBorder="1" applyFill="1" applyFont="1" applyNumberFormat="1">
      <alignment horizontal="center"/>
    </xf>
    <xf borderId="0" fillId="19" fontId="47" numFmtId="0" xfId="0" applyAlignment="1" applyFont="1">
      <alignment horizontal="center" readingOrder="0"/>
    </xf>
    <xf borderId="11" fillId="5" fontId="53" numFmtId="0" xfId="0" applyAlignment="1" applyBorder="1" applyFont="1">
      <alignment horizontal="center"/>
    </xf>
    <xf borderId="11" fillId="25" fontId="53" numFmtId="0" xfId="0" applyAlignment="1" applyBorder="1" applyFill="1" applyFont="1">
      <alignment horizontal="center"/>
    </xf>
    <xf borderId="11" fillId="22" fontId="53" numFmtId="0" xfId="0" applyAlignment="1" applyBorder="1" applyFont="1">
      <alignment horizontal="center"/>
    </xf>
    <xf borderId="11" fillId="19" fontId="23" numFmtId="0" xfId="0" applyAlignment="1" applyBorder="1" applyFont="1">
      <alignment horizontal="center"/>
    </xf>
    <xf borderId="11" fillId="19" fontId="23" numFmtId="2" xfId="0" applyAlignment="1" applyBorder="1" applyFont="1" applyNumberFormat="1">
      <alignment horizontal="center"/>
    </xf>
    <xf borderId="11" fillId="5" fontId="53" numFmtId="165" xfId="0" applyAlignment="1" applyBorder="1" applyFont="1" applyNumberFormat="1">
      <alignment horizontal="center" readingOrder="0"/>
    </xf>
    <xf borderId="11" fillId="26" fontId="53" numFmtId="165" xfId="0" applyAlignment="1" applyBorder="1" applyFill="1" applyFont="1" applyNumberFormat="1">
      <alignment horizontal="center" readingOrder="0"/>
    </xf>
    <xf borderId="11" fillId="22" fontId="53" numFmtId="165" xfId="0" applyAlignment="1" applyBorder="1" applyFont="1" applyNumberFormat="1">
      <alignment horizontal="center" readingOrder="0"/>
    </xf>
    <xf borderId="11" fillId="14" fontId="53" numFmtId="173" xfId="0" applyAlignment="1" applyBorder="1" applyFont="1" applyNumberFormat="1">
      <alignment horizontal="center"/>
    </xf>
    <xf borderId="8" fillId="14" fontId="53" numFmtId="165" xfId="0" applyAlignment="1" applyBorder="1" applyFont="1" applyNumberFormat="1">
      <alignment horizontal="center"/>
    </xf>
    <xf borderId="9" fillId="14" fontId="31" numFmtId="0" xfId="0" applyBorder="1" applyFont="1"/>
    <xf borderId="11" fillId="22" fontId="53" numFmtId="173" xfId="0" applyAlignment="1" applyBorder="1" applyFont="1" applyNumberFormat="1">
      <alignment horizontal="center"/>
    </xf>
    <xf borderId="11" fillId="5" fontId="53" numFmtId="10" xfId="0" applyAlignment="1" applyBorder="1" applyFont="1" applyNumberFormat="1">
      <alignment horizontal="center"/>
    </xf>
    <xf borderId="11" fillId="27" fontId="53" numFmtId="10" xfId="0" applyAlignment="1" applyBorder="1" applyFill="1" applyFont="1" applyNumberFormat="1">
      <alignment horizontal="center"/>
    </xf>
    <xf borderId="11" fillId="22" fontId="53" numFmtId="10" xfId="0" applyAlignment="1" applyBorder="1" applyFont="1" applyNumberFormat="1">
      <alignment horizontal="center"/>
    </xf>
    <xf borderId="19" fillId="14" fontId="8" numFmtId="2" xfId="0" applyAlignment="1" applyBorder="1" applyFont="1" applyNumberFormat="1">
      <alignment horizontal="center"/>
    </xf>
    <xf borderId="17" fillId="14" fontId="31" numFmtId="0" xfId="0" applyBorder="1" applyFont="1"/>
    <xf borderId="19" fillId="28" fontId="8" numFmtId="2" xfId="0" applyAlignment="1" applyBorder="1" applyFill="1" applyFont="1" applyNumberFormat="1">
      <alignment horizontal="center"/>
    </xf>
    <xf borderId="19" fillId="22" fontId="8" numFmtId="2" xfId="0" applyAlignment="1" applyBorder="1" applyFont="1" applyNumberFormat="1">
      <alignment horizontal="center"/>
    </xf>
    <xf borderId="0" fillId="5" fontId="8" numFmtId="0" xfId="0" applyAlignment="1" applyFont="1">
      <alignment readingOrder="0"/>
    </xf>
    <xf borderId="0" fillId="5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0" fillId="11" fontId="59" numFmtId="0" xfId="0" applyAlignment="1" applyFont="1">
      <alignment readingOrder="0"/>
    </xf>
    <xf borderId="0" fillId="6" fontId="59" numFmtId="0" xfId="0" applyAlignment="1" applyFont="1">
      <alignment horizontal="center" readingOrder="0" vertical="center"/>
    </xf>
    <xf borderId="0" fillId="14" fontId="3" numFmtId="0" xfId="0" applyAlignment="1" applyFont="1">
      <alignment readingOrder="0"/>
    </xf>
    <xf borderId="0" fillId="14" fontId="60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10" fillId="0" fontId="1" numFmtId="0" xfId="0" applyAlignment="1" applyBorder="1" applyFont="1">
      <alignment horizontal="center" readingOrder="0"/>
    </xf>
    <xf borderId="20" fillId="0" fontId="3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20" fillId="0" fontId="1" numFmtId="0" xfId="0" applyAlignment="1" applyBorder="1" applyFont="1">
      <alignment horizontal="center" readingOrder="0"/>
    </xf>
    <xf borderId="12" fillId="0" fontId="3" numFmtId="1" xfId="0" applyAlignment="1" applyBorder="1" applyFont="1" applyNumberFormat="1">
      <alignment horizontal="center"/>
    </xf>
    <xf borderId="0" fillId="0" fontId="3" numFmtId="1" xfId="0" applyAlignment="1" applyFont="1" applyNumberFormat="1">
      <alignment horizontal="center"/>
    </xf>
    <xf borderId="12" fillId="0" fontId="3" numFmtId="2" xfId="0" applyAlignment="1" applyBorder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6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right"/>
    </xf>
    <xf borderId="0" fillId="0" fontId="3" numFmtId="175" xfId="0" applyFont="1" applyNumberFormat="1"/>
    <xf borderId="0" fillId="0" fontId="3" numFmtId="176" xfId="0" applyFont="1" applyNumberFormat="1"/>
    <xf borderId="0" fillId="0" fontId="3" numFmtId="0" xfId="0" applyFont="1"/>
    <xf borderId="0" fillId="0" fontId="3" numFmtId="4" xfId="0" applyFont="1" applyNumberFormat="1"/>
    <xf borderId="0" fillId="22" fontId="3" numFmtId="0" xfId="0" applyFont="1"/>
    <xf borderId="0" fillId="0" fontId="31" numFmtId="0" xfId="0" applyFont="1"/>
    <xf borderId="0" fillId="0" fontId="3" numFmtId="0" xfId="0" applyAlignment="1" applyFont="1">
      <alignment readingOrder="0"/>
    </xf>
    <xf borderId="0" fillId="0" fontId="62" numFmtId="0" xfId="0" applyAlignment="1" applyFont="1">
      <alignment shrinkToFit="0" wrapText="1"/>
    </xf>
    <xf borderId="0" fillId="13" fontId="1" numFmtId="0" xfId="0" applyAlignment="1" applyFont="1">
      <alignment horizontal="center" readingOrder="0" vertical="center"/>
    </xf>
    <xf borderId="0" fillId="13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175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4" fontId="9" numFmtId="175" xfId="0" applyAlignment="1" applyFont="1" applyNumberFormat="1">
      <alignment horizontal="center" readingOrder="0"/>
    </xf>
    <xf borderId="0" fillId="0" fontId="3" numFmtId="2" xfId="0" applyFont="1" applyNumberFormat="1"/>
    <xf borderId="0" fillId="0" fontId="3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right" readingOrder="0"/>
    </xf>
    <xf borderId="0" fillId="13" fontId="1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5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2" xfId="0" applyFont="1" applyNumberFormat="1"/>
    <xf borderId="0" fillId="0" fontId="14" numFmtId="0" xfId="0" applyAlignment="1" applyFont="1">
      <alignment readingOrder="0"/>
    </xf>
    <xf borderId="0" fillId="0" fontId="62" numFmtId="0" xfId="0" applyFont="1"/>
    <xf borderId="0" fillId="7" fontId="63" numFmtId="0" xfId="0" applyAlignment="1" applyFont="1">
      <alignment horizontal="center" readingOrder="0" vertical="bottom"/>
    </xf>
    <xf borderId="0" fillId="7" fontId="63" numFmtId="0" xfId="0" applyAlignment="1" applyFont="1">
      <alignment vertical="bottom"/>
    </xf>
    <xf borderId="0" fillId="7" fontId="63" numFmtId="0" xfId="0" applyAlignment="1" applyFont="1">
      <alignment readingOrder="0" vertical="bottom"/>
    </xf>
    <xf borderId="0" fillId="13" fontId="1" numFmtId="0" xfId="0" applyAlignment="1" applyFont="1">
      <alignment readingOrder="0"/>
    </xf>
    <xf borderId="0" fillId="0" fontId="1" numFmtId="0" xfId="0" applyFont="1"/>
    <xf borderId="0" fillId="29" fontId="63" numFmtId="0" xfId="0" applyAlignment="1" applyFill="1" applyFont="1">
      <alignment horizontal="center" readingOrder="0" vertical="bottom"/>
    </xf>
    <xf borderId="0" fillId="0" fontId="36" numFmtId="0" xfId="0" applyAlignment="1" applyFont="1">
      <alignment horizontal="center" vertical="bottom"/>
    </xf>
    <xf borderId="0" fillId="0" fontId="36" numFmtId="0" xfId="0" applyAlignment="1" applyFont="1">
      <alignment vertical="bottom"/>
    </xf>
    <xf borderId="0" fillId="0" fontId="36" numFmtId="177" xfId="0" applyAlignment="1" applyFont="1" applyNumberFormat="1">
      <alignment horizontal="center" vertical="bottom"/>
    </xf>
    <xf borderId="0" fillId="30" fontId="63" numFmtId="0" xfId="0" applyAlignment="1" applyFill="1" applyFont="1">
      <alignment horizontal="center" readingOrder="0" vertical="bottom"/>
    </xf>
    <xf borderId="0" fillId="0" fontId="36" numFmtId="0" xfId="0" applyAlignment="1" applyFont="1">
      <alignment horizontal="center" vertical="center"/>
    </xf>
    <xf borderId="0" fillId="0" fontId="36" numFmtId="0" xfId="0" applyAlignment="1" applyFont="1">
      <alignment vertical="center"/>
    </xf>
    <xf borderId="0" fillId="0" fontId="36" numFmtId="177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21" fontId="63" numFmtId="0" xfId="0" applyAlignment="1" applyFont="1">
      <alignment horizontal="center" readingOrder="0" vertical="center"/>
    </xf>
    <xf borderId="0" fillId="0" fontId="36" numFmtId="177" xfId="0" applyAlignment="1" applyFont="1" applyNumberFormat="1">
      <alignment horizontal="center" readingOrder="0" vertical="bottom"/>
    </xf>
    <xf borderId="0" fillId="0" fontId="36" numFmtId="0" xfId="0" applyAlignment="1" applyFont="1">
      <alignment horizontal="center" readingOrder="0" vertical="bottom"/>
    </xf>
    <xf borderId="0" fillId="0" fontId="64" numFmtId="0" xfId="0" applyAlignment="1" applyFont="1">
      <alignment readingOrder="0"/>
    </xf>
    <xf borderId="0" fillId="31" fontId="63" numFmtId="0" xfId="0" applyAlignment="1" applyFill="1" applyFont="1">
      <alignment horizontal="center" readingOrder="0" vertical="center"/>
    </xf>
    <xf borderId="0" fillId="0" fontId="41" numFmtId="0" xfId="0" applyAlignment="1" applyFont="1">
      <alignment readingOrder="0"/>
    </xf>
    <xf borderId="0" fillId="32" fontId="63" numFmtId="0" xfId="0" applyAlignment="1" applyFill="1" applyFont="1">
      <alignment horizontal="center" readingOrder="0" vertical="center"/>
    </xf>
    <xf borderId="0" fillId="0" fontId="3" numFmtId="178" xfId="0" applyFont="1" applyNumberFormat="1"/>
  </cellXfs>
  <cellStyles count="1">
    <cellStyle xfId="0" name="Normal" builtinId="0"/>
  </cellStyles>
  <dxfs count="2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EA4335"/>
      </font>
      <fill>
        <patternFill patternType="none"/>
      </fill>
      <border/>
    </dxf>
    <dxf>
      <font>
        <color rgb="FF57BB8A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4A86E8"/>
          <bgColor rgb="FF4A86E8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rgb="FFF6B26B"/>
          <bgColor rgb="FFF6B26B"/>
        </patternFill>
      </fill>
      <border/>
    </dxf>
    <dxf>
      <font>
        <b/>
        <color rgb="FFFFFFFF"/>
      </font>
      <fill>
        <patternFill patternType="solid">
          <fgColor rgb="FF00FF00"/>
          <bgColor rgb="FF00FF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A4C2F4"/>
          <bgColor rgb="FFA4C2F4"/>
        </patternFill>
      </fill>
      <border/>
    </dxf>
    <dxf>
      <font>
        <b/>
        <color rgb="FFFFFFFF"/>
      </font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D5A6BD"/>
          <bgColor rgb="FFD5A6BD"/>
        </patternFill>
      </fill>
      <border/>
    </dxf>
    <dxf>
      <font/>
      <fill>
        <patternFill patternType="none"/>
      </fill>
      <border/>
    </dxf>
    <dxf>
      <font>
        <color theme="0"/>
      </font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</dxfs>
  <tableStyles count="2">
    <tableStyle count="2" pivot="0" name="Dashboard-style">
      <tableStyleElement dxfId="1" type="firstRowStripe"/>
      <tableStyleElement dxfId="2" type="secondRowStripe"/>
    </tableStyle>
    <tableStyle count="3" pivot="0" name="Entries-style">
      <tableStyleElement dxfId="20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Dashboard!$K$17</c:f>
            </c:strRef>
          </c:tx>
          <c:spPr>
            <a:solidFill>
              <a:srgbClr val="C27BA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Dashboard!$H$18:$H$35</c:f>
            </c:strRef>
          </c:cat>
          <c:val>
            <c:numRef>
              <c:f>Dashboard!$K$18:$K$34</c:f>
              <c:numCache/>
            </c:numRef>
          </c:val>
        </c:ser>
        <c:overlap val="100"/>
        <c:axId val="15149509"/>
        <c:axId val="2074240897"/>
      </c:barChart>
      <c:catAx>
        <c:axId val="151495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240897"/>
      </c:catAx>
      <c:valAx>
        <c:axId val="2074240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9509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57BB8A"/>
                </a:solidFill>
                <a:latin typeface="+mn-lt"/>
              </a:defRPr>
            </a:pPr>
            <a:r>
              <a:rPr b="0">
                <a:solidFill>
                  <a:srgbClr val="57BB8A"/>
                </a:solidFill>
                <a:latin typeface="+mn-lt"/>
              </a:rPr>
              <a:t>Daily Profit</a:t>
            </a:r>
          </a:p>
        </c:rich>
      </c:tx>
      <c:overlay val="0"/>
    </c:title>
    <c:plotArea>
      <c:layout>
        <c:manualLayout>
          <c:xMode val="edge"/>
          <c:yMode val="edge"/>
          <c:x val="0.057129651717557295"/>
          <c:y val="0.20034843205574904"/>
          <c:w val="0.8773169131679388"/>
          <c:h val="0.682238131533101"/>
        </c:manualLayout>
      </c:layout>
      <c:barChart>
        <c:barDir val="col"/>
        <c:ser>
          <c:idx val="0"/>
          <c:order val="0"/>
          <c:tx>
            <c:strRef>
              <c:f>Dashboard!$B$50</c:f>
            </c:strRef>
          </c:tx>
          <c:spPr>
            <a:solidFill>
              <a:srgbClr val="57BB8A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Dashboard!$A$51:$A$81</c:f>
            </c:strRef>
          </c:cat>
          <c:val>
            <c:numRef>
              <c:f>Dashboard!$B$51:$B$81</c:f>
              <c:numCache/>
            </c:numRef>
          </c:val>
        </c:ser>
        <c:axId val="1700924237"/>
        <c:axId val="759255712"/>
      </c:barChart>
      <c:catAx>
        <c:axId val="1700924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Arial Narrow"/>
              </a:defRPr>
            </a:pPr>
          </a:p>
        </c:txPr>
        <c:crossAx val="759255712"/>
      </c:catAx>
      <c:valAx>
        <c:axId val="759255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924237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and Revenue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Dashboard!$B$50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Dashboard!$A$51:$A$81</c:f>
            </c:strRef>
          </c:cat>
          <c:val>
            <c:numRef>
              <c:f>Dashboard!$B$51:$B$81</c:f>
              <c:numCache/>
            </c:numRef>
          </c:val>
        </c:ser>
        <c:ser>
          <c:idx val="1"/>
          <c:order val="1"/>
          <c:tx>
            <c:strRef>
              <c:f>Dashboard!$C$50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Dashboard!$A$51:$A$81</c:f>
            </c:strRef>
          </c:cat>
          <c:val>
            <c:numRef>
              <c:f>Dashboard!$C$51:$C$81</c:f>
              <c:numCache/>
            </c:numRef>
          </c:val>
        </c:ser>
        <c:axId val="782625048"/>
        <c:axId val="84216501"/>
      </c:bar3DChart>
      <c:catAx>
        <c:axId val="782625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16501"/>
      </c:catAx>
      <c:valAx>
        <c:axId val="84216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625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1" Type="http://schemas.openxmlformats.org/officeDocument/2006/relationships/chart" Target="../charts/chart3.xml"/><Relationship Id="rId10" Type="http://schemas.openxmlformats.org/officeDocument/2006/relationships/chart" Target="../charts/chart2.xml"/><Relationship Id="rId12" Type="http://schemas.openxmlformats.org/officeDocument/2006/relationships/image" Target="../media/image1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600075</xdr:colOff>
      <xdr:row>39</xdr:row>
      <xdr:rowOff>142875</xdr:rowOff>
    </xdr:from>
    <xdr:ext cx="3867150" cy="3952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38100</xdr:colOff>
      <xdr:row>3</xdr:row>
      <xdr:rowOff>180975</xdr:rowOff>
    </xdr:from>
    <xdr:ext cx="1409700" cy="1143000"/>
    <xdr:pic>
      <xdr:nvPicPr>
        <xdr:cNvPr id="155057357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</xdr:row>
      <xdr:rowOff>9525</xdr:rowOff>
    </xdr:from>
    <xdr:ext cx="1409700" cy="571500"/>
    <xdr:pic>
      <xdr:nvPicPr>
        <xdr:cNvPr id="185661234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142875</xdr:rowOff>
    </xdr:from>
    <xdr:ext cx="1409700" cy="809625"/>
    <xdr:pic>
      <xdr:nvPicPr>
        <xdr:cNvPr id="69018031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9</xdr:row>
      <xdr:rowOff>142875</xdr:rowOff>
    </xdr:from>
    <xdr:ext cx="1600200" cy="809625"/>
    <xdr:pic>
      <xdr:nvPicPr>
        <xdr:cNvPr id="70724217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5</xdr:row>
      <xdr:rowOff>66675</xdr:rowOff>
    </xdr:from>
    <xdr:ext cx="1600200" cy="857250"/>
    <xdr:pic>
      <xdr:nvPicPr>
        <xdr:cNvPr id="345138961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1</xdr:row>
      <xdr:rowOff>9525</xdr:rowOff>
    </xdr:from>
    <xdr:ext cx="1600200" cy="857250"/>
    <xdr:pic>
      <xdr:nvPicPr>
        <xdr:cNvPr id="1767842315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9</xdr:row>
      <xdr:rowOff>142875</xdr:rowOff>
    </xdr:from>
    <xdr:ext cx="1409700" cy="809625"/>
    <xdr:pic>
      <xdr:nvPicPr>
        <xdr:cNvPr id="1455459176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9525</xdr:rowOff>
    </xdr:from>
    <xdr:ext cx="1409700" cy="1714500"/>
    <xdr:pic>
      <xdr:nvPicPr>
        <xdr:cNvPr id="521880448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</xdr:row>
      <xdr:rowOff>9525</xdr:rowOff>
    </xdr:from>
    <xdr:ext cx="5467350" cy="25431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6</xdr:col>
      <xdr:colOff>647700</xdr:colOff>
      <xdr:row>52</xdr:row>
      <xdr:rowOff>171450</xdr:rowOff>
    </xdr:from>
    <xdr:ext cx="5695950" cy="34385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114300</xdr:colOff>
      <xdr:row>1</xdr:row>
      <xdr:rowOff>152400</xdr:rowOff>
    </xdr:from>
    <xdr:ext cx="304800" cy="295275"/>
    <xdr:pic>
      <xdr:nvPicPr>
        <xdr:cNvPr id="0" name="image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18:H35" displayName="Table_1" name="Table_1" id="1">
  <tableColumns count="1">
    <tableColumn name="Column1" id="1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1:A7675" displayName="Table_2" name="Table_2" id="2">
  <tableColumns count="1">
    <tableColumn name="Games" id="1"/>
  </tableColumns>
  <tableStyleInfo name="Ent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cdiscount.com/" TargetMode="External"/><Relationship Id="rId2" Type="http://schemas.openxmlformats.org/officeDocument/2006/relationships/hyperlink" Target="http://key-wrld.com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simplycodes.com/store/driffle.com?page_section&amp;order&amp;pc&amp;pk&amp;productId&amp;su&amp;rs&amp;mi&amp;criteriaId&amp;cb&amp;po" TargetMode="External"/><Relationship Id="rId2" Type="http://schemas.openxmlformats.org/officeDocument/2006/relationships/hyperlink" Target="http://dlcompare.com/" TargetMode="External"/><Relationship Id="rId3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5" width="8.88"/>
    <col customWidth="1" min="6" max="7" width="9.5"/>
    <col customWidth="1" min="8" max="9" width="8.88"/>
    <col customWidth="1" min="10" max="10" width="7.75"/>
    <col customWidth="1" min="11" max="15" width="8.88"/>
    <col customWidth="1" min="16" max="16" width="3.0"/>
    <col customWidth="1" min="17" max="17" width="24.5"/>
    <col customWidth="1" min="18" max="18" width="7.75"/>
    <col customWidth="1" min="19" max="19" width="9.88"/>
    <col customWidth="1" min="20" max="20" width="9.0"/>
    <col customWidth="1" min="21" max="300" width="3.25"/>
  </cols>
  <sheetData>
    <row r="1">
      <c r="A1" s="1"/>
      <c r="F1" s="2" t="s">
        <v>0</v>
      </c>
      <c r="H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5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6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8"/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8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9"/>
      <c r="G13" s="1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10"/>
      <c r="G14" s="1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7">
      <c r="A17" s="11"/>
      <c r="B17" s="12" t="s">
        <v>1</v>
      </c>
      <c r="C17" s="12" t="s">
        <v>2</v>
      </c>
      <c r="D17" s="12" t="s">
        <v>3</v>
      </c>
      <c r="E17" s="12" t="s">
        <v>4</v>
      </c>
      <c r="H17" s="13" t="s">
        <v>5</v>
      </c>
      <c r="I17" s="13" t="s">
        <v>6</v>
      </c>
      <c r="J17" s="13" t="s">
        <v>7</v>
      </c>
      <c r="K17" s="13" t="s">
        <v>8</v>
      </c>
      <c r="L17" s="13" t="s">
        <v>9</v>
      </c>
      <c r="M17" s="13" t="s">
        <v>10</v>
      </c>
      <c r="N17" s="13" t="s">
        <v>11</v>
      </c>
      <c r="O17" s="13" t="s">
        <v>12</v>
      </c>
      <c r="Q17" s="14" t="s">
        <v>13</v>
      </c>
      <c r="R17" s="13" t="s">
        <v>11</v>
      </c>
      <c r="S17" s="14" t="s">
        <v>14</v>
      </c>
      <c r="T17" s="15" t="s">
        <v>15</v>
      </c>
    </row>
    <row r="18">
      <c r="A18" s="16" t="s">
        <v>16</v>
      </c>
      <c r="B18" s="17">
        <f>SUMIFS(Inventory!F2:F7005, Inventory!J2:J7005, "closed", Inventory!D2:D7005, "="&amp;TODAY())
</f>
        <v>0</v>
      </c>
      <c r="C18" s="18">
        <f>SUMIFS(Inventory!F2:F7005, Inventory!J2:J7005, "closed", Inventory!D2:D7005, "&gt;="&amp;DATE(YEAR(TODAY()), MONTH(TODAY()), 1), Inventory!D2:D7005, "&lt;="&amp;EOMONTH(TODAY(), 0))
</f>
        <v>30.89</v>
      </c>
      <c r="D18" s="17">
        <f>SUMIFS(Inventory!F2:F7005, Inventory!J2:J7005, "closed", Inventory!D2:D7005, "&gt;="&amp;TODAY()-WEEKDAY(TODAY(), 2)-7, Inventory!D2:D7005, "&lt;="&amp;TODAY()-WEEKDAY(TODAY(), 2)-1)
</f>
        <v>138.07</v>
      </c>
      <c r="E18" s="17">
        <f>SUMIFS(Inventory!F2:F7005, Inventory!J2:J7005, "closed", Inventory!D2:D7005, "="&amp;TODAY()-1)</f>
        <v>0</v>
      </c>
      <c r="H18" s="19" t="s">
        <v>17</v>
      </c>
      <c r="I18" s="20">
        <f>COUNTIF(Inventory!B:B,H18)</f>
        <v>66</v>
      </c>
      <c r="J18" s="20">
        <f>COUNTIFS(Inventory!B:B,H18,Inventory!J:J,"Closed")</f>
        <v>65</v>
      </c>
      <c r="K18" s="20">
        <f t="shared" ref="K18:K36" si="1">(I18-J18)</f>
        <v>1</v>
      </c>
      <c r="L18" s="21">
        <f>SUMIF(Inventory!B:B,H18,Inventory!F:F)</f>
        <v>1371.59</v>
      </c>
      <c r="M18" s="20">
        <f>SUMIF(Inventory!B:B,H18,Inventory!E:E)</f>
        <v>1006.89</v>
      </c>
      <c r="N18" s="21">
        <f>SUMIF(Inventory!B:B,H18,Inventory!G:G)</f>
        <v>364.7</v>
      </c>
      <c r="O18" s="22">
        <f t="shared" ref="O18:O36" si="2">(N18/L18)</f>
        <v>0.2658957852</v>
      </c>
      <c r="Q18" s="23" t="str">
        <f>IFERROR(__xludf.DUMMYFUNCTION("SORTN({Inventory!A2:A7005, Inventory!G2:G7005, Inventory!B2:B7005, Inventory!D2:D7005}, 20, 0, Inventory!D2:D7005, False)  "),"Worms Armageddon")</f>
        <v>Worms Armageddon</v>
      </c>
      <c r="R18" s="24">
        <f>IFERROR(__xludf.DUMMYFUNCTION("""COMPUTED_VALUE"""),1.28)</f>
        <v>1.28</v>
      </c>
      <c r="S18" s="23" t="str">
        <f>IFERROR(__xludf.DUMMYFUNCTION("""COMPUTED_VALUE"""),"G2A")</f>
        <v>G2A</v>
      </c>
      <c r="T18" s="25">
        <f>IFERROR(__xludf.DUMMYFUNCTION("""COMPUTED_VALUE"""),46207.0)</f>
        <v>46207</v>
      </c>
    </row>
    <row r="19">
      <c r="H19" s="19" t="s">
        <v>18</v>
      </c>
      <c r="I19" s="20">
        <f>COUNTIF(Inventory!B:B,H19)</f>
        <v>427</v>
      </c>
      <c r="J19" s="20">
        <f>COUNTIFS(Inventory!B:B,H19,Inventory!J:J,"Closed")</f>
        <v>409</v>
      </c>
      <c r="K19" s="20">
        <f t="shared" si="1"/>
        <v>18</v>
      </c>
      <c r="L19" s="21">
        <f>SUMIF(Inventory!B:B,H19,Inventory!F:F)</f>
        <v>8127.36</v>
      </c>
      <c r="M19" s="20">
        <f>SUMIF(Inventory!B:B,H19,Inventory!E:E)</f>
        <v>6947.45</v>
      </c>
      <c r="N19" s="21">
        <f>SUMIF(Inventory!B:B,H19,Inventory!G:G)</f>
        <v>1179.91</v>
      </c>
      <c r="O19" s="22">
        <f t="shared" si="2"/>
        <v>0.1451775238</v>
      </c>
      <c r="Q19" s="23" t="str">
        <f>IFERROR(__xludf.DUMMYFUNCTION("""COMPUTED_VALUE"""),"Tempest Rising")</f>
        <v>Tempest Rising</v>
      </c>
      <c r="R19" s="24">
        <f>IFERROR(__xludf.DUMMYFUNCTION("""COMPUTED_VALUE"""),5.16)</f>
        <v>5.16</v>
      </c>
      <c r="S19" s="23" t="str">
        <f>IFERROR(__xludf.DUMMYFUNCTION("""COMPUTED_VALUE"""),"King")</f>
        <v>King</v>
      </c>
      <c r="T19" s="25">
        <f>IFERROR(__xludf.DUMMYFUNCTION("""COMPUTED_VALUE"""),46205.0)</f>
        <v>46205</v>
      </c>
    </row>
    <row r="20">
      <c r="A20" s="26" t="str">
        <f>IF(B20 &gt; C20, "🟢", "🔴")
</f>
        <v>🔴</v>
      </c>
      <c r="B20" s="27">
        <f>IFERROR(SUMIFS(Inventory!F2:F7005, Inventory!D2:D7005, "="&amp;TODAY(), Inventory!J2:J7005, "Closed") / COUNTIFS(Inventory!D2:D7005, "="&amp;TODAY(), Inventory!J2:J7005, "Closed"), 0)
</f>
        <v>0</v>
      </c>
      <c r="C20" s="27">
        <f>SUMIFS(Inventory!F2:F7005, Inventory!D2:D7005, "&gt;="&amp;DATE(YEAR(TODAY()), MONTH(TODAY()), 1), Inventory!D2:D7005, "&lt;="&amp;EOMONTH(TODAY(), 0), Inventory!J2:J7005, "Closed") / COUNTIFS(Inventory!D2:D7005, "&gt;="&amp;DATE(YEAR(TODAY()), MONTH(TODAY()), 1), Inventory!D2:D7005, "&lt;="&amp;EOMONTH(TODAY(), 0), Inventory!J2:J7005, "Closed")
</f>
        <v>10.29666667</v>
      </c>
      <c r="D20" s="27">
        <f>SUMIFS(Inventory!F2:F7005, Inventory!D2:D7005, "&gt;="&amp;TODAY()-WEEKDAY(TODAY(), 2)-7, Inventory!D2:D7005, "&lt;="&amp;TODAY()-WEEKDAY(TODAY(), 2)-1, Inventory!J2:J7005, "Closed") / COUNTIFS(Inventory!D2:D7005, "&gt;="&amp;TODAY()-WEEKDAY(TODAY(), 2)-7, Inventory!D2:D7005, "&lt;="&amp;TODAY()-WEEKDAY(TODAY(), 2)-1, Inventory!J2:J7005, "Closed")
</f>
        <v>13.807</v>
      </c>
      <c r="E20" s="27">
        <f>IFERROR(SUMIFS(Inventory!F2:F7005, Inventory!D2:D7005, "="&amp;TODAY()-1, Inventory!J2:J7005, "Closed") / COUNTIFS(Inventory!D2:D7005, "="&amp;TODAY()-1, Inventory!J2:J7005, "Closed"),0)
</f>
        <v>0</v>
      </c>
      <c r="H20" s="19" t="s">
        <v>19</v>
      </c>
      <c r="I20" s="20">
        <f>COUNTIF(Inventory!B:B,H20)</f>
        <v>2295</v>
      </c>
      <c r="J20" s="20">
        <f>COUNTIFS(Inventory!B:B,H20,Inventory!J:J,"Closed")</f>
        <v>2275</v>
      </c>
      <c r="K20" s="20">
        <f t="shared" si="1"/>
        <v>20</v>
      </c>
      <c r="L20" s="21">
        <f>SUMIF(Inventory!B:B,H20,Inventory!F:F)</f>
        <v>20919.141</v>
      </c>
      <c r="M20" s="20">
        <f>SUMIF(Inventory!B:B,H20,Inventory!E:E)</f>
        <v>16186.38</v>
      </c>
      <c r="N20" s="21">
        <f>SUMIF(Inventory!B:B,H20,Inventory!G:G)</f>
        <v>4732.761</v>
      </c>
      <c r="O20" s="22">
        <f t="shared" si="2"/>
        <v>0.2262406951</v>
      </c>
      <c r="Q20" s="23" t="str">
        <f>IFERROR(__xludf.DUMMYFUNCTION("""COMPUTED_VALUE"""),"Dead by Daylight")</f>
        <v>Dead by Daylight</v>
      </c>
      <c r="R20" s="24">
        <f>IFERROR(__xludf.DUMMYFUNCTION("""COMPUTED_VALUE"""),5.0600000000000005)</f>
        <v>5.06</v>
      </c>
      <c r="S20" s="23" t="str">
        <f>IFERROR(__xludf.DUMMYFUNCTION("""COMPUTED_VALUE"""),"G2A")</f>
        <v>G2A</v>
      </c>
      <c r="T20" s="25">
        <f>IFERROR(__xludf.DUMMYFUNCTION("""COMPUTED_VALUE"""),46204.0)</f>
        <v>46204</v>
      </c>
    </row>
    <row r="21">
      <c r="A21" s="28" t="s">
        <v>20</v>
      </c>
      <c r="B21" s="29">
        <f>SUMIFS(Inventory!E2:E7005, Inventory!J2:J7005, "closed", Inventory!D2:D7005, "="&amp;TODAY())
</f>
        <v>0</v>
      </c>
      <c r="C21" s="30">
        <f>SUMIFS(Inventory!E2:E7005, Inventory!J2:J7005, "closed", Inventory!D2:D7005, "&gt;="&amp;DATE(YEAR(TODAY()), MONTH(TODAY()), 1), Inventory!D2:D7005, "&lt;="&amp;EOMONTH(TODAY(), 0))
</f>
        <v>19.39</v>
      </c>
      <c r="D21" s="29">
        <f>SUMIFS(Inventory!E2:E7005, Inventory!J2:J7005, "closed", Inventory!D2:D7005, "&gt;="&amp;TODAY()-WEEKDAY(TODAY(), 2)-7, Inventory!D2:D7005, "&lt;="&amp;TODAY()-WEEKDAY(TODAY(), 2)-1)
</f>
        <v>95.5</v>
      </c>
      <c r="E21" s="29">
        <f>SUMIFS(Inventory!E2:E7005, Inventory!J2:J7005, "closed", Inventory!D2:D7005, "="&amp;TODAY()-1)</f>
        <v>0</v>
      </c>
      <c r="H21" s="19" t="s">
        <v>21</v>
      </c>
      <c r="I21" s="20">
        <f>COUNTIF(Inventory!B:B,H21)</f>
        <v>802</v>
      </c>
      <c r="J21" s="20">
        <f>COUNTIFS(Inventory!B:B,H21,Inventory!J:J,"Closed")</f>
        <v>741</v>
      </c>
      <c r="K21" s="20">
        <f t="shared" si="1"/>
        <v>61</v>
      </c>
      <c r="L21" s="21">
        <f>SUMIF(Inventory!B:B,H21,Inventory!F:F)</f>
        <v>16077.07</v>
      </c>
      <c r="M21" s="20">
        <f>SUMIF(Inventory!B:B,H21,Inventory!E:E)</f>
        <v>14544.94</v>
      </c>
      <c r="N21" s="21">
        <f>SUMIF(Inventory!B:B,H21,Inventory!G:G)</f>
        <v>1532.13</v>
      </c>
      <c r="O21" s="22">
        <f t="shared" si="2"/>
        <v>0.09529908124</v>
      </c>
      <c r="Q21" s="23" t="str">
        <f>IFERROR(__xludf.DUMMYFUNCTION("""COMPUTED_VALUE"""),"SoulQuest")</f>
        <v>SoulQuest</v>
      </c>
      <c r="R21" s="24">
        <f>IFERROR(__xludf.DUMMYFUNCTION("""COMPUTED_VALUE"""),1.1500000000000004)</f>
        <v>1.15</v>
      </c>
      <c r="S21" s="23" t="str">
        <f>IFERROR(__xludf.DUMMYFUNCTION("""COMPUTED_VALUE"""),"GreenMan")</f>
        <v>GreenMan</v>
      </c>
      <c r="T21" s="25">
        <f>IFERROR(__xludf.DUMMYFUNCTION("""COMPUTED_VALUE"""),46203.0)</f>
        <v>46203</v>
      </c>
    </row>
    <row r="22">
      <c r="H22" s="19" t="s">
        <v>22</v>
      </c>
      <c r="I22" s="20">
        <f>COUNTIF(Inventory!B:B,H22)</f>
        <v>1458</v>
      </c>
      <c r="J22" s="20">
        <f>COUNTIFS(Inventory!B:B,H22,Inventory!J:J,"Closed")</f>
        <v>1436</v>
      </c>
      <c r="K22" s="20">
        <f t="shared" si="1"/>
        <v>22</v>
      </c>
      <c r="L22" s="21">
        <f>SUMIF(Inventory!B:B,H22,Inventory!F:F)</f>
        <v>22532.81</v>
      </c>
      <c r="M22" s="21">
        <f>SUMIF(Inventory!B:B,H22,Inventory!E:E)</f>
        <v>17434.52587</v>
      </c>
      <c r="N22" s="21">
        <f>SUMIF(Inventory!B:B,H22,Inventory!G:G)</f>
        <v>5098.284127</v>
      </c>
      <c r="O22" s="22">
        <f t="shared" si="2"/>
        <v>0.2262604676</v>
      </c>
      <c r="Q22" s="23" t="str">
        <f>IFERROR(__xludf.DUMMYFUNCTION("""COMPUTED_VALUE"""),"Dead by Daylight")</f>
        <v>Dead by Daylight</v>
      </c>
      <c r="R22" s="24">
        <f>IFERROR(__xludf.DUMMYFUNCTION("""COMPUTED_VALUE"""),5.0600000000000005)</f>
        <v>5.06</v>
      </c>
      <c r="S22" s="23" t="str">
        <f>IFERROR(__xludf.DUMMYFUNCTION("""COMPUTED_VALUE"""),"G2A")</f>
        <v>G2A</v>
      </c>
      <c r="T22" s="25">
        <f>IFERROR(__xludf.DUMMYFUNCTION("""COMPUTED_VALUE"""),46203.0)</f>
        <v>46203</v>
      </c>
    </row>
    <row r="23">
      <c r="A23" s="26" t="str">
        <f>IF(B23 &lt; C23, "🟢", "🔴")
</f>
        <v>🟢</v>
      </c>
      <c r="B23" s="31">
        <f>IFERROR(SUMIFS(Inventory!E2:E7005, Inventory!D2:D7005, "="&amp;TODAY(), Inventory!J2:J7005, "Closed") / COUNTIFS(Inventory!D2:D7005, "="&amp;TODAY(), Inventory!J2:J7005, "Closed"), 0)
</f>
        <v>0</v>
      </c>
      <c r="C23" s="31">
        <f>SUMIFS(Inventory!E2:E7005, Inventory!D2:D7005, "&gt;="&amp;DATE(YEAR(TODAY()), MONTH(TODAY()), 1), Inventory!D2:D7005, "&lt;="&amp;EOMONTH(TODAY(), 0), Inventory!J2:J7005, "Closed") / COUNTIFS(Inventory!D2:D7005, "&gt;="&amp;DATE(YEAR(TODAY()), MONTH(TODAY()), 1), Inventory!D2:D7005, "&lt;="&amp;EOMONTH(TODAY(), 0), Inventory!J2:J7005, "Closed")
</f>
        <v>6.463333333</v>
      </c>
      <c r="D23" s="31">
        <f>SUMIFS(Inventory!E2:E7005, Inventory!D2:D7005, "&gt;="&amp;TODAY()-WEEKDAY(TODAY(), 2)-7, Inventory!D2:D7005, "&lt;="&amp;TODAY()-WEEKDAY(TODAY(), 2)-1, Inventory!J2:J7005, "Closed") / COUNTIFS(Inventory!D2:D7005, "&gt;="&amp;TODAY()-WEEKDAY(TODAY(), 2)-7, Inventory!D2:D7005, "&lt;="&amp;TODAY()-WEEKDAY(TODAY(), 2)-1, Inventory!J2:J7005, "Closed")
</f>
        <v>9.55</v>
      </c>
      <c r="E23" s="31">
        <f>IFERROR(SUMIFS(Inventory!E2:E7005, Inventory!D2:D7005, "="&amp;TODAY()-1, Inventory!J2:J7005, "Closed") / COUNTIFS(Inventory!D2:D7005, "="&amp;TODAY()-1, Inventory!J2:J7005, "Closed"),0)
</f>
        <v>0</v>
      </c>
      <c r="H23" s="19" t="s">
        <v>23</v>
      </c>
      <c r="I23" s="20">
        <f>COUNTIF(Inventory!B:B,H23)</f>
        <v>597</v>
      </c>
      <c r="J23" s="20">
        <f>COUNTIFS(Inventory!B:B,H23,Inventory!J:J,"Closed")</f>
        <v>587</v>
      </c>
      <c r="K23" s="20">
        <f t="shared" si="1"/>
        <v>10</v>
      </c>
      <c r="L23" s="21">
        <f>SUMIF(Inventory!B:B,H23,Inventory!F:F)</f>
        <v>9352.43</v>
      </c>
      <c r="M23" s="20">
        <f>SUMIF(Inventory!B:B,H23,Inventory!E:E)</f>
        <v>7271.89</v>
      </c>
      <c r="N23" s="21">
        <f>SUMIF(Inventory!B:B,H23,Inventory!G:G)</f>
        <v>2080.54</v>
      </c>
      <c r="O23" s="22">
        <f t="shared" si="2"/>
        <v>0.2224598313</v>
      </c>
      <c r="Q23" s="23" t="str">
        <f>IFERROR(__xludf.DUMMYFUNCTION("""COMPUTED_VALUE"""),"Dead by Daylight")</f>
        <v>Dead by Daylight</v>
      </c>
      <c r="R23" s="24">
        <f>IFERROR(__xludf.DUMMYFUNCTION("""COMPUTED_VALUE"""),5.07)</f>
        <v>5.07</v>
      </c>
      <c r="S23" s="23" t="str">
        <f>IFERROR(__xludf.DUMMYFUNCTION("""COMPUTED_VALUE"""),"G2A")</f>
        <v>G2A</v>
      </c>
      <c r="T23" s="25">
        <f>IFERROR(__xludf.DUMMYFUNCTION("""COMPUTED_VALUE"""),46202.0)</f>
        <v>46202</v>
      </c>
    </row>
    <row r="24">
      <c r="A24" s="32" t="s">
        <v>24</v>
      </c>
      <c r="B24" s="33">
        <f>SUMIFS(Inventory!G2:G7005, Inventory!J2:J7005, "closed", Inventory!D2:D7005, "="&amp;TODAY())
</f>
        <v>0</v>
      </c>
      <c r="C24" s="34">
        <f>SUMIFS(Inventory!G2:G7005, Inventory!J2:J7005, "closed", Inventory!D2:D7005, "&gt;="&amp;DATE(YEAR(TODAY()), MONTH(TODAY()), 1), Inventory!D2:D7005, "&lt;="&amp;EOMONTH(TODAY(), 0))
</f>
        <v>11.5</v>
      </c>
      <c r="D24" s="33">
        <f>SUMIFS(Inventory!G2:G7005, Inventory!J2:J7005, "closed", Inventory!D2:D7005, "&gt;="&amp;TODAY()-WEEKDAY(TODAY(), 2)-7, Inventory!D2:D7005, "&lt;="&amp;TODAY()-WEEKDAY(TODAY(), 2)-1)
</f>
        <v>42.57</v>
      </c>
      <c r="E24" s="33">
        <f>SUMIFS(Inventory!G2:G7005, Inventory!J2:J7005, "closed", Inventory!D2:D7005, "="&amp;TODAY()-1)</f>
        <v>0</v>
      </c>
      <c r="H24" s="19" t="s">
        <v>25</v>
      </c>
      <c r="I24" s="20">
        <f>COUNTIF(Inventory!B:B,H24)</f>
        <v>716</v>
      </c>
      <c r="J24" s="20">
        <f>COUNTIFS(Inventory!B:B,H24,Inventory!J:J,"Closed")</f>
        <v>688</v>
      </c>
      <c r="K24" s="20">
        <f t="shared" si="1"/>
        <v>28</v>
      </c>
      <c r="L24" s="21">
        <f>SUMIF(Inventory!B:B,H24,Inventory!F:F)</f>
        <v>11123.06</v>
      </c>
      <c r="M24" s="20">
        <f>SUMIF(Inventory!B:B,H24,Inventory!E:E)</f>
        <v>9522.18</v>
      </c>
      <c r="N24" s="21">
        <f>SUMIF(Inventory!B:B,H24,Inventory!G:G)</f>
        <v>1600.88</v>
      </c>
      <c r="O24" s="22">
        <f t="shared" si="2"/>
        <v>0.1439244237</v>
      </c>
      <c r="Q24" s="23" t="str">
        <f>IFERROR(__xludf.DUMMYFUNCTION("""COMPUTED_VALUE"""),"Sniper Elite 5 Deluxe Edition")</f>
        <v>Sniper Elite 5 Deluxe Edition</v>
      </c>
      <c r="R24" s="24">
        <f>IFERROR(__xludf.DUMMYFUNCTION("""COMPUTED_VALUE"""),0.129999999999999)</f>
        <v>0.13</v>
      </c>
      <c r="S24" s="23" t="str">
        <f>IFERROR(__xludf.DUMMYFUNCTION("""COMPUTED_VALUE"""),"K4G")</f>
        <v>K4G</v>
      </c>
      <c r="T24" s="25">
        <f>IFERROR(__xludf.DUMMYFUNCTION("""COMPUTED_VALUE"""),46201.0)</f>
        <v>46201</v>
      </c>
    </row>
    <row r="25">
      <c r="H25" s="19" t="s">
        <v>26</v>
      </c>
      <c r="I25" s="20">
        <f>COUNTIF(Inventory!B:B,H25)</f>
        <v>23</v>
      </c>
      <c r="J25" s="20">
        <f>COUNTIFS(Inventory!B:B,H25,Inventory!J:J,"Closed")</f>
        <v>22</v>
      </c>
      <c r="K25" s="20">
        <f t="shared" si="1"/>
        <v>1</v>
      </c>
      <c r="L25" s="21">
        <f>SUMIF(Inventory!B:B,H25,Inventory!F:F)</f>
        <v>131.66</v>
      </c>
      <c r="M25" s="20">
        <f>SUMIF(Inventory!B:B,H25,Inventory!E:E)</f>
        <v>135.83</v>
      </c>
      <c r="N25" s="21">
        <f>SUMIF(Inventory!B:B,H25,Inventory!G:G)</f>
        <v>-4.17</v>
      </c>
      <c r="O25" s="22">
        <f t="shared" si="2"/>
        <v>-0.03167248975</v>
      </c>
      <c r="Q25" s="23" t="str">
        <f>IFERROR(__xludf.DUMMYFUNCTION("""COMPUTED_VALUE"""),"Tempest Rising")</f>
        <v>Tempest Rising</v>
      </c>
      <c r="R25" s="24">
        <f>IFERROR(__xludf.DUMMYFUNCTION("""COMPUTED_VALUE"""),6.16)</f>
        <v>6.16</v>
      </c>
      <c r="S25" s="23" t="str">
        <f>IFERROR(__xludf.DUMMYFUNCTION("""COMPUTED_VALUE"""),"King")</f>
        <v>King</v>
      </c>
      <c r="T25" s="25">
        <f>IFERROR(__xludf.DUMMYFUNCTION("""COMPUTED_VALUE"""),46201.0)</f>
        <v>46201</v>
      </c>
    </row>
    <row r="26">
      <c r="A26" s="26" t="str">
        <f>IF(B26 &gt; C26, "🟢", "🔴")
</f>
        <v>🔴</v>
      </c>
      <c r="B26" s="35">
        <f>IFERROR((SUMIFS(Inventory!F2:F7005, Inventory!D2:D7005, "="&amp;TODAY(), Inventory!J2:J7005, "Closed") - SUMIFS(Inventory!E2:E7005, Inventory!D2:D7005, "="&amp;TODAY(), Inventory!J2:J7005, "Closed")) / COUNTIFS(Inventory!D2:D7005, "="&amp;TODAY(), Inventory!J2:J7005, "Closed"), 0)
</f>
        <v>0</v>
      </c>
      <c r="C26" s="35">
        <f>(SUMIFS(Inventory!F2:F7005, Inventory!D2:D7005, "&gt;="&amp;DATE(YEAR(TODAY()), MONTH(TODAY()), 1), Inventory!D2:D7005, "&lt;="&amp;EOMONTH(TODAY(), 0), Inventory!J2:J7005, "Closed") - SUMIFS(Inventory!E2:E7005, Inventory!D2:D7005, "&gt;="&amp;DATE(YEAR(TODAY()), MONTH(TODAY()), 1), Inventory!D2:D7005, "&lt;="&amp;EOMONTH(TODAY(), 0), Inventory!J2:J7005, "Closed")) / COUNTIFS(Inventory!D2:D7005, "&gt;="&amp;DATE(YEAR(TODAY()), MONTH(TODAY()), 1), Inventory!D2:D7005, "&lt;="&amp;EOMONTH(TODAY(), 0), Inventory!J2:J7005, "Closed")
</f>
        <v>3.833333333</v>
      </c>
      <c r="D26" s="35">
        <f>(SUMIFS(Inventory!F2:F7005, Inventory!D2:D7005, "&gt;="&amp;TODAY()-WEEKDAY(TODAY(), 2)-7, Inventory!D2:D7005, "&lt;="&amp;TODAY()-WEEKDAY(TODAY(), 2)-1, Inventory!J2:J7005, "Closed") - SUMIFS(Inventory!E2:E7005, Inventory!D2:D7005, "&gt;="&amp;TODAY()-WEEKDAY(TODAY(), 2)-7, Inventory!D2:D7005, "&lt;="&amp;TODAY()-WEEKDAY(TODAY(), 2)-1, Inventory!J2:J7005, "Closed")) / COUNTIFS(Inventory!D2:D7005, "&gt;="&amp;TODAY()-WEEKDAY(TODAY(), 2)-7, Inventory!D2:D7005, "&lt;="&amp;TODAY()-WEEKDAY(TODAY(), 2)-1, Inventory!J2:J7005, "Closed")
</f>
        <v>4.257</v>
      </c>
      <c r="E26" s="35">
        <f>IFERROR((SUMIFS(Inventory!F2:F7005, Inventory!D2:D7005, "="&amp;TODAY()-1, Inventory!J2:J7005, "Closed") - SUMIFS(Inventory!E2:E7005, Inventory!D2:D7005, "="&amp;TODAY()-1, Inventory!J2:J7005, "Closed")) / COUNTIFS(Inventory!D2:D7005, "="&amp;TODAY()-1, Inventory!J2:J7005, "Closed"),0)
</f>
        <v>0</v>
      </c>
      <c r="H26" s="19" t="s">
        <v>27</v>
      </c>
      <c r="I26" s="20">
        <f>COUNTIF(Inventory!B:B,H26)</f>
        <v>1797</v>
      </c>
      <c r="J26" s="20">
        <f>COUNTIFS(Inventory!B:B,H26,Inventory!J:J,"Closed")</f>
        <v>1745</v>
      </c>
      <c r="K26" s="20">
        <f t="shared" si="1"/>
        <v>52</v>
      </c>
      <c r="L26" s="21">
        <f>SUMIF(Inventory!B:B,H26,Inventory!F:F)</f>
        <v>30579.94</v>
      </c>
      <c r="M26" s="20">
        <f>SUMIF(Inventory!B:B,H26,Inventory!E:E)</f>
        <v>25908.24</v>
      </c>
      <c r="N26" s="21">
        <f>SUMIF(Inventory!B:B,H26,Inventory!G:G)</f>
        <v>4671.7</v>
      </c>
      <c r="O26" s="22">
        <f t="shared" si="2"/>
        <v>0.1527700839</v>
      </c>
      <c r="Q26" s="23" t="str">
        <f>IFERROR(__xludf.DUMMYFUNCTION("""COMPUTED_VALUE"""),"Dead by Daylight")</f>
        <v>Dead by Daylight</v>
      </c>
      <c r="R26" s="24">
        <f>IFERROR(__xludf.DUMMYFUNCTION("""COMPUTED_VALUE"""),6.75)</f>
        <v>6.75</v>
      </c>
      <c r="S26" s="23" t="str">
        <f>IFERROR(__xludf.DUMMYFUNCTION("""COMPUTED_VALUE"""),"G2A")</f>
        <v>G2A</v>
      </c>
      <c r="T26" s="25">
        <f>IFERROR(__xludf.DUMMYFUNCTION("""COMPUTED_VALUE"""),46201.0)</f>
        <v>46201</v>
      </c>
    </row>
    <row r="27">
      <c r="A27" s="36" t="s">
        <v>28</v>
      </c>
      <c r="B27" s="37">
        <f>COUNTIFS(Inventory!D2:D7005, "="&amp;TODAY(), Inventory!J2:J7005, "Closed")
</f>
        <v>0</v>
      </c>
      <c r="C27" s="38">
        <f>COUNTIFS(Inventory!D2:D7005, "&gt;="&amp;DATE(YEAR(TODAY()), MONTH(TODAY()), 1), Inventory!D2:D7005, "&lt;="&amp;EOMONTH(TODAY(), 0), Inventory!J2:J7005, "Closed")
</f>
        <v>3</v>
      </c>
      <c r="D27" s="37">
        <f>COUNTIFS(Inventory!D2:D7005, "&gt;="&amp;TODAY()-WEEKDAY(TODAY(), 2)-7, Inventory!D2:D7005, "&lt;="&amp;TODAY()-WEEKDAY(TODAY(), 2)-1, Inventory!J2:J7005, "Closed")
</f>
        <v>10</v>
      </c>
      <c r="E27" s="37">
        <f>COUNTIFS(Inventory!D2:D7005, "="&amp;TODAY()-1, Inventory!J2:J7005, "Closed")
</f>
        <v>0</v>
      </c>
      <c r="H27" s="19" t="s">
        <v>29</v>
      </c>
      <c r="I27" s="20">
        <f>COUNTIF(Inventory!B:B,H27)</f>
        <v>173</v>
      </c>
      <c r="J27" s="20">
        <f>COUNTIFS(Inventory!B:B,H27,Inventory!J:J,"Closed")</f>
        <v>147</v>
      </c>
      <c r="K27" s="20">
        <f t="shared" si="1"/>
        <v>26</v>
      </c>
      <c r="L27" s="21">
        <f>SUMIF(Inventory!B:B,H27,Inventory!F:F)</f>
        <v>2262.62</v>
      </c>
      <c r="M27" s="20">
        <f>SUMIF(Inventory!B:B,H27,Inventory!E:E)</f>
        <v>1895.65</v>
      </c>
      <c r="N27" s="21">
        <f>SUMIF(Inventory!B:B,H27,Inventory!G:G)</f>
        <v>366.97</v>
      </c>
      <c r="O27" s="22">
        <f t="shared" si="2"/>
        <v>0.1621880828</v>
      </c>
      <c r="Q27" s="23" t="str">
        <f>IFERROR(__xludf.DUMMYFUNCTION("""COMPUTED_VALUE"""),"Dead by Daylight")</f>
        <v>Dead by Daylight</v>
      </c>
      <c r="R27" s="24">
        <f>IFERROR(__xludf.DUMMYFUNCTION("""COMPUTED_VALUE"""),6.75)</f>
        <v>6.75</v>
      </c>
      <c r="S27" s="23" t="str">
        <f>IFERROR(__xludf.DUMMYFUNCTION("""COMPUTED_VALUE"""),"G2A")</f>
        <v>G2A</v>
      </c>
      <c r="T27" s="25">
        <f>IFERROR(__xludf.DUMMYFUNCTION("""COMPUTED_VALUE"""),46201.0)</f>
        <v>46201</v>
      </c>
    </row>
    <row r="28">
      <c r="H28" s="19" t="s">
        <v>30</v>
      </c>
      <c r="I28" s="20">
        <f>COUNTIF(Inventory!B:B,H28)</f>
        <v>117</v>
      </c>
      <c r="J28" s="20">
        <f>COUNTIFS(Inventory!B:B,H28,Inventory!J:J,"Closed")</f>
        <v>116</v>
      </c>
      <c r="K28" s="20">
        <f t="shared" si="1"/>
        <v>1</v>
      </c>
      <c r="L28" s="21">
        <f>SUMIF(Inventory!B:B,H28,Inventory!F:F)</f>
        <v>1272.7</v>
      </c>
      <c r="M28" s="20">
        <f>SUMIF(Inventory!B:B,H28,Inventory!E:E)</f>
        <v>1022.1</v>
      </c>
      <c r="N28" s="21">
        <f>SUMIF(Inventory!B:B,H28,Inventory!G:G)</f>
        <v>250.6</v>
      </c>
      <c r="O28" s="22">
        <f t="shared" si="2"/>
        <v>0.1969042194</v>
      </c>
      <c r="Q28" s="23" t="str">
        <f>IFERROR(__xludf.DUMMYFUNCTION("""COMPUTED_VALUE"""),"Tempest Rising")</f>
        <v>Tempest Rising</v>
      </c>
      <c r="R28" s="24">
        <f>IFERROR(__xludf.DUMMYFUNCTION("""COMPUTED_VALUE"""),6.16)</f>
        <v>6.16</v>
      </c>
      <c r="S28" s="23" t="str">
        <f>IFERROR(__xludf.DUMMYFUNCTION("""COMPUTED_VALUE"""),"King")</f>
        <v>King</v>
      </c>
      <c r="T28" s="25">
        <f>IFERROR(__xludf.DUMMYFUNCTION("""COMPUTED_VALUE"""),46200.0)</f>
        <v>46200</v>
      </c>
    </row>
    <row r="29">
      <c r="A29" s="39" t="s">
        <v>31</v>
      </c>
      <c r="B29" s="40">
        <f>IFERROR((B24/B18), 0)</f>
        <v>0</v>
      </c>
      <c r="C29" s="41">
        <f>C24/C18</f>
        <v>0.3722887666</v>
      </c>
      <c r="D29" s="42">
        <f t="shared" ref="D29:E29" si="3">(D24/D18)</f>
        <v>0.3083218657</v>
      </c>
      <c r="E29" s="42" t="str">
        <f t="shared" si="3"/>
        <v>#DIV/0!</v>
      </c>
      <c r="H29" s="19" t="s">
        <v>32</v>
      </c>
      <c r="I29" s="20">
        <f>COUNTIF(Inventory!B:B,H29)</f>
        <v>174</v>
      </c>
      <c r="J29" s="20">
        <f>COUNTIFS(Inventory!B:B,H29,Inventory!J:J,"Closed")</f>
        <v>152</v>
      </c>
      <c r="K29" s="20">
        <f t="shared" si="1"/>
        <v>22</v>
      </c>
      <c r="L29" s="21">
        <f>SUMIF(Inventory!B:B,H29,Inventory!F:F)</f>
        <v>2852.57</v>
      </c>
      <c r="M29" s="20">
        <f>SUMIF(Inventory!B:B,H29,Inventory!E:E)</f>
        <v>2553.8</v>
      </c>
      <c r="N29" s="21">
        <f>SUMIF(Inventory!B:B,H29,Inventory!G:G)</f>
        <v>298.77</v>
      </c>
      <c r="O29" s="22">
        <f t="shared" si="2"/>
        <v>0.1047371318</v>
      </c>
      <c r="Q29" s="23" t="str">
        <f>IFERROR(__xludf.DUMMYFUNCTION("""COMPUTED_VALUE"""),"Black Myth: Wukong")</f>
        <v>Black Myth: Wukong</v>
      </c>
      <c r="R29" s="24">
        <f>IFERROR(__xludf.DUMMYFUNCTION("""COMPUTED_VALUE"""),1.8799999999999955)</f>
        <v>1.88</v>
      </c>
      <c r="S29" s="23" t="str">
        <f>IFERROR(__xludf.DUMMYFUNCTION("""COMPUTED_VALUE"""),"CDKeys")</f>
        <v>CDKeys</v>
      </c>
      <c r="T29" s="25">
        <f>IFERROR(__xludf.DUMMYFUNCTION("""COMPUTED_VALUE"""),46200.0)</f>
        <v>46200</v>
      </c>
    </row>
    <row r="30">
      <c r="H30" s="19" t="s">
        <v>33</v>
      </c>
      <c r="I30" s="20">
        <f>COUNTIF(Inventory!B:B,H30)</f>
        <v>54</v>
      </c>
      <c r="J30" s="20">
        <f>COUNTIFS(Inventory!B:B,H30,Inventory!J:J,"Closed")</f>
        <v>53</v>
      </c>
      <c r="K30" s="20">
        <f t="shared" si="1"/>
        <v>1</v>
      </c>
      <c r="L30" s="21">
        <f>SUMIF(Inventory!B:B,H30,Inventory!F:F)</f>
        <v>777.19</v>
      </c>
      <c r="M30" s="20">
        <f>SUMIF(Inventory!B:B,H30,Inventory!E:E)</f>
        <v>598.69</v>
      </c>
      <c r="N30" s="21">
        <f>SUMIF(Inventory!B:B,H30,Inventory!G:G)</f>
        <v>178.5</v>
      </c>
      <c r="O30" s="22">
        <f t="shared" si="2"/>
        <v>0.2296735676</v>
      </c>
      <c r="Q30" s="23" t="str">
        <f>IFERROR(__xludf.DUMMYFUNCTION("""COMPUTED_VALUE"""),"Tempest Rising")</f>
        <v>Tempest Rising</v>
      </c>
      <c r="R30" s="24">
        <f>IFERROR(__xludf.DUMMYFUNCTION("""COMPUTED_VALUE"""),6.16)</f>
        <v>6.16</v>
      </c>
      <c r="S30" s="23" t="str">
        <f>IFERROR(__xludf.DUMMYFUNCTION("""COMPUTED_VALUE"""),"King")</f>
        <v>King</v>
      </c>
      <c r="T30" s="25">
        <f>IFERROR(__xludf.DUMMYFUNCTION("""COMPUTED_VALUE"""),46199.0)</f>
        <v>46199</v>
      </c>
    </row>
    <row r="31">
      <c r="H31" s="19" t="s">
        <v>34</v>
      </c>
      <c r="I31" s="20">
        <f>COUNTIF(Inventory!B:B,H31)</f>
        <v>5</v>
      </c>
      <c r="J31" s="20">
        <f>COUNTIFS(Inventory!B:B,H31,Inventory!J:J,"Closed")</f>
        <v>4</v>
      </c>
      <c r="K31" s="20">
        <f t="shared" si="1"/>
        <v>1</v>
      </c>
      <c r="L31" s="21">
        <f>SUMIF(Inventory!B:B,H31,Inventory!F:F)</f>
        <v>69.3</v>
      </c>
      <c r="M31" s="20">
        <f>SUMIF(Inventory!B:B,H31,Inventory!E:E)</f>
        <v>79.36</v>
      </c>
      <c r="N31" s="21">
        <f>SUMIF(Inventory!B:B,H31,Inventory!G:G)</f>
        <v>-10.06</v>
      </c>
      <c r="O31" s="22">
        <f t="shared" si="2"/>
        <v>-0.1451659452</v>
      </c>
      <c r="Q31" s="23" t="str">
        <f>IFERROR(__xludf.DUMMYFUNCTION("""COMPUTED_VALUE"""),"Fallout 4 VR")</f>
        <v>Fallout 4 VR</v>
      </c>
      <c r="R31" s="24">
        <f>IFERROR(__xludf.DUMMYFUNCTION("""COMPUTED_VALUE"""),1.9299999999999997)</f>
        <v>1.93</v>
      </c>
      <c r="S31" s="23" t="str">
        <f>IFERROR(__xludf.DUMMYFUNCTION("""COMPUTED_VALUE"""),"CDKeys")</f>
        <v>CDKeys</v>
      </c>
      <c r="T31" s="25">
        <f>IFERROR(__xludf.DUMMYFUNCTION("""COMPUTED_VALUE"""),46199.0)</f>
        <v>46199</v>
      </c>
    </row>
    <row r="32">
      <c r="B32" s="43" t="s">
        <v>16</v>
      </c>
      <c r="C32" s="44" t="s">
        <v>20</v>
      </c>
      <c r="D32" s="45" t="s">
        <v>24</v>
      </c>
      <c r="E32" s="46" t="s">
        <v>28</v>
      </c>
      <c r="F32" s="47" t="s">
        <v>12</v>
      </c>
      <c r="H32" s="19" t="s">
        <v>35</v>
      </c>
      <c r="I32" s="20">
        <f>COUNTIF(Inventory!B:B,H32)</f>
        <v>44</v>
      </c>
      <c r="J32" s="20">
        <f>COUNTIFS(Inventory!B:B,H32,Inventory!J:J,"Closed")</f>
        <v>43</v>
      </c>
      <c r="K32" s="20">
        <f t="shared" si="1"/>
        <v>1</v>
      </c>
      <c r="L32" s="21">
        <f>SUMIF(Inventory!B:B,H32,Inventory!F:F)</f>
        <v>387.16</v>
      </c>
      <c r="M32" s="20">
        <f>SUMIF(Inventory!B:B,H32,Inventory!E:E)</f>
        <v>306.85</v>
      </c>
      <c r="N32" s="21">
        <f>SUMIF(Inventory!B:B,H32,Inventory!G:G)</f>
        <v>80.31</v>
      </c>
      <c r="O32" s="22">
        <f t="shared" si="2"/>
        <v>0.2074336192</v>
      </c>
      <c r="Q32" s="23" t="str">
        <f>IFERROR(__xludf.DUMMYFUNCTION("""COMPUTED_VALUE"""),"Dead by Daylight")</f>
        <v>Dead by Daylight</v>
      </c>
      <c r="R32" s="24">
        <f>IFERROR(__xludf.DUMMYFUNCTION("""COMPUTED_VALUE"""),6.760000000000002)</f>
        <v>6.76</v>
      </c>
      <c r="S32" s="23" t="str">
        <f>IFERROR(__xludf.DUMMYFUNCTION("""COMPUTED_VALUE"""),"G2A")</f>
        <v>G2A</v>
      </c>
      <c r="T32" s="25">
        <f>IFERROR(__xludf.DUMMYFUNCTION("""COMPUTED_VALUE"""),46199.0)</f>
        <v>46199</v>
      </c>
    </row>
    <row r="33">
      <c r="A33" s="48" t="s">
        <v>36</v>
      </c>
      <c r="B33" s="49">
        <f>IFERROR(__xludf.DUMMYFUNCTION("SUM(FILTER(Inventory!F2:F7005, TEXT(Inventory!L2:L7005, ""ddd"")=A33))"),18426.07799999999)</f>
        <v>18426.078</v>
      </c>
      <c r="C33" s="50">
        <f>IFERROR(__xludf.DUMMYFUNCTION("SUM(FILTER(Inventory!E2:E7005, TEXT(Inventory!L2:L7005, ""ddd"")=A33))"),14530.129999999976)</f>
        <v>14530.13</v>
      </c>
      <c r="D33" s="51">
        <f>IFERROR(__xludf.DUMMYFUNCTION("SUM(FILTER(Inventory!G2:G7005, TEXT(Inventory!L2:L7005, ""ddd"")=A33))"),3895.948000000003)</f>
        <v>3895.948</v>
      </c>
      <c r="E33" s="52">
        <f>COUNTIFS(Inventory!L:L, A33, Inventory!J:J, "Closed")
</f>
        <v>1156</v>
      </c>
      <c r="F33" s="53">
        <f>(E33*F47)/E47</f>
        <v>0.1327362499</v>
      </c>
      <c r="H33" s="19" t="s">
        <v>37</v>
      </c>
      <c r="I33" s="20">
        <f>COUNTIF(Inventory!B:B,H33)</f>
        <v>27</v>
      </c>
      <c r="J33" s="20">
        <f>COUNTIFS(Inventory!B:B,H33,Inventory!J:J,"Closed")</f>
        <v>27</v>
      </c>
      <c r="K33" s="20">
        <f t="shared" si="1"/>
        <v>0</v>
      </c>
      <c r="L33" s="21">
        <f>SUMIF(Inventory!B:B,H33,Inventory!F:F)</f>
        <v>764.71</v>
      </c>
      <c r="M33" s="20">
        <f>SUMIF(Inventory!B:B,H33,Inventory!E:E)</f>
        <v>617.22</v>
      </c>
      <c r="N33" s="21">
        <f>SUMIF(Inventory!B:B,H33,Inventory!G:G)</f>
        <v>147.49</v>
      </c>
      <c r="O33" s="22">
        <f t="shared" si="2"/>
        <v>0.1928704999</v>
      </c>
      <c r="Q33" s="23" t="str">
        <f>IFERROR(__xludf.DUMMYFUNCTION("""COMPUTED_VALUE"""),"The Last of Us Part 2 Remastered")</f>
        <v>The Last of Us Part 2 Remastered</v>
      </c>
      <c r="R33" s="24">
        <f>IFERROR(__xludf.DUMMYFUNCTION("""COMPUTED_VALUE"""),2.789999999999999)</f>
        <v>2.79</v>
      </c>
      <c r="S33" s="23" t="str">
        <f>IFERROR(__xludf.DUMMYFUNCTION("""COMPUTED_VALUE"""),"CDKeys")</f>
        <v>CDKeys</v>
      </c>
      <c r="T33" s="25">
        <f>IFERROR(__xludf.DUMMYFUNCTION("""COMPUTED_VALUE"""),46198.0)</f>
        <v>46198</v>
      </c>
    </row>
    <row r="34">
      <c r="H34" s="19" t="s">
        <v>38</v>
      </c>
      <c r="I34" s="20">
        <f>COUNTIF(Inventory!B:B,H34)</f>
        <v>53</v>
      </c>
      <c r="J34" s="20">
        <f>COUNTIFS(Inventory!B:B,H34,Inventory!J:J,"Closed")</f>
        <v>49</v>
      </c>
      <c r="K34" s="20">
        <f t="shared" si="1"/>
        <v>4</v>
      </c>
      <c r="L34" s="21">
        <f>SUMIF(Inventory!B:B,H34,Inventory!F:F)</f>
        <v>986.37</v>
      </c>
      <c r="M34" s="20">
        <f>SUMIF(Inventory!B:B,H34,Inventory!E:E)</f>
        <v>644.65</v>
      </c>
      <c r="N34" s="21">
        <f>SUMIF(Inventory!B:B,H34,Inventory!G:G)</f>
        <v>341.72</v>
      </c>
      <c r="O34" s="22">
        <f t="shared" si="2"/>
        <v>0.3464420045</v>
      </c>
      <c r="Q34" s="23" t="str">
        <f>IFERROR(__xludf.DUMMYFUNCTION("""COMPUTED_VALUE"""),"Manor Lords")</f>
        <v>Manor Lords</v>
      </c>
      <c r="R34" s="24">
        <f>IFERROR(__xludf.DUMMYFUNCTION("""COMPUTED_VALUE"""),7.259999999999998)</f>
        <v>7.26</v>
      </c>
      <c r="S34" s="23" t="str">
        <f>IFERROR(__xludf.DUMMYFUNCTION("""COMPUTED_VALUE"""),"CDKeys")</f>
        <v>CDKeys</v>
      </c>
      <c r="T34" s="25">
        <f>IFERROR(__xludf.DUMMYFUNCTION("""COMPUTED_VALUE"""),46198.0)</f>
        <v>46198</v>
      </c>
    </row>
    <row r="35">
      <c r="A35" s="48" t="s">
        <v>39</v>
      </c>
      <c r="B35" s="49">
        <f>IFERROR(__xludf.DUMMYFUNCTION("SUM(FILTER(Inventory!F2:F7005, TEXT(Inventory!L2:L7005, ""ddd"")=A35))"),15561.453000000007)</f>
        <v>15561.453</v>
      </c>
      <c r="C35" s="50">
        <f>IFERROR(__xludf.DUMMYFUNCTION("SUM(FILTER(Inventory!E2:E7005, TEXT(Inventory!L2:L7005, ""ddd"")=A35))"),12204.610000000015)</f>
        <v>12204.61</v>
      </c>
      <c r="D35" s="51">
        <f>IFERROR(__xludf.DUMMYFUNCTION("SUM(FILTER(Inventory!G2:G7005, TEXT(Inventory!L2:L7005, ""ddd"")=A35))"),3356.843)</f>
        <v>3356.843</v>
      </c>
      <c r="E35" s="52">
        <f>COUNTIFS(Inventory!L:L, A35, Inventory!J:J, "Closed")
</f>
        <v>1041</v>
      </c>
      <c r="F35" s="53">
        <f>(E35*F47)/E47</f>
        <v>0.1195315191</v>
      </c>
      <c r="H35" s="19" t="s">
        <v>40</v>
      </c>
      <c r="I35" s="20">
        <f>COUNTIF(Inventory!B:B,H35)</f>
        <v>130</v>
      </c>
      <c r="J35" s="20">
        <f>COUNTIFS(Inventory!B:B,H35,Inventory!J:J,"Closed")</f>
        <v>127</v>
      </c>
      <c r="K35" s="20">
        <f t="shared" si="1"/>
        <v>3</v>
      </c>
      <c r="L35" s="21">
        <f>SUMIF(Inventory!B:B,H35,Inventory!F:F)</f>
        <v>1746.1</v>
      </c>
      <c r="M35" s="20">
        <f>SUMIF(Inventory!B:B,H35,Inventory!E:E)</f>
        <v>1376.72</v>
      </c>
      <c r="N35" s="21">
        <f>SUMIF(Inventory!B:B,H35,Inventory!G:G)</f>
        <v>369.38</v>
      </c>
      <c r="O35" s="22">
        <f t="shared" si="2"/>
        <v>0.2115457305</v>
      </c>
      <c r="Q35" s="23" t="str">
        <f>IFERROR(__xludf.DUMMYFUNCTION("""COMPUTED_VALUE"""),"Sid Meier's Civilization VII EU")</f>
        <v>Sid Meier's Civilization VII EU</v>
      </c>
      <c r="R35" s="24">
        <f>IFERROR(__xludf.DUMMYFUNCTION("""COMPUTED_VALUE"""),2.41)</f>
        <v>2.41</v>
      </c>
      <c r="S35" s="23" t="str">
        <f>IFERROR(__xludf.DUMMYFUNCTION("""COMPUTED_VALUE"""),"CDKeys")</f>
        <v>CDKeys</v>
      </c>
      <c r="T35" s="25">
        <f>IFERROR(__xludf.DUMMYFUNCTION("""COMPUTED_VALUE"""),46198.0)</f>
        <v>46198</v>
      </c>
    </row>
    <row r="36">
      <c r="H36" s="54" t="s">
        <v>41</v>
      </c>
      <c r="I36" s="55">
        <f t="shared" ref="I36:J36" si="4">SUM(I18:I34)</f>
        <v>8828</v>
      </c>
      <c r="J36" s="55">
        <f t="shared" si="4"/>
        <v>8559</v>
      </c>
      <c r="K36" s="55">
        <f t="shared" si="1"/>
        <v>269</v>
      </c>
      <c r="L36" s="56">
        <f t="shared" ref="L36:N36" si="5">SUM(L18:L34)</f>
        <v>129587.681</v>
      </c>
      <c r="M36" s="56">
        <f t="shared" si="5"/>
        <v>106676.6459</v>
      </c>
      <c r="N36" s="56">
        <f t="shared" si="5"/>
        <v>22911.03513</v>
      </c>
      <c r="O36" s="57">
        <f t="shared" si="2"/>
        <v>0.1767994839</v>
      </c>
      <c r="Q36" s="23" t="str">
        <f>IFERROR(__xludf.DUMMYFUNCTION("""COMPUTED_VALUE"""),"Sid Meier's Civilization VII EU")</f>
        <v>Sid Meier's Civilization VII EU</v>
      </c>
      <c r="R36" s="24">
        <f>IFERROR(__xludf.DUMMYFUNCTION("""COMPUTED_VALUE"""),2.41)</f>
        <v>2.41</v>
      </c>
      <c r="S36" s="23" t="str">
        <f>IFERROR(__xludf.DUMMYFUNCTION("""COMPUTED_VALUE"""),"CDKeys")</f>
        <v>CDKeys</v>
      </c>
      <c r="T36" s="25">
        <f>IFERROR(__xludf.DUMMYFUNCTION("""COMPUTED_VALUE"""),46198.0)</f>
        <v>46198</v>
      </c>
    </row>
    <row r="37">
      <c r="A37" s="48" t="s">
        <v>42</v>
      </c>
      <c r="B37" s="49">
        <f>IFERROR(__xludf.DUMMYFUNCTION("SUM(FILTER(Inventory!F2:F7005, TEXT(Inventory!L2:L7005, ""ddd"")=A37))"),15543.910000000014)</f>
        <v>15543.91</v>
      </c>
      <c r="C37" s="50">
        <f>IFERROR(__xludf.DUMMYFUNCTION("SUM(FILTER(Inventory!E2:E7005, TEXT(Inventory!L2:L7005, ""ddd"")=A37))"),12169.109999999975)</f>
        <v>12169.11</v>
      </c>
      <c r="D37" s="51">
        <f>IFERROR(__xludf.DUMMYFUNCTION("SUM(FILTER(Inventory!G2:G7005, TEXT(Inventory!L2:L7005, ""ddd"")=A37))"),3374.8000000000034)</f>
        <v>3374.8</v>
      </c>
      <c r="E37" s="52">
        <f>COUNTIFS(Inventory!L:L, A37, Inventory!J:J, "Closed")
</f>
        <v>1065</v>
      </c>
      <c r="F37" s="53">
        <f>(E37*F47)/E47</f>
        <v>0.122287289</v>
      </c>
      <c r="Q37" s="23" t="str">
        <f>IFERROR(__xludf.DUMMYFUNCTION("""COMPUTED_VALUE"""),"Sid Meier's Civilization VII EU")</f>
        <v>Sid Meier's Civilization VII EU</v>
      </c>
      <c r="R37" s="24">
        <f>IFERROR(__xludf.DUMMYFUNCTION("""COMPUTED_VALUE"""),2.3099999999999987)</f>
        <v>2.31</v>
      </c>
      <c r="S37" s="23" t="str">
        <f>IFERROR(__xludf.DUMMYFUNCTION("""COMPUTED_VALUE"""),"CDKeys")</f>
        <v>CDKeys</v>
      </c>
      <c r="T37" s="25">
        <f>IFERROR(__xludf.DUMMYFUNCTION("""COMPUTED_VALUE"""),46198.0)</f>
        <v>46198</v>
      </c>
    </row>
    <row r="38">
      <c r="R38" s="58"/>
    </row>
    <row r="39">
      <c r="A39" s="48" t="s">
        <v>43</v>
      </c>
      <c r="B39" s="49">
        <f>IFERROR(__xludf.DUMMYFUNCTION("SUM(FILTER(Inventory!F2:F7005, TEXT(Inventory!L2:L7005, ""ddd"")=A39))"),16474.30999999999)</f>
        <v>16474.31</v>
      </c>
      <c r="C39" s="50">
        <f>IFERROR(__xludf.DUMMYFUNCTION("SUM(FILTER(Inventory!E2:E7005, TEXT(Inventory!L2:L7005, ""ddd"")=A39))"),13076.360000000006)</f>
        <v>13076.36</v>
      </c>
      <c r="D39" s="51">
        <f>IFERROR(__xludf.DUMMYFUNCTION("SUM(FILTER(Inventory!G2:G7005, TEXT(Inventory!L2:L7005, ""ddd"")=A39))"),3397.950000000002)</f>
        <v>3397.95</v>
      </c>
      <c r="E39" s="52">
        <f>COUNTIFS(Inventory!L:L, A39, Inventory!J:J, "Closed")
</f>
        <v>1072</v>
      </c>
      <c r="F39" s="53">
        <f>(E39*F47)/E47</f>
        <v>0.1230910552</v>
      </c>
      <c r="H39" s="59" t="s">
        <v>44</v>
      </c>
      <c r="R39" s="58"/>
    </row>
    <row r="40">
      <c r="H40" s="60" t="s">
        <v>45</v>
      </c>
      <c r="I40" s="61" t="s">
        <v>46</v>
      </c>
      <c r="J40" s="62" t="s">
        <v>47</v>
      </c>
      <c r="K40" s="63" t="s">
        <v>48</v>
      </c>
      <c r="R40" s="58"/>
    </row>
    <row r="41">
      <c r="A41" s="48" t="s">
        <v>49</v>
      </c>
      <c r="B41" s="49">
        <f>IFERROR(__xludf.DUMMYFUNCTION("SUM(FILTER(Inventory!F2:F7005, TEXT(Inventory!L2:L7005, ""ddd"")=A41))"),18772.299999999985)</f>
        <v>18772.3</v>
      </c>
      <c r="C41" s="50">
        <f>IFERROR(__xludf.DUMMYFUNCTION("SUM(FILTER(Inventory!E2:E7005, TEXT(Inventory!L2:L7005, ""ddd"")=A41))"),14913.389999999976)</f>
        <v>14913.39</v>
      </c>
      <c r="D41" s="51">
        <f>IFERROR(__xludf.DUMMYFUNCTION("SUM(FILTER(Inventory!G2:G7005, TEXT(Inventory!L2:L7005, ""ddd"")=A41))"),3862.299999999993)</f>
        <v>3862.3</v>
      </c>
      <c r="E41" s="52">
        <f>COUNTIFS(Inventory!L:L, A41, Inventory!J:J, "Closed")
</f>
        <v>1240</v>
      </c>
      <c r="F41" s="53">
        <f>(E41*F47)/E47</f>
        <v>0.1423814445</v>
      </c>
      <c r="I41" s="64">
        <f>COUNTIF(Inventory!J:J,I40)</f>
        <v>263</v>
      </c>
      <c r="J41" s="65">
        <f>SUMIF(Inventory!J:J,I40,Inventory!E:E)</f>
        <v>4305.18</v>
      </c>
      <c r="K41" s="66">
        <f>COUNTIF(Inventory!J:J,K40)</f>
        <v>8709</v>
      </c>
      <c r="R41" s="58"/>
    </row>
    <row r="42">
      <c r="I42" s="67"/>
      <c r="J42" s="68"/>
      <c r="K42" s="67"/>
      <c r="R42" s="58"/>
    </row>
    <row r="43">
      <c r="A43" s="48" t="s">
        <v>50</v>
      </c>
      <c r="B43" s="49">
        <f>IFERROR(__xludf.DUMMYFUNCTION("SUM(FILTER(Inventory!F2:F7005, TEXT(Inventory!L2:L7005, ""ddd"")=A43))"),23987.738000000023)</f>
        <v>23987.738</v>
      </c>
      <c r="C43" s="50">
        <f>IFERROR(__xludf.DUMMYFUNCTION("SUM(FILTER(Inventory!E2:E7005, TEXT(Inventory!L2:L7005, ""ddd"")=A43))"),19040.433730158766)</f>
        <v>19040.43373</v>
      </c>
      <c r="D43" s="51">
        <f>IFERROR(__xludf.DUMMYFUNCTION("SUM(FILTER(Inventory!G2:G7005, TEXT(Inventory!L2:L7005, ""ddd"")=A43))"),4947.304269841263)</f>
        <v>4947.30427</v>
      </c>
      <c r="E43" s="52">
        <f>COUNTIFS(Inventory!L:L, A43, Inventory!J:J, "Closed")
</f>
        <v>1559</v>
      </c>
      <c r="F43" s="53">
        <f>(E43*F47)/E47</f>
        <v>0.1790102193</v>
      </c>
      <c r="H43" s="60">
        <v>2022.0</v>
      </c>
      <c r="I43" s="64">
        <f>COUNTIFS(Inventory!J:J, "Open",Inventory!C:C, "&gt;="&amp;DATE(2022,1,1), Inventory!C:C, "&lt;="&amp;DATE(2022,12,31))</f>
        <v>11</v>
      </c>
      <c r="J43" s="65">
        <f>SUMIFS(Inventory!E:E, Inventory!J:J, "Open", Inventory!C:C, "&gt;="&amp;DATE(2022,1,1), Inventory!C:C, "&lt;="&amp;DATE(2022,12,31))</f>
        <v>185.92</v>
      </c>
      <c r="R43" s="58"/>
    </row>
    <row r="44">
      <c r="I44" s="67"/>
      <c r="J44" s="68"/>
      <c r="R44" s="58"/>
    </row>
    <row r="45">
      <c r="A45" s="48" t="s">
        <v>51</v>
      </c>
      <c r="B45" s="49">
        <f>IFERROR(__xludf.DUMMYFUNCTION("SUM(FILTER(Inventory!F2:F7005, TEXT(Inventory!L2:L7005, ""ddd"")=A45))"),23410.980000000036)</f>
        <v>23410.98</v>
      </c>
      <c r="C45" s="50">
        <f>IFERROR(__xludf.DUMMYFUNCTION("SUM(FILTER(Inventory!E2:E7005, TEXT(Inventory!L2:L7005, ""ddd"")=A45))"),18485.99214285714)</f>
        <v>18485.99214</v>
      </c>
      <c r="D45" s="51">
        <f>IFERROR(__xludf.DUMMYFUNCTION("SUM(FILTER(Inventory!G2:G7005, TEXT(Inventory!L2:L7005, ""ddd"")=A45))"),4928.377857142853)</f>
        <v>4928.377857</v>
      </c>
      <c r="E45" s="52">
        <f>COUNTIFS(Inventory!L:L, A45, Inventory!J:J, "Closed")
</f>
        <v>1576</v>
      </c>
      <c r="F45" s="53">
        <f>(E45*F47)/E47</f>
        <v>0.180962223</v>
      </c>
      <c r="H45" s="60">
        <v>2023.0</v>
      </c>
      <c r="I45" s="64">
        <f>COUNTIFS(Inventory!J:J, "Open",Inventory!C:C, "&gt;="&amp;DATE(2023,1,1), Inventory!C:C, "&lt;="&amp;DATE(2023,12,31))</f>
        <v>73</v>
      </c>
      <c r="J45" s="65">
        <f>SUMIFS(Inventory!E:E, Inventory!J:J, "Open", Inventory!C:C, "&gt;="&amp;DATE(2023,1,1), Inventory!C:C, "&lt;="&amp;DATE(2023,12,31))</f>
        <v>1166.7</v>
      </c>
      <c r="R45" s="58"/>
    </row>
    <row r="46">
      <c r="I46" s="67"/>
      <c r="J46" s="68"/>
      <c r="R46" s="58"/>
    </row>
    <row r="47">
      <c r="A47" s="69" t="s">
        <v>52</v>
      </c>
      <c r="B47" s="70">
        <f t="shared" ref="B47:E47" si="6">sum(B33:B46)</f>
        <v>132176.769</v>
      </c>
      <c r="C47" s="70">
        <f t="shared" si="6"/>
        <v>104420.0259</v>
      </c>
      <c r="D47" s="70">
        <f t="shared" si="6"/>
        <v>27763.52313</v>
      </c>
      <c r="E47" s="71">
        <f t="shared" si="6"/>
        <v>8709</v>
      </c>
      <c r="F47" s="72">
        <v>1.0</v>
      </c>
      <c r="H47" s="60">
        <v>2024.0</v>
      </c>
      <c r="I47" s="64">
        <f>COUNTIFS(Inventory!J:J, "Open",Inventory!C:C, "&gt;="&amp;DATE(2024,1,1), Inventory!C:C, "&lt;="&amp;DATE(2024,12,31))</f>
        <v>40</v>
      </c>
      <c r="J47" s="65">
        <f>SUMIFS(Inventory!E:E, Inventory!J:J, "Open", Inventory!C:C, "&gt;="&amp;DATE(2024,1,1), Inventory!C:C, "&lt;="&amp;DATE(2024,12,31))</f>
        <v>708.31</v>
      </c>
      <c r="R47" s="58"/>
    </row>
    <row r="48">
      <c r="I48" s="67"/>
      <c r="J48" s="68"/>
      <c r="R48" s="58"/>
    </row>
    <row r="49">
      <c r="H49" s="60">
        <v>2025.0</v>
      </c>
      <c r="I49" s="64">
        <f>COUNTIFS(Inventory!J:J, "Open",Inventory!C:C, "&gt;="&amp;DATE(2025,1,1), Inventory!C:C, "&lt;="&amp;DATE(2025,12,31))</f>
        <v>38</v>
      </c>
      <c r="J49" s="65">
        <f>SUMIFS(Inventory!E:E, Inventory!J:J, "Open", Inventory!C:C, "&gt;="&amp;DATE(2025,1,1), Inventory!C:C, "&lt;="&amp;DATE(2025,12,31))</f>
        <v>666.79</v>
      </c>
      <c r="O49" s="73"/>
      <c r="R49" s="58"/>
    </row>
    <row r="50">
      <c r="B50" s="74" t="s">
        <v>11</v>
      </c>
      <c r="C50" s="74" t="s">
        <v>9</v>
      </c>
      <c r="D50" s="75" t="s">
        <v>53</v>
      </c>
      <c r="I50" s="67"/>
      <c r="J50" s="68"/>
      <c r="O50" s="73"/>
      <c r="R50" s="58"/>
    </row>
    <row r="51">
      <c r="A51" s="76">
        <f t="array" ref="A51:A81">SEQUENCE(DAY(EOMONTH(TODAY(), 0)), 1, DATE(YEAR(TODAY()), MONTH(TODAY()), 1))
</f>
        <v>46204</v>
      </c>
      <c r="B51" s="77">
        <f>IF(AND(A51&lt;=EOMONTH(TODAY(),0), A51&lt;=TODAY()), IF(SUMIFS(Inventory!G:G, Inventory!D:D, A51, Inventory!J:J, "closed")=0, "", SUMIFS(Inventory!G:G, Inventory!D:D, A51, Inventory!J:J, "closed")), "")</f>
        <v>5.06</v>
      </c>
      <c r="C51" s="77">
        <f>IF(AND(A51&lt;=EOMONTH(TODAY(),0), A51&lt;=TODAY()), IF(SUMIFS(Inventory!F:F, Inventory!D:D, A51, Inventory!J:J, "closed")=0, "", SUMIFS(Inventory!F:F, Inventory!D:D, A51, Inventory!J:J, "closed")), "")</f>
        <v>19.46</v>
      </c>
      <c r="H51" s="60">
        <v>2026.0</v>
      </c>
      <c r="I51" s="64">
        <f>COUNTIFS(Inventory!J:J, "Open",Inventory!C:C, "&gt;="&amp;DATE(2026,1,1), Inventory!C:C, "&lt;="&amp;DATE(2026,12,31))</f>
        <v>99</v>
      </c>
      <c r="J51" s="65">
        <f>SUMIFS(Inventory!E:E, Inventory!J:J, "Open", Inventory!C:C, "&gt;="&amp;DATE(2026,1,1), Inventory!C:C, "&lt;="&amp;DATE(2026,12,31))</f>
        <v>1563.16</v>
      </c>
      <c r="O51" s="73"/>
      <c r="R51" s="58"/>
    </row>
    <row r="52">
      <c r="A52" s="76">
        <v>46205.0</v>
      </c>
      <c r="B52" s="77">
        <f>IF(AND(A52&lt;=EOMONTH(TODAY(),0), A52&lt;=TODAY()), IF(SUMIFS(Inventory!G:G, Inventory!D:D, A52, Inventory!J:J, "closed")=0, "", SUMIFS(Inventory!G:G, Inventory!D:D, A52, Inventory!J:J, "closed")), "")</f>
        <v>5.16</v>
      </c>
      <c r="C52" s="77">
        <f>IF(AND(A52&lt;=EOMONTH(TODAY(),0), A52&lt;=TODAY()), IF(SUMIFS(Inventory!F:F, Inventory!D:D, A52, Inventory!J:J, "closed")=0, "", SUMIFS(Inventory!F:F, Inventory!D:D, A52, Inventory!J:J, "closed")), "")</f>
        <v>10.15</v>
      </c>
      <c r="I52" s="67"/>
      <c r="J52" s="68"/>
      <c r="O52" s="73"/>
      <c r="R52" s="58"/>
    </row>
    <row r="53">
      <c r="A53" s="76">
        <v>46206.0</v>
      </c>
      <c r="B53" s="77" t="str">
        <f>IF(AND(A53&lt;=EOMONTH(TODAY(),0), A53&lt;=TODAY()), IF(SUMIFS(Inventory!G:G, Inventory!D:D, A53, Inventory!J:J, "closed")=0, "", SUMIFS(Inventory!G:G, Inventory!D:D, A53, Inventory!J:J, "closed")), "")</f>
        <v/>
      </c>
      <c r="C53" s="77" t="str">
        <f>IF(AND(A53&lt;=EOMONTH(TODAY(),0), A53&lt;=TODAY()), IF(SUMIFS(Inventory!F:F, Inventory!D:D, A53, Inventory!J:J, "closed")=0, "", SUMIFS(Inventory!F:F, Inventory!D:D, A53, Inventory!J:J, "closed")), "")</f>
        <v/>
      </c>
      <c r="O53" s="73"/>
      <c r="R53" s="58"/>
    </row>
    <row r="54">
      <c r="A54" s="76">
        <v>46207.0</v>
      </c>
      <c r="B54" s="77">
        <f>IF(AND(A54&lt;=EOMONTH(TODAY(),0), A54&lt;=TODAY()), IF(SUMIFS(Inventory!G:G, Inventory!D:D, A54, Inventory!J:J, "closed")=0, "", SUMIFS(Inventory!G:G, Inventory!D:D, A54, Inventory!J:J, "closed")), "")</f>
        <v>1.28</v>
      </c>
      <c r="C54" s="77">
        <f>IF(AND(A54&lt;=EOMONTH(TODAY(),0), A54&lt;=TODAY()), IF(SUMIFS(Inventory!F:F, Inventory!D:D, A54, Inventory!J:J, "closed")=0, "", SUMIFS(Inventory!F:F, Inventory!D:D, A54, Inventory!J:J, "closed")), "")</f>
        <v>1.28</v>
      </c>
      <c r="E54" s="78" t="s">
        <v>54</v>
      </c>
      <c r="O54" s="73"/>
      <c r="R54" s="58"/>
    </row>
    <row r="55">
      <c r="A55" s="76">
        <v>46208.0</v>
      </c>
      <c r="B55" s="77" t="str">
        <f>IF(AND(A55&lt;=EOMONTH(TODAY(),0), A55&lt;=TODAY()), IF(SUMIFS(Inventory!G:G, Inventory!D:D, A55, Inventory!J:J, "closed")=0, "", SUMIFS(Inventory!G:G, Inventory!D:D, A55, Inventory!J:J, "closed")), "")</f>
        <v/>
      </c>
      <c r="C55" s="77" t="str">
        <f>IF(AND(A55&lt;=EOMONTH(TODAY(),0), A55&lt;=TODAY()), IF(SUMIFS(Inventory!F:F, Inventory!D:D, A55, Inventory!J:J, "closed")=0, "", SUMIFS(Inventory!F:F, Inventory!D:D, A55, Inventory!J:J, "closed")), "")</f>
        <v/>
      </c>
      <c r="O55" s="73"/>
      <c r="R55" s="58"/>
    </row>
    <row r="56">
      <c r="A56" s="76">
        <v>46209.0</v>
      </c>
      <c r="B56" s="77" t="str">
        <f>IF(AND(A56&lt;=EOMONTH(TODAY(),0), A56&lt;=TODAY()), IF(SUMIFS(Inventory!G:G, Inventory!D:D, A56, Inventory!J:J, "closed")=0, "", SUMIFS(Inventory!G:G, Inventory!D:D, A56, Inventory!J:J, "closed")), "")</f>
        <v/>
      </c>
      <c r="C56" s="77" t="str">
        <f>IF(AND(A56&lt;=EOMONTH(TODAY(),0), A56&lt;=TODAY()), IF(SUMIFS(Inventory!F:F, Inventory!D:D, A56, Inventory!J:J, "closed")=0, "", SUMIFS(Inventory!F:F, Inventory!D:D, A56, Inventory!J:J, "closed")), "")</f>
        <v/>
      </c>
      <c r="O56" s="73"/>
      <c r="R56" s="58"/>
    </row>
    <row r="57">
      <c r="A57" s="76">
        <v>46210.0</v>
      </c>
      <c r="B57" s="77" t="str">
        <f>IF(AND(A57&lt;=EOMONTH(TODAY(),0), A57&lt;=TODAY()), IF(SUMIFS(Inventory!G:G, Inventory!D:D, A57, Inventory!J:J, "closed")=0, "", SUMIFS(Inventory!G:G, Inventory!D:D, A57, Inventory!J:J, "closed")), "")</f>
        <v/>
      </c>
      <c r="C57" s="77" t="str">
        <f>IF(AND(A57&lt;=EOMONTH(TODAY(),0), A57&lt;=TODAY()), IF(SUMIFS(Inventory!F:F, Inventory!D:D, A57, Inventory!J:J, "closed")=0, "", SUMIFS(Inventory!F:F, Inventory!D:D, A57, Inventory!J:J, "closed")), "")</f>
        <v/>
      </c>
      <c r="O57" s="73"/>
      <c r="R57" s="58"/>
    </row>
    <row r="58">
      <c r="A58" s="76">
        <v>46211.0</v>
      </c>
      <c r="B58" s="77" t="str">
        <f>IF(AND(A58&lt;=EOMONTH(TODAY(),0), A58&lt;=TODAY()), IF(SUMIFS(Inventory!G:G, Inventory!D:D, A58, Inventory!J:J, "closed")=0, "", SUMIFS(Inventory!G:G, Inventory!D:D, A58, Inventory!J:J, "closed")), "")</f>
        <v/>
      </c>
      <c r="C58" s="77" t="str">
        <f>IF(AND(A58&lt;=EOMONTH(TODAY(),0), A58&lt;=TODAY()), IF(SUMIFS(Inventory!F:F, Inventory!D:D, A58, Inventory!J:J, "closed")=0, "", SUMIFS(Inventory!F:F, Inventory!D:D, A58, Inventory!J:J, "closed")), "")</f>
        <v/>
      </c>
      <c r="O58" s="79"/>
      <c r="R58" s="58"/>
    </row>
    <row r="59">
      <c r="A59" s="76">
        <v>46212.0</v>
      </c>
      <c r="B59" s="77" t="str">
        <f>IF(AND(A59&lt;=EOMONTH(TODAY(),0), A59&lt;=TODAY()), IF(SUMIFS(Inventory!G:G, Inventory!D:D, A59, Inventory!J:J, "closed")=0, "", SUMIFS(Inventory!G:G, Inventory!D:D, A59, Inventory!J:J, "closed")), "")</f>
        <v/>
      </c>
      <c r="C59" s="77" t="str">
        <f>IF(AND(A59&lt;=EOMONTH(TODAY(),0), A59&lt;=TODAY()), IF(SUMIFS(Inventory!F:F, Inventory!D:D, A59, Inventory!J:J, "closed")=0, "", SUMIFS(Inventory!F:F, Inventory!D:D, A59, Inventory!J:J, "closed")), "")</f>
        <v/>
      </c>
      <c r="R59" s="58"/>
    </row>
    <row r="60">
      <c r="A60" s="76">
        <v>46213.0</v>
      </c>
      <c r="B60" s="77" t="str">
        <f>IF(AND(A60&lt;=EOMONTH(TODAY(),0), A60&lt;=TODAY()), IF(SUMIFS(Inventory!G:G, Inventory!D:D, A60, Inventory!J:J, "closed")=0, "", SUMIFS(Inventory!G:G, Inventory!D:D, A60, Inventory!J:J, "closed")), "")</f>
        <v/>
      </c>
      <c r="C60" s="77" t="str">
        <f>IF(AND(A60&lt;=EOMONTH(TODAY(),0), A60&lt;=TODAY()), IF(SUMIFS(Inventory!F:F, Inventory!D:D, A60, Inventory!J:J, "closed")=0, "", SUMIFS(Inventory!F:F, Inventory!D:D, A60, Inventory!J:J, "closed")), "")</f>
        <v/>
      </c>
      <c r="R60" s="58"/>
    </row>
    <row r="61">
      <c r="A61" s="76">
        <v>46214.0</v>
      </c>
      <c r="B61" s="77" t="str">
        <f>IF(AND(A61&lt;=EOMONTH(TODAY(),0), A61&lt;=TODAY()), IF(SUMIFS(Inventory!G:G, Inventory!D:D, A61, Inventory!J:J, "closed")=0, "", SUMIFS(Inventory!G:G, Inventory!D:D, A61, Inventory!J:J, "closed")), "")</f>
        <v/>
      </c>
      <c r="C61" s="77" t="str">
        <f>IF(AND(A61&lt;=EOMONTH(TODAY(),0), A61&lt;=TODAY()), IF(SUMIFS(Inventory!F:F, Inventory!D:D, A61, Inventory!J:J, "closed")=0, "", SUMIFS(Inventory!F:F, Inventory!D:D, A61, Inventory!J:J, "closed")), "")</f>
        <v/>
      </c>
      <c r="R61" s="58"/>
    </row>
    <row r="62">
      <c r="A62" s="76">
        <v>46215.0</v>
      </c>
      <c r="B62" s="77" t="str">
        <f>IF(AND(A62&lt;=EOMONTH(TODAY(),0), A62&lt;=TODAY()), IF(SUMIFS(Inventory!G:G, Inventory!D:D, A62, Inventory!J:J, "closed")=0, "", SUMIFS(Inventory!G:G, Inventory!D:D, A62, Inventory!J:J, "closed")), "")</f>
        <v/>
      </c>
      <c r="C62" s="77" t="str">
        <f>IF(AND(A62&lt;=EOMONTH(TODAY(),0), A62&lt;=TODAY()), IF(SUMIFS(Inventory!F:F, Inventory!D:D, A62, Inventory!J:J, "closed")=0, "", SUMIFS(Inventory!F:F, Inventory!D:D, A62, Inventory!J:J, "closed")), "")</f>
        <v/>
      </c>
      <c r="R62" s="58"/>
    </row>
    <row r="63">
      <c r="A63" s="76">
        <v>46216.0</v>
      </c>
      <c r="B63" s="77" t="str">
        <f>IF(AND(A63&lt;=EOMONTH(TODAY(),0), A63&lt;=TODAY()), IF(SUMIFS(Inventory!G:G, Inventory!D:D, A63, Inventory!J:J, "closed")=0, "", SUMIFS(Inventory!G:G, Inventory!D:D, A63, Inventory!J:J, "closed")), "")</f>
        <v/>
      </c>
      <c r="C63" s="77" t="str">
        <f>IF(AND(A63&lt;=EOMONTH(TODAY(),0), A63&lt;=TODAY()), IF(SUMIFS(Inventory!F:F, Inventory!D:D, A63, Inventory!J:J, "closed")=0, "", SUMIFS(Inventory!F:F, Inventory!D:D, A63, Inventory!J:J, "closed")), "")</f>
        <v/>
      </c>
      <c r="O63" s="80"/>
      <c r="R63" s="58"/>
    </row>
    <row r="64">
      <c r="A64" s="76">
        <v>46217.0</v>
      </c>
      <c r="B64" s="77" t="str">
        <f>IF(AND(A64&lt;=EOMONTH(TODAY(),0), A64&lt;=TODAY()), IF(SUMIFS(Inventory!G:G, Inventory!D:D, A64, Inventory!J:J, "closed")=0, "", SUMIFS(Inventory!G:G, Inventory!D:D, A64, Inventory!J:J, "closed")), "")</f>
        <v/>
      </c>
      <c r="C64" s="77" t="str">
        <f>IF(AND(A64&lt;=EOMONTH(TODAY(),0), A64&lt;=TODAY()), IF(SUMIFS(Inventory!F:F, Inventory!D:D, A64, Inventory!J:J, "closed")=0, "", SUMIFS(Inventory!F:F, Inventory!D:D, A64, Inventory!J:J, "closed")), "")</f>
        <v/>
      </c>
      <c r="R64" s="58"/>
    </row>
    <row r="65">
      <c r="A65" s="76">
        <v>46218.0</v>
      </c>
      <c r="B65" s="77" t="str">
        <f>IF(AND(A65&lt;=EOMONTH(TODAY(),0), A65&lt;=TODAY()), IF(SUMIFS(Inventory!G:G, Inventory!D:D, A65, Inventory!J:J, "closed")=0, "", SUMIFS(Inventory!G:G, Inventory!D:D, A65, Inventory!J:J, "closed")), "")</f>
        <v/>
      </c>
      <c r="C65" s="77" t="str">
        <f>IF(AND(A65&lt;=EOMONTH(TODAY(),0), A65&lt;=TODAY()), IF(SUMIFS(Inventory!F:F, Inventory!D:D, A65, Inventory!J:J, "closed")=0, "", SUMIFS(Inventory!F:F, Inventory!D:D, A65, Inventory!J:J, "closed")), "")</f>
        <v/>
      </c>
      <c r="R65" s="58"/>
    </row>
    <row r="66">
      <c r="A66" s="76">
        <v>46219.0</v>
      </c>
      <c r="B66" s="77" t="str">
        <f>IF(AND(A66&lt;=EOMONTH(TODAY(),0), A66&lt;=TODAY()), IF(SUMIFS(Inventory!G:G, Inventory!D:D, A66, Inventory!J:J, "closed")=0, "", SUMIFS(Inventory!G:G, Inventory!D:D, A66, Inventory!J:J, "closed")), "")</f>
        <v/>
      </c>
      <c r="C66" s="77" t="str">
        <f>IF(AND(A66&lt;=EOMONTH(TODAY(),0), A66&lt;=TODAY()), IF(SUMIFS(Inventory!F:F, Inventory!D:D, A66, Inventory!J:J, "closed")=0, "", SUMIFS(Inventory!F:F, Inventory!D:D, A66, Inventory!J:J, "closed")), "")</f>
        <v/>
      </c>
      <c r="R66" s="58"/>
    </row>
    <row r="67">
      <c r="A67" s="76">
        <v>46220.0</v>
      </c>
      <c r="B67" s="77" t="str">
        <f>IF(AND(A67&lt;=EOMONTH(TODAY(),0), A67&lt;=TODAY()), IF(SUMIFS(Inventory!G:G, Inventory!D:D, A67, Inventory!J:J, "closed")=0, "", SUMIFS(Inventory!G:G, Inventory!D:D, A67, Inventory!J:J, "closed")), "")</f>
        <v/>
      </c>
      <c r="C67" s="77" t="str">
        <f>IF(AND(A67&lt;=EOMONTH(TODAY(),0), A67&lt;=TODAY()), IF(SUMIFS(Inventory!F:F, Inventory!D:D, A67, Inventory!J:J, "closed")=0, "", SUMIFS(Inventory!F:F, Inventory!D:D, A67, Inventory!J:J, "closed")), "")</f>
        <v/>
      </c>
      <c r="R67" s="58"/>
    </row>
    <row r="68">
      <c r="A68" s="76">
        <v>46221.0</v>
      </c>
      <c r="B68" s="77" t="str">
        <f>IF(AND(A68&lt;=EOMONTH(TODAY(),0), A68&lt;=TODAY()), IF(SUMIFS(Inventory!G:G, Inventory!D:D, A68, Inventory!J:J, "closed")=0, "", SUMIFS(Inventory!G:G, Inventory!D:D, A68, Inventory!J:J, "closed")), "")</f>
        <v/>
      </c>
      <c r="C68" s="77" t="str">
        <f>IF(AND(A68&lt;=EOMONTH(TODAY(),0), A68&lt;=TODAY()), IF(SUMIFS(Inventory!F:F, Inventory!D:D, A68, Inventory!J:J, "closed")=0, "", SUMIFS(Inventory!F:F, Inventory!D:D, A68, Inventory!J:J, "closed")), "")</f>
        <v/>
      </c>
      <c r="R68" s="58"/>
    </row>
    <row r="69">
      <c r="A69" s="76">
        <v>46222.0</v>
      </c>
      <c r="B69" s="77" t="str">
        <f>IF(AND(A69&lt;=EOMONTH(TODAY(),0), A69&lt;=TODAY()), IF(SUMIFS(Inventory!G:G, Inventory!D:D, A69, Inventory!J:J, "closed")=0, "", SUMIFS(Inventory!G:G, Inventory!D:D, A69, Inventory!J:J, "closed")), "")</f>
        <v/>
      </c>
      <c r="C69" s="77" t="str">
        <f>IF(AND(A69&lt;=EOMONTH(TODAY(),0), A69&lt;=TODAY()), IF(SUMIFS(Inventory!F:F, Inventory!D:D, A69, Inventory!J:J, "closed")=0, "", SUMIFS(Inventory!F:F, Inventory!D:D, A69, Inventory!J:J, "closed")), "")</f>
        <v/>
      </c>
      <c r="R69" s="58"/>
    </row>
    <row r="70">
      <c r="A70" s="76">
        <v>46223.0</v>
      </c>
      <c r="B70" s="77" t="str">
        <f>IF(AND(A70&lt;=EOMONTH(TODAY(),0), A70&lt;=TODAY()), IF(SUMIFS(Inventory!G:G, Inventory!D:D, A70, Inventory!J:J, "closed")=0, "", SUMIFS(Inventory!G:G, Inventory!D:D, A70, Inventory!J:J, "closed")), "")</f>
        <v/>
      </c>
      <c r="C70" s="77" t="str">
        <f>IF(AND(A70&lt;=EOMONTH(TODAY(),0), A70&lt;=TODAY()), IF(SUMIFS(Inventory!F:F, Inventory!D:D, A70, Inventory!J:J, "closed")=0, "", SUMIFS(Inventory!F:F, Inventory!D:D, A70, Inventory!J:J, "closed")), "")</f>
        <v/>
      </c>
      <c r="R70" s="58"/>
    </row>
    <row r="71">
      <c r="A71" s="76">
        <v>46224.0</v>
      </c>
      <c r="B71" s="77" t="str">
        <f>IF(AND(A71&lt;=EOMONTH(TODAY(),0), A71&lt;=TODAY()), IF(SUMIFS(Inventory!G:G, Inventory!D:D, A71, Inventory!J:J, "closed")=0, "", SUMIFS(Inventory!G:G, Inventory!D:D, A71, Inventory!J:J, "closed")), "")</f>
        <v/>
      </c>
      <c r="C71" s="77" t="str">
        <f>IF(AND(A71&lt;=EOMONTH(TODAY(),0), A71&lt;=TODAY()), IF(SUMIFS(Inventory!F:F, Inventory!D:D, A71, Inventory!J:J, "closed")=0, "", SUMIFS(Inventory!F:F, Inventory!D:D, A71, Inventory!J:J, "closed")), "")</f>
        <v/>
      </c>
      <c r="R71" s="58"/>
    </row>
    <row r="72">
      <c r="A72" s="76">
        <v>46225.0</v>
      </c>
      <c r="B72" s="77" t="str">
        <f>IF(AND(A72&lt;=EOMONTH(TODAY(),0), A72&lt;=TODAY()), IF(SUMIFS(Inventory!G:G, Inventory!D:D, A72, Inventory!J:J, "closed")=0, "", SUMIFS(Inventory!G:G, Inventory!D:D, A72, Inventory!J:J, "closed")), "")</f>
        <v/>
      </c>
      <c r="C72" s="77" t="str">
        <f>IF(AND(A72&lt;=EOMONTH(TODAY(),0), A72&lt;=TODAY()), IF(SUMIFS(Inventory!F:F, Inventory!D:D, A72, Inventory!J:J, "closed")=0, "", SUMIFS(Inventory!F:F, Inventory!D:D, A72, Inventory!J:J, "closed")), "")</f>
        <v/>
      </c>
      <c r="R72" s="58"/>
    </row>
    <row r="73">
      <c r="A73" s="76">
        <v>46226.0</v>
      </c>
      <c r="B73" s="77" t="str">
        <f>IF(AND(A73&lt;=EOMONTH(TODAY(),0), A73&lt;=TODAY()), IF(SUMIFS(Inventory!G:G, Inventory!D:D, A73, Inventory!J:J, "closed")=0, "", SUMIFS(Inventory!G:G, Inventory!D:D, A73, Inventory!J:J, "closed")), "")</f>
        <v/>
      </c>
      <c r="C73" s="77" t="str">
        <f>IF(AND(A73&lt;=EOMONTH(TODAY(),0), A73&lt;=TODAY()), IF(SUMIFS(Inventory!F:F, Inventory!D:D, A73, Inventory!J:J, "closed")=0, "", SUMIFS(Inventory!F:F, Inventory!D:D, A73, Inventory!J:J, "closed")), "")</f>
        <v/>
      </c>
      <c r="R73" s="58"/>
    </row>
    <row r="74">
      <c r="A74" s="76">
        <v>46227.0</v>
      </c>
      <c r="B74" s="77" t="str">
        <f>IF(AND(A74&lt;=EOMONTH(TODAY(),0), A74&lt;=TODAY()), IF(SUMIFS(Inventory!G:G, Inventory!D:D, A74, Inventory!J:J, "closed")=0, "", SUMIFS(Inventory!G:G, Inventory!D:D, A74, Inventory!J:J, "closed")), "")</f>
        <v/>
      </c>
      <c r="C74" s="77" t="str">
        <f>IF(AND(A74&lt;=EOMONTH(TODAY(),0), A74&lt;=TODAY()), IF(SUMIFS(Inventory!F:F, Inventory!D:D, A74, Inventory!J:J, "closed")=0, "", SUMIFS(Inventory!F:F, Inventory!D:D, A74, Inventory!J:J, "closed")), "")</f>
        <v/>
      </c>
      <c r="R74" s="58"/>
    </row>
    <row r="75">
      <c r="A75" s="76">
        <v>46228.0</v>
      </c>
      <c r="B75" s="77" t="str">
        <f>IF(AND(A75&lt;=EOMONTH(TODAY(),0), A75&lt;=TODAY()), IF(SUMIFS(Inventory!G:G, Inventory!D:D, A75, Inventory!J:J, "closed")=0, "", SUMIFS(Inventory!G:G, Inventory!D:D, A75, Inventory!J:J, "closed")), "")</f>
        <v/>
      </c>
      <c r="C75" s="77" t="str">
        <f>IF(AND(A75&lt;=EOMONTH(TODAY(),0), A75&lt;=TODAY()), IF(SUMIFS(Inventory!F:F, Inventory!D:D, A75, Inventory!J:J, "closed")=0, "", SUMIFS(Inventory!F:F, Inventory!D:D, A75, Inventory!J:J, "closed")), "")</f>
        <v/>
      </c>
      <c r="R75" s="58"/>
    </row>
    <row r="76">
      <c r="A76" s="76">
        <v>46229.0</v>
      </c>
      <c r="B76" s="77" t="str">
        <f>IF(AND(A76&lt;=EOMONTH(TODAY(),0), A76&lt;=TODAY()), IF(SUMIFS(Inventory!G:G, Inventory!D:D, A76, Inventory!J:J, "closed")=0, "", SUMIFS(Inventory!G:G, Inventory!D:D, A76, Inventory!J:J, "closed")), "")</f>
        <v/>
      </c>
      <c r="C76" s="77" t="str">
        <f>IF(AND(A76&lt;=EOMONTH(TODAY(),0), A76&lt;=TODAY()), IF(SUMIFS(Inventory!F:F, Inventory!D:D, A76, Inventory!J:J, "closed")=0, "", SUMIFS(Inventory!F:F, Inventory!D:D, A76, Inventory!J:J, "closed")), "")</f>
        <v/>
      </c>
      <c r="R76" s="58"/>
    </row>
    <row r="77">
      <c r="A77" s="76">
        <v>46230.0</v>
      </c>
      <c r="B77" s="77" t="str">
        <f>IF(AND(A77&lt;=EOMONTH(TODAY(),0), A77&lt;=TODAY()), IF(SUMIFS(Inventory!G:G, Inventory!D:D, A77, Inventory!J:J, "closed")=0, "", SUMIFS(Inventory!G:G, Inventory!D:D, A77, Inventory!J:J, "closed")), "")</f>
        <v/>
      </c>
      <c r="C77" s="77" t="str">
        <f>IF(AND(A77&lt;=EOMONTH(TODAY(),0), A77&lt;=TODAY()), IF(SUMIFS(Inventory!F:F, Inventory!D:D, A77, Inventory!J:J, "closed")=0, "", SUMIFS(Inventory!F:F, Inventory!D:D, A77, Inventory!J:J, "closed")), "")</f>
        <v/>
      </c>
      <c r="R77" s="58"/>
    </row>
    <row r="78">
      <c r="A78" s="76">
        <v>46231.0</v>
      </c>
      <c r="B78" s="77" t="str">
        <f>IF(AND(A78&lt;=EOMONTH(TODAY(),0), A78&lt;=TODAY()), IF(SUMIFS(Inventory!G:G, Inventory!D:D, A78, Inventory!J:J, "closed")=0, "", SUMIFS(Inventory!G:G, Inventory!D:D, A78, Inventory!J:J, "closed")), "")</f>
        <v/>
      </c>
      <c r="C78" s="77" t="str">
        <f>IF(AND(A78&lt;=EOMONTH(TODAY(),0), A78&lt;=TODAY()), IF(SUMIFS(Inventory!F:F, Inventory!D:D, A78, Inventory!J:J, "closed")=0, "", SUMIFS(Inventory!F:F, Inventory!D:D, A78, Inventory!J:J, "closed")), "")</f>
        <v/>
      </c>
      <c r="R78" s="58"/>
    </row>
    <row r="79">
      <c r="A79" s="76">
        <v>46232.0</v>
      </c>
      <c r="B79" s="77" t="str">
        <f>IF(AND(A79&lt;=EOMONTH(TODAY(),0), A79&lt;=TODAY()), IF(SUMIFS(Inventory!G:G, Inventory!D:D, A79, Inventory!J:J, "closed")=0, "", SUMIFS(Inventory!G:G, Inventory!D:D, A79, Inventory!J:J, "closed")), "")</f>
        <v/>
      </c>
      <c r="C79" s="77" t="str">
        <f>IF(AND(A79&lt;=EOMONTH(TODAY(),0), A79&lt;=TODAY()), IF(SUMIFS(Inventory!F:F, Inventory!D:D, A79, Inventory!J:J, "closed")=0, "", SUMIFS(Inventory!F:F, Inventory!D:D, A79, Inventory!J:J, "closed")), "")</f>
        <v/>
      </c>
      <c r="R79" s="58"/>
    </row>
    <row r="80">
      <c r="A80" s="76">
        <v>46233.0</v>
      </c>
      <c r="B80" s="77" t="str">
        <f>IF(AND(A80&lt;=EOMONTH(TODAY(),0), A80&lt;=TODAY()), IF(SUMIFS(Inventory!G:G, Inventory!D:D, A80, Inventory!J:J, "closed")=0, "", SUMIFS(Inventory!G:G, Inventory!D:D, A80, Inventory!J:J, "closed")), "")</f>
        <v/>
      </c>
      <c r="C80" s="77" t="str">
        <f>IF(AND(A80&lt;=EOMONTH(TODAY(),0), A80&lt;=TODAY()), IF(SUMIFS(Inventory!F:F, Inventory!D:D, A80, Inventory!J:J, "closed")=0, "", SUMIFS(Inventory!F:F, Inventory!D:D, A80, Inventory!J:J, "closed")), "")</f>
        <v/>
      </c>
      <c r="R80" s="58"/>
    </row>
    <row r="81">
      <c r="A81" s="76">
        <v>46234.0</v>
      </c>
      <c r="B81" s="77" t="str">
        <f>IF(AND(A81&lt;=EOMONTH(TODAY(),0), A81&lt;=TODAY()), IF(SUMIFS(Inventory!G:G, Inventory!D:D, A81, Inventory!J:J, "closed")=0, "", SUMIFS(Inventory!G:G, Inventory!D:D, A81, Inventory!J:J, "closed")), "")</f>
        <v/>
      </c>
      <c r="C81" s="77" t="str">
        <f>IF(AND(A81&lt;=EOMONTH(TODAY(),0), A81&lt;=TODAY()), IF(SUMIFS(Inventory!F:F, Inventory!D:D, A81, Inventory!J:J, "closed")=0, "", SUMIFS(Inventory!F:F, Inventory!D:D, A81, Inventory!J:J, "closed")), "")</f>
        <v/>
      </c>
      <c r="R81" s="58"/>
    </row>
    <row r="82">
      <c r="R82" s="58"/>
    </row>
    <row r="83">
      <c r="R83" s="58"/>
    </row>
    <row r="84">
      <c r="R84" s="58"/>
    </row>
    <row r="85">
      <c r="R85" s="58"/>
    </row>
    <row r="86">
      <c r="R86" s="58"/>
    </row>
    <row r="87">
      <c r="R87" s="58"/>
    </row>
    <row r="88">
      <c r="R88" s="58"/>
    </row>
    <row r="89">
      <c r="A89" s="76"/>
      <c r="B89" s="77" t="str">
        <f>IF(AND(A89&lt;=EOMONTH(TODAY(),0), A89&lt;=TODAY()), IF(SUMIFS(Inventory!G:G, Inventory!D:D, A89, Inventory!J:J, "closed")=0, "", SUMIFS(Inventory!G:G, Inventory!D:D, A89, Inventory!J:J, "closed")), "")</f>
        <v/>
      </c>
      <c r="C89" s="77" t="str">
        <f>IF(AND(A89&lt;=EOMONTH(TODAY(),0), A89&lt;=TODAY()), IF(SUMIFS(Inventory!F:F, Inventory!D:D, A89, Inventory!J:J, "closed")=0, "", SUMIFS(Inventory!F:F, Inventory!D:D, A89, Inventory!J:J, "closed")), "")</f>
        <v/>
      </c>
      <c r="R89" s="58"/>
    </row>
    <row r="90">
      <c r="B90" s="76"/>
      <c r="C90" s="76"/>
      <c r="R90" s="58"/>
    </row>
    <row r="91">
      <c r="B91" s="76"/>
      <c r="C91" s="76"/>
      <c r="R91" s="58"/>
    </row>
    <row r="92">
      <c r="B92" s="76"/>
      <c r="C92" s="76"/>
      <c r="R92" s="58"/>
    </row>
    <row r="93">
      <c r="R93" s="58"/>
    </row>
    <row r="94">
      <c r="R94" s="58"/>
    </row>
    <row r="95">
      <c r="R95" s="58"/>
    </row>
    <row r="96">
      <c r="R96" s="58"/>
    </row>
    <row r="97">
      <c r="R97" s="58"/>
    </row>
    <row r="98">
      <c r="R98" s="58"/>
    </row>
    <row r="99">
      <c r="R99" s="58"/>
    </row>
    <row r="100">
      <c r="R100" s="58"/>
    </row>
    <row r="101">
      <c r="R101" s="58"/>
    </row>
    <row r="102">
      <c r="R102" s="58"/>
    </row>
    <row r="103">
      <c r="R103" s="58"/>
    </row>
    <row r="104">
      <c r="R104" s="58"/>
    </row>
    <row r="105">
      <c r="R105" s="58"/>
    </row>
    <row r="106">
      <c r="R106" s="58"/>
    </row>
    <row r="107">
      <c r="R107" s="58"/>
    </row>
    <row r="108">
      <c r="R108" s="58"/>
    </row>
    <row r="109">
      <c r="R109" s="58"/>
    </row>
    <row r="110">
      <c r="R110" s="58"/>
    </row>
    <row r="111">
      <c r="R111" s="58"/>
    </row>
    <row r="112">
      <c r="R112" s="58"/>
    </row>
    <row r="113">
      <c r="R113" s="58"/>
    </row>
    <row r="114">
      <c r="R114" s="58"/>
    </row>
    <row r="115">
      <c r="R115" s="58"/>
    </row>
    <row r="116">
      <c r="R116" s="58"/>
    </row>
    <row r="117">
      <c r="R117" s="58"/>
    </row>
    <row r="118">
      <c r="R118" s="58"/>
    </row>
    <row r="119">
      <c r="R119" s="58"/>
    </row>
    <row r="120">
      <c r="R120" s="58"/>
    </row>
    <row r="121">
      <c r="R121" s="58"/>
    </row>
    <row r="122">
      <c r="R122" s="58"/>
    </row>
    <row r="123">
      <c r="R123" s="58"/>
    </row>
    <row r="124">
      <c r="R124" s="58"/>
    </row>
    <row r="125">
      <c r="R125" s="58"/>
    </row>
    <row r="126">
      <c r="R126" s="58"/>
    </row>
    <row r="127">
      <c r="R127" s="58"/>
    </row>
    <row r="128">
      <c r="R128" s="58"/>
    </row>
    <row r="129">
      <c r="R129" s="58"/>
    </row>
    <row r="130">
      <c r="R130" s="58"/>
    </row>
    <row r="131">
      <c r="R131" s="58"/>
    </row>
    <row r="132">
      <c r="R132" s="58"/>
    </row>
    <row r="133">
      <c r="R133" s="58"/>
    </row>
    <row r="134">
      <c r="R134" s="58"/>
    </row>
    <row r="135">
      <c r="R135" s="58"/>
    </row>
    <row r="136">
      <c r="R136" s="58"/>
    </row>
    <row r="137">
      <c r="R137" s="58"/>
    </row>
    <row r="138">
      <c r="R138" s="58"/>
    </row>
    <row r="139">
      <c r="R139" s="58"/>
    </row>
    <row r="140">
      <c r="R140" s="58"/>
    </row>
    <row r="141">
      <c r="R141" s="58"/>
    </row>
    <row r="142">
      <c r="R142" s="58"/>
    </row>
    <row r="143">
      <c r="R143" s="58"/>
    </row>
    <row r="144">
      <c r="R144" s="58"/>
    </row>
    <row r="145">
      <c r="R145" s="58"/>
    </row>
    <row r="146">
      <c r="R146" s="58"/>
    </row>
    <row r="147">
      <c r="R147" s="58"/>
    </row>
    <row r="148">
      <c r="R148" s="58"/>
    </row>
    <row r="149">
      <c r="R149" s="58"/>
    </row>
    <row r="150">
      <c r="R150" s="58"/>
    </row>
    <row r="151">
      <c r="R151" s="58"/>
    </row>
    <row r="152">
      <c r="R152" s="58"/>
    </row>
    <row r="153">
      <c r="R153" s="58"/>
    </row>
    <row r="154">
      <c r="R154" s="58"/>
    </row>
    <row r="155">
      <c r="R155" s="58"/>
    </row>
    <row r="156">
      <c r="R156" s="58"/>
    </row>
    <row r="157">
      <c r="R157" s="58"/>
    </row>
    <row r="158">
      <c r="R158" s="58"/>
    </row>
    <row r="159">
      <c r="R159" s="58"/>
    </row>
    <row r="160">
      <c r="R160" s="58"/>
    </row>
    <row r="161">
      <c r="R161" s="58"/>
    </row>
    <row r="162">
      <c r="R162" s="58"/>
    </row>
    <row r="163">
      <c r="R163" s="58"/>
    </row>
    <row r="164">
      <c r="R164" s="58"/>
    </row>
    <row r="165">
      <c r="R165" s="58"/>
    </row>
    <row r="166">
      <c r="R166" s="58"/>
    </row>
    <row r="167">
      <c r="R167" s="58"/>
    </row>
    <row r="168">
      <c r="R168" s="58"/>
    </row>
    <row r="169">
      <c r="R169" s="58"/>
    </row>
    <row r="170">
      <c r="R170" s="58"/>
    </row>
    <row r="171">
      <c r="R171" s="58"/>
    </row>
    <row r="172">
      <c r="R172" s="58"/>
    </row>
    <row r="173">
      <c r="R173" s="58"/>
    </row>
    <row r="174">
      <c r="R174" s="58"/>
    </row>
    <row r="175">
      <c r="R175" s="58"/>
    </row>
    <row r="176">
      <c r="R176" s="58"/>
    </row>
    <row r="177">
      <c r="R177" s="58"/>
    </row>
    <row r="178">
      <c r="R178" s="58"/>
    </row>
    <row r="179">
      <c r="R179" s="58"/>
    </row>
    <row r="180">
      <c r="R180" s="58"/>
    </row>
    <row r="181">
      <c r="R181" s="58"/>
    </row>
    <row r="182">
      <c r="R182" s="58"/>
    </row>
    <row r="183">
      <c r="R183" s="58"/>
    </row>
    <row r="184">
      <c r="R184" s="58"/>
    </row>
    <row r="185">
      <c r="R185" s="58"/>
    </row>
    <row r="186">
      <c r="R186" s="58"/>
    </row>
    <row r="187">
      <c r="R187" s="58"/>
    </row>
    <row r="188">
      <c r="R188" s="58"/>
    </row>
    <row r="189">
      <c r="R189" s="58"/>
    </row>
    <row r="190">
      <c r="R190" s="58"/>
    </row>
    <row r="191">
      <c r="R191" s="58"/>
    </row>
    <row r="192">
      <c r="R192" s="58"/>
    </row>
    <row r="193">
      <c r="R193" s="58"/>
    </row>
    <row r="194">
      <c r="R194" s="58"/>
    </row>
    <row r="195">
      <c r="R195" s="58"/>
    </row>
    <row r="196">
      <c r="R196" s="58"/>
    </row>
    <row r="197">
      <c r="R197" s="58"/>
    </row>
    <row r="198">
      <c r="R198" s="58"/>
    </row>
    <row r="199">
      <c r="R199" s="58"/>
    </row>
    <row r="200">
      <c r="R200" s="58"/>
    </row>
    <row r="201">
      <c r="R201" s="58"/>
    </row>
    <row r="202">
      <c r="R202" s="58"/>
    </row>
    <row r="203">
      <c r="R203" s="58"/>
    </row>
    <row r="204">
      <c r="R204" s="58"/>
    </row>
    <row r="205">
      <c r="R205" s="58"/>
    </row>
    <row r="206">
      <c r="R206" s="58"/>
    </row>
    <row r="207">
      <c r="R207" s="58"/>
    </row>
    <row r="208">
      <c r="R208" s="58"/>
    </row>
    <row r="209">
      <c r="R209" s="58"/>
    </row>
    <row r="210">
      <c r="R210" s="58"/>
    </row>
    <row r="211">
      <c r="R211" s="58"/>
    </row>
    <row r="212">
      <c r="R212" s="58"/>
    </row>
    <row r="213">
      <c r="R213" s="58"/>
    </row>
    <row r="214">
      <c r="R214" s="58"/>
    </row>
    <row r="215">
      <c r="R215" s="58"/>
    </row>
    <row r="216">
      <c r="R216" s="58"/>
    </row>
    <row r="217">
      <c r="R217" s="58"/>
    </row>
    <row r="218">
      <c r="R218" s="58"/>
    </row>
    <row r="219">
      <c r="R219" s="58"/>
    </row>
    <row r="220">
      <c r="R220" s="58"/>
    </row>
    <row r="221">
      <c r="R221" s="58"/>
    </row>
    <row r="222">
      <c r="R222" s="58"/>
    </row>
    <row r="223">
      <c r="R223" s="58"/>
    </row>
    <row r="224">
      <c r="R224" s="58"/>
    </row>
    <row r="225">
      <c r="R225" s="58"/>
    </row>
    <row r="226">
      <c r="R226" s="58"/>
    </row>
    <row r="227">
      <c r="R227" s="58"/>
    </row>
    <row r="228">
      <c r="R228" s="58"/>
    </row>
    <row r="229">
      <c r="R229" s="58"/>
    </row>
    <row r="230">
      <c r="R230" s="58"/>
    </row>
    <row r="231">
      <c r="R231" s="58"/>
    </row>
    <row r="232">
      <c r="R232" s="58"/>
    </row>
    <row r="233">
      <c r="R233" s="58"/>
    </row>
    <row r="234">
      <c r="R234" s="58"/>
    </row>
    <row r="235">
      <c r="R235" s="58"/>
    </row>
    <row r="236">
      <c r="R236" s="58"/>
    </row>
    <row r="237">
      <c r="R237" s="58"/>
    </row>
    <row r="238">
      <c r="R238" s="58"/>
    </row>
    <row r="239">
      <c r="R239" s="58"/>
    </row>
    <row r="240">
      <c r="R240" s="58"/>
    </row>
    <row r="241">
      <c r="R241" s="58"/>
    </row>
    <row r="242">
      <c r="R242" s="58"/>
    </row>
    <row r="243">
      <c r="R243" s="58"/>
    </row>
    <row r="244">
      <c r="R244" s="58"/>
    </row>
    <row r="245">
      <c r="R245" s="58"/>
    </row>
    <row r="246">
      <c r="R246" s="58"/>
    </row>
    <row r="247">
      <c r="R247" s="58"/>
    </row>
    <row r="248">
      <c r="R248" s="58"/>
    </row>
    <row r="249">
      <c r="R249" s="58"/>
    </row>
    <row r="250">
      <c r="R250" s="58"/>
    </row>
    <row r="251">
      <c r="R251" s="58"/>
    </row>
    <row r="252">
      <c r="R252" s="58"/>
    </row>
    <row r="253">
      <c r="R253" s="58"/>
    </row>
    <row r="254">
      <c r="R254" s="58"/>
    </row>
    <row r="255">
      <c r="R255" s="58"/>
    </row>
    <row r="256">
      <c r="R256" s="58"/>
    </row>
    <row r="257">
      <c r="R257" s="58"/>
    </row>
    <row r="258">
      <c r="R258" s="58"/>
    </row>
    <row r="259">
      <c r="R259" s="58"/>
    </row>
    <row r="260">
      <c r="R260" s="58"/>
    </row>
    <row r="261">
      <c r="R261" s="58"/>
    </row>
    <row r="262">
      <c r="R262" s="58"/>
    </row>
    <row r="263">
      <c r="R263" s="58"/>
    </row>
    <row r="264">
      <c r="R264" s="58"/>
    </row>
    <row r="265">
      <c r="R265" s="58"/>
    </row>
    <row r="266">
      <c r="R266" s="58"/>
    </row>
    <row r="267">
      <c r="R267" s="58"/>
    </row>
    <row r="268">
      <c r="R268" s="58"/>
    </row>
    <row r="269">
      <c r="R269" s="58"/>
    </row>
    <row r="270">
      <c r="R270" s="58"/>
    </row>
    <row r="271">
      <c r="R271" s="58"/>
    </row>
    <row r="272">
      <c r="R272" s="58"/>
    </row>
    <row r="273">
      <c r="R273" s="58"/>
    </row>
    <row r="274">
      <c r="R274" s="58"/>
    </row>
    <row r="275">
      <c r="R275" s="58"/>
    </row>
    <row r="276">
      <c r="R276" s="58"/>
    </row>
    <row r="277">
      <c r="R277" s="58"/>
    </row>
    <row r="278">
      <c r="R278" s="58"/>
    </row>
    <row r="279">
      <c r="R279" s="58"/>
    </row>
    <row r="280">
      <c r="R280" s="58"/>
    </row>
    <row r="281">
      <c r="R281" s="58"/>
    </row>
    <row r="282">
      <c r="R282" s="58"/>
    </row>
    <row r="283">
      <c r="R283" s="58"/>
    </row>
    <row r="284">
      <c r="R284" s="58"/>
    </row>
    <row r="285">
      <c r="R285" s="58"/>
    </row>
    <row r="286">
      <c r="R286" s="58"/>
    </row>
    <row r="287">
      <c r="R287" s="58"/>
    </row>
    <row r="288">
      <c r="R288" s="58"/>
    </row>
    <row r="289">
      <c r="R289" s="58"/>
    </row>
    <row r="290">
      <c r="R290" s="58"/>
    </row>
    <row r="291">
      <c r="R291" s="58"/>
    </row>
    <row r="292">
      <c r="R292" s="58"/>
    </row>
    <row r="293">
      <c r="R293" s="58"/>
    </row>
    <row r="294">
      <c r="R294" s="58"/>
    </row>
    <row r="295">
      <c r="R295" s="58"/>
    </row>
    <row r="296">
      <c r="R296" s="58"/>
    </row>
    <row r="297">
      <c r="R297" s="58"/>
    </row>
    <row r="298">
      <c r="R298" s="58"/>
    </row>
    <row r="299">
      <c r="R299" s="58"/>
    </row>
    <row r="300">
      <c r="R300" s="58"/>
    </row>
    <row r="301">
      <c r="R301" s="58"/>
    </row>
    <row r="302">
      <c r="R302" s="58"/>
    </row>
    <row r="303">
      <c r="R303" s="58"/>
    </row>
    <row r="304">
      <c r="R304" s="58"/>
    </row>
    <row r="305">
      <c r="R305" s="58"/>
    </row>
    <row r="306">
      <c r="R306" s="58"/>
    </row>
    <row r="307">
      <c r="R307" s="58"/>
    </row>
    <row r="308">
      <c r="R308" s="58"/>
    </row>
    <row r="309">
      <c r="R309" s="58"/>
    </row>
    <row r="310">
      <c r="R310" s="58"/>
    </row>
    <row r="311">
      <c r="R311" s="58"/>
    </row>
    <row r="312">
      <c r="R312" s="58"/>
    </row>
    <row r="313">
      <c r="R313" s="58"/>
    </row>
    <row r="314">
      <c r="R314" s="58"/>
    </row>
    <row r="315">
      <c r="R315" s="58"/>
    </row>
    <row r="316">
      <c r="R316" s="58"/>
    </row>
    <row r="317">
      <c r="R317" s="58"/>
    </row>
    <row r="318">
      <c r="R318" s="58"/>
    </row>
    <row r="319">
      <c r="R319" s="58"/>
    </row>
    <row r="320">
      <c r="R320" s="58"/>
    </row>
    <row r="321">
      <c r="R321" s="58"/>
    </row>
    <row r="322">
      <c r="R322" s="58"/>
    </row>
    <row r="323">
      <c r="R323" s="58"/>
    </row>
    <row r="324">
      <c r="R324" s="58"/>
    </row>
    <row r="325">
      <c r="R325" s="58"/>
    </row>
    <row r="326">
      <c r="R326" s="58"/>
    </row>
    <row r="327">
      <c r="R327" s="58"/>
    </row>
    <row r="328">
      <c r="R328" s="58"/>
    </row>
    <row r="329">
      <c r="R329" s="58"/>
    </row>
    <row r="330">
      <c r="R330" s="58"/>
    </row>
    <row r="331">
      <c r="R331" s="58"/>
    </row>
    <row r="332">
      <c r="R332" s="58"/>
    </row>
    <row r="333">
      <c r="R333" s="58"/>
    </row>
    <row r="334">
      <c r="R334" s="58"/>
    </row>
    <row r="335">
      <c r="R335" s="58"/>
    </row>
    <row r="336">
      <c r="R336" s="58"/>
    </row>
    <row r="337">
      <c r="R337" s="58"/>
    </row>
    <row r="338">
      <c r="R338" s="58"/>
    </row>
    <row r="339">
      <c r="R339" s="58"/>
    </row>
    <row r="340">
      <c r="R340" s="58"/>
    </row>
    <row r="341">
      <c r="R341" s="58"/>
    </row>
    <row r="342">
      <c r="R342" s="58"/>
    </row>
    <row r="343">
      <c r="R343" s="58"/>
    </row>
    <row r="344">
      <c r="R344" s="58"/>
    </row>
    <row r="345">
      <c r="R345" s="58"/>
    </row>
    <row r="346">
      <c r="R346" s="58"/>
    </row>
    <row r="347">
      <c r="R347" s="58"/>
    </row>
    <row r="348">
      <c r="R348" s="58"/>
    </row>
    <row r="349">
      <c r="R349" s="58"/>
    </row>
    <row r="350">
      <c r="R350" s="58"/>
    </row>
    <row r="351">
      <c r="R351" s="58"/>
    </row>
    <row r="352">
      <c r="R352" s="58"/>
    </row>
    <row r="353">
      <c r="R353" s="58"/>
    </row>
    <row r="354">
      <c r="R354" s="58"/>
    </row>
    <row r="355">
      <c r="R355" s="58"/>
    </row>
    <row r="356">
      <c r="R356" s="58"/>
    </row>
    <row r="357">
      <c r="R357" s="58"/>
    </row>
    <row r="358">
      <c r="R358" s="58"/>
    </row>
    <row r="359">
      <c r="R359" s="58"/>
    </row>
    <row r="360">
      <c r="R360" s="58"/>
    </row>
    <row r="361">
      <c r="R361" s="58"/>
    </row>
    <row r="362">
      <c r="R362" s="58"/>
    </row>
    <row r="363">
      <c r="R363" s="58"/>
    </row>
    <row r="364">
      <c r="R364" s="58"/>
    </row>
    <row r="365">
      <c r="R365" s="58"/>
    </row>
    <row r="366">
      <c r="R366" s="58"/>
    </row>
    <row r="367">
      <c r="R367" s="58"/>
    </row>
    <row r="368">
      <c r="R368" s="58"/>
    </row>
    <row r="369">
      <c r="R369" s="58"/>
    </row>
    <row r="370">
      <c r="R370" s="58"/>
    </row>
    <row r="371">
      <c r="R371" s="58"/>
    </row>
    <row r="372">
      <c r="R372" s="58"/>
    </row>
    <row r="373">
      <c r="R373" s="58"/>
    </row>
    <row r="374">
      <c r="R374" s="58"/>
    </row>
    <row r="375">
      <c r="R375" s="58"/>
    </row>
    <row r="376">
      <c r="R376" s="58"/>
    </row>
    <row r="377">
      <c r="R377" s="58"/>
    </row>
    <row r="378">
      <c r="R378" s="58"/>
    </row>
    <row r="379">
      <c r="R379" s="58"/>
    </row>
    <row r="380">
      <c r="R380" s="58"/>
    </row>
    <row r="381">
      <c r="R381" s="58"/>
    </row>
    <row r="382">
      <c r="R382" s="58"/>
    </row>
    <row r="383">
      <c r="R383" s="58"/>
    </row>
    <row r="384">
      <c r="R384" s="58"/>
    </row>
    <row r="385">
      <c r="R385" s="58"/>
    </row>
    <row r="386">
      <c r="R386" s="58"/>
    </row>
    <row r="387">
      <c r="R387" s="58"/>
    </row>
    <row r="388">
      <c r="R388" s="58"/>
    </row>
    <row r="389">
      <c r="R389" s="58"/>
    </row>
    <row r="390">
      <c r="R390" s="58"/>
    </row>
    <row r="391">
      <c r="R391" s="58"/>
    </row>
    <row r="392">
      <c r="R392" s="58"/>
    </row>
    <row r="393">
      <c r="R393" s="58"/>
    </row>
    <row r="394">
      <c r="R394" s="58"/>
    </row>
    <row r="395">
      <c r="R395" s="58"/>
    </row>
    <row r="396">
      <c r="R396" s="58"/>
    </row>
    <row r="397">
      <c r="R397" s="58"/>
    </row>
    <row r="398">
      <c r="R398" s="58"/>
    </row>
    <row r="399">
      <c r="R399" s="58"/>
    </row>
    <row r="400">
      <c r="R400" s="58"/>
    </row>
    <row r="401">
      <c r="R401" s="58"/>
    </row>
    <row r="402">
      <c r="R402" s="58"/>
    </row>
    <row r="403">
      <c r="R403" s="58"/>
    </row>
    <row r="404">
      <c r="R404" s="58"/>
    </row>
    <row r="405">
      <c r="R405" s="58"/>
    </row>
    <row r="406">
      <c r="R406" s="58"/>
    </row>
    <row r="407">
      <c r="R407" s="58"/>
    </row>
    <row r="408">
      <c r="R408" s="58"/>
    </row>
    <row r="409">
      <c r="R409" s="58"/>
    </row>
    <row r="410">
      <c r="R410" s="58"/>
    </row>
    <row r="411">
      <c r="R411" s="58"/>
    </row>
    <row r="412">
      <c r="R412" s="58"/>
    </row>
    <row r="413">
      <c r="R413" s="58"/>
    </row>
    <row r="414">
      <c r="R414" s="58"/>
    </row>
    <row r="415">
      <c r="R415" s="58"/>
    </row>
    <row r="416">
      <c r="R416" s="58"/>
    </row>
    <row r="417">
      <c r="R417" s="58"/>
    </row>
    <row r="418">
      <c r="R418" s="58"/>
    </row>
    <row r="419">
      <c r="R419" s="58"/>
    </row>
    <row r="420">
      <c r="R420" s="58"/>
    </row>
    <row r="421">
      <c r="R421" s="58"/>
    </row>
    <row r="422">
      <c r="R422" s="58"/>
    </row>
    <row r="423">
      <c r="R423" s="58"/>
    </row>
    <row r="424">
      <c r="R424" s="58"/>
    </row>
    <row r="425">
      <c r="R425" s="58"/>
    </row>
    <row r="426">
      <c r="R426" s="58"/>
    </row>
    <row r="427">
      <c r="R427" s="58"/>
    </row>
    <row r="428">
      <c r="R428" s="58"/>
    </row>
    <row r="429">
      <c r="R429" s="58"/>
    </row>
    <row r="430">
      <c r="R430" s="58"/>
    </row>
    <row r="431">
      <c r="R431" s="58"/>
    </row>
    <row r="432">
      <c r="R432" s="58"/>
    </row>
    <row r="433">
      <c r="R433" s="58"/>
    </row>
    <row r="434">
      <c r="R434" s="58"/>
    </row>
    <row r="435">
      <c r="R435" s="58"/>
    </row>
    <row r="436">
      <c r="R436" s="58"/>
    </row>
    <row r="437">
      <c r="R437" s="58"/>
    </row>
    <row r="438">
      <c r="R438" s="58"/>
    </row>
    <row r="439">
      <c r="R439" s="58"/>
    </row>
    <row r="440">
      <c r="R440" s="58"/>
    </row>
    <row r="441">
      <c r="R441" s="58"/>
    </row>
    <row r="442">
      <c r="R442" s="58"/>
    </row>
    <row r="443">
      <c r="R443" s="58"/>
    </row>
    <row r="444">
      <c r="R444" s="58"/>
    </row>
    <row r="445">
      <c r="R445" s="58"/>
    </row>
    <row r="446">
      <c r="R446" s="58"/>
    </row>
    <row r="447">
      <c r="R447" s="58"/>
    </row>
    <row r="448">
      <c r="R448" s="58"/>
    </row>
    <row r="449">
      <c r="R449" s="58"/>
    </row>
    <row r="450">
      <c r="R450" s="58"/>
    </row>
    <row r="451">
      <c r="R451" s="58"/>
    </row>
    <row r="452">
      <c r="R452" s="58"/>
    </row>
    <row r="453">
      <c r="R453" s="58"/>
    </row>
    <row r="454">
      <c r="R454" s="58"/>
    </row>
    <row r="455">
      <c r="R455" s="58"/>
    </row>
    <row r="456">
      <c r="R456" s="58"/>
    </row>
    <row r="457">
      <c r="R457" s="58"/>
    </row>
    <row r="458">
      <c r="R458" s="58"/>
    </row>
    <row r="459">
      <c r="R459" s="58"/>
    </row>
    <row r="460">
      <c r="R460" s="58"/>
    </row>
    <row r="461">
      <c r="R461" s="58"/>
    </row>
    <row r="462">
      <c r="R462" s="58"/>
    </row>
    <row r="463">
      <c r="R463" s="58"/>
    </row>
    <row r="464">
      <c r="R464" s="58"/>
    </row>
    <row r="465">
      <c r="R465" s="58"/>
    </row>
    <row r="466">
      <c r="R466" s="58"/>
    </row>
    <row r="467">
      <c r="R467" s="58"/>
    </row>
    <row r="468">
      <c r="R468" s="58"/>
    </row>
    <row r="469">
      <c r="R469" s="58"/>
    </row>
    <row r="470">
      <c r="R470" s="58"/>
    </row>
    <row r="471">
      <c r="R471" s="58"/>
    </row>
    <row r="472">
      <c r="R472" s="58"/>
    </row>
    <row r="473">
      <c r="R473" s="58"/>
    </row>
    <row r="474">
      <c r="R474" s="58"/>
    </row>
    <row r="475">
      <c r="R475" s="58"/>
    </row>
    <row r="476">
      <c r="R476" s="58"/>
    </row>
    <row r="477">
      <c r="R477" s="58"/>
    </row>
    <row r="478">
      <c r="R478" s="58"/>
    </row>
    <row r="479">
      <c r="R479" s="58"/>
    </row>
    <row r="480">
      <c r="R480" s="58"/>
    </row>
    <row r="481">
      <c r="R481" s="58"/>
    </row>
    <row r="482">
      <c r="R482" s="58"/>
    </row>
    <row r="483">
      <c r="R483" s="58"/>
    </row>
    <row r="484">
      <c r="R484" s="58"/>
    </row>
    <row r="485">
      <c r="R485" s="58"/>
    </row>
    <row r="486">
      <c r="R486" s="58"/>
    </row>
    <row r="487">
      <c r="R487" s="58"/>
    </row>
    <row r="488">
      <c r="R488" s="58"/>
    </row>
    <row r="489">
      <c r="R489" s="58"/>
    </row>
    <row r="490">
      <c r="R490" s="58"/>
    </row>
    <row r="491">
      <c r="R491" s="58"/>
    </row>
    <row r="492">
      <c r="R492" s="58"/>
    </row>
    <row r="493">
      <c r="R493" s="58"/>
    </row>
    <row r="494">
      <c r="R494" s="58"/>
    </row>
    <row r="495">
      <c r="R495" s="58"/>
    </row>
    <row r="496">
      <c r="R496" s="58"/>
    </row>
    <row r="497">
      <c r="R497" s="58"/>
    </row>
    <row r="498">
      <c r="R498" s="58"/>
    </row>
    <row r="499">
      <c r="R499" s="58"/>
    </row>
    <row r="500">
      <c r="R500" s="58"/>
    </row>
    <row r="501">
      <c r="R501" s="58"/>
    </row>
    <row r="502">
      <c r="R502" s="58"/>
    </row>
    <row r="503">
      <c r="R503" s="58"/>
    </row>
    <row r="504">
      <c r="R504" s="58"/>
    </row>
    <row r="505">
      <c r="R505" s="58"/>
    </row>
    <row r="506">
      <c r="R506" s="58"/>
    </row>
    <row r="507">
      <c r="R507" s="58"/>
    </row>
    <row r="508">
      <c r="R508" s="58"/>
    </row>
    <row r="509">
      <c r="R509" s="58"/>
    </row>
    <row r="510">
      <c r="R510" s="58"/>
    </row>
    <row r="511">
      <c r="R511" s="58"/>
    </row>
    <row r="512">
      <c r="R512" s="58"/>
    </row>
    <row r="513">
      <c r="R513" s="58"/>
    </row>
    <row r="514">
      <c r="R514" s="58"/>
    </row>
    <row r="515">
      <c r="R515" s="58"/>
    </row>
    <row r="516">
      <c r="R516" s="58"/>
    </row>
    <row r="517">
      <c r="R517" s="58"/>
    </row>
    <row r="518">
      <c r="R518" s="58"/>
    </row>
    <row r="519">
      <c r="R519" s="58"/>
    </row>
    <row r="520">
      <c r="R520" s="58"/>
    </row>
    <row r="521">
      <c r="R521" s="58"/>
    </row>
    <row r="522">
      <c r="R522" s="58"/>
    </row>
    <row r="523">
      <c r="R523" s="58"/>
    </row>
    <row r="524">
      <c r="R524" s="58"/>
    </row>
    <row r="525">
      <c r="R525" s="58"/>
    </row>
    <row r="526">
      <c r="R526" s="58"/>
    </row>
    <row r="527">
      <c r="R527" s="58"/>
    </row>
    <row r="528">
      <c r="R528" s="58"/>
    </row>
    <row r="529">
      <c r="R529" s="58"/>
    </row>
    <row r="530">
      <c r="R530" s="58"/>
    </row>
    <row r="531">
      <c r="R531" s="58"/>
    </row>
    <row r="532">
      <c r="R532" s="58"/>
    </row>
    <row r="533">
      <c r="R533" s="58"/>
    </row>
    <row r="534">
      <c r="R534" s="58"/>
    </row>
    <row r="535">
      <c r="R535" s="58"/>
    </row>
    <row r="536">
      <c r="R536" s="58"/>
    </row>
    <row r="537">
      <c r="R537" s="58"/>
    </row>
    <row r="538">
      <c r="R538" s="58"/>
    </row>
    <row r="539">
      <c r="R539" s="58"/>
    </row>
    <row r="540">
      <c r="R540" s="58"/>
    </row>
    <row r="541">
      <c r="R541" s="58"/>
    </row>
    <row r="542">
      <c r="R542" s="58"/>
    </row>
    <row r="543">
      <c r="R543" s="58"/>
    </row>
    <row r="544">
      <c r="R544" s="58"/>
    </row>
    <row r="545">
      <c r="R545" s="58"/>
    </row>
    <row r="546">
      <c r="R546" s="58"/>
    </row>
    <row r="547">
      <c r="R547" s="58"/>
    </row>
    <row r="548">
      <c r="R548" s="58"/>
    </row>
    <row r="549">
      <c r="R549" s="58"/>
    </row>
    <row r="550">
      <c r="R550" s="58"/>
    </row>
    <row r="551">
      <c r="R551" s="58"/>
    </row>
    <row r="552">
      <c r="R552" s="58"/>
    </row>
    <row r="553">
      <c r="R553" s="58"/>
    </row>
    <row r="554">
      <c r="R554" s="58"/>
    </row>
    <row r="555">
      <c r="R555" s="58"/>
    </row>
    <row r="556">
      <c r="R556" s="58"/>
    </row>
    <row r="557">
      <c r="R557" s="58"/>
    </row>
    <row r="558">
      <c r="R558" s="58"/>
    </row>
    <row r="559">
      <c r="R559" s="58"/>
    </row>
    <row r="560">
      <c r="R560" s="58"/>
    </row>
    <row r="561">
      <c r="R561" s="58"/>
    </row>
    <row r="562">
      <c r="R562" s="58"/>
    </row>
    <row r="563">
      <c r="R563" s="58"/>
    </row>
    <row r="564">
      <c r="R564" s="58"/>
    </row>
    <row r="565">
      <c r="R565" s="58"/>
    </row>
    <row r="566">
      <c r="R566" s="58"/>
    </row>
    <row r="567">
      <c r="R567" s="58"/>
    </row>
    <row r="568">
      <c r="R568" s="58"/>
    </row>
    <row r="569">
      <c r="R569" s="58"/>
    </row>
    <row r="570">
      <c r="R570" s="58"/>
    </row>
    <row r="571">
      <c r="R571" s="58"/>
    </row>
    <row r="572">
      <c r="R572" s="58"/>
    </row>
    <row r="573">
      <c r="R573" s="58"/>
    </row>
    <row r="574">
      <c r="R574" s="58"/>
    </row>
    <row r="575">
      <c r="R575" s="58"/>
    </row>
    <row r="576">
      <c r="R576" s="58"/>
    </row>
    <row r="577">
      <c r="R577" s="58"/>
    </row>
    <row r="578">
      <c r="R578" s="58"/>
    </row>
    <row r="579">
      <c r="R579" s="58"/>
    </row>
    <row r="580">
      <c r="R580" s="58"/>
    </row>
    <row r="581">
      <c r="R581" s="58"/>
    </row>
    <row r="582">
      <c r="R582" s="58"/>
    </row>
    <row r="583">
      <c r="R583" s="58"/>
    </row>
    <row r="584">
      <c r="R584" s="58"/>
    </row>
    <row r="585">
      <c r="R585" s="58"/>
    </row>
    <row r="586">
      <c r="R586" s="58"/>
    </row>
    <row r="587">
      <c r="R587" s="58"/>
    </row>
    <row r="588">
      <c r="R588" s="58"/>
    </row>
    <row r="589">
      <c r="R589" s="58"/>
    </row>
    <row r="590">
      <c r="R590" s="58"/>
    </row>
    <row r="591">
      <c r="R591" s="58"/>
    </row>
    <row r="592">
      <c r="R592" s="58"/>
    </row>
    <row r="593">
      <c r="R593" s="58"/>
    </row>
    <row r="594">
      <c r="R594" s="58"/>
    </row>
    <row r="595">
      <c r="R595" s="58"/>
    </row>
    <row r="596">
      <c r="R596" s="58"/>
    </row>
    <row r="597">
      <c r="R597" s="58"/>
    </row>
    <row r="598">
      <c r="R598" s="58"/>
    </row>
    <row r="599">
      <c r="R599" s="58"/>
    </row>
    <row r="600">
      <c r="R600" s="58"/>
    </row>
    <row r="601">
      <c r="R601" s="58"/>
    </row>
    <row r="602">
      <c r="R602" s="58"/>
    </row>
    <row r="603">
      <c r="R603" s="58"/>
    </row>
    <row r="604">
      <c r="R604" s="58"/>
    </row>
    <row r="605">
      <c r="R605" s="58"/>
    </row>
    <row r="606">
      <c r="R606" s="58"/>
    </row>
    <row r="607">
      <c r="R607" s="58"/>
    </row>
    <row r="608">
      <c r="R608" s="58"/>
    </row>
    <row r="609">
      <c r="R609" s="58"/>
    </row>
    <row r="610">
      <c r="R610" s="58"/>
    </row>
    <row r="611">
      <c r="R611" s="58"/>
    </row>
    <row r="612">
      <c r="R612" s="58"/>
    </row>
    <row r="613">
      <c r="R613" s="58"/>
    </row>
    <row r="614">
      <c r="R614" s="58"/>
    </row>
    <row r="615">
      <c r="R615" s="58"/>
    </row>
    <row r="616">
      <c r="R616" s="58"/>
    </row>
    <row r="617">
      <c r="R617" s="58"/>
    </row>
    <row r="618">
      <c r="R618" s="58"/>
    </row>
    <row r="619">
      <c r="R619" s="58"/>
    </row>
    <row r="620">
      <c r="R620" s="58"/>
    </row>
    <row r="621">
      <c r="R621" s="58"/>
    </row>
    <row r="622">
      <c r="R622" s="58"/>
    </row>
    <row r="623">
      <c r="R623" s="58"/>
    </row>
    <row r="624">
      <c r="R624" s="58"/>
    </row>
    <row r="625">
      <c r="R625" s="58"/>
    </row>
    <row r="626">
      <c r="R626" s="58"/>
    </row>
    <row r="627">
      <c r="R627" s="58"/>
    </row>
    <row r="628">
      <c r="R628" s="58"/>
    </row>
    <row r="629">
      <c r="R629" s="58"/>
    </row>
    <row r="630">
      <c r="R630" s="58"/>
    </row>
    <row r="631">
      <c r="R631" s="58"/>
    </row>
    <row r="632">
      <c r="R632" s="58"/>
    </row>
    <row r="633">
      <c r="R633" s="58"/>
    </row>
    <row r="634">
      <c r="R634" s="58"/>
    </row>
    <row r="635">
      <c r="R635" s="58"/>
    </row>
    <row r="636">
      <c r="R636" s="58"/>
    </row>
    <row r="637">
      <c r="R637" s="58"/>
    </row>
    <row r="638">
      <c r="R638" s="58"/>
    </row>
    <row r="639">
      <c r="R639" s="58"/>
    </row>
    <row r="640">
      <c r="R640" s="58"/>
    </row>
    <row r="641">
      <c r="R641" s="58"/>
    </row>
    <row r="642">
      <c r="R642" s="58"/>
    </row>
    <row r="643">
      <c r="R643" s="58"/>
    </row>
    <row r="644">
      <c r="R644" s="58"/>
    </row>
    <row r="645">
      <c r="R645" s="58"/>
    </row>
    <row r="646">
      <c r="R646" s="58"/>
    </row>
    <row r="647">
      <c r="R647" s="58"/>
    </row>
    <row r="648">
      <c r="R648" s="58"/>
    </row>
    <row r="649">
      <c r="R649" s="58"/>
    </row>
    <row r="650">
      <c r="R650" s="58"/>
    </row>
    <row r="651">
      <c r="R651" s="58"/>
    </row>
    <row r="652">
      <c r="R652" s="58"/>
    </row>
    <row r="653">
      <c r="R653" s="58"/>
    </row>
    <row r="654">
      <c r="R654" s="58"/>
    </row>
    <row r="655">
      <c r="R655" s="58"/>
    </row>
    <row r="656">
      <c r="R656" s="58"/>
    </row>
    <row r="657">
      <c r="R657" s="58"/>
    </row>
    <row r="658">
      <c r="R658" s="58"/>
    </row>
    <row r="659">
      <c r="R659" s="58"/>
    </row>
    <row r="660">
      <c r="R660" s="58"/>
    </row>
    <row r="661">
      <c r="R661" s="58"/>
    </row>
    <row r="662">
      <c r="R662" s="58"/>
    </row>
    <row r="663">
      <c r="R663" s="58"/>
    </row>
    <row r="664">
      <c r="R664" s="58"/>
    </row>
    <row r="665">
      <c r="R665" s="58"/>
    </row>
    <row r="666">
      <c r="R666" s="58"/>
    </row>
    <row r="667">
      <c r="R667" s="58"/>
    </row>
    <row r="668">
      <c r="R668" s="58"/>
    </row>
    <row r="669">
      <c r="R669" s="58"/>
    </row>
    <row r="670">
      <c r="R670" s="58"/>
    </row>
    <row r="671">
      <c r="R671" s="58"/>
    </row>
    <row r="672">
      <c r="R672" s="58"/>
    </row>
    <row r="673">
      <c r="R673" s="58"/>
    </row>
    <row r="674">
      <c r="R674" s="58"/>
    </row>
    <row r="675">
      <c r="R675" s="58"/>
    </row>
    <row r="676">
      <c r="R676" s="58"/>
    </row>
    <row r="677">
      <c r="R677" s="58"/>
    </row>
    <row r="678">
      <c r="R678" s="58"/>
    </row>
    <row r="679">
      <c r="R679" s="58"/>
    </row>
    <row r="680">
      <c r="R680" s="58"/>
    </row>
    <row r="681">
      <c r="R681" s="58"/>
    </row>
    <row r="682">
      <c r="R682" s="58"/>
    </row>
    <row r="683">
      <c r="R683" s="58"/>
    </row>
    <row r="684">
      <c r="R684" s="58"/>
    </row>
    <row r="685">
      <c r="R685" s="58"/>
    </row>
    <row r="686">
      <c r="R686" s="58"/>
    </row>
    <row r="687">
      <c r="R687" s="58"/>
    </row>
    <row r="688">
      <c r="R688" s="58"/>
    </row>
    <row r="689">
      <c r="R689" s="58"/>
    </row>
    <row r="690">
      <c r="R690" s="58"/>
    </row>
    <row r="691">
      <c r="R691" s="58"/>
    </row>
    <row r="692">
      <c r="R692" s="58"/>
    </row>
    <row r="693">
      <c r="R693" s="58"/>
    </row>
    <row r="694">
      <c r="R694" s="58"/>
    </row>
    <row r="695">
      <c r="R695" s="58"/>
    </row>
    <row r="696">
      <c r="R696" s="58"/>
    </row>
    <row r="697">
      <c r="R697" s="58"/>
    </row>
    <row r="698">
      <c r="R698" s="58"/>
    </row>
    <row r="699">
      <c r="R699" s="58"/>
    </row>
    <row r="700">
      <c r="R700" s="58"/>
    </row>
    <row r="701">
      <c r="R701" s="58"/>
    </row>
    <row r="702">
      <c r="R702" s="58"/>
    </row>
    <row r="703">
      <c r="R703" s="58"/>
    </row>
    <row r="704">
      <c r="R704" s="58"/>
    </row>
    <row r="705">
      <c r="R705" s="58"/>
    </row>
    <row r="706">
      <c r="R706" s="58"/>
    </row>
    <row r="707">
      <c r="R707" s="58"/>
    </row>
    <row r="708">
      <c r="R708" s="58"/>
    </row>
    <row r="709">
      <c r="R709" s="58"/>
    </row>
    <row r="710">
      <c r="R710" s="58"/>
    </row>
    <row r="711">
      <c r="R711" s="58"/>
    </row>
    <row r="712">
      <c r="R712" s="58"/>
    </row>
    <row r="713">
      <c r="R713" s="58"/>
    </row>
    <row r="714">
      <c r="R714" s="58"/>
    </row>
    <row r="715">
      <c r="R715" s="58"/>
    </row>
    <row r="716">
      <c r="R716" s="58"/>
    </row>
    <row r="717">
      <c r="R717" s="58"/>
    </row>
    <row r="718">
      <c r="R718" s="58"/>
    </row>
    <row r="719">
      <c r="R719" s="58"/>
    </row>
    <row r="720">
      <c r="R720" s="58"/>
    </row>
    <row r="721">
      <c r="R721" s="58"/>
    </row>
    <row r="722">
      <c r="R722" s="58"/>
    </row>
    <row r="723">
      <c r="R723" s="58"/>
    </row>
    <row r="724">
      <c r="R724" s="58"/>
    </row>
    <row r="725">
      <c r="R725" s="58"/>
    </row>
    <row r="726">
      <c r="R726" s="58"/>
    </row>
    <row r="727">
      <c r="R727" s="58"/>
    </row>
    <row r="728">
      <c r="R728" s="58"/>
    </row>
    <row r="729">
      <c r="R729" s="58"/>
    </row>
    <row r="730">
      <c r="R730" s="58"/>
    </row>
    <row r="731">
      <c r="R731" s="58"/>
    </row>
    <row r="732">
      <c r="R732" s="58"/>
    </row>
    <row r="733">
      <c r="R733" s="58"/>
    </row>
    <row r="734">
      <c r="R734" s="58"/>
    </row>
    <row r="735">
      <c r="R735" s="58"/>
    </row>
    <row r="736">
      <c r="R736" s="58"/>
    </row>
    <row r="737">
      <c r="R737" s="58"/>
    </row>
    <row r="738">
      <c r="R738" s="58"/>
    </row>
    <row r="739">
      <c r="R739" s="58"/>
    </row>
    <row r="740">
      <c r="R740" s="58"/>
    </row>
    <row r="741">
      <c r="R741" s="58"/>
    </row>
    <row r="742">
      <c r="R742" s="58"/>
    </row>
    <row r="743">
      <c r="R743" s="58"/>
    </row>
    <row r="744">
      <c r="R744" s="58"/>
    </row>
    <row r="745">
      <c r="R745" s="58"/>
    </row>
    <row r="746">
      <c r="R746" s="58"/>
    </row>
    <row r="747">
      <c r="R747" s="58"/>
    </row>
    <row r="748">
      <c r="R748" s="58"/>
    </row>
    <row r="749">
      <c r="R749" s="58"/>
    </row>
    <row r="750">
      <c r="R750" s="58"/>
    </row>
    <row r="751">
      <c r="R751" s="58"/>
    </row>
    <row r="752">
      <c r="R752" s="58"/>
    </row>
    <row r="753">
      <c r="R753" s="58"/>
    </row>
    <row r="754">
      <c r="R754" s="58"/>
    </row>
    <row r="755">
      <c r="R755" s="58"/>
    </row>
    <row r="756">
      <c r="R756" s="58"/>
    </row>
    <row r="757">
      <c r="R757" s="58"/>
    </row>
    <row r="758">
      <c r="R758" s="58"/>
    </row>
    <row r="759">
      <c r="R759" s="58"/>
    </row>
    <row r="760">
      <c r="R760" s="58"/>
    </row>
    <row r="761">
      <c r="R761" s="58"/>
    </row>
    <row r="762">
      <c r="R762" s="58"/>
    </row>
    <row r="763">
      <c r="R763" s="58"/>
    </row>
    <row r="764">
      <c r="R764" s="58"/>
    </row>
    <row r="765">
      <c r="R765" s="58"/>
    </row>
    <row r="766">
      <c r="R766" s="58"/>
    </row>
    <row r="767">
      <c r="R767" s="58"/>
    </row>
    <row r="768">
      <c r="R768" s="58"/>
    </row>
    <row r="769">
      <c r="R769" s="58"/>
    </row>
    <row r="770">
      <c r="R770" s="58"/>
    </row>
    <row r="771">
      <c r="R771" s="58"/>
    </row>
    <row r="772">
      <c r="R772" s="58"/>
    </row>
    <row r="773">
      <c r="R773" s="58"/>
    </row>
    <row r="774">
      <c r="R774" s="58"/>
    </row>
    <row r="775">
      <c r="R775" s="58"/>
    </row>
    <row r="776">
      <c r="R776" s="58"/>
    </row>
    <row r="777">
      <c r="R777" s="58"/>
    </row>
    <row r="778">
      <c r="R778" s="58"/>
    </row>
    <row r="779">
      <c r="R779" s="58"/>
    </row>
    <row r="780">
      <c r="R780" s="58"/>
    </row>
    <row r="781">
      <c r="R781" s="58"/>
    </row>
    <row r="782">
      <c r="R782" s="58"/>
    </row>
    <row r="783">
      <c r="R783" s="58"/>
    </row>
    <row r="784">
      <c r="R784" s="58"/>
    </row>
    <row r="785">
      <c r="R785" s="58"/>
    </row>
    <row r="786">
      <c r="R786" s="58"/>
    </row>
    <row r="787">
      <c r="R787" s="58"/>
    </row>
    <row r="788">
      <c r="R788" s="58"/>
    </row>
    <row r="789">
      <c r="R789" s="58"/>
    </row>
    <row r="790">
      <c r="R790" s="58"/>
    </row>
    <row r="791">
      <c r="R791" s="58"/>
    </row>
    <row r="792">
      <c r="R792" s="58"/>
    </row>
    <row r="793">
      <c r="R793" s="58"/>
    </row>
    <row r="794">
      <c r="R794" s="58"/>
    </row>
    <row r="795">
      <c r="R795" s="58"/>
    </row>
    <row r="796">
      <c r="R796" s="58"/>
    </row>
    <row r="797">
      <c r="R797" s="58"/>
    </row>
    <row r="798">
      <c r="R798" s="58"/>
    </row>
    <row r="799">
      <c r="R799" s="58"/>
    </row>
    <row r="800">
      <c r="R800" s="58"/>
    </row>
    <row r="801">
      <c r="R801" s="58"/>
    </row>
    <row r="802">
      <c r="R802" s="58"/>
    </row>
    <row r="803">
      <c r="R803" s="58"/>
    </row>
    <row r="804">
      <c r="R804" s="58"/>
    </row>
    <row r="805">
      <c r="R805" s="58"/>
    </row>
    <row r="806">
      <c r="R806" s="58"/>
    </row>
    <row r="807">
      <c r="R807" s="58"/>
    </row>
    <row r="808">
      <c r="R808" s="58"/>
    </row>
    <row r="809">
      <c r="R809" s="58"/>
    </row>
    <row r="810">
      <c r="R810" s="58"/>
    </row>
    <row r="811">
      <c r="R811" s="58"/>
    </row>
    <row r="812">
      <c r="R812" s="58"/>
    </row>
    <row r="813">
      <c r="R813" s="58"/>
    </row>
    <row r="814">
      <c r="R814" s="58"/>
    </row>
    <row r="815">
      <c r="R815" s="58"/>
    </row>
    <row r="816">
      <c r="R816" s="58"/>
    </row>
    <row r="817">
      <c r="R817" s="58"/>
    </row>
    <row r="818">
      <c r="R818" s="58"/>
    </row>
    <row r="819">
      <c r="R819" s="58"/>
    </row>
    <row r="820">
      <c r="R820" s="58"/>
    </row>
    <row r="821">
      <c r="R821" s="58"/>
    </row>
    <row r="822">
      <c r="R822" s="58"/>
    </row>
    <row r="823">
      <c r="R823" s="58"/>
    </row>
    <row r="824">
      <c r="R824" s="58"/>
    </row>
    <row r="825">
      <c r="R825" s="58"/>
    </row>
    <row r="826">
      <c r="R826" s="58"/>
    </row>
    <row r="827">
      <c r="R827" s="58"/>
    </row>
    <row r="828">
      <c r="R828" s="58"/>
    </row>
    <row r="829">
      <c r="R829" s="58"/>
    </row>
    <row r="830">
      <c r="R830" s="58"/>
    </row>
    <row r="831">
      <c r="R831" s="58"/>
    </row>
    <row r="832">
      <c r="R832" s="58"/>
    </row>
    <row r="833">
      <c r="R833" s="58"/>
    </row>
    <row r="834">
      <c r="R834" s="58"/>
    </row>
    <row r="835">
      <c r="R835" s="58"/>
    </row>
    <row r="836">
      <c r="R836" s="58"/>
    </row>
    <row r="837">
      <c r="R837" s="58"/>
    </row>
    <row r="838">
      <c r="R838" s="58"/>
    </row>
    <row r="839">
      <c r="R839" s="58"/>
    </row>
    <row r="840">
      <c r="R840" s="58"/>
    </row>
    <row r="841">
      <c r="R841" s="58"/>
    </row>
    <row r="842">
      <c r="R842" s="58"/>
    </row>
    <row r="843">
      <c r="R843" s="58"/>
    </row>
    <row r="844">
      <c r="R844" s="58"/>
    </row>
    <row r="845">
      <c r="R845" s="58"/>
    </row>
    <row r="846">
      <c r="R846" s="58"/>
    </row>
    <row r="847">
      <c r="R847" s="58"/>
    </row>
    <row r="848">
      <c r="R848" s="58"/>
    </row>
    <row r="849">
      <c r="R849" s="58"/>
    </row>
    <row r="850">
      <c r="R850" s="58"/>
    </row>
    <row r="851">
      <c r="R851" s="58"/>
    </row>
    <row r="852">
      <c r="R852" s="58"/>
    </row>
    <row r="853">
      <c r="R853" s="58"/>
    </row>
    <row r="854">
      <c r="R854" s="58"/>
    </row>
    <row r="855">
      <c r="R855" s="58"/>
    </row>
    <row r="856">
      <c r="R856" s="58"/>
    </row>
    <row r="857">
      <c r="R857" s="58"/>
    </row>
    <row r="858">
      <c r="R858" s="58"/>
    </row>
    <row r="859">
      <c r="R859" s="58"/>
    </row>
    <row r="860">
      <c r="R860" s="58"/>
    </row>
    <row r="861">
      <c r="R861" s="58"/>
    </row>
    <row r="862">
      <c r="R862" s="58"/>
    </row>
    <row r="863">
      <c r="R863" s="58"/>
    </row>
    <row r="864">
      <c r="R864" s="58"/>
    </row>
    <row r="865">
      <c r="R865" s="58"/>
    </row>
    <row r="866">
      <c r="R866" s="58"/>
    </row>
    <row r="867">
      <c r="R867" s="58"/>
    </row>
    <row r="868">
      <c r="R868" s="58"/>
    </row>
    <row r="869">
      <c r="R869" s="58"/>
    </row>
    <row r="870">
      <c r="R870" s="58"/>
    </row>
    <row r="871">
      <c r="R871" s="58"/>
    </row>
    <row r="872">
      <c r="R872" s="58"/>
    </row>
    <row r="873">
      <c r="R873" s="58"/>
    </row>
    <row r="874">
      <c r="R874" s="58"/>
    </row>
    <row r="875">
      <c r="R875" s="58"/>
    </row>
    <row r="876">
      <c r="R876" s="58"/>
    </row>
    <row r="877">
      <c r="R877" s="58"/>
    </row>
    <row r="878">
      <c r="R878" s="58"/>
    </row>
    <row r="879">
      <c r="R879" s="58"/>
    </row>
    <row r="880">
      <c r="R880" s="58"/>
    </row>
    <row r="881">
      <c r="R881" s="58"/>
    </row>
    <row r="882">
      <c r="R882" s="58"/>
    </row>
    <row r="883">
      <c r="R883" s="58"/>
    </row>
    <row r="884">
      <c r="R884" s="58"/>
    </row>
    <row r="885">
      <c r="R885" s="58"/>
    </row>
    <row r="886">
      <c r="R886" s="58"/>
    </row>
    <row r="887">
      <c r="R887" s="58"/>
    </row>
    <row r="888">
      <c r="R888" s="58"/>
    </row>
    <row r="889">
      <c r="R889" s="58"/>
    </row>
    <row r="890">
      <c r="R890" s="58"/>
    </row>
    <row r="891">
      <c r="R891" s="58"/>
    </row>
    <row r="892">
      <c r="R892" s="58"/>
    </row>
    <row r="893">
      <c r="R893" s="58"/>
    </row>
    <row r="894">
      <c r="R894" s="58"/>
    </row>
    <row r="895">
      <c r="R895" s="58"/>
    </row>
    <row r="896">
      <c r="R896" s="58"/>
    </row>
    <row r="897">
      <c r="R897" s="58"/>
    </row>
    <row r="898">
      <c r="R898" s="58"/>
    </row>
    <row r="899">
      <c r="R899" s="58"/>
    </row>
    <row r="900">
      <c r="R900" s="58"/>
    </row>
    <row r="901">
      <c r="R901" s="58"/>
    </row>
    <row r="902">
      <c r="R902" s="58"/>
    </row>
    <row r="903">
      <c r="R903" s="58"/>
    </row>
    <row r="904">
      <c r="R904" s="58"/>
    </row>
    <row r="905">
      <c r="R905" s="58"/>
    </row>
    <row r="906">
      <c r="R906" s="58"/>
    </row>
    <row r="907">
      <c r="R907" s="58"/>
    </row>
    <row r="908">
      <c r="R908" s="58"/>
    </row>
    <row r="909">
      <c r="R909" s="58"/>
    </row>
    <row r="910">
      <c r="R910" s="58"/>
    </row>
    <row r="911">
      <c r="R911" s="58"/>
    </row>
    <row r="912">
      <c r="R912" s="58"/>
    </row>
    <row r="913">
      <c r="R913" s="58"/>
    </row>
    <row r="914">
      <c r="R914" s="58"/>
    </row>
    <row r="915">
      <c r="R915" s="58"/>
    </row>
    <row r="916">
      <c r="R916" s="58"/>
    </row>
    <row r="917">
      <c r="R917" s="58"/>
    </row>
    <row r="918">
      <c r="R918" s="58"/>
    </row>
    <row r="919">
      <c r="R919" s="58"/>
    </row>
    <row r="920">
      <c r="R920" s="58"/>
    </row>
    <row r="921">
      <c r="R921" s="58"/>
    </row>
    <row r="922">
      <c r="R922" s="58"/>
    </row>
    <row r="923">
      <c r="R923" s="58"/>
    </row>
    <row r="924">
      <c r="R924" s="58"/>
    </row>
    <row r="925">
      <c r="R925" s="58"/>
    </row>
    <row r="926">
      <c r="R926" s="58"/>
    </row>
    <row r="927">
      <c r="R927" s="58"/>
    </row>
    <row r="928">
      <c r="R928" s="58"/>
    </row>
    <row r="929">
      <c r="R929" s="58"/>
    </row>
    <row r="930">
      <c r="R930" s="58"/>
    </row>
    <row r="931">
      <c r="R931" s="58"/>
    </row>
    <row r="932">
      <c r="R932" s="58"/>
    </row>
    <row r="933">
      <c r="R933" s="58"/>
    </row>
    <row r="934">
      <c r="R934" s="58"/>
    </row>
    <row r="935">
      <c r="R935" s="58"/>
    </row>
    <row r="936">
      <c r="R936" s="58"/>
    </row>
    <row r="937">
      <c r="R937" s="58"/>
    </row>
    <row r="938">
      <c r="R938" s="58"/>
    </row>
    <row r="939">
      <c r="R939" s="58"/>
    </row>
    <row r="940">
      <c r="R940" s="58"/>
    </row>
    <row r="941">
      <c r="R941" s="58"/>
    </row>
    <row r="942">
      <c r="R942" s="58"/>
    </row>
    <row r="943">
      <c r="R943" s="58"/>
    </row>
    <row r="944">
      <c r="R944" s="58"/>
    </row>
    <row r="945">
      <c r="R945" s="58"/>
    </row>
    <row r="946">
      <c r="R946" s="58"/>
    </row>
    <row r="947">
      <c r="R947" s="58"/>
    </row>
    <row r="948">
      <c r="R948" s="58"/>
    </row>
    <row r="949">
      <c r="R949" s="58"/>
    </row>
    <row r="950">
      <c r="R950" s="58"/>
    </row>
    <row r="951">
      <c r="R951" s="58"/>
    </row>
    <row r="952">
      <c r="R952" s="58"/>
    </row>
    <row r="953">
      <c r="R953" s="58"/>
    </row>
    <row r="954">
      <c r="R954" s="58"/>
    </row>
    <row r="955">
      <c r="R955" s="58"/>
    </row>
    <row r="956">
      <c r="R956" s="58"/>
    </row>
    <row r="957">
      <c r="R957" s="58"/>
    </row>
    <row r="958">
      <c r="R958" s="58"/>
    </row>
    <row r="959">
      <c r="R959" s="58"/>
    </row>
    <row r="960">
      <c r="R960" s="58"/>
    </row>
    <row r="961">
      <c r="R961" s="58"/>
    </row>
    <row r="962">
      <c r="R962" s="58"/>
    </row>
    <row r="963">
      <c r="R963" s="58"/>
    </row>
    <row r="964">
      <c r="R964" s="58"/>
    </row>
    <row r="965">
      <c r="R965" s="58"/>
    </row>
    <row r="966">
      <c r="R966" s="58"/>
    </row>
    <row r="967">
      <c r="R967" s="58"/>
    </row>
    <row r="968">
      <c r="R968" s="58"/>
    </row>
    <row r="969">
      <c r="R969" s="58"/>
    </row>
    <row r="970">
      <c r="R970" s="58"/>
    </row>
    <row r="971">
      <c r="R971" s="58"/>
    </row>
    <row r="972">
      <c r="R972" s="58"/>
    </row>
    <row r="973">
      <c r="R973" s="58"/>
    </row>
    <row r="974">
      <c r="R974" s="58"/>
    </row>
    <row r="975">
      <c r="R975" s="58"/>
    </row>
    <row r="976">
      <c r="R976" s="58"/>
    </row>
    <row r="977">
      <c r="R977" s="58"/>
    </row>
    <row r="978">
      <c r="R978" s="58"/>
    </row>
    <row r="979">
      <c r="R979" s="58"/>
    </row>
    <row r="980">
      <c r="R980" s="58"/>
    </row>
    <row r="981">
      <c r="R981" s="58"/>
    </row>
    <row r="982">
      <c r="R982" s="58"/>
    </row>
    <row r="983">
      <c r="R983" s="58"/>
    </row>
    <row r="984">
      <c r="R984" s="58"/>
    </row>
    <row r="985">
      <c r="R985" s="58"/>
    </row>
    <row r="986">
      <c r="R986" s="58"/>
    </row>
    <row r="987">
      <c r="R987" s="58"/>
    </row>
    <row r="988">
      <c r="R988" s="58"/>
    </row>
    <row r="989">
      <c r="R989" s="58"/>
    </row>
    <row r="990">
      <c r="R990" s="58"/>
    </row>
    <row r="991">
      <c r="R991" s="58"/>
    </row>
    <row r="992">
      <c r="R992" s="58"/>
    </row>
    <row r="993">
      <c r="R993" s="58"/>
    </row>
    <row r="994">
      <c r="R994" s="58"/>
    </row>
    <row r="995">
      <c r="R995" s="58"/>
    </row>
    <row r="996">
      <c r="R996" s="58"/>
    </row>
    <row r="997">
      <c r="R997" s="58"/>
    </row>
    <row r="998">
      <c r="R998" s="58"/>
    </row>
    <row r="999">
      <c r="R999" s="58"/>
    </row>
    <row r="1000">
      <c r="R1000" s="58"/>
    </row>
    <row r="1001">
      <c r="R1001" s="58"/>
    </row>
    <row r="1002">
      <c r="R1002" s="58"/>
    </row>
    <row r="1003">
      <c r="R1003" s="58"/>
    </row>
    <row r="1004">
      <c r="R1004" s="58"/>
    </row>
    <row r="1005">
      <c r="R1005" s="58"/>
    </row>
    <row r="1006">
      <c r="R1006" s="58"/>
    </row>
    <row r="1007">
      <c r="R1007" s="58"/>
    </row>
    <row r="1008">
      <c r="R1008" s="58"/>
    </row>
    <row r="1009">
      <c r="R1009" s="58"/>
    </row>
    <row r="1010">
      <c r="R1010" s="58"/>
    </row>
    <row r="1011">
      <c r="R1011" s="58"/>
    </row>
    <row r="1012">
      <c r="R1012" s="58"/>
    </row>
    <row r="1013">
      <c r="R1013" s="58"/>
    </row>
    <row r="1014">
      <c r="R1014" s="58"/>
    </row>
    <row r="1015">
      <c r="R1015" s="58"/>
    </row>
    <row r="1016">
      <c r="R1016" s="58"/>
    </row>
    <row r="1017">
      <c r="R1017" s="58"/>
    </row>
    <row r="1018">
      <c r="R1018" s="58"/>
    </row>
    <row r="1019">
      <c r="R1019" s="58"/>
    </row>
    <row r="1020">
      <c r="R1020" s="58"/>
    </row>
    <row r="1021">
      <c r="R1021" s="58"/>
    </row>
    <row r="1022">
      <c r="R1022" s="58"/>
    </row>
    <row r="1023">
      <c r="R1023" s="58"/>
    </row>
    <row r="1024">
      <c r="R1024" s="58"/>
    </row>
    <row r="1025">
      <c r="R1025" s="58"/>
    </row>
    <row r="1026">
      <c r="R1026" s="58"/>
    </row>
    <row r="1027">
      <c r="R1027" s="58"/>
    </row>
    <row r="1028">
      <c r="R1028" s="58"/>
    </row>
    <row r="1029">
      <c r="R1029" s="58"/>
    </row>
    <row r="1030">
      <c r="R1030" s="58"/>
    </row>
    <row r="1031">
      <c r="R1031" s="58"/>
    </row>
    <row r="1032">
      <c r="R1032" s="58"/>
    </row>
    <row r="1033">
      <c r="R1033" s="58"/>
    </row>
    <row r="1034">
      <c r="R1034" s="58"/>
    </row>
    <row r="1035">
      <c r="R1035" s="58"/>
    </row>
    <row r="1036">
      <c r="R1036" s="58"/>
    </row>
    <row r="1037">
      <c r="R1037" s="58"/>
    </row>
    <row r="1038">
      <c r="R1038" s="58"/>
    </row>
    <row r="1039">
      <c r="R1039" s="58"/>
    </row>
    <row r="1040">
      <c r="R1040" s="58"/>
    </row>
    <row r="1041">
      <c r="R1041" s="58"/>
    </row>
    <row r="1042">
      <c r="R1042" s="58"/>
    </row>
    <row r="1043">
      <c r="R1043" s="58"/>
    </row>
    <row r="1044">
      <c r="R1044" s="58"/>
    </row>
    <row r="1045">
      <c r="R1045" s="58"/>
    </row>
    <row r="1046">
      <c r="R1046" s="58"/>
    </row>
    <row r="1047">
      <c r="R1047" s="58"/>
    </row>
    <row r="1048">
      <c r="R1048" s="58"/>
    </row>
    <row r="1049">
      <c r="R1049" s="58"/>
    </row>
    <row r="1050">
      <c r="R1050" s="58"/>
    </row>
    <row r="1051">
      <c r="R1051" s="58"/>
    </row>
    <row r="1052">
      <c r="R1052" s="58"/>
    </row>
    <row r="1053">
      <c r="R1053" s="58"/>
    </row>
    <row r="1054">
      <c r="R1054" s="58"/>
    </row>
    <row r="1055">
      <c r="R1055" s="58"/>
    </row>
    <row r="1056">
      <c r="R1056" s="58"/>
    </row>
    <row r="1057">
      <c r="R1057" s="58"/>
    </row>
    <row r="1058">
      <c r="R1058" s="58"/>
    </row>
    <row r="1059">
      <c r="R1059" s="58"/>
    </row>
    <row r="1060">
      <c r="R1060" s="58"/>
    </row>
    <row r="1061">
      <c r="R1061" s="58"/>
    </row>
    <row r="1062">
      <c r="R1062" s="58"/>
    </row>
    <row r="1063">
      <c r="R1063" s="58"/>
    </row>
    <row r="1064">
      <c r="R1064" s="58"/>
    </row>
    <row r="1065">
      <c r="R1065" s="58"/>
    </row>
    <row r="1066">
      <c r="R1066" s="58"/>
    </row>
    <row r="1067">
      <c r="R1067" s="58"/>
    </row>
    <row r="1068">
      <c r="R1068" s="58"/>
    </row>
    <row r="1069">
      <c r="R1069" s="58"/>
    </row>
    <row r="1070">
      <c r="R1070" s="58"/>
    </row>
    <row r="1071">
      <c r="R1071" s="58"/>
    </row>
    <row r="1072">
      <c r="R1072" s="58"/>
    </row>
    <row r="1073">
      <c r="R1073" s="58"/>
    </row>
    <row r="1074">
      <c r="R1074" s="58"/>
    </row>
    <row r="1075">
      <c r="R1075" s="58"/>
    </row>
    <row r="1076">
      <c r="R1076" s="58"/>
    </row>
    <row r="1077">
      <c r="R1077" s="58"/>
    </row>
    <row r="1078">
      <c r="R1078" s="58"/>
    </row>
    <row r="1079">
      <c r="R1079" s="58"/>
    </row>
    <row r="1080">
      <c r="R1080" s="58"/>
    </row>
    <row r="1081">
      <c r="R1081" s="58"/>
    </row>
    <row r="1082">
      <c r="R1082" s="58"/>
    </row>
    <row r="1083">
      <c r="R1083" s="58"/>
    </row>
    <row r="1084">
      <c r="R1084" s="58"/>
    </row>
    <row r="1085">
      <c r="R1085" s="58"/>
    </row>
    <row r="1086">
      <c r="R1086" s="58"/>
    </row>
    <row r="1087">
      <c r="R1087" s="58"/>
    </row>
    <row r="1088">
      <c r="R1088" s="58"/>
    </row>
    <row r="1089">
      <c r="R1089" s="58"/>
    </row>
    <row r="1090">
      <c r="R1090" s="58"/>
    </row>
    <row r="1091">
      <c r="R1091" s="58"/>
    </row>
    <row r="1092">
      <c r="R1092" s="58"/>
    </row>
    <row r="1093">
      <c r="R1093" s="58"/>
    </row>
    <row r="1094">
      <c r="R1094" s="58"/>
    </row>
    <row r="1095">
      <c r="R1095" s="58"/>
    </row>
    <row r="1096">
      <c r="R1096" s="58"/>
    </row>
    <row r="1097">
      <c r="R1097" s="58"/>
    </row>
    <row r="1098">
      <c r="R1098" s="58"/>
    </row>
    <row r="1099">
      <c r="R1099" s="58"/>
    </row>
    <row r="1100">
      <c r="R1100" s="58"/>
    </row>
    <row r="1101">
      <c r="R1101" s="58"/>
    </row>
    <row r="1102">
      <c r="R1102" s="58"/>
    </row>
    <row r="1103">
      <c r="R1103" s="58"/>
    </row>
    <row r="1104">
      <c r="R1104" s="58"/>
    </row>
    <row r="1105">
      <c r="R1105" s="58"/>
    </row>
    <row r="1106">
      <c r="R1106" s="58"/>
    </row>
    <row r="1107">
      <c r="R1107" s="58"/>
    </row>
    <row r="1108">
      <c r="R1108" s="58"/>
    </row>
    <row r="1109">
      <c r="R1109" s="58"/>
    </row>
    <row r="1110">
      <c r="R1110" s="58"/>
    </row>
    <row r="1111">
      <c r="R1111" s="58"/>
    </row>
    <row r="1112">
      <c r="R1112" s="58"/>
    </row>
    <row r="1113">
      <c r="R1113" s="58"/>
    </row>
    <row r="1114">
      <c r="R1114" s="58"/>
    </row>
    <row r="1115">
      <c r="R1115" s="58"/>
    </row>
    <row r="1116">
      <c r="R1116" s="58"/>
    </row>
    <row r="1117">
      <c r="R1117" s="58"/>
    </row>
    <row r="1118">
      <c r="R1118" s="58"/>
    </row>
    <row r="1119">
      <c r="R1119" s="58"/>
    </row>
    <row r="1120">
      <c r="R1120" s="58"/>
    </row>
    <row r="1121">
      <c r="R1121" s="58"/>
    </row>
    <row r="1122">
      <c r="R1122" s="58"/>
    </row>
    <row r="1123">
      <c r="R1123" s="58"/>
    </row>
    <row r="1124">
      <c r="R1124" s="58"/>
    </row>
    <row r="1125">
      <c r="R1125" s="58"/>
    </row>
    <row r="1126">
      <c r="R1126" s="58"/>
    </row>
    <row r="1127">
      <c r="R1127" s="58"/>
    </row>
    <row r="1128">
      <c r="R1128" s="58"/>
    </row>
    <row r="1129">
      <c r="R1129" s="58"/>
    </row>
    <row r="1130">
      <c r="R1130" s="58"/>
    </row>
    <row r="1131">
      <c r="R1131" s="58"/>
    </row>
    <row r="1132">
      <c r="R1132" s="58"/>
    </row>
    <row r="1133">
      <c r="R1133" s="58"/>
    </row>
    <row r="1134">
      <c r="R1134" s="58"/>
    </row>
    <row r="1135">
      <c r="R1135" s="58"/>
    </row>
    <row r="1136">
      <c r="R1136" s="58"/>
    </row>
    <row r="1137">
      <c r="R1137" s="58"/>
    </row>
    <row r="1138">
      <c r="R1138" s="58"/>
    </row>
    <row r="1139">
      <c r="R1139" s="58"/>
    </row>
    <row r="1140">
      <c r="R1140" s="58"/>
    </row>
    <row r="1141">
      <c r="R1141" s="58"/>
    </row>
    <row r="1142">
      <c r="R1142" s="58"/>
    </row>
    <row r="1143">
      <c r="R1143" s="58"/>
    </row>
    <row r="1144">
      <c r="R1144" s="58"/>
    </row>
    <row r="1145">
      <c r="R1145" s="58"/>
    </row>
    <row r="1146">
      <c r="R1146" s="58"/>
    </row>
    <row r="1147">
      <c r="R1147" s="58"/>
    </row>
    <row r="1148">
      <c r="R1148" s="58"/>
    </row>
    <row r="1149">
      <c r="R1149" s="58"/>
    </row>
    <row r="1150">
      <c r="R1150" s="58"/>
    </row>
    <row r="1151">
      <c r="R1151" s="58"/>
    </row>
    <row r="1152">
      <c r="R1152" s="58"/>
    </row>
    <row r="1153">
      <c r="R1153" s="58"/>
    </row>
    <row r="1154">
      <c r="R1154" s="58"/>
    </row>
    <row r="1155">
      <c r="R1155" s="58"/>
    </row>
    <row r="1156">
      <c r="R1156" s="58"/>
    </row>
    <row r="1157">
      <c r="R1157" s="58"/>
    </row>
    <row r="1158">
      <c r="R1158" s="58"/>
    </row>
    <row r="1159">
      <c r="R1159" s="58"/>
    </row>
    <row r="1160">
      <c r="R1160" s="58"/>
    </row>
    <row r="1161">
      <c r="R1161" s="58"/>
    </row>
    <row r="1162">
      <c r="R1162" s="58"/>
    </row>
    <row r="1163">
      <c r="R1163" s="58"/>
    </row>
    <row r="1164">
      <c r="R1164" s="58"/>
    </row>
    <row r="1165">
      <c r="R1165" s="58"/>
    </row>
    <row r="1166">
      <c r="R1166" s="58"/>
    </row>
    <row r="1167">
      <c r="R1167" s="58"/>
    </row>
    <row r="1168">
      <c r="R1168" s="58"/>
    </row>
    <row r="1169">
      <c r="R1169" s="58"/>
    </row>
    <row r="1170">
      <c r="R1170" s="58"/>
    </row>
    <row r="1171">
      <c r="R1171" s="58"/>
    </row>
    <row r="1172">
      <c r="R1172" s="58"/>
    </row>
    <row r="1173">
      <c r="R1173" s="58"/>
    </row>
    <row r="1174">
      <c r="R1174" s="58"/>
    </row>
    <row r="1175">
      <c r="R1175" s="58"/>
    </row>
    <row r="1176">
      <c r="R1176" s="58"/>
    </row>
    <row r="1177">
      <c r="R1177" s="58"/>
    </row>
    <row r="1178">
      <c r="R1178" s="58"/>
    </row>
    <row r="1179">
      <c r="R1179" s="58"/>
    </row>
    <row r="1180">
      <c r="R1180" s="58"/>
    </row>
    <row r="1181">
      <c r="R1181" s="58"/>
    </row>
    <row r="1182">
      <c r="R1182" s="58"/>
    </row>
    <row r="1183">
      <c r="R1183" s="58"/>
    </row>
    <row r="1184">
      <c r="R1184" s="58"/>
    </row>
    <row r="1185">
      <c r="R1185" s="58"/>
    </row>
    <row r="1186">
      <c r="R1186" s="58"/>
    </row>
    <row r="1187">
      <c r="R1187" s="58"/>
    </row>
    <row r="1188">
      <c r="R1188" s="58"/>
    </row>
    <row r="1189">
      <c r="R1189" s="58"/>
    </row>
    <row r="1190">
      <c r="R1190" s="58"/>
    </row>
    <row r="1191">
      <c r="R1191" s="58"/>
    </row>
    <row r="1192">
      <c r="R1192" s="58"/>
    </row>
    <row r="1193">
      <c r="R1193" s="58"/>
    </row>
    <row r="1194">
      <c r="R1194" s="58"/>
    </row>
    <row r="1195">
      <c r="R1195" s="58"/>
    </row>
    <row r="1196">
      <c r="R1196" s="58"/>
    </row>
    <row r="1197">
      <c r="R1197" s="58"/>
    </row>
    <row r="1198">
      <c r="R1198" s="58"/>
    </row>
    <row r="1199">
      <c r="R1199" s="58"/>
    </row>
    <row r="1200">
      <c r="R1200" s="58"/>
    </row>
    <row r="1201">
      <c r="R1201" s="58"/>
    </row>
    <row r="1202">
      <c r="R1202" s="58"/>
    </row>
    <row r="1203">
      <c r="R1203" s="58"/>
    </row>
    <row r="1204">
      <c r="R1204" s="58"/>
    </row>
    <row r="1205">
      <c r="R1205" s="58"/>
    </row>
    <row r="1206">
      <c r="R1206" s="58"/>
    </row>
    <row r="1207">
      <c r="R1207" s="58"/>
    </row>
    <row r="1208">
      <c r="R1208" s="58"/>
    </row>
    <row r="1209">
      <c r="R1209" s="58"/>
    </row>
    <row r="1210">
      <c r="R1210" s="58"/>
    </row>
    <row r="1211">
      <c r="R1211" s="58"/>
    </row>
    <row r="1212">
      <c r="R1212" s="58"/>
    </row>
    <row r="1213">
      <c r="R1213" s="58"/>
    </row>
    <row r="1214">
      <c r="R1214" s="58"/>
    </row>
    <row r="1215">
      <c r="R1215" s="58"/>
    </row>
    <row r="1216">
      <c r="R1216" s="58"/>
    </row>
    <row r="1217">
      <c r="R1217" s="58"/>
    </row>
    <row r="1218">
      <c r="R1218" s="58"/>
    </row>
    <row r="1219">
      <c r="R1219" s="58"/>
    </row>
    <row r="1220">
      <c r="R1220" s="58"/>
    </row>
    <row r="1221">
      <c r="R1221" s="58"/>
    </row>
    <row r="1222">
      <c r="R1222" s="58"/>
    </row>
    <row r="1223">
      <c r="R1223" s="58"/>
    </row>
    <row r="1224">
      <c r="R1224" s="58"/>
    </row>
    <row r="1225">
      <c r="R1225" s="58"/>
    </row>
    <row r="1226">
      <c r="R1226" s="58"/>
    </row>
    <row r="1227">
      <c r="R1227" s="58"/>
    </row>
    <row r="1228">
      <c r="R1228" s="58"/>
    </row>
    <row r="1229">
      <c r="R1229" s="58"/>
    </row>
    <row r="1230">
      <c r="R1230" s="58"/>
    </row>
    <row r="1231">
      <c r="R1231" s="58"/>
    </row>
    <row r="1232">
      <c r="R1232" s="58"/>
    </row>
    <row r="1233">
      <c r="R1233" s="58"/>
    </row>
    <row r="1234">
      <c r="R1234" s="58"/>
    </row>
    <row r="1235">
      <c r="R1235" s="58"/>
    </row>
    <row r="1236">
      <c r="R1236" s="58"/>
    </row>
    <row r="1237">
      <c r="R1237" s="58"/>
    </row>
    <row r="1238">
      <c r="R1238" s="58"/>
    </row>
    <row r="1239">
      <c r="R1239" s="58"/>
    </row>
    <row r="1240">
      <c r="R1240" s="58"/>
    </row>
    <row r="1241">
      <c r="R1241" s="58"/>
    </row>
    <row r="1242">
      <c r="R1242" s="58"/>
    </row>
    <row r="1243">
      <c r="R1243" s="58"/>
    </row>
    <row r="1244">
      <c r="R1244" s="58"/>
    </row>
    <row r="1245">
      <c r="R1245" s="58"/>
    </row>
    <row r="1246">
      <c r="R1246" s="58"/>
    </row>
    <row r="1247">
      <c r="R1247" s="58"/>
    </row>
    <row r="1248">
      <c r="R1248" s="58"/>
    </row>
    <row r="1249">
      <c r="R1249" s="58"/>
    </row>
    <row r="1250">
      <c r="R1250" s="58"/>
    </row>
    <row r="1251">
      <c r="R1251" s="58"/>
    </row>
    <row r="1252">
      <c r="R1252" s="58"/>
    </row>
    <row r="1253">
      <c r="R1253" s="58"/>
    </row>
    <row r="1254">
      <c r="R1254" s="58"/>
    </row>
    <row r="1255">
      <c r="R1255" s="58"/>
    </row>
    <row r="1256">
      <c r="R1256" s="58"/>
    </row>
    <row r="1257">
      <c r="R1257" s="58"/>
    </row>
    <row r="1258">
      <c r="R1258" s="58"/>
    </row>
    <row r="1259">
      <c r="R1259" s="58"/>
    </row>
    <row r="1260">
      <c r="R1260" s="58"/>
    </row>
    <row r="1261">
      <c r="R1261" s="58"/>
    </row>
    <row r="1262">
      <c r="R1262" s="58"/>
    </row>
    <row r="1263">
      <c r="R1263" s="58"/>
    </row>
    <row r="1264">
      <c r="R1264" s="58"/>
    </row>
    <row r="1265">
      <c r="R1265" s="58"/>
    </row>
    <row r="1266">
      <c r="R1266" s="58"/>
    </row>
    <row r="1267">
      <c r="R1267" s="58"/>
    </row>
    <row r="1268">
      <c r="R1268" s="58"/>
    </row>
    <row r="1269">
      <c r="R1269" s="58"/>
    </row>
    <row r="1270">
      <c r="R1270" s="58"/>
    </row>
    <row r="1271">
      <c r="R1271" s="58"/>
    </row>
    <row r="1272">
      <c r="R1272" s="58"/>
    </row>
    <row r="1273">
      <c r="R1273" s="58"/>
    </row>
    <row r="1274">
      <c r="R1274" s="58"/>
    </row>
    <row r="1275">
      <c r="R1275" s="58"/>
    </row>
    <row r="1276">
      <c r="R1276" s="58"/>
    </row>
    <row r="1277">
      <c r="R1277" s="58"/>
    </row>
    <row r="1278">
      <c r="R1278" s="58"/>
    </row>
    <row r="1279">
      <c r="R1279" s="58"/>
    </row>
    <row r="1280">
      <c r="R1280" s="58"/>
    </row>
    <row r="1281">
      <c r="R1281" s="58"/>
    </row>
    <row r="1282">
      <c r="R1282" s="58"/>
    </row>
    <row r="1283">
      <c r="R1283" s="58"/>
    </row>
    <row r="1284">
      <c r="R1284" s="58"/>
    </row>
    <row r="1285">
      <c r="R1285" s="58"/>
    </row>
    <row r="1286">
      <c r="R1286" s="58"/>
    </row>
    <row r="1287">
      <c r="R1287" s="58"/>
    </row>
    <row r="1288">
      <c r="R1288" s="58"/>
    </row>
    <row r="1289">
      <c r="R1289" s="58"/>
    </row>
    <row r="1290">
      <c r="R1290" s="58"/>
    </row>
    <row r="1291">
      <c r="R1291" s="58"/>
    </row>
    <row r="1292">
      <c r="R1292" s="58"/>
    </row>
    <row r="1293">
      <c r="R1293" s="58"/>
    </row>
    <row r="1294">
      <c r="R1294" s="58"/>
    </row>
    <row r="1295">
      <c r="R1295" s="58"/>
    </row>
    <row r="1296">
      <c r="R1296" s="58"/>
    </row>
    <row r="1297">
      <c r="R1297" s="58"/>
    </row>
    <row r="1298">
      <c r="R1298" s="58"/>
    </row>
    <row r="1299">
      <c r="R1299" s="58"/>
    </row>
    <row r="1300">
      <c r="R1300" s="58"/>
    </row>
    <row r="1301">
      <c r="R1301" s="58"/>
    </row>
    <row r="1302">
      <c r="R1302" s="58"/>
    </row>
    <row r="1303">
      <c r="R1303" s="58"/>
    </row>
    <row r="1304">
      <c r="R1304" s="58"/>
    </row>
    <row r="1305">
      <c r="R1305" s="58"/>
    </row>
    <row r="1306">
      <c r="R1306" s="58"/>
    </row>
    <row r="1307">
      <c r="R1307" s="58"/>
    </row>
    <row r="1308">
      <c r="R1308" s="58"/>
    </row>
    <row r="1309">
      <c r="R1309" s="58"/>
    </row>
    <row r="1310">
      <c r="R1310" s="58"/>
    </row>
    <row r="1311">
      <c r="R1311" s="58"/>
    </row>
    <row r="1312">
      <c r="R1312" s="58"/>
    </row>
    <row r="1313">
      <c r="R1313" s="58"/>
    </row>
    <row r="1314">
      <c r="R1314" s="58"/>
    </row>
    <row r="1315">
      <c r="R1315" s="58"/>
    </row>
    <row r="1316">
      <c r="R1316" s="58"/>
    </row>
    <row r="1317">
      <c r="R1317" s="58"/>
    </row>
    <row r="1318">
      <c r="R1318" s="58"/>
    </row>
    <row r="1319">
      <c r="R1319" s="58"/>
    </row>
    <row r="1320">
      <c r="R1320" s="58"/>
    </row>
    <row r="1321">
      <c r="R1321" s="58"/>
    </row>
    <row r="1322">
      <c r="R1322" s="58"/>
    </row>
    <row r="1323">
      <c r="R1323" s="58"/>
    </row>
    <row r="1324">
      <c r="R1324" s="58"/>
    </row>
    <row r="1325">
      <c r="R1325" s="58"/>
    </row>
    <row r="1326">
      <c r="R1326" s="58"/>
    </row>
    <row r="1327">
      <c r="R1327" s="58"/>
    </row>
    <row r="1328">
      <c r="R1328" s="58"/>
    </row>
    <row r="1329">
      <c r="R1329" s="58"/>
    </row>
    <row r="1330">
      <c r="R1330" s="58"/>
    </row>
    <row r="1331">
      <c r="R1331" s="58"/>
    </row>
    <row r="1332">
      <c r="R1332" s="58"/>
    </row>
    <row r="1333">
      <c r="R1333" s="58"/>
    </row>
    <row r="1334">
      <c r="R1334" s="58"/>
    </row>
    <row r="1335">
      <c r="R1335" s="58"/>
    </row>
    <row r="1336">
      <c r="R1336" s="58"/>
    </row>
    <row r="1337">
      <c r="R1337" s="58"/>
    </row>
    <row r="1338">
      <c r="R1338" s="58"/>
    </row>
    <row r="1339">
      <c r="R1339" s="58"/>
    </row>
    <row r="1340">
      <c r="R1340" s="58"/>
    </row>
    <row r="1341">
      <c r="R1341" s="58"/>
    </row>
    <row r="1342">
      <c r="R1342" s="58"/>
    </row>
    <row r="1343">
      <c r="R1343" s="58"/>
    </row>
    <row r="1344">
      <c r="R1344" s="58"/>
    </row>
    <row r="1345">
      <c r="R1345" s="58"/>
    </row>
    <row r="1346">
      <c r="R1346" s="58"/>
    </row>
    <row r="1347">
      <c r="R1347" s="58"/>
    </row>
    <row r="1348">
      <c r="R1348" s="58"/>
    </row>
    <row r="1349">
      <c r="R1349" s="58"/>
    </row>
    <row r="1350">
      <c r="R1350" s="58"/>
    </row>
    <row r="1351">
      <c r="R1351" s="58"/>
    </row>
    <row r="1352">
      <c r="R1352" s="58"/>
    </row>
    <row r="1353">
      <c r="R1353" s="58"/>
    </row>
    <row r="1354">
      <c r="R1354" s="58"/>
    </row>
    <row r="1355">
      <c r="R1355" s="58"/>
    </row>
    <row r="1356">
      <c r="R1356" s="58"/>
    </row>
    <row r="1357">
      <c r="R1357" s="58"/>
    </row>
    <row r="1358">
      <c r="R1358" s="58"/>
    </row>
    <row r="1359">
      <c r="R1359" s="58"/>
    </row>
    <row r="1360">
      <c r="R1360" s="58"/>
    </row>
    <row r="1361">
      <c r="R1361" s="58"/>
    </row>
    <row r="1362">
      <c r="R1362" s="58"/>
    </row>
    <row r="1363">
      <c r="R1363" s="58"/>
    </row>
    <row r="1364">
      <c r="R1364" s="58"/>
    </row>
    <row r="1365">
      <c r="R1365" s="58"/>
    </row>
    <row r="1366">
      <c r="R1366" s="58"/>
    </row>
    <row r="1367">
      <c r="R1367" s="58"/>
    </row>
    <row r="1368">
      <c r="R1368" s="58"/>
    </row>
    <row r="1369">
      <c r="R1369" s="58"/>
    </row>
    <row r="1370">
      <c r="R1370" s="58"/>
    </row>
    <row r="1371">
      <c r="R1371" s="58"/>
    </row>
    <row r="1372">
      <c r="R1372" s="58"/>
    </row>
    <row r="1373">
      <c r="R1373" s="58"/>
    </row>
    <row r="1374">
      <c r="R1374" s="58"/>
    </row>
    <row r="1375">
      <c r="R1375" s="58"/>
    </row>
    <row r="1376">
      <c r="R1376" s="58"/>
    </row>
    <row r="1377">
      <c r="R1377" s="58"/>
    </row>
    <row r="1378">
      <c r="R1378" s="58"/>
    </row>
    <row r="1379">
      <c r="R1379" s="58"/>
    </row>
    <row r="1380">
      <c r="R1380" s="58"/>
    </row>
    <row r="1381">
      <c r="R1381" s="58"/>
    </row>
    <row r="1382">
      <c r="R1382" s="58"/>
    </row>
    <row r="1383">
      <c r="R1383" s="58"/>
    </row>
    <row r="1384">
      <c r="R1384" s="58"/>
    </row>
    <row r="1385">
      <c r="R1385" s="58"/>
    </row>
    <row r="1386">
      <c r="R1386" s="58"/>
    </row>
    <row r="1387">
      <c r="R1387" s="58"/>
    </row>
    <row r="1388">
      <c r="R1388" s="58"/>
    </row>
    <row r="1389">
      <c r="R1389" s="58"/>
    </row>
    <row r="1390">
      <c r="R1390" s="58"/>
    </row>
    <row r="1391">
      <c r="R1391" s="58"/>
    </row>
    <row r="1392">
      <c r="R1392" s="58"/>
    </row>
    <row r="1393">
      <c r="R1393" s="58"/>
    </row>
    <row r="1394">
      <c r="R1394" s="58"/>
    </row>
    <row r="1395">
      <c r="R1395" s="58"/>
    </row>
    <row r="1396">
      <c r="R1396" s="58"/>
    </row>
    <row r="1397">
      <c r="R1397" s="58"/>
    </row>
    <row r="1398">
      <c r="R1398" s="58"/>
    </row>
    <row r="1399">
      <c r="R1399" s="58"/>
    </row>
    <row r="1400">
      <c r="R1400" s="58"/>
    </row>
    <row r="1401">
      <c r="R1401" s="58"/>
    </row>
    <row r="1402">
      <c r="R1402" s="58"/>
    </row>
    <row r="1403">
      <c r="R1403" s="58"/>
    </row>
    <row r="1404">
      <c r="R1404" s="58"/>
    </row>
    <row r="1405">
      <c r="R1405" s="58"/>
    </row>
    <row r="1406">
      <c r="R1406" s="58"/>
    </row>
    <row r="1407">
      <c r="R1407" s="58"/>
    </row>
    <row r="1408">
      <c r="R1408" s="58"/>
    </row>
    <row r="1409">
      <c r="R1409" s="58"/>
    </row>
    <row r="1410">
      <c r="R1410" s="58"/>
    </row>
    <row r="1411">
      <c r="R1411" s="58"/>
    </row>
    <row r="1412">
      <c r="R1412" s="58"/>
    </row>
    <row r="1413">
      <c r="R1413" s="58"/>
    </row>
    <row r="1414">
      <c r="R1414" s="58"/>
    </row>
    <row r="1415">
      <c r="R1415" s="58"/>
    </row>
    <row r="1416">
      <c r="R1416" s="58"/>
    </row>
    <row r="1417">
      <c r="R1417" s="58"/>
    </row>
    <row r="1418">
      <c r="R1418" s="58"/>
    </row>
    <row r="1419">
      <c r="R1419" s="58"/>
    </row>
    <row r="1420">
      <c r="R1420" s="58"/>
    </row>
    <row r="1421">
      <c r="R1421" s="58"/>
    </row>
    <row r="1422">
      <c r="R1422" s="58"/>
    </row>
    <row r="1423">
      <c r="R1423" s="58"/>
    </row>
    <row r="1424">
      <c r="R1424" s="58"/>
    </row>
    <row r="1425">
      <c r="R1425" s="58"/>
    </row>
    <row r="1426">
      <c r="R1426" s="58"/>
    </row>
    <row r="1427">
      <c r="R1427" s="58"/>
    </row>
    <row r="1428">
      <c r="R1428" s="58"/>
    </row>
    <row r="1429">
      <c r="R1429" s="58"/>
    </row>
    <row r="1430">
      <c r="R1430" s="58"/>
    </row>
    <row r="1431">
      <c r="R1431" s="58"/>
    </row>
    <row r="1432">
      <c r="R1432" s="58"/>
    </row>
    <row r="1433">
      <c r="R1433" s="58"/>
    </row>
    <row r="1434">
      <c r="R1434" s="58"/>
    </row>
    <row r="1435">
      <c r="R1435" s="58"/>
    </row>
    <row r="1436">
      <c r="R1436" s="58"/>
    </row>
    <row r="1437">
      <c r="R1437" s="58"/>
    </row>
    <row r="1438">
      <c r="R1438" s="58"/>
    </row>
    <row r="1439">
      <c r="R1439" s="58"/>
    </row>
    <row r="1440">
      <c r="R1440" s="58"/>
    </row>
    <row r="1441">
      <c r="R1441" s="58"/>
    </row>
    <row r="1442">
      <c r="R1442" s="58"/>
    </row>
    <row r="1443">
      <c r="R1443" s="58"/>
    </row>
    <row r="1444">
      <c r="R1444" s="58"/>
    </row>
    <row r="1445">
      <c r="R1445" s="58"/>
    </row>
    <row r="1446">
      <c r="R1446" s="58"/>
    </row>
    <row r="1447">
      <c r="R1447" s="58"/>
    </row>
    <row r="1448">
      <c r="R1448" s="58"/>
    </row>
    <row r="1449">
      <c r="R1449" s="58"/>
    </row>
    <row r="1450">
      <c r="R1450" s="58"/>
    </row>
    <row r="1451">
      <c r="R1451" s="58"/>
    </row>
    <row r="1452">
      <c r="R1452" s="58"/>
    </row>
    <row r="1453">
      <c r="R1453" s="58"/>
    </row>
    <row r="1454">
      <c r="R1454" s="58"/>
    </row>
    <row r="1455">
      <c r="R1455" s="58"/>
    </row>
    <row r="1456">
      <c r="R1456" s="58"/>
    </row>
    <row r="1457">
      <c r="R1457" s="58"/>
    </row>
    <row r="1458">
      <c r="R1458" s="58"/>
    </row>
    <row r="1459">
      <c r="R1459" s="58"/>
    </row>
    <row r="1460">
      <c r="R1460" s="58"/>
    </row>
    <row r="1461">
      <c r="R1461" s="58"/>
    </row>
    <row r="1462">
      <c r="R1462" s="58"/>
    </row>
    <row r="1463">
      <c r="R1463" s="58"/>
    </row>
    <row r="1464">
      <c r="R1464" s="58"/>
    </row>
    <row r="1465">
      <c r="R1465" s="58"/>
    </row>
    <row r="1466">
      <c r="R1466" s="58"/>
    </row>
    <row r="1467">
      <c r="R1467" s="58"/>
    </row>
    <row r="1468">
      <c r="R1468" s="58"/>
    </row>
    <row r="1469">
      <c r="R1469" s="58"/>
    </row>
    <row r="1470">
      <c r="R1470" s="58"/>
    </row>
    <row r="1471">
      <c r="R1471" s="58"/>
    </row>
    <row r="1472">
      <c r="R1472" s="58"/>
    </row>
    <row r="1473">
      <c r="R1473" s="58"/>
    </row>
    <row r="1474">
      <c r="R1474" s="58"/>
    </row>
    <row r="1475">
      <c r="R1475" s="58"/>
    </row>
    <row r="1476">
      <c r="R1476" s="58"/>
    </row>
    <row r="1477">
      <c r="R1477" s="58"/>
    </row>
    <row r="1478">
      <c r="R1478" s="58"/>
    </row>
    <row r="1479">
      <c r="R1479" s="58"/>
    </row>
    <row r="1480">
      <c r="R1480" s="58"/>
    </row>
    <row r="1481">
      <c r="R1481" s="58"/>
    </row>
    <row r="1482">
      <c r="R1482" s="58"/>
    </row>
    <row r="1483">
      <c r="R1483" s="58"/>
    </row>
    <row r="1484">
      <c r="R1484" s="58"/>
    </row>
    <row r="1485">
      <c r="R1485" s="58"/>
    </row>
    <row r="1486">
      <c r="R1486" s="58"/>
    </row>
    <row r="1487">
      <c r="R1487" s="58"/>
    </row>
    <row r="1488">
      <c r="R1488" s="58"/>
    </row>
    <row r="1489">
      <c r="R1489" s="58"/>
    </row>
    <row r="1490">
      <c r="R1490" s="58"/>
    </row>
    <row r="1491">
      <c r="R1491" s="58"/>
    </row>
    <row r="1492">
      <c r="R1492" s="58"/>
    </row>
    <row r="1493">
      <c r="R1493" s="58"/>
    </row>
    <row r="1494">
      <c r="R1494" s="58"/>
    </row>
    <row r="1495">
      <c r="R1495" s="58"/>
    </row>
    <row r="1496">
      <c r="R1496" s="58"/>
    </row>
    <row r="1497">
      <c r="R1497" s="58"/>
    </row>
    <row r="1498">
      <c r="R1498" s="58"/>
    </row>
    <row r="1499">
      <c r="R1499" s="58"/>
    </row>
    <row r="1500">
      <c r="R1500" s="58"/>
    </row>
    <row r="1501">
      <c r="R1501" s="58"/>
    </row>
    <row r="1502">
      <c r="R1502" s="58"/>
    </row>
    <row r="1503">
      <c r="R1503" s="58"/>
    </row>
    <row r="1504">
      <c r="R1504" s="58"/>
    </row>
    <row r="1505">
      <c r="R1505" s="58"/>
    </row>
    <row r="1506">
      <c r="R1506" s="58"/>
    </row>
    <row r="1507">
      <c r="R1507" s="58"/>
    </row>
    <row r="1508">
      <c r="R1508" s="58"/>
    </row>
    <row r="1509">
      <c r="R1509" s="58"/>
    </row>
    <row r="1510">
      <c r="R1510" s="58"/>
    </row>
    <row r="1511">
      <c r="R1511" s="58"/>
    </row>
    <row r="1512">
      <c r="R1512" s="58"/>
    </row>
    <row r="1513">
      <c r="R1513" s="58"/>
    </row>
    <row r="1514">
      <c r="R1514" s="58"/>
    </row>
    <row r="1515">
      <c r="R1515" s="58"/>
    </row>
    <row r="1516">
      <c r="R1516" s="58"/>
    </row>
    <row r="1517">
      <c r="R1517" s="58"/>
    </row>
    <row r="1518">
      <c r="R1518" s="58"/>
    </row>
    <row r="1519">
      <c r="R1519" s="58"/>
    </row>
    <row r="1520">
      <c r="R1520" s="58"/>
    </row>
    <row r="1521">
      <c r="R1521" s="58"/>
    </row>
    <row r="1522">
      <c r="R1522" s="58"/>
    </row>
    <row r="1523">
      <c r="R1523" s="58"/>
    </row>
    <row r="1524">
      <c r="R1524" s="58"/>
    </row>
    <row r="1525">
      <c r="R1525" s="58"/>
    </row>
    <row r="1526">
      <c r="R1526" s="58"/>
    </row>
    <row r="1527">
      <c r="R1527" s="58"/>
    </row>
    <row r="1528">
      <c r="R1528" s="58"/>
    </row>
    <row r="1529">
      <c r="R1529" s="58"/>
    </row>
    <row r="1530">
      <c r="R1530" s="58"/>
    </row>
    <row r="1531">
      <c r="R1531" s="58"/>
    </row>
    <row r="1532">
      <c r="R1532" s="58"/>
    </row>
    <row r="1533">
      <c r="R1533" s="58"/>
    </row>
    <row r="1534">
      <c r="R1534" s="58"/>
    </row>
    <row r="1535">
      <c r="R1535" s="58"/>
    </row>
    <row r="1536">
      <c r="R1536" s="58"/>
    </row>
    <row r="1537">
      <c r="R1537" s="58"/>
    </row>
    <row r="1538">
      <c r="R1538" s="58"/>
    </row>
    <row r="1539">
      <c r="R1539" s="58"/>
    </row>
    <row r="1540">
      <c r="R1540" s="58"/>
    </row>
    <row r="1541">
      <c r="R1541" s="58"/>
    </row>
    <row r="1542">
      <c r="R1542" s="58"/>
    </row>
    <row r="1543">
      <c r="R1543" s="58"/>
    </row>
    <row r="1544">
      <c r="R1544" s="58"/>
    </row>
    <row r="1545">
      <c r="R1545" s="58"/>
    </row>
    <row r="1546">
      <c r="R1546" s="58"/>
    </row>
    <row r="1547">
      <c r="R1547" s="58"/>
    </row>
    <row r="1548">
      <c r="R1548" s="58"/>
    </row>
    <row r="1549">
      <c r="R1549" s="58"/>
    </row>
    <row r="1550">
      <c r="R1550" s="58"/>
    </row>
    <row r="1551">
      <c r="R1551" s="58"/>
    </row>
    <row r="1552">
      <c r="R1552" s="58"/>
    </row>
    <row r="1553">
      <c r="R1553" s="58"/>
    </row>
    <row r="1554">
      <c r="R1554" s="58"/>
    </row>
    <row r="1555">
      <c r="R1555" s="58"/>
    </row>
    <row r="1556">
      <c r="R1556" s="58"/>
    </row>
    <row r="1557">
      <c r="R1557" s="58"/>
    </row>
    <row r="1558">
      <c r="R1558" s="58"/>
    </row>
    <row r="1559">
      <c r="R1559" s="58"/>
    </row>
    <row r="1560">
      <c r="R1560" s="58"/>
    </row>
    <row r="1561">
      <c r="R1561" s="58"/>
    </row>
    <row r="1562">
      <c r="R1562" s="58"/>
    </row>
    <row r="1563">
      <c r="R1563" s="58"/>
    </row>
    <row r="1564">
      <c r="R1564" s="58"/>
    </row>
    <row r="1565">
      <c r="R1565" s="58"/>
    </row>
    <row r="1566">
      <c r="R1566" s="58"/>
    </row>
    <row r="1567">
      <c r="R1567" s="58"/>
    </row>
    <row r="1568">
      <c r="R1568" s="58"/>
    </row>
    <row r="1569">
      <c r="R1569" s="58"/>
    </row>
    <row r="1570">
      <c r="R1570" s="58"/>
    </row>
    <row r="1571">
      <c r="R1571" s="58"/>
    </row>
    <row r="1572">
      <c r="R1572" s="58"/>
    </row>
    <row r="1573">
      <c r="R1573" s="58"/>
    </row>
    <row r="1574">
      <c r="R1574" s="58"/>
    </row>
    <row r="1575">
      <c r="R1575" s="58"/>
    </row>
    <row r="1576">
      <c r="R1576" s="58"/>
    </row>
    <row r="1577">
      <c r="R1577" s="58"/>
    </row>
    <row r="1578">
      <c r="R1578" s="58"/>
    </row>
    <row r="1579">
      <c r="R1579" s="58"/>
    </row>
    <row r="1580">
      <c r="R1580" s="58"/>
    </row>
    <row r="1581">
      <c r="R1581" s="58"/>
    </row>
    <row r="1582">
      <c r="R1582" s="58"/>
    </row>
    <row r="1583">
      <c r="R1583" s="58"/>
    </row>
    <row r="1584">
      <c r="R1584" s="58"/>
    </row>
    <row r="1585">
      <c r="R1585" s="58"/>
    </row>
    <row r="1586">
      <c r="R1586" s="58"/>
    </row>
    <row r="1587">
      <c r="R1587" s="58"/>
    </row>
    <row r="1588">
      <c r="R1588" s="58"/>
    </row>
    <row r="1589">
      <c r="R1589" s="58"/>
    </row>
    <row r="1590">
      <c r="R1590" s="58"/>
    </row>
    <row r="1591">
      <c r="R1591" s="58"/>
    </row>
    <row r="1592">
      <c r="R1592" s="58"/>
    </row>
    <row r="1593">
      <c r="R1593" s="58"/>
    </row>
    <row r="1594">
      <c r="R1594" s="58"/>
    </row>
    <row r="1595">
      <c r="R1595" s="58"/>
    </row>
    <row r="1596">
      <c r="R1596" s="58"/>
    </row>
    <row r="1597">
      <c r="R1597" s="58"/>
    </row>
    <row r="1598">
      <c r="R1598" s="58"/>
    </row>
    <row r="1599">
      <c r="R1599" s="58"/>
    </row>
    <row r="1600">
      <c r="R1600" s="58"/>
    </row>
    <row r="1601">
      <c r="R1601" s="58"/>
    </row>
    <row r="1602">
      <c r="R1602" s="58"/>
    </row>
    <row r="1603">
      <c r="R1603" s="58"/>
    </row>
    <row r="1604">
      <c r="R1604" s="58"/>
    </row>
    <row r="1605">
      <c r="R1605" s="58"/>
    </row>
    <row r="1606">
      <c r="R1606" s="58"/>
    </row>
    <row r="1607">
      <c r="R1607" s="58"/>
    </row>
    <row r="1608">
      <c r="R1608" s="58"/>
    </row>
    <row r="1609">
      <c r="R1609" s="58"/>
    </row>
    <row r="1610">
      <c r="R1610" s="58"/>
    </row>
    <row r="1611">
      <c r="R1611" s="58"/>
    </row>
    <row r="1612">
      <c r="R1612" s="58"/>
    </row>
    <row r="1613">
      <c r="R1613" s="58"/>
    </row>
    <row r="1614">
      <c r="R1614" s="58"/>
    </row>
    <row r="1615">
      <c r="R1615" s="58"/>
    </row>
    <row r="1616">
      <c r="R1616" s="58"/>
    </row>
    <row r="1617">
      <c r="R1617" s="58"/>
    </row>
    <row r="1618">
      <c r="R1618" s="58"/>
    </row>
    <row r="1619">
      <c r="R1619" s="58"/>
    </row>
    <row r="1620">
      <c r="R1620" s="58"/>
    </row>
    <row r="1621">
      <c r="R1621" s="58"/>
    </row>
    <row r="1622">
      <c r="R1622" s="58"/>
    </row>
    <row r="1623">
      <c r="R1623" s="58"/>
    </row>
    <row r="1624">
      <c r="R1624" s="58"/>
    </row>
    <row r="1625">
      <c r="R1625" s="58"/>
    </row>
    <row r="1626">
      <c r="R1626" s="58"/>
    </row>
    <row r="1627">
      <c r="R1627" s="58"/>
    </row>
    <row r="1628">
      <c r="R1628" s="58"/>
    </row>
    <row r="1629">
      <c r="R1629" s="58"/>
    </row>
    <row r="1630">
      <c r="R1630" s="58"/>
    </row>
    <row r="1631">
      <c r="R1631" s="58"/>
    </row>
    <row r="1632">
      <c r="R1632" s="58"/>
    </row>
    <row r="1633">
      <c r="R1633" s="58"/>
    </row>
    <row r="1634">
      <c r="R1634" s="58"/>
    </row>
    <row r="1635">
      <c r="R1635" s="58"/>
    </row>
    <row r="1636">
      <c r="R1636" s="58"/>
    </row>
    <row r="1637">
      <c r="R1637" s="58"/>
    </row>
    <row r="1638">
      <c r="R1638" s="58"/>
    </row>
    <row r="1639">
      <c r="R1639" s="58"/>
    </row>
    <row r="1640">
      <c r="R1640" s="58"/>
    </row>
    <row r="1641">
      <c r="R1641" s="58"/>
    </row>
    <row r="1642">
      <c r="R1642" s="58"/>
    </row>
    <row r="1643">
      <c r="R1643" s="58"/>
    </row>
    <row r="1644">
      <c r="R1644" s="58"/>
    </row>
    <row r="1645">
      <c r="R1645" s="58"/>
    </row>
    <row r="1646">
      <c r="R1646" s="58"/>
    </row>
    <row r="1647">
      <c r="R1647" s="58"/>
    </row>
    <row r="1648">
      <c r="R1648" s="58"/>
    </row>
    <row r="1649">
      <c r="R1649" s="58"/>
    </row>
    <row r="1650">
      <c r="R1650" s="58"/>
    </row>
    <row r="1651">
      <c r="R1651" s="58"/>
    </row>
    <row r="1652">
      <c r="R1652" s="58"/>
    </row>
    <row r="1653">
      <c r="R1653" s="58"/>
    </row>
    <row r="1654">
      <c r="R1654" s="58"/>
    </row>
    <row r="1655">
      <c r="R1655" s="58"/>
    </row>
    <row r="1656">
      <c r="R1656" s="58"/>
    </row>
    <row r="1657">
      <c r="R1657" s="58"/>
    </row>
    <row r="1658">
      <c r="R1658" s="58"/>
    </row>
    <row r="1659">
      <c r="R1659" s="58"/>
    </row>
    <row r="1660">
      <c r="R1660" s="58"/>
    </row>
    <row r="1661">
      <c r="R1661" s="58"/>
    </row>
    <row r="1662">
      <c r="R1662" s="58"/>
    </row>
    <row r="1663">
      <c r="R1663" s="58"/>
    </row>
    <row r="1664">
      <c r="R1664" s="58"/>
    </row>
    <row r="1665">
      <c r="R1665" s="58"/>
    </row>
    <row r="1666">
      <c r="R1666" s="58"/>
    </row>
    <row r="1667">
      <c r="R1667" s="58"/>
    </row>
    <row r="1668">
      <c r="R1668" s="58"/>
    </row>
    <row r="1669">
      <c r="R1669" s="58"/>
    </row>
    <row r="1670">
      <c r="R1670" s="58"/>
    </row>
    <row r="1671">
      <c r="R1671" s="58"/>
    </row>
    <row r="1672">
      <c r="R1672" s="58"/>
    </row>
    <row r="1673">
      <c r="R1673" s="58"/>
    </row>
    <row r="1674">
      <c r="R1674" s="58"/>
    </row>
    <row r="1675">
      <c r="R1675" s="58"/>
    </row>
    <row r="1676">
      <c r="R1676" s="58"/>
    </row>
    <row r="1677">
      <c r="R1677" s="58"/>
    </row>
    <row r="1678">
      <c r="R1678" s="58"/>
    </row>
    <row r="1679">
      <c r="R1679" s="58"/>
    </row>
    <row r="1680">
      <c r="R1680" s="58"/>
    </row>
    <row r="1681">
      <c r="R1681" s="58"/>
    </row>
    <row r="1682">
      <c r="R1682" s="58"/>
    </row>
    <row r="1683">
      <c r="R1683" s="58"/>
    </row>
    <row r="1684">
      <c r="R1684" s="58"/>
    </row>
    <row r="1685">
      <c r="R1685" s="58"/>
    </row>
    <row r="1686">
      <c r="R1686" s="58"/>
    </row>
    <row r="1687">
      <c r="R1687" s="58"/>
    </row>
    <row r="1688">
      <c r="R1688" s="58"/>
    </row>
    <row r="1689">
      <c r="R1689" s="58"/>
    </row>
    <row r="1690">
      <c r="R1690" s="58"/>
    </row>
    <row r="1691">
      <c r="R1691" s="58"/>
    </row>
    <row r="1692">
      <c r="R1692" s="58"/>
    </row>
    <row r="1693">
      <c r="R1693" s="58"/>
    </row>
    <row r="1694">
      <c r="R1694" s="58"/>
    </row>
    <row r="1695">
      <c r="R1695" s="58"/>
    </row>
    <row r="1696">
      <c r="R1696" s="58"/>
    </row>
    <row r="1697">
      <c r="R1697" s="58"/>
    </row>
    <row r="1698">
      <c r="R1698" s="58"/>
    </row>
    <row r="1699">
      <c r="R1699" s="58"/>
    </row>
    <row r="1700">
      <c r="R1700" s="58"/>
    </row>
    <row r="1701">
      <c r="R1701" s="58"/>
    </row>
    <row r="1702">
      <c r="R1702" s="58"/>
    </row>
    <row r="1703">
      <c r="R1703" s="58"/>
    </row>
    <row r="1704">
      <c r="R1704" s="58"/>
    </row>
    <row r="1705">
      <c r="R1705" s="58"/>
    </row>
    <row r="1706">
      <c r="R1706" s="58"/>
    </row>
    <row r="1707">
      <c r="R1707" s="58"/>
    </row>
    <row r="1708">
      <c r="R1708" s="58"/>
    </row>
    <row r="1709">
      <c r="R1709" s="58"/>
    </row>
    <row r="1710">
      <c r="R1710" s="58"/>
    </row>
    <row r="1711">
      <c r="R1711" s="58"/>
    </row>
    <row r="1712">
      <c r="R1712" s="58"/>
    </row>
    <row r="1713">
      <c r="R1713" s="58"/>
    </row>
    <row r="1714">
      <c r="R1714" s="58"/>
    </row>
    <row r="1715">
      <c r="R1715" s="58"/>
    </row>
    <row r="1716">
      <c r="R1716" s="58"/>
    </row>
    <row r="1717">
      <c r="R1717" s="58"/>
    </row>
    <row r="1718">
      <c r="R1718" s="58"/>
    </row>
    <row r="1719">
      <c r="R1719" s="58"/>
    </row>
    <row r="1720">
      <c r="R1720" s="58"/>
    </row>
    <row r="1721">
      <c r="R1721" s="58"/>
    </row>
    <row r="1722">
      <c r="R1722" s="58"/>
    </row>
    <row r="1723">
      <c r="R1723" s="58"/>
    </row>
    <row r="1724">
      <c r="R1724" s="58"/>
    </row>
    <row r="1725">
      <c r="R1725" s="58"/>
    </row>
    <row r="1726">
      <c r="R1726" s="58"/>
    </row>
    <row r="1727">
      <c r="R1727" s="58"/>
    </row>
    <row r="1728">
      <c r="R1728" s="58"/>
    </row>
    <row r="1729">
      <c r="R1729" s="58"/>
    </row>
    <row r="1730">
      <c r="R1730" s="58"/>
    </row>
    <row r="1731">
      <c r="R1731" s="58"/>
    </row>
    <row r="1732">
      <c r="R1732" s="58"/>
    </row>
    <row r="1733">
      <c r="R1733" s="58"/>
    </row>
    <row r="1734">
      <c r="R1734" s="58"/>
    </row>
    <row r="1735">
      <c r="R1735" s="58"/>
    </row>
    <row r="1736">
      <c r="R1736" s="58"/>
    </row>
    <row r="1737">
      <c r="R1737" s="58"/>
    </row>
    <row r="1738">
      <c r="R1738" s="58"/>
    </row>
    <row r="1739">
      <c r="R1739" s="58"/>
    </row>
    <row r="1740">
      <c r="R1740" s="58"/>
    </row>
    <row r="1741">
      <c r="R1741" s="58"/>
    </row>
    <row r="1742">
      <c r="R1742" s="58"/>
    </row>
    <row r="1743">
      <c r="R1743" s="58"/>
    </row>
    <row r="1744">
      <c r="R1744" s="58"/>
    </row>
    <row r="1745">
      <c r="R1745" s="58"/>
    </row>
    <row r="1746">
      <c r="R1746" s="58"/>
    </row>
    <row r="1747">
      <c r="R1747" s="58"/>
    </row>
    <row r="1748">
      <c r="R1748" s="58"/>
    </row>
    <row r="1749">
      <c r="R1749" s="58"/>
    </row>
    <row r="1750">
      <c r="R1750" s="58"/>
    </row>
    <row r="1751">
      <c r="R1751" s="58"/>
    </row>
    <row r="1752">
      <c r="R1752" s="58"/>
    </row>
    <row r="1753">
      <c r="R1753" s="58"/>
    </row>
    <row r="1754">
      <c r="R1754" s="58"/>
    </row>
    <row r="1755">
      <c r="R1755" s="58"/>
    </row>
    <row r="1756">
      <c r="R1756" s="58"/>
    </row>
    <row r="1757">
      <c r="R1757" s="58"/>
    </row>
    <row r="1758">
      <c r="R1758" s="58"/>
    </row>
    <row r="1759">
      <c r="R1759" s="58"/>
    </row>
    <row r="1760">
      <c r="R1760" s="58"/>
    </row>
    <row r="1761">
      <c r="R1761" s="58"/>
    </row>
    <row r="1762">
      <c r="R1762" s="58"/>
    </row>
    <row r="1763">
      <c r="R1763" s="58"/>
    </row>
    <row r="1764">
      <c r="R1764" s="58"/>
    </row>
    <row r="1765">
      <c r="R1765" s="58"/>
    </row>
    <row r="1766">
      <c r="R1766" s="58"/>
    </row>
    <row r="1767">
      <c r="R1767" s="58"/>
    </row>
    <row r="1768">
      <c r="R1768" s="58"/>
    </row>
    <row r="1769">
      <c r="R1769" s="58"/>
    </row>
    <row r="1770">
      <c r="R1770" s="58"/>
    </row>
    <row r="1771">
      <c r="R1771" s="58"/>
    </row>
    <row r="1772">
      <c r="R1772" s="58"/>
    </row>
    <row r="1773">
      <c r="R1773" s="58"/>
    </row>
    <row r="1774">
      <c r="R1774" s="58"/>
    </row>
    <row r="1775">
      <c r="R1775" s="58"/>
    </row>
    <row r="1776">
      <c r="R1776" s="58"/>
    </row>
    <row r="1777">
      <c r="R1777" s="58"/>
    </row>
    <row r="1778">
      <c r="R1778" s="58"/>
    </row>
    <row r="1779">
      <c r="R1779" s="58"/>
    </row>
    <row r="1780">
      <c r="R1780" s="58"/>
    </row>
    <row r="1781">
      <c r="R1781" s="58"/>
    </row>
    <row r="1782">
      <c r="R1782" s="58"/>
    </row>
    <row r="1783">
      <c r="R1783" s="58"/>
    </row>
    <row r="1784">
      <c r="R1784" s="58"/>
    </row>
    <row r="1785">
      <c r="R1785" s="58"/>
    </row>
    <row r="1786">
      <c r="R1786" s="58"/>
    </row>
    <row r="1787">
      <c r="R1787" s="58"/>
    </row>
    <row r="1788">
      <c r="R1788" s="58"/>
    </row>
    <row r="1789">
      <c r="R1789" s="58"/>
    </row>
    <row r="1790">
      <c r="R1790" s="58"/>
    </row>
    <row r="1791">
      <c r="R1791" s="58"/>
    </row>
    <row r="1792">
      <c r="R1792" s="58"/>
    </row>
    <row r="1793">
      <c r="R1793" s="58"/>
    </row>
    <row r="1794">
      <c r="R1794" s="58"/>
    </row>
    <row r="1795">
      <c r="R1795" s="58"/>
    </row>
    <row r="1796">
      <c r="R1796" s="58"/>
    </row>
    <row r="1797">
      <c r="R1797" s="58"/>
    </row>
    <row r="1798">
      <c r="R1798" s="58"/>
    </row>
    <row r="1799">
      <c r="R1799" s="58"/>
    </row>
    <row r="1800">
      <c r="R1800" s="58"/>
    </row>
    <row r="1801">
      <c r="R1801" s="58"/>
    </row>
    <row r="1802">
      <c r="R1802" s="58"/>
    </row>
    <row r="1803">
      <c r="R1803" s="58"/>
    </row>
    <row r="1804">
      <c r="R1804" s="58"/>
    </row>
    <row r="1805">
      <c r="R1805" s="58"/>
    </row>
    <row r="1806">
      <c r="R1806" s="58"/>
    </row>
    <row r="1807">
      <c r="R1807" s="58"/>
    </row>
    <row r="1808">
      <c r="R1808" s="58"/>
    </row>
    <row r="1809">
      <c r="R1809" s="58"/>
    </row>
    <row r="1810">
      <c r="R1810" s="58"/>
    </row>
    <row r="1811">
      <c r="R1811" s="58"/>
    </row>
    <row r="1812">
      <c r="R1812" s="58"/>
    </row>
    <row r="1813">
      <c r="R1813" s="58"/>
    </row>
    <row r="1814">
      <c r="R1814" s="58"/>
    </row>
    <row r="1815">
      <c r="R1815" s="58"/>
    </row>
    <row r="1816">
      <c r="R1816" s="58"/>
    </row>
    <row r="1817">
      <c r="R1817" s="58"/>
    </row>
    <row r="1818">
      <c r="R1818" s="58"/>
    </row>
    <row r="1819">
      <c r="R1819" s="58"/>
    </row>
    <row r="1820">
      <c r="R1820" s="58"/>
    </row>
    <row r="1821">
      <c r="R1821" s="58"/>
    </row>
    <row r="1822">
      <c r="R1822" s="58"/>
    </row>
    <row r="1823">
      <c r="R1823" s="58"/>
    </row>
    <row r="1824">
      <c r="R1824" s="58"/>
    </row>
    <row r="1825">
      <c r="R1825" s="58"/>
    </row>
    <row r="1826">
      <c r="R1826" s="58"/>
    </row>
    <row r="1827">
      <c r="R1827" s="58"/>
    </row>
    <row r="1828">
      <c r="R1828" s="58"/>
    </row>
    <row r="1829">
      <c r="R1829" s="58"/>
    </row>
    <row r="1830">
      <c r="R1830" s="58"/>
    </row>
    <row r="1831">
      <c r="R1831" s="58"/>
    </row>
    <row r="1832">
      <c r="R1832" s="58"/>
    </row>
    <row r="1833">
      <c r="R1833" s="58"/>
    </row>
    <row r="1834">
      <c r="R1834" s="58"/>
    </row>
    <row r="1835">
      <c r="R1835" s="58"/>
    </row>
    <row r="1836">
      <c r="R1836" s="58"/>
    </row>
    <row r="1837">
      <c r="R1837" s="58"/>
    </row>
    <row r="1838">
      <c r="R1838" s="58"/>
    </row>
    <row r="1839">
      <c r="R1839" s="58"/>
    </row>
    <row r="1840">
      <c r="R1840" s="58"/>
    </row>
    <row r="1841">
      <c r="R1841" s="58"/>
    </row>
    <row r="1842">
      <c r="R1842" s="58"/>
    </row>
    <row r="1843">
      <c r="R1843" s="58"/>
    </row>
    <row r="1844">
      <c r="R1844" s="58"/>
    </row>
    <row r="1845">
      <c r="R1845" s="58"/>
    </row>
    <row r="1846">
      <c r="R1846" s="58"/>
    </row>
    <row r="1847">
      <c r="R1847" s="58"/>
    </row>
    <row r="1848">
      <c r="R1848" s="58"/>
    </row>
    <row r="1849">
      <c r="R1849" s="58"/>
    </row>
    <row r="1850">
      <c r="R1850" s="58"/>
    </row>
    <row r="1851">
      <c r="R1851" s="58"/>
    </row>
    <row r="1852">
      <c r="R1852" s="58"/>
    </row>
    <row r="1853">
      <c r="R1853" s="58"/>
    </row>
    <row r="1854">
      <c r="R1854" s="58"/>
    </row>
    <row r="1855">
      <c r="R1855" s="58"/>
    </row>
    <row r="1856">
      <c r="R1856" s="58"/>
    </row>
    <row r="1857">
      <c r="R1857" s="58"/>
    </row>
    <row r="1858">
      <c r="R1858" s="58"/>
    </row>
    <row r="1859">
      <c r="R1859" s="58"/>
    </row>
    <row r="1860">
      <c r="R1860" s="58"/>
    </row>
    <row r="1861">
      <c r="R1861" s="58"/>
    </row>
    <row r="1862">
      <c r="R1862" s="58"/>
    </row>
    <row r="1863">
      <c r="R1863" s="58"/>
    </row>
    <row r="1864">
      <c r="R1864" s="58"/>
    </row>
    <row r="1865">
      <c r="R1865" s="58"/>
    </row>
    <row r="1866">
      <c r="R1866" s="58"/>
    </row>
    <row r="1867">
      <c r="R1867" s="58"/>
    </row>
    <row r="1868">
      <c r="R1868" s="58"/>
    </row>
    <row r="1869">
      <c r="R1869" s="58"/>
    </row>
    <row r="1870">
      <c r="R1870" s="58"/>
    </row>
    <row r="1871">
      <c r="R1871" s="58"/>
    </row>
    <row r="1872">
      <c r="R1872" s="58"/>
    </row>
    <row r="1873">
      <c r="R1873" s="58"/>
    </row>
    <row r="1874">
      <c r="R1874" s="58"/>
    </row>
    <row r="1875">
      <c r="R1875" s="58"/>
    </row>
    <row r="1876">
      <c r="R1876" s="58"/>
    </row>
    <row r="1877">
      <c r="R1877" s="58"/>
    </row>
    <row r="1878">
      <c r="R1878" s="58"/>
    </row>
    <row r="1879">
      <c r="R1879" s="58"/>
    </row>
    <row r="1880">
      <c r="R1880" s="58"/>
    </row>
    <row r="1881">
      <c r="R1881" s="58"/>
    </row>
    <row r="1882">
      <c r="R1882" s="58"/>
    </row>
    <row r="1883">
      <c r="R1883" s="58"/>
    </row>
    <row r="1884">
      <c r="R1884" s="58"/>
    </row>
    <row r="1885">
      <c r="R1885" s="58"/>
    </row>
    <row r="1886">
      <c r="R1886" s="58"/>
    </row>
    <row r="1887">
      <c r="R1887" s="58"/>
    </row>
    <row r="1888">
      <c r="R1888" s="58"/>
    </row>
    <row r="1889">
      <c r="R1889" s="58"/>
    </row>
    <row r="1890">
      <c r="R1890" s="58"/>
    </row>
    <row r="1891">
      <c r="R1891" s="58"/>
    </row>
    <row r="1892">
      <c r="R1892" s="58"/>
    </row>
    <row r="1893">
      <c r="R1893" s="58"/>
    </row>
    <row r="1894">
      <c r="R1894" s="58"/>
    </row>
    <row r="1895">
      <c r="R1895" s="58"/>
    </row>
    <row r="1896">
      <c r="R1896" s="58"/>
    </row>
    <row r="1897">
      <c r="R1897" s="58"/>
    </row>
    <row r="1898">
      <c r="R1898" s="58"/>
    </row>
    <row r="1899">
      <c r="R1899" s="58"/>
    </row>
    <row r="1900">
      <c r="R1900" s="58"/>
    </row>
    <row r="1901">
      <c r="R1901" s="58"/>
    </row>
    <row r="1902">
      <c r="R1902" s="58"/>
    </row>
    <row r="1903">
      <c r="R1903" s="58"/>
    </row>
    <row r="1904">
      <c r="R1904" s="58"/>
    </row>
    <row r="1905">
      <c r="R1905" s="58"/>
    </row>
    <row r="1906">
      <c r="R1906" s="58"/>
    </row>
    <row r="1907">
      <c r="R1907" s="58"/>
    </row>
    <row r="1908">
      <c r="R1908" s="58"/>
    </row>
    <row r="1909">
      <c r="R1909" s="58"/>
    </row>
    <row r="1910">
      <c r="R1910" s="58"/>
    </row>
    <row r="1911">
      <c r="R1911" s="58"/>
    </row>
    <row r="1912">
      <c r="R1912" s="58"/>
    </row>
    <row r="1913">
      <c r="R1913" s="58"/>
    </row>
    <row r="1914">
      <c r="R1914" s="58"/>
    </row>
    <row r="1915">
      <c r="R1915" s="58"/>
    </row>
    <row r="1916">
      <c r="R1916" s="58"/>
    </row>
    <row r="1917">
      <c r="R1917" s="58"/>
    </row>
    <row r="1918">
      <c r="R1918" s="58"/>
    </row>
    <row r="1919">
      <c r="R1919" s="58"/>
    </row>
    <row r="1920">
      <c r="R1920" s="58"/>
    </row>
    <row r="1921">
      <c r="R1921" s="58"/>
    </row>
    <row r="1922">
      <c r="R1922" s="58"/>
    </row>
    <row r="1923">
      <c r="R1923" s="58"/>
    </row>
    <row r="1924">
      <c r="R1924" s="58"/>
    </row>
    <row r="1925">
      <c r="R1925" s="58"/>
    </row>
    <row r="1926">
      <c r="R1926" s="58"/>
    </row>
    <row r="1927">
      <c r="R1927" s="58"/>
    </row>
    <row r="1928">
      <c r="R1928" s="58"/>
    </row>
    <row r="1929">
      <c r="R1929" s="58"/>
    </row>
    <row r="1930">
      <c r="R1930" s="58"/>
    </row>
    <row r="1931">
      <c r="R1931" s="58"/>
    </row>
    <row r="1932">
      <c r="R1932" s="58"/>
    </row>
    <row r="1933">
      <c r="R1933" s="58"/>
    </row>
    <row r="1934">
      <c r="R1934" s="58"/>
    </row>
    <row r="1935">
      <c r="R1935" s="58"/>
    </row>
    <row r="1936">
      <c r="R1936" s="58"/>
    </row>
    <row r="1937">
      <c r="R1937" s="58"/>
    </row>
    <row r="1938">
      <c r="R1938" s="58"/>
    </row>
    <row r="1939">
      <c r="R1939" s="58"/>
    </row>
    <row r="1940">
      <c r="R1940" s="58"/>
    </row>
    <row r="1941">
      <c r="R1941" s="58"/>
    </row>
    <row r="1942">
      <c r="R1942" s="58"/>
    </row>
    <row r="1943">
      <c r="R1943" s="58"/>
    </row>
    <row r="1944">
      <c r="R1944" s="58"/>
    </row>
    <row r="1945">
      <c r="R1945" s="58"/>
    </row>
    <row r="1946">
      <c r="R1946" s="58"/>
    </row>
    <row r="1947">
      <c r="R1947" s="58"/>
    </row>
    <row r="1948">
      <c r="R1948" s="58"/>
    </row>
    <row r="1949">
      <c r="R1949" s="58"/>
    </row>
    <row r="1950">
      <c r="R1950" s="58"/>
    </row>
    <row r="1951">
      <c r="R1951" s="58"/>
    </row>
    <row r="1952">
      <c r="R1952" s="58"/>
    </row>
    <row r="1953">
      <c r="R1953" s="58"/>
    </row>
    <row r="1954">
      <c r="R1954" s="58"/>
    </row>
    <row r="1955">
      <c r="R1955" s="58"/>
    </row>
    <row r="1956">
      <c r="R1956" s="58"/>
    </row>
    <row r="1957">
      <c r="R1957" s="58"/>
    </row>
    <row r="1958">
      <c r="R1958" s="58"/>
    </row>
    <row r="1959">
      <c r="R1959" s="58"/>
    </row>
    <row r="1960">
      <c r="R1960" s="58"/>
    </row>
    <row r="1961">
      <c r="R1961" s="58"/>
    </row>
    <row r="1962">
      <c r="R1962" s="58"/>
    </row>
    <row r="1963">
      <c r="R1963" s="58"/>
    </row>
    <row r="1964">
      <c r="R1964" s="58"/>
    </row>
    <row r="1965">
      <c r="R1965" s="58"/>
    </row>
    <row r="1966">
      <c r="R1966" s="58"/>
    </row>
    <row r="1967">
      <c r="R1967" s="58"/>
    </row>
    <row r="1968">
      <c r="R1968" s="58"/>
    </row>
    <row r="1969">
      <c r="R1969" s="58"/>
    </row>
    <row r="1970">
      <c r="R1970" s="58"/>
    </row>
    <row r="1971">
      <c r="R1971" s="58"/>
    </row>
    <row r="1972">
      <c r="R1972" s="58"/>
    </row>
    <row r="1973">
      <c r="R1973" s="58"/>
    </row>
    <row r="1974">
      <c r="R1974" s="58"/>
    </row>
    <row r="1975">
      <c r="R1975" s="58"/>
    </row>
    <row r="1976">
      <c r="R1976" s="58"/>
    </row>
    <row r="1977">
      <c r="R1977" s="58"/>
    </row>
    <row r="1978">
      <c r="R1978" s="58"/>
    </row>
    <row r="1979">
      <c r="R1979" s="58"/>
    </row>
    <row r="1980">
      <c r="R1980" s="58"/>
    </row>
    <row r="1981">
      <c r="R1981" s="58"/>
    </row>
    <row r="1982">
      <c r="R1982" s="58"/>
    </row>
    <row r="1983">
      <c r="R1983" s="58"/>
    </row>
    <row r="1984">
      <c r="R1984" s="58"/>
    </row>
    <row r="1985">
      <c r="R1985" s="58"/>
    </row>
    <row r="1986">
      <c r="R1986" s="58"/>
    </row>
    <row r="1987">
      <c r="R1987" s="58"/>
    </row>
    <row r="1988">
      <c r="R1988" s="58"/>
    </row>
    <row r="1989">
      <c r="R1989" s="58"/>
    </row>
    <row r="1990">
      <c r="R1990" s="58"/>
    </row>
    <row r="1991">
      <c r="R1991" s="58"/>
    </row>
    <row r="1992">
      <c r="R1992" s="58"/>
    </row>
    <row r="1993">
      <c r="R1993" s="58"/>
    </row>
    <row r="1994">
      <c r="R1994" s="58"/>
    </row>
    <row r="1995">
      <c r="R1995" s="58"/>
    </row>
    <row r="1996">
      <c r="R1996" s="58"/>
    </row>
    <row r="1997">
      <c r="R1997" s="58"/>
    </row>
    <row r="1998">
      <c r="R1998" s="58"/>
    </row>
    <row r="1999">
      <c r="R1999" s="58"/>
    </row>
    <row r="2000">
      <c r="R2000" s="58"/>
    </row>
    <row r="2001">
      <c r="R2001" s="58"/>
    </row>
    <row r="2002">
      <c r="R2002" s="58"/>
    </row>
    <row r="2003">
      <c r="R2003" s="58"/>
    </row>
    <row r="2004">
      <c r="R2004" s="58"/>
    </row>
    <row r="2005">
      <c r="R2005" s="58"/>
    </row>
    <row r="2006">
      <c r="R2006" s="58"/>
    </row>
    <row r="2007">
      <c r="R2007" s="58"/>
    </row>
    <row r="2008">
      <c r="R2008" s="58"/>
    </row>
    <row r="2009">
      <c r="R2009" s="58"/>
    </row>
    <row r="2010">
      <c r="R2010" s="58"/>
    </row>
    <row r="2011">
      <c r="R2011" s="58"/>
    </row>
    <row r="2012">
      <c r="R2012" s="58"/>
    </row>
    <row r="2013">
      <c r="R2013" s="58"/>
    </row>
    <row r="2014">
      <c r="R2014" s="58"/>
    </row>
    <row r="2015">
      <c r="R2015" s="58"/>
    </row>
    <row r="2016">
      <c r="R2016" s="58"/>
    </row>
    <row r="2017">
      <c r="R2017" s="58"/>
    </row>
    <row r="2018">
      <c r="R2018" s="58"/>
    </row>
    <row r="2019">
      <c r="R2019" s="58"/>
    </row>
    <row r="2020">
      <c r="R2020" s="58"/>
    </row>
    <row r="2021">
      <c r="R2021" s="58"/>
    </row>
    <row r="2022">
      <c r="R2022" s="58"/>
    </row>
    <row r="2023">
      <c r="R2023" s="58"/>
    </row>
    <row r="2024">
      <c r="R2024" s="58"/>
    </row>
    <row r="2025">
      <c r="R2025" s="58"/>
    </row>
    <row r="2026">
      <c r="R2026" s="58"/>
    </row>
    <row r="2027">
      <c r="R2027" s="58"/>
    </row>
    <row r="2028">
      <c r="R2028" s="58"/>
    </row>
    <row r="2029">
      <c r="R2029" s="58"/>
    </row>
    <row r="2030">
      <c r="R2030" s="58"/>
    </row>
    <row r="2031">
      <c r="R2031" s="58"/>
    </row>
    <row r="2032">
      <c r="R2032" s="58"/>
    </row>
    <row r="2033">
      <c r="R2033" s="58"/>
    </row>
    <row r="2034">
      <c r="R2034" s="58"/>
    </row>
    <row r="2035">
      <c r="R2035" s="58"/>
    </row>
    <row r="2036">
      <c r="R2036" s="58"/>
    </row>
    <row r="2037">
      <c r="R2037" s="58"/>
    </row>
    <row r="2038">
      <c r="R2038" s="58"/>
    </row>
    <row r="2039">
      <c r="R2039" s="58"/>
    </row>
    <row r="2040">
      <c r="R2040" s="58"/>
    </row>
    <row r="2041">
      <c r="R2041" s="58"/>
    </row>
    <row r="2042">
      <c r="R2042" s="58"/>
    </row>
    <row r="2043">
      <c r="R2043" s="58"/>
    </row>
    <row r="2044">
      <c r="R2044" s="58"/>
    </row>
    <row r="2045">
      <c r="R2045" s="58"/>
    </row>
    <row r="2046">
      <c r="R2046" s="58"/>
    </row>
    <row r="2047">
      <c r="R2047" s="58"/>
    </row>
    <row r="2048">
      <c r="R2048" s="58"/>
    </row>
    <row r="2049">
      <c r="R2049" s="58"/>
    </row>
    <row r="2050">
      <c r="R2050" s="58"/>
    </row>
    <row r="2051">
      <c r="R2051" s="58"/>
    </row>
    <row r="2052">
      <c r="R2052" s="58"/>
    </row>
    <row r="2053">
      <c r="R2053" s="58"/>
    </row>
    <row r="2054">
      <c r="R2054" s="58"/>
    </row>
    <row r="2055">
      <c r="R2055" s="58"/>
    </row>
    <row r="2056">
      <c r="R2056" s="58"/>
    </row>
    <row r="2057">
      <c r="R2057" s="58"/>
    </row>
    <row r="2058">
      <c r="R2058" s="58"/>
    </row>
    <row r="2059">
      <c r="R2059" s="58"/>
    </row>
    <row r="2060">
      <c r="R2060" s="58"/>
    </row>
    <row r="2061">
      <c r="R2061" s="58"/>
    </row>
    <row r="2062">
      <c r="R2062" s="58"/>
    </row>
    <row r="2063">
      <c r="R2063" s="58"/>
    </row>
    <row r="2064">
      <c r="R2064" s="58"/>
    </row>
    <row r="2065">
      <c r="R2065" s="58"/>
    </row>
    <row r="2066">
      <c r="R2066" s="58"/>
    </row>
    <row r="2067">
      <c r="R2067" s="58"/>
    </row>
    <row r="2068">
      <c r="R2068" s="58"/>
    </row>
    <row r="2069">
      <c r="R2069" s="58"/>
    </row>
    <row r="2070">
      <c r="R2070" s="58"/>
    </row>
    <row r="2071">
      <c r="R2071" s="58"/>
    </row>
    <row r="2072">
      <c r="R2072" s="58"/>
    </row>
    <row r="2073">
      <c r="R2073" s="58"/>
    </row>
    <row r="2074">
      <c r="R2074" s="58"/>
    </row>
    <row r="2075">
      <c r="R2075" s="58"/>
    </row>
    <row r="2076">
      <c r="R2076" s="58"/>
    </row>
    <row r="2077">
      <c r="R2077" s="58"/>
    </row>
    <row r="2078">
      <c r="R2078" s="58"/>
    </row>
    <row r="2079">
      <c r="R2079" s="58"/>
    </row>
    <row r="2080">
      <c r="R2080" s="58"/>
    </row>
    <row r="2081">
      <c r="R2081" s="58"/>
    </row>
    <row r="2082">
      <c r="R2082" s="58"/>
    </row>
    <row r="2083">
      <c r="R2083" s="58"/>
    </row>
    <row r="2084">
      <c r="R2084" s="58"/>
    </row>
    <row r="2085">
      <c r="R2085" s="58"/>
    </row>
    <row r="2086">
      <c r="R2086" s="58"/>
    </row>
    <row r="2087">
      <c r="R2087" s="58"/>
    </row>
    <row r="2088">
      <c r="R2088" s="58"/>
    </row>
    <row r="2089">
      <c r="R2089" s="58"/>
    </row>
    <row r="2090">
      <c r="R2090" s="58"/>
    </row>
    <row r="2091">
      <c r="R2091" s="58"/>
    </row>
    <row r="2092">
      <c r="R2092" s="58"/>
    </row>
    <row r="2093">
      <c r="R2093" s="58"/>
    </row>
    <row r="2094">
      <c r="R2094" s="58"/>
    </row>
    <row r="2095">
      <c r="R2095" s="58"/>
    </row>
    <row r="2096">
      <c r="R2096" s="58"/>
    </row>
    <row r="2097">
      <c r="R2097" s="58"/>
    </row>
    <row r="2098">
      <c r="R2098" s="58"/>
    </row>
    <row r="2099">
      <c r="R2099" s="58"/>
    </row>
    <row r="2100">
      <c r="R2100" s="58"/>
    </row>
    <row r="2101">
      <c r="R2101" s="58"/>
    </row>
    <row r="2102">
      <c r="R2102" s="58"/>
    </row>
    <row r="2103">
      <c r="R2103" s="58"/>
    </row>
    <row r="2104">
      <c r="R2104" s="58"/>
    </row>
    <row r="2105">
      <c r="R2105" s="58"/>
    </row>
    <row r="2106">
      <c r="R2106" s="58"/>
    </row>
    <row r="2107">
      <c r="R2107" s="58"/>
    </row>
    <row r="2108">
      <c r="R2108" s="58"/>
    </row>
    <row r="2109">
      <c r="R2109" s="58"/>
    </row>
    <row r="2110">
      <c r="R2110" s="58"/>
    </row>
    <row r="2111">
      <c r="R2111" s="58"/>
    </row>
    <row r="2112">
      <c r="R2112" s="58"/>
    </row>
    <row r="2113">
      <c r="R2113" s="58"/>
    </row>
    <row r="2114">
      <c r="R2114" s="58"/>
    </row>
    <row r="2115">
      <c r="R2115" s="58"/>
    </row>
    <row r="2116">
      <c r="R2116" s="58"/>
    </row>
    <row r="2117">
      <c r="R2117" s="58"/>
    </row>
    <row r="2118">
      <c r="R2118" s="58"/>
    </row>
    <row r="2119">
      <c r="R2119" s="58"/>
    </row>
    <row r="2120">
      <c r="R2120" s="58"/>
    </row>
    <row r="2121">
      <c r="R2121" s="58"/>
    </row>
    <row r="2122">
      <c r="R2122" s="58"/>
    </row>
    <row r="2123">
      <c r="R2123" s="58"/>
    </row>
    <row r="2124">
      <c r="R2124" s="58"/>
    </row>
    <row r="2125">
      <c r="R2125" s="58"/>
    </row>
    <row r="2126">
      <c r="R2126" s="58"/>
    </row>
    <row r="2127">
      <c r="R2127" s="58"/>
    </row>
    <row r="2128">
      <c r="R2128" s="58"/>
    </row>
    <row r="2129">
      <c r="R2129" s="58"/>
    </row>
    <row r="2130">
      <c r="R2130" s="58"/>
    </row>
    <row r="2131">
      <c r="R2131" s="58"/>
    </row>
    <row r="2132">
      <c r="R2132" s="58"/>
    </row>
    <row r="2133">
      <c r="R2133" s="58"/>
    </row>
    <row r="2134">
      <c r="R2134" s="58"/>
    </row>
    <row r="2135">
      <c r="R2135" s="58"/>
    </row>
    <row r="2136">
      <c r="R2136" s="58"/>
    </row>
    <row r="2137">
      <c r="R2137" s="58"/>
    </row>
    <row r="2138">
      <c r="R2138" s="58"/>
    </row>
    <row r="2139">
      <c r="R2139" s="58"/>
    </row>
    <row r="2140">
      <c r="R2140" s="58"/>
    </row>
    <row r="2141">
      <c r="R2141" s="58"/>
    </row>
    <row r="2142">
      <c r="R2142" s="58"/>
    </row>
    <row r="2143">
      <c r="R2143" s="58"/>
    </row>
    <row r="2144">
      <c r="R2144" s="58"/>
    </row>
    <row r="2145">
      <c r="R2145" s="58"/>
    </row>
    <row r="2146">
      <c r="R2146" s="58"/>
    </row>
    <row r="2147">
      <c r="R2147" s="58"/>
    </row>
    <row r="2148">
      <c r="R2148" s="58"/>
    </row>
    <row r="2149">
      <c r="R2149" s="58"/>
    </row>
    <row r="2150">
      <c r="R2150" s="58"/>
    </row>
    <row r="2151">
      <c r="R2151" s="58"/>
    </row>
    <row r="2152">
      <c r="R2152" s="58"/>
    </row>
    <row r="2153">
      <c r="R2153" s="58"/>
    </row>
    <row r="2154">
      <c r="R2154" s="58"/>
    </row>
    <row r="2155">
      <c r="R2155" s="58"/>
    </row>
    <row r="2156">
      <c r="R2156" s="58"/>
    </row>
    <row r="2157">
      <c r="R2157" s="58"/>
    </row>
    <row r="2158">
      <c r="R2158" s="58"/>
    </row>
    <row r="2159">
      <c r="R2159" s="58"/>
    </row>
    <row r="2160">
      <c r="R2160" s="58"/>
    </row>
    <row r="2161">
      <c r="R2161" s="58"/>
    </row>
    <row r="2162">
      <c r="R2162" s="58"/>
    </row>
    <row r="2163">
      <c r="R2163" s="58"/>
    </row>
    <row r="2164">
      <c r="R2164" s="58"/>
    </row>
    <row r="2165">
      <c r="R2165" s="58"/>
    </row>
    <row r="2166">
      <c r="R2166" s="58"/>
    </row>
    <row r="2167">
      <c r="R2167" s="58"/>
    </row>
    <row r="2168">
      <c r="R2168" s="58"/>
    </row>
    <row r="2169">
      <c r="R2169" s="58"/>
    </row>
    <row r="2170">
      <c r="R2170" s="58"/>
    </row>
    <row r="2171">
      <c r="R2171" s="58"/>
    </row>
    <row r="2172">
      <c r="R2172" s="58"/>
    </row>
    <row r="2173">
      <c r="R2173" s="58"/>
    </row>
    <row r="2174">
      <c r="R2174" s="58"/>
    </row>
    <row r="2175">
      <c r="R2175" s="58"/>
    </row>
    <row r="2176">
      <c r="R2176" s="58"/>
    </row>
    <row r="2177">
      <c r="R2177" s="58"/>
    </row>
    <row r="2178">
      <c r="R2178" s="58"/>
    </row>
    <row r="2179">
      <c r="R2179" s="58"/>
    </row>
    <row r="2180">
      <c r="R2180" s="58"/>
    </row>
    <row r="2181">
      <c r="R2181" s="58"/>
    </row>
    <row r="2182">
      <c r="R2182" s="58"/>
    </row>
    <row r="2183">
      <c r="R2183" s="58"/>
    </row>
    <row r="2184">
      <c r="R2184" s="58"/>
    </row>
    <row r="2185">
      <c r="R2185" s="58"/>
    </row>
    <row r="2186">
      <c r="R2186" s="58"/>
    </row>
    <row r="2187">
      <c r="R2187" s="58"/>
    </row>
    <row r="2188">
      <c r="R2188" s="58"/>
    </row>
    <row r="2189">
      <c r="R2189" s="58"/>
    </row>
    <row r="2190">
      <c r="R2190" s="58"/>
    </row>
    <row r="2191">
      <c r="R2191" s="58"/>
    </row>
    <row r="2192">
      <c r="R2192" s="58"/>
    </row>
    <row r="2193">
      <c r="R2193" s="58"/>
    </row>
    <row r="2194">
      <c r="R2194" s="58"/>
    </row>
    <row r="2195">
      <c r="R2195" s="58"/>
    </row>
    <row r="2196">
      <c r="R2196" s="58"/>
    </row>
    <row r="2197">
      <c r="R2197" s="58"/>
    </row>
    <row r="2198">
      <c r="R2198" s="58"/>
    </row>
    <row r="2199">
      <c r="R2199" s="58"/>
    </row>
    <row r="2200">
      <c r="R2200" s="58"/>
    </row>
    <row r="2201">
      <c r="R2201" s="58"/>
    </row>
    <row r="2202">
      <c r="R2202" s="58"/>
    </row>
    <row r="2203">
      <c r="R2203" s="58"/>
    </row>
    <row r="2204">
      <c r="R2204" s="58"/>
    </row>
    <row r="2205">
      <c r="R2205" s="58"/>
    </row>
    <row r="2206">
      <c r="R2206" s="58"/>
    </row>
    <row r="2207">
      <c r="R2207" s="58"/>
    </row>
    <row r="2208">
      <c r="R2208" s="58"/>
    </row>
    <row r="2209">
      <c r="R2209" s="58"/>
    </row>
    <row r="2210">
      <c r="R2210" s="58"/>
    </row>
    <row r="2211">
      <c r="R2211" s="58"/>
    </row>
    <row r="2212">
      <c r="R2212" s="58"/>
    </row>
    <row r="2213">
      <c r="R2213" s="58"/>
    </row>
    <row r="2214">
      <c r="R2214" s="58"/>
    </row>
    <row r="2215">
      <c r="R2215" s="58"/>
    </row>
    <row r="2216">
      <c r="R2216" s="58"/>
    </row>
    <row r="2217">
      <c r="R2217" s="58"/>
    </row>
    <row r="2218">
      <c r="R2218" s="58"/>
    </row>
    <row r="2219">
      <c r="R2219" s="58"/>
    </row>
    <row r="2220">
      <c r="R2220" s="58"/>
    </row>
    <row r="2221">
      <c r="R2221" s="58"/>
    </row>
    <row r="2222">
      <c r="R2222" s="58"/>
    </row>
    <row r="2223">
      <c r="R2223" s="58"/>
    </row>
    <row r="2224">
      <c r="R2224" s="58"/>
    </row>
    <row r="2225">
      <c r="R2225" s="58"/>
    </row>
    <row r="2226">
      <c r="R2226" s="58"/>
    </row>
    <row r="2227">
      <c r="R2227" s="58"/>
    </row>
    <row r="2228">
      <c r="R2228" s="58"/>
    </row>
    <row r="2229">
      <c r="R2229" s="58"/>
    </row>
    <row r="2230">
      <c r="R2230" s="58"/>
    </row>
    <row r="2231">
      <c r="R2231" s="58"/>
    </row>
    <row r="2232">
      <c r="R2232" s="58"/>
    </row>
    <row r="2233">
      <c r="R2233" s="58"/>
    </row>
    <row r="2234">
      <c r="R2234" s="58"/>
    </row>
    <row r="2235">
      <c r="R2235" s="58"/>
    </row>
    <row r="2236">
      <c r="R2236" s="58"/>
    </row>
    <row r="2237">
      <c r="R2237" s="58"/>
    </row>
    <row r="2238">
      <c r="R2238" s="58"/>
    </row>
    <row r="2239">
      <c r="R2239" s="58"/>
    </row>
    <row r="2240">
      <c r="R2240" s="58"/>
    </row>
    <row r="2241">
      <c r="R2241" s="58"/>
    </row>
    <row r="2242">
      <c r="R2242" s="58"/>
    </row>
    <row r="2243">
      <c r="R2243" s="58"/>
    </row>
    <row r="2244">
      <c r="R2244" s="58"/>
    </row>
    <row r="2245">
      <c r="R2245" s="58"/>
    </row>
    <row r="2246">
      <c r="R2246" s="58"/>
    </row>
    <row r="2247">
      <c r="R2247" s="58"/>
    </row>
    <row r="2248">
      <c r="R2248" s="58"/>
    </row>
    <row r="2249">
      <c r="R2249" s="58"/>
    </row>
    <row r="2250">
      <c r="R2250" s="58"/>
    </row>
    <row r="2251">
      <c r="R2251" s="58"/>
    </row>
    <row r="2252">
      <c r="R2252" s="58"/>
    </row>
    <row r="2253">
      <c r="R2253" s="58"/>
    </row>
    <row r="2254">
      <c r="R2254" s="58"/>
    </row>
    <row r="2255">
      <c r="R2255" s="58"/>
    </row>
    <row r="2256">
      <c r="R2256" s="58"/>
    </row>
    <row r="2257">
      <c r="R2257" s="58"/>
    </row>
    <row r="2258">
      <c r="R2258" s="58"/>
    </row>
    <row r="2259">
      <c r="R2259" s="58"/>
    </row>
    <row r="2260">
      <c r="R2260" s="58"/>
    </row>
    <row r="2261">
      <c r="R2261" s="58"/>
    </row>
    <row r="2262">
      <c r="R2262" s="58"/>
    </row>
    <row r="2263">
      <c r="R2263" s="58"/>
    </row>
    <row r="2264">
      <c r="R2264" s="58"/>
    </row>
    <row r="2265">
      <c r="R2265" s="58"/>
    </row>
    <row r="2266">
      <c r="R2266" s="58"/>
    </row>
    <row r="2267">
      <c r="R2267" s="58"/>
    </row>
    <row r="2268">
      <c r="R2268" s="58"/>
    </row>
    <row r="2269">
      <c r="R2269" s="58"/>
    </row>
    <row r="2270">
      <c r="R2270" s="58"/>
    </row>
    <row r="2271">
      <c r="R2271" s="58"/>
    </row>
    <row r="2272">
      <c r="R2272" s="58"/>
    </row>
    <row r="2273">
      <c r="R2273" s="58"/>
    </row>
    <row r="2274">
      <c r="R2274" s="58"/>
    </row>
    <row r="2275">
      <c r="R2275" s="58"/>
    </row>
    <row r="2276">
      <c r="R2276" s="58"/>
    </row>
    <row r="2277">
      <c r="R2277" s="58"/>
    </row>
    <row r="2278">
      <c r="R2278" s="58"/>
    </row>
    <row r="2279">
      <c r="R2279" s="58"/>
    </row>
    <row r="2280">
      <c r="R2280" s="58"/>
    </row>
    <row r="2281">
      <c r="R2281" s="58"/>
    </row>
    <row r="2282">
      <c r="R2282" s="58"/>
    </row>
    <row r="2283">
      <c r="R2283" s="58"/>
    </row>
    <row r="2284">
      <c r="R2284" s="58"/>
    </row>
    <row r="2285">
      <c r="R2285" s="58"/>
    </row>
    <row r="2286">
      <c r="R2286" s="58"/>
    </row>
    <row r="2287">
      <c r="R2287" s="58"/>
    </row>
    <row r="2288">
      <c r="R2288" s="58"/>
    </row>
    <row r="2289">
      <c r="R2289" s="58"/>
    </row>
    <row r="2290">
      <c r="R2290" s="58"/>
    </row>
    <row r="2291">
      <c r="R2291" s="58"/>
    </row>
    <row r="2292">
      <c r="R2292" s="58"/>
    </row>
    <row r="2293">
      <c r="R2293" s="58"/>
    </row>
    <row r="2294">
      <c r="R2294" s="58"/>
    </row>
    <row r="2295">
      <c r="R2295" s="58"/>
    </row>
    <row r="2296">
      <c r="R2296" s="58"/>
    </row>
    <row r="2297">
      <c r="R2297" s="58"/>
    </row>
    <row r="2298">
      <c r="R2298" s="58"/>
    </row>
    <row r="2299">
      <c r="R2299" s="58"/>
    </row>
    <row r="2300">
      <c r="R2300" s="58"/>
    </row>
    <row r="2301">
      <c r="R2301" s="58"/>
    </row>
    <row r="2302">
      <c r="R2302" s="58"/>
    </row>
    <row r="2303">
      <c r="R2303" s="58"/>
    </row>
    <row r="2304">
      <c r="R2304" s="58"/>
    </row>
    <row r="2305">
      <c r="R2305" s="58"/>
    </row>
    <row r="2306">
      <c r="R2306" s="58"/>
    </row>
    <row r="2307">
      <c r="R2307" s="58"/>
    </row>
    <row r="2308">
      <c r="R2308" s="58"/>
    </row>
    <row r="2309">
      <c r="R2309" s="58"/>
    </row>
    <row r="2310">
      <c r="R2310" s="58"/>
    </row>
    <row r="2311">
      <c r="R2311" s="58"/>
    </row>
    <row r="2312">
      <c r="R2312" s="58"/>
    </row>
    <row r="2313">
      <c r="R2313" s="58"/>
    </row>
    <row r="2314">
      <c r="R2314" s="58"/>
    </row>
    <row r="2315">
      <c r="R2315" s="58"/>
    </row>
    <row r="2316">
      <c r="R2316" s="58"/>
    </row>
    <row r="2317">
      <c r="R2317" s="58"/>
    </row>
    <row r="2318">
      <c r="R2318" s="58"/>
    </row>
    <row r="2319">
      <c r="R2319" s="58"/>
    </row>
    <row r="2320">
      <c r="R2320" s="58"/>
    </row>
    <row r="2321">
      <c r="R2321" s="58"/>
    </row>
    <row r="2322">
      <c r="R2322" s="58"/>
    </row>
    <row r="2323">
      <c r="R2323" s="58"/>
    </row>
    <row r="2324">
      <c r="R2324" s="58"/>
    </row>
    <row r="2325">
      <c r="R2325" s="58"/>
    </row>
    <row r="2326">
      <c r="R2326" s="58"/>
    </row>
    <row r="2327">
      <c r="R2327" s="58"/>
    </row>
    <row r="2328">
      <c r="R2328" s="58"/>
    </row>
    <row r="2329">
      <c r="R2329" s="58"/>
    </row>
    <row r="2330">
      <c r="R2330" s="58"/>
    </row>
    <row r="2331">
      <c r="R2331" s="58"/>
    </row>
    <row r="2332">
      <c r="R2332" s="58"/>
    </row>
    <row r="2333">
      <c r="R2333" s="58"/>
    </row>
    <row r="2334">
      <c r="R2334" s="58"/>
    </row>
    <row r="2335">
      <c r="R2335" s="58"/>
    </row>
    <row r="2336">
      <c r="R2336" s="58"/>
    </row>
    <row r="2337">
      <c r="R2337" s="58"/>
    </row>
    <row r="2338">
      <c r="R2338" s="58"/>
    </row>
    <row r="2339">
      <c r="R2339" s="58"/>
    </row>
    <row r="2340">
      <c r="R2340" s="58"/>
    </row>
    <row r="2341">
      <c r="R2341" s="58"/>
    </row>
    <row r="2342">
      <c r="R2342" s="58"/>
    </row>
    <row r="2343">
      <c r="R2343" s="58"/>
    </row>
    <row r="2344">
      <c r="R2344" s="58"/>
    </row>
    <row r="2345">
      <c r="R2345" s="58"/>
    </row>
    <row r="2346">
      <c r="R2346" s="58"/>
    </row>
    <row r="2347">
      <c r="R2347" s="58"/>
    </row>
    <row r="2348">
      <c r="R2348" s="58"/>
    </row>
    <row r="2349">
      <c r="R2349" s="58"/>
    </row>
    <row r="2350">
      <c r="R2350" s="58"/>
    </row>
    <row r="2351">
      <c r="R2351" s="58"/>
    </row>
    <row r="2352">
      <c r="R2352" s="58"/>
    </row>
    <row r="2353">
      <c r="R2353" s="58"/>
    </row>
    <row r="2354">
      <c r="R2354" s="58"/>
    </row>
    <row r="2355">
      <c r="R2355" s="58"/>
    </row>
    <row r="2356">
      <c r="R2356" s="58"/>
    </row>
    <row r="2357">
      <c r="R2357" s="58"/>
    </row>
    <row r="2358">
      <c r="R2358" s="58"/>
    </row>
    <row r="2359">
      <c r="R2359" s="58"/>
    </row>
    <row r="2360">
      <c r="R2360" s="58"/>
    </row>
    <row r="2361">
      <c r="R2361" s="58"/>
    </row>
    <row r="2362">
      <c r="R2362" s="58"/>
    </row>
    <row r="2363">
      <c r="R2363" s="58"/>
    </row>
    <row r="2364">
      <c r="R2364" s="58"/>
    </row>
    <row r="2365">
      <c r="R2365" s="58"/>
    </row>
    <row r="2366">
      <c r="R2366" s="58"/>
    </row>
    <row r="2367">
      <c r="R2367" s="58"/>
    </row>
    <row r="2368">
      <c r="R2368" s="58"/>
    </row>
    <row r="2369">
      <c r="R2369" s="58"/>
    </row>
    <row r="2370">
      <c r="R2370" s="58"/>
    </row>
    <row r="2371">
      <c r="R2371" s="58"/>
    </row>
    <row r="2372">
      <c r="R2372" s="58"/>
    </row>
    <row r="2373">
      <c r="R2373" s="58"/>
    </row>
    <row r="2374">
      <c r="R2374" s="58"/>
    </row>
    <row r="2375">
      <c r="R2375" s="58"/>
    </row>
    <row r="2376">
      <c r="R2376" s="58"/>
    </row>
    <row r="2377">
      <c r="R2377" s="58"/>
    </row>
    <row r="2378">
      <c r="R2378" s="58"/>
    </row>
    <row r="2379">
      <c r="R2379" s="58"/>
    </row>
    <row r="2380">
      <c r="R2380" s="58"/>
    </row>
    <row r="2381">
      <c r="R2381" s="58"/>
    </row>
    <row r="2382">
      <c r="R2382" s="58"/>
    </row>
    <row r="2383">
      <c r="R2383" s="58"/>
    </row>
    <row r="2384">
      <c r="R2384" s="58"/>
    </row>
    <row r="2385">
      <c r="R2385" s="58"/>
    </row>
    <row r="2386">
      <c r="R2386" s="58"/>
    </row>
    <row r="2387">
      <c r="R2387" s="58"/>
    </row>
    <row r="2388">
      <c r="R2388" s="58"/>
    </row>
    <row r="2389">
      <c r="R2389" s="58"/>
    </row>
    <row r="2390">
      <c r="R2390" s="58"/>
    </row>
    <row r="2391">
      <c r="R2391" s="58"/>
    </row>
    <row r="2392">
      <c r="R2392" s="58"/>
    </row>
    <row r="2393">
      <c r="R2393" s="58"/>
    </row>
    <row r="2394">
      <c r="R2394" s="58"/>
    </row>
    <row r="2395">
      <c r="R2395" s="58"/>
    </row>
    <row r="2396">
      <c r="R2396" s="58"/>
    </row>
    <row r="2397">
      <c r="R2397" s="58"/>
    </row>
    <row r="2398">
      <c r="R2398" s="58"/>
    </row>
    <row r="2399">
      <c r="R2399" s="58"/>
    </row>
    <row r="2400">
      <c r="R2400" s="58"/>
    </row>
    <row r="2401">
      <c r="R2401" s="58"/>
    </row>
    <row r="2402">
      <c r="R2402" s="58"/>
    </row>
    <row r="2403">
      <c r="R2403" s="58"/>
    </row>
    <row r="2404">
      <c r="R2404" s="58"/>
    </row>
    <row r="2405">
      <c r="R2405" s="58"/>
    </row>
    <row r="2406">
      <c r="R2406" s="58"/>
    </row>
    <row r="2407">
      <c r="R2407" s="58"/>
    </row>
    <row r="2408">
      <c r="R2408" s="58"/>
    </row>
    <row r="2409">
      <c r="R2409" s="58"/>
    </row>
    <row r="2410">
      <c r="R2410" s="58"/>
    </row>
    <row r="2411">
      <c r="R2411" s="58"/>
    </row>
    <row r="2412">
      <c r="R2412" s="58"/>
    </row>
    <row r="2413">
      <c r="R2413" s="58"/>
    </row>
    <row r="2414">
      <c r="R2414" s="58"/>
    </row>
    <row r="2415">
      <c r="R2415" s="58"/>
    </row>
    <row r="2416">
      <c r="R2416" s="58"/>
    </row>
    <row r="2417">
      <c r="R2417" s="58"/>
    </row>
    <row r="2418">
      <c r="R2418" s="58"/>
    </row>
    <row r="2419">
      <c r="R2419" s="58"/>
    </row>
    <row r="2420">
      <c r="R2420" s="58"/>
    </row>
    <row r="2421">
      <c r="R2421" s="58"/>
    </row>
    <row r="2422">
      <c r="R2422" s="58"/>
    </row>
    <row r="2423">
      <c r="R2423" s="58"/>
    </row>
    <row r="2424">
      <c r="R2424" s="58"/>
    </row>
    <row r="2425">
      <c r="R2425" s="58"/>
    </row>
    <row r="2426">
      <c r="R2426" s="58"/>
    </row>
    <row r="2427">
      <c r="R2427" s="58"/>
    </row>
    <row r="2428">
      <c r="R2428" s="58"/>
    </row>
    <row r="2429">
      <c r="R2429" s="58"/>
    </row>
    <row r="2430">
      <c r="R2430" s="58"/>
    </row>
    <row r="2431">
      <c r="R2431" s="58"/>
    </row>
    <row r="2432">
      <c r="R2432" s="58"/>
    </row>
    <row r="2433">
      <c r="R2433" s="58"/>
    </row>
    <row r="2434">
      <c r="R2434" s="58"/>
    </row>
    <row r="2435">
      <c r="R2435" s="58"/>
    </row>
    <row r="2436">
      <c r="R2436" s="58"/>
    </row>
    <row r="2437">
      <c r="R2437" s="58"/>
    </row>
    <row r="2438">
      <c r="R2438" s="58"/>
    </row>
    <row r="2439">
      <c r="R2439" s="58"/>
    </row>
    <row r="2440">
      <c r="R2440" s="58"/>
    </row>
    <row r="2441">
      <c r="R2441" s="58"/>
    </row>
    <row r="2442">
      <c r="R2442" s="58"/>
    </row>
    <row r="2443">
      <c r="R2443" s="58"/>
    </row>
    <row r="2444">
      <c r="R2444" s="58"/>
    </row>
    <row r="2445">
      <c r="R2445" s="58"/>
    </row>
    <row r="2446">
      <c r="R2446" s="58"/>
    </row>
    <row r="2447">
      <c r="R2447" s="58"/>
    </row>
    <row r="2448">
      <c r="R2448" s="58"/>
    </row>
    <row r="2449">
      <c r="R2449" s="58"/>
    </row>
    <row r="2450">
      <c r="R2450" s="58"/>
    </row>
    <row r="2451">
      <c r="R2451" s="58"/>
    </row>
    <row r="2452">
      <c r="R2452" s="58"/>
    </row>
    <row r="2453">
      <c r="R2453" s="58"/>
    </row>
    <row r="2454">
      <c r="R2454" s="58"/>
    </row>
    <row r="2455">
      <c r="R2455" s="58"/>
    </row>
    <row r="2456">
      <c r="R2456" s="58"/>
    </row>
    <row r="2457">
      <c r="R2457" s="58"/>
    </row>
    <row r="2458">
      <c r="R2458" s="58"/>
    </row>
    <row r="2459">
      <c r="R2459" s="58"/>
    </row>
    <row r="2460">
      <c r="R2460" s="58"/>
    </row>
    <row r="2461">
      <c r="R2461" s="58"/>
    </row>
    <row r="2462">
      <c r="R2462" s="58"/>
    </row>
    <row r="2463">
      <c r="R2463" s="58"/>
    </row>
    <row r="2464">
      <c r="R2464" s="58"/>
    </row>
    <row r="2465">
      <c r="R2465" s="58"/>
    </row>
    <row r="2466">
      <c r="R2466" s="58"/>
    </row>
    <row r="2467">
      <c r="R2467" s="58"/>
    </row>
    <row r="2468">
      <c r="R2468" s="58"/>
    </row>
    <row r="2469">
      <c r="R2469" s="58"/>
    </row>
    <row r="2470">
      <c r="R2470" s="58"/>
    </row>
    <row r="2471">
      <c r="R2471" s="58"/>
    </row>
    <row r="2472">
      <c r="R2472" s="58"/>
    </row>
    <row r="2473">
      <c r="R2473" s="58"/>
    </row>
    <row r="2474">
      <c r="R2474" s="58"/>
    </row>
    <row r="2475">
      <c r="R2475" s="58"/>
    </row>
    <row r="2476">
      <c r="R2476" s="58"/>
    </row>
    <row r="2477">
      <c r="R2477" s="58"/>
    </row>
    <row r="2478">
      <c r="R2478" s="58"/>
    </row>
    <row r="2479">
      <c r="R2479" s="58"/>
    </row>
    <row r="2480">
      <c r="R2480" s="58"/>
    </row>
    <row r="2481">
      <c r="R2481" s="58"/>
    </row>
    <row r="2482">
      <c r="R2482" s="58"/>
    </row>
    <row r="2483">
      <c r="R2483" s="58"/>
    </row>
    <row r="2484">
      <c r="R2484" s="58"/>
    </row>
    <row r="2485">
      <c r="R2485" s="58"/>
    </row>
    <row r="2486">
      <c r="R2486" s="58"/>
    </row>
    <row r="2487">
      <c r="R2487" s="58"/>
    </row>
    <row r="2488">
      <c r="R2488" s="58"/>
    </row>
    <row r="2489">
      <c r="R2489" s="58"/>
    </row>
    <row r="2490">
      <c r="R2490" s="58"/>
    </row>
    <row r="2491">
      <c r="R2491" s="58"/>
    </row>
    <row r="2492">
      <c r="R2492" s="58"/>
    </row>
    <row r="2493">
      <c r="R2493" s="58"/>
    </row>
    <row r="2494">
      <c r="R2494" s="58"/>
    </row>
    <row r="2495">
      <c r="R2495" s="58"/>
    </row>
    <row r="2496">
      <c r="R2496" s="58"/>
    </row>
    <row r="2497">
      <c r="R2497" s="58"/>
    </row>
    <row r="2498">
      <c r="R2498" s="58"/>
    </row>
    <row r="2499">
      <c r="R2499" s="58"/>
    </row>
    <row r="2500">
      <c r="R2500" s="58"/>
    </row>
    <row r="2501">
      <c r="R2501" s="58"/>
    </row>
    <row r="2502">
      <c r="R2502" s="58"/>
    </row>
    <row r="2503">
      <c r="R2503" s="58"/>
    </row>
    <row r="2504">
      <c r="R2504" s="58"/>
    </row>
    <row r="2505">
      <c r="R2505" s="58"/>
    </row>
    <row r="2506">
      <c r="R2506" s="58"/>
    </row>
    <row r="2507">
      <c r="R2507" s="58"/>
    </row>
    <row r="2508">
      <c r="R2508" s="58"/>
    </row>
    <row r="2509">
      <c r="R2509" s="58"/>
    </row>
    <row r="2510">
      <c r="R2510" s="58"/>
    </row>
    <row r="2511">
      <c r="R2511" s="58"/>
    </row>
    <row r="2512">
      <c r="R2512" s="58"/>
    </row>
    <row r="2513">
      <c r="R2513" s="58"/>
    </row>
    <row r="2514">
      <c r="R2514" s="58"/>
    </row>
    <row r="2515">
      <c r="R2515" s="58"/>
    </row>
    <row r="2516">
      <c r="R2516" s="58"/>
    </row>
    <row r="2517">
      <c r="R2517" s="58"/>
    </row>
    <row r="2518">
      <c r="R2518" s="58"/>
    </row>
    <row r="2519">
      <c r="R2519" s="58"/>
    </row>
    <row r="2520">
      <c r="R2520" s="58"/>
    </row>
    <row r="2521">
      <c r="R2521" s="58"/>
    </row>
    <row r="2522">
      <c r="R2522" s="58"/>
    </row>
    <row r="2523">
      <c r="R2523" s="58"/>
    </row>
    <row r="2524">
      <c r="R2524" s="58"/>
    </row>
    <row r="2525">
      <c r="R2525" s="58"/>
    </row>
    <row r="2526">
      <c r="R2526" s="58"/>
    </row>
    <row r="2527">
      <c r="R2527" s="58"/>
    </row>
    <row r="2528">
      <c r="R2528" s="58"/>
    </row>
    <row r="2529">
      <c r="R2529" s="58"/>
    </row>
    <row r="2530">
      <c r="R2530" s="58"/>
    </row>
    <row r="2531">
      <c r="R2531" s="58"/>
    </row>
    <row r="2532">
      <c r="R2532" s="58"/>
    </row>
    <row r="2533">
      <c r="R2533" s="58"/>
    </row>
    <row r="2534">
      <c r="R2534" s="58"/>
    </row>
    <row r="2535">
      <c r="R2535" s="58"/>
    </row>
    <row r="2536">
      <c r="R2536" s="58"/>
    </row>
    <row r="2537">
      <c r="R2537" s="58"/>
    </row>
    <row r="2538">
      <c r="R2538" s="58"/>
    </row>
    <row r="2539">
      <c r="R2539" s="58"/>
    </row>
    <row r="2540">
      <c r="R2540" s="58"/>
    </row>
    <row r="2541">
      <c r="R2541" s="58"/>
    </row>
    <row r="2542">
      <c r="R2542" s="58"/>
    </row>
    <row r="2543">
      <c r="R2543" s="58"/>
    </row>
    <row r="2544">
      <c r="R2544" s="58"/>
    </row>
    <row r="2545">
      <c r="R2545" s="58"/>
    </row>
    <row r="2546">
      <c r="R2546" s="58"/>
    </row>
    <row r="2547">
      <c r="R2547" s="58"/>
    </row>
    <row r="2548">
      <c r="R2548" s="58"/>
    </row>
    <row r="2549">
      <c r="R2549" s="58"/>
    </row>
    <row r="2550">
      <c r="R2550" s="58"/>
    </row>
    <row r="2551">
      <c r="R2551" s="58"/>
    </row>
    <row r="2552">
      <c r="R2552" s="58"/>
    </row>
    <row r="2553">
      <c r="R2553" s="58"/>
    </row>
    <row r="2554">
      <c r="R2554" s="58"/>
    </row>
    <row r="2555">
      <c r="R2555" s="58"/>
    </row>
    <row r="2556">
      <c r="R2556" s="58"/>
    </row>
    <row r="2557">
      <c r="R2557" s="58"/>
    </row>
    <row r="2558">
      <c r="R2558" s="58"/>
    </row>
    <row r="2559">
      <c r="R2559" s="58"/>
    </row>
    <row r="2560">
      <c r="R2560" s="58"/>
    </row>
    <row r="2561">
      <c r="R2561" s="58"/>
    </row>
    <row r="2562">
      <c r="R2562" s="58"/>
    </row>
    <row r="2563">
      <c r="R2563" s="58"/>
    </row>
    <row r="2564">
      <c r="R2564" s="58"/>
    </row>
    <row r="2565">
      <c r="R2565" s="58"/>
    </row>
    <row r="2566">
      <c r="R2566" s="58"/>
    </row>
    <row r="2567">
      <c r="R2567" s="58"/>
    </row>
    <row r="2568">
      <c r="R2568" s="58"/>
    </row>
    <row r="2569">
      <c r="R2569" s="58"/>
    </row>
    <row r="2570">
      <c r="R2570" s="58"/>
    </row>
    <row r="2571">
      <c r="R2571" s="58"/>
    </row>
    <row r="2572">
      <c r="R2572" s="58"/>
    </row>
    <row r="2573">
      <c r="R2573" s="58"/>
    </row>
    <row r="2574">
      <c r="R2574" s="58"/>
    </row>
    <row r="2575">
      <c r="R2575" s="58"/>
    </row>
    <row r="2576">
      <c r="R2576" s="58"/>
    </row>
    <row r="2577">
      <c r="R2577" s="58"/>
    </row>
    <row r="2578">
      <c r="R2578" s="58"/>
    </row>
    <row r="2579">
      <c r="R2579" s="58"/>
    </row>
    <row r="2580">
      <c r="R2580" s="58"/>
    </row>
    <row r="2581">
      <c r="R2581" s="58"/>
    </row>
    <row r="2582">
      <c r="R2582" s="58"/>
    </row>
    <row r="2583">
      <c r="R2583" s="58"/>
    </row>
    <row r="2584">
      <c r="R2584" s="58"/>
    </row>
    <row r="2585">
      <c r="R2585" s="58"/>
    </row>
    <row r="2586">
      <c r="R2586" s="58"/>
    </row>
    <row r="2587">
      <c r="R2587" s="58"/>
    </row>
    <row r="2588">
      <c r="R2588" s="58"/>
    </row>
    <row r="2589">
      <c r="R2589" s="58"/>
    </row>
    <row r="2590">
      <c r="R2590" s="58"/>
    </row>
    <row r="2591">
      <c r="R2591" s="58"/>
    </row>
    <row r="2592">
      <c r="R2592" s="58"/>
    </row>
    <row r="2593">
      <c r="R2593" s="58"/>
    </row>
    <row r="2594">
      <c r="R2594" s="58"/>
    </row>
    <row r="2595">
      <c r="R2595" s="58"/>
    </row>
    <row r="2596">
      <c r="R2596" s="58"/>
    </row>
    <row r="2597">
      <c r="R2597" s="58"/>
    </row>
    <row r="2598">
      <c r="R2598" s="58"/>
    </row>
    <row r="2599">
      <c r="R2599" s="58"/>
    </row>
    <row r="2600">
      <c r="R2600" s="58"/>
    </row>
    <row r="2601">
      <c r="R2601" s="58"/>
    </row>
    <row r="2602">
      <c r="R2602" s="58"/>
    </row>
    <row r="2603">
      <c r="R2603" s="58"/>
    </row>
    <row r="2604">
      <c r="R2604" s="58"/>
    </row>
    <row r="2605">
      <c r="R2605" s="58"/>
    </row>
    <row r="2606">
      <c r="R2606" s="58"/>
    </row>
    <row r="2607">
      <c r="R2607" s="58"/>
    </row>
    <row r="2608">
      <c r="R2608" s="58"/>
    </row>
    <row r="2609">
      <c r="R2609" s="58"/>
    </row>
    <row r="2610">
      <c r="R2610" s="58"/>
    </row>
    <row r="2611">
      <c r="R2611" s="58"/>
    </row>
    <row r="2612">
      <c r="R2612" s="58"/>
    </row>
    <row r="2613">
      <c r="R2613" s="58"/>
    </row>
    <row r="2614">
      <c r="R2614" s="58"/>
    </row>
    <row r="2615">
      <c r="R2615" s="58"/>
    </row>
    <row r="2616">
      <c r="R2616" s="58"/>
    </row>
    <row r="2617">
      <c r="R2617" s="58"/>
    </row>
    <row r="2618">
      <c r="R2618" s="58"/>
    </row>
    <row r="2619">
      <c r="R2619" s="58"/>
    </row>
    <row r="2620">
      <c r="R2620" s="58"/>
    </row>
    <row r="2621">
      <c r="R2621" s="58"/>
    </row>
    <row r="2622">
      <c r="R2622" s="58"/>
    </row>
    <row r="2623">
      <c r="R2623" s="58"/>
    </row>
    <row r="2624">
      <c r="R2624" s="58"/>
    </row>
    <row r="2625">
      <c r="R2625" s="58"/>
    </row>
    <row r="2626">
      <c r="R2626" s="58"/>
    </row>
    <row r="2627">
      <c r="R2627" s="58"/>
    </row>
    <row r="2628">
      <c r="R2628" s="58"/>
    </row>
    <row r="2629">
      <c r="R2629" s="58"/>
    </row>
    <row r="2630">
      <c r="R2630" s="58"/>
    </row>
    <row r="2631">
      <c r="R2631" s="58"/>
    </row>
    <row r="2632">
      <c r="R2632" s="58"/>
    </row>
    <row r="2633">
      <c r="R2633" s="58"/>
    </row>
    <row r="2634">
      <c r="R2634" s="58"/>
    </row>
    <row r="2635">
      <c r="R2635" s="58"/>
    </row>
    <row r="2636">
      <c r="R2636" s="58"/>
    </row>
    <row r="2637">
      <c r="R2637" s="58"/>
    </row>
    <row r="2638">
      <c r="R2638" s="58"/>
    </row>
    <row r="2639">
      <c r="R2639" s="58"/>
    </row>
    <row r="2640">
      <c r="R2640" s="58"/>
    </row>
    <row r="2641">
      <c r="R2641" s="58"/>
    </row>
    <row r="2642">
      <c r="R2642" s="58"/>
    </row>
    <row r="2643">
      <c r="R2643" s="58"/>
    </row>
    <row r="2644">
      <c r="R2644" s="58"/>
    </row>
    <row r="2645">
      <c r="R2645" s="58"/>
    </row>
    <row r="2646">
      <c r="R2646" s="58"/>
    </row>
    <row r="2647">
      <c r="R2647" s="58"/>
    </row>
    <row r="2648">
      <c r="R2648" s="58"/>
    </row>
    <row r="2649">
      <c r="R2649" s="58"/>
    </row>
    <row r="2650">
      <c r="R2650" s="58"/>
    </row>
    <row r="2651">
      <c r="R2651" s="58"/>
    </row>
    <row r="2652">
      <c r="R2652" s="58"/>
    </row>
    <row r="2653">
      <c r="R2653" s="58"/>
    </row>
    <row r="2654">
      <c r="R2654" s="58"/>
    </row>
    <row r="2655">
      <c r="R2655" s="58"/>
    </row>
    <row r="2656">
      <c r="R2656" s="58"/>
    </row>
    <row r="2657">
      <c r="R2657" s="58"/>
    </row>
    <row r="2658">
      <c r="R2658" s="58"/>
    </row>
    <row r="2659">
      <c r="R2659" s="58"/>
    </row>
    <row r="2660">
      <c r="R2660" s="58"/>
    </row>
    <row r="2661">
      <c r="R2661" s="58"/>
    </row>
    <row r="2662">
      <c r="R2662" s="58"/>
    </row>
    <row r="2663">
      <c r="R2663" s="58"/>
    </row>
    <row r="2664">
      <c r="R2664" s="58"/>
    </row>
    <row r="2665">
      <c r="R2665" s="58"/>
    </row>
    <row r="2666">
      <c r="R2666" s="58"/>
    </row>
    <row r="2667">
      <c r="R2667" s="58"/>
    </row>
    <row r="2668">
      <c r="R2668" s="58"/>
    </row>
    <row r="2669">
      <c r="R2669" s="58"/>
    </row>
    <row r="2670">
      <c r="R2670" s="58"/>
    </row>
    <row r="2671">
      <c r="R2671" s="58"/>
    </row>
    <row r="2672">
      <c r="R2672" s="58"/>
    </row>
    <row r="2673">
      <c r="R2673" s="58"/>
    </row>
    <row r="2674">
      <c r="R2674" s="58"/>
    </row>
    <row r="2675">
      <c r="R2675" s="58"/>
    </row>
    <row r="2676">
      <c r="R2676" s="58"/>
    </row>
    <row r="2677">
      <c r="R2677" s="58"/>
    </row>
    <row r="2678">
      <c r="R2678" s="58"/>
    </row>
    <row r="2679">
      <c r="R2679" s="58"/>
    </row>
    <row r="2680">
      <c r="R2680" s="58"/>
    </row>
    <row r="2681">
      <c r="R2681" s="58"/>
    </row>
    <row r="2682">
      <c r="R2682" s="58"/>
    </row>
    <row r="2683">
      <c r="R2683" s="58"/>
    </row>
    <row r="2684">
      <c r="R2684" s="58"/>
    </row>
    <row r="2685">
      <c r="R2685" s="58"/>
    </row>
    <row r="2686">
      <c r="R2686" s="58"/>
    </row>
    <row r="2687">
      <c r="R2687" s="58"/>
    </row>
    <row r="2688">
      <c r="R2688" s="58"/>
    </row>
    <row r="2689">
      <c r="R2689" s="58"/>
    </row>
    <row r="2690">
      <c r="R2690" s="58"/>
    </row>
    <row r="2691">
      <c r="R2691" s="58"/>
    </row>
    <row r="2692">
      <c r="R2692" s="58"/>
    </row>
    <row r="2693">
      <c r="R2693" s="58"/>
    </row>
    <row r="2694">
      <c r="R2694" s="58"/>
    </row>
    <row r="2695">
      <c r="R2695" s="58"/>
    </row>
    <row r="2696">
      <c r="R2696" s="58"/>
    </row>
    <row r="2697">
      <c r="R2697" s="58"/>
    </row>
    <row r="2698">
      <c r="R2698" s="58"/>
    </row>
    <row r="2699">
      <c r="R2699" s="58"/>
    </row>
    <row r="2700">
      <c r="R2700" s="58"/>
    </row>
    <row r="2701">
      <c r="R2701" s="58"/>
    </row>
    <row r="2702">
      <c r="R2702" s="58"/>
    </row>
    <row r="2703">
      <c r="R2703" s="58"/>
    </row>
    <row r="2704">
      <c r="R2704" s="58"/>
    </row>
    <row r="2705">
      <c r="R2705" s="58"/>
    </row>
    <row r="2706">
      <c r="R2706" s="58"/>
    </row>
    <row r="2707">
      <c r="R2707" s="58"/>
    </row>
    <row r="2708">
      <c r="R2708" s="58"/>
    </row>
    <row r="2709">
      <c r="R2709" s="58"/>
    </row>
    <row r="2710">
      <c r="R2710" s="58"/>
    </row>
    <row r="2711">
      <c r="R2711" s="58"/>
    </row>
    <row r="2712">
      <c r="R2712" s="58"/>
    </row>
    <row r="2713">
      <c r="R2713" s="58"/>
    </row>
    <row r="2714">
      <c r="R2714" s="58"/>
    </row>
    <row r="2715">
      <c r="R2715" s="58"/>
    </row>
    <row r="2716">
      <c r="R2716" s="58"/>
    </row>
    <row r="2717">
      <c r="R2717" s="58"/>
    </row>
    <row r="2718">
      <c r="R2718" s="58"/>
    </row>
    <row r="2719">
      <c r="R2719" s="58"/>
    </row>
    <row r="2720">
      <c r="R2720" s="58"/>
    </row>
    <row r="2721">
      <c r="R2721" s="58"/>
    </row>
    <row r="2722">
      <c r="R2722" s="58"/>
    </row>
    <row r="2723">
      <c r="R2723" s="58"/>
    </row>
    <row r="2724">
      <c r="R2724" s="58"/>
    </row>
    <row r="2725">
      <c r="R2725" s="58"/>
    </row>
    <row r="2726">
      <c r="R2726" s="58"/>
    </row>
    <row r="2727">
      <c r="R2727" s="58"/>
    </row>
    <row r="2728">
      <c r="R2728" s="58"/>
    </row>
    <row r="2729">
      <c r="R2729" s="58"/>
    </row>
    <row r="2730">
      <c r="R2730" s="58"/>
    </row>
    <row r="2731">
      <c r="R2731" s="58"/>
    </row>
    <row r="2732">
      <c r="R2732" s="58"/>
    </row>
    <row r="2733">
      <c r="R2733" s="58"/>
    </row>
    <row r="2734">
      <c r="R2734" s="58"/>
    </row>
    <row r="2735">
      <c r="R2735" s="58"/>
    </row>
    <row r="2736">
      <c r="R2736" s="58"/>
    </row>
    <row r="2737">
      <c r="R2737" s="58"/>
    </row>
    <row r="2738">
      <c r="R2738" s="58"/>
    </row>
    <row r="2739">
      <c r="R2739" s="58"/>
    </row>
    <row r="2740">
      <c r="R2740" s="58"/>
    </row>
    <row r="2741">
      <c r="R2741" s="58"/>
    </row>
    <row r="2742">
      <c r="R2742" s="58"/>
    </row>
    <row r="2743">
      <c r="R2743" s="58"/>
    </row>
    <row r="2744">
      <c r="R2744" s="58"/>
    </row>
    <row r="2745">
      <c r="R2745" s="58"/>
    </row>
    <row r="2746">
      <c r="R2746" s="58"/>
    </row>
    <row r="2747">
      <c r="R2747" s="58"/>
    </row>
    <row r="2748">
      <c r="R2748" s="58"/>
    </row>
    <row r="2749">
      <c r="R2749" s="58"/>
    </row>
    <row r="2750">
      <c r="R2750" s="58"/>
    </row>
    <row r="2751">
      <c r="R2751" s="58"/>
    </row>
    <row r="2752">
      <c r="R2752" s="58"/>
    </row>
    <row r="2753">
      <c r="R2753" s="58"/>
    </row>
    <row r="2754">
      <c r="R2754" s="58"/>
    </row>
    <row r="2755">
      <c r="R2755" s="58"/>
    </row>
    <row r="2756">
      <c r="R2756" s="58"/>
    </row>
    <row r="2757">
      <c r="R2757" s="58"/>
    </row>
    <row r="2758">
      <c r="R2758" s="58"/>
    </row>
    <row r="2759">
      <c r="R2759" s="58"/>
    </row>
    <row r="2760">
      <c r="R2760" s="58"/>
    </row>
    <row r="2761">
      <c r="R2761" s="58"/>
    </row>
    <row r="2762">
      <c r="R2762" s="58"/>
    </row>
    <row r="2763">
      <c r="R2763" s="58"/>
    </row>
    <row r="2764">
      <c r="R2764" s="58"/>
    </row>
    <row r="2765">
      <c r="R2765" s="58"/>
    </row>
    <row r="2766">
      <c r="R2766" s="58"/>
    </row>
    <row r="2767">
      <c r="R2767" s="58"/>
    </row>
    <row r="2768">
      <c r="R2768" s="58"/>
    </row>
    <row r="2769">
      <c r="R2769" s="58"/>
    </row>
    <row r="2770">
      <c r="R2770" s="58"/>
    </row>
    <row r="2771">
      <c r="R2771" s="58"/>
    </row>
    <row r="2772">
      <c r="R2772" s="58"/>
    </row>
    <row r="2773">
      <c r="R2773" s="58"/>
    </row>
    <row r="2774">
      <c r="R2774" s="58"/>
    </row>
    <row r="2775">
      <c r="R2775" s="58"/>
    </row>
    <row r="2776">
      <c r="R2776" s="58"/>
    </row>
    <row r="2777">
      <c r="R2777" s="58"/>
    </row>
    <row r="2778">
      <c r="R2778" s="58"/>
    </row>
    <row r="2779">
      <c r="R2779" s="58"/>
    </row>
    <row r="2780">
      <c r="R2780" s="58"/>
    </row>
    <row r="2781">
      <c r="R2781" s="58"/>
    </row>
    <row r="2782">
      <c r="R2782" s="58"/>
    </row>
    <row r="2783">
      <c r="R2783" s="58"/>
    </row>
    <row r="2784">
      <c r="R2784" s="58"/>
    </row>
    <row r="2785">
      <c r="R2785" s="58"/>
    </row>
    <row r="2786">
      <c r="R2786" s="58"/>
    </row>
    <row r="2787">
      <c r="R2787" s="58"/>
    </row>
    <row r="2788">
      <c r="R2788" s="58"/>
    </row>
    <row r="2789">
      <c r="R2789" s="58"/>
    </row>
    <row r="2790">
      <c r="R2790" s="58"/>
    </row>
    <row r="2791">
      <c r="R2791" s="58"/>
    </row>
    <row r="2792">
      <c r="R2792" s="58"/>
    </row>
    <row r="2793">
      <c r="R2793" s="58"/>
    </row>
    <row r="2794">
      <c r="R2794" s="58"/>
    </row>
    <row r="2795">
      <c r="R2795" s="58"/>
    </row>
    <row r="2796">
      <c r="R2796" s="58"/>
    </row>
    <row r="2797">
      <c r="R2797" s="58"/>
    </row>
    <row r="2798">
      <c r="R2798" s="58"/>
    </row>
    <row r="2799">
      <c r="R2799" s="58"/>
    </row>
    <row r="2800">
      <c r="R2800" s="58"/>
    </row>
    <row r="2801">
      <c r="R2801" s="58"/>
    </row>
    <row r="2802">
      <c r="R2802" s="58"/>
    </row>
    <row r="2803">
      <c r="R2803" s="58"/>
    </row>
    <row r="2804">
      <c r="R2804" s="58"/>
    </row>
    <row r="2805">
      <c r="R2805" s="58"/>
    </row>
    <row r="2806">
      <c r="R2806" s="58"/>
    </row>
    <row r="2807">
      <c r="R2807" s="58"/>
    </row>
    <row r="2808">
      <c r="R2808" s="58"/>
    </row>
    <row r="2809">
      <c r="R2809" s="58"/>
    </row>
    <row r="2810">
      <c r="R2810" s="58"/>
    </row>
    <row r="2811">
      <c r="R2811" s="58"/>
    </row>
    <row r="2812">
      <c r="R2812" s="58"/>
    </row>
    <row r="2813">
      <c r="R2813" s="58"/>
    </row>
    <row r="2814">
      <c r="R2814" s="58"/>
    </row>
    <row r="2815">
      <c r="R2815" s="58"/>
    </row>
    <row r="2816">
      <c r="R2816" s="58"/>
    </row>
    <row r="2817">
      <c r="R2817" s="58"/>
    </row>
    <row r="2818">
      <c r="R2818" s="58"/>
    </row>
    <row r="2819">
      <c r="R2819" s="58"/>
    </row>
    <row r="2820">
      <c r="R2820" s="58"/>
    </row>
    <row r="2821">
      <c r="R2821" s="58"/>
    </row>
    <row r="2822">
      <c r="R2822" s="58"/>
    </row>
    <row r="2823">
      <c r="R2823" s="58"/>
    </row>
    <row r="2824">
      <c r="R2824" s="58"/>
    </row>
    <row r="2825">
      <c r="R2825" s="58"/>
    </row>
    <row r="2826">
      <c r="R2826" s="58"/>
    </row>
    <row r="2827">
      <c r="R2827" s="58"/>
    </row>
    <row r="2828">
      <c r="R2828" s="58"/>
    </row>
    <row r="2829">
      <c r="R2829" s="58"/>
    </row>
    <row r="2830">
      <c r="R2830" s="58"/>
    </row>
    <row r="2831">
      <c r="R2831" s="58"/>
    </row>
    <row r="2832">
      <c r="R2832" s="58"/>
    </row>
    <row r="2833">
      <c r="R2833" s="58"/>
    </row>
    <row r="2834">
      <c r="R2834" s="58"/>
    </row>
    <row r="2835">
      <c r="R2835" s="58"/>
    </row>
    <row r="2836">
      <c r="R2836" s="58"/>
    </row>
    <row r="2837">
      <c r="R2837" s="58"/>
    </row>
    <row r="2838">
      <c r="R2838" s="58"/>
    </row>
    <row r="2839">
      <c r="R2839" s="58"/>
    </row>
    <row r="2840">
      <c r="R2840" s="58"/>
    </row>
    <row r="2841">
      <c r="R2841" s="58"/>
    </row>
    <row r="2842">
      <c r="R2842" s="58"/>
    </row>
    <row r="2843">
      <c r="R2843" s="58"/>
    </row>
    <row r="2844">
      <c r="R2844" s="58"/>
    </row>
    <row r="2845">
      <c r="R2845" s="58"/>
    </row>
    <row r="2846">
      <c r="R2846" s="58"/>
    </row>
    <row r="2847">
      <c r="R2847" s="58"/>
    </row>
    <row r="2848">
      <c r="R2848" s="58"/>
    </row>
    <row r="2849">
      <c r="R2849" s="58"/>
    </row>
    <row r="2850">
      <c r="R2850" s="58"/>
    </row>
    <row r="2851">
      <c r="R2851" s="58"/>
    </row>
    <row r="2852">
      <c r="R2852" s="58"/>
    </row>
    <row r="2853">
      <c r="R2853" s="58"/>
    </row>
    <row r="2854">
      <c r="R2854" s="58"/>
    </row>
    <row r="2855">
      <c r="R2855" s="58"/>
    </row>
    <row r="2856">
      <c r="R2856" s="58"/>
    </row>
    <row r="2857">
      <c r="R2857" s="58"/>
    </row>
    <row r="2858">
      <c r="R2858" s="58"/>
    </row>
    <row r="2859">
      <c r="R2859" s="58"/>
    </row>
    <row r="2860">
      <c r="R2860" s="58"/>
    </row>
    <row r="2861">
      <c r="R2861" s="58"/>
    </row>
    <row r="2862">
      <c r="R2862" s="58"/>
    </row>
    <row r="2863">
      <c r="R2863" s="58"/>
    </row>
    <row r="2864">
      <c r="R2864" s="58"/>
    </row>
    <row r="2865">
      <c r="R2865" s="58"/>
    </row>
    <row r="2866">
      <c r="R2866" s="58"/>
    </row>
    <row r="2867">
      <c r="R2867" s="58"/>
    </row>
    <row r="2868">
      <c r="R2868" s="58"/>
    </row>
    <row r="2869">
      <c r="R2869" s="58"/>
    </row>
    <row r="2870">
      <c r="R2870" s="58"/>
    </row>
    <row r="2871">
      <c r="R2871" s="58"/>
    </row>
    <row r="2872">
      <c r="R2872" s="58"/>
    </row>
    <row r="2873">
      <c r="R2873" s="58"/>
    </row>
    <row r="2874">
      <c r="R2874" s="58"/>
    </row>
    <row r="2875">
      <c r="R2875" s="58"/>
    </row>
    <row r="2876">
      <c r="R2876" s="58"/>
    </row>
    <row r="2877">
      <c r="R2877" s="58"/>
    </row>
    <row r="2878">
      <c r="R2878" s="58"/>
    </row>
    <row r="2879">
      <c r="R2879" s="58"/>
    </row>
    <row r="2880">
      <c r="R2880" s="58"/>
    </row>
    <row r="2881">
      <c r="R2881" s="58"/>
    </row>
    <row r="2882">
      <c r="R2882" s="58"/>
    </row>
    <row r="2883">
      <c r="R2883" s="58"/>
    </row>
    <row r="2884">
      <c r="R2884" s="58"/>
    </row>
    <row r="2885">
      <c r="R2885" s="58"/>
    </row>
    <row r="2886">
      <c r="R2886" s="58"/>
    </row>
    <row r="2887">
      <c r="R2887" s="58"/>
    </row>
    <row r="2888">
      <c r="R2888" s="58"/>
    </row>
    <row r="2889">
      <c r="R2889" s="58"/>
    </row>
    <row r="2890">
      <c r="R2890" s="58"/>
    </row>
    <row r="2891">
      <c r="R2891" s="58"/>
    </row>
    <row r="2892">
      <c r="R2892" s="58"/>
    </row>
    <row r="2893">
      <c r="R2893" s="58"/>
    </row>
    <row r="2894">
      <c r="R2894" s="58"/>
    </row>
    <row r="2895">
      <c r="R2895" s="58"/>
    </row>
    <row r="2896">
      <c r="R2896" s="58"/>
    </row>
    <row r="2897">
      <c r="R2897" s="58"/>
    </row>
    <row r="2898">
      <c r="R2898" s="58"/>
    </row>
    <row r="2899">
      <c r="R2899" s="58"/>
    </row>
    <row r="2900">
      <c r="R2900" s="58"/>
    </row>
    <row r="2901">
      <c r="R2901" s="58"/>
    </row>
    <row r="2902">
      <c r="R2902" s="58"/>
    </row>
    <row r="2903">
      <c r="R2903" s="58"/>
    </row>
    <row r="2904">
      <c r="R2904" s="58"/>
    </row>
    <row r="2905">
      <c r="R2905" s="58"/>
    </row>
    <row r="2906">
      <c r="R2906" s="58"/>
    </row>
    <row r="2907">
      <c r="R2907" s="58"/>
    </row>
    <row r="2908">
      <c r="R2908" s="58"/>
    </row>
    <row r="2909">
      <c r="R2909" s="58"/>
    </row>
    <row r="2910">
      <c r="R2910" s="58"/>
    </row>
    <row r="2911">
      <c r="R2911" s="58"/>
    </row>
    <row r="2912">
      <c r="R2912" s="58"/>
    </row>
    <row r="2913">
      <c r="R2913" s="58"/>
    </row>
    <row r="2914">
      <c r="R2914" s="58"/>
    </row>
    <row r="2915">
      <c r="R2915" s="58"/>
    </row>
    <row r="2916">
      <c r="R2916" s="58"/>
    </row>
    <row r="2917">
      <c r="R2917" s="58"/>
    </row>
    <row r="2918">
      <c r="R2918" s="58"/>
    </row>
    <row r="2919">
      <c r="R2919" s="58"/>
    </row>
    <row r="2920">
      <c r="R2920" s="58"/>
    </row>
    <row r="2921">
      <c r="R2921" s="58"/>
    </row>
    <row r="2922">
      <c r="R2922" s="58"/>
    </row>
    <row r="2923">
      <c r="R2923" s="58"/>
    </row>
    <row r="2924">
      <c r="R2924" s="58"/>
    </row>
    <row r="2925">
      <c r="R2925" s="58"/>
    </row>
    <row r="2926">
      <c r="R2926" s="58"/>
    </row>
    <row r="2927">
      <c r="R2927" s="58"/>
    </row>
    <row r="2928">
      <c r="R2928" s="58"/>
    </row>
    <row r="2929">
      <c r="R2929" s="58"/>
    </row>
    <row r="2930">
      <c r="R2930" s="58"/>
    </row>
    <row r="2931">
      <c r="R2931" s="58"/>
    </row>
    <row r="2932">
      <c r="R2932" s="58"/>
    </row>
    <row r="2933">
      <c r="R2933" s="58"/>
    </row>
    <row r="2934">
      <c r="R2934" s="58"/>
    </row>
    <row r="2935">
      <c r="R2935" s="58"/>
    </row>
    <row r="2936">
      <c r="R2936" s="58"/>
    </row>
    <row r="2937">
      <c r="R2937" s="58"/>
    </row>
    <row r="2938">
      <c r="R2938" s="58"/>
    </row>
    <row r="2939">
      <c r="R2939" s="58"/>
    </row>
    <row r="2940">
      <c r="R2940" s="58"/>
    </row>
    <row r="2941">
      <c r="R2941" s="58"/>
    </row>
    <row r="2942">
      <c r="R2942" s="58"/>
    </row>
    <row r="2943">
      <c r="R2943" s="58"/>
    </row>
    <row r="2944">
      <c r="R2944" s="58"/>
    </row>
    <row r="2945">
      <c r="R2945" s="58"/>
    </row>
    <row r="2946">
      <c r="R2946" s="58"/>
    </row>
    <row r="2947">
      <c r="R2947" s="58"/>
    </row>
    <row r="2948">
      <c r="R2948" s="58"/>
    </row>
    <row r="2949">
      <c r="R2949" s="58"/>
    </row>
    <row r="2950">
      <c r="R2950" s="58"/>
    </row>
    <row r="2951">
      <c r="R2951" s="58"/>
    </row>
    <row r="2952">
      <c r="R2952" s="58"/>
    </row>
    <row r="2953">
      <c r="R2953" s="58"/>
    </row>
    <row r="2954">
      <c r="R2954" s="58"/>
    </row>
    <row r="2955">
      <c r="R2955" s="58"/>
    </row>
    <row r="2956">
      <c r="R2956" s="58"/>
    </row>
    <row r="2957">
      <c r="R2957" s="58"/>
    </row>
    <row r="2958">
      <c r="R2958" s="58"/>
    </row>
    <row r="2959">
      <c r="R2959" s="58"/>
    </row>
    <row r="2960">
      <c r="R2960" s="58"/>
    </row>
    <row r="2961">
      <c r="R2961" s="58"/>
    </row>
    <row r="2962">
      <c r="R2962" s="58"/>
    </row>
    <row r="2963">
      <c r="R2963" s="58"/>
    </row>
    <row r="2964">
      <c r="R2964" s="58"/>
    </row>
    <row r="2965">
      <c r="R2965" s="58"/>
    </row>
    <row r="2966">
      <c r="R2966" s="58"/>
    </row>
    <row r="2967">
      <c r="R2967" s="58"/>
    </row>
    <row r="2968">
      <c r="R2968" s="58"/>
    </row>
    <row r="2969">
      <c r="R2969" s="58"/>
    </row>
    <row r="2970">
      <c r="R2970" s="58"/>
    </row>
    <row r="2971">
      <c r="R2971" s="58"/>
    </row>
    <row r="2972">
      <c r="R2972" s="58"/>
    </row>
    <row r="2973">
      <c r="R2973" s="58"/>
    </row>
    <row r="2974">
      <c r="R2974" s="58"/>
    </row>
    <row r="2975">
      <c r="R2975" s="58"/>
    </row>
    <row r="2976">
      <c r="R2976" s="58"/>
    </row>
    <row r="2977">
      <c r="R2977" s="58"/>
    </row>
    <row r="2978">
      <c r="R2978" s="58"/>
    </row>
    <row r="2979">
      <c r="R2979" s="58"/>
    </row>
    <row r="2980">
      <c r="R2980" s="58"/>
    </row>
    <row r="2981">
      <c r="R2981" s="58"/>
    </row>
    <row r="2982">
      <c r="R2982" s="58"/>
    </row>
    <row r="2983">
      <c r="R2983" s="58"/>
    </row>
    <row r="2984">
      <c r="R2984" s="58"/>
    </row>
    <row r="2985">
      <c r="R2985" s="58"/>
    </row>
    <row r="2986">
      <c r="R2986" s="58"/>
    </row>
    <row r="2987">
      <c r="R2987" s="58"/>
    </row>
    <row r="2988">
      <c r="R2988" s="58"/>
    </row>
    <row r="2989">
      <c r="R2989" s="58"/>
    </row>
    <row r="2990">
      <c r="R2990" s="58"/>
    </row>
    <row r="2991">
      <c r="R2991" s="58"/>
    </row>
    <row r="2992">
      <c r="R2992" s="58"/>
    </row>
    <row r="2993">
      <c r="R2993" s="58"/>
    </row>
    <row r="2994">
      <c r="R2994" s="58"/>
    </row>
    <row r="2995">
      <c r="R2995" s="58"/>
    </row>
    <row r="2996">
      <c r="R2996" s="58"/>
    </row>
    <row r="2997">
      <c r="R2997" s="58"/>
    </row>
    <row r="2998">
      <c r="R2998" s="58"/>
    </row>
    <row r="2999">
      <c r="R2999" s="58"/>
    </row>
    <row r="3000">
      <c r="R3000" s="58"/>
    </row>
    <row r="3001">
      <c r="R3001" s="58"/>
    </row>
    <row r="3002">
      <c r="R3002" s="58"/>
    </row>
    <row r="3003">
      <c r="R3003" s="58"/>
    </row>
    <row r="3004">
      <c r="R3004" s="58"/>
    </row>
    <row r="3005">
      <c r="R3005" s="58"/>
    </row>
    <row r="3006">
      <c r="R3006" s="58"/>
    </row>
    <row r="3007">
      <c r="R3007" s="58"/>
    </row>
    <row r="3008">
      <c r="R3008" s="58"/>
    </row>
    <row r="3009">
      <c r="R3009" s="58"/>
    </row>
    <row r="3010">
      <c r="R3010" s="58"/>
    </row>
    <row r="3011">
      <c r="R3011" s="58"/>
    </row>
    <row r="3012">
      <c r="R3012" s="58"/>
    </row>
    <row r="3013">
      <c r="R3013" s="58"/>
    </row>
    <row r="3014">
      <c r="R3014" s="58"/>
    </row>
    <row r="3015">
      <c r="R3015" s="58"/>
    </row>
    <row r="3016">
      <c r="R3016" s="58"/>
    </row>
    <row r="3017">
      <c r="R3017" s="58"/>
    </row>
    <row r="3018">
      <c r="R3018" s="58"/>
    </row>
    <row r="3019">
      <c r="R3019" s="58"/>
    </row>
    <row r="3020">
      <c r="R3020" s="58"/>
    </row>
    <row r="3021">
      <c r="R3021" s="58"/>
    </row>
    <row r="3022">
      <c r="R3022" s="58"/>
    </row>
    <row r="3023">
      <c r="R3023" s="58"/>
    </row>
    <row r="3024">
      <c r="R3024" s="58"/>
    </row>
    <row r="3025">
      <c r="R3025" s="58"/>
    </row>
    <row r="3026">
      <c r="R3026" s="58"/>
    </row>
    <row r="3027">
      <c r="R3027" s="58"/>
    </row>
    <row r="3028">
      <c r="R3028" s="58"/>
    </row>
    <row r="3029">
      <c r="R3029" s="58"/>
    </row>
    <row r="3030">
      <c r="R3030" s="58"/>
    </row>
    <row r="3031">
      <c r="R3031" s="58"/>
    </row>
    <row r="3032">
      <c r="R3032" s="58"/>
    </row>
    <row r="3033">
      <c r="R3033" s="58"/>
    </row>
    <row r="3034">
      <c r="R3034" s="58"/>
    </row>
    <row r="3035">
      <c r="R3035" s="58"/>
    </row>
    <row r="3036">
      <c r="R3036" s="58"/>
    </row>
    <row r="3037">
      <c r="R3037" s="58"/>
    </row>
    <row r="3038">
      <c r="R3038" s="58"/>
    </row>
    <row r="3039">
      <c r="R3039" s="58"/>
    </row>
    <row r="3040">
      <c r="R3040" s="58"/>
    </row>
    <row r="3041">
      <c r="R3041" s="58"/>
    </row>
    <row r="3042">
      <c r="R3042" s="58"/>
    </row>
    <row r="3043">
      <c r="R3043" s="58"/>
    </row>
    <row r="3044">
      <c r="R3044" s="58"/>
    </row>
    <row r="3045">
      <c r="R3045" s="58"/>
    </row>
    <row r="3046">
      <c r="R3046" s="58"/>
    </row>
    <row r="3047">
      <c r="R3047" s="58"/>
    </row>
    <row r="3048">
      <c r="R3048" s="58"/>
    </row>
    <row r="3049">
      <c r="R3049" s="58"/>
    </row>
    <row r="3050">
      <c r="R3050" s="58"/>
    </row>
    <row r="3051">
      <c r="R3051" s="58"/>
    </row>
    <row r="3052">
      <c r="R3052" s="58"/>
    </row>
    <row r="3053">
      <c r="R3053" s="58"/>
    </row>
    <row r="3054">
      <c r="R3054" s="58"/>
    </row>
    <row r="3055">
      <c r="R3055" s="58"/>
    </row>
    <row r="3056">
      <c r="R3056" s="58"/>
    </row>
    <row r="3057">
      <c r="R3057" s="58"/>
    </row>
    <row r="3058">
      <c r="R3058" s="58"/>
    </row>
    <row r="3059">
      <c r="R3059" s="58"/>
    </row>
    <row r="3060">
      <c r="R3060" s="58"/>
    </row>
    <row r="3061">
      <c r="R3061" s="58"/>
    </row>
    <row r="3062">
      <c r="R3062" s="58"/>
    </row>
    <row r="3063">
      <c r="R3063" s="58"/>
    </row>
    <row r="3064">
      <c r="R3064" s="58"/>
    </row>
    <row r="3065">
      <c r="R3065" s="58"/>
    </row>
    <row r="3066">
      <c r="R3066" s="58"/>
    </row>
    <row r="3067">
      <c r="R3067" s="58"/>
    </row>
    <row r="3068">
      <c r="R3068" s="58"/>
    </row>
    <row r="3069">
      <c r="R3069" s="58"/>
    </row>
    <row r="3070">
      <c r="R3070" s="58"/>
    </row>
    <row r="3071">
      <c r="R3071" s="58"/>
    </row>
    <row r="3072">
      <c r="R3072" s="58"/>
    </row>
    <row r="3073">
      <c r="R3073" s="58"/>
    </row>
    <row r="3074">
      <c r="R3074" s="58"/>
    </row>
    <row r="3075">
      <c r="R3075" s="58"/>
    </row>
    <row r="3076">
      <c r="R3076" s="58"/>
    </row>
    <row r="3077">
      <c r="R3077" s="58"/>
    </row>
    <row r="3078">
      <c r="R3078" s="58"/>
    </row>
    <row r="3079">
      <c r="R3079" s="58"/>
    </row>
    <row r="3080">
      <c r="R3080" s="58"/>
    </row>
    <row r="3081">
      <c r="R3081" s="58"/>
    </row>
    <row r="3082">
      <c r="R3082" s="58"/>
    </row>
    <row r="3083">
      <c r="R3083" s="58"/>
    </row>
    <row r="3084">
      <c r="R3084" s="58"/>
    </row>
    <row r="3085">
      <c r="R3085" s="58"/>
    </row>
    <row r="3086">
      <c r="R3086" s="58"/>
    </row>
    <row r="3087">
      <c r="R3087" s="58"/>
    </row>
    <row r="3088">
      <c r="R3088" s="58"/>
    </row>
    <row r="3089">
      <c r="R3089" s="58"/>
    </row>
    <row r="3090">
      <c r="R3090" s="58"/>
    </row>
    <row r="3091">
      <c r="R3091" s="58"/>
    </row>
    <row r="3092">
      <c r="R3092" s="58"/>
    </row>
    <row r="3093">
      <c r="R3093" s="58"/>
    </row>
    <row r="3094">
      <c r="R3094" s="58"/>
    </row>
    <row r="3095">
      <c r="R3095" s="58"/>
    </row>
    <row r="3096">
      <c r="R3096" s="58"/>
    </row>
    <row r="3097">
      <c r="R3097" s="58"/>
    </row>
    <row r="3098">
      <c r="R3098" s="58"/>
    </row>
    <row r="3099">
      <c r="R3099" s="58"/>
    </row>
    <row r="3100">
      <c r="R3100" s="58"/>
    </row>
    <row r="3101">
      <c r="R3101" s="58"/>
    </row>
    <row r="3102">
      <c r="R3102" s="58"/>
    </row>
    <row r="3103">
      <c r="R3103" s="58"/>
    </row>
    <row r="3104">
      <c r="R3104" s="58"/>
    </row>
    <row r="3105">
      <c r="R3105" s="58"/>
    </row>
    <row r="3106">
      <c r="R3106" s="58"/>
    </row>
    <row r="3107">
      <c r="R3107" s="58"/>
    </row>
    <row r="3108">
      <c r="R3108" s="58"/>
    </row>
    <row r="3109">
      <c r="R3109" s="58"/>
    </row>
    <row r="3110">
      <c r="R3110" s="58"/>
    </row>
    <row r="3111">
      <c r="R3111" s="58"/>
    </row>
    <row r="3112">
      <c r="R3112" s="58"/>
    </row>
    <row r="3113">
      <c r="R3113" s="58"/>
    </row>
    <row r="3114">
      <c r="R3114" s="58"/>
    </row>
    <row r="3115">
      <c r="R3115" s="58"/>
    </row>
    <row r="3116">
      <c r="R3116" s="58"/>
    </row>
    <row r="3117">
      <c r="R3117" s="58"/>
    </row>
    <row r="3118">
      <c r="R3118" s="58"/>
    </row>
    <row r="3119">
      <c r="R3119" s="58"/>
    </row>
    <row r="3120">
      <c r="R3120" s="58"/>
    </row>
    <row r="3121">
      <c r="R3121" s="58"/>
    </row>
    <row r="3122">
      <c r="R3122" s="58"/>
    </row>
    <row r="3123">
      <c r="R3123" s="58"/>
    </row>
    <row r="3124">
      <c r="R3124" s="58"/>
    </row>
    <row r="3125">
      <c r="R3125" s="58"/>
    </row>
    <row r="3126">
      <c r="R3126" s="58"/>
    </row>
    <row r="3127">
      <c r="R3127" s="58"/>
    </row>
    <row r="3128">
      <c r="R3128" s="58"/>
    </row>
    <row r="3129">
      <c r="R3129" s="58"/>
    </row>
    <row r="3130">
      <c r="R3130" s="58"/>
    </row>
    <row r="3131">
      <c r="R3131" s="58"/>
    </row>
    <row r="3132">
      <c r="R3132" s="58"/>
    </row>
    <row r="3133">
      <c r="R3133" s="58"/>
    </row>
    <row r="3134">
      <c r="R3134" s="58"/>
    </row>
    <row r="3135">
      <c r="R3135" s="58"/>
    </row>
    <row r="3136">
      <c r="R3136" s="58"/>
    </row>
    <row r="3137">
      <c r="R3137" s="58"/>
    </row>
    <row r="3138">
      <c r="R3138" s="58"/>
    </row>
    <row r="3139">
      <c r="R3139" s="58"/>
    </row>
    <row r="3140">
      <c r="R3140" s="58"/>
    </row>
    <row r="3141">
      <c r="R3141" s="58"/>
    </row>
    <row r="3142">
      <c r="R3142" s="58"/>
    </row>
    <row r="3143">
      <c r="R3143" s="58"/>
    </row>
    <row r="3144">
      <c r="R3144" s="58"/>
    </row>
    <row r="3145">
      <c r="R3145" s="58"/>
    </row>
    <row r="3146">
      <c r="R3146" s="58"/>
    </row>
    <row r="3147">
      <c r="R3147" s="58"/>
    </row>
    <row r="3148">
      <c r="R3148" s="58"/>
    </row>
    <row r="3149">
      <c r="R3149" s="58"/>
    </row>
    <row r="3150">
      <c r="R3150" s="58"/>
    </row>
    <row r="3151">
      <c r="R3151" s="58"/>
    </row>
    <row r="3152">
      <c r="R3152" s="58"/>
    </row>
    <row r="3153">
      <c r="R3153" s="58"/>
    </row>
    <row r="3154">
      <c r="R3154" s="58"/>
    </row>
    <row r="3155">
      <c r="R3155" s="58"/>
    </row>
    <row r="3156">
      <c r="R3156" s="58"/>
    </row>
    <row r="3157">
      <c r="R3157" s="58"/>
    </row>
    <row r="3158">
      <c r="R3158" s="58"/>
    </row>
    <row r="3159">
      <c r="R3159" s="58"/>
    </row>
    <row r="3160">
      <c r="R3160" s="58"/>
    </row>
    <row r="3161">
      <c r="R3161" s="58"/>
    </row>
    <row r="3162">
      <c r="R3162" s="58"/>
    </row>
    <row r="3163">
      <c r="R3163" s="58"/>
    </row>
    <row r="3164">
      <c r="R3164" s="58"/>
    </row>
    <row r="3165">
      <c r="R3165" s="58"/>
    </row>
    <row r="3166">
      <c r="R3166" s="58"/>
    </row>
    <row r="3167">
      <c r="R3167" s="58"/>
    </row>
    <row r="3168">
      <c r="R3168" s="58"/>
    </row>
    <row r="3169">
      <c r="R3169" s="58"/>
    </row>
    <row r="3170">
      <c r="R3170" s="58"/>
    </row>
    <row r="3171">
      <c r="R3171" s="58"/>
    </row>
    <row r="3172">
      <c r="R3172" s="58"/>
    </row>
    <row r="3173">
      <c r="R3173" s="58"/>
    </row>
    <row r="3174">
      <c r="R3174" s="58"/>
    </row>
    <row r="3175">
      <c r="R3175" s="58"/>
    </row>
    <row r="3176">
      <c r="R3176" s="58"/>
    </row>
    <row r="3177">
      <c r="R3177" s="58"/>
    </row>
    <row r="3178">
      <c r="R3178" s="58"/>
    </row>
    <row r="3179">
      <c r="R3179" s="58"/>
    </row>
    <row r="3180">
      <c r="R3180" s="58"/>
    </row>
    <row r="3181">
      <c r="R3181" s="58"/>
    </row>
    <row r="3182">
      <c r="R3182" s="58"/>
    </row>
    <row r="3183">
      <c r="R3183" s="58"/>
    </row>
    <row r="3184">
      <c r="R3184" s="58"/>
    </row>
    <row r="3185">
      <c r="R3185" s="58"/>
    </row>
    <row r="3186">
      <c r="R3186" s="58"/>
    </row>
    <row r="3187">
      <c r="R3187" s="58"/>
    </row>
    <row r="3188">
      <c r="R3188" s="58"/>
    </row>
    <row r="3189">
      <c r="R3189" s="58"/>
    </row>
    <row r="3190">
      <c r="R3190" s="58"/>
    </row>
    <row r="3191">
      <c r="R3191" s="58"/>
    </row>
    <row r="3192">
      <c r="R3192" s="58"/>
    </row>
    <row r="3193">
      <c r="R3193" s="58"/>
    </row>
    <row r="3194">
      <c r="R3194" s="58"/>
    </row>
    <row r="3195">
      <c r="R3195" s="58"/>
    </row>
    <row r="3196">
      <c r="R3196" s="58"/>
    </row>
    <row r="3197">
      <c r="R3197" s="58"/>
    </row>
    <row r="3198">
      <c r="R3198" s="58"/>
    </row>
    <row r="3199">
      <c r="R3199" s="58"/>
    </row>
    <row r="3200">
      <c r="R3200" s="58"/>
    </row>
    <row r="3201">
      <c r="R3201" s="58"/>
    </row>
    <row r="3202">
      <c r="R3202" s="58"/>
    </row>
    <row r="3203">
      <c r="R3203" s="58"/>
    </row>
    <row r="3204">
      <c r="R3204" s="58"/>
    </row>
    <row r="3205">
      <c r="R3205" s="58"/>
    </row>
    <row r="3206">
      <c r="R3206" s="58"/>
    </row>
    <row r="3207">
      <c r="R3207" s="58"/>
    </row>
    <row r="3208">
      <c r="R3208" s="58"/>
    </row>
    <row r="3209">
      <c r="R3209" s="58"/>
    </row>
    <row r="3210">
      <c r="R3210" s="58"/>
    </row>
    <row r="3211">
      <c r="R3211" s="58"/>
    </row>
    <row r="3212">
      <c r="R3212" s="58"/>
    </row>
    <row r="3213">
      <c r="R3213" s="58"/>
    </row>
    <row r="3214">
      <c r="R3214" s="58"/>
    </row>
    <row r="3215">
      <c r="R3215" s="58"/>
    </row>
    <row r="3216">
      <c r="R3216" s="58"/>
    </row>
    <row r="3217">
      <c r="R3217" s="58"/>
    </row>
    <row r="3218">
      <c r="R3218" s="58"/>
    </row>
    <row r="3219">
      <c r="R3219" s="58"/>
    </row>
    <row r="3220">
      <c r="R3220" s="58"/>
    </row>
    <row r="3221">
      <c r="R3221" s="58"/>
    </row>
    <row r="3222">
      <c r="R3222" s="58"/>
    </row>
    <row r="3223">
      <c r="R3223" s="58"/>
    </row>
    <row r="3224">
      <c r="R3224" s="58"/>
    </row>
    <row r="3225">
      <c r="R3225" s="58"/>
    </row>
    <row r="3226">
      <c r="R3226" s="58"/>
    </row>
    <row r="3227">
      <c r="R3227" s="58"/>
    </row>
    <row r="3228">
      <c r="R3228" s="58"/>
    </row>
    <row r="3229">
      <c r="R3229" s="58"/>
    </row>
    <row r="3230">
      <c r="R3230" s="58"/>
    </row>
    <row r="3231">
      <c r="R3231" s="58"/>
    </row>
    <row r="3232">
      <c r="R3232" s="58"/>
    </row>
    <row r="3233">
      <c r="R3233" s="58"/>
    </row>
    <row r="3234">
      <c r="R3234" s="58"/>
    </row>
    <row r="3235">
      <c r="R3235" s="58"/>
    </row>
    <row r="3236">
      <c r="R3236" s="58"/>
    </row>
    <row r="3237">
      <c r="R3237" s="58"/>
    </row>
    <row r="3238">
      <c r="R3238" s="58"/>
    </row>
    <row r="3239">
      <c r="R3239" s="58"/>
    </row>
    <row r="3240">
      <c r="R3240" s="58"/>
    </row>
    <row r="3241">
      <c r="R3241" s="58"/>
    </row>
    <row r="3242">
      <c r="R3242" s="58"/>
    </row>
    <row r="3243">
      <c r="R3243" s="58"/>
    </row>
    <row r="3244">
      <c r="R3244" s="58"/>
    </row>
    <row r="3245">
      <c r="R3245" s="58"/>
    </row>
    <row r="3246">
      <c r="R3246" s="58"/>
    </row>
    <row r="3247">
      <c r="R3247" s="58"/>
    </row>
    <row r="3248">
      <c r="R3248" s="58"/>
    </row>
    <row r="3249">
      <c r="R3249" s="58"/>
    </row>
    <row r="3250">
      <c r="R3250" s="58"/>
    </row>
    <row r="3251">
      <c r="R3251" s="58"/>
    </row>
    <row r="3252">
      <c r="R3252" s="58"/>
    </row>
    <row r="3253">
      <c r="R3253" s="58"/>
    </row>
    <row r="3254">
      <c r="R3254" s="58"/>
    </row>
    <row r="3255">
      <c r="R3255" s="58"/>
    </row>
    <row r="3256">
      <c r="R3256" s="58"/>
    </row>
    <row r="3257">
      <c r="R3257" s="58"/>
    </row>
    <row r="3258">
      <c r="R3258" s="58"/>
    </row>
    <row r="3259">
      <c r="R3259" s="58"/>
    </row>
    <row r="3260">
      <c r="R3260" s="58"/>
    </row>
    <row r="3261">
      <c r="R3261" s="58"/>
    </row>
    <row r="3262">
      <c r="R3262" s="58"/>
    </row>
    <row r="3263">
      <c r="R3263" s="58"/>
    </row>
    <row r="3264">
      <c r="R3264" s="58"/>
    </row>
    <row r="3265">
      <c r="R3265" s="58"/>
    </row>
    <row r="3266">
      <c r="R3266" s="58"/>
    </row>
    <row r="3267">
      <c r="R3267" s="58"/>
    </row>
    <row r="3268">
      <c r="R3268" s="58"/>
    </row>
    <row r="3269">
      <c r="R3269" s="58"/>
    </row>
    <row r="3270">
      <c r="R3270" s="58"/>
    </row>
    <row r="3271">
      <c r="R3271" s="58"/>
    </row>
    <row r="3272">
      <c r="R3272" s="58"/>
    </row>
    <row r="3273">
      <c r="R3273" s="58"/>
    </row>
    <row r="3274">
      <c r="R3274" s="58"/>
    </row>
    <row r="3275">
      <c r="R3275" s="58"/>
    </row>
    <row r="3276">
      <c r="R3276" s="58"/>
    </row>
    <row r="3277">
      <c r="R3277" s="58"/>
    </row>
    <row r="3278">
      <c r="R3278" s="58"/>
    </row>
    <row r="3279">
      <c r="R3279" s="58"/>
    </row>
    <row r="3280">
      <c r="R3280" s="58"/>
    </row>
    <row r="3281">
      <c r="R3281" s="58"/>
    </row>
    <row r="3282">
      <c r="R3282" s="58"/>
    </row>
    <row r="3283">
      <c r="R3283" s="58"/>
    </row>
    <row r="3284">
      <c r="R3284" s="58"/>
    </row>
    <row r="3285">
      <c r="R3285" s="58"/>
    </row>
    <row r="3286">
      <c r="R3286" s="58"/>
    </row>
    <row r="3287">
      <c r="R3287" s="58"/>
    </row>
    <row r="3288">
      <c r="R3288" s="58"/>
    </row>
    <row r="3289">
      <c r="R3289" s="58"/>
    </row>
    <row r="3290">
      <c r="R3290" s="58"/>
    </row>
    <row r="3291">
      <c r="R3291" s="58"/>
    </row>
    <row r="3292">
      <c r="R3292" s="58"/>
    </row>
    <row r="3293">
      <c r="R3293" s="58"/>
    </row>
    <row r="3294">
      <c r="R3294" s="58"/>
    </row>
    <row r="3295">
      <c r="R3295" s="58"/>
    </row>
    <row r="3296">
      <c r="R3296" s="58"/>
    </row>
    <row r="3297">
      <c r="R3297" s="58"/>
    </row>
    <row r="3298">
      <c r="R3298" s="58"/>
    </row>
    <row r="3299">
      <c r="R3299" s="58"/>
    </row>
    <row r="3300">
      <c r="R3300" s="58"/>
    </row>
    <row r="3301">
      <c r="R3301" s="58"/>
    </row>
    <row r="3302">
      <c r="R3302" s="58"/>
    </row>
    <row r="3303">
      <c r="R3303" s="58"/>
    </row>
    <row r="3304">
      <c r="R3304" s="58"/>
    </row>
    <row r="3305">
      <c r="R3305" s="58"/>
    </row>
    <row r="3306">
      <c r="R3306" s="58"/>
    </row>
    <row r="3307">
      <c r="R3307" s="58"/>
    </row>
    <row r="3308">
      <c r="R3308" s="58"/>
    </row>
    <row r="3309">
      <c r="R3309" s="58"/>
    </row>
    <row r="3310">
      <c r="R3310" s="58"/>
    </row>
    <row r="3311">
      <c r="R3311" s="58"/>
    </row>
    <row r="3312">
      <c r="R3312" s="58"/>
    </row>
    <row r="3313">
      <c r="R3313" s="58"/>
    </row>
    <row r="3314">
      <c r="R3314" s="58"/>
    </row>
    <row r="3315">
      <c r="R3315" s="58"/>
    </row>
    <row r="3316">
      <c r="R3316" s="58"/>
    </row>
    <row r="3317">
      <c r="R3317" s="58"/>
    </row>
    <row r="3318">
      <c r="R3318" s="58"/>
    </row>
    <row r="3319">
      <c r="R3319" s="58"/>
    </row>
    <row r="3320">
      <c r="R3320" s="58"/>
    </row>
    <row r="3321">
      <c r="R3321" s="58"/>
    </row>
    <row r="3322">
      <c r="R3322" s="58"/>
    </row>
    <row r="3323">
      <c r="R3323" s="58"/>
    </row>
    <row r="3324">
      <c r="R3324" s="58"/>
    </row>
    <row r="3325">
      <c r="R3325" s="58"/>
    </row>
    <row r="3326">
      <c r="R3326" s="58"/>
    </row>
    <row r="3327">
      <c r="R3327" s="58"/>
    </row>
    <row r="3328">
      <c r="R3328" s="58"/>
    </row>
    <row r="3329">
      <c r="R3329" s="58"/>
    </row>
    <row r="3330">
      <c r="R3330" s="58"/>
    </row>
    <row r="3331">
      <c r="R3331" s="58"/>
    </row>
    <row r="3332">
      <c r="R3332" s="58"/>
    </row>
    <row r="3333">
      <c r="R3333" s="58"/>
    </row>
    <row r="3334">
      <c r="R3334" s="58"/>
    </row>
    <row r="3335">
      <c r="R3335" s="58"/>
    </row>
    <row r="3336">
      <c r="R3336" s="58"/>
    </row>
    <row r="3337">
      <c r="R3337" s="58"/>
    </row>
    <row r="3338">
      <c r="R3338" s="58"/>
    </row>
    <row r="3339">
      <c r="R3339" s="58"/>
    </row>
    <row r="3340">
      <c r="R3340" s="58"/>
    </row>
    <row r="3341">
      <c r="R3341" s="58"/>
    </row>
    <row r="3342">
      <c r="R3342" s="58"/>
    </row>
    <row r="3343">
      <c r="R3343" s="58"/>
    </row>
    <row r="3344">
      <c r="R3344" s="58"/>
    </row>
    <row r="3345">
      <c r="R3345" s="58"/>
    </row>
    <row r="3346">
      <c r="R3346" s="58"/>
    </row>
    <row r="3347">
      <c r="R3347" s="58"/>
    </row>
    <row r="3348">
      <c r="R3348" s="58"/>
    </row>
    <row r="3349">
      <c r="R3349" s="58"/>
    </row>
    <row r="3350">
      <c r="R3350" s="58"/>
    </row>
    <row r="3351">
      <c r="R3351" s="58"/>
    </row>
    <row r="3352">
      <c r="R3352" s="58"/>
    </row>
    <row r="3353">
      <c r="R3353" s="58"/>
    </row>
    <row r="3354">
      <c r="R3354" s="58"/>
    </row>
    <row r="3355">
      <c r="R3355" s="58"/>
    </row>
    <row r="3356">
      <c r="R3356" s="58"/>
    </row>
    <row r="3357">
      <c r="R3357" s="58"/>
    </row>
    <row r="3358">
      <c r="R3358" s="58"/>
    </row>
    <row r="3359">
      <c r="R3359" s="58"/>
    </row>
    <row r="3360">
      <c r="R3360" s="58"/>
    </row>
    <row r="3361">
      <c r="R3361" s="58"/>
    </row>
    <row r="3362">
      <c r="R3362" s="58"/>
    </row>
    <row r="3363">
      <c r="R3363" s="58"/>
    </row>
    <row r="3364">
      <c r="R3364" s="58"/>
    </row>
    <row r="3365">
      <c r="R3365" s="58"/>
    </row>
    <row r="3366">
      <c r="R3366" s="58"/>
    </row>
    <row r="3367">
      <c r="R3367" s="58"/>
    </row>
    <row r="3368">
      <c r="R3368" s="58"/>
    </row>
    <row r="3369">
      <c r="R3369" s="58"/>
    </row>
    <row r="3370">
      <c r="R3370" s="58"/>
    </row>
    <row r="3371">
      <c r="R3371" s="58"/>
    </row>
    <row r="3372">
      <c r="R3372" s="58"/>
    </row>
    <row r="3373">
      <c r="R3373" s="58"/>
    </row>
    <row r="3374">
      <c r="R3374" s="58"/>
    </row>
    <row r="3375">
      <c r="R3375" s="58"/>
    </row>
    <row r="3376">
      <c r="R3376" s="58"/>
    </row>
    <row r="3377">
      <c r="R3377" s="58"/>
    </row>
    <row r="3378">
      <c r="R3378" s="58"/>
    </row>
    <row r="3379">
      <c r="R3379" s="58"/>
    </row>
    <row r="3380">
      <c r="R3380" s="58"/>
    </row>
    <row r="3381">
      <c r="R3381" s="58"/>
    </row>
    <row r="3382">
      <c r="R3382" s="58"/>
    </row>
    <row r="3383">
      <c r="R3383" s="58"/>
    </row>
    <row r="3384">
      <c r="R3384" s="58"/>
    </row>
    <row r="3385">
      <c r="R3385" s="58"/>
    </row>
    <row r="3386">
      <c r="R3386" s="58"/>
    </row>
    <row r="3387">
      <c r="R3387" s="58"/>
    </row>
    <row r="3388">
      <c r="R3388" s="58"/>
    </row>
    <row r="3389">
      <c r="R3389" s="58"/>
    </row>
    <row r="3390">
      <c r="R3390" s="58"/>
    </row>
    <row r="3391">
      <c r="R3391" s="58"/>
    </row>
    <row r="3392">
      <c r="R3392" s="58"/>
    </row>
    <row r="3393">
      <c r="R3393" s="58"/>
    </row>
    <row r="3394">
      <c r="R3394" s="58"/>
    </row>
    <row r="3395">
      <c r="R3395" s="58"/>
    </row>
    <row r="3396">
      <c r="R3396" s="58"/>
    </row>
    <row r="3397">
      <c r="R3397" s="58"/>
    </row>
    <row r="3398">
      <c r="R3398" s="58"/>
    </row>
    <row r="3399">
      <c r="R3399" s="58"/>
    </row>
    <row r="3400">
      <c r="R3400" s="58"/>
    </row>
    <row r="3401">
      <c r="R3401" s="58"/>
    </row>
    <row r="3402">
      <c r="R3402" s="58"/>
    </row>
    <row r="3403">
      <c r="R3403" s="58"/>
    </row>
    <row r="3404">
      <c r="R3404" s="58"/>
    </row>
    <row r="3405">
      <c r="R3405" s="58"/>
    </row>
    <row r="3406">
      <c r="R3406" s="58"/>
    </row>
    <row r="3407">
      <c r="R3407" s="58"/>
    </row>
    <row r="3408">
      <c r="R3408" s="58"/>
    </row>
    <row r="3409">
      <c r="R3409" s="58"/>
    </row>
    <row r="3410">
      <c r="R3410" s="58"/>
    </row>
    <row r="3411">
      <c r="R3411" s="58"/>
    </row>
    <row r="3412">
      <c r="R3412" s="58"/>
    </row>
    <row r="3413">
      <c r="R3413" s="58"/>
    </row>
    <row r="3414">
      <c r="R3414" s="58"/>
    </row>
    <row r="3415">
      <c r="R3415" s="58"/>
    </row>
    <row r="3416">
      <c r="R3416" s="58"/>
    </row>
    <row r="3417">
      <c r="R3417" s="58"/>
    </row>
    <row r="3418">
      <c r="R3418" s="58"/>
    </row>
    <row r="3419">
      <c r="R3419" s="58"/>
    </row>
    <row r="3420">
      <c r="R3420" s="58"/>
    </row>
    <row r="3421">
      <c r="R3421" s="58"/>
    </row>
    <row r="3422">
      <c r="R3422" s="58"/>
    </row>
    <row r="3423">
      <c r="R3423" s="58"/>
    </row>
    <row r="3424">
      <c r="R3424" s="58"/>
    </row>
    <row r="3425">
      <c r="R3425" s="58"/>
    </row>
    <row r="3426">
      <c r="R3426" s="58"/>
    </row>
    <row r="3427">
      <c r="R3427" s="58"/>
    </row>
    <row r="3428">
      <c r="R3428" s="58"/>
    </row>
    <row r="3429">
      <c r="R3429" s="58"/>
    </row>
    <row r="3430">
      <c r="R3430" s="58"/>
    </row>
    <row r="3431">
      <c r="R3431" s="58"/>
    </row>
    <row r="3432">
      <c r="R3432" s="58"/>
    </row>
    <row r="3433">
      <c r="R3433" s="58"/>
    </row>
    <row r="3434">
      <c r="R3434" s="58"/>
    </row>
    <row r="3435">
      <c r="R3435" s="58"/>
    </row>
    <row r="3436">
      <c r="R3436" s="58"/>
    </row>
    <row r="3437">
      <c r="R3437" s="58"/>
    </row>
    <row r="3438">
      <c r="R3438" s="58"/>
    </row>
    <row r="3439">
      <c r="R3439" s="58"/>
    </row>
    <row r="3440">
      <c r="R3440" s="58"/>
    </row>
    <row r="3441">
      <c r="R3441" s="58"/>
    </row>
    <row r="3442">
      <c r="R3442" s="58"/>
    </row>
    <row r="3443">
      <c r="R3443" s="58"/>
    </row>
    <row r="3444">
      <c r="R3444" s="58"/>
    </row>
    <row r="3445">
      <c r="R3445" s="58"/>
    </row>
    <row r="3446">
      <c r="R3446" s="58"/>
    </row>
    <row r="3447">
      <c r="R3447" s="58"/>
    </row>
    <row r="3448">
      <c r="R3448" s="58"/>
    </row>
    <row r="3449">
      <c r="R3449" s="58"/>
    </row>
    <row r="3450">
      <c r="R3450" s="58"/>
    </row>
    <row r="3451">
      <c r="R3451" s="58"/>
    </row>
    <row r="3452">
      <c r="R3452" s="58"/>
    </row>
    <row r="3453">
      <c r="R3453" s="58"/>
    </row>
    <row r="3454">
      <c r="R3454" s="58"/>
    </row>
    <row r="3455">
      <c r="R3455" s="58"/>
    </row>
    <row r="3456">
      <c r="R3456" s="58"/>
    </row>
    <row r="3457">
      <c r="R3457" s="58"/>
    </row>
    <row r="3458">
      <c r="R3458" s="58"/>
    </row>
    <row r="3459">
      <c r="R3459" s="58"/>
    </row>
    <row r="3460">
      <c r="R3460" s="58"/>
    </row>
    <row r="3461">
      <c r="R3461" s="58"/>
    </row>
    <row r="3462">
      <c r="R3462" s="58"/>
    </row>
    <row r="3463">
      <c r="R3463" s="58"/>
    </row>
    <row r="3464">
      <c r="R3464" s="58"/>
    </row>
    <row r="3465">
      <c r="R3465" s="58"/>
    </row>
    <row r="3466">
      <c r="R3466" s="58"/>
    </row>
    <row r="3467">
      <c r="R3467" s="58"/>
    </row>
    <row r="3468">
      <c r="R3468" s="58"/>
    </row>
    <row r="3469">
      <c r="R3469" s="58"/>
    </row>
    <row r="3470">
      <c r="R3470" s="58"/>
    </row>
    <row r="3471">
      <c r="R3471" s="58"/>
    </row>
    <row r="3472">
      <c r="R3472" s="58"/>
    </row>
    <row r="3473">
      <c r="R3473" s="58"/>
    </row>
    <row r="3474">
      <c r="R3474" s="58"/>
    </row>
    <row r="3475">
      <c r="R3475" s="58"/>
    </row>
    <row r="3476">
      <c r="R3476" s="58"/>
    </row>
    <row r="3477">
      <c r="R3477" s="58"/>
    </row>
    <row r="3478">
      <c r="R3478" s="58"/>
    </row>
    <row r="3479">
      <c r="R3479" s="58"/>
    </row>
    <row r="3480">
      <c r="R3480" s="58"/>
    </row>
    <row r="3481">
      <c r="R3481" s="58"/>
    </row>
    <row r="3482">
      <c r="R3482" s="58"/>
    </row>
    <row r="3483">
      <c r="R3483" s="58"/>
    </row>
    <row r="3484">
      <c r="R3484" s="58"/>
    </row>
    <row r="3485">
      <c r="R3485" s="58"/>
    </row>
    <row r="3486">
      <c r="R3486" s="58"/>
    </row>
    <row r="3487">
      <c r="R3487" s="58"/>
    </row>
    <row r="3488">
      <c r="R3488" s="58"/>
    </row>
    <row r="3489">
      <c r="R3489" s="58"/>
    </row>
    <row r="3490">
      <c r="R3490" s="58"/>
    </row>
    <row r="3491">
      <c r="R3491" s="58"/>
    </row>
    <row r="3492">
      <c r="R3492" s="58"/>
    </row>
    <row r="3493">
      <c r="R3493" s="58"/>
    </row>
    <row r="3494">
      <c r="R3494" s="58"/>
    </row>
    <row r="3495">
      <c r="R3495" s="58"/>
    </row>
    <row r="3496">
      <c r="R3496" s="58"/>
    </row>
    <row r="3497">
      <c r="R3497" s="58"/>
    </row>
    <row r="3498">
      <c r="R3498" s="58"/>
    </row>
    <row r="3499">
      <c r="R3499" s="58"/>
    </row>
    <row r="3500">
      <c r="R3500" s="58"/>
    </row>
    <row r="3501">
      <c r="R3501" s="58"/>
    </row>
    <row r="3502">
      <c r="R3502" s="58"/>
    </row>
    <row r="3503">
      <c r="R3503" s="58"/>
    </row>
    <row r="3504">
      <c r="R3504" s="58"/>
    </row>
    <row r="3505">
      <c r="R3505" s="58"/>
    </row>
    <row r="3506">
      <c r="R3506" s="58"/>
    </row>
    <row r="3507">
      <c r="R3507" s="58"/>
    </row>
    <row r="3508">
      <c r="R3508" s="58"/>
    </row>
    <row r="3509">
      <c r="R3509" s="58"/>
    </row>
    <row r="3510">
      <c r="R3510" s="58"/>
    </row>
    <row r="3511">
      <c r="R3511" s="58"/>
    </row>
    <row r="3512">
      <c r="R3512" s="58"/>
    </row>
    <row r="3513">
      <c r="R3513" s="58"/>
    </row>
    <row r="3514">
      <c r="R3514" s="58"/>
    </row>
    <row r="3515">
      <c r="R3515" s="58"/>
    </row>
    <row r="3516">
      <c r="R3516" s="58"/>
    </row>
    <row r="3517">
      <c r="R3517" s="58"/>
    </row>
    <row r="3518">
      <c r="R3518" s="58"/>
    </row>
    <row r="3519">
      <c r="R3519" s="58"/>
    </row>
    <row r="3520">
      <c r="R3520" s="58"/>
    </row>
    <row r="3521">
      <c r="R3521" s="58"/>
    </row>
    <row r="3522">
      <c r="R3522" s="58"/>
    </row>
    <row r="3523">
      <c r="R3523" s="58"/>
    </row>
    <row r="3524">
      <c r="R3524" s="58"/>
    </row>
    <row r="3525">
      <c r="R3525" s="58"/>
    </row>
    <row r="3526">
      <c r="R3526" s="58"/>
    </row>
    <row r="3527">
      <c r="R3527" s="58"/>
    </row>
    <row r="3528">
      <c r="R3528" s="58"/>
    </row>
    <row r="3529">
      <c r="R3529" s="58"/>
    </row>
    <row r="3530">
      <c r="R3530" s="58"/>
    </row>
    <row r="3531">
      <c r="R3531" s="58"/>
    </row>
    <row r="3532">
      <c r="R3532" s="58"/>
    </row>
    <row r="3533">
      <c r="R3533" s="58"/>
    </row>
    <row r="3534">
      <c r="R3534" s="58"/>
    </row>
    <row r="3535">
      <c r="R3535" s="58"/>
    </row>
    <row r="3536">
      <c r="R3536" s="58"/>
    </row>
    <row r="3537">
      <c r="R3537" s="58"/>
    </row>
    <row r="3538">
      <c r="R3538" s="58"/>
    </row>
    <row r="3539">
      <c r="R3539" s="58"/>
    </row>
    <row r="3540">
      <c r="R3540" s="58"/>
    </row>
    <row r="3541">
      <c r="R3541" s="58"/>
    </row>
    <row r="3542">
      <c r="R3542" s="58"/>
    </row>
    <row r="3543">
      <c r="R3543" s="58"/>
    </row>
    <row r="3544">
      <c r="R3544" s="58"/>
    </row>
    <row r="3545">
      <c r="R3545" s="58"/>
    </row>
    <row r="3546">
      <c r="R3546" s="58"/>
    </row>
    <row r="3547">
      <c r="R3547" s="58"/>
    </row>
    <row r="3548">
      <c r="R3548" s="58"/>
    </row>
    <row r="3549">
      <c r="R3549" s="58"/>
    </row>
    <row r="3550">
      <c r="R3550" s="58"/>
    </row>
    <row r="3551">
      <c r="R3551" s="58"/>
    </row>
    <row r="3552">
      <c r="R3552" s="58"/>
    </row>
    <row r="3553">
      <c r="R3553" s="58"/>
    </row>
    <row r="3554">
      <c r="R3554" s="58"/>
    </row>
    <row r="3555">
      <c r="R3555" s="58"/>
    </row>
    <row r="3556">
      <c r="R3556" s="58"/>
    </row>
    <row r="3557">
      <c r="R3557" s="58"/>
    </row>
    <row r="3558">
      <c r="R3558" s="58"/>
    </row>
    <row r="3559">
      <c r="R3559" s="58"/>
    </row>
    <row r="3560">
      <c r="R3560" s="58"/>
    </row>
    <row r="3561">
      <c r="R3561" s="58"/>
    </row>
    <row r="3562">
      <c r="R3562" s="58"/>
    </row>
    <row r="3563">
      <c r="R3563" s="58"/>
    </row>
    <row r="3564">
      <c r="R3564" s="58"/>
    </row>
    <row r="3565">
      <c r="R3565" s="58"/>
    </row>
    <row r="3566">
      <c r="R3566" s="58"/>
    </row>
    <row r="3567">
      <c r="R3567" s="58"/>
    </row>
    <row r="3568">
      <c r="R3568" s="58"/>
    </row>
    <row r="3569">
      <c r="R3569" s="58"/>
    </row>
    <row r="3570">
      <c r="R3570" s="58"/>
    </row>
    <row r="3571">
      <c r="R3571" s="58"/>
    </row>
    <row r="3572">
      <c r="R3572" s="58"/>
    </row>
    <row r="3573">
      <c r="R3573" s="58"/>
    </row>
    <row r="3574">
      <c r="R3574" s="58"/>
    </row>
    <row r="3575">
      <c r="R3575" s="58"/>
    </row>
    <row r="3576">
      <c r="R3576" s="58"/>
    </row>
    <row r="3577">
      <c r="R3577" s="58"/>
    </row>
    <row r="3578">
      <c r="R3578" s="58"/>
    </row>
    <row r="3579">
      <c r="R3579" s="58"/>
    </row>
    <row r="3580">
      <c r="R3580" s="58"/>
    </row>
    <row r="3581">
      <c r="R3581" s="58"/>
    </row>
    <row r="3582">
      <c r="R3582" s="58"/>
    </row>
    <row r="3583">
      <c r="R3583" s="58"/>
    </row>
    <row r="3584">
      <c r="R3584" s="58"/>
    </row>
    <row r="3585">
      <c r="R3585" s="58"/>
    </row>
    <row r="3586">
      <c r="R3586" s="58"/>
    </row>
    <row r="3587">
      <c r="R3587" s="58"/>
    </row>
    <row r="3588">
      <c r="R3588" s="58"/>
    </row>
    <row r="3589">
      <c r="R3589" s="58"/>
    </row>
    <row r="3590">
      <c r="R3590" s="58"/>
    </row>
    <row r="3591">
      <c r="R3591" s="58"/>
    </row>
    <row r="3592">
      <c r="R3592" s="58"/>
    </row>
    <row r="3593">
      <c r="R3593" s="58"/>
    </row>
    <row r="3594">
      <c r="R3594" s="58"/>
    </row>
    <row r="3595">
      <c r="R3595" s="58"/>
    </row>
    <row r="3596">
      <c r="R3596" s="58"/>
    </row>
    <row r="3597">
      <c r="R3597" s="58"/>
    </row>
    <row r="3598">
      <c r="R3598" s="58"/>
    </row>
    <row r="3599">
      <c r="R3599" s="58"/>
    </row>
    <row r="3600">
      <c r="R3600" s="58"/>
    </row>
    <row r="3601">
      <c r="R3601" s="58"/>
    </row>
    <row r="3602">
      <c r="R3602" s="58"/>
    </row>
    <row r="3603">
      <c r="R3603" s="58"/>
    </row>
    <row r="3604">
      <c r="R3604" s="58"/>
    </row>
    <row r="3605">
      <c r="R3605" s="58"/>
    </row>
    <row r="3606">
      <c r="R3606" s="58"/>
    </row>
    <row r="3607">
      <c r="R3607" s="58"/>
    </row>
    <row r="3608">
      <c r="R3608" s="58"/>
    </row>
    <row r="3609">
      <c r="R3609" s="58"/>
    </row>
    <row r="3610">
      <c r="R3610" s="58"/>
    </row>
    <row r="3611">
      <c r="R3611" s="58"/>
    </row>
    <row r="3612">
      <c r="R3612" s="58"/>
    </row>
    <row r="3613">
      <c r="R3613" s="58"/>
    </row>
    <row r="3614">
      <c r="R3614" s="58"/>
    </row>
    <row r="3615">
      <c r="R3615" s="58"/>
    </row>
    <row r="3616">
      <c r="R3616" s="58"/>
    </row>
    <row r="3617">
      <c r="R3617" s="58"/>
    </row>
    <row r="3618">
      <c r="R3618" s="58"/>
    </row>
    <row r="3619">
      <c r="R3619" s="58"/>
    </row>
    <row r="3620">
      <c r="R3620" s="58"/>
    </row>
    <row r="3621">
      <c r="R3621" s="58"/>
    </row>
    <row r="3622">
      <c r="R3622" s="58"/>
    </row>
    <row r="3623">
      <c r="R3623" s="58"/>
    </row>
    <row r="3624">
      <c r="R3624" s="58"/>
    </row>
    <row r="3625">
      <c r="R3625" s="58"/>
    </row>
    <row r="3626">
      <c r="R3626" s="58"/>
    </row>
    <row r="3627">
      <c r="R3627" s="58"/>
    </row>
    <row r="3628">
      <c r="R3628" s="58"/>
    </row>
    <row r="3629">
      <c r="R3629" s="58"/>
    </row>
    <row r="3630">
      <c r="R3630" s="58"/>
    </row>
    <row r="3631">
      <c r="R3631" s="58"/>
    </row>
    <row r="3632">
      <c r="R3632" s="58"/>
    </row>
    <row r="3633">
      <c r="R3633" s="58"/>
    </row>
    <row r="3634">
      <c r="R3634" s="58"/>
    </row>
    <row r="3635">
      <c r="R3635" s="58"/>
    </row>
    <row r="3636">
      <c r="R3636" s="58"/>
    </row>
    <row r="3637">
      <c r="R3637" s="58"/>
    </row>
    <row r="3638">
      <c r="R3638" s="58"/>
    </row>
    <row r="3639">
      <c r="R3639" s="58"/>
    </row>
    <row r="3640">
      <c r="R3640" s="58"/>
    </row>
    <row r="3641">
      <c r="R3641" s="58"/>
    </row>
    <row r="3642">
      <c r="R3642" s="58"/>
    </row>
    <row r="3643">
      <c r="R3643" s="58"/>
    </row>
    <row r="3644">
      <c r="R3644" s="58"/>
    </row>
    <row r="3645">
      <c r="R3645" s="58"/>
    </row>
    <row r="3646">
      <c r="R3646" s="58"/>
    </row>
    <row r="3647">
      <c r="R3647" s="58"/>
    </row>
    <row r="3648">
      <c r="R3648" s="58"/>
    </row>
    <row r="3649">
      <c r="R3649" s="58"/>
    </row>
    <row r="3650">
      <c r="R3650" s="58"/>
    </row>
    <row r="3651">
      <c r="R3651" s="58"/>
    </row>
    <row r="3652">
      <c r="R3652" s="58"/>
    </row>
    <row r="3653">
      <c r="R3653" s="58"/>
    </row>
    <row r="3654">
      <c r="R3654" s="58"/>
    </row>
    <row r="3655">
      <c r="R3655" s="58"/>
    </row>
    <row r="3656">
      <c r="R3656" s="58"/>
    </row>
    <row r="3657">
      <c r="R3657" s="58"/>
    </row>
    <row r="3658">
      <c r="R3658" s="58"/>
    </row>
    <row r="3659">
      <c r="R3659" s="58"/>
    </row>
    <row r="3660">
      <c r="R3660" s="58"/>
    </row>
    <row r="3661">
      <c r="R3661" s="58"/>
    </row>
    <row r="3662">
      <c r="R3662" s="58"/>
    </row>
    <row r="3663">
      <c r="R3663" s="58"/>
    </row>
    <row r="3664">
      <c r="R3664" s="58"/>
    </row>
    <row r="3665">
      <c r="R3665" s="58"/>
    </row>
    <row r="3666">
      <c r="R3666" s="58"/>
    </row>
    <row r="3667">
      <c r="R3667" s="58"/>
    </row>
    <row r="3668">
      <c r="R3668" s="58"/>
    </row>
    <row r="3669">
      <c r="R3669" s="58"/>
    </row>
    <row r="3670">
      <c r="R3670" s="58"/>
    </row>
    <row r="3671">
      <c r="R3671" s="58"/>
    </row>
    <row r="3672">
      <c r="R3672" s="58"/>
    </row>
    <row r="3673">
      <c r="R3673" s="58"/>
    </row>
    <row r="3674">
      <c r="R3674" s="58"/>
    </row>
    <row r="3675">
      <c r="R3675" s="58"/>
    </row>
    <row r="3676">
      <c r="R3676" s="58"/>
    </row>
    <row r="3677">
      <c r="R3677" s="58"/>
    </row>
    <row r="3678">
      <c r="R3678" s="58"/>
    </row>
    <row r="3679">
      <c r="R3679" s="58"/>
    </row>
    <row r="3680">
      <c r="R3680" s="58"/>
    </row>
    <row r="3681">
      <c r="R3681" s="58"/>
    </row>
    <row r="3682">
      <c r="R3682" s="58"/>
    </row>
    <row r="3683">
      <c r="R3683" s="58"/>
    </row>
    <row r="3684">
      <c r="R3684" s="58"/>
    </row>
    <row r="3685">
      <c r="R3685" s="58"/>
    </row>
    <row r="3686">
      <c r="R3686" s="58"/>
    </row>
    <row r="3687">
      <c r="R3687" s="58"/>
    </row>
    <row r="3688">
      <c r="R3688" s="58"/>
    </row>
    <row r="3689">
      <c r="R3689" s="58"/>
    </row>
    <row r="3690">
      <c r="R3690" s="58"/>
    </row>
    <row r="3691">
      <c r="R3691" s="58"/>
    </row>
    <row r="3692">
      <c r="R3692" s="58"/>
    </row>
    <row r="3693">
      <c r="R3693" s="58"/>
    </row>
    <row r="3694">
      <c r="R3694" s="58"/>
    </row>
    <row r="3695">
      <c r="R3695" s="58"/>
    </row>
    <row r="3696">
      <c r="R3696" s="58"/>
    </row>
    <row r="3697">
      <c r="R3697" s="58"/>
    </row>
    <row r="3698">
      <c r="R3698" s="58"/>
    </row>
    <row r="3699">
      <c r="R3699" s="58"/>
    </row>
    <row r="3700">
      <c r="R3700" s="58"/>
    </row>
    <row r="3701">
      <c r="R3701" s="58"/>
    </row>
    <row r="3702">
      <c r="R3702" s="58"/>
    </row>
    <row r="3703">
      <c r="R3703" s="58"/>
    </row>
    <row r="3704">
      <c r="R3704" s="58"/>
    </row>
    <row r="3705">
      <c r="R3705" s="58"/>
    </row>
    <row r="3706">
      <c r="R3706" s="58"/>
    </row>
    <row r="3707">
      <c r="R3707" s="58"/>
    </row>
    <row r="3708">
      <c r="R3708" s="58"/>
    </row>
    <row r="3709">
      <c r="R3709" s="58"/>
    </row>
    <row r="3710">
      <c r="R3710" s="58"/>
    </row>
    <row r="3711">
      <c r="R3711" s="58"/>
    </row>
    <row r="3712">
      <c r="R3712" s="58"/>
    </row>
    <row r="3713">
      <c r="R3713" s="58"/>
    </row>
    <row r="3714">
      <c r="R3714" s="58"/>
    </row>
    <row r="3715">
      <c r="R3715" s="58"/>
    </row>
    <row r="3716">
      <c r="R3716" s="58"/>
    </row>
    <row r="3717">
      <c r="R3717" s="58"/>
    </row>
    <row r="3718">
      <c r="R3718" s="58"/>
    </row>
    <row r="3719">
      <c r="R3719" s="58"/>
    </row>
    <row r="3720">
      <c r="R3720" s="58"/>
    </row>
    <row r="3721">
      <c r="R3721" s="58"/>
    </row>
    <row r="3722">
      <c r="R3722" s="58"/>
    </row>
    <row r="3723">
      <c r="R3723" s="58"/>
    </row>
    <row r="3724">
      <c r="R3724" s="58"/>
    </row>
    <row r="3725">
      <c r="R3725" s="58"/>
    </row>
    <row r="3726">
      <c r="R3726" s="58"/>
    </row>
    <row r="3727">
      <c r="R3727" s="58"/>
    </row>
    <row r="3728">
      <c r="R3728" s="58"/>
    </row>
    <row r="3729">
      <c r="R3729" s="58"/>
    </row>
    <row r="3730">
      <c r="R3730" s="58"/>
    </row>
    <row r="3731">
      <c r="R3731" s="58"/>
    </row>
    <row r="3732">
      <c r="R3732" s="58"/>
    </row>
    <row r="3733">
      <c r="R3733" s="58"/>
    </row>
    <row r="3734">
      <c r="R3734" s="58"/>
    </row>
    <row r="3735">
      <c r="R3735" s="58"/>
    </row>
    <row r="3736">
      <c r="R3736" s="58"/>
    </row>
    <row r="3737">
      <c r="R3737" s="58"/>
    </row>
    <row r="3738">
      <c r="R3738" s="58"/>
    </row>
    <row r="3739">
      <c r="R3739" s="58"/>
    </row>
    <row r="3740">
      <c r="R3740" s="58"/>
    </row>
    <row r="3741">
      <c r="R3741" s="58"/>
    </row>
    <row r="3742">
      <c r="R3742" s="58"/>
    </row>
    <row r="3743">
      <c r="R3743" s="58"/>
    </row>
    <row r="3744">
      <c r="R3744" s="58"/>
    </row>
    <row r="3745">
      <c r="R3745" s="58"/>
    </row>
    <row r="3746">
      <c r="R3746" s="58"/>
    </row>
    <row r="3747">
      <c r="R3747" s="58"/>
    </row>
    <row r="3748">
      <c r="R3748" s="58"/>
    </row>
    <row r="3749">
      <c r="R3749" s="58"/>
    </row>
    <row r="3750">
      <c r="R3750" s="58"/>
    </row>
    <row r="3751">
      <c r="R3751" s="58"/>
    </row>
    <row r="3752">
      <c r="R3752" s="58"/>
    </row>
    <row r="3753">
      <c r="R3753" s="58"/>
    </row>
    <row r="3754">
      <c r="R3754" s="58"/>
    </row>
    <row r="3755">
      <c r="R3755" s="58"/>
    </row>
    <row r="3756">
      <c r="R3756" s="58"/>
    </row>
    <row r="3757">
      <c r="R3757" s="58"/>
    </row>
    <row r="3758">
      <c r="R3758" s="58"/>
    </row>
    <row r="3759">
      <c r="R3759" s="58"/>
    </row>
    <row r="3760">
      <c r="R3760" s="58"/>
    </row>
    <row r="3761">
      <c r="R3761" s="58"/>
    </row>
    <row r="3762">
      <c r="R3762" s="58"/>
    </row>
    <row r="3763">
      <c r="R3763" s="58"/>
    </row>
    <row r="3764">
      <c r="R3764" s="58"/>
    </row>
    <row r="3765">
      <c r="R3765" s="58"/>
    </row>
    <row r="3766">
      <c r="R3766" s="58"/>
    </row>
    <row r="3767">
      <c r="R3767" s="58"/>
    </row>
    <row r="3768">
      <c r="R3768" s="58"/>
    </row>
    <row r="3769">
      <c r="R3769" s="58"/>
    </row>
    <row r="3770">
      <c r="R3770" s="58"/>
    </row>
    <row r="3771">
      <c r="R3771" s="58"/>
    </row>
    <row r="3772">
      <c r="R3772" s="58"/>
    </row>
    <row r="3773">
      <c r="R3773" s="58"/>
    </row>
    <row r="3774">
      <c r="R3774" s="58"/>
    </row>
    <row r="3775">
      <c r="R3775" s="58"/>
    </row>
    <row r="3776">
      <c r="R3776" s="58"/>
    </row>
    <row r="3777">
      <c r="R3777" s="58"/>
    </row>
    <row r="3778">
      <c r="R3778" s="58"/>
    </row>
    <row r="3779">
      <c r="R3779" s="58"/>
    </row>
    <row r="3780">
      <c r="R3780" s="58"/>
    </row>
    <row r="3781">
      <c r="R3781" s="58"/>
    </row>
    <row r="3782">
      <c r="R3782" s="58"/>
    </row>
    <row r="3783">
      <c r="R3783" s="58"/>
    </row>
    <row r="3784">
      <c r="R3784" s="58"/>
    </row>
    <row r="3785">
      <c r="R3785" s="58"/>
    </row>
    <row r="3786">
      <c r="R3786" s="58"/>
    </row>
    <row r="3787">
      <c r="R3787" s="58"/>
    </row>
    <row r="3788">
      <c r="R3788" s="58"/>
    </row>
    <row r="3789">
      <c r="R3789" s="58"/>
    </row>
    <row r="3790">
      <c r="R3790" s="58"/>
    </row>
    <row r="3791">
      <c r="R3791" s="58"/>
    </row>
    <row r="3792">
      <c r="R3792" s="58"/>
    </row>
    <row r="3793">
      <c r="R3793" s="58"/>
    </row>
    <row r="3794">
      <c r="R3794" s="58"/>
    </row>
    <row r="3795">
      <c r="R3795" s="58"/>
    </row>
    <row r="3796">
      <c r="R3796" s="58"/>
    </row>
    <row r="3797">
      <c r="R3797" s="58"/>
    </row>
    <row r="3798">
      <c r="R3798" s="58"/>
    </row>
    <row r="3799">
      <c r="R3799" s="58"/>
    </row>
    <row r="3800">
      <c r="R3800" s="58"/>
    </row>
    <row r="3801">
      <c r="R3801" s="58"/>
    </row>
    <row r="3802">
      <c r="R3802" s="58"/>
    </row>
    <row r="3803">
      <c r="R3803" s="58"/>
    </row>
    <row r="3804">
      <c r="R3804" s="58"/>
    </row>
    <row r="3805">
      <c r="R3805" s="58"/>
    </row>
    <row r="3806">
      <c r="R3806" s="58"/>
    </row>
    <row r="3807">
      <c r="R3807" s="58"/>
    </row>
    <row r="3808">
      <c r="R3808" s="58"/>
    </row>
    <row r="3809">
      <c r="R3809" s="58"/>
    </row>
    <row r="3810">
      <c r="R3810" s="58"/>
    </row>
    <row r="3811">
      <c r="R3811" s="58"/>
    </row>
    <row r="3812">
      <c r="R3812" s="58"/>
    </row>
    <row r="3813">
      <c r="R3813" s="58"/>
    </row>
    <row r="3814">
      <c r="R3814" s="58"/>
    </row>
    <row r="3815">
      <c r="R3815" s="58"/>
    </row>
    <row r="3816">
      <c r="R3816" s="58"/>
    </row>
    <row r="3817">
      <c r="R3817" s="58"/>
    </row>
    <row r="3818">
      <c r="R3818" s="58"/>
    </row>
    <row r="3819">
      <c r="R3819" s="58"/>
    </row>
    <row r="3820">
      <c r="R3820" s="58"/>
    </row>
    <row r="3821">
      <c r="R3821" s="58"/>
    </row>
    <row r="3822">
      <c r="R3822" s="58"/>
    </row>
    <row r="3823">
      <c r="R3823" s="58"/>
    </row>
    <row r="3824">
      <c r="R3824" s="58"/>
    </row>
    <row r="3825">
      <c r="R3825" s="58"/>
    </row>
    <row r="3826">
      <c r="R3826" s="58"/>
    </row>
    <row r="3827">
      <c r="R3827" s="58"/>
    </row>
    <row r="3828">
      <c r="R3828" s="58"/>
    </row>
    <row r="3829">
      <c r="R3829" s="58"/>
    </row>
    <row r="3830">
      <c r="R3830" s="58"/>
    </row>
    <row r="3831">
      <c r="R3831" s="58"/>
    </row>
    <row r="3832">
      <c r="R3832" s="58"/>
    </row>
    <row r="3833">
      <c r="R3833" s="58"/>
    </row>
    <row r="3834">
      <c r="R3834" s="58"/>
    </row>
    <row r="3835">
      <c r="R3835" s="58"/>
    </row>
    <row r="3836">
      <c r="R3836" s="58"/>
    </row>
    <row r="3837">
      <c r="R3837" s="58"/>
    </row>
    <row r="3838">
      <c r="R3838" s="58"/>
    </row>
    <row r="3839">
      <c r="R3839" s="58"/>
    </row>
    <row r="3840">
      <c r="R3840" s="58"/>
    </row>
    <row r="3841">
      <c r="R3841" s="58"/>
    </row>
    <row r="3842">
      <c r="R3842" s="58"/>
    </row>
    <row r="3843">
      <c r="R3843" s="58"/>
    </row>
    <row r="3844">
      <c r="R3844" s="58"/>
    </row>
    <row r="3845">
      <c r="R3845" s="58"/>
    </row>
    <row r="3846">
      <c r="R3846" s="58"/>
    </row>
    <row r="3847">
      <c r="R3847" s="58"/>
    </row>
    <row r="3848">
      <c r="R3848" s="58"/>
    </row>
    <row r="3849">
      <c r="R3849" s="58"/>
    </row>
    <row r="3850">
      <c r="R3850" s="58"/>
    </row>
    <row r="3851">
      <c r="R3851" s="58"/>
    </row>
    <row r="3852">
      <c r="R3852" s="58"/>
    </row>
    <row r="3853">
      <c r="R3853" s="58"/>
    </row>
    <row r="3854">
      <c r="R3854" s="58"/>
    </row>
    <row r="3855">
      <c r="R3855" s="58"/>
    </row>
    <row r="3856">
      <c r="R3856" s="58"/>
    </row>
    <row r="3857">
      <c r="R3857" s="58"/>
    </row>
    <row r="3858">
      <c r="R3858" s="58"/>
    </row>
    <row r="3859">
      <c r="R3859" s="58"/>
    </row>
    <row r="3860">
      <c r="R3860" s="58"/>
    </row>
    <row r="3861">
      <c r="R3861" s="58"/>
    </row>
    <row r="3862">
      <c r="R3862" s="58"/>
    </row>
    <row r="3863">
      <c r="R3863" s="58"/>
    </row>
    <row r="3864">
      <c r="R3864" s="58"/>
    </row>
    <row r="3865">
      <c r="R3865" s="58"/>
    </row>
    <row r="3866">
      <c r="R3866" s="58"/>
    </row>
    <row r="3867">
      <c r="R3867" s="58"/>
    </row>
    <row r="3868">
      <c r="R3868" s="58"/>
    </row>
    <row r="3869">
      <c r="R3869" s="58"/>
    </row>
    <row r="3870">
      <c r="R3870" s="58"/>
    </row>
    <row r="3871">
      <c r="R3871" s="58"/>
    </row>
    <row r="3872">
      <c r="R3872" s="58"/>
    </row>
    <row r="3873">
      <c r="R3873" s="58"/>
    </row>
    <row r="3874">
      <c r="R3874" s="58"/>
    </row>
    <row r="3875">
      <c r="R3875" s="58"/>
    </row>
    <row r="3876">
      <c r="R3876" s="58"/>
    </row>
    <row r="3877">
      <c r="R3877" s="58"/>
    </row>
    <row r="3878">
      <c r="R3878" s="58"/>
    </row>
    <row r="3879">
      <c r="R3879" s="58"/>
    </row>
    <row r="3880">
      <c r="R3880" s="58"/>
    </row>
    <row r="3881">
      <c r="R3881" s="58"/>
    </row>
    <row r="3882">
      <c r="R3882" s="58"/>
    </row>
    <row r="3883">
      <c r="R3883" s="58"/>
    </row>
    <row r="3884">
      <c r="R3884" s="58"/>
    </row>
    <row r="3885">
      <c r="R3885" s="58"/>
    </row>
    <row r="3886">
      <c r="R3886" s="58"/>
    </row>
    <row r="3887">
      <c r="R3887" s="58"/>
    </row>
    <row r="3888">
      <c r="R3888" s="58"/>
    </row>
    <row r="3889">
      <c r="R3889" s="58"/>
    </row>
    <row r="3890">
      <c r="R3890" s="58"/>
    </row>
    <row r="3891">
      <c r="R3891" s="58"/>
    </row>
    <row r="3892">
      <c r="R3892" s="58"/>
    </row>
    <row r="3893">
      <c r="R3893" s="58"/>
    </row>
    <row r="3894">
      <c r="R3894" s="58"/>
    </row>
    <row r="3895">
      <c r="R3895" s="58"/>
    </row>
    <row r="3896">
      <c r="R3896" s="58"/>
    </row>
    <row r="3897">
      <c r="R3897" s="58"/>
    </row>
    <row r="3898">
      <c r="R3898" s="58"/>
    </row>
    <row r="3899">
      <c r="R3899" s="58"/>
    </row>
    <row r="3900">
      <c r="R3900" s="58"/>
    </row>
    <row r="3901">
      <c r="R3901" s="58"/>
    </row>
    <row r="3902">
      <c r="R3902" s="58"/>
    </row>
    <row r="3903">
      <c r="R3903" s="58"/>
    </row>
    <row r="3904">
      <c r="R3904" s="58"/>
    </row>
    <row r="3905">
      <c r="R3905" s="58"/>
    </row>
    <row r="3906">
      <c r="R3906" s="58"/>
    </row>
    <row r="3907">
      <c r="R3907" s="58"/>
    </row>
    <row r="3908">
      <c r="R3908" s="58"/>
    </row>
    <row r="3909">
      <c r="R3909" s="58"/>
    </row>
    <row r="3910">
      <c r="R3910" s="58"/>
    </row>
    <row r="3911">
      <c r="R3911" s="58"/>
    </row>
    <row r="3912">
      <c r="R3912" s="58"/>
    </row>
    <row r="3913">
      <c r="R3913" s="58"/>
    </row>
    <row r="3914">
      <c r="R3914" s="58"/>
    </row>
    <row r="3915">
      <c r="R3915" s="58"/>
    </row>
    <row r="3916">
      <c r="R3916" s="58"/>
    </row>
    <row r="3917">
      <c r="R3917" s="58"/>
    </row>
    <row r="3918">
      <c r="R3918" s="58"/>
    </row>
    <row r="3919">
      <c r="R3919" s="58"/>
    </row>
    <row r="3920">
      <c r="R3920" s="58"/>
    </row>
    <row r="3921">
      <c r="R3921" s="58"/>
    </row>
    <row r="3922">
      <c r="R3922" s="58"/>
    </row>
    <row r="3923">
      <c r="R3923" s="58"/>
    </row>
    <row r="3924">
      <c r="R3924" s="58"/>
    </row>
    <row r="3925">
      <c r="R3925" s="58"/>
    </row>
    <row r="3926">
      <c r="R3926" s="58"/>
    </row>
    <row r="3927">
      <c r="R3927" s="58"/>
    </row>
    <row r="3928">
      <c r="R3928" s="58"/>
    </row>
    <row r="3929">
      <c r="R3929" s="58"/>
    </row>
    <row r="3930">
      <c r="R3930" s="58"/>
    </row>
    <row r="3931">
      <c r="R3931" s="58"/>
    </row>
    <row r="3932">
      <c r="R3932" s="58"/>
    </row>
    <row r="3933">
      <c r="R3933" s="58"/>
    </row>
    <row r="3934">
      <c r="R3934" s="58"/>
    </row>
    <row r="3935">
      <c r="R3935" s="58"/>
    </row>
    <row r="3936">
      <c r="R3936" s="58"/>
    </row>
    <row r="3937">
      <c r="R3937" s="58"/>
    </row>
    <row r="3938">
      <c r="R3938" s="58"/>
    </row>
    <row r="3939">
      <c r="R3939" s="58"/>
    </row>
    <row r="3940">
      <c r="R3940" s="58"/>
    </row>
    <row r="3941">
      <c r="R3941" s="58"/>
    </row>
    <row r="3942">
      <c r="R3942" s="58"/>
    </row>
    <row r="3943">
      <c r="R3943" s="58"/>
    </row>
    <row r="3944">
      <c r="R3944" s="58"/>
    </row>
    <row r="3945">
      <c r="R3945" s="58"/>
    </row>
    <row r="3946">
      <c r="R3946" s="58"/>
    </row>
    <row r="3947">
      <c r="R3947" s="58"/>
    </row>
    <row r="3948">
      <c r="R3948" s="58"/>
    </row>
    <row r="3949">
      <c r="R3949" s="58"/>
    </row>
    <row r="3950">
      <c r="R3950" s="58"/>
    </row>
    <row r="3951">
      <c r="R3951" s="58"/>
    </row>
    <row r="3952">
      <c r="R3952" s="58"/>
    </row>
    <row r="3953">
      <c r="R3953" s="58"/>
    </row>
    <row r="3954">
      <c r="R3954" s="58"/>
    </row>
    <row r="3955">
      <c r="R3955" s="58"/>
    </row>
    <row r="3956">
      <c r="R3956" s="58"/>
    </row>
    <row r="3957">
      <c r="R3957" s="58"/>
    </row>
    <row r="3958">
      <c r="R3958" s="58"/>
    </row>
    <row r="3959">
      <c r="R3959" s="58"/>
    </row>
    <row r="3960">
      <c r="R3960" s="58"/>
    </row>
    <row r="3961">
      <c r="R3961" s="58"/>
    </row>
    <row r="3962">
      <c r="R3962" s="58"/>
    </row>
    <row r="3963">
      <c r="R3963" s="58"/>
    </row>
    <row r="3964">
      <c r="R3964" s="58"/>
    </row>
    <row r="3965">
      <c r="R3965" s="58"/>
    </row>
    <row r="3966">
      <c r="R3966" s="58"/>
    </row>
    <row r="3967">
      <c r="R3967" s="58"/>
    </row>
    <row r="3968">
      <c r="R3968" s="58"/>
    </row>
    <row r="3969">
      <c r="R3969" s="58"/>
    </row>
    <row r="3970">
      <c r="R3970" s="58"/>
    </row>
    <row r="3971">
      <c r="R3971" s="58"/>
    </row>
    <row r="3972">
      <c r="R3972" s="58"/>
    </row>
    <row r="3973">
      <c r="R3973" s="58"/>
    </row>
    <row r="3974">
      <c r="R3974" s="58"/>
    </row>
    <row r="3975">
      <c r="R3975" s="58"/>
    </row>
    <row r="3976">
      <c r="R3976" s="58"/>
    </row>
    <row r="3977">
      <c r="R3977" s="58"/>
    </row>
    <row r="3978">
      <c r="R3978" s="58"/>
    </row>
    <row r="3979">
      <c r="R3979" s="58"/>
    </row>
    <row r="3980">
      <c r="R3980" s="58"/>
    </row>
    <row r="3981">
      <c r="R3981" s="58"/>
    </row>
    <row r="3982">
      <c r="R3982" s="58"/>
    </row>
    <row r="3983">
      <c r="R3983" s="58"/>
    </row>
    <row r="3984">
      <c r="R3984" s="58"/>
    </row>
    <row r="3985">
      <c r="R3985" s="58"/>
    </row>
    <row r="3986">
      <c r="R3986" s="58"/>
    </row>
    <row r="3987">
      <c r="R3987" s="58"/>
    </row>
    <row r="3988">
      <c r="R3988" s="58"/>
    </row>
    <row r="3989">
      <c r="R3989" s="58"/>
    </row>
    <row r="3990">
      <c r="R3990" s="58"/>
    </row>
    <row r="3991">
      <c r="R3991" s="58"/>
    </row>
    <row r="3992">
      <c r="R3992" s="58"/>
    </row>
    <row r="3993">
      <c r="R3993" s="58"/>
    </row>
    <row r="3994">
      <c r="R3994" s="58"/>
    </row>
    <row r="3995">
      <c r="R3995" s="58"/>
    </row>
    <row r="3996">
      <c r="R3996" s="58"/>
    </row>
    <row r="3997">
      <c r="R3997" s="58"/>
    </row>
    <row r="3998">
      <c r="R3998" s="58"/>
    </row>
    <row r="3999">
      <c r="R3999" s="58"/>
    </row>
    <row r="4000">
      <c r="R4000" s="58"/>
    </row>
    <row r="4001">
      <c r="R4001" s="58"/>
    </row>
    <row r="4002">
      <c r="R4002" s="58"/>
    </row>
    <row r="4003">
      <c r="R4003" s="58"/>
    </row>
    <row r="4004">
      <c r="R4004" s="58"/>
    </row>
    <row r="4005">
      <c r="R4005" s="58"/>
    </row>
    <row r="4006">
      <c r="R4006" s="58"/>
    </row>
    <row r="4007">
      <c r="R4007" s="58"/>
    </row>
    <row r="4008">
      <c r="R4008" s="58"/>
    </row>
    <row r="4009">
      <c r="R4009" s="58"/>
    </row>
    <row r="4010">
      <c r="R4010" s="58"/>
    </row>
    <row r="4011">
      <c r="R4011" s="58"/>
    </row>
    <row r="4012">
      <c r="R4012" s="58"/>
    </row>
    <row r="4013">
      <c r="R4013" s="58"/>
    </row>
    <row r="4014">
      <c r="R4014" s="58"/>
    </row>
    <row r="4015">
      <c r="R4015" s="58"/>
    </row>
    <row r="4016">
      <c r="R4016" s="58"/>
    </row>
    <row r="4017">
      <c r="R4017" s="58"/>
    </row>
    <row r="4018">
      <c r="R4018" s="58"/>
    </row>
    <row r="4019">
      <c r="R4019" s="58"/>
    </row>
    <row r="4020">
      <c r="R4020" s="58"/>
    </row>
    <row r="4021">
      <c r="R4021" s="58"/>
    </row>
    <row r="4022">
      <c r="R4022" s="58"/>
    </row>
    <row r="4023">
      <c r="R4023" s="58"/>
    </row>
    <row r="4024">
      <c r="R4024" s="58"/>
    </row>
    <row r="4025">
      <c r="R4025" s="58"/>
    </row>
    <row r="4026">
      <c r="R4026" s="58"/>
    </row>
    <row r="4027">
      <c r="R4027" s="58"/>
    </row>
    <row r="4028">
      <c r="R4028" s="58"/>
    </row>
    <row r="4029">
      <c r="R4029" s="58"/>
    </row>
    <row r="4030">
      <c r="R4030" s="58"/>
    </row>
    <row r="4031">
      <c r="R4031" s="58"/>
    </row>
    <row r="4032">
      <c r="R4032" s="58"/>
    </row>
    <row r="4033">
      <c r="R4033" s="58"/>
    </row>
    <row r="4034">
      <c r="R4034" s="58"/>
    </row>
    <row r="4035">
      <c r="R4035" s="58"/>
    </row>
    <row r="4036">
      <c r="R4036" s="58"/>
    </row>
    <row r="4037">
      <c r="R4037" s="58"/>
    </row>
    <row r="4038">
      <c r="R4038" s="58"/>
    </row>
    <row r="4039">
      <c r="R4039" s="58"/>
    </row>
    <row r="4040">
      <c r="R4040" s="58"/>
    </row>
    <row r="4041">
      <c r="R4041" s="58"/>
    </row>
    <row r="4042">
      <c r="R4042" s="58"/>
    </row>
    <row r="4043">
      <c r="R4043" s="58"/>
    </row>
    <row r="4044">
      <c r="R4044" s="58"/>
    </row>
    <row r="4045">
      <c r="R4045" s="58"/>
    </row>
    <row r="4046">
      <c r="R4046" s="58"/>
    </row>
    <row r="4047">
      <c r="R4047" s="58"/>
    </row>
    <row r="4048">
      <c r="R4048" s="58"/>
    </row>
    <row r="4049">
      <c r="R4049" s="58"/>
    </row>
    <row r="4050">
      <c r="R4050" s="58"/>
    </row>
    <row r="4051">
      <c r="R4051" s="58"/>
    </row>
    <row r="4052">
      <c r="R4052" s="58"/>
    </row>
    <row r="4053">
      <c r="R4053" s="58"/>
    </row>
    <row r="4054">
      <c r="R4054" s="58"/>
    </row>
    <row r="4055">
      <c r="R4055" s="58"/>
    </row>
    <row r="4056">
      <c r="R4056" s="58"/>
    </row>
    <row r="4057">
      <c r="R4057" s="58"/>
    </row>
    <row r="4058">
      <c r="R4058" s="58"/>
    </row>
    <row r="4059">
      <c r="R4059" s="58"/>
    </row>
    <row r="4060">
      <c r="R4060" s="58"/>
    </row>
    <row r="4061">
      <c r="R4061" s="58"/>
    </row>
    <row r="4062">
      <c r="R4062" s="58"/>
    </row>
    <row r="4063">
      <c r="R4063" s="58"/>
    </row>
    <row r="4064">
      <c r="R4064" s="58"/>
    </row>
    <row r="4065">
      <c r="R4065" s="58"/>
    </row>
    <row r="4066">
      <c r="R4066" s="58"/>
    </row>
    <row r="4067">
      <c r="R4067" s="58"/>
    </row>
    <row r="4068">
      <c r="R4068" s="58"/>
    </row>
    <row r="4069">
      <c r="R4069" s="58"/>
    </row>
    <row r="4070">
      <c r="R4070" s="58"/>
    </row>
    <row r="4071">
      <c r="R4071" s="58"/>
    </row>
    <row r="4072">
      <c r="R4072" s="58"/>
    </row>
    <row r="4073">
      <c r="R4073" s="58"/>
    </row>
    <row r="4074">
      <c r="R4074" s="58"/>
    </row>
    <row r="4075">
      <c r="R4075" s="58"/>
    </row>
    <row r="4076">
      <c r="R4076" s="58"/>
    </row>
    <row r="4077">
      <c r="R4077" s="58"/>
    </row>
    <row r="4078">
      <c r="R4078" s="58"/>
    </row>
    <row r="4079">
      <c r="R4079" s="58"/>
    </row>
    <row r="4080">
      <c r="R4080" s="58"/>
    </row>
    <row r="4081">
      <c r="R4081" s="58"/>
    </row>
    <row r="4082">
      <c r="R4082" s="58"/>
    </row>
    <row r="4083">
      <c r="R4083" s="58"/>
    </row>
    <row r="4084">
      <c r="R4084" s="58"/>
    </row>
    <row r="4085">
      <c r="R4085" s="58"/>
    </row>
    <row r="4086">
      <c r="R4086" s="58"/>
    </row>
    <row r="4087">
      <c r="R4087" s="58"/>
    </row>
    <row r="4088">
      <c r="R4088" s="58"/>
    </row>
    <row r="4089">
      <c r="R4089" s="58"/>
    </row>
    <row r="4090">
      <c r="R4090" s="58"/>
    </row>
    <row r="4091">
      <c r="R4091" s="58"/>
    </row>
    <row r="4092">
      <c r="R4092" s="58"/>
    </row>
    <row r="4093">
      <c r="R4093" s="58"/>
    </row>
    <row r="4094">
      <c r="R4094" s="58"/>
    </row>
    <row r="4095">
      <c r="R4095" s="58"/>
    </row>
    <row r="4096">
      <c r="R4096" s="58"/>
    </row>
    <row r="4097">
      <c r="R4097" s="58"/>
    </row>
    <row r="4098">
      <c r="R4098" s="58"/>
    </row>
    <row r="4099">
      <c r="R4099" s="58"/>
    </row>
    <row r="4100">
      <c r="R4100" s="58"/>
    </row>
    <row r="4101">
      <c r="R4101" s="58"/>
    </row>
    <row r="4102">
      <c r="R4102" s="58"/>
    </row>
    <row r="4103">
      <c r="R4103" s="58"/>
    </row>
    <row r="4104">
      <c r="R4104" s="58"/>
    </row>
    <row r="4105">
      <c r="R4105" s="58"/>
    </row>
    <row r="4106">
      <c r="R4106" s="58"/>
    </row>
    <row r="4107">
      <c r="R4107" s="58"/>
    </row>
    <row r="4108">
      <c r="R4108" s="58"/>
    </row>
    <row r="4109">
      <c r="R4109" s="58"/>
    </row>
    <row r="4110">
      <c r="R4110" s="58"/>
    </row>
    <row r="4111">
      <c r="R4111" s="58"/>
    </row>
    <row r="4112">
      <c r="R4112" s="58"/>
    </row>
    <row r="4113">
      <c r="R4113" s="58"/>
    </row>
    <row r="4114">
      <c r="R4114" s="58"/>
    </row>
    <row r="4115">
      <c r="R4115" s="58"/>
    </row>
    <row r="4116">
      <c r="R4116" s="58"/>
    </row>
    <row r="4117">
      <c r="R4117" s="58"/>
    </row>
    <row r="4118">
      <c r="R4118" s="58"/>
    </row>
    <row r="4119">
      <c r="R4119" s="58"/>
    </row>
    <row r="4120">
      <c r="R4120" s="58"/>
    </row>
    <row r="4121">
      <c r="R4121" s="58"/>
    </row>
    <row r="4122">
      <c r="R4122" s="58"/>
    </row>
    <row r="4123">
      <c r="R4123" s="58"/>
    </row>
    <row r="4124">
      <c r="R4124" s="58"/>
    </row>
    <row r="4125">
      <c r="R4125" s="58"/>
    </row>
    <row r="4126">
      <c r="R4126" s="58"/>
    </row>
    <row r="4127">
      <c r="R4127" s="58"/>
    </row>
    <row r="4128">
      <c r="R4128" s="58"/>
    </row>
    <row r="4129">
      <c r="R4129" s="58"/>
    </row>
    <row r="4130">
      <c r="R4130" s="58"/>
    </row>
    <row r="4131">
      <c r="R4131" s="58"/>
    </row>
    <row r="4132">
      <c r="R4132" s="58"/>
    </row>
    <row r="4133">
      <c r="R4133" s="58"/>
    </row>
    <row r="4134">
      <c r="R4134" s="58"/>
    </row>
    <row r="4135">
      <c r="R4135" s="58"/>
    </row>
    <row r="4136">
      <c r="R4136" s="58"/>
    </row>
    <row r="4137">
      <c r="R4137" s="58"/>
    </row>
    <row r="4138">
      <c r="R4138" s="58"/>
    </row>
    <row r="4139">
      <c r="R4139" s="58"/>
    </row>
    <row r="4140">
      <c r="R4140" s="58"/>
    </row>
    <row r="4141">
      <c r="R4141" s="58"/>
    </row>
    <row r="4142">
      <c r="R4142" s="58"/>
    </row>
    <row r="4143">
      <c r="R4143" s="58"/>
    </row>
    <row r="4144">
      <c r="R4144" s="58"/>
    </row>
    <row r="4145">
      <c r="R4145" s="58"/>
    </row>
    <row r="4146">
      <c r="R4146" s="58"/>
    </row>
    <row r="4147">
      <c r="R4147" s="58"/>
    </row>
    <row r="4148">
      <c r="R4148" s="58"/>
    </row>
    <row r="4149">
      <c r="R4149" s="58"/>
    </row>
    <row r="4150">
      <c r="R4150" s="58"/>
    </row>
    <row r="4151">
      <c r="R4151" s="58"/>
    </row>
    <row r="4152">
      <c r="R4152" s="58"/>
    </row>
    <row r="4153">
      <c r="R4153" s="58"/>
    </row>
    <row r="4154">
      <c r="R4154" s="58"/>
    </row>
    <row r="4155">
      <c r="R4155" s="58"/>
    </row>
    <row r="4156">
      <c r="R4156" s="58"/>
    </row>
    <row r="4157">
      <c r="R4157" s="58"/>
    </row>
    <row r="4158">
      <c r="R4158" s="58"/>
    </row>
    <row r="4159">
      <c r="R4159" s="58"/>
    </row>
    <row r="4160">
      <c r="R4160" s="58"/>
    </row>
    <row r="4161">
      <c r="R4161" s="58"/>
    </row>
    <row r="4162">
      <c r="R4162" s="58"/>
    </row>
    <row r="4163">
      <c r="R4163" s="58"/>
    </row>
    <row r="4164">
      <c r="R4164" s="58"/>
    </row>
    <row r="4165">
      <c r="R4165" s="58"/>
    </row>
    <row r="4166">
      <c r="R4166" s="58"/>
    </row>
    <row r="4167">
      <c r="R4167" s="58"/>
    </row>
    <row r="4168">
      <c r="R4168" s="58"/>
    </row>
    <row r="4169">
      <c r="R4169" s="58"/>
    </row>
    <row r="4170">
      <c r="R4170" s="58"/>
    </row>
    <row r="4171">
      <c r="R4171" s="58"/>
    </row>
    <row r="4172">
      <c r="R4172" s="58"/>
    </row>
    <row r="4173">
      <c r="R4173" s="58"/>
    </row>
    <row r="4174">
      <c r="R4174" s="58"/>
    </row>
    <row r="4175">
      <c r="R4175" s="58"/>
    </row>
    <row r="4176">
      <c r="R4176" s="58"/>
    </row>
    <row r="4177">
      <c r="R4177" s="58"/>
    </row>
    <row r="4178">
      <c r="R4178" s="58"/>
    </row>
    <row r="4179">
      <c r="R4179" s="58"/>
    </row>
    <row r="4180">
      <c r="R4180" s="58"/>
    </row>
    <row r="4181">
      <c r="R4181" s="58"/>
    </row>
    <row r="4182">
      <c r="R4182" s="58"/>
    </row>
    <row r="4183">
      <c r="R4183" s="58"/>
    </row>
    <row r="4184">
      <c r="R4184" s="58"/>
    </row>
    <row r="4185">
      <c r="R4185" s="58"/>
    </row>
    <row r="4186">
      <c r="R4186" s="58"/>
    </row>
    <row r="4187">
      <c r="R4187" s="58"/>
    </row>
    <row r="4188">
      <c r="R4188" s="58"/>
    </row>
    <row r="4189">
      <c r="R4189" s="58"/>
    </row>
    <row r="4190">
      <c r="R4190" s="58"/>
    </row>
    <row r="4191">
      <c r="R4191" s="58"/>
    </row>
    <row r="4192">
      <c r="R4192" s="58"/>
    </row>
    <row r="4193">
      <c r="R4193" s="58"/>
    </row>
    <row r="4194">
      <c r="R4194" s="58"/>
    </row>
    <row r="4195">
      <c r="R4195" s="58"/>
    </row>
    <row r="4196">
      <c r="R4196" s="58"/>
    </row>
    <row r="4197">
      <c r="R4197" s="58"/>
    </row>
    <row r="4198">
      <c r="R4198" s="58"/>
    </row>
    <row r="4199">
      <c r="R4199" s="58"/>
    </row>
    <row r="4200">
      <c r="R4200" s="58"/>
    </row>
    <row r="4201">
      <c r="R4201" s="58"/>
    </row>
    <row r="4202">
      <c r="R4202" s="58"/>
    </row>
    <row r="4203">
      <c r="R4203" s="58"/>
    </row>
    <row r="4204">
      <c r="R4204" s="58"/>
    </row>
    <row r="4205">
      <c r="R4205" s="58"/>
    </row>
    <row r="4206">
      <c r="R4206" s="58"/>
    </row>
    <row r="4207">
      <c r="R4207" s="58"/>
    </row>
    <row r="4208">
      <c r="R4208" s="58"/>
    </row>
    <row r="4209">
      <c r="R4209" s="58"/>
    </row>
    <row r="4210">
      <c r="R4210" s="58"/>
    </row>
    <row r="4211">
      <c r="R4211" s="58"/>
    </row>
    <row r="4212">
      <c r="R4212" s="58"/>
    </row>
    <row r="4213">
      <c r="R4213" s="58"/>
    </row>
    <row r="4214">
      <c r="R4214" s="58"/>
    </row>
    <row r="4215">
      <c r="R4215" s="58"/>
    </row>
    <row r="4216">
      <c r="R4216" s="58"/>
    </row>
    <row r="4217">
      <c r="R4217" s="58"/>
    </row>
    <row r="4218">
      <c r="R4218" s="58"/>
    </row>
    <row r="4219">
      <c r="R4219" s="58"/>
    </row>
    <row r="4220">
      <c r="R4220" s="58"/>
    </row>
    <row r="4221">
      <c r="R4221" s="58"/>
    </row>
    <row r="4222">
      <c r="R4222" s="58"/>
    </row>
    <row r="4223">
      <c r="R4223" s="58"/>
    </row>
    <row r="4224">
      <c r="R4224" s="58"/>
    </row>
    <row r="4225">
      <c r="R4225" s="58"/>
    </row>
    <row r="4226">
      <c r="R4226" s="58"/>
    </row>
    <row r="4227">
      <c r="R4227" s="58"/>
    </row>
    <row r="4228">
      <c r="R4228" s="58"/>
    </row>
    <row r="4229">
      <c r="R4229" s="58"/>
    </row>
    <row r="4230">
      <c r="R4230" s="58"/>
    </row>
    <row r="4231">
      <c r="R4231" s="58"/>
    </row>
    <row r="4232">
      <c r="R4232" s="58"/>
    </row>
    <row r="4233">
      <c r="R4233" s="58"/>
    </row>
    <row r="4234">
      <c r="R4234" s="58"/>
    </row>
    <row r="4235">
      <c r="R4235" s="58"/>
    </row>
    <row r="4236">
      <c r="R4236" s="58"/>
    </row>
    <row r="4237">
      <c r="R4237" s="58"/>
    </row>
    <row r="4238">
      <c r="R4238" s="58"/>
    </row>
    <row r="4239">
      <c r="R4239" s="58"/>
    </row>
    <row r="4240">
      <c r="R4240" s="58"/>
    </row>
    <row r="4241">
      <c r="R4241" s="58"/>
    </row>
    <row r="4242">
      <c r="R4242" s="58"/>
    </row>
    <row r="4243">
      <c r="R4243" s="58"/>
    </row>
    <row r="4244">
      <c r="R4244" s="58"/>
    </row>
    <row r="4245">
      <c r="R4245" s="58"/>
    </row>
    <row r="4246">
      <c r="R4246" s="58"/>
    </row>
    <row r="4247">
      <c r="R4247" s="58"/>
    </row>
    <row r="4248">
      <c r="R4248" s="58"/>
    </row>
    <row r="4249">
      <c r="R4249" s="58"/>
    </row>
    <row r="4250">
      <c r="R4250" s="58"/>
    </row>
    <row r="4251">
      <c r="R4251" s="58"/>
    </row>
    <row r="4252">
      <c r="R4252" s="58"/>
    </row>
    <row r="4253">
      <c r="R4253" s="58"/>
    </row>
    <row r="4254">
      <c r="R4254" s="58"/>
    </row>
    <row r="4255">
      <c r="R4255" s="58"/>
    </row>
    <row r="4256">
      <c r="R4256" s="58"/>
    </row>
    <row r="4257">
      <c r="R4257" s="58"/>
    </row>
    <row r="4258">
      <c r="R4258" s="58"/>
    </row>
    <row r="4259">
      <c r="R4259" s="58"/>
    </row>
    <row r="4260">
      <c r="R4260" s="58"/>
    </row>
    <row r="4261">
      <c r="R4261" s="58"/>
    </row>
    <row r="4262">
      <c r="R4262" s="58"/>
    </row>
    <row r="4263">
      <c r="R4263" s="58"/>
    </row>
    <row r="4264">
      <c r="R4264" s="58"/>
    </row>
    <row r="4265">
      <c r="R4265" s="58"/>
    </row>
    <row r="4266">
      <c r="R4266" s="58"/>
    </row>
    <row r="4267">
      <c r="R4267" s="58"/>
    </row>
    <row r="4268">
      <c r="R4268" s="58"/>
    </row>
    <row r="4269">
      <c r="R4269" s="58"/>
    </row>
    <row r="4270">
      <c r="R4270" s="58"/>
    </row>
    <row r="4271">
      <c r="R4271" s="58"/>
    </row>
    <row r="4272">
      <c r="R4272" s="58"/>
    </row>
    <row r="4273">
      <c r="R4273" s="58"/>
    </row>
    <row r="4274">
      <c r="R4274" s="58"/>
    </row>
    <row r="4275">
      <c r="R4275" s="58"/>
    </row>
    <row r="4276">
      <c r="R4276" s="58"/>
    </row>
    <row r="4277">
      <c r="R4277" s="58"/>
    </row>
    <row r="4278">
      <c r="R4278" s="58"/>
    </row>
    <row r="4279">
      <c r="R4279" s="58"/>
    </row>
    <row r="4280">
      <c r="R4280" s="58"/>
    </row>
    <row r="4281">
      <c r="R4281" s="58"/>
    </row>
    <row r="4282">
      <c r="R4282" s="58"/>
    </row>
    <row r="4283">
      <c r="R4283" s="58"/>
    </row>
    <row r="4284">
      <c r="R4284" s="58"/>
    </row>
    <row r="4285">
      <c r="R4285" s="58"/>
    </row>
    <row r="4286">
      <c r="R4286" s="58"/>
    </row>
    <row r="4287">
      <c r="R4287" s="58"/>
    </row>
    <row r="4288">
      <c r="R4288" s="58"/>
    </row>
    <row r="4289">
      <c r="R4289" s="58"/>
    </row>
    <row r="4290">
      <c r="R4290" s="58"/>
    </row>
    <row r="4291">
      <c r="R4291" s="58"/>
    </row>
    <row r="4292">
      <c r="R4292" s="58"/>
    </row>
    <row r="4293">
      <c r="R4293" s="58"/>
    </row>
    <row r="4294">
      <c r="R4294" s="58"/>
    </row>
    <row r="4295">
      <c r="R4295" s="58"/>
    </row>
    <row r="4296">
      <c r="R4296" s="58"/>
    </row>
    <row r="4297">
      <c r="R4297" s="58"/>
    </row>
    <row r="4298">
      <c r="R4298" s="58"/>
    </row>
    <row r="4299">
      <c r="R4299" s="58"/>
    </row>
    <row r="4300">
      <c r="R4300" s="58"/>
    </row>
    <row r="4301">
      <c r="R4301" s="58"/>
    </row>
    <row r="4302">
      <c r="R4302" s="58"/>
    </row>
    <row r="4303">
      <c r="R4303" s="58"/>
    </row>
    <row r="4304">
      <c r="R4304" s="58"/>
    </row>
    <row r="4305">
      <c r="R4305" s="58"/>
    </row>
    <row r="4306">
      <c r="R4306" s="58"/>
    </row>
    <row r="4307">
      <c r="R4307" s="58"/>
    </row>
    <row r="4308">
      <c r="R4308" s="58"/>
    </row>
    <row r="4309">
      <c r="R4309" s="58"/>
    </row>
    <row r="4310">
      <c r="R4310" s="58"/>
    </row>
    <row r="4311">
      <c r="R4311" s="58"/>
    </row>
    <row r="4312">
      <c r="R4312" s="58"/>
    </row>
    <row r="4313">
      <c r="R4313" s="58"/>
    </row>
    <row r="4314">
      <c r="R4314" s="58"/>
    </row>
    <row r="4315">
      <c r="R4315" s="58"/>
    </row>
    <row r="4316">
      <c r="R4316" s="58"/>
    </row>
    <row r="4317">
      <c r="R4317" s="58"/>
    </row>
    <row r="4318">
      <c r="R4318" s="58"/>
    </row>
    <row r="4319">
      <c r="R4319" s="58"/>
    </row>
    <row r="4320">
      <c r="R4320" s="58"/>
    </row>
    <row r="4321">
      <c r="R4321" s="58"/>
    </row>
    <row r="4322">
      <c r="R4322" s="58"/>
    </row>
    <row r="4323">
      <c r="R4323" s="58"/>
    </row>
    <row r="4324">
      <c r="R4324" s="58"/>
    </row>
    <row r="4325">
      <c r="R4325" s="58"/>
    </row>
    <row r="4326">
      <c r="R4326" s="58"/>
    </row>
    <row r="4327">
      <c r="R4327" s="58"/>
    </row>
    <row r="4328">
      <c r="R4328" s="58"/>
    </row>
    <row r="4329">
      <c r="R4329" s="58"/>
    </row>
    <row r="4330">
      <c r="R4330" s="58"/>
    </row>
    <row r="4331">
      <c r="R4331" s="58"/>
    </row>
    <row r="4332">
      <c r="R4332" s="58"/>
    </row>
    <row r="4333">
      <c r="R4333" s="58"/>
    </row>
    <row r="4334">
      <c r="R4334" s="58"/>
    </row>
    <row r="4335">
      <c r="R4335" s="58"/>
    </row>
    <row r="4336">
      <c r="R4336" s="58"/>
    </row>
    <row r="4337">
      <c r="R4337" s="58"/>
    </row>
    <row r="4338">
      <c r="R4338" s="58"/>
    </row>
    <row r="4339">
      <c r="R4339" s="58"/>
    </row>
    <row r="4340">
      <c r="R4340" s="58"/>
    </row>
    <row r="4341">
      <c r="R4341" s="58"/>
    </row>
    <row r="4342">
      <c r="R4342" s="58"/>
    </row>
    <row r="4343">
      <c r="R4343" s="58"/>
    </row>
    <row r="4344">
      <c r="R4344" s="58"/>
    </row>
    <row r="4345">
      <c r="R4345" s="58"/>
    </row>
    <row r="4346">
      <c r="R4346" s="58"/>
    </row>
    <row r="4347">
      <c r="R4347" s="58"/>
    </row>
    <row r="4348">
      <c r="R4348" s="58"/>
    </row>
    <row r="4349">
      <c r="R4349" s="58"/>
    </row>
    <row r="4350">
      <c r="R4350" s="58"/>
    </row>
    <row r="4351">
      <c r="R4351" s="58"/>
    </row>
    <row r="4352">
      <c r="R4352" s="58"/>
    </row>
    <row r="4353">
      <c r="R4353" s="58"/>
    </row>
    <row r="4354">
      <c r="R4354" s="58"/>
    </row>
    <row r="4355">
      <c r="R4355" s="58"/>
    </row>
    <row r="4356">
      <c r="R4356" s="58"/>
    </row>
    <row r="4357">
      <c r="R4357" s="58"/>
    </row>
    <row r="4358">
      <c r="R4358" s="58"/>
    </row>
    <row r="4359">
      <c r="R4359" s="58"/>
    </row>
    <row r="4360">
      <c r="R4360" s="58"/>
    </row>
    <row r="4361">
      <c r="R4361" s="58"/>
    </row>
    <row r="4362">
      <c r="R4362" s="58"/>
    </row>
    <row r="4363">
      <c r="R4363" s="58"/>
    </row>
    <row r="4364">
      <c r="R4364" s="58"/>
    </row>
    <row r="4365">
      <c r="R4365" s="58"/>
    </row>
    <row r="4366">
      <c r="R4366" s="58"/>
    </row>
    <row r="4367">
      <c r="R4367" s="58"/>
    </row>
    <row r="4368">
      <c r="R4368" s="58"/>
    </row>
    <row r="4369">
      <c r="R4369" s="58"/>
    </row>
    <row r="4370">
      <c r="R4370" s="58"/>
    </row>
    <row r="4371">
      <c r="R4371" s="58"/>
    </row>
    <row r="4372">
      <c r="R4372" s="58"/>
    </row>
    <row r="4373">
      <c r="R4373" s="58"/>
    </row>
    <row r="4374">
      <c r="R4374" s="58"/>
    </row>
    <row r="4375">
      <c r="R4375" s="58"/>
    </row>
    <row r="4376">
      <c r="R4376" s="58"/>
    </row>
    <row r="4377">
      <c r="R4377" s="58"/>
    </row>
    <row r="4378">
      <c r="R4378" s="58"/>
    </row>
    <row r="4379">
      <c r="R4379" s="58"/>
    </row>
    <row r="4380">
      <c r="R4380" s="58"/>
    </row>
    <row r="4381">
      <c r="R4381" s="58"/>
    </row>
    <row r="4382">
      <c r="R4382" s="58"/>
    </row>
    <row r="4383">
      <c r="R4383" s="58"/>
    </row>
    <row r="4384">
      <c r="R4384" s="58"/>
    </row>
    <row r="4385">
      <c r="R4385" s="58"/>
    </row>
    <row r="4386">
      <c r="R4386" s="58"/>
    </row>
    <row r="4387">
      <c r="R4387" s="58"/>
    </row>
    <row r="4388">
      <c r="R4388" s="58"/>
    </row>
    <row r="4389">
      <c r="R4389" s="58"/>
    </row>
    <row r="4390">
      <c r="R4390" s="58"/>
    </row>
    <row r="4391">
      <c r="R4391" s="58"/>
    </row>
    <row r="4392">
      <c r="R4392" s="58"/>
    </row>
    <row r="4393">
      <c r="R4393" s="58"/>
    </row>
    <row r="4394">
      <c r="R4394" s="58"/>
    </row>
    <row r="4395">
      <c r="R4395" s="58"/>
    </row>
    <row r="4396">
      <c r="R4396" s="58"/>
    </row>
    <row r="4397">
      <c r="R4397" s="58"/>
    </row>
    <row r="4398">
      <c r="R4398" s="58"/>
    </row>
    <row r="4399">
      <c r="R4399" s="58"/>
    </row>
    <row r="4400">
      <c r="R4400" s="58"/>
    </row>
    <row r="4401">
      <c r="R4401" s="58"/>
    </row>
    <row r="4402">
      <c r="R4402" s="58"/>
    </row>
    <row r="4403">
      <c r="R4403" s="58"/>
    </row>
    <row r="4404">
      <c r="R4404" s="58"/>
    </row>
    <row r="4405">
      <c r="R4405" s="58"/>
    </row>
    <row r="4406">
      <c r="R4406" s="58"/>
    </row>
    <row r="4407">
      <c r="R4407" s="58"/>
    </row>
    <row r="4408">
      <c r="R4408" s="58"/>
    </row>
    <row r="4409">
      <c r="R4409" s="58"/>
    </row>
    <row r="4410">
      <c r="R4410" s="58"/>
    </row>
    <row r="4411">
      <c r="R4411" s="58"/>
    </row>
    <row r="4412">
      <c r="R4412" s="58"/>
    </row>
    <row r="4413">
      <c r="R4413" s="58"/>
    </row>
    <row r="4414">
      <c r="R4414" s="58"/>
    </row>
    <row r="4415">
      <c r="R4415" s="58"/>
    </row>
    <row r="4416">
      <c r="R4416" s="58"/>
    </row>
    <row r="4417">
      <c r="R4417" s="58"/>
    </row>
    <row r="4418">
      <c r="R4418" s="58"/>
    </row>
    <row r="4419">
      <c r="R4419" s="58"/>
    </row>
    <row r="4420">
      <c r="R4420" s="58"/>
    </row>
    <row r="4421">
      <c r="R4421" s="58"/>
    </row>
    <row r="4422">
      <c r="R4422" s="58"/>
    </row>
    <row r="4423">
      <c r="R4423" s="58"/>
    </row>
    <row r="4424">
      <c r="R4424" s="58"/>
    </row>
    <row r="4425">
      <c r="R4425" s="58"/>
    </row>
    <row r="4426">
      <c r="R4426" s="58"/>
    </row>
    <row r="4427">
      <c r="R4427" s="58"/>
    </row>
    <row r="4428">
      <c r="R4428" s="58"/>
    </row>
    <row r="4429">
      <c r="R4429" s="58"/>
    </row>
    <row r="4430">
      <c r="R4430" s="58"/>
    </row>
    <row r="4431">
      <c r="R4431" s="58"/>
    </row>
    <row r="4432">
      <c r="R4432" s="58"/>
    </row>
    <row r="4433">
      <c r="R4433" s="58"/>
    </row>
    <row r="4434">
      <c r="R4434" s="58"/>
    </row>
    <row r="4435">
      <c r="R4435" s="58"/>
    </row>
    <row r="4436">
      <c r="R4436" s="58"/>
    </row>
    <row r="4437">
      <c r="R4437" s="58"/>
    </row>
    <row r="4438">
      <c r="R4438" s="58"/>
    </row>
    <row r="4439">
      <c r="R4439" s="58"/>
    </row>
    <row r="4440">
      <c r="R4440" s="58"/>
    </row>
    <row r="4441">
      <c r="R4441" s="58"/>
    </row>
    <row r="4442">
      <c r="R4442" s="58"/>
    </row>
    <row r="4443">
      <c r="R4443" s="58"/>
    </row>
    <row r="4444">
      <c r="R4444" s="58"/>
    </row>
    <row r="4445">
      <c r="R4445" s="58"/>
    </row>
    <row r="4446">
      <c r="R4446" s="58"/>
    </row>
    <row r="4447">
      <c r="R4447" s="58"/>
    </row>
    <row r="4448">
      <c r="R4448" s="58"/>
    </row>
    <row r="4449">
      <c r="R4449" s="58"/>
    </row>
    <row r="4450">
      <c r="R4450" s="58"/>
    </row>
    <row r="4451">
      <c r="R4451" s="58"/>
    </row>
    <row r="4452">
      <c r="R4452" s="58"/>
    </row>
    <row r="4453">
      <c r="R4453" s="58"/>
    </row>
    <row r="4454">
      <c r="R4454" s="58"/>
    </row>
    <row r="4455">
      <c r="R4455" s="58"/>
    </row>
    <row r="4456">
      <c r="R4456" s="58"/>
    </row>
    <row r="4457">
      <c r="R4457" s="58"/>
    </row>
    <row r="4458">
      <c r="R4458" s="58"/>
    </row>
    <row r="4459">
      <c r="R4459" s="58"/>
    </row>
    <row r="4460">
      <c r="R4460" s="58"/>
    </row>
    <row r="4461">
      <c r="R4461" s="58"/>
    </row>
    <row r="4462">
      <c r="R4462" s="58"/>
    </row>
    <row r="4463">
      <c r="R4463" s="58"/>
    </row>
    <row r="4464">
      <c r="R4464" s="58"/>
    </row>
    <row r="4465">
      <c r="R4465" s="58"/>
    </row>
    <row r="4466">
      <c r="R4466" s="58"/>
    </row>
    <row r="4467">
      <c r="R4467" s="58"/>
    </row>
    <row r="4468">
      <c r="R4468" s="58"/>
    </row>
    <row r="4469">
      <c r="R4469" s="58"/>
    </row>
    <row r="4470">
      <c r="R4470" s="58"/>
    </row>
    <row r="4471">
      <c r="R4471" s="58"/>
    </row>
    <row r="4472">
      <c r="R4472" s="58"/>
    </row>
    <row r="4473">
      <c r="R4473" s="58"/>
    </row>
    <row r="4474">
      <c r="R4474" s="58"/>
    </row>
    <row r="4475">
      <c r="R4475" s="58"/>
    </row>
    <row r="4476">
      <c r="R4476" s="58"/>
    </row>
    <row r="4477">
      <c r="R4477" s="58"/>
    </row>
    <row r="4478">
      <c r="R4478" s="58"/>
    </row>
    <row r="4479">
      <c r="R4479" s="58"/>
    </row>
    <row r="4480">
      <c r="R4480" s="58"/>
    </row>
    <row r="4481">
      <c r="R4481" s="58"/>
    </row>
    <row r="4482">
      <c r="R4482" s="58"/>
    </row>
    <row r="4483">
      <c r="R4483" s="58"/>
    </row>
    <row r="4484">
      <c r="R4484" s="58"/>
    </row>
    <row r="4485">
      <c r="R4485" s="58"/>
    </row>
    <row r="4486">
      <c r="R4486" s="58"/>
    </row>
    <row r="4487">
      <c r="R4487" s="58"/>
    </row>
    <row r="4488">
      <c r="R4488" s="58"/>
    </row>
    <row r="4489">
      <c r="R4489" s="58"/>
    </row>
    <row r="4490">
      <c r="R4490" s="58"/>
    </row>
    <row r="4491">
      <c r="R4491" s="58"/>
    </row>
    <row r="4492">
      <c r="R4492" s="58"/>
    </row>
    <row r="4493">
      <c r="R4493" s="58"/>
    </row>
    <row r="4494">
      <c r="R4494" s="58"/>
    </row>
    <row r="4495">
      <c r="R4495" s="58"/>
    </row>
    <row r="4496">
      <c r="R4496" s="58"/>
    </row>
    <row r="4497">
      <c r="R4497" s="58"/>
    </row>
    <row r="4498">
      <c r="R4498" s="58"/>
    </row>
    <row r="4499">
      <c r="R4499" s="58"/>
    </row>
    <row r="4500">
      <c r="R4500" s="58"/>
    </row>
    <row r="4501">
      <c r="R4501" s="58"/>
    </row>
    <row r="4502">
      <c r="R4502" s="58"/>
    </row>
    <row r="4503">
      <c r="R4503" s="58"/>
    </row>
    <row r="4504">
      <c r="R4504" s="58"/>
    </row>
    <row r="4505">
      <c r="R4505" s="58"/>
    </row>
    <row r="4506">
      <c r="R4506" s="58"/>
    </row>
    <row r="4507">
      <c r="R4507" s="58"/>
    </row>
    <row r="4508">
      <c r="R4508" s="58"/>
    </row>
    <row r="4509">
      <c r="R4509" s="58"/>
    </row>
    <row r="4510">
      <c r="R4510" s="58"/>
    </row>
    <row r="4511">
      <c r="R4511" s="58"/>
    </row>
    <row r="4512">
      <c r="R4512" s="58"/>
    </row>
    <row r="4513">
      <c r="R4513" s="58"/>
    </row>
    <row r="4514">
      <c r="R4514" s="58"/>
    </row>
    <row r="4515">
      <c r="R4515" s="58"/>
    </row>
    <row r="4516">
      <c r="R4516" s="58"/>
    </row>
    <row r="4517">
      <c r="R4517" s="58"/>
    </row>
    <row r="4518">
      <c r="R4518" s="58"/>
    </row>
    <row r="4519">
      <c r="R4519" s="58"/>
    </row>
    <row r="4520">
      <c r="R4520" s="58"/>
    </row>
    <row r="4521">
      <c r="R4521" s="58"/>
    </row>
    <row r="4522">
      <c r="R4522" s="58"/>
    </row>
    <row r="4523">
      <c r="R4523" s="58"/>
    </row>
    <row r="4524">
      <c r="R4524" s="58"/>
    </row>
    <row r="4525">
      <c r="R4525" s="58"/>
    </row>
    <row r="4526">
      <c r="R4526" s="58"/>
    </row>
    <row r="4527">
      <c r="R4527" s="58"/>
    </row>
    <row r="4528">
      <c r="R4528" s="58"/>
    </row>
    <row r="4529">
      <c r="R4529" s="58"/>
    </row>
    <row r="4530">
      <c r="R4530" s="58"/>
    </row>
    <row r="4531">
      <c r="R4531" s="58"/>
    </row>
    <row r="4532">
      <c r="R4532" s="58"/>
    </row>
    <row r="4533">
      <c r="R4533" s="58"/>
    </row>
    <row r="4534">
      <c r="R4534" s="58"/>
    </row>
    <row r="4535">
      <c r="R4535" s="58"/>
    </row>
    <row r="4536">
      <c r="R4536" s="58"/>
    </row>
    <row r="4537">
      <c r="R4537" s="58"/>
    </row>
    <row r="4538">
      <c r="R4538" s="58"/>
    </row>
    <row r="4539">
      <c r="R4539" s="58"/>
    </row>
    <row r="4540">
      <c r="R4540" s="58"/>
    </row>
    <row r="4541">
      <c r="R4541" s="58"/>
    </row>
    <row r="4542">
      <c r="R4542" s="58"/>
    </row>
    <row r="4543">
      <c r="R4543" s="58"/>
    </row>
    <row r="4544">
      <c r="R4544" s="58"/>
    </row>
    <row r="4545">
      <c r="R4545" s="58"/>
    </row>
    <row r="4546">
      <c r="R4546" s="58"/>
    </row>
    <row r="4547">
      <c r="R4547" s="58"/>
    </row>
    <row r="4548">
      <c r="R4548" s="58"/>
    </row>
    <row r="4549">
      <c r="R4549" s="58"/>
    </row>
    <row r="4550">
      <c r="R4550" s="58"/>
    </row>
    <row r="4551">
      <c r="R4551" s="58"/>
    </row>
    <row r="4552">
      <c r="R4552" s="58"/>
    </row>
    <row r="4553">
      <c r="R4553" s="58"/>
    </row>
    <row r="4554">
      <c r="R4554" s="58"/>
    </row>
    <row r="4555">
      <c r="R4555" s="58"/>
    </row>
    <row r="4556">
      <c r="R4556" s="58"/>
    </row>
    <row r="4557">
      <c r="R4557" s="58"/>
    </row>
    <row r="4558">
      <c r="R4558" s="58"/>
    </row>
    <row r="4559">
      <c r="R4559" s="58"/>
    </row>
    <row r="4560">
      <c r="R4560" s="58"/>
    </row>
    <row r="4561">
      <c r="R4561" s="58"/>
    </row>
    <row r="4562">
      <c r="R4562" s="58"/>
    </row>
    <row r="4563">
      <c r="R4563" s="58"/>
    </row>
    <row r="4564">
      <c r="R4564" s="58"/>
    </row>
    <row r="4565">
      <c r="R4565" s="58"/>
    </row>
    <row r="4566">
      <c r="R4566" s="58"/>
    </row>
    <row r="4567">
      <c r="R4567" s="58"/>
    </row>
    <row r="4568">
      <c r="R4568" s="58"/>
    </row>
    <row r="4569">
      <c r="R4569" s="58"/>
    </row>
    <row r="4570">
      <c r="R4570" s="58"/>
    </row>
    <row r="4571">
      <c r="R4571" s="58"/>
    </row>
    <row r="4572">
      <c r="R4572" s="58"/>
    </row>
    <row r="4573">
      <c r="R4573" s="58"/>
    </row>
    <row r="4574">
      <c r="R4574" s="58"/>
    </row>
    <row r="4575">
      <c r="R4575" s="58"/>
    </row>
    <row r="4576">
      <c r="R4576" s="58"/>
    </row>
    <row r="4577">
      <c r="R4577" s="58"/>
    </row>
    <row r="4578">
      <c r="R4578" s="58"/>
    </row>
    <row r="4579">
      <c r="R4579" s="58"/>
    </row>
    <row r="4580">
      <c r="R4580" s="58"/>
    </row>
    <row r="4581">
      <c r="R4581" s="58"/>
    </row>
    <row r="4582">
      <c r="R4582" s="58"/>
    </row>
    <row r="4583">
      <c r="R4583" s="58"/>
    </row>
    <row r="4584">
      <c r="R4584" s="58"/>
    </row>
    <row r="4585">
      <c r="R4585" s="58"/>
    </row>
    <row r="4586">
      <c r="R4586" s="58"/>
    </row>
    <row r="4587">
      <c r="R4587" s="58"/>
    </row>
    <row r="4588">
      <c r="R4588" s="58"/>
    </row>
    <row r="4589">
      <c r="R4589" s="58"/>
    </row>
    <row r="4590">
      <c r="R4590" s="58"/>
    </row>
    <row r="4591">
      <c r="R4591" s="58"/>
    </row>
    <row r="4592">
      <c r="R4592" s="58"/>
    </row>
    <row r="4593">
      <c r="R4593" s="58"/>
    </row>
    <row r="4594">
      <c r="R4594" s="58"/>
    </row>
    <row r="4595">
      <c r="R4595" s="58"/>
    </row>
    <row r="4596">
      <c r="R4596" s="58"/>
    </row>
    <row r="4597">
      <c r="R4597" s="58"/>
    </row>
    <row r="4598">
      <c r="R4598" s="58"/>
    </row>
    <row r="4599">
      <c r="R4599" s="58"/>
    </row>
    <row r="4600">
      <c r="R4600" s="58"/>
    </row>
    <row r="4601">
      <c r="R4601" s="58"/>
    </row>
    <row r="4602">
      <c r="R4602" s="58"/>
    </row>
    <row r="4603">
      <c r="R4603" s="58"/>
    </row>
    <row r="4604">
      <c r="R4604" s="58"/>
    </row>
    <row r="4605">
      <c r="R4605" s="58"/>
    </row>
    <row r="4606">
      <c r="R4606" s="58"/>
    </row>
    <row r="4607">
      <c r="R4607" s="58"/>
    </row>
    <row r="4608">
      <c r="R4608" s="58"/>
    </row>
    <row r="4609">
      <c r="R4609" s="58"/>
    </row>
    <row r="4610">
      <c r="R4610" s="58"/>
    </row>
    <row r="4611">
      <c r="R4611" s="58"/>
    </row>
    <row r="4612">
      <c r="R4612" s="58"/>
    </row>
    <row r="4613">
      <c r="R4613" s="58"/>
    </row>
    <row r="4614">
      <c r="R4614" s="58"/>
    </row>
    <row r="4615">
      <c r="R4615" s="58"/>
    </row>
    <row r="4616">
      <c r="R4616" s="58"/>
    </row>
    <row r="4617">
      <c r="R4617" s="58"/>
    </row>
    <row r="4618">
      <c r="R4618" s="58"/>
    </row>
    <row r="4619">
      <c r="R4619" s="58"/>
    </row>
    <row r="4620">
      <c r="R4620" s="58"/>
    </row>
    <row r="4621">
      <c r="R4621" s="58"/>
    </row>
    <row r="4622">
      <c r="R4622" s="58"/>
    </row>
    <row r="4623">
      <c r="R4623" s="58"/>
    </row>
    <row r="4624">
      <c r="R4624" s="58"/>
    </row>
    <row r="4625">
      <c r="R4625" s="58"/>
    </row>
    <row r="4626">
      <c r="R4626" s="58"/>
    </row>
    <row r="4627">
      <c r="R4627" s="58"/>
    </row>
    <row r="4628">
      <c r="R4628" s="58"/>
    </row>
    <row r="4629">
      <c r="R4629" s="58"/>
    </row>
    <row r="4630">
      <c r="R4630" s="58"/>
    </row>
    <row r="4631">
      <c r="R4631" s="58"/>
    </row>
    <row r="4632">
      <c r="R4632" s="58"/>
    </row>
    <row r="4633">
      <c r="R4633" s="58"/>
    </row>
    <row r="4634">
      <c r="R4634" s="58"/>
    </row>
    <row r="4635">
      <c r="R4635" s="58"/>
    </row>
    <row r="4636">
      <c r="R4636" s="58"/>
    </row>
    <row r="4637">
      <c r="R4637" s="58"/>
    </row>
    <row r="4638">
      <c r="R4638" s="58"/>
    </row>
    <row r="4639">
      <c r="R4639" s="58"/>
    </row>
    <row r="4640">
      <c r="R4640" s="58"/>
    </row>
    <row r="4641">
      <c r="R4641" s="58"/>
    </row>
    <row r="4642">
      <c r="R4642" s="58"/>
    </row>
    <row r="4643">
      <c r="R4643" s="58"/>
    </row>
    <row r="4644">
      <c r="R4644" s="58"/>
    </row>
    <row r="4645">
      <c r="R4645" s="58"/>
    </row>
    <row r="4646">
      <c r="R4646" s="58"/>
    </row>
    <row r="4647">
      <c r="R4647" s="58"/>
    </row>
    <row r="4648">
      <c r="R4648" s="58"/>
    </row>
    <row r="4649">
      <c r="R4649" s="58"/>
    </row>
    <row r="4650">
      <c r="R4650" s="58"/>
    </row>
    <row r="4651">
      <c r="R4651" s="58"/>
    </row>
    <row r="4652">
      <c r="R4652" s="58"/>
    </row>
    <row r="4653">
      <c r="R4653" s="58"/>
    </row>
    <row r="4654">
      <c r="R4654" s="58"/>
    </row>
    <row r="4655">
      <c r="R4655" s="58"/>
    </row>
    <row r="4656">
      <c r="R4656" s="58"/>
    </row>
    <row r="4657">
      <c r="R4657" s="58"/>
    </row>
    <row r="4658">
      <c r="R4658" s="58"/>
    </row>
    <row r="4659">
      <c r="R4659" s="58"/>
    </row>
    <row r="4660">
      <c r="R4660" s="58"/>
    </row>
    <row r="4661">
      <c r="R4661" s="58"/>
    </row>
    <row r="4662">
      <c r="R4662" s="58"/>
    </row>
    <row r="4663">
      <c r="R4663" s="58"/>
    </row>
    <row r="4664">
      <c r="R4664" s="58"/>
    </row>
    <row r="4665">
      <c r="R4665" s="58"/>
    </row>
    <row r="4666">
      <c r="R4666" s="58"/>
    </row>
    <row r="4667">
      <c r="R4667" s="58"/>
    </row>
    <row r="4668">
      <c r="R4668" s="58"/>
    </row>
    <row r="4669">
      <c r="R4669" s="58"/>
    </row>
    <row r="4670">
      <c r="R4670" s="58"/>
    </row>
    <row r="4671">
      <c r="R4671" s="58"/>
    </row>
    <row r="4672">
      <c r="R4672" s="58"/>
    </row>
    <row r="4673">
      <c r="R4673" s="58"/>
    </row>
    <row r="4674">
      <c r="R4674" s="58"/>
    </row>
    <row r="4675">
      <c r="R4675" s="58"/>
    </row>
    <row r="4676">
      <c r="R4676" s="58"/>
    </row>
    <row r="4677">
      <c r="R4677" s="58"/>
    </row>
    <row r="4678">
      <c r="R4678" s="58"/>
    </row>
    <row r="4679">
      <c r="R4679" s="58"/>
    </row>
    <row r="4680">
      <c r="R4680" s="58"/>
    </row>
    <row r="4681">
      <c r="R4681" s="58"/>
    </row>
    <row r="4682">
      <c r="R4682" s="58"/>
    </row>
    <row r="4683">
      <c r="R4683" s="58"/>
    </row>
    <row r="4684">
      <c r="R4684" s="58"/>
    </row>
    <row r="4685">
      <c r="R4685" s="58"/>
    </row>
    <row r="4686">
      <c r="R4686" s="58"/>
    </row>
    <row r="4687">
      <c r="R4687" s="58"/>
    </row>
    <row r="4688">
      <c r="R4688" s="58"/>
    </row>
    <row r="4689">
      <c r="R4689" s="58"/>
    </row>
    <row r="4690">
      <c r="R4690" s="58"/>
    </row>
    <row r="4691">
      <c r="R4691" s="58"/>
    </row>
    <row r="4692">
      <c r="R4692" s="58"/>
    </row>
    <row r="4693">
      <c r="R4693" s="58"/>
    </row>
    <row r="4694">
      <c r="R4694" s="58"/>
    </row>
    <row r="4695">
      <c r="R4695" s="58"/>
    </row>
    <row r="4696">
      <c r="R4696" s="58"/>
    </row>
    <row r="4697">
      <c r="R4697" s="58"/>
    </row>
    <row r="4698">
      <c r="R4698" s="58"/>
    </row>
    <row r="4699">
      <c r="R4699" s="58"/>
    </row>
    <row r="4700">
      <c r="R4700" s="58"/>
    </row>
    <row r="4701">
      <c r="R4701" s="58"/>
    </row>
    <row r="4702">
      <c r="R4702" s="58"/>
    </row>
    <row r="4703">
      <c r="R4703" s="58"/>
    </row>
    <row r="4704">
      <c r="R4704" s="58"/>
    </row>
    <row r="4705">
      <c r="R4705" s="58"/>
    </row>
    <row r="4706">
      <c r="R4706" s="58"/>
    </row>
    <row r="4707">
      <c r="R4707" s="58"/>
    </row>
    <row r="4708">
      <c r="R4708" s="58"/>
    </row>
    <row r="4709">
      <c r="R4709" s="58"/>
    </row>
    <row r="4710">
      <c r="R4710" s="58"/>
    </row>
    <row r="4711">
      <c r="R4711" s="58"/>
    </row>
    <row r="4712">
      <c r="R4712" s="58"/>
    </row>
    <row r="4713">
      <c r="R4713" s="58"/>
    </row>
    <row r="4714">
      <c r="R4714" s="58"/>
    </row>
    <row r="4715">
      <c r="R4715" s="58"/>
    </row>
    <row r="4716">
      <c r="R4716" s="58"/>
    </row>
    <row r="4717">
      <c r="R4717" s="58"/>
    </row>
    <row r="4718">
      <c r="R4718" s="58"/>
    </row>
    <row r="4719">
      <c r="R4719" s="58"/>
    </row>
    <row r="4720">
      <c r="R4720" s="58"/>
    </row>
    <row r="4721">
      <c r="R4721" s="58"/>
    </row>
    <row r="4722">
      <c r="R4722" s="58"/>
    </row>
    <row r="4723">
      <c r="R4723" s="58"/>
    </row>
    <row r="4724">
      <c r="R4724" s="58"/>
    </row>
    <row r="4725">
      <c r="R4725" s="58"/>
    </row>
    <row r="4726">
      <c r="R4726" s="58"/>
    </row>
    <row r="4727">
      <c r="R4727" s="58"/>
    </row>
    <row r="4728">
      <c r="R4728" s="58"/>
    </row>
    <row r="4729">
      <c r="R4729" s="58"/>
    </row>
    <row r="4730">
      <c r="R4730" s="58"/>
    </row>
    <row r="4731">
      <c r="R4731" s="58"/>
    </row>
    <row r="4732">
      <c r="R4732" s="58"/>
    </row>
    <row r="4733">
      <c r="R4733" s="58"/>
    </row>
    <row r="4734">
      <c r="R4734" s="58"/>
    </row>
    <row r="4735">
      <c r="R4735" s="58"/>
    </row>
    <row r="4736">
      <c r="R4736" s="58"/>
    </row>
    <row r="4737">
      <c r="R4737" s="58"/>
    </row>
    <row r="4738">
      <c r="R4738" s="58"/>
    </row>
    <row r="4739">
      <c r="R4739" s="58"/>
    </row>
    <row r="4740">
      <c r="R4740" s="58"/>
    </row>
    <row r="4741">
      <c r="R4741" s="58"/>
    </row>
    <row r="4742">
      <c r="R4742" s="58"/>
    </row>
    <row r="4743">
      <c r="R4743" s="58"/>
    </row>
    <row r="4744">
      <c r="R4744" s="58"/>
    </row>
    <row r="4745">
      <c r="R4745" s="58"/>
    </row>
    <row r="4746">
      <c r="R4746" s="58"/>
    </row>
    <row r="4747">
      <c r="R4747" s="58"/>
    </row>
    <row r="4748">
      <c r="R4748" s="58"/>
    </row>
    <row r="4749">
      <c r="R4749" s="58"/>
    </row>
    <row r="4750">
      <c r="R4750" s="58"/>
    </row>
    <row r="4751">
      <c r="R4751" s="58"/>
    </row>
    <row r="4752">
      <c r="R4752" s="58"/>
    </row>
    <row r="4753">
      <c r="R4753" s="58"/>
    </row>
    <row r="4754">
      <c r="R4754" s="58"/>
    </row>
    <row r="4755">
      <c r="R4755" s="58"/>
    </row>
    <row r="4756">
      <c r="R4756" s="58"/>
    </row>
    <row r="4757">
      <c r="R4757" s="58"/>
    </row>
    <row r="4758">
      <c r="R4758" s="58"/>
    </row>
    <row r="4759">
      <c r="R4759" s="58"/>
    </row>
    <row r="4760">
      <c r="R4760" s="58"/>
    </row>
    <row r="4761">
      <c r="R4761" s="58"/>
    </row>
    <row r="4762">
      <c r="R4762" s="58"/>
    </row>
    <row r="4763">
      <c r="R4763" s="58"/>
    </row>
    <row r="4764">
      <c r="R4764" s="58"/>
    </row>
    <row r="4765">
      <c r="R4765" s="58"/>
    </row>
    <row r="4766">
      <c r="R4766" s="58"/>
    </row>
    <row r="4767">
      <c r="R4767" s="58"/>
    </row>
    <row r="4768">
      <c r="R4768" s="58"/>
    </row>
    <row r="4769">
      <c r="R4769" s="58"/>
    </row>
    <row r="4770">
      <c r="R4770" s="58"/>
    </row>
    <row r="4771">
      <c r="R4771" s="58"/>
    </row>
    <row r="4772">
      <c r="R4772" s="58"/>
    </row>
    <row r="4773">
      <c r="R4773" s="58"/>
    </row>
    <row r="4774">
      <c r="R4774" s="58"/>
    </row>
    <row r="4775">
      <c r="R4775" s="58"/>
    </row>
    <row r="4776">
      <c r="R4776" s="58"/>
    </row>
    <row r="4777">
      <c r="R4777" s="58"/>
    </row>
    <row r="4778">
      <c r="R4778" s="58"/>
    </row>
    <row r="4779">
      <c r="R4779" s="58"/>
    </row>
    <row r="4780">
      <c r="R4780" s="58"/>
    </row>
    <row r="4781">
      <c r="R4781" s="58"/>
    </row>
    <row r="4782">
      <c r="R4782" s="58"/>
    </row>
    <row r="4783">
      <c r="R4783" s="58"/>
    </row>
    <row r="4784">
      <c r="R4784" s="58"/>
    </row>
    <row r="4785">
      <c r="R4785" s="58"/>
    </row>
    <row r="4786">
      <c r="R4786" s="58"/>
    </row>
    <row r="4787">
      <c r="R4787" s="58"/>
    </row>
    <row r="4788">
      <c r="R4788" s="58"/>
    </row>
    <row r="4789">
      <c r="R4789" s="58"/>
    </row>
    <row r="4790">
      <c r="R4790" s="58"/>
    </row>
    <row r="4791">
      <c r="R4791" s="58"/>
    </row>
    <row r="4792">
      <c r="R4792" s="58"/>
    </row>
    <row r="4793">
      <c r="R4793" s="58"/>
    </row>
    <row r="4794">
      <c r="R4794" s="58"/>
    </row>
    <row r="4795">
      <c r="R4795" s="58"/>
    </row>
    <row r="4796">
      <c r="R4796" s="58"/>
    </row>
    <row r="4797">
      <c r="R4797" s="58"/>
    </row>
    <row r="4798">
      <c r="R4798" s="58"/>
    </row>
    <row r="4799">
      <c r="R4799" s="58"/>
    </row>
    <row r="4800">
      <c r="R4800" s="58"/>
    </row>
    <row r="4801">
      <c r="R4801" s="58"/>
    </row>
    <row r="4802">
      <c r="R4802" s="58"/>
    </row>
    <row r="4803">
      <c r="R4803" s="58"/>
    </row>
    <row r="4804">
      <c r="R4804" s="58"/>
    </row>
    <row r="4805">
      <c r="R4805" s="58"/>
    </row>
    <row r="4806">
      <c r="R4806" s="58"/>
    </row>
    <row r="4807">
      <c r="R4807" s="58"/>
    </row>
    <row r="4808">
      <c r="R4808" s="58"/>
    </row>
    <row r="4809">
      <c r="R4809" s="58"/>
    </row>
    <row r="4810">
      <c r="R4810" s="58"/>
    </row>
    <row r="4811">
      <c r="R4811" s="58"/>
    </row>
    <row r="4812">
      <c r="R4812" s="58"/>
    </row>
    <row r="4813">
      <c r="R4813" s="58"/>
    </row>
    <row r="4814">
      <c r="R4814" s="58"/>
    </row>
    <row r="4815">
      <c r="R4815" s="58"/>
    </row>
    <row r="4816">
      <c r="R4816" s="58"/>
    </row>
    <row r="4817">
      <c r="R4817" s="58"/>
    </row>
    <row r="4818">
      <c r="R4818" s="58"/>
    </row>
    <row r="4819">
      <c r="R4819" s="58"/>
    </row>
    <row r="4820">
      <c r="R4820" s="58"/>
    </row>
    <row r="4821">
      <c r="R4821" s="58"/>
    </row>
    <row r="4822">
      <c r="R4822" s="58"/>
    </row>
    <row r="4823">
      <c r="R4823" s="58"/>
    </row>
    <row r="4824">
      <c r="R4824" s="58"/>
    </row>
    <row r="4825">
      <c r="R4825" s="58"/>
    </row>
    <row r="4826">
      <c r="R4826" s="58"/>
    </row>
    <row r="4827">
      <c r="R4827" s="58"/>
    </row>
    <row r="4828">
      <c r="R4828" s="58"/>
    </row>
    <row r="4829">
      <c r="R4829" s="58"/>
    </row>
    <row r="4830">
      <c r="R4830" s="58"/>
    </row>
    <row r="4831">
      <c r="R4831" s="58"/>
    </row>
    <row r="4832">
      <c r="R4832" s="58"/>
    </row>
    <row r="4833">
      <c r="R4833" s="58"/>
    </row>
    <row r="4834">
      <c r="R4834" s="58"/>
    </row>
    <row r="4835">
      <c r="R4835" s="58"/>
    </row>
    <row r="4836">
      <c r="R4836" s="58"/>
    </row>
    <row r="4837">
      <c r="R4837" s="58"/>
    </row>
    <row r="4838">
      <c r="R4838" s="58"/>
    </row>
    <row r="4839">
      <c r="R4839" s="58"/>
    </row>
    <row r="4840">
      <c r="R4840" s="58"/>
    </row>
    <row r="4841">
      <c r="R4841" s="58"/>
    </row>
    <row r="4842">
      <c r="R4842" s="58"/>
    </row>
    <row r="4843">
      <c r="R4843" s="58"/>
    </row>
    <row r="4844">
      <c r="R4844" s="58"/>
    </row>
    <row r="4845">
      <c r="R4845" s="58"/>
    </row>
    <row r="4846">
      <c r="R4846" s="58"/>
    </row>
    <row r="4847">
      <c r="R4847" s="58"/>
    </row>
    <row r="4848">
      <c r="R4848" s="58"/>
    </row>
    <row r="4849">
      <c r="R4849" s="58"/>
    </row>
    <row r="4850">
      <c r="R4850" s="58"/>
    </row>
    <row r="4851">
      <c r="R4851" s="58"/>
    </row>
    <row r="4852">
      <c r="R4852" s="58"/>
    </row>
    <row r="4853">
      <c r="R4853" s="58"/>
    </row>
    <row r="4854">
      <c r="R4854" s="58"/>
    </row>
    <row r="4855">
      <c r="R4855" s="58"/>
    </row>
    <row r="4856">
      <c r="R4856" s="58"/>
    </row>
    <row r="4857">
      <c r="R4857" s="58"/>
    </row>
    <row r="4858">
      <c r="R4858" s="58"/>
    </row>
    <row r="4859">
      <c r="R4859" s="58"/>
    </row>
    <row r="4860">
      <c r="R4860" s="58"/>
    </row>
    <row r="4861">
      <c r="R4861" s="58"/>
    </row>
    <row r="4862">
      <c r="R4862" s="58"/>
    </row>
    <row r="4863">
      <c r="R4863" s="58"/>
    </row>
    <row r="4864">
      <c r="R4864" s="58"/>
    </row>
    <row r="4865">
      <c r="R4865" s="58"/>
    </row>
    <row r="4866">
      <c r="R4866" s="58"/>
    </row>
    <row r="4867">
      <c r="R4867" s="58"/>
    </row>
    <row r="4868">
      <c r="R4868" s="58"/>
    </row>
    <row r="4869">
      <c r="R4869" s="58"/>
    </row>
    <row r="4870">
      <c r="R4870" s="58"/>
    </row>
    <row r="4871">
      <c r="R4871" s="58"/>
    </row>
    <row r="4872">
      <c r="R4872" s="58"/>
    </row>
    <row r="4873">
      <c r="R4873" s="58"/>
    </row>
    <row r="4874">
      <c r="R4874" s="58"/>
    </row>
    <row r="4875">
      <c r="R4875" s="58"/>
    </row>
    <row r="4876">
      <c r="R4876" s="58"/>
    </row>
    <row r="4877">
      <c r="R4877" s="58"/>
    </row>
    <row r="4878">
      <c r="R4878" s="58"/>
    </row>
    <row r="4879">
      <c r="R4879" s="58"/>
    </row>
    <row r="4880">
      <c r="R4880" s="58"/>
    </row>
    <row r="4881">
      <c r="R4881" s="58"/>
    </row>
    <row r="4882">
      <c r="R4882" s="58"/>
    </row>
    <row r="4883">
      <c r="R4883" s="58"/>
    </row>
    <row r="4884">
      <c r="R4884" s="58"/>
    </row>
    <row r="4885">
      <c r="R4885" s="58"/>
    </row>
    <row r="4886">
      <c r="R4886" s="58"/>
    </row>
    <row r="4887">
      <c r="R4887" s="58"/>
    </row>
    <row r="4888">
      <c r="R4888" s="58"/>
    </row>
    <row r="4889">
      <c r="R4889" s="58"/>
    </row>
    <row r="4890">
      <c r="R4890" s="58"/>
    </row>
    <row r="4891">
      <c r="R4891" s="58"/>
    </row>
    <row r="4892">
      <c r="R4892" s="58"/>
    </row>
    <row r="4893">
      <c r="R4893" s="58"/>
    </row>
    <row r="4894">
      <c r="R4894" s="58"/>
    </row>
    <row r="4895">
      <c r="R4895" s="58"/>
    </row>
    <row r="4896">
      <c r="R4896" s="58"/>
    </row>
    <row r="4897">
      <c r="R4897" s="58"/>
    </row>
    <row r="4898">
      <c r="R4898" s="58"/>
    </row>
    <row r="4899">
      <c r="R4899" s="58"/>
    </row>
    <row r="4900">
      <c r="R4900" s="58"/>
    </row>
    <row r="4901">
      <c r="R4901" s="58"/>
    </row>
    <row r="4902">
      <c r="R4902" s="58"/>
    </row>
    <row r="4903">
      <c r="R4903" s="58"/>
    </row>
    <row r="4904">
      <c r="R4904" s="58"/>
    </row>
    <row r="4905">
      <c r="R4905" s="58"/>
    </row>
    <row r="4906">
      <c r="R4906" s="58"/>
    </row>
    <row r="4907">
      <c r="R4907" s="58"/>
    </row>
    <row r="4908">
      <c r="R4908" s="58"/>
    </row>
    <row r="4909">
      <c r="R4909" s="58"/>
    </row>
    <row r="4910">
      <c r="R4910" s="58"/>
    </row>
    <row r="4911">
      <c r="R4911" s="58"/>
    </row>
    <row r="4912">
      <c r="R4912" s="58"/>
    </row>
    <row r="4913">
      <c r="R4913" s="58"/>
    </row>
    <row r="4914">
      <c r="R4914" s="58"/>
    </row>
    <row r="4915">
      <c r="R4915" s="58"/>
    </row>
    <row r="4916">
      <c r="R4916" s="58"/>
    </row>
    <row r="4917">
      <c r="R4917" s="58"/>
    </row>
    <row r="4918">
      <c r="R4918" s="58"/>
    </row>
    <row r="4919">
      <c r="R4919" s="58"/>
    </row>
    <row r="4920">
      <c r="R4920" s="58"/>
    </row>
    <row r="4921">
      <c r="R4921" s="58"/>
    </row>
    <row r="4922">
      <c r="R4922" s="58"/>
    </row>
    <row r="4923">
      <c r="R4923" s="58"/>
    </row>
    <row r="4924">
      <c r="R4924" s="58"/>
    </row>
    <row r="4925">
      <c r="R4925" s="58"/>
    </row>
    <row r="4926">
      <c r="R4926" s="58"/>
    </row>
    <row r="4927">
      <c r="R4927" s="58"/>
    </row>
    <row r="4928">
      <c r="R4928" s="58"/>
    </row>
    <row r="4929">
      <c r="R4929" s="58"/>
    </row>
    <row r="4930">
      <c r="R4930" s="58"/>
    </row>
    <row r="4931">
      <c r="R4931" s="58"/>
    </row>
    <row r="4932">
      <c r="R4932" s="58"/>
    </row>
    <row r="4933">
      <c r="R4933" s="58"/>
    </row>
    <row r="4934">
      <c r="R4934" s="58"/>
    </row>
    <row r="4935">
      <c r="R4935" s="58"/>
    </row>
    <row r="4936">
      <c r="R4936" s="58"/>
    </row>
    <row r="4937">
      <c r="R4937" s="58"/>
    </row>
    <row r="4938">
      <c r="R4938" s="58"/>
    </row>
    <row r="4939">
      <c r="R4939" s="58"/>
    </row>
    <row r="4940">
      <c r="R4940" s="58"/>
    </row>
    <row r="4941">
      <c r="R4941" s="58"/>
    </row>
    <row r="4942">
      <c r="R4942" s="58"/>
    </row>
    <row r="4943">
      <c r="R4943" s="58"/>
    </row>
    <row r="4944">
      <c r="R4944" s="58"/>
    </row>
    <row r="4945">
      <c r="R4945" s="58"/>
    </row>
    <row r="4946">
      <c r="R4946" s="58"/>
    </row>
    <row r="4947">
      <c r="R4947" s="58"/>
    </row>
    <row r="4948">
      <c r="R4948" s="58"/>
    </row>
    <row r="4949">
      <c r="R4949" s="58"/>
    </row>
    <row r="4950">
      <c r="R4950" s="58"/>
    </row>
    <row r="4951">
      <c r="R4951" s="58"/>
    </row>
    <row r="4952">
      <c r="R4952" s="58"/>
    </row>
    <row r="4953">
      <c r="R4953" s="58"/>
    </row>
    <row r="4954">
      <c r="R4954" s="58"/>
    </row>
    <row r="4955">
      <c r="R4955" s="58"/>
    </row>
    <row r="4956">
      <c r="R4956" s="58"/>
    </row>
    <row r="4957">
      <c r="R4957" s="58"/>
    </row>
    <row r="4958">
      <c r="R4958" s="58"/>
    </row>
    <row r="4959">
      <c r="R4959" s="58"/>
    </row>
    <row r="4960">
      <c r="R4960" s="58"/>
    </row>
    <row r="4961">
      <c r="R4961" s="58"/>
    </row>
    <row r="4962">
      <c r="R4962" s="58"/>
    </row>
    <row r="4963">
      <c r="R4963" s="58"/>
    </row>
    <row r="4964">
      <c r="R4964" s="58"/>
    </row>
    <row r="4965">
      <c r="R4965" s="58"/>
    </row>
    <row r="4966">
      <c r="R4966" s="58"/>
    </row>
    <row r="4967">
      <c r="R4967" s="58"/>
    </row>
    <row r="4968">
      <c r="R4968" s="58"/>
    </row>
    <row r="4969">
      <c r="R4969" s="58"/>
    </row>
    <row r="4970">
      <c r="R4970" s="58"/>
    </row>
    <row r="4971">
      <c r="R4971" s="58"/>
    </row>
    <row r="4972">
      <c r="R4972" s="58"/>
    </row>
    <row r="4973">
      <c r="R4973" s="58"/>
    </row>
    <row r="4974">
      <c r="R4974" s="58"/>
    </row>
    <row r="4975">
      <c r="R4975" s="58"/>
    </row>
    <row r="4976">
      <c r="R4976" s="58"/>
    </row>
    <row r="4977">
      <c r="R4977" s="58"/>
    </row>
    <row r="4978">
      <c r="R4978" s="58"/>
    </row>
    <row r="4979">
      <c r="R4979" s="58"/>
    </row>
    <row r="4980">
      <c r="R4980" s="58"/>
    </row>
    <row r="4981">
      <c r="R4981" s="58"/>
    </row>
    <row r="4982">
      <c r="R4982" s="58"/>
    </row>
    <row r="4983">
      <c r="R4983" s="58"/>
    </row>
    <row r="4984">
      <c r="R4984" s="58"/>
    </row>
    <row r="4985">
      <c r="R4985" s="58"/>
    </row>
    <row r="4986">
      <c r="R4986" s="58"/>
    </row>
    <row r="4987">
      <c r="R4987" s="58"/>
    </row>
    <row r="4988">
      <c r="R4988" s="58"/>
    </row>
    <row r="4989">
      <c r="R4989" s="58"/>
    </row>
    <row r="4990">
      <c r="R4990" s="58"/>
    </row>
    <row r="4991">
      <c r="R4991" s="58"/>
    </row>
    <row r="4992">
      <c r="R4992" s="58"/>
    </row>
    <row r="4993">
      <c r="R4993" s="58"/>
    </row>
    <row r="4994">
      <c r="R4994" s="58"/>
    </row>
    <row r="4995">
      <c r="R4995" s="58"/>
    </row>
    <row r="4996">
      <c r="R4996" s="58"/>
    </row>
    <row r="4997">
      <c r="R4997" s="58"/>
    </row>
    <row r="4998">
      <c r="R4998" s="58"/>
    </row>
    <row r="4999">
      <c r="R4999" s="58"/>
    </row>
    <row r="5000">
      <c r="R5000" s="58"/>
    </row>
    <row r="5001">
      <c r="R5001" s="58"/>
    </row>
    <row r="5002">
      <c r="R5002" s="58"/>
    </row>
    <row r="5003">
      <c r="R5003" s="58"/>
    </row>
    <row r="5004">
      <c r="R5004" s="58"/>
    </row>
    <row r="5005">
      <c r="R5005" s="58"/>
    </row>
    <row r="5006">
      <c r="R5006" s="58"/>
    </row>
    <row r="5007">
      <c r="R5007" s="58"/>
    </row>
    <row r="5008">
      <c r="R5008" s="58"/>
    </row>
    <row r="5009">
      <c r="R5009" s="58"/>
    </row>
    <row r="5010">
      <c r="R5010" s="58"/>
    </row>
    <row r="5011">
      <c r="R5011" s="58"/>
    </row>
    <row r="5012">
      <c r="R5012" s="58"/>
    </row>
    <row r="5013">
      <c r="R5013" s="58"/>
    </row>
    <row r="5014">
      <c r="R5014" s="58"/>
    </row>
    <row r="5015">
      <c r="R5015" s="58"/>
    </row>
    <row r="5016">
      <c r="R5016" s="58"/>
    </row>
    <row r="5017">
      <c r="R5017" s="58"/>
    </row>
    <row r="5018">
      <c r="R5018" s="58"/>
    </row>
    <row r="5019">
      <c r="R5019" s="58"/>
    </row>
    <row r="5020">
      <c r="R5020" s="58"/>
    </row>
    <row r="5021">
      <c r="R5021" s="58"/>
    </row>
    <row r="5022">
      <c r="R5022" s="58"/>
    </row>
    <row r="5023">
      <c r="R5023" s="58"/>
    </row>
    <row r="5024">
      <c r="R5024" s="58"/>
    </row>
    <row r="5025">
      <c r="R5025" s="58"/>
    </row>
    <row r="5026">
      <c r="R5026" s="58"/>
    </row>
    <row r="5027">
      <c r="R5027" s="58"/>
    </row>
    <row r="5028">
      <c r="R5028" s="58"/>
    </row>
    <row r="5029">
      <c r="R5029" s="58"/>
    </row>
    <row r="5030">
      <c r="R5030" s="58"/>
    </row>
    <row r="5031">
      <c r="R5031" s="58"/>
    </row>
    <row r="5032">
      <c r="R5032" s="58"/>
    </row>
    <row r="5033">
      <c r="R5033" s="58"/>
    </row>
    <row r="5034">
      <c r="R5034" s="58"/>
    </row>
    <row r="5035">
      <c r="R5035" s="58"/>
    </row>
    <row r="5036">
      <c r="R5036" s="58"/>
    </row>
    <row r="5037">
      <c r="R5037" s="58"/>
    </row>
    <row r="5038">
      <c r="R5038" s="58"/>
    </row>
    <row r="5039">
      <c r="R5039" s="58"/>
    </row>
    <row r="5040">
      <c r="R5040" s="58"/>
    </row>
    <row r="5041">
      <c r="R5041" s="58"/>
    </row>
    <row r="5042">
      <c r="R5042" s="58"/>
    </row>
    <row r="5043">
      <c r="R5043" s="58"/>
    </row>
    <row r="5044">
      <c r="R5044" s="58"/>
    </row>
    <row r="5045">
      <c r="R5045" s="58"/>
    </row>
    <row r="5046">
      <c r="R5046" s="58"/>
    </row>
    <row r="5047">
      <c r="R5047" s="58"/>
    </row>
    <row r="5048">
      <c r="R5048" s="58"/>
    </row>
    <row r="5049">
      <c r="R5049" s="58"/>
    </row>
    <row r="5050">
      <c r="R5050" s="58"/>
    </row>
    <row r="5051">
      <c r="R5051" s="58"/>
    </row>
    <row r="5052">
      <c r="R5052" s="58"/>
    </row>
    <row r="5053">
      <c r="R5053" s="58"/>
    </row>
    <row r="5054">
      <c r="R5054" s="58"/>
    </row>
    <row r="5055">
      <c r="R5055" s="58"/>
    </row>
    <row r="5056">
      <c r="R5056" s="58"/>
    </row>
    <row r="5057">
      <c r="R5057" s="58"/>
    </row>
    <row r="5058">
      <c r="R5058" s="58"/>
    </row>
    <row r="5059">
      <c r="R5059" s="58"/>
    </row>
    <row r="5060">
      <c r="R5060" s="58"/>
    </row>
    <row r="5061">
      <c r="R5061" s="58"/>
    </row>
    <row r="5062">
      <c r="R5062" s="58"/>
    </row>
    <row r="5063">
      <c r="R5063" s="58"/>
    </row>
    <row r="5064">
      <c r="R5064" s="58"/>
    </row>
    <row r="5065">
      <c r="R5065" s="58"/>
    </row>
    <row r="5066">
      <c r="R5066" s="58"/>
    </row>
    <row r="5067">
      <c r="R5067" s="58"/>
    </row>
    <row r="5068">
      <c r="R5068" s="58"/>
    </row>
    <row r="5069">
      <c r="R5069" s="58"/>
    </row>
    <row r="5070">
      <c r="R5070" s="58"/>
    </row>
    <row r="5071">
      <c r="R5071" s="58"/>
    </row>
    <row r="5072">
      <c r="R5072" s="58"/>
    </row>
    <row r="5073">
      <c r="R5073" s="58"/>
    </row>
    <row r="5074">
      <c r="R5074" s="58"/>
    </row>
    <row r="5075">
      <c r="R5075" s="58"/>
    </row>
    <row r="5076">
      <c r="R5076" s="58"/>
    </row>
    <row r="5077">
      <c r="R5077" s="58"/>
    </row>
    <row r="5078">
      <c r="R5078" s="58"/>
    </row>
    <row r="5079">
      <c r="R5079" s="58"/>
    </row>
    <row r="5080">
      <c r="R5080" s="58"/>
    </row>
    <row r="5081">
      <c r="R5081" s="58"/>
    </row>
    <row r="5082">
      <c r="R5082" s="58"/>
    </row>
    <row r="5083">
      <c r="R5083" s="58"/>
    </row>
    <row r="5084">
      <c r="R5084" s="58"/>
    </row>
    <row r="5085">
      <c r="R5085" s="58"/>
    </row>
    <row r="5086">
      <c r="R5086" s="58"/>
    </row>
    <row r="5087">
      <c r="R5087" s="58"/>
    </row>
    <row r="5088">
      <c r="R5088" s="58"/>
    </row>
    <row r="5089">
      <c r="R5089" s="58"/>
    </row>
    <row r="5090">
      <c r="R5090" s="58"/>
    </row>
    <row r="5091">
      <c r="R5091" s="58"/>
    </row>
    <row r="5092">
      <c r="R5092" s="58"/>
    </row>
    <row r="5093">
      <c r="R5093" s="58"/>
    </row>
    <row r="5094">
      <c r="R5094" s="58"/>
    </row>
    <row r="5095">
      <c r="R5095" s="58"/>
    </row>
    <row r="5096">
      <c r="R5096" s="58"/>
    </row>
    <row r="5097">
      <c r="R5097" s="58"/>
    </row>
    <row r="5098">
      <c r="R5098" s="58"/>
    </row>
    <row r="5099">
      <c r="R5099" s="58"/>
    </row>
    <row r="5100">
      <c r="R5100" s="58"/>
    </row>
    <row r="5101">
      <c r="R5101" s="58"/>
    </row>
    <row r="5102">
      <c r="R5102" s="58"/>
    </row>
    <row r="5103">
      <c r="R5103" s="58"/>
    </row>
    <row r="5104">
      <c r="R5104" s="58"/>
    </row>
    <row r="5105">
      <c r="R5105" s="58"/>
    </row>
    <row r="5106">
      <c r="R5106" s="58"/>
    </row>
    <row r="5107">
      <c r="R5107" s="58"/>
    </row>
    <row r="5108">
      <c r="R5108" s="58"/>
    </row>
    <row r="5109">
      <c r="R5109" s="58"/>
    </row>
    <row r="5110">
      <c r="R5110" s="58"/>
    </row>
    <row r="5111">
      <c r="R5111" s="58"/>
    </row>
    <row r="5112">
      <c r="R5112" s="58"/>
    </row>
    <row r="5113">
      <c r="R5113" s="58"/>
    </row>
    <row r="5114">
      <c r="R5114" s="58"/>
    </row>
    <row r="5115">
      <c r="R5115" s="58"/>
    </row>
    <row r="5116">
      <c r="R5116" s="58"/>
    </row>
    <row r="5117">
      <c r="R5117" s="58"/>
    </row>
    <row r="5118">
      <c r="R5118" s="58"/>
    </row>
    <row r="5119">
      <c r="R5119" s="58"/>
    </row>
    <row r="5120">
      <c r="R5120" s="58"/>
    </row>
    <row r="5121">
      <c r="R5121" s="58"/>
    </row>
    <row r="5122">
      <c r="R5122" s="58"/>
    </row>
    <row r="5123">
      <c r="R5123" s="58"/>
    </row>
    <row r="5124">
      <c r="R5124" s="58"/>
    </row>
    <row r="5125">
      <c r="R5125" s="58"/>
    </row>
    <row r="5126">
      <c r="R5126" s="58"/>
    </row>
    <row r="5127">
      <c r="R5127" s="58"/>
    </row>
    <row r="5128">
      <c r="R5128" s="58"/>
    </row>
    <row r="5129">
      <c r="R5129" s="58"/>
    </row>
    <row r="5130">
      <c r="R5130" s="58"/>
    </row>
    <row r="5131">
      <c r="R5131" s="58"/>
    </row>
    <row r="5132">
      <c r="R5132" s="58"/>
    </row>
    <row r="5133">
      <c r="R5133" s="58"/>
    </row>
    <row r="5134">
      <c r="R5134" s="58"/>
    </row>
    <row r="5135">
      <c r="R5135" s="58"/>
    </row>
    <row r="5136">
      <c r="R5136" s="58"/>
    </row>
    <row r="5137">
      <c r="R5137" s="58"/>
    </row>
    <row r="5138">
      <c r="R5138" s="58"/>
    </row>
    <row r="5139">
      <c r="R5139" s="58"/>
    </row>
    <row r="5140">
      <c r="R5140" s="58"/>
    </row>
    <row r="5141">
      <c r="R5141" s="58"/>
    </row>
    <row r="5142">
      <c r="R5142" s="58"/>
    </row>
    <row r="5143">
      <c r="R5143" s="58"/>
    </row>
    <row r="5144">
      <c r="R5144" s="58"/>
    </row>
    <row r="5145">
      <c r="R5145" s="58"/>
    </row>
    <row r="5146">
      <c r="R5146" s="58"/>
    </row>
    <row r="5147">
      <c r="R5147" s="58"/>
    </row>
    <row r="5148">
      <c r="R5148" s="58"/>
    </row>
    <row r="5149">
      <c r="R5149" s="58"/>
    </row>
    <row r="5150">
      <c r="R5150" s="58"/>
    </row>
    <row r="5151">
      <c r="R5151" s="58"/>
    </row>
    <row r="5152">
      <c r="R5152" s="58"/>
    </row>
    <row r="5153">
      <c r="R5153" s="58"/>
    </row>
    <row r="5154">
      <c r="R5154" s="58"/>
    </row>
    <row r="5155">
      <c r="R5155" s="58"/>
    </row>
    <row r="5156">
      <c r="R5156" s="58"/>
    </row>
    <row r="5157">
      <c r="R5157" s="58"/>
    </row>
    <row r="5158">
      <c r="R5158" s="58"/>
    </row>
    <row r="5159">
      <c r="R5159" s="58"/>
    </row>
    <row r="5160">
      <c r="R5160" s="58"/>
    </row>
    <row r="5161">
      <c r="R5161" s="58"/>
    </row>
    <row r="5162">
      <c r="R5162" s="58"/>
    </row>
    <row r="5163">
      <c r="R5163" s="58"/>
    </row>
    <row r="5164">
      <c r="R5164" s="58"/>
    </row>
    <row r="5165">
      <c r="R5165" s="58"/>
    </row>
    <row r="5166">
      <c r="R5166" s="58"/>
    </row>
    <row r="5167">
      <c r="R5167" s="58"/>
    </row>
    <row r="5168">
      <c r="R5168" s="58"/>
    </row>
    <row r="5169">
      <c r="R5169" s="58"/>
    </row>
    <row r="5170">
      <c r="R5170" s="58"/>
    </row>
    <row r="5171">
      <c r="R5171" s="58"/>
    </row>
    <row r="5172">
      <c r="R5172" s="58"/>
    </row>
    <row r="5173">
      <c r="R5173" s="58"/>
    </row>
    <row r="5174">
      <c r="R5174" s="58"/>
    </row>
    <row r="5175">
      <c r="R5175" s="58"/>
    </row>
    <row r="5176">
      <c r="R5176" s="58"/>
    </row>
    <row r="5177">
      <c r="R5177" s="58"/>
    </row>
    <row r="5178">
      <c r="R5178" s="58"/>
    </row>
    <row r="5179">
      <c r="R5179" s="58"/>
    </row>
    <row r="5180">
      <c r="R5180" s="58"/>
    </row>
    <row r="5181">
      <c r="R5181" s="58"/>
    </row>
    <row r="5182">
      <c r="R5182" s="58"/>
    </row>
    <row r="5183">
      <c r="R5183" s="58"/>
    </row>
    <row r="5184">
      <c r="R5184" s="58"/>
    </row>
    <row r="5185">
      <c r="R5185" s="58"/>
    </row>
    <row r="5186">
      <c r="R5186" s="58"/>
    </row>
    <row r="5187">
      <c r="R5187" s="58"/>
    </row>
    <row r="5188">
      <c r="R5188" s="58"/>
    </row>
    <row r="5189">
      <c r="R5189" s="58"/>
    </row>
    <row r="5190">
      <c r="R5190" s="58"/>
    </row>
    <row r="5191">
      <c r="R5191" s="58"/>
    </row>
    <row r="5192">
      <c r="R5192" s="58"/>
    </row>
    <row r="5193">
      <c r="R5193" s="58"/>
    </row>
    <row r="5194">
      <c r="R5194" s="58"/>
    </row>
    <row r="5195">
      <c r="R5195" s="58"/>
    </row>
    <row r="5196">
      <c r="R5196" s="58"/>
    </row>
    <row r="5197">
      <c r="R5197" s="58"/>
    </row>
    <row r="5198">
      <c r="R5198" s="58"/>
    </row>
    <row r="5199">
      <c r="R5199" s="58"/>
    </row>
    <row r="5200">
      <c r="R5200" s="58"/>
    </row>
    <row r="5201">
      <c r="R5201" s="58"/>
    </row>
    <row r="5202">
      <c r="R5202" s="58"/>
    </row>
    <row r="5203">
      <c r="R5203" s="58"/>
    </row>
    <row r="5204">
      <c r="R5204" s="58"/>
    </row>
    <row r="5205">
      <c r="R5205" s="58"/>
    </row>
    <row r="5206">
      <c r="R5206" s="58"/>
    </row>
    <row r="5207">
      <c r="R5207" s="58"/>
    </row>
    <row r="5208">
      <c r="R5208" s="58"/>
    </row>
    <row r="5209">
      <c r="R5209" s="58"/>
    </row>
    <row r="5210">
      <c r="R5210" s="58"/>
    </row>
    <row r="5211">
      <c r="R5211" s="58"/>
    </row>
    <row r="5212">
      <c r="R5212" s="58"/>
    </row>
    <row r="5213">
      <c r="R5213" s="58"/>
    </row>
    <row r="5214">
      <c r="R5214" s="58"/>
    </row>
    <row r="5215">
      <c r="R5215" s="58"/>
    </row>
    <row r="5216">
      <c r="R5216" s="58"/>
    </row>
    <row r="5217">
      <c r="R5217" s="58"/>
    </row>
    <row r="5218">
      <c r="R5218" s="58"/>
    </row>
    <row r="5219">
      <c r="R5219" s="58"/>
    </row>
    <row r="5220">
      <c r="R5220" s="58"/>
    </row>
    <row r="5221">
      <c r="R5221" s="58"/>
    </row>
    <row r="5222">
      <c r="R5222" s="58"/>
    </row>
    <row r="5223">
      <c r="R5223" s="58"/>
    </row>
    <row r="5224">
      <c r="R5224" s="58"/>
    </row>
    <row r="5225">
      <c r="R5225" s="58"/>
    </row>
    <row r="5226">
      <c r="R5226" s="58"/>
    </row>
    <row r="5227">
      <c r="R5227" s="58"/>
    </row>
    <row r="5228">
      <c r="R5228" s="58"/>
    </row>
    <row r="5229">
      <c r="R5229" s="58"/>
    </row>
    <row r="5230">
      <c r="R5230" s="58"/>
    </row>
    <row r="5231">
      <c r="R5231" s="58"/>
    </row>
    <row r="5232">
      <c r="R5232" s="58"/>
    </row>
    <row r="5233">
      <c r="R5233" s="58"/>
    </row>
    <row r="5234">
      <c r="R5234" s="58"/>
    </row>
    <row r="5235">
      <c r="R5235" s="58"/>
    </row>
    <row r="5236">
      <c r="R5236" s="58"/>
    </row>
    <row r="5237">
      <c r="R5237" s="58"/>
    </row>
    <row r="5238">
      <c r="R5238" s="58"/>
    </row>
    <row r="5239">
      <c r="R5239" s="58"/>
    </row>
    <row r="5240">
      <c r="R5240" s="58"/>
    </row>
    <row r="5241">
      <c r="R5241" s="58"/>
    </row>
    <row r="5242">
      <c r="R5242" s="58"/>
    </row>
    <row r="5243">
      <c r="R5243" s="58"/>
    </row>
    <row r="5244">
      <c r="R5244" s="58"/>
    </row>
    <row r="5245">
      <c r="R5245" s="58"/>
    </row>
    <row r="5246">
      <c r="R5246" s="58"/>
    </row>
    <row r="5247">
      <c r="R5247" s="58"/>
    </row>
    <row r="5248">
      <c r="R5248" s="58"/>
    </row>
    <row r="5249">
      <c r="R5249" s="58"/>
    </row>
    <row r="5250">
      <c r="R5250" s="58"/>
    </row>
    <row r="5251">
      <c r="R5251" s="58"/>
    </row>
    <row r="5252">
      <c r="R5252" s="58"/>
    </row>
    <row r="5253">
      <c r="R5253" s="58"/>
    </row>
    <row r="5254">
      <c r="R5254" s="58"/>
    </row>
    <row r="5255">
      <c r="R5255" s="58"/>
    </row>
    <row r="5256">
      <c r="R5256" s="58"/>
    </row>
    <row r="5257">
      <c r="R5257" s="58"/>
    </row>
    <row r="5258">
      <c r="R5258" s="58"/>
    </row>
    <row r="5259">
      <c r="R5259" s="58"/>
    </row>
    <row r="5260">
      <c r="R5260" s="58"/>
    </row>
    <row r="5261">
      <c r="R5261" s="58"/>
    </row>
    <row r="5262">
      <c r="R5262" s="58"/>
    </row>
    <row r="5263">
      <c r="R5263" s="58"/>
    </row>
    <row r="5264">
      <c r="R5264" s="58"/>
    </row>
    <row r="5265">
      <c r="R5265" s="58"/>
    </row>
    <row r="5266">
      <c r="R5266" s="58"/>
    </row>
    <row r="5267">
      <c r="R5267" s="58"/>
    </row>
    <row r="5268">
      <c r="R5268" s="58"/>
    </row>
    <row r="5269">
      <c r="R5269" s="58"/>
    </row>
    <row r="5270">
      <c r="R5270" s="58"/>
    </row>
    <row r="5271">
      <c r="R5271" s="58"/>
    </row>
    <row r="5272">
      <c r="R5272" s="58"/>
    </row>
    <row r="5273">
      <c r="R5273" s="58"/>
    </row>
    <row r="5274">
      <c r="R5274" s="58"/>
    </row>
    <row r="5275">
      <c r="R5275" s="58"/>
    </row>
    <row r="5276">
      <c r="R5276" s="58"/>
    </row>
    <row r="5277">
      <c r="R5277" s="58"/>
    </row>
    <row r="5278">
      <c r="R5278" s="58"/>
    </row>
    <row r="5279">
      <c r="R5279" s="58"/>
    </row>
    <row r="5280">
      <c r="R5280" s="58"/>
    </row>
    <row r="5281">
      <c r="R5281" s="58"/>
    </row>
    <row r="5282">
      <c r="R5282" s="58"/>
    </row>
    <row r="5283">
      <c r="R5283" s="58"/>
    </row>
    <row r="5284">
      <c r="R5284" s="58"/>
    </row>
    <row r="5285">
      <c r="R5285" s="58"/>
    </row>
    <row r="5286">
      <c r="R5286" s="58"/>
    </row>
    <row r="5287">
      <c r="R5287" s="58"/>
    </row>
    <row r="5288">
      <c r="R5288" s="58"/>
    </row>
    <row r="5289">
      <c r="R5289" s="58"/>
    </row>
    <row r="5290">
      <c r="R5290" s="58"/>
    </row>
    <row r="5291">
      <c r="R5291" s="58"/>
    </row>
    <row r="5292">
      <c r="R5292" s="58"/>
    </row>
    <row r="5293">
      <c r="R5293" s="58"/>
    </row>
    <row r="5294">
      <c r="R5294" s="58"/>
    </row>
    <row r="5295">
      <c r="R5295" s="58"/>
    </row>
    <row r="5296">
      <c r="R5296" s="58"/>
    </row>
    <row r="5297">
      <c r="R5297" s="58"/>
    </row>
    <row r="5298">
      <c r="R5298" s="58"/>
    </row>
    <row r="5299">
      <c r="R5299" s="58"/>
    </row>
    <row r="5300">
      <c r="R5300" s="58"/>
    </row>
    <row r="5301">
      <c r="R5301" s="58"/>
    </row>
    <row r="5302">
      <c r="R5302" s="58"/>
    </row>
    <row r="5303">
      <c r="R5303" s="58"/>
    </row>
    <row r="5304">
      <c r="R5304" s="58"/>
    </row>
    <row r="5305">
      <c r="R5305" s="58"/>
    </row>
    <row r="5306">
      <c r="R5306" s="58"/>
    </row>
    <row r="5307">
      <c r="R5307" s="58"/>
    </row>
    <row r="5308">
      <c r="R5308" s="58"/>
    </row>
    <row r="5309">
      <c r="R5309" s="58"/>
    </row>
    <row r="5310">
      <c r="R5310" s="58"/>
    </row>
    <row r="5311">
      <c r="R5311" s="58"/>
    </row>
    <row r="5312">
      <c r="R5312" s="58"/>
    </row>
    <row r="5313">
      <c r="R5313" s="58"/>
    </row>
    <row r="5314">
      <c r="R5314" s="58"/>
    </row>
    <row r="5315">
      <c r="R5315" s="58"/>
    </row>
    <row r="5316">
      <c r="R5316" s="58"/>
    </row>
    <row r="5317">
      <c r="R5317" s="58"/>
    </row>
    <row r="5318">
      <c r="R5318" s="58"/>
    </row>
    <row r="5319">
      <c r="R5319" s="58"/>
    </row>
    <row r="5320">
      <c r="R5320" s="58"/>
    </row>
    <row r="5321">
      <c r="R5321" s="58"/>
    </row>
    <row r="5322">
      <c r="R5322" s="58"/>
    </row>
    <row r="5323">
      <c r="R5323" s="58"/>
    </row>
    <row r="5324">
      <c r="R5324" s="58"/>
    </row>
    <row r="5325">
      <c r="R5325" s="58"/>
    </row>
    <row r="5326">
      <c r="R5326" s="58"/>
    </row>
    <row r="5327">
      <c r="R5327" s="58"/>
    </row>
    <row r="5328">
      <c r="R5328" s="58"/>
    </row>
    <row r="5329">
      <c r="R5329" s="58"/>
    </row>
    <row r="5330">
      <c r="R5330" s="58"/>
    </row>
    <row r="5331">
      <c r="R5331" s="58"/>
    </row>
    <row r="5332">
      <c r="R5332" s="58"/>
    </row>
    <row r="5333">
      <c r="R5333" s="58"/>
    </row>
    <row r="5334">
      <c r="R5334" s="58"/>
    </row>
    <row r="5335">
      <c r="R5335" s="58"/>
    </row>
    <row r="5336">
      <c r="R5336" s="58"/>
    </row>
    <row r="5337">
      <c r="R5337" s="58"/>
    </row>
    <row r="5338">
      <c r="R5338" s="58"/>
    </row>
    <row r="5339">
      <c r="R5339" s="58"/>
    </row>
    <row r="5340">
      <c r="R5340" s="58"/>
    </row>
    <row r="5341">
      <c r="R5341" s="58"/>
    </row>
    <row r="5342">
      <c r="R5342" s="58"/>
    </row>
    <row r="5343">
      <c r="R5343" s="58"/>
    </row>
    <row r="5344">
      <c r="R5344" s="58"/>
    </row>
    <row r="5345">
      <c r="R5345" s="58"/>
    </row>
    <row r="5346">
      <c r="R5346" s="58"/>
    </row>
    <row r="5347">
      <c r="R5347" s="58"/>
    </row>
    <row r="5348">
      <c r="R5348" s="58"/>
    </row>
    <row r="5349">
      <c r="R5349" s="58"/>
    </row>
    <row r="5350">
      <c r="R5350" s="58"/>
    </row>
    <row r="5351">
      <c r="R5351" s="58"/>
    </row>
    <row r="5352">
      <c r="R5352" s="58"/>
    </row>
    <row r="5353">
      <c r="R5353" s="58"/>
    </row>
    <row r="5354">
      <c r="R5354" s="58"/>
    </row>
    <row r="5355">
      <c r="R5355" s="58"/>
    </row>
    <row r="5356">
      <c r="R5356" s="58"/>
    </row>
    <row r="5357">
      <c r="R5357" s="58"/>
    </row>
    <row r="5358">
      <c r="R5358" s="58"/>
    </row>
    <row r="5359">
      <c r="R5359" s="58"/>
    </row>
    <row r="5360">
      <c r="R5360" s="58"/>
    </row>
    <row r="5361">
      <c r="R5361" s="58"/>
    </row>
    <row r="5362">
      <c r="R5362" s="58"/>
    </row>
    <row r="5363">
      <c r="R5363" s="58"/>
    </row>
    <row r="5364">
      <c r="R5364" s="58"/>
    </row>
    <row r="5365">
      <c r="R5365" s="58"/>
    </row>
    <row r="5366">
      <c r="R5366" s="58"/>
    </row>
    <row r="5367">
      <c r="R5367" s="58"/>
    </row>
    <row r="5368">
      <c r="R5368" s="58"/>
    </row>
    <row r="5369">
      <c r="R5369" s="58"/>
    </row>
    <row r="5370">
      <c r="R5370" s="58"/>
    </row>
    <row r="5371">
      <c r="R5371" s="58"/>
    </row>
    <row r="5372">
      <c r="R5372" s="58"/>
    </row>
    <row r="5373">
      <c r="R5373" s="58"/>
    </row>
    <row r="5374">
      <c r="R5374" s="58"/>
    </row>
    <row r="5375">
      <c r="R5375" s="58"/>
    </row>
    <row r="5376">
      <c r="R5376" s="58"/>
    </row>
    <row r="5377">
      <c r="R5377" s="58"/>
    </row>
    <row r="5378">
      <c r="R5378" s="58"/>
    </row>
    <row r="5379">
      <c r="R5379" s="58"/>
    </row>
    <row r="5380">
      <c r="R5380" s="58"/>
    </row>
    <row r="5381">
      <c r="R5381" s="58"/>
    </row>
    <row r="5382">
      <c r="R5382" s="58"/>
    </row>
    <row r="5383">
      <c r="R5383" s="58"/>
    </row>
    <row r="5384">
      <c r="R5384" s="58"/>
    </row>
    <row r="5385">
      <c r="R5385" s="58"/>
    </row>
    <row r="5386">
      <c r="R5386" s="58"/>
    </row>
    <row r="5387">
      <c r="R5387" s="58"/>
    </row>
    <row r="5388">
      <c r="R5388" s="58"/>
    </row>
    <row r="5389">
      <c r="R5389" s="58"/>
    </row>
    <row r="5390">
      <c r="R5390" s="58"/>
    </row>
    <row r="5391">
      <c r="R5391" s="58"/>
    </row>
    <row r="5392">
      <c r="R5392" s="58"/>
    </row>
    <row r="5393">
      <c r="R5393" s="58"/>
    </row>
    <row r="5394">
      <c r="R5394" s="58"/>
    </row>
    <row r="5395">
      <c r="R5395" s="58"/>
    </row>
    <row r="5396">
      <c r="R5396" s="58"/>
    </row>
    <row r="5397">
      <c r="R5397" s="58"/>
    </row>
    <row r="5398">
      <c r="R5398" s="58"/>
    </row>
    <row r="5399">
      <c r="R5399" s="58"/>
    </row>
    <row r="5400">
      <c r="R5400" s="58"/>
    </row>
    <row r="5401">
      <c r="R5401" s="58"/>
    </row>
    <row r="5402">
      <c r="R5402" s="58"/>
    </row>
    <row r="5403">
      <c r="R5403" s="58"/>
    </row>
    <row r="5404">
      <c r="R5404" s="58"/>
    </row>
    <row r="5405">
      <c r="R5405" s="58"/>
    </row>
    <row r="5406">
      <c r="R5406" s="58"/>
    </row>
    <row r="5407">
      <c r="R5407" s="58"/>
    </row>
    <row r="5408">
      <c r="R5408" s="58"/>
    </row>
    <row r="5409">
      <c r="R5409" s="58"/>
    </row>
    <row r="5410">
      <c r="R5410" s="58"/>
    </row>
    <row r="5411">
      <c r="R5411" s="58"/>
    </row>
    <row r="5412">
      <c r="R5412" s="58"/>
    </row>
    <row r="5413">
      <c r="R5413" s="58"/>
    </row>
    <row r="5414">
      <c r="R5414" s="58"/>
    </row>
    <row r="5415">
      <c r="R5415" s="58"/>
    </row>
    <row r="5416">
      <c r="R5416" s="58"/>
    </row>
    <row r="5417">
      <c r="R5417" s="58"/>
    </row>
    <row r="5418">
      <c r="R5418" s="58"/>
    </row>
    <row r="5419">
      <c r="R5419" s="58"/>
    </row>
    <row r="5420">
      <c r="R5420" s="58"/>
    </row>
    <row r="5421">
      <c r="R5421" s="58"/>
    </row>
    <row r="5422">
      <c r="R5422" s="58"/>
    </row>
    <row r="5423">
      <c r="R5423" s="58"/>
    </row>
    <row r="5424">
      <c r="R5424" s="58"/>
    </row>
    <row r="5425">
      <c r="R5425" s="58"/>
    </row>
    <row r="5426">
      <c r="R5426" s="58"/>
    </row>
    <row r="5427">
      <c r="R5427" s="58"/>
    </row>
    <row r="5428">
      <c r="R5428" s="58"/>
    </row>
    <row r="5429">
      <c r="R5429" s="58"/>
    </row>
    <row r="5430">
      <c r="R5430" s="58"/>
    </row>
    <row r="5431">
      <c r="R5431" s="58"/>
    </row>
    <row r="5432">
      <c r="R5432" s="58"/>
    </row>
    <row r="5433">
      <c r="R5433" s="58"/>
    </row>
    <row r="5434">
      <c r="R5434" s="58"/>
    </row>
    <row r="5435">
      <c r="R5435" s="58"/>
    </row>
    <row r="5436">
      <c r="R5436" s="58"/>
    </row>
    <row r="5437">
      <c r="R5437" s="58"/>
    </row>
    <row r="5438">
      <c r="R5438" s="58"/>
    </row>
    <row r="5439">
      <c r="R5439" s="58"/>
    </row>
    <row r="5440">
      <c r="R5440" s="58"/>
    </row>
    <row r="5441">
      <c r="R5441" s="58"/>
    </row>
    <row r="5442">
      <c r="R5442" s="58"/>
    </row>
    <row r="5443">
      <c r="R5443" s="58"/>
    </row>
    <row r="5444">
      <c r="R5444" s="58"/>
    </row>
    <row r="5445">
      <c r="R5445" s="58"/>
    </row>
    <row r="5446">
      <c r="R5446" s="58"/>
    </row>
    <row r="5447">
      <c r="R5447" s="58"/>
    </row>
    <row r="5448">
      <c r="R5448" s="58"/>
    </row>
    <row r="5449">
      <c r="R5449" s="58"/>
    </row>
    <row r="5450">
      <c r="R5450" s="58"/>
    </row>
    <row r="5451">
      <c r="R5451" s="58"/>
    </row>
    <row r="5452">
      <c r="R5452" s="58"/>
    </row>
    <row r="5453">
      <c r="R5453" s="58"/>
    </row>
    <row r="5454">
      <c r="R5454" s="58"/>
    </row>
    <row r="5455">
      <c r="R5455" s="58"/>
    </row>
    <row r="5456">
      <c r="R5456" s="58"/>
    </row>
    <row r="5457">
      <c r="R5457" s="58"/>
    </row>
    <row r="5458">
      <c r="R5458" s="58"/>
    </row>
    <row r="5459">
      <c r="R5459" s="58"/>
    </row>
    <row r="5460">
      <c r="R5460" s="58"/>
    </row>
    <row r="5461">
      <c r="R5461" s="58"/>
    </row>
    <row r="5462">
      <c r="R5462" s="58"/>
    </row>
    <row r="5463">
      <c r="R5463" s="58"/>
    </row>
    <row r="5464">
      <c r="R5464" s="58"/>
    </row>
    <row r="5465">
      <c r="R5465" s="58"/>
    </row>
    <row r="5466">
      <c r="R5466" s="58"/>
    </row>
    <row r="5467">
      <c r="R5467" s="58"/>
    </row>
    <row r="5468">
      <c r="R5468" s="58"/>
    </row>
    <row r="5469">
      <c r="R5469" s="58"/>
    </row>
    <row r="5470">
      <c r="R5470" s="58"/>
    </row>
    <row r="5471">
      <c r="R5471" s="58"/>
    </row>
    <row r="5472">
      <c r="R5472" s="58"/>
    </row>
    <row r="5473">
      <c r="R5473" s="58"/>
    </row>
    <row r="5474">
      <c r="R5474" s="58"/>
    </row>
    <row r="5475">
      <c r="R5475" s="58"/>
    </row>
    <row r="5476">
      <c r="R5476" s="58"/>
    </row>
    <row r="5477">
      <c r="R5477" s="58"/>
    </row>
    <row r="5478">
      <c r="R5478" s="58"/>
    </row>
    <row r="5479">
      <c r="R5479" s="58"/>
    </row>
    <row r="5480">
      <c r="R5480" s="58"/>
    </row>
    <row r="5481">
      <c r="R5481" s="58"/>
    </row>
    <row r="5482">
      <c r="R5482" s="58"/>
    </row>
    <row r="5483">
      <c r="R5483" s="58"/>
    </row>
    <row r="5484">
      <c r="R5484" s="58"/>
    </row>
    <row r="5485">
      <c r="R5485" s="58"/>
    </row>
    <row r="5486">
      <c r="R5486" s="58"/>
    </row>
    <row r="5487">
      <c r="R5487" s="58"/>
    </row>
    <row r="5488">
      <c r="R5488" s="58"/>
    </row>
    <row r="5489">
      <c r="R5489" s="58"/>
    </row>
    <row r="5490">
      <c r="R5490" s="58"/>
    </row>
    <row r="5491">
      <c r="R5491" s="58"/>
    </row>
    <row r="5492">
      <c r="R5492" s="58"/>
    </row>
    <row r="5493">
      <c r="R5493" s="58"/>
    </row>
    <row r="5494">
      <c r="R5494" s="58"/>
    </row>
    <row r="5495">
      <c r="R5495" s="58"/>
    </row>
    <row r="5496">
      <c r="R5496" s="58"/>
    </row>
    <row r="5497">
      <c r="R5497" s="58"/>
    </row>
    <row r="5498">
      <c r="R5498" s="58"/>
    </row>
    <row r="5499">
      <c r="R5499" s="58"/>
    </row>
    <row r="5500">
      <c r="R5500" s="58"/>
    </row>
    <row r="5501">
      <c r="R5501" s="58"/>
    </row>
    <row r="5502">
      <c r="R5502" s="58"/>
    </row>
    <row r="5503">
      <c r="R5503" s="58"/>
    </row>
    <row r="5504">
      <c r="R5504" s="58"/>
    </row>
    <row r="5505">
      <c r="R5505" s="58"/>
    </row>
    <row r="5506">
      <c r="R5506" s="58"/>
    </row>
    <row r="5507">
      <c r="R5507" s="58"/>
    </row>
    <row r="5508">
      <c r="R5508" s="58"/>
    </row>
    <row r="5509">
      <c r="R5509" s="58"/>
    </row>
    <row r="5510">
      <c r="R5510" s="58"/>
    </row>
    <row r="5511">
      <c r="R5511" s="58"/>
    </row>
    <row r="5512">
      <c r="R5512" s="58"/>
    </row>
    <row r="5513">
      <c r="R5513" s="58"/>
    </row>
    <row r="5514">
      <c r="R5514" s="58"/>
    </row>
    <row r="5515">
      <c r="R5515" s="58"/>
    </row>
    <row r="5516">
      <c r="R5516" s="58"/>
    </row>
    <row r="5517">
      <c r="R5517" s="58"/>
    </row>
    <row r="5518">
      <c r="R5518" s="58"/>
    </row>
    <row r="5519">
      <c r="R5519" s="58"/>
    </row>
    <row r="5520">
      <c r="R5520" s="58"/>
    </row>
    <row r="5521">
      <c r="R5521" s="58"/>
    </row>
    <row r="5522">
      <c r="R5522" s="58"/>
    </row>
    <row r="5523">
      <c r="R5523" s="58"/>
    </row>
    <row r="5524">
      <c r="R5524" s="58"/>
    </row>
    <row r="5525">
      <c r="R5525" s="58"/>
    </row>
    <row r="5526">
      <c r="R5526" s="58"/>
    </row>
    <row r="5527">
      <c r="R5527" s="58"/>
    </row>
    <row r="5528">
      <c r="R5528" s="58"/>
    </row>
    <row r="5529">
      <c r="R5529" s="58"/>
    </row>
    <row r="5530">
      <c r="R5530" s="58"/>
    </row>
    <row r="5531">
      <c r="R5531" s="58"/>
    </row>
    <row r="5532">
      <c r="R5532" s="58"/>
    </row>
    <row r="5533">
      <c r="R5533" s="58"/>
    </row>
    <row r="5534">
      <c r="R5534" s="58"/>
    </row>
    <row r="5535">
      <c r="R5535" s="58"/>
    </row>
    <row r="5536">
      <c r="R5536" s="58"/>
    </row>
    <row r="5537">
      <c r="R5537" s="58"/>
    </row>
    <row r="5538">
      <c r="R5538" s="58"/>
    </row>
    <row r="5539">
      <c r="R5539" s="58"/>
    </row>
    <row r="5540">
      <c r="R5540" s="58"/>
    </row>
    <row r="5541">
      <c r="R5541" s="58"/>
    </row>
    <row r="5542">
      <c r="R5542" s="58"/>
    </row>
    <row r="5543">
      <c r="R5543" s="58"/>
    </row>
    <row r="5544">
      <c r="R5544" s="58"/>
    </row>
    <row r="5545">
      <c r="R5545" s="58"/>
    </row>
    <row r="5546">
      <c r="R5546" s="58"/>
    </row>
    <row r="5547">
      <c r="R5547" s="58"/>
    </row>
    <row r="5548">
      <c r="R5548" s="58"/>
    </row>
    <row r="5549">
      <c r="R5549" s="58"/>
    </row>
    <row r="5550">
      <c r="R5550" s="58"/>
    </row>
    <row r="5551">
      <c r="R5551" s="58"/>
    </row>
    <row r="5552">
      <c r="R5552" s="58"/>
    </row>
    <row r="5553">
      <c r="R5553" s="58"/>
    </row>
    <row r="5554">
      <c r="R5554" s="58"/>
    </row>
    <row r="5555">
      <c r="R5555" s="58"/>
    </row>
    <row r="5556">
      <c r="R5556" s="58"/>
    </row>
    <row r="5557">
      <c r="R5557" s="58"/>
    </row>
    <row r="5558">
      <c r="R5558" s="58"/>
    </row>
    <row r="5559">
      <c r="R5559" s="58"/>
    </row>
    <row r="5560">
      <c r="R5560" s="58"/>
    </row>
    <row r="5561">
      <c r="R5561" s="58"/>
    </row>
    <row r="5562">
      <c r="R5562" s="58"/>
    </row>
    <row r="5563">
      <c r="R5563" s="58"/>
    </row>
    <row r="5564">
      <c r="R5564" s="58"/>
    </row>
    <row r="5565">
      <c r="R5565" s="58"/>
    </row>
    <row r="5566">
      <c r="R5566" s="58"/>
    </row>
    <row r="5567">
      <c r="R5567" s="58"/>
    </row>
    <row r="5568">
      <c r="R5568" s="58"/>
    </row>
    <row r="5569">
      <c r="R5569" s="58"/>
    </row>
    <row r="5570">
      <c r="R5570" s="58"/>
    </row>
    <row r="5571">
      <c r="R5571" s="58"/>
    </row>
    <row r="5572">
      <c r="R5572" s="58"/>
    </row>
    <row r="5573">
      <c r="R5573" s="58"/>
    </row>
    <row r="5574">
      <c r="R5574" s="58"/>
    </row>
    <row r="5575">
      <c r="R5575" s="58"/>
    </row>
    <row r="5576">
      <c r="R5576" s="58"/>
    </row>
    <row r="5577">
      <c r="R5577" s="58"/>
    </row>
    <row r="5578">
      <c r="R5578" s="58"/>
    </row>
    <row r="5579">
      <c r="R5579" s="58"/>
    </row>
    <row r="5580">
      <c r="R5580" s="58"/>
    </row>
    <row r="5581">
      <c r="R5581" s="58"/>
    </row>
    <row r="5582">
      <c r="R5582" s="58"/>
    </row>
    <row r="5583">
      <c r="R5583" s="58"/>
    </row>
    <row r="5584">
      <c r="R5584" s="58"/>
    </row>
    <row r="5585">
      <c r="R5585" s="58"/>
    </row>
    <row r="5586">
      <c r="R5586" s="58"/>
    </row>
    <row r="5587">
      <c r="R5587" s="58"/>
    </row>
    <row r="5588">
      <c r="R5588" s="58"/>
    </row>
    <row r="5589">
      <c r="R5589" s="58"/>
    </row>
    <row r="5590">
      <c r="R5590" s="58"/>
    </row>
    <row r="5591">
      <c r="R5591" s="58"/>
    </row>
    <row r="5592">
      <c r="R5592" s="58"/>
    </row>
    <row r="5593">
      <c r="R5593" s="58"/>
    </row>
    <row r="5594">
      <c r="R5594" s="58"/>
    </row>
    <row r="5595">
      <c r="R5595" s="58"/>
    </row>
    <row r="5596">
      <c r="R5596" s="58"/>
    </row>
    <row r="5597">
      <c r="R5597" s="58"/>
    </row>
    <row r="5598">
      <c r="R5598" s="58"/>
    </row>
    <row r="5599">
      <c r="R5599" s="58"/>
    </row>
    <row r="5600">
      <c r="R5600" s="58"/>
    </row>
    <row r="5601">
      <c r="R5601" s="58"/>
    </row>
    <row r="5602">
      <c r="R5602" s="58"/>
    </row>
    <row r="5603">
      <c r="R5603" s="58"/>
    </row>
    <row r="5604">
      <c r="R5604" s="58"/>
    </row>
    <row r="5605">
      <c r="R5605" s="58"/>
    </row>
    <row r="5606">
      <c r="R5606" s="58"/>
    </row>
    <row r="5607">
      <c r="R5607" s="58"/>
    </row>
    <row r="5608">
      <c r="R5608" s="58"/>
    </row>
    <row r="5609">
      <c r="R5609" s="58"/>
    </row>
    <row r="5610">
      <c r="R5610" s="58"/>
    </row>
    <row r="5611">
      <c r="R5611" s="58"/>
    </row>
    <row r="5612">
      <c r="R5612" s="58"/>
    </row>
    <row r="5613">
      <c r="R5613" s="58"/>
    </row>
    <row r="5614">
      <c r="R5614" s="58"/>
    </row>
    <row r="5615">
      <c r="R5615" s="58"/>
    </row>
    <row r="5616">
      <c r="R5616" s="58"/>
    </row>
    <row r="5617">
      <c r="R5617" s="58"/>
    </row>
    <row r="5618">
      <c r="R5618" s="58"/>
    </row>
    <row r="5619">
      <c r="R5619" s="58"/>
    </row>
    <row r="5620">
      <c r="R5620" s="58"/>
    </row>
    <row r="5621">
      <c r="R5621" s="58"/>
    </row>
    <row r="5622">
      <c r="R5622" s="58"/>
    </row>
    <row r="5623">
      <c r="R5623" s="58"/>
    </row>
    <row r="5624">
      <c r="R5624" s="58"/>
    </row>
    <row r="5625">
      <c r="R5625" s="58"/>
    </row>
    <row r="5626">
      <c r="R5626" s="58"/>
    </row>
    <row r="5627">
      <c r="R5627" s="58"/>
    </row>
    <row r="5628">
      <c r="R5628" s="58"/>
    </row>
    <row r="5629">
      <c r="R5629" s="58"/>
    </row>
    <row r="5630">
      <c r="R5630" s="58"/>
    </row>
    <row r="5631">
      <c r="R5631" s="58"/>
    </row>
    <row r="5632">
      <c r="R5632" s="58"/>
    </row>
    <row r="5633">
      <c r="R5633" s="58"/>
    </row>
    <row r="5634">
      <c r="R5634" s="58"/>
    </row>
    <row r="5635">
      <c r="R5635" s="58"/>
    </row>
    <row r="5636">
      <c r="R5636" s="58"/>
    </row>
    <row r="5637">
      <c r="R5637" s="58"/>
    </row>
    <row r="5638">
      <c r="R5638" s="58"/>
    </row>
    <row r="5639">
      <c r="R5639" s="58"/>
    </row>
    <row r="5640">
      <c r="R5640" s="58"/>
    </row>
    <row r="5641">
      <c r="R5641" s="58"/>
    </row>
    <row r="5642">
      <c r="R5642" s="58"/>
    </row>
    <row r="5643">
      <c r="R5643" s="58"/>
    </row>
    <row r="5644">
      <c r="R5644" s="58"/>
    </row>
    <row r="5645">
      <c r="R5645" s="58"/>
    </row>
    <row r="5646">
      <c r="R5646" s="58"/>
    </row>
    <row r="5647">
      <c r="R5647" s="58"/>
    </row>
    <row r="5648">
      <c r="R5648" s="58"/>
    </row>
    <row r="5649">
      <c r="R5649" s="58"/>
    </row>
    <row r="5650">
      <c r="R5650" s="58"/>
    </row>
    <row r="5651">
      <c r="R5651" s="58"/>
    </row>
    <row r="5652">
      <c r="R5652" s="58"/>
    </row>
    <row r="5653">
      <c r="R5653" s="58"/>
    </row>
    <row r="5654">
      <c r="R5654" s="58"/>
    </row>
    <row r="5655">
      <c r="R5655" s="58"/>
    </row>
    <row r="5656">
      <c r="R5656" s="58"/>
    </row>
    <row r="5657">
      <c r="R5657" s="58"/>
    </row>
    <row r="5658">
      <c r="R5658" s="58"/>
    </row>
    <row r="5659">
      <c r="R5659" s="58"/>
    </row>
    <row r="5660">
      <c r="R5660" s="58"/>
    </row>
    <row r="5661">
      <c r="R5661" s="58"/>
    </row>
    <row r="5662">
      <c r="R5662" s="58"/>
    </row>
    <row r="5663">
      <c r="R5663" s="58"/>
    </row>
    <row r="5664">
      <c r="R5664" s="58"/>
    </row>
    <row r="5665">
      <c r="R5665" s="58"/>
    </row>
    <row r="5666">
      <c r="R5666" s="58"/>
    </row>
    <row r="5667">
      <c r="R5667" s="58"/>
    </row>
    <row r="5668">
      <c r="R5668" s="58"/>
    </row>
    <row r="5669">
      <c r="R5669" s="58"/>
    </row>
    <row r="5670">
      <c r="R5670" s="58"/>
    </row>
    <row r="5671">
      <c r="R5671" s="58"/>
    </row>
    <row r="5672">
      <c r="R5672" s="58"/>
    </row>
    <row r="5673">
      <c r="R5673" s="58"/>
    </row>
    <row r="5674">
      <c r="R5674" s="58"/>
    </row>
    <row r="5675">
      <c r="R5675" s="58"/>
    </row>
    <row r="5676">
      <c r="R5676" s="58"/>
    </row>
    <row r="5677">
      <c r="R5677" s="58"/>
    </row>
    <row r="5678">
      <c r="R5678" s="58"/>
    </row>
    <row r="5679">
      <c r="R5679" s="58"/>
    </row>
    <row r="5680">
      <c r="R5680" s="58"/>
    </row>
    <row r="5681">
      <c r="R5681" s="58"/>
    </row>
    <row r="5682">
      <c r="R5682" s="58"/>
    </row>
    <row r="5683">
      <c r="R5683" s="58"/>
    </row>
    <row r="5684">
      <c r="R5684" s="58"/>
    </row>
    <row r="5685">
      <c r="R5685" s="58"/>
    </row>
    <row r="5686">
      <c r="R5686" s="58"/>
    </row>
    <row r="5687">
      <c r="R5687" s="58"/>
    </row>
    <row r="5688">
      <c r="R5688" s="58"/>
    </row>
    <row r="5689">
      <c r="R5689" s="58"/>
    </row>
    <row r="5690">
      <c r="R5690" s="58"/>
    </row>
    <row r="5691">
      <c r="R5691" s="58"/>
    </row>
    <row r="5692">
      <c r="R5692" s="58"/>
    </row>
    <row r="5693">
      <c r="R5693" s="58"/>
    </row>
    <row r="5694">
      <c r="R5694" s="58"/>
    </row>
    <row r="5695">
      <c r="R5695" s="58"/>
    </row>
    <row r="5696">
      <c r="R5696" s="58"/>
    </row>
    <row r="5697">
      <c r="R5697" s="58"/>
    </row>
    <row r="5698">
      <c r="R5698" s="58"/>
    </row>
    <row r="5699">
      <c r="R5699" s="58"/>
    </row>
    <row r="5700">
      <c r="R5700" s="58"/>
    </row>
    <row r="5701">
      <c r="R5701" s="58"/>
    </row>
    <row r="5702">
      <c r="R5702" s="58"/>
    </row>
    <row r="5703">
      <c r="R5703" s="58"/>
    </row>
    <row r="5704">
      <c r="R5704" s="58"/>
    </row>
    <row r="5705">
      <c r="R5705" s="58"/>
    </row>
    <row r="5706">
      <c r="R5706" s="58"/>
    </row>
    <row r="5707">
      <c r="R5707" s="58"/>
    </row>
    <row r="5708">
      <c r="R5708" s="58"/>
    </row>
    <row r="5709">
      <c r="R5709" s="58"/>
    </row>
    <row r="5710">
      <c r="R5710" s="58"/>
    </row>
    <row r="5711">
      <c r="R5711" s="58"/>
    </row>
    <row r="5712">
      <c r="R5712" s="58"/>
    </row>
    <row r="5713">
      <c r="R5713" s="58"/>
    </row>
    <row r="5714">
      <c r="R5714" s="58"/>
    </row>
    <row r="5715">
      <c r="R5715" s="58"/>
    </row>
    <row r="5716">
      <c r="R5716" s="58"/>
    </row>
    <row r="5717">
      <c r="R5717" s="58"/>
    </row>
    <row r="5718">
      <c r="R5718" s="58"/>
    </row>
    <row r="5719">
      <c r="R5719" s="58"/>
    </row>
    <row r="5720">
      <c r="R5720" s="58"/>
    </row>
    <row r="5721">
      <c r="R5721" s="58"/>
    </row>
    <row r="5722">
      <c r="R5722" s="58"/>
    </row>
    <row r="5723">
      <c r="R5723" s="58"/>
    </row>
    <row r="5724">
      <c r="R5724" s="58"/>
    </row>
    <row r="5725">
      <c r="R5725" s="58"/>
    </row>
    <row r="5726">
      <c r="R5726" s="58"/>
    </row>
    <row r="5727">
      <c r="R5727" s="58"/>
    </row>
    <row r="5728">
      <c r="R5728" s="58"/>
    </row>
    <row r="5729">
      <c r="R5729" s="58"/>
    </row>
    <row r="5730">
      <c r="R5730" s="58"/>
    </row>
    <row r="5731">
      <c r="R5731" s="58"/>
    </row>
    <row r="5732">
      <c r="R5732" s="58"/>
    </row>
    <row r="5733">
      <c r="R5733" s="58"/>
    </row>
    <row r="5734">
      <c r="R5734" s="58"/>
    </row>
    <row r="5735">
      <c r="R5735" s="58"/>
    </row>
    <row r="5736">
      <c r="R5736" s="58"/>
    </row>
    <row r="5737">
      <c r="R5737" s="58"/>
    </row>
    <row r="5738">
      <c r="R5738" s="58"/>
    </row>
    <row r="5739">
      <c r="R5739" s="58"/>
    </row>
    <row r="5740">
      <c r="R5740" s="58"/>
    </row>
    <row r="5741">
      <c r="R5741" s="58"/>
    </row>
    <row r="5742">
      <c r="R5742" s="58"/>
    </row>
    <row r="5743">
      <c r="R5743" s="58"/>
    </row>
    <row r="5744">
      <c r="R5744" s="58"/>
    </row>
    <row r="5745">
      <c r="R5745" s="58"/>
    </row>
    <row r="5746">
      <c r="R5746" s="58"/>
    </row>
    <row r="5747">
      <c r="R5747" s="58"/>
    </row>
    <row r="5748">
      <c r="R5748" s="58"/>
    </row>
    <row r="5749">
      <c r="R5749" s="58"/>
    </row>
    <row r="5750">
      <c r="R5750" s="58"/>
    </row>
    <row r="5751">
      <c r="R5751" s="58"/>
    </row>
    <row r="5752">
      <c r="R5752" s="58"/>
    </row>
    <row r="5753">
      <c r="R5753" s="58"/>
    </row>
    <row r="5754">
      <c r="R5754" s="58"/>
    </row>
    <row r="5755">
      <c r="R5755" s="58"/>
    </row>
    <row r="5756">
      <c r="R5756" s="58"/>
    </row>
    <row r="5757">
      <c r="R5757" s="58"/>
    </row>
    <row r="5758">
      <c r="R5758" s="58"/>
    </row>
    <row r="5759">
      <c r="R5759" s="58"/>
    </row>
    <row r="5760">
      <c r="R5760" s="58"/>
    </row>
    <row r="5761">
      <c r="R5761" s="58"/>
    </row>
    <row r="5762">
      <c r="R5762" s="58"/>
    </row>
    <row r="5763">
      <c r="R5763" s="58"/>
    </row>
    <row r="5764">
      <c r="R5764" s="58"/>
    </row>
    <row r="5765">
      <c r="R5765" s="58"/>
    </row>
    <row r="5766">
      <c r="R5766" s="58"/>
    </row>
    <row r="5767">
      <c r="R5767" s="58"/>
    </row>
    <row r="5768">
      <c r="R5768" s="58"/>
    </row>
    <row r="5769">
      <c r="R5769" s="58"/>
    </row>
    <row r="5770">
      <c r="R5770" s="58"/>
    </row>
    <row r="5771">
      <c r="R5771" s="58"/>
    </row>
    <row r="5772">
      <c r="R5772" s="58"/>
    </row>
    <row r="5773">
      <c r="R5773" s="58"/>
    </row>
    <row r="5774">
      <c r="R5774" s="58"/>
    </row>
    <row r="5775">
      <c r="R5775" s="58"/>
    </row>
    <row r="5776">
      <c r="R5776" s="58"/>
    </row>
    <row r="5777">
      <c r="R5777" s="58"/>
    </row>
    <row r="5778">
      <c r="R5778" s="58"/>
    </row>
    <row r="5779">
      <c r="R5779" s="58"/>
    </row>
    <row r="5780">
      <c r="R5780" s="58"/>
    </row>
    <row r="5781">
      <c r="R5781" s="58"/>
    </row>
    <row r="5782">
      <c r="R5782" s="58"/>
    </row>
    <row r="5783">
      <c r="R5783" s="58"/>
    </row>
    <row r="5784">
      <c r="R5784" s="58"/>
    </row>
    <row r="5785">
      <c r="R5785" s="58"/>
    </row>
    <row r="5786">
      <c r="R5786" s="58"/>
    </row>
    <row r="5787">
      <c r="R5787" s="58"/>
    </row>
    <row r="5788">
      <c r="R5788" s="58"/>
    </row>
    <row r="5789">
      <c r="R5789" s="58"/>
    </row>
    <row r="5790">
      <c r="R5790" s="58"/>
    </row>
    <row r="5791">
      <c r="R5791" s="58"/>
    </row>
    <row r="5792">
      <c r="R5792" s="58"/>
    </row>
    <row r="5793">
      <c r="R5793" s="58"/>
    </row>
    <row r="5794">
      <c r="R5794" s="58"/>
    </row>
    <row r="5795">
      <c r="R5795" s="58"/>
    </row>
    <row r="5796">
      <c r="R5796" s="58"/>
    </row>
    <row r="5797">
      <c r="R5797" s="58"/>
    </row>
    <row r="5798">
      <c r="R5798" s="58"/>
    </row>
    <row r="5799">
      <c r="R5799" s="58"/>
    </row>
    <row r="5800">
      <c r="R5800" s="58"/>
    </row>
    <row r="5801">
      <c r="R5801" s="58"/>
    </row>
    <row r="5802">
      <c r="R5802" s="58"/>
    </row>
    <row r="5803">
      <c r="R5803" s="58"/>
    </row>
    <row r="5804">
      <c r="R5804" s="58"/>
    </row>
    <row r="5805">
      <c r="R5805" s="58"/>
    </row>
    <row r="5806">
      <c r="R5806" s="58"/>
    </row>
    <row r="5807">
      <c r="R5807" s="58"/>
    </row>
    <row r="5808">
      <c r="R5808" s="58"/>
    </row>
    <row r="5809">
      <c r="R5809" s="58"/>
    </row>
    <row r="5810">
      <c r="R5810" s="58"/>
    </row>
    <row r="5811">
      <c r="R5811" s="58"/>
    </row>
    <row r="5812">
      <c r="R5812" s="58"/>
    </row>
    <row r="5813">
      <c r="R5813" s="58"/>
    </row>
    <row r="5814">
      <c r="R5814" s="58"/>
    </row>
    <row r="5815">
      <c r="R5815" s="58"/>
    </row>
    <row r="5816">
      <c r="R5816" s="58"/>
    </row>
    <row r="5817">
      <c r="R5817" s="58"/>
    </row>
    <row r="5818">
      <c r="R5818" s="58"/>
    </row>
    <row r="5819">
      <c r="R5819" s="58"/>
    </row>
    <row r="5820">
      <c r="R5820" s="58"/>
    </row>
    <row r="5821">
      <c r="R5821" s="58"/>
    </row>
    <row r="5822">
      <c r="R5822" s="58"/>
    </row>
    <row r="5823">
      <c r="R5823" s="58"/>
    </row>
    <row r="5824">
      <c r="R5824" s="58"/>
    </row>
    <row r="5825">
      <c r="R5825" s="58"/>
    </row>
    <row r="5826">
      <c r="R5826" s="58"/>
    </row>
    <row r="5827">
      <c r="R5827" s="58"/>
    </row>
    <row r="5828">
      <c r="R5828" s="58"/>
    </row>
    <row r="5829">
      <c r="R5829" s="58"/>
    </row>
    <row r="5830">
      <c r="R5830" s="58"/>
    </row>
    <row r="5831">
      <c r="R5831" s="58"/>
    </row>
    <row r="5832">
      <c r="R5832" s="58"/>
    </row>
    <row r="5833">
      <c r="R5833" s="58"/>
    </row>
    <row r="5834">
      <c r="R5834" s="58"/>
    </row>
    <row r="5835">
      <c r="R5835" s="58"/>
    </row>
    <row r="5836">
      <c r="R5836" s="58"/>
    </row>
    <row r="5837">
      <c r="R5837" s="58"/>
    </row>
    <row r="5838">
      <c r="R5838" s="58"/>
    </row>
    <row r="5839">
      <c r="R5839" s="58"/>
    </row>
    <row r="5840">
      <c r="R5840" s="58"/>
    </row>
    <row r="5841">
      <c r="R5841" s="58"/>
    </row>
    <row r="5842">
      <c r="R5842" s="58"/>
    </row>
    <row r="5843">
      <c r="R5843" s="58"/>
    </row>
    <row r="5844">
      <c r="R5844" s="58"/>
    </row>
    <row r="5845">
      <c r="R5845" s="58"/>
    </row>
    <row r="5846">
      <c r="R5846" s="58"/>
    </row>
    <row r="5847">
      <c r="R5847" s="58"/>
    </row>
    <row r="5848">
      <c r="R5848" s="58"/>
    </row>
    <row r="5849">
      <c r="R5849" s="58"/>
    </row>
    <row r="5850">
      <c r="R5850" s="58"/>
    </row>
    <row r="5851">
      <c r="R5851" s="58"/>
    </row>
    <row r="5852">
      <c r="R5852" s="58"/>
    </row>
    <row r="5853">
      <c r="R5853" s="58"/>
    </row>
    <row r="5854">
      <c r="R5854" s="58"/>
    </row>
    <row r="5855">
      <c r="R5855" s="58"/>
    </row>
    <row r="5856">
      <c r="R5856" s="58"/>
    </row>
    <row r="5857">
      <c r="R5857" s="58"/>
    </row>
    <row r="5858">
      <c r="R5858" s="58"/>
    </row>
    <row r="5859">
      <c r="R5859" s="58"/>
    </row>
    <row r="5860">
      <c r="R5860" s="58"/>
    </row>
    <row r="5861">
      <c r="R5861" s="58"/>
    </row>
    <row r="5862">
      <c r="R5862" s="58"/>
    </row>
    <row r="5863">
      <c r="R5863" s="58"/>
    </row>
    <row r="5864">
      <c r="R5864" s="58"/>
    </row>
    <row r="5865">
      <c r="R5865" s="58"/>
    </row>
    <row r="5866">
      <c r="R5866" s="58"/>
    </row>
    <row r="5867">
      <c r="R5867" s="58"/>
    </row>
    <row r="5868">
      <c r="R5868" s="58"/>
    </row>
    <row r="5869">
      <c r="R5869" s="58"/>
    </row>
    <row r="5870">
      <c r="R5870" s="58"/>
    </row>
    <row r="5871">
      <c r="R5871" s="58"/>
    </row>
    <row r="5872">
      <c r="R5872" s="58"/>
    </row>
    <row r="5873">
      <c r="R5873" s="58"/>
    </row>
    <row r="5874">
      <c r="R5874" s="58"/>
    </row>
    <row r="5875">
      <c r="R5875" s="58"/>
    </row>
    <row r="5876">
      <c r="R5876" s="58"/>
    </row>
    <row r="5877">
      <c r="R5877" s="58"/>
    </row>
    <row r="5878">
      <c r="R5878" s="58"/>
    </row>
    <row r="5879">
      <c r="R5879" s="58"/>
    </row>
    <row r="5880">
      <c r="R5880" s="58"/>
    </row>
    <row r="5881">
      <c r="R5881" s="58"/>
    </row>
    <row r="5882">
      <c r="R5882" s="58"/>
    </row>
    <row r="5883">
      <c r="R5883" s="58"/>
    </row>
    <row r="5884">
      <c r="R5884" s="58"/>
    </row>
    <row r="5885">
      <c r="R5885" s="58"/>
    </row>
    <row r="5886">
      <c r="R5886" s="58"/>
    </row>
    <row r="5887">
      <c r="R5887" s="58"/>
    </row>
    <row r="5888">
      <c r="R5888" s="58"/>
    </row>
    <row r="5889">
      <c r="R5889" s="58"/>
    </row>
    <row r="5890">
      <c r="R5890" s="58"/>
    </row>
    <row r="5891">
      <c r="R5891" s="58"/>
    </row>
    <row r="5892">
      <c r="R5892" s="58"/>
    </row>
    <row r="5893">
      <c r="R5893" s="58"/>
    </row>
    <row r="5894">
      <c r="R5894" s="58"/>
    </row>
    <row r="5895">
      <c r="R5895" s="58"/>
    </row>
    <row r="5896">
      <c r="R5896" s="58"/>
    </row>
    <row r="5897">
      <c r="R5897" s="58"/>
    </row>
    <row r="5898">
      <c r="R5898" s="58"/>
    </row>
    <row r="5899">
      <c r="R5899" s="58"/>
    </row>
    <row r="5900">
      <c r="R5900" s="58"/>
    </row>
    <row r="5901">
      <c r="R5901" s="58"/>
    </row>
    <row r="5902">
      <c r="R5902" s="58"/>
    </row>
    <row r="5903">
      <c r="R5903" s="58"/>
    </row>
    <row r="5904">
      <c r="R5904" s="58"/>
    </row>
    <row r="5905">
      <c r="R5905" s="58"/>
    </row>
    <row r="5906">
      <c r="R5906" s="58"/>
    </row>
    <row r="5907">
      <c r="R5907" s="58"/>
    </row>
    <row r="5908">
      <c r="R5908" s="58"/>
    </row>
    <row r="5909">
      <c r="R5909" s="58"/>
    </row>
    <row r="5910">
      <c r="R5910" s="58"/>
    </row>
    <row r="5911">
      <c r="R5911" s="58"/>
    </row>
    <row r="5912">
      <c r="R5912" s="58"/>
    </row>
    <row r="5913">
      <c r="R5913" s="58"/>
    </row>
    <row r="5914">
      <c r="R5914" s="58"/>
    </row>
    <row r="5915">
      <c r="R5915" s="58"/>
    </row>
    <row r="5916">
      <c r="R5916" s="58"/>
    </row>
    <row r="5917">
      <c r="R5917" s="58"/>
    </row>
    <row r="5918">
      <c r="R5918" s="58"/>
    </row>
    <row r="5919">
      <c r="R5919" s="58"/>
    </row>
    <row r="5920">
      <c r="R5920" s="58"/>
    </row>
    <row r="5921">
      <c r="R5921" s="58"/>
    </row>
    <row r="5922">
      <c r="R5922" s="58"/>
    </row>
    <row r="5923">
      <c r="R5923" s="58"/>
    </row>
    <row r="5924">
      <c r="R5924" s="58"/>
    </row>
    <row r="5925">
      <c r="R5925" s="58"/>
    </row>
    <row r="5926">
      <c r="R5926" s="58"/>
    </row>
    <row r="5927">
      <c r="R5927" s="58"/>
    </row>
    <row r="5928">
      <c r="R5928" s="58"/>
    </row>
    <row r="5929">
      <c r="R5929" s="58"/>
    </row>
    <row r="5930">
      <c r="R5930" s="58"/>
    </row>
    <row r="5931">
      <c r="R5931" s="58"/>
    </row>
    <row r="5932">
      <c r="R5932" s="58"/>
    </row>
    <row r="5933">
      <c r="R5933" s="58"/>
    </row>
    <row r="5934">
      <c r="R5934" s="58"/>
    </row>
    <row r="5935">
      <c r="R5935" s="58"/>
    </row>
    <row r="5936">
      <c r="R5936" s="58"/>
    </row>
    <row r="5937">
      <c r="R5937" s="58"/>
    </row>
    <row r="5938">
      <c r="R5938" s="58"/>
    </row>
    <row r="5939">
      <c r="R5939" s="58"/>
    </row>
    <row r="5940">
      <c r="R5940" s="58"/>
    </row>
    <row r="5941">
      <c r="R5941" s="58"/>
    </row>
    <row r="5942">
      <c r="R5942" s="58"/>
    </row>
    <row r="5943">
      <c r="R5943" s="58"/>
    </row>
    <row r="5944">
      <c r="R5944" s="58"/>
    </row>
    <row r="5945">
      <c r="R5945" s="58"/>
    </row>
    <row r="5946">
      <c r="R5946" s="58"/>
    </row>
    <row r="5947">
      <c r="R5947" s="58"/>
    </row>
    <row r="5948">
      <c r="R5948" s="58"/>
    </row>
    <row r="5949">
      <c r="R5949" s="58"/>
    </row>
    <row r="5950">
      <c r="R5950" s="58"/>
    </row>
    <row r="5951">
      <c r="R5951" s="58"/>
    </row>
    <row r="5952">
      <c r="R5952" s="58"/>
    </row>
    <row r="5953">
      <c r="R5953" s="58"/>
    </row>
    <row r="5954">
      <c r="R5954" s="58"/>
    </row>
    <row r="5955">
      <c r="R5955" s="58"/>
    </row>
    <row r="5956">
      <c r="R5956" s="58"/>
    </row>
    <row r="5957">
      <c r="R5957" s="58"/>
    </row>
    <row r="5958">
      <c r="R5958" s="58"/>
    </row>
    <row r="5959">
      <c r="R5959" s="58"/>
    </row>
    <row r="5960">
      <c r="R5960" s="58"/>
    </row>
    <row r="5961">
      <c r="R5961" s="58"/>
    </row>
    <row r="5962">
      <c r="R5962" s="58"/>
    </row>
    <row r="5963">
      <c r="R5963" s="58"/>
    </row>
    <row r="5964">
      <c r="R5964" s="58"/>
    </row>
    <row r="5965">
      <c r="R5965" s="58"/>
    </row>
    <row r="5966">
      <c r="R5966" s="58"/>
    </row>
    <row r="5967">
      <c r="R5967" s="58"/>
    </row>
    <row r="5968">
      <c r="R5968" s="58"/>
    </row>
    <row r="5969">
      <c r="R5969" s="58"/>
    </row>
    <row r="5970">
      <c r="R5970" s="58"/>
    </row>
    <row r="5971">
      <c r="R5971" s="58"/>
    </row>
    <row r="5972">
      <c r="R5972" s="58"/>
    </row>
    <row r="5973">
      <c r="R5973" s="58"/>
    </row>
    <row r="5974">
      <c r="R5974" s="58"/>
    </row>
    <row r="5975">
      <c r="R5975" s="58"/>
    </row>
    <row r="5976">
      <c r="R5976" s="58"/>
    </row>
    <row r="5977">
      <c r="R5977" s="58"/>
    </row>
    <row r="5978">
      <c r="R5978" s="58"/>
    </row>
    <row r="5979">
      <c r="R5979" s="58"/>
    </row>
    <row r="5980">
      <c r="R5980" s="58"/>
    </row>
    <row r="5981">
      <c r="R5981" s="58"/>
    </row>
    <row r="5982">
      <c r="R5982" s="58"/>
    </row>
    <row r="5983">
      <c r="R5983" s="58"/>
    </row>
    <row r="5984">
      <c r="R5984" s="58"/>
    </row>
    <row r="5985">
      <c r="R5985" s="58"/>
    </row>
    <row r="5986">
      <c r="R5986" s="58"/>
    </row>
    <row r="5987">
      <c r="R5987" s="58"/>
    </row>
    <row r="5988">
      <c r="R5988" s="58"/>
    </row>
    <row r="5989">
      <c r="R5989" s="58"/>
    </row>
    <row r="5990">
      <c r="R5990" s="58"/>
    </row>
    <row r="5991">
      <c r="R5991" s="58"/>
    </row>
    <row r="5992">
      <c r="R5992" s="58"/>
    </row>
    <row r="5993">
      <c r="R5993" s="58"/>
    </row>
    <row r="5994">
      <c r="R5994" s="58"/>
    </row>
    <row r="5995">
      <c r="R5995" s="58"/>
    </row>
    <row r="5996">
      <c r="R5996" s="58"/>
    </row>
    <row r="5997">
      <c r="R5997" s="58"/>
    </row>
    <row r="5998">
      <c r="R5998" s="58"/>
    </row>
    <row r="5999">
      <c r="R5999" s="58"/>
    </row>
    <row r="6000">
      <c r="R6000" s="58"/>
    </row>
    <row r="6001">
      <c r="R6001" s="58"/>
    </row>
    <row r="6002">
      <c r="R6002" s="58"/>
    </row>
    <row r="6003">
      <c r="R6003" s="58"/>
    </row>
    <row r="6004">
      <c r="R6004" s="58"/>
    </row>
    <row r="6005">
      <c r="R6005" s="58"/>
    </row>
    <row r="6006">
      <c r="R6006" s="58"/>
    </row>
    <row r="6007">
      <c r="R6007" s="58"/>
    </row>
    <row r="6008">
      <c r="R6008" s="58"/>
    </row>
    <row r="6009">
      <c r="R6009" s="58"/>
    </row>
    <row r="6010">
      <c r="R6010" s="58"/>
    </row>
    <row r="6011">
      <c r="R6011" s="58"/>
    </row>
    <row r="6012">
      <c r="R6012" s="58"/>
    </row>
    <row r="6013">
      <c r="R6013" s="58"/>
    </row>
    <row r="6014">
      <c r="R6014" s="58"/>
    </row>
    <row r="6015">
      <c r="R6015" s="58"/>
    </row>
    <row r="6016">
      <c r="R6016" s="58"/>
    </row>
    <row r="6017">
      <c r="R6017" s="58"/>
    </row>
    <row r="6018">
      <c r="R6018" s="58"/>
    </row>
    <row r="6019">
      <c r="R6019" s="58"/>
    </row>
    <row r="6020">
      <c r="R6020" s="58"/>
    </row>
    <row r="6021">
      <c r="R6021" s="58"/>
    </row>
    <row r="6022">
      <c r="R6022" s="58"/>
    </row>
    <row r="6023">
      <c r="R6023" s="58"/>
    </row>
    <row r="6024">
      <c r="R6024" s="58"/>
    </row>
    <row r="6025">
      <c r="R6025" s="58"/>
    </row>
    <row r="6026">
      <c r="R6026" s="58"/>
    </row>
    <row r="6027">
      <c r="R6027" s="58"/>
    </row>
    <row r="6028">
      <c r="R6028" s="58"/>
    </row>
    <row r="6029">
      <c r="R6029" s="58"/>
    </row>
    <row r="6030">
      <c r="R6030" s="58"/>
    </row>
    <row r="6031">
      <c r="R6031" s="58"/>
    </row>
    <row r="6032">
      <c r="R6032" s="58"/>
    </row>
    <row r="6033">
      <c r="R6033" s="58"/>
    </row>
    <row r="6034">
      <c r="R6034" s="58"/>
    </row>
    <row r="6035">
      <c r="R6035" s="58"/>
    </row>
    <row r="6036">
      <c r="R6036" s="58"/>
    </row>
    <row r="6037">
      <c r="R6037" s="58"/>
    </row>
    <row r="6038">
      <c r="R6038" s="58"/>
    </row>
    <row r="6039">
      <c r="R6039" s="58"/>
    </row>
    <row r="6040">
      <c r="R6040" s="58"/>
    </row>
    <row r="6041">
      <c r="R6041" s="58"/>
    </row>
    <row r="6042">
      <c r="R6042" s="58"/>
    </row>
    <row r="6043">
      <c r="R6043" s="58"/>
    </row>
    <row r="6044">
      <c r="R6044" s="58"/>
    </row>
    <row r="6045">
      <c r="R6045" s="58"/>
    </row>
    <row r="6046">
      <c r="R6046" s="58"/>
    </row>
    <row r="6047">
      <c r="R6047" s="58"/>
    </row>
    <row r="6048">
      <c r="R6048" s="58"/>
    </row>
    <row r="6049">
      <c r="R6049" s="58"/>
    </row>
    <row r="6050">
      <c r="R6050" s="58"/>
    </row>
    <row r="6051">
      <c r="R6051" s="58"/>
    </row>
    <row r="6052">
      <c r="R6052" s="58"/>
    </row>
    <row r="6053">
      <c r="R6053" s="58"/>
    </row>
    <row r="6054">
      <c r="R6054" s="58"/>
    </row>
    <row r="6055">
      <c r="R6055" s="58"/>
    </row>
    <row r="6056">
      <c r="R6056" s="58"/>
    </row>
    <row r="6057">
      <c r="R6057" s="58"/>
    </row>
    <row r="6058">
      <c r="R6058" s="58"/>
    </row>
    <row r="6059">
      <c r="R6059" s="58"/>
    </row>
    <row r="6060">
      <c r="R6060" s="58"/>
    </row>
    <row r="6061">
      <c r="R6061" s="58"/>
    </row>
    <row r="6062">
      <c r="R6062" s="58"/>
    </row>
    <row r="6063">
      <c r="R6063" s="58"/>
    </row>
    <row r="6064">
      <c r="R6064" s="58"/>
    </row>
    <row r="6065">
      <c r="R6065" s="58"/>
    </row>
    <row r="6066">
      <c r="R6066" s="58"/>
    </row>
    <row r="6067">
      <c r="R6067" s="58"/>
    </row>
    <row r="6068">
      <c r="R6068" s="58"/>
    </row>
    <row r="6069">
      <c r="R6069" s="58"/>
    </row>
    <row r="6070">
      <c r="R6070" s="58"/>
    </row>
    <row r="6071">
      <c r="R6071" s="58"/>
    </row>
    <row r="6072">
      <c r="R6072" s="58"/>
    </row>
    <row r="6073">
      <c r="R6073" s="58"/>
    </row>
    <row r="6074">
      <c r="R6074" s="58"/>
    </row>
    <row r="6075">
      <c r="R6075" s="58"/>
    </row>
    <row r="6076">
      <c r="R6076" s="58"/>
    </row>
    <row r="6077">
      <c r="R6077" s="58"/>
    </row>
    <row r="6078">
      <c r="R6078" s="58"/>
    </row>
    <row r="6079">
      <c r="R6079" s="58"/>
    </row>
    <row r="6080">
      <c r="R6080" s="58"/>
    </row>
    <row r="6081">
      <c r="R6081" s="58"/>
    </row>
    <row r="6082">
      <c r="R6082" s="58"/>
    </row>
    <row r="6083">
      <c r="R6083" s="58"/>
    </row>
    <row r="6084">
      <c r="R6084" s="58"/>
    </row>
    <row r="6085">
      <c r="R6085" s="58"/>
    </row>
    <row r="6086">
      <c r="R6086" s="58"/>
    </row>
    <row r="6087">
      <c r="R6087" s="58"/>
    </row>
    <row r="6088">
      <c r="R6088" s="58"/>
    </row>
    <row r="6089">
      <c r="R6089" s="58"/>
    </row>
    <row r="6090">
      <c r="R6090" s="58"/>
    </row>
    <row r="6091">
      <c r="R6091" s="58"/>
    </row>
    <row r="6092">
      <c r="R6092" s="58"/>
    </row>
    <row r="6093">
      <c r="R6093" s="58"/>
    </row>
    <row r="6094">
      <c r="R6094" s="58"/>
    </row>
    <row r="6095">
      <c r="R6095" s="58"/>
    </row>
    <row r="6096">
      <c r="R6096" s="58"/>
    </row>
    <row r="6097">
      <c r="R6097" s="58"/>
    </row>
    <row r="6098">
      <c r="R6098" s="58"/>
    </row>
    <row r="6099">
      <c r="R6099" s="58"/>
    </row>
    <row r="6100">
      <c r="R6100" s="58"/>
    </row>
    <row r="6101">
      <c r="R6101" s="58"/>
    </row>
    <row r="6102">
      <c r="R6102" s="58"/>
    </row>
    <row r="6103">
      <c r="R6103" s="58"/>
    </row>
    <row r="6104">
      <c r="R6104" s="58"/>
    </row>
    <row r="6105">
      <c r="R6105" s="58"/>
    </row>
    <row r="6106">
      <c r="R6106" s="58"/>
    </row>
    <row r="6107">
      <c r="R6107" s="58"/>
    </row>
    <row r="6108">
      <c r="R6108" s="58"/>
    </row>
    <row r="6109">
      <c r="R6109" s="58"/>
    </row>
    <row r="6110">
      <c r="R6110" s="58"/>
    </row>
    <row r="6111">
      <c r="R6111" s="58"/>
    </row>
    <row r="6112">
      <c r="R6112" s="58"/>
    </row>
    <row r="6113">
      <c r="R6113" s="58"/>
    </row>
    <row r="6114">
      <c r="R6114" s="58"/>
    </row>
    <row r="6115">
      <c r="R6115" s="58"/>
    </row>
    <row r="6116">
      <c r="R6116" s="58"/>
    </row>
    <row r="6117">
      <c r="R6117" s="58"/>
    </row>
    <row r="6118">
      <c r="R6118" s="58"/>
    </row>
    <row r="6119">
      <c r="R6119" s="58"/>
    </row>
    <row r="6120">
      <c r="R6120" s="58"/>
    </row>
    <row r="6121">
      <c r="R6121" s="58"/>
    </row>
    <row r="6122">
      <c r="R6122" s="58"/>
    </row>
    <row r="6123">
      <c r="R6123" s="58"/>
    </row>
    <row r="6124">
      <c r="R6124" s="58"/>
    </row>
    <row r="6125">
      <c r="R6125" s="58"/>
    </row>
    <row r="6126">
      <c r="R6126" s="58"/>
    </row>
    <row r="6127">
      <c r="R6127" s="58"/>
    </row>
    <row r="6128">
      <c r="R6128" s="58"/>
    </row>
    <row r="6129">
      <c r="R6129" s="58"/>
    </row>
    <row r="6130">
      <c r="R6130" s="58"/>
    </row>
    <row r="6131">
      <c r="R6131" s="58"/>
    </row>
    <row r="6132">
      <c r="R6132" s="58"/>
    </row>
    <row r="6133">
      <c r="R6133" s="58"/>
    </row>
    <row r="6134">
      <c r="R6134" s="58"/>
    </row>
    <row r="6135">
      <c r="R6135" s="58"/>
    </row>
    <row r="6136">
      <c r="R6136" s="58"/>
    </row>
    <row r="6137">
      <c r="R6137" s="58"/>
    </row>
    <row r="6138">
      <c r="R6138" s="58"/>
    </row>
    <row r="6139">
      <c r="R6139" s="58"/>
    </row>
    <row r="6140">
      <c r="R6140" s="58"/>
    </row>
    <row r="6141">
      <c r="R6141" s="58"/>
    </row>
    <row r="6142">
      <c r="R6142" s="58"/>
    </row>
    <row r="6143">
      <c r="R6143" s="58"/>
    </row>
    <row r="6144">
      <c r="R6144" s="58"/>
    </row>
    <row r="6145">
      <c r="R6145" s="58"/>
    </row>
    <row r="6146">
      <c r="R6146" s="58"/>
    </row>
    <row r="6147">
      <c r="R6147" s="58"/>
    </row>
    <row r="6148">
      <c r="R6148" s="58"/>
    </row>
    <row r="6149">
      <c r="R6149" s="58"/>
    </row>
    <row r="6150">
      <c r="R6150" s="58"/>
    </row>
    <row r="6151">
      <c r="R6151" s="58"/>
    </row>
    <row r="6152">
      <c r="R6152" s="58"/>
    </row>
    <row r="6153">
      <c r="R6153" s="58"/>
    </row>
    <row r="6154">
      <c r="R6154" s="58"/>
    </row>
    <row r="6155">
      <c r="R6155" s="58"/>
    </row>
    <row r="6156">
      <c r="R6156" s="58"/>
    </row>
    <row r="6157">
      <c r="R6157" s="58"/>
    </row>
    <row r="6158">
      <c r="R6158" s="58"/>
    </row>
    <row r="6159">
      <c r="R6159" s="58"/>
    </row>
    <row r="6160">
      <c r="R6160" s="58"/>
    </row>
    <row r="6161">
      <c r="R6161" s="58"/>
    </row>
    <row r="6162">
      <c r="R6162" s="58"/>
    </row>
    <row r="6163">
      <c r="R6163" s="58"/>
    </row>
    <row r="6164">
      <c r="R6164" s="58"/>
    </row>
    <row r="6165">
      <c r="R6165" s="58"/>
    </row>
    <row r="6166">
      <c r="R6166" s="58"/>
    </row>
    <row r="6167">
      <c r="R6167" s="58"/>
    </row>
    <row r="6168">
      <c r="R6168" s="58"/>
    </row>
    <row r="6169">
      <c r="R6169" s="58"/>
    </row>
    <row r="6170">
      <c r="R6170" s="58"/>
    </row>
    <row r="6171">
      <c r="R6171" s="58"/>
    </row>
    <row r="6172">
      <c r="R6172" s="58"/>
    </row>
    <row r="6173">
      <c r="R6173" s="58"/>
    </row>
    <row r="6174">
      <c r="R6174" s="58"/>
    </row>
    <row r="6175">
      <c r="R6175" s="58"/>
    </row>
    <row r="6176">
      <c r="R6176" s="58"/>
    </row>
    <row r="6177">
      <c r="R6177" s="58"/>
    </row>
    <row r="6178">
      <c r="R6178" s="58"/>
    </row>
    <row r="6179">
      <c r="R6179" s="58"/>
    </row>
    <row r="6180">
      <c r="R6180" s="58"/>
    </row>
    <row r="6181">
      <c r="R6181" s="58"/>
    </row>
    <row r="6182">
      <c r="R6182" s="58"/>
    </row>
    <row r="6183">
      <c r="R6183" s="58"/>
    </row>
    <row r="6184">
      <c r="R6184" s="58"/>
    </row>
    <row r="6185">
      <c r="R6185" s="58"/>
    </row>
    <row r="6186">
      <c r="R6186" s="58"/>
    </row>
    <row r="6187">
      <c r="R6187" s="58"/>
    </row>
    <row r="6188">
      <c r="R6188" s="58"/>
    </row>
    <row r="6189">
      <c r="R6189" s="58"/>
    </row>
    <row r="6190">
      <c r="R6190" s="58"/>
    </row>
    <row r="6191">
      <c r="R6191" s="58"/>
    </row>
    <row r="6192">
      <c r="R6192" s="58"/>
    </row>
    <row r="6193">
      <c r="R6193" s="58"/>
    </row>
    <row r="6194">
      <c r="R6194" s="58"/>
    </row>
    <row r="6195">
      <c r="R6195" s="58"/>
    </row>
    <row r="6196">
      <c r="R6196" s="58"/>
    </row>
    <row r="6197">
      <c r="R6197" s="58"/>
    </row>
    <row r="6198">
      <c r="R6198" s="58"/>
    </row>
    <row r="6199">
      <c r="R6199" s="58"/>
    </row>
    <row r="6200">
      <c r="R6200" s="58"/>
    </row>
    <row r="6201">
      <c r="R6201" s="58"/>
    </row>
    <row r="6202">
      <c r="R6202" s="58"/>
    </row>
    <row r="6203">
      <c r="R6203" s="58"/>
    </row>
    <row r="6204">
      <c r="R6204" s="58"/>
    </row>
    <row r="6205">
      <c r="R6205" s="58"/>
    </row>
    <row r="6206">
      <c r="R6206" s="58"/>
    </row>
    <row r="6207">
      <c r="R6207" s="58"/>
    </row>
    <row r="6208">
      <c r="R6208" s="58"/>
    </row>
    <row r="6209">
      <c r="R6209" s="58"/>
    </row>
    <row r="6210">
      <c r="R6210" s="58"/>
    </row>
    <row r="6211">
      <c r="R6211" s="58"/>
    </row>
    <row r="6212">
      <c r="R6212" s="58"/>
    </row>
    <row r="6213">
      <c r="R6213" s="58"/>
    </row>
    <row r="6214">
      <c r="R6214" s="58"/>
    </row>
    <row r="6215">
      <c r="R6215" s="58"/>
    </row>
    <row r="6216">
      <c r="R6216" s="58"/>
    </row>
    <row r="6217">
      <c r="R6217" s="58"/>
    </row>
    <row r="6218">
      <c r="R6218" s="58"/>
    </row>
    <row r="6219">
      <c r="R6219" s="58"/>
    </row>
    <row r="6220">
      <c r="R6220" s="58"/>
    </row>
    <row r="6221">
      <c r="R6221" s="58"/>
    </row>
    <row r="6222">
      <c r="R6222" s="58"/>
    </row>
    <row r="6223">
      <c r="R6223" s="58"/>
    </row>
    <row r="6224">
      <c r="R6224" s="58"/>
    </row>
    <row r="6225">
      <c r="R6225" s="58"/>
    </row>
    <row r="6226">
      <c r="R6226" s="58"/>
    </row>
    <row r="6227">
      <c r="R6227" s="58"/>
    </row>
    <row r="6228">
      <c r="R6228" s="58"/>
    </row>
    <row r="6229">
      <c r="R6229" s="58"/>
    </row>
    <row r="6230">
      <c r="R6230" s="58"/>
    </row>
    <row r="6231">
      <c r="R6231" s="58"/>
    </row>
    <row r="6232">
      <c r="R6232" s="58"/>
    </row>
    <row r="6233">
      <c r="R6233" s="58"/>
    </row>
    <row r="6234">
      <c r="R6234" s="58"/>
    </row>
    <row r="6235">
      <c r="R6235" s="58"/>
    </row>
    <row r="6236">
      <c r="R6236" s="58"/>
    </row>
    <row r="6237">
      <c r="R6237" s="58"/>
    </row>
    <row r="6238">
      <c r="R6238" s="58"/>
    </row>
    <row r="6239">
      <c r="R6239" s="58"/>
    </row>
    <row r="6240">
      <c r="R6240" s="58"/>
    </row>
    <row r="6241">
      <c r="R6241" s="58"/>
    </row>
    <row r="6242">
      <c r="R6242" s="58"/>
    </row>
    <row r="6243">
      <c r="R6243" s="58"/>
    </row>
    <row r="6244">
      <c r="R6244" s="58"/>
    </row>
    <row r="6245">
      <c r="R6245" s="58"/>
    </row>
    <row r="6246">
      <c r="R6246" s="58"/>
    </row>
    <row r="6247">
      <c r="R6247" s="58"/>
    </row>
    <row r="6248">
      <c r="R6248" s="58"/>
    </row>
    <row r="6249">
      <c r="R6249" s="58"/>
    </row>
    <row r="6250">
      <c r="R6250" s="58"/>
    </row>
    <row r="6251">
      <c r="R6251" s="58"/>
    </row>
    <row r="6252">
      <c r="R6252" s="58"/>
    </row>
    <row r="6253">
      <c r="R6253" s="58"/>
    </row>
    <row r="6254">
      <c r="R6254" s="58"/>
    </row>
    <row r="6255">
      <c r="R6255" s="58"/>
    </row>
    <row r="6256">
      <c r="R6256" s="58"/>
    </row>
    <row r="6257">
      <c r="R6257" s="58"/>
    </row>
    <row r="6258">
      <c r="R6258" s="58"/>
    </row>
    <row r="6259">
      <c r="R6259" s="58"/>
    </row>
    <row r="6260">
      <c r="R6260" s="58"/>
    </row>
    <row r="6261">
      <c r="R6261" s="58"/>
    </row>
    <row r="6262">
      <c r="R6262" s="58"/>
    </row>
    <row r="6263">
      <c r="R6263" s="58"/>
    </row>
    <row r="6264">
      <c r="R6264" s="58"/>
    </row>
    <row r="6265">
      <c r="R6265" s="58"/>
    </row>
    <row r="6266">
      <c r="R6266" s="58"/>
    </row>
    <row r="6267">
      <c r="R6267" s="58"/>
    </row>
    <row r="6268">
      <c r="R6268" s="58"/>
    </row>
    <row r="6269">
      <c r="R6269" s="58"/>
    </row>
    <row r="6270">
      <c r="R6270" s="58"/>
    </row>
    <row r="6271">
      <c r="R6271" s="58"/>
    </row>
    <row r="6272">
      <c r="R6272" s="58"/>
    </row>
    <row r="6273">
      <c r="R6273" s="58"/>
    </row>
    <row r="6274">
      <c r="R6274" s="58"/>
    </row>
    <row r="6275">
      <c r="R6275" s="58"/>
    </row>
    <row r="6276">
      <c r="R6276" s="58"/>
    </row>
    <row r="6277">
      <c r="R6277" s="58"/>
    </row>
    <row r="6278">
      <c r="R6278" s="58"/>
    </row>
    <row r="6279">
      <c r="R6279" s="58"/>
    </row>
    <row r="6280">
      <c r="R6280" s="58"/>
    </row>
    <row r="6281">
      <c r="R6281" s="58"/>
    </row>
    <row r="6282">
      <c r="R6282" s="58"/>
    </row>
    <row r="6283">
      <c r="R6283" s="58"/>
    </row>
    <row r="6284">
      <c r="R6284" s="58"/>
    </row>
    <row r="6285">
      <c r="R6285" s="58"/>
    </row>
    <row r="6286">
      <c r="R6286" s="58"/>
    </row>
    <row r="6287">
      <c r="R6287" s="58"/>
    </row>
    <row r="6288">
      <c r="R6288" s="58"/>
    </row>
    <row r="6289">
      <c r="R6289" s="58"/>
    </row>
    <row r="6290">
      <c r="R6290" s="58"/>
    </row>
    <row r="6291">
      <c r="R6291" s="58"/>
    </row>
    <row r="6292">
      <c r="R6292" s="58"/>
    </row>
    <row r="6293">
      <c r="R6293" s="58"/>
    </row>
    <row r="6294">
      <c r="R6294" s="58"/>
    </row>
    <row r="6295">
      <c r="R6295" s="58"/>
    </row>
    <row r="6296">
      <c r="R6296" s="58"/>
    </row>
    <row r="6297">
      <c r="R6297" s="58"/>
    </row>
    <row r="6298">
      <c r="R6298" s="58"/>
    </row>
    <row r="6299">
      <c r="R6299" s="58"/>
    </row>
    <row r="6300">
      <c r="R6300" s="58"/>
    </row>
    <row r="6301">
      <c r="R6301" s="58"/>
    </row>
    <row r="6302">
      <c r="R6302" s="58"/>
    </row>
    <row r="6303">
      <c r="R6303" s="58"/>
    </row>
    <row r="6304">
      <c r="R6304" s="58"/>
    </row>
    <row r="6305">
      <c r="R6305" s="58"/>
    </row>
    <row r="6306">
      <c r="R6306" s="58"/>
    </row>
    <row r="6307">
      <c r="R6307" s="58"/>
    </row>
    <row r="6308">
      <c r="R6308" s="58"/>
    </row>
    <row r="6309">
      <c r="R6309" s="58"/>
    </row>
    <row r="6310">
      <c r="R6310" s="58"/>
    </row>
    <row r="6311">
      <c r="R6311" s="58"/>
    </row>
    <row r="6312">
      <c r="R6312" s="58"/>
    </row>
    <row r="6313">
      <c r="R6313" s="58"/>
    </row>
    <row r="6314">
      <c r="R6314" s="58"/>
    </row>
    <row r="6315">
      <c r="R6315" s="58"/>
    </row>
    <row r="6316">
      <c r="R6316" s="58"/>
    </row>
    <row r="6317">
      <c r="R6317" s="58"/>
    </row>
    <row r="6318">
      <c r="R6318" s="58"/>
    </row>
    <row r="6319">
      <c r="R6319" s="58"/>
    </row>
    <row r="6320">
      <c r="R6320" s="58"/>
    </row>
    <row r="6321">
      <c r="R6321" s="58"/>
    </row>
    <row r="6322">
      <c r="R6322" s="58"/>
    </row>
    <row r="6323">
      <c r="R6323" s="58"/>
    </row>
    <row r="6324">
      <c r="R6324" s="58"/>
    </row>
    <row r="6325">
      <c r="R6325" s="58"/>
    </row>
    <row r="6326">
      <c r="R6326" s="58"/>
    </row>
    <row r="6327">
      <c r="R6327" s="58"/>
    </row>
    <row r="6328">
      <c r="R6328" s="58"/>
    </row>
    <row r="6329">
      <c r="R6329" s="58"/>
    </row>
    <row r="6330">
      <c r="R6330" s="58"/>
    </row>
    <row r="6331">
      <c r="R6331" s="58"/>
    </row>
    <row r="6332">
      <c r="R6332" s="58"/>
    </row>
    <row r="6333">
      <c r="R6333" s="58"/>
    </row>
    <row r="6334">
      <c r="R6334" s="58"/>
    </row>
    <row r="6335">
      <c r="R6335" s="58"/>
    </row>
    <row r="6336">
      <c r="R6336" s="58"/>
    </row>
    <row r="6337">
      <c r="R6337" s="58"/>
    </row>
    <row r="6338">
      <c r="R6338" s="58"/>
    </row>
    <row r="6339">
      <c r="R6339" s="58"/>
    </row>
    <row r="6340">
      <c r="R6340" s="58"/>
    </row>
    <row r="6341">
      <c r="R6341" s="58"/>
    </row>
    <row r="6342">
      <c r="R6342" s="58"/>
    </row>
    <row r="6343">
      <c r="R6343" s="58"/>
    </row>
    <row r="6344">
      <c r="R6344" s="58"/>
    </row>
    <row r="6345">
      <c r="R6345" s="58"/>
    </row>
    <row r="6346">
      <c r="R6346" s="58"/>
    </row>
    <row r="6347">
      <c r="R6347" s="58"/>
    </row>
    <row r="6348">
      <c r="R6348" s="58"/>
    </row>
    <row r="6349">
      <c r="R6349" s="58"/>
    </row>
    <row r="6350">
      <c r="R6350" s="58"/>
    </row>
    <row r="6351">
      <c r="R6351" s="58"/>
    </row>
    <row r="6352">
      <c r="R6352" s="58"/>
    </row>
    <row r="6353">
      <c r="R6353" s="58"/>
    </row>
    <row r="6354">
      <c r="R6354" s="58"/>
    </row>
    <row r="6355">
      <c r="R6355" s="58"/>
    </row>
    <row r="6356">
      <c r="R6356" s="58"/>
    </row>
    <row r="6357">
      <c r="R6357" s="58"/>
    </row>
    <row r="6358">
      <c r="R6358" s="58"/>
    </row>
    <row r="6359">
      <c r="R6359" s="58"/>
    </row>
    <row r="6360">
      <c r="R6360" s="58"/>
    </row>
    <row r="6361">
      <c r="R6361" s="58"/>
    </row>
    <row r="6362">
      <c r="R6362" s="58"/>
    </row>
    <row r="6363">
      <c r="R6363" s="58"/>
    </row>
    <row r="6364">
      <c r="R6364" s="58"/>
    </row>
    <row r="6365">
      <c r="R6365" s="58"/>
    </row>
    <row r="6366">
      <c r="R6366" s="58"/>
    </row>
    <row r="6367">
      <c r="R6367" s="58"/>
    </row>
    <row r="6368">
      <c r="R6368" s="58"/>
    </row>
    <row r="6369">
      <c r="R6369" s="58"/>
    </row>
    <row r="6370">
      <c r="R6370" s="58"/>
    </row>
    <row r="6371">
      <c r="R6371" s="58"/>
    </row>
    <row r="6372">
      <c r="R6372" s="58"/>
    </row>
    <row r="6373">
      <c r="R6373" s="58"/>
    </row>
    <row r="6374">
      <c r="R6374" s="58"/>
    </row>
    <row r="6375">
      <c r="R6375" s="58"/>
    </row>
    <row r="6376">
      <c r="R6376" s="58"/>
    </row>
    <row r="6377">
      <c r="R6377" s="58"/>
    </row>
    <row r="6378">
      <c r="R6378" s="58"/>
    </row>
    <row r="6379">
      <c r="R6379" s="58"/>
    </row>
    <row r="6380">
      <c r="R6380" s="58"/>
    </row>
    <row r="6381">
      <c r="R6381" s="58"/>
    </row>
    <row r="6382">
      <c r="R6382" s="58"/>
    </row>
    <row r="6383">
      <c r="R6383" s="58"/>
    </row>
    <row r="6384">
      <c r="R6384" s="58"/>
    </row>
    <row r="6385">
      <c r="R6385" s="58"/>
    </row>
    <row r="6386">
      <c r="R6386" s="58"/>
    </row>
    <row r="6387">
      <c r="R6387" s="58"/>
    </row>
    <row r="6388">
      <c r="R6388" s="58"/>
    </row>
    <row r="6389">
      <c r="R6389" s="58"/>
    </row>
    <row r="6390">
      <c r="R6390" s="58"/>
    </row>
    <row r="6391">
      <c r="R6391" s="58"/>
    </row>
    <row r="6392">
      <c r="R6392" s="58"/>
    </row>
    <row r="6393">
      <c r="R6393" s="58"/>
    </row>
    <row r="6394">
      <c r="R6394" s="58"/>
    </row>
    <row r="6395">
      <c r="R6395" s="58"/>
    </row>
    <row r="6396">
      <c r="R6396" s="58"/>
    </row>
    <row r="6397">
      <c r="R6397" s="58"/>
    </row>
    <row r="6398">
      <c r="R6398" s="58"/>
    </row>
    <row r="6399">
      <c r="R6399" s="58"/>
    </row>
    <row r="6400">
      <c r="R6400" s="58"/>
    </row>
    <row r="6401">
      <c r="R6401" s="58"/>
    </row>
    <row r="6402">
      <c r="R6402" s="58"/>
    </row>
    <row r="6403">
      <c r="R6403" s="58"/>
    </row>
    <row r="6404">
      <c r="R6404" s="58"/>
    </row>
    <row r="6405">
      <c r="R6405" s="58"/>
    </row>
    <row r="6406">
      <c r="R6406" s="58"/>
    </row>
    <row r="6407">
      <c r="R6407" s="58"/>
    </row>
    <row r="6408">
      <c r="R6408" s="58"/>
    </row>
    <row r="6409">
      <c r="R6409" s="58"/>
    </row>
    <row r="6410">
      <c r="R6410" s="58"/>
    </row>
    <row r="6411">
      <c r="R6411" s="58"/>
    </row>
    <row r="6412">
      <c r="R6412" s="58"/>
    </row>
    <row r="6413">
      <c r="R6413" s="58"/>
    </row>
    <row r="6414">
      <c r="R6414" s="58"/>
    </row>
    <row r="6415">
      <c r="R6415" s="58"/>
    </row>
    <row r="6416">
      <c r="R6416" s="58"/>
    </row>
    <row r="6417">
      <c r="R6417" s="58"/>
    </row>
    <row r="6418">
      <c r="R6418" s="58"/>
    </row>
    <row r="6419">
      <c r="R6419" s="58"/>
    </row>
    <row r="6420">
      <c r="R6420" s="58"/>
    </row>
    <row r="6421">
      <c r="R6421" s="58"/>
    </row>
    <row r="6422">
      <c r="R6422" s="58"/>
    </row>
    <row r="6423">
      <c r="R6423" s="58"/>
    </row>
    <row r="6424">
      <c r="R6424" s="58"/>
    </row>
    <row r="6425">
      <c r="R6425" s="58"/>
    </row>
    <row r="6426">
      <c r="R6426" s="58"/>
    </row>
    <row r="6427">
      <c r="R6427" s="58"/>
    </row>
    <row r="6428">
      <c r="R6428" s="58"/>
    </row>
    <row r="6429">
      <c r="R6429" s="58"/>
    </row>
    <row r="6430">
      <c r="R6430" s="58"/>
    </row>
    <row r="6431">
      <c r="R6431" s="58"/>
    </row>
    <row r="6432">
      <c r="R6432" s="58"/>
    </row>
    <row r="6433">
      <c r="R6433" s="58"/>
    </row>
    <row r="6434">
      <c r="R6434" s="58"/>
    </row>
    <row r="6435">
      <c r="R6435" s="58"/>
    </row>
    <row r="6436">
      <c r="R6436" s="58"/>
    </row>
    <row r="6437">
      <c r="R6437" s="58"/>
    </row>
    <row r="6438">
      <c r="R6438" s="58"/>
    </row>
    <row r="6439">
      <c r="R6439" s="58"/>
    </row>
    <row r="6440">
      <c r="R6440" s="58"/>
    </row>
    <row r="6441">
      <c r="R6441" s="58"/>
    </row>
    <row r="6442">
      <c r="R6442" s="58"/>
    </row>
    <row r="6443">
      <c r="R6443" s="58"/>
    </row>
    <row r="6444">
      <c r="R6444" s="58"/>
    </row>
    <row r="6445">
      <c r="R6445" s="58"/>
    </row>
    <row r="6446">
      <c r="R6446" s="58"/>
    </row>
    <row r="6447">
      <c r="R6447" s="58"/>
    </row>
    <row r="6448">
      <c r="R6448" s="58"/>
    </row>
    <row r="6449">
      <c r="R6449" s="58"/>
    </row>
    <row r="6450">
      <c r="R6450" s="58"/>
    </row>
    <row r="6451">
      <c r="R6451" s="58"/>
    </row>
    <row r="6452">
      <c r="R6452" s="58"/>
    </row>
    <row r="6453">
      <c r="R6453" s="58"/>
    </row>
    <row r="6454">
      <c r="R6454" s="58"/>
    </row>
    <row r="6455">
      <c r="R6455" s="58"/>
    </row>
    <row r="6456">
      <c r="R6456" s="58"/>
    </row>
    <row r="6457">
      <c r="R6457" s="58"/>
    </row>
    <row r="6458">
      <c r="R6458" s="58"/>
    </row>
    <row r="6459">
      <c r="R6459" s="58"/>
    </row>
    <row r="6460">
      <c r="R6460" s="58"/>
    </row>
    <row r="6461">
      <c r="R6461" s="58"/>
    </row>
    <row r="6462">
      <c r="R6462" s="58"/>
    </row>
    <row r="6463">
      <c r="R6463" s="58"/>
    </row>
    <row r="6464">
      <c r="R6464" s="58"/>
    </row>
    <row r="6465">
      <c r="R6465" s="58"/>
    </row>
    <row r="6466">
      <c r="R6466" s="58"/>
    </row>
    <row r="6467">
      <c r="R6467" s="58"/>
    </row>
    <row r="6468">
      <c r="R6468" s="58"/>
    </row>
    <row r="6469">
      <c r="R6469" s="58"/>
    </row>
    <row r="6470">
      <c r="R6470" s="58"/>
    </row>
    <row r="6471">
      <c r="R6471" s="58"/>
    </row>
    <row r="6472">
      <c r="R6472" s="58"/>
    </row>
    <row r="6473">
      <c r="R6473" s="58"/>
    </row>
    <row r="6474">
      <c r="R6474" s="58"/>
    </row>
    <row r="6475">
      <c r="R6475" s="58"/>
    </row>
    <row r="6476">
      <c r="R6476" s="58"/>
    </row>
    <row r="6477">
      <c r="R6477" s="58"/>
    </row>
    <row r="6478">
      <c r="R6478" s="58"/>
    </row>
    <row r="6479">
      <c r="R6479" s="58"/>
    </row>
    <row r="6480">
      <c r="R6480" s="58"/>
    </row>
    <row r="6481">
      <c r="R6481" s="58"/>
    </row>
    <row r="6482">
      <c r="R6482" s="58"/>
    </row>
    <row r="6483">
      <c r="R6483" s="58"/>
    </row>
    <row r="6484">
      <c r="R6484" s="58"/>
    </row>
    <row r="6485">
      <c r="R6485" s="58"/>
    </row>
    <row r="6486">
      <c r="R6486" s="58"/>
    </row>
    <row r="6487">
      <c r="R6487" s="58"/>
    </row>
    <row r="6488">
      <c r="R6488" s="58"/>
    </row>
    <row r="6489">
      <c r="R6489" s="58"/>
    </row>
    <row r="6490">
      <c r="R6490" s="58"/>
    </row>
    <row r="6491">
      <c r="R6491" s="58"/>
    </row>
    <row r="6492">
      <c r="R6492" s="58"/>
    </row>
    <row r="6493">
      <c r="R6493" s="58"/>
    </row>
    <row r="6494">
      <c r="R6494" s="58"/>
    </row>
    <row r="6495">
      <c r="R6495" s="58"/>
    </row>
    <row r="6496">
      <c r="R6496" s="58"/>
    </row>
    <row r="6497">
      <c r="R6497" s="58"/>
    </row>
    <row r="6498">
      <c r="R6498" s="58"/>
    </row>
    <row r="6499">
      <c r="R6499" s="58"/>
    </row>
    <row r="6500">
      <c r="R6500" s="58"/>
    </row>
    <row r="6501">
      <c r="R6501" s="58"/>
    </row>
    <row r="6502">
      <c r="R6502" s="58"/>
    </row>
    <row r="6503">
      <c r="R6503" s="58"/>
    </row>
    <row r="6504">
      <c r="R6504" s="58"/>
    </row>
    <row r="6505">
      <c r="R6505" s="58"/>
    </row>
    <row r="6506">
      <c r="R6506" s="58"/>
    </row>
    <row r="6507">
      <c r="R6507" s="58"/>
    </row>
    <row r="6508">
      <c r="R6508" s="58"/>
    </row>
    <row r="6509">
      <c r="R6509" s="58"/>
    </row>
    <row r="6510">
      <c r="R6510" s="58"/>
    </row>
    <row r="6511">
      <c r="R6511" s="58"/>
    </row>
    <row r="6512">
      <c r="R6512" s="58"/>
    </row>
    <row r="6513">
      <c r="R6513" s="58"/>
    </row>
    <row r="6514">
      <c r="R6514" s="58"/>
    </row>
    <row r="6515">
      <c r="R6515" s="58"/>
    </row>
    <row r="6516">
      <c r="R6516" s="58"/>
    </row>
    <row r="6517">
      <c r="R6517" s="58"/>
    </row>
    <row r="6518">
      <c r="R6518" s="58"/>
    </row>
    <row r="6519">
      <c r="R6519" s="58"/>
    </row>
    <row r="6520">
      <c r="R6520" s="58"/>
    </row>
    <row r="6521">
      <c r="R6521" s="58"/>
    </row>
    <row r="6522">
      <c r="R6522" s="58"/>
    </row>
    <row r="6523">
      <c r="R6523" s="58"/>
    </row>
    <row r="6524">
      <c r="R6524" s="58"/>
    </row>
    <row r="6525">
      <c r="R6525" s="58"/>
    </row>
    <row r="6526">
      <c r="R6526" s="58"/>
    </row>
    <row r="6527">
      <c r="R6527" s="58"/>
    </row>
    <row r="6528">
      <c r="R6528" s="58"/>
    </row>
    <row r="6529">
      <c r="R6529" s="58"/>
    </row>
    <row r="6530">
      <c r="R6530" s="58"/>
    </row>
    <row r="6531">
      <c r="R6531" s="58"/>
    </row>
    <row r="6532">
      <c r="R6532" s="58"/>
    </row>
    <row r="6533">
      <c r="R6533" s="58"/>
    </row>
    <row r="6534">
      <c r="R6534" s="58"/>
    </row>
    <row r="6535">
      <c r="R6535" s="58"/>
    </row>
    <row r="6536">
      <c r="R6536" s="58"/>
    </row>
    <row r="6537">
      <c r="R6537" s="58"/>
    </row>
    <row r="6538">
      <c r="R6538" s="58"/>
    </row>
    <row r="6539">
      <c r="R6539" s="58"/>
    </row>
    <row r="6540">
      <c r="R6540" s="58"/>
    </row>
    <row r="6541">
      <c r="R6541" s="58"/>
    </row>
    <row r="6542">
      <c r="R6542" s="58"/>
    </row>
    <row r="6543">
      <c r="R6543" s="58"/>
    </row>
    <row r="6544">
      <c r="R6544" s="58"/>
    </row>
    <row r="6545">
      <c r="R6545" s="58"/>
    </row>
    <row r="6546">
      <c r="R6546" s="58"/>
    </row>
    <row r="6547">
      <c r="R6547" s="58"/>
    </row>
    <row r="6548">
      <c r="R6548" s="58"/>
    </row>
    <row r="6549">
      <c r="R6549" s="58"/>
    </row>
    <row r="6550">
      <c r="R6550" s="58"/>
    </row>
    <row r="6551">
      <c r="R6551" s="58"/>
    </row>
    <row r="6552">
      <c r="R6552" s="58"/>
    </row>
    <row r="6553">
      <c r="R6553" s="58"/>
    </row>
    <row r="6554">
      <c r="R6554" s="58"/>
    </row>
    <row r="6555">
      <c r="R6555" s="58"/>
    </row>
    <row r="6556">
      <c r="R6556" s="58"/>
    </row>
    <row r="6557">
      <c r="R6557" s="58"/>
    </row>
    <row r="6558">
      <c r="R6558" s="58"/>
    </row>
    <row r="6559">
      <c r="R6559" s="58"/>
    </row>
    <row r="6560">
      <c r="R6560" s="58"/>
    </row>
    <row r="6561">
      <c r="R6561" s="58"/>
    </row>
    <row r="6562">
      <c r="R6562" s="58"/>
    </row>
    <row r="6563">
      <c r="R6563" s="58"/>
    </row>
    <row r="6564">
      <c r="R6564" s="58"/>
    </row>
    <row r="6565">
      <c r="R6565" s="58"/>
    </row>
    <row r="6566">
      <c r="R6566" s="58"/>
    </row>
    <row r="6567">
      <c r="R6567" s="58"/>
    </row>
    <row r="6568">
      <c r="R6568" s="58"/>
    </row>
    <row r="6569">
      <c r="R6569" s="58"/>
    </row>
    <row r="6570">
      <c r="R6570" s="58"/>
    </row>
    <row r="6571">
      <c r="R6571" s="58"/>
    </row>
    <row r="6572">
      <c r="R6572" s="58"/>
    </row>
    <row r="6573">
      <c r="R6573" s="58"/>
    </row>
    <row r="6574">
      <c r="R6574" s="58"/>
    </row>
    <row r="6575">
      <c r="R6575" s="58"/>
    </row>
    <row r="6576">
      <c r="R6576" s="58"/>
    </row>
    <row r="6577">
      <c r="R6577" s="58"/>
    </row>
    <row r="6578">
      <c r="R6578" s="58"/>
    </row>
    <row r="6579">
      <c r="R6579" s="58"/>
    </row>
    <row r="6580">
      <c r="R6580" s="58"/>
    </row>
    <row r="6581">
      <c r="R6581" s="58"/>
    </row>
    <row r="6582">
      <c r="R6582" s="58"/>
    </row>
    <row r="6583">
      <c r="R6583" s="58"/>
    </row>
    <row r="6584">
      <c r="R6584" s="58"/>
    </row>
    <row r="6585">
      <c r="R6585" s="58"/>
    </row>
    <row r="6586">
      <c r="R6586" s="58"/>
    </row>
    <row r="6587">
      <c r="R6587" s="58"/>
    </row>
    <row r="6588">
      <c r="R6588" s="58"/>
    </row>
    <row r="6589">
      <c r="R6589" s="58"/>
    </row>
    <row r="6590">
      <c r="R6590" s="58"/>
    </row>
    <row r="6591">
      <c r="R6591" s="58"/>
    </row>
    <row r="6592">
      <c r="R6592" s="58"/>
    </row>
    <row r="6593">
      <c r="R6593" s="58"/>
    </row>
    <row r="6594">
      <c r="R6594" s="58"/>
    </row>
    <row r="6595">
      <c r="R6595" s="58"/>
    </row>
    <row r="6596">
      <c r="R6596" s="58"/>
    </row>
    <row r="6597">
      <c r="R6597" s="58"/>
    </row>
    <row r="6598">
      <c r="R6598" s="58"/>
    </row>
    <row r="6599">
      <c r="R6599" s="58"/>
    </row>
    <row r="6600">
      <c r="R6600" s="58"/>
    </row>
    <row r="6601">
      <c r="R6601" s="58"/>
    </row>
    <row r="6602">
      <c r="R6602" s="58"/>
    </row>
    <row r="6603">
      <c r="R6603" s="58"/>
    </row>
    <row r="6604">
      <c r="R6604" s="58"/>
    </row>
    <row r="6605">
      <c r="R6605" s="58"/>
    </row>
    <row r="6606">
      <c r="R6606" s="58"/>
    </row>
    <row r="6607">
      <c r="R6607" s="58"/>
    </row>
    <row r="6608">
      <c r="R6608" s="58"/>
    </row>
    <row r="6609">
      <c r="R6609" s="58"/>
    </row>
    <row r="6610">
      <c r="R6610" s="58"/>
    </row>
    <row r="6611">
      <c r="R6611" s="58"/>
    </row>
    <row r="6612">
      <c r="R6612" s="58"/>
    </row>
    <row r="6613">
      <c r="R6613" s="58"/>
    </row>
    <row r="6614">
      <c r="R6614" s="58"/>
    </row>
    <row r="6615">
      <c r="R6615" s="58"/>
    </row>
    <row r="6616">
      <c r="R6616" s="58"/>
    </row>
    <row r="6617">
      <c r="R6617" s="58"/>
    </row>
    <row r="6618">
      <c r="R6618" s="58"/>
    </row>
    <row r="6619">
      <c r="R6619" s="58"/>
    </row>
    <row r="6620">
      <c r="R6620" s="58"/>
    </row>
    <row r="6621">
      <c r="R6621" s="58"/>
    </row>
    <row r="6622">
      <c r="R6622" s="58"/>
    </row>
    <row r="6623">
      <c r="R6623" s="58"/>
    </row>
    <row r="6624">
      <c r="R6624" s="58"/>
    </row>
    <row r="6625">
      <c r="R6625" s="58"/>
    </row>
    <row r="6626">
      <c r="R6626" s="58"/>
    </row>
    <row r="6627">
      <c r="R6627" s="58"/>
    </row>
    <row r="6628">
      <c r="R6628" s="58"/>
    </row>
    <row r="6629">
      <c r="R6629" s="58"/>
    </row>
    <row r="6630">
      <c r="R6630" s="58"/>
    </row>
    <row r="6631">
      <c r="R6631" s="58"/>
    </row>
    <row r="6632">
      <c r="R6632" s="58"/>
    </row>
    <row r="6633">
      <c r="R6633" s="58"/>
    </row>
    <row r="6634">
      <c r="R6634" s="58"/>
    </row>
    <row r="6635">
      <c r="R6635" s="58"/>
    </row>
    <row r="6636">
      <c r="R6636" s="58"/>
    </row>
    <row r="6637">
      <c r="R6637" s="58"/>
    </row>
    <row r="6638">
      <c r="R6638" s="58"/>
    </row>
    <row r="6639">
      <c r="R6639" s="58"/>
    </row>
    <row r="6640">
      <c r="R6640" s="58"/>
    </row>
    <row r="6641">
      <c r="R6641" s="58"/>
    </row>
    <row r="6642">
      <c r="R6642" s="58"/>
    </row>
    <row r="6643">
      <c r="R6643" s="58"/>
    </row>
    <row r="6644">
      <c r="R6644" s="58"/>
    </row>
    <row r="6645">
      <c r="R6645" s="58"/>
    </row>
    <row r="6646">
      <c r="R6646" s="58"/>
    </row>
    <row r="6647">
      <c r="R6647" s="58"/>
    </row>
    <row r="6648">
      <c r="R6648" s="58"/>
    </row>
    <row r="6649">
      <c r="R6649" s="58"/>
    </row>
    <row r="6650">
      <c r="R6650" s="58"/>
    </row>
    <row r="6651">
      <c r="R6651" s="58"/>
    </row>
    <row r="6652">
      <c r="R6652" s="58"/>
    </row>
    <row r="6653">
      <c r="R6653" s="58"/>
    </row>
    <row r="6654">
      <c r="R6654" s="58"/>
    </row>
    <row r="6655">
      <c r="R6655" s="58"/>
    </row>
    <row r="6656">
      <c r="R6656" s="58"/>
    </row>
    <row r="6657">
      <c r="R6657" s="58"/>
    </row>
    <row r="6658">
      <c r="R6658" s="58"/>
    </row>
    <row r="6659">
      <c r="R6659" s="58"/>
    </row>
    <row r="6660">
      <c r="R6660" s="58"/>
    </row>
    <row r="6661">
      <c r="R6661" s="58"/>
    </row>
    <row r="6662">
      <c r="R6662" s="58"/>
    </row>
    <row r="6663">
      <c r="R6663" s="58"/>
    </row>
    <row r="6664">
      <c r="R6664" s="58"/>
    </row>
    <row r="6665">
      <c r="R6665" s="58"/>
    </row>
    <row r="6666">
      <c r="R6666" s="58"/>
    </row>
    <row r="6667">
      <c r="R6667" s="58"/>
    </row>
    <row r="6668">
      <c r="R6668" s="58"/>
    </row>
    <row r="6669">
      <c r="R6669" s="58"/>
    </row>
    <row r="6670">
      <c r="R6670" s="58"/>
    </row>
    <row r="6671">
      <c r="R6671" s="58"/>
    </row>
    <row r="6672">
      <c r="R6672" s="58"/>
    </row>
    <row r="6673">
      <c r="R6673" s="58"/>
    </row>
    <row r="6674">
      <c r="R6674" s="58"/>
    </row>
    <row r="6675">
      <c r="R6675" s="58"/>
    </row>
    <row r="6676">
      <c r="R6676" s="58"/>
    </row>
    <row r="6677">
      <c r="R6677" s="58"/>
    </row>
    <row r="6678">
      <c r="R6678" s="58"/>
    </row>
    <row r="6679">
      <c r="R6679" s="58"/>
    </row>
    <row r="6680">
      <c r="R6680" s="58"/>
    </row>
    <row r="6681">
      <c r="R6681" s="58"/>
    </row>
    <row r="6682">
      <c r="R6682" s="58"/>
    </row>
    <row r="6683">
      <c r="R6683" s="58"/>
    </row>
    <row r="6684">
      <c r="R6684" s="58"/>
    </row>
    <row r="6685">
      <c r="R6685" s="58"/>
    </row>
    <row r="6686">
      <c r="R6686" s="58"/>
    </row>
    <row r="6687">
      <c r="R6687" s="58"/>
    </row>
    <row r="6688">
      <c r="R6688" s="58"/>
    </row>
    <row r="6689">
      <c r="R6689" s="58"/>
    </row>
    <row r="6690">
      <c r="R6690" s="58"/>
    </row>
    <row r="6691">
      <c r="R6691" s="58"/>
    </row>
    <row r="6692">
      <c r="R6692" s="58"/>
    </row>
    <row r="6693">
      <c r="R6693" s="58"/>
    </row>
    <row r="6694">
      <c r="R6694" s="58"/>
    </row>
    <row r="6695">
      <c r="R6695" s="58"/>
    </row>
    <row r="6696">
      <c r="R6696" s="58"/>
    </row>
    <row r="6697">
      <c r="R6697" s="58"/>
    </row>
    <row r="6698">
      <c r="R6698" s="58"/>
    </row>
    <row r="6699">
      <c r="R6699" s="58"/>
    </row>
    <row r="6700">
      <c r="R6700" s="58"/>
    </row>
    <row r="6701">
      <c r="R6701" s="58"/>
    </row>
    <row r="6702">
      <c r="R6702" s="58"/>
    </row>
    <row r="6703">
      <c r="R6703" s="58"/>
    </row>
    <row r="6704">
      <c r="R6704" s="58"/>
    </row>
    <row r="6705">
      <c r="R6705" s="58"/>
    </row>
    <row r="6706">
      <c r="R6706" s="58"/>
    </row>
    <row r="6707">
      <c r="R6707" s="58"/>
    </row>
    <row r="6708">
      <c r="R6708" s="58"/>
    </row>
    <row r="6709">
      <c r="R6709" s="58"/>
    </row>
    <row r="6710">
      <c r="R6710" s="58"/>
    </row>
    <row r="6711">
      <c r="R6711" s="58"/>
    </row>
    <row r="6712">
      <c r="R6712" s="58"/>
    </row>
    <row r="6713">
      <c r="R6713" s="58"/>
    </row>
    <row r="6714">
      <c r="R6714" s="58"/>
    </row>
    <row r="6715">
      <c r="R6715" s="58"/>
    </row>
    <row r="6716">
      <c r="R6716" s="58"/>
    </row>
    <row r="6717">
      <c r="R6717" s="58"/>
    </row>
    <row r="6718">
      <c r="R6718" s="58"/>
    </row>
    <row r="6719">
      <c r="R6719" s="58"/>
    </row>
    <row r="6720">
      <c r="R6720" s="58"/>
    </row>
    <row r="6721">
      <c r="R6721" s="58"/>
    </row>
    <row r="6722">
      <c r="R6722" s="58"/>
    </row>
    <row r="6723">
      <c r="R6723" s="58"/>
    </row>
    <row r="6724">
      <c r="R6724" s="58"/>
    </row>
    <row r="6725">
      <c r="R6725" s="58"/>
    </row>
    <row r="6726">
      <c r="R6726" s="58"/>
    </row>
    <row r="6727">
      <c r="R6727" s="58"/>
    </row>
    <row r="6728">
      <c r="R6728" s="58"/>
    </row>
    <row r="6729">
      <c r="R6729" s="58"/>
    </row>
    <row r="6730">
      <c r="R6730" s="58"/>
    </row>
    <row r="6731">
      <c r="R6731" s="58"/>
    </row>
    <row r="6732">
      <c r="R6732" s="58"/>
    </row>
    <row r="6733">
      <c r="R6733" s="58"/>
    </row>
    <row r="6734">
      <c r="R6734" s="58"/>
    </row>
    <row r="6735">
      <c r="R6735" s="58"/>
    </row>
    <row r="6736">
      <c r="R6736" s="58"/>
    </row>
    <row r="6737">
      <c r="R6737" s="58"/>
    </row>
    <row r="6738">
      <c r="R6738" s="58"/>
    </row>
    <row r="6739">
      <c r="R6739" s="58"/>
    </row>
    <row r="6740">
      <c r="R6740" s="58"/>
    </row>
    <row r="6741">
      <c r="R6741" s="58"/>
    </row>
    <row r="6742">
      <c r="R6742" s="58"/>
    </row>
    <row r="6743">
      <c r="R6743" s="58"/>
    </row>
    <row r="6744">
      <c r="R6744" s="58"/>
    </row>
    <row r="6745">
      <c r="R6745" s="58"/>
    </row>
    <row r="6746">
      <c r="R6746" s="58"/>
    </row>
    <row r="6747">
      <c r="R6747" s="58"/>
    </row>
    <row r="6748">
      <c r="R6748" s="58"/>
    </row>
    <row r="6749">
      <c r="R6749" s="58"/>
    </row>
    <row r="6750">
      <c r="R6750" s="58"/>
    </row>
    <row r="6751">
      <c r="R6751" s="58"/>
    </row>
    <row r="6752">
      <c r="R6752" s="58"/>
    </row>
    <row r="6753">
      <c r="R6753" s="58"/>
    </row>
    <row r="6754">
      <c r="R6754" s="58"/>
    </row>
    <row r="6755">
      <c r="R6755" s="58"/>
    </row>
    <row r="6756">
      <c r="R6756" s="58"/>
    </row>
    <row r="6757">
      <c r="R6757" s="58"/>
    </row>
    <row r="6758">
      <c r="R6758" s="58"/>
    </row>
    <row r="6759">
      <c r="R6759" s="58"/>
    </row>
    <row r="6760">
      <c r="R6760" s="58"/>
    </row>
    <row r="6761">
      <c r="R6761" s="58"/>
    </row>
    <row r="6762">
      <c r="R6762" s="58"/>
    </row>
    <row r="6763">
      <c r="R6763" s="58"/>
    </row>
    <row r="6764">
      <c r="R6764" s="58"/>
    </row>
    <row r="6765">
      <c r="R6765" s="58"/>
    </row>
    <row r="6766">
      <c r="R6766" s="58"/>
    </row>
    <row r="6767">
      <c r="R6767" s="58"/>
    </row>
    <row r="6768">
      <c r="R6768" s="58"/>
    </row>
    <row r="6769">
      <c r="R6769" s="58"/>
    </row>
    <row r="6770">
      <c r="R6770" s="58"/>
    </row>
    <row r="6771">
      <c r="R6771" s="58"/>
    </row>
    <row r="6772">
      <c r="R6772" s="58"/>
    </row>
    <row r="6773">
      <c r="R6773" s="58"/>
    </row>
    <row r="6774">
      <c r="R6774" s="58"/>
    </row>
    <row r="6775">
      <c r="R6775" s="58"/>
    </row>
    <row r="6776">
      <c r="R6776" s="58"/>
    </row>
    <row r="6777">
      <c r="R6777" s="58"/>
    </row>
    <row r="6778">
      <c r="R6778" s="58"/>
    </row>
    <row r="6779">
      <c r="R6779" s="58"/>
    </row>
    <row r="6780">
      <c r="R6780" s="58"/>
    </row>
    <row r="6781">
      <c r="R6781" s="58"/>
    </row>
    <row r="6782">
      <c r="R6782" s="58"/>
    </row>
    <row r="6783">
      <c r="R6783" s="58"/>
    </row>
    <row r="6784">
      <c r="R6784" s="58"/>
    </row>
    <row r="6785">
      <c r="R6785" s="58"/>
    </row>
    <row r="6786">
      <c r="R6786" s="58"/>
    </row>
    <row r="6787">
      <c r="R6787" s="58"/>
    </row>
    <row r="6788">
      <c r="R6788" s="58"/>
    </row>
    <row r="6789">
      <c r="R6789" s="58"/>
    </row>
    <row r="6790">
      <c r="R6790" s="58"/>
    </row>
    <row r="6791">
      <c r="R6791" s="58"/>
    </row>
    <row r="6792">
      <c r="R6792" s="58"/>
    </row>
    <row r="6793">
      <c r="R6793" s="58"/>
    </row>
    <row r="6794">
      <c r="R6794" s="58"/>
    </row>
    <row r="6795">
      <c r="R6795" s="58"/>
    </row>
    <row r="6796">
      <c r="R6796" s="58"/>
    </row>
    <row r="6797">
      <c r="R6797" s="58"/>
    </row>
    <row r="6798">
      <c r="R6798" s="58"/>
    </row>
    <row r="6799">
      <c r="R6799" s="58"/>
    </row>
    <row r="6800">
      <c r="R6800" s="58"/>
    </row>
    <row r="6801">
      <c r="R6801" s="58"/>
    </row>
    <row r="6802">
      <c r="R6802" s="58"/>
    </row>
    <row r="6803">
      <c r="R6803" s="58"/>
    </row>
    <row r="6804">
      <c r="R6804" s="58"/>
    </row>
    <row r="6805">
      <c r="R6805" s="58"/>
    </row>
    <row r="6806">
      <c r="R6806" s="58"/>
    </row>
    <row r="6807">
      <c r="R6807" s="58"/>
    </row>
    <row r="6808">
      <c r="R6808" s="58"/>
    </row>
    <row r="6809">
      <c r="R6809" s="58"/>
    </row>
    <row r="6810">
      <c r="R6810" s="58"/>
    </row>
    <row r="6811">
      <c r="R6811" s="58"/>
    </row>
    <row r="6812">
      <c r="R6812" s="58"/>
    </row>
    <row r="6813">
      <c r="R6813" s="58"/>
    </row>
    <row r="6814">
      <c r="R6814" s="58"/>
    </row>
    <row r="6815">
      <c r="R6815" s="58"/>
    </row>
    <row r="6816">
      <c r="R6816" s="58"/>
    </row>
    <row r="6817">
      <c r="R6817" s="58"/>
    </row>
    <row r="6818">
      <c r="R6818" s="58"/>
    </row>
    <row r="6819">
      <c r="R6819" s="58"/>
    </row>
    <row r="6820">
      <c r="R6820" s="58"/>
    </row>
    <row r="6821">
      <c r="R6821" s="58"/>
    </row>
    <row r="6822">
      <c r="R6822" s="58"/>
    </row>
    <row r="6823">
      <c r="R6823" s="58"/>
    </row>
    <row r="6824">
      <c r="R6824" s="58"/>
    </row>
    <row r="6825">
      <c r="R6825" s="58"/>
    </row>
    <row r="6826">
      <c r="R6826" s="58"/>
    </row>
    <row r="6827">
      <c r="R6827" s="58"/>
    </row>
    <row r="6828">
      <c r="R6828" s="58"/>
    </row>
    <row r="6829">
      <c r="R6829" s="58"/>
    </row>
    <row r="6830">
      <c r="R6830" s="58"/>
    </row>
    <row r="6831">
      <c r="R6831" s="58"/>
    </row>
    <row r="6832">
      <c r="R6832" s="58"/>
    </row>
    <row r="6833">
      <c r="R6833" s="58"/>
    </row>
    <row r="6834">
      <c r="R6834" s="58"/>
    </row>
    <row r="6835">
      <c r="R6835" s="58"/>
    </row>
    <row r="6836">
      <c r="R6836" s="58"/>
    </row>
    <row r="6837">
      <c r="R6837" s="58"/>
    </row>
    <row r="6838">
      <c r="R6838" s="58"/>
    </row>
    <row r="6839">
      <c r="R6839" s="58"/>
    </row>
    <row r="6840">
      <c r="R6840" s="58"/>
    </row>
    <row r="6841">
      <c r="R6841" s="58"/>
    </row>
    <row r="6842">
      <c r="R6842" s="58"/>
    </row>
    <row r="6843">
      <c r="R6843" s="58"/>
    </row>
    <row r="6844">
      <c r="R6844" s="58"/>
    </row>
    <row r="6845">
      <c r="R6845" s="58"/>
    </row>
    <row r="6846">
      <c r="R6846" s="58"/>
    </row>
    <row r="6847">
      <c r="R6847" s="58"/>
    </row>
    <row r="6848">
      <c r="R6848" s="58"/>
    </row>
    <row r="6849">
      <c r="R6849" s="58"/>
    </row>
    <row r="6850">
      <c r="R6850" s="58"/>
    </row>
    <row r="6851">
      <c r="R6851" s="58"/>
    </row>
    <row r="6852">
      <c r="R6852" s="58"/>
    </row>
    <row r="6853">
      <c r="R6853" s="58"/>
    </row>
    <row r="6854">
      <c r="R6854" s="58"/>
    </row>
    <row r="6855">
      <c r="R6855" s="58"/>
    </row>
    <row r="6856">
      <c r="R6856" s="58"/>
    </row>
    <row r="6857">
      <c r="R6857" s="58"/>
    </row>
    <row r="6858">
      <c r="R6858" s="58"/>
    </row>
    <row r="6859">
      <c r="R6859" s="58"/>
    </row>
    <row r="6860">
      <c r="R6860" s="58"/>
    </row>
    <row r="6861">
      <c r="R6861" s="58"/>
    </row>
    <row r="6862">
      <c r="R6862" s="58"/>
    </row>
    <row r="6863">
      <c r="R6863" s="58"/>
    </row>
    <row r="6864">
      <c r="R6864" s="58"/>
    </row>
    <row r="6865">
      <c r="R6865" s="58"/>
    </row>
    <row r="6866">
      <c r="R6866" s="58"/>
    </row>
    <row r="6867">
      <c r="R6867" s="58"/>
    </row>
    <row r="6868">
      <c r="R6868" s="58"/>
    </row>
    <row r="6869">
      <c r="R6869" s="58"/>
    </row>
    <row r="6870">
      <c r="R6870" s="58"/>
    </row>
    <row r="6871">
      <c r="R6871" s="58"/>
    </row>
    <row r="6872">
      <c r="R6872" s="58"/>
    </row>
    <row r="6873">
      <c r="R6873" s="58"/>
    </row>
    <row r="6874">
      <c r="R6874" s="58"/>
    </row>
    <row r="6875">
      <c r="R6875" s="58"/>
    </row>
    <row r="6876">
      <c r="R6876" s="58"/>
    </row>
    <row r="6877">
      <c r="R6877" s="58"/>
    </row>
    <row r="6878">
      <c r="R6878" s="58"/>
    </row>
    <row r="6879">
      <c r="R6879" s="58"/>
    </row>
    <row r="6880">
      <c r="R6880" s="58"/>
    </row>
    <row r="6881">
      <c r="R6881" s="58"/>
    </row>
    <row r="6882">
      <c r="R6882" s="58"/>
    </row>
    <row r="6883">
      <c r="R6883" s="58"/>
    </row>
    <row r="6884">
      <c r="R6884" s="58"/>
    </row>
    <row r="6885">
      <c r="R6885" s="58"/>
    </row>
    <row r="6886">
      <c r="R6886" s="58"/>
    </row>
    <row r="6887">
      <c r="R6887" s="58"/>
    </row>
    <row r="6888">
      <c r="R6888" s="58"/>
    </row>
    <row r="6889">
      <c r="R6889" s="58"/>
    </row>
    <row r="6890">
      <c r="R6890" s="58"/>
    </row>
    <row r="6891">
      <c r="R6891" s="58"/>
    </row>
    <row r="6892">
      <c r="R6892" s="58"/>
    </row>
    <row r="6893">
      <c r="R6893" s="58"/>
    </row>
    <row r="6894">
      <c r="R6894" s="58"/>
    </row>
    <row r="6895">
      <c r="R6895" s="58"/>
    </row>
    <row r="6896">
      <c r="R6896" s="58"/>
    </row>
    <row r="6897">
      <c r="R6897" s="58"/>
    </row>
    <row r="6898">
      <c r="R6898" s="58"/>
    </row>
    <row r="6899">
      <c r="R6899" s="58"/>
    </row>
    <row r="6900">
      <c r="R6900" s="58"/>
    </row>
    <row r="6901">
      <c r="R6901" s="58"/>
    </row>
    <row r="6902">
      <c r="R6902" s="58"/>
    </row>
    <row r="6903">
      <c r="R6903" s="58"/>
    </row>
    <row r="6904">
      <c r="R6904" s="58"/>
    </row>
    <row r="6905">
      <c r="R6905" s="58"/>
    </row>
    <row r="6906">
      <c r="R6906" s="58"/>
    </row>
    <row r="6907">
      <c r="R6907" s="58"/>
    </row>
    <row r="6908">
      <c r="R6908" s="58"/>
    </row>
    <row r="6909">
      <c r="R6909" s="58"/>
    </row>
    <row r="6910">
      <c r="R6910" s="58"/>
    </row>
    <row r="6911">
      <c r="R6911" s="58"/>
    </row>
    <row r="6912">
      <c r="R6912" s="58"/>
    </row>
    <row r="6913">
      <c r="R6913" s="58"/>
    </row>
    <row r="6914">
      <c r="R6914" s="58"/>
    </row>
    <row r="6915">
      <c r="R6915" s="58"/>
    </row>
    <row r="6916">
      <c r="R6916" s="58"/>
    </row>
    <row r="6917">
      <c r="R6917" s="58"/>
    </row>
    <row r="6918">
      <c r="R6918" s="58"/>
    </row>
    <row r="6919">
      <c r="R6919" s="58"/>
    </row>
    <row r="6920">
      <c r="R6920" s="58"/>
    </row>
    <row r="6921">
      <c r="R6921" s="58"/>
    </row>
    <row r="6922">
      <c r="R6922" s="58"/>
    </row>
    <row r="6923">
      <c r="R6923" s="58"/>
    </row>
    <row r="6924">
      <c r="R6924" s="58"/>
    </row>
    <row r="6925">
      <c r="R6925" s="58"/>
    </row>
    <row r="6926">
      <c r="R6926" s="58"/>
    </row>
    <row r="6927">
      <c r="R6927" s="58"/>
    </row>
    <row r="6928">
      <c r="R6928" s="58"/>
    </row>
    <row r="6929">
      <c r="R6929" s="58"/>
    </row>
    <row r="6930">
      <c r="R6930" s="58"/>
    </row>
    <row r="6931">
      <c r="R6931" s="58"/>
    </row>
    <row r="6932">
      <c r="R6932" s="58"/>
    </row>
    <row r="6933">
      <c r="R6933" s="58"/>
    </row>
    <row r="6934">
      <c r="R6934" s="58"/>
    </row>
    <row r="6935">
      <c r="R6935" s="58"/>
    </row>
    <row r="6936">
      <c r="R6936" s="58"/>
    </row>
    <row r="6937">
      <c r="R6937" s="58"/>
    </row>
    <row r="6938">
      <c r="R6938" s="58"/>
    </row>
    <row r="6939">
      <c r="R6939" s="58"/>
    </row>
    <row r="6940">
      <c r="R6940" s="58"/>
    </row>
    <row r="6941">
      <c r="R6941" s="58"/>
    </row>
    <row r="6942">
      <c r="R6942" s="58"/>
    </row>
    <row r="6943">
      <c r="R6943" s="58"/>
    </row>
    <row r="6944">
      <c r="R6944" s="58"/>
    </row>
    <row r="6945">
      <c r="R6945" s="58"/>
    </row>
    <row r="6946">
      <c r="R6946" s="58"/>
    </row>
    <row r="6947">
      <c r="R6947" s="58"/>
    </row>
    <row r="6948">
      <c r="R6948" s="58"/>
    </row>
    <row r="6949">
      <c r="R6949" s="58"/>
    </row>
    <row r="6950">
      <c r="R6950" s="58"/>
    </row>
    <row r="6951">
      <c r="R6951" s="58"/>
    </row>
    <row r="6952">
      <c r="R6952" s="58"/>
    </row>
    <row r="6953">
      <c r="R6953" s="58"/>
    </row>
    <row r="6954">
      <c r="R6954" s="58"/>
    </row>
    <row r="6955">
      <c r="R6955" s="58"/>
    </row>
    <row r="6956">
      <c r="R6956" s="58"/>
    </row>
    <row r="6957">
      <c r="R6957" s="58"/>
    </row>
    <row r="6958">
      <c r="R6958" s="58"/>
    </row>
    <row r="6959">
      <c r="R6959" s="58"/>
    </row>
    <row r="6960">
      <c r="R6960" s="58"/>
    </row>
    <row r="6961">
      <c r="R6961" s="58"/>
    </row>
    <row r="6962">
      <c r="R6962" s="58"/>
    </row>
    <row r="6963">
      <c r="R6963" s="58"/>
    </row>
    <row r="6964">
      <c r="R6964" s="58"/>
    </row>
    <row r="6965">
      <c r="R6965" s="58"/>
    </row>
    <row r="6966">
      <c r="R6966" s="58"/>
    </row>
    <row r="6967">
      <c r="R6967" s="58"/>
    </row>
    <row r="6968">
      <c r="R6968" s="58"/>
    </row>
    <row r="6969">
      <c r="R6969" s="58"/>
    </row>
    <row r="6970">
      <c r="R6970" s="58"/>
    </row>
    <row r="6971">
      <c r="R6971" s="58"/>
    </row>
    <row r="6972">
      <c r="R6972" s="58"/>
    </row>
    <row r="6973">
      <c r="R6973" s="58"/>
    </row>
    <row r="6974">
      <c r="R6974" s="58"/>
    </row>
    <row r="6975">
      <c r="R6975" s="58"/>
    </row>
    <row r="6976">
      <c r="R6976" s="58"/>
    </row>
    <row r="6977">
      <c r="R6977" s="58"/>
    </row>
    <row r="6978">
      <c r="R6978" s="58"/>
    </row>
    <row r="6979">
      <c r="R6979" s="58"/>
    </row>
    <row r="6980">
      <c r="R6980" s="58"/>
    </row>
    <row r="6981">
      <c r="R6981" s="58"/>
    </row>
    <row r="6982">
      <c r="R6982" s="58"/>
    </row>
    <row r="6983">
      <c r="R6983" s="58"/>
    </row>
    <row r="6984">
      <c r="R6984" s="58"/>
    </row>
    <row r="6985">
      <c r="R6985" s="58"/>
    </row>
    <row r="6986">
      <c r="R6986" s="58"/>
    </row>
    <row r="6987">
      <c r="R6987" s="58"/>
    </row>
    <row r="6988">
      <c r="R6988" s="58"/>
    </row>
    <row r="6989">
      <c r="R6989" s="58"/>
    </row>
    <row r="6990">
      <c r="R6990" s="58"/>
    </row>
    <row r="6991">
      <c r="R6991" s="58"/>
    </row>
    <row r="6992">
      <c r="R6992" s="58"/>
    </row>
    <row r="6993">
      <c r="R6993" s="58"/>
    </row>
    <row r="6994">
      <c r="R6994" s="58"/>
    </row>
    <row r="6995">
      <c r="R6995" s="58"/>
    </row>
    <row r="6996">
      <c r="R6996" s="58"/>
    </row>
    <row r="6997">
      <c r="R6997" s="58"/>
    </row>
    <row r="6998">
      <c r="R6998" s="58"/>
    </row>
    <row r="6999">
      <c r="R6999" s="58"/>
    </row>
    <row r="7000">
      <c r="R7000" s="58"/>
    </row>
    <row r="7001">
      <c r="R7001" s="58"/>
    </row>
    <row r="7002">
      <c r="R7002" s="58"/>
    </row>
    <row r="7003">
      <c r="R7003" s="58"/>
    </row>
    <row r="7004">
      <c r="R7004" s="58"/>
    </row>
    <row r="7005">
      <c r="R7005" s="58"/>
    </row>
  </sheetData>
  <mergeCells count="96">
    <mergeCell ref="A1:E1"/>
    <mergeCell ref="F1:G1"/>
    <mergeCell ref="H1:I1"/>
    <mergeCell ref="B18:B19"/>
    <mergeCell ref="C18:C19"/>
    <mergeCell ref="D18:D19"/>
    <mergeCell ref="E18:E19"/>
    <mergeCell ref="D24:D25"/>
    <mergeCell ref="E24:E25"/>
    <mergeCell ref="A18:A19"/>
    <mergeCell ref="A21:A22"/>
    <mergeCell ref="B21:B22"/>
    <mergeCell ref="C21:C22"/>
    <mergeCell ref="D21:D22"/>
    <mergeCell ref="E21:E22"/>
    <mergeCell ref="A24:A25"/>
    <mergeCell ref="B24:B25"/>
    <mergeCell ref="C24:C25"/>
    <mergeCell ref="A27:A28"/>
    <mergeCell ref="B27:B28"/>
    <mergeCell ref="C27:C28"/>
    <mergeCell ref="D27:D28"/>
    <mergeCell ref="E27:E28"/>
    <mergeCell ref="C33:C34"/>
    <mergeCell ref="D33:D34"/>
    <mergeCell ref="F33:F34"/>
    <mergeCell ref="A29:A30"/>
    <mergeCell ref="B29:B30"/>
    <mergeCell ref="C29:C30"/>
    <mergeCell ref="D29:D30"/>
    <mergeCell ref="E29:E30"/>
    <mergeCell ref="B33:B34"/>
    <mergeCell ref="E33:E34"/>
    <mergeCell ref="A33:A34"/>
    <mergeCell ref="A35:A36"/>
    <mergeCell ref="B35:B36"/>
    <mergeCell ref="C35:C36"/>
    <mergeCell ref="D35:D36"/>
    <mergeCell ref="E35:E36"/>
    <mergeCell ref="F35:F36"/>
    <mergeCell ref="I45:I46"/>
    <mergeCell ref="J45:J46"/>
    <mergeCell ref="K45:K46"/>
    <mergeCell ref="H47:H48"/>
    <mergeCell ref="I47:I48"/>
    <mergeCell ref="J47:J48"/>
    <mergeCell ref="K47:K48"/>
    <mergeCell ref="H49:H50"/>
    <mergeCell ref="I49:I50"/>
    <mergeCell ref="J49:J50"/>
    <mergeCell ref="K49:K50"/>
    <mergeCell ref="H51:H52"/>
    <mergeCell ref="I51:I52"/>
    <mergeCell ref="J51:J52"/>
    <mergeCell ref="A37:A38"/>
    <mergeCell ref="B37:B38"/>
    <mergeCell ref="C37:C38"/>
    <mergeCell ref="D37:D38"/>
    <mergeCell ref="E37:E38"/>
    <mergeCell ref="F37:F38"/>
    <mergeCell ref="A39:A40"/>
    <mergeCell ref="F39:F40"/>
    <mergeCell ref="I41:I42"/>
    <mergeCell ref="J41:J42"/>
    <mergeCell ref="D39:D40"/>
    <mergeCell ref="E39:E40"/>
    <mergeCell ref="H39:K39"/>
    <mergeCell ref="H40:H42"/>
    <mergeCell ref="D41:D42"/>
    <mergeCell ref="E41:E42"/>
    <mergeCell ref="F41:F42"/>
    <mergeCell ref="K41:K42"/>
    <mergeCell ref="C43:C44"/>
    <mergeCell ref="D43:D44"/>
    <mergeCell ref="E43:E44"/>
    <mergeCell ref="F43:F44"/>
    <mergeCell ref="H43:H44"/>
    <mergeCell ref="I43:I44"/>
    <mergeCell ref="J43:J44"/>
    <mergeCell ref="K43:K44"/>
    <mergeCell ref="B39:B40"/>
    <mergeCell ref="C39:C40"/>
    <mergeCell ref="A41:A42"/>
    <mergeCell ref="B41:B42"/>
    <mergeCell ref="C41:C42"/>
    <mergeCell ref="A43:A44"/>
    <mergeCell ref="B43:B44"/>
    <mergeCell ref="A45:A46"/>
    <mergeCell ref="B45:B46"/>
    <mergeCell ref="C45:C46"/>
    <mergeCell ref="D45:D46"/>
    <mergeCell ref="E45:E46"/>
    <mergeCell ref="F45:F46"/>
    <mergeCell ref="H45:H46"/>
    <mergeCell ref="O58:O62"/>
    <mergeCell ref="O63:O67"/>
  </mergeCells>
  <conditionalFormatting sqref="A17 A20 A23 A26">
    <cfRule type="cellIs" dxfId="3" priority="1" operator="equal">
      <formula>"⮭"</formula>
    </cfRule>
  </conditionalFormatting>
  <conditionalFormatting sqref="A17 A20 A23 A26">
    <cfRule type="cellIs" dxfId="4" priority="2" operator="equal">
      <formula>"⮮"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0"/>
    <col customWidth="1" min="2" max="2" width="13.0"/>
    <col customWidth="1" min="3" max="3" width="9.13"/>
    <col customWidth="1" min="4" max="4" width="10.38"/>
    <col customWidth="1" min="5" max="6" width="6.13"/>
    <col customWidth="1" min="7" max="8" width="6.63"/>
    <col customWidth="1" min="9" max="9" width="19.75"/>
    <col customWidth="1" min="10" max="10" width="8.75"/>
    <col customWidth="1" min="11" max="11" width="7.88"/>
    <col customWidth="1" min="12" max="12" width="5.38"/>
    <col customWidth="1" min="13" max="13" width="16.88"/>
    <col customWidth="1" min="14" max="14" width="5.88"/>
    <col customWidth="1" min="15" max="15" width="6.75"/>
    <col customWidth="1" min="16" max="16" width="15.38"/>
    <col customWidth="1" min="17" max="17" width="16.63"/>
    <col customWidth="1" min="18" max="18" width="6.38"/>
    <col customWidth="1" min="19" max="19" width="7.88"/>
    <col customWidth="1" min="20" max="20" width="5.63"/>
  </cols>
  <sheetData>
    <row r="1">
      <c r="A1" s="81" t="s">
        <v>55</v>
      </c>
      <c r="B1" s="81" t="s">
        <v>14</v>
      </c>
      <c r="C1" s="81" t="s">
        <v>56</v>
      </c>
      <c r="D1" s="82" t="s">
        <v>57</v>
      </c>
      <c r="E1" s="83" t="s">
        <v>58</v>
      </c>
      <c r="F1" s="84" t="s">
        <v>59</v>
      </c>
      <c r="G1" s="84" t="s">
        <v>11</v>
      </c>
      <c r="H1" s="81" t="s">
        <v>53</v>
      </c>
      <c r="I1" s="75" t="s">
        <v>60</v>
      </c>
      <c r="J1" s="81" t="s">
        <v>61</v>
      </c>
      <c r="K1" s="75" t="s">
        <v>62</v>
      </c>
      <c r="L1" s="81" t="s">
        <v>63</v>
      </c>
      <c r="M1" s="81" t="s">
        <v>64</v>
      </c>
      <c r="N1" s="78" t="s">
        <v>65</v>
      </c>
      <c r="O1" s="78" t="s">
        <v>66</v>
      </c>
    </row>
    <row r="2">
      <c r="A2" s="78" t="s">
        <v>67</v>
      </c>
      <c r="B2" s="78" t="s">
        <v>17</v>
      </c>
      <c r="C2" s="85">
        <v>43949.0</v>
      </c>
      <c r="D2" s="85">
        <v>43953.0</v>
      </c>
      <c r="E2" s="86">
        <v>4.25</v>
      </c>
      <c r="F2" s="87">
        <v>5.55</v>
      </c>
      <c r="G2" s="88">
        <f t="shared" ref="G2:G8011" si="1">MINUS(F2,E2)</f>
        <v>1.3</v>
      </c>
      <c r="H2" s="89">
        <f t="shared" ref="H2:H1212" si="2">IFERROR(G2/F2,"")</f>
        <v>0.2342342342</v>
      </c>
      <c r="I2" s="90" t="s">
        <v>68</v>
      </c>
      <c r="J2" s="78" t="s">
        <v>69</v>
      </c>
      <c r="K2" s="58">
        <f t="shared" ref="K2:K4112" si="3">IFERROR(DATEDIF(C2,D2,"D"), "")</f>
        <v>4</v>
      </c>
      <c r="L2" s="91" t="str">
        <f t="shared" ref="L2:L792" si="4">IF(D2="","",TEXT(D2,"DDD"))</f>
        <v>Sat</v>
      </c>
      <c r="M2" s="78" t="str">
        <f>IFERROR(VLOOKUP(A2, Entries!A:B,2,false),"")</f>
        <v>SEGA</v>
      </c>
      <c r="N2" s="23" t="str">
        <f>IFERROR(VLOOKUP(A2, Entries!A:K,11,false),"")</f>
        <v/>
      </c>
      <c r="O2" s="23" t="b">
        <f>IFERROR(VLOOKUP(A2, Entries!A:I,8,false),"")</f>
        <v>0</v>
      </c>
    </row>
    <row r="3">
      <c r="A3" s="78" t="s">
        <v>67</v>
      </c>
      <c r="B3" s="78" t="s">
        <v>17</v>
      </c>
      <c r="C3" s="85">
        <v>43949.0</v>
      </c>
      <c r="D3" s="85">
        <v>43960.0</v>
      </c>
      <c r="E3" s="86">
        <v>4.25</v>
      </c>
      <c r="F3" s="87">
        <v>5.05</v>
      </c>
      <c r="G3" s="88">
        <f t="shared" si="1"/>
        <v>0.8</v>
      </c>
      <c r="H3" s="89">
        <f t="shared" si="2"/>
        <v>0.1584158416</v>
      </c>
      <c r="I3" s="90" t="s">
        <v>70</v>
      </c>
      <c r="J3" s="78" t="s">
        <v>69</v>
      </c>
      <c r="K3" s="58">
        <f t="shared" si="3"/>
        <v>11</v>
      </c>
      <c r="L3" s="91" t="str">
        <f t="shared" si="4"/>
        <v>Sat</v>
      </c>
      <c r="M3" s="78" t="str">
        <f>IFERROR(VLOOKUP(A3, Entries!A:B,2,false),"")</f>
        <v>SEGA</v>
      </c>
      <c r="N3" s="23" t="str">
        <f>IFERROR(VLOOKUP(A3, Entries!A:K,11,false),"")</f>
        <v/>
      </c>
      <c r="O3" s="23" t="b">
        <f>IFERROR(VLOOKUP(A3, Entries!A:I,8,false),"")</f>
        <v>0</v>
      </c>
    </row>
    <row r="4">
      <c r="A4" s="78" t="s">
        <v>67</v>
      </c>
      <c r="B4" s="78" t="s">
        <v>17</v>
      </c>
      <c r="C4" s="85">
        <v>43949.0</v>
      </c>
      <c r="D4" s="85">
        <v>43962.0</v>
      </c>
      <c r="E4" s="86">
        <v>4.25</v>
      </c>
      <c r="F4" s="87">
        <v>5.72</v>
      </c>
      <c r="G4" s="88">
        <f t="shared" si="1"/>
        <v>1.47</v>
      </c>
      <c r="H4" s="89">
        <f t="shared" si="2"/>
        <v>0.256993007</v>
      </c>
      <c r="I4" s="90" t="s">
        <v>71</v>
      </c>
      <c r="J4" s="78" t="s">
        <v>69</v>
      </c>
      <c r="K4" s="58">
        <f t="shared" si="3"/>
        <v>13</v>
      </c>
      <c r="L4" s="91" t="str">
        <f t="shared" si="4"/>
        <v>Mon</v>
      </c>
      <c r="M4" s="78" t="str">
        <f>IFERROR(VLOOKUP(A4, Entries!A:B,2,false),"")</f>
        <v>SEGA</v>
      </c>
      <c r="N4" s="23" t="str">
        <f>IFERROR(VLOOKUP(A4, Entries!A:K,11,false),"")</f>
        <v/>
      </c>
      <c r="O4" s="23" t="b">
        <f>IFERROR(VLOOKUP(A4, Entries!A:I,8,false),"")</f>
        <v>0</v>
      </c>
    </row>
    <row r="5">
      <c r="A5" s="78" t="s">
        <v>67</v>
      </c>
      <c r="B5" s="78" t="s">
        <v>17</v>
      </c>
      <c r="C5" s="85">
        <v>43949.0</v>
      </c>
      <c r="D5" s="85">
        <v>43967.0</v>
      </c>
      <c r="E5" s="86">
        <v>4.19</v>
      </c>
      <c r="F5" s="87">
        <v>5.93</v>
      </c>
      <c r="G5" s="88">
        <f t="shared" si="1"/>
        <v>1.74</v>
      </c>
      <c r="H5" s="89">
        <f t="shared" si="2"/>
        <v>0.2934232715</v>
      </c>
      <c r="I5" s="90" t="s">
        <v>72</v>
      </c>
      <c r="J5" s="78" t="s">
        <v>69</v>
      </c>
      <c r="K5" s="58">
        <f t="shared" si="3"/>
        <v>18</v>
      </c>
      <c r="L5" s="91" t="str">
        <f t="shared" si="4"/>
        <v>Sat</v>
      </c>
      <c r="M5" s="78" t="str">
        <f>IFERROR(VLOOKUP(A5, Entries!A:B,2,false),"")</f>
        <v>SEGA</v>
      </c>
      <c r="N5" s="23" t="str">
        <f>IFERROR(VLOOKUP(A5, Entries!A:K,11,false),"")</f>
        <v/>
      </c>
      <c r="O5" s="23" t="b">
        <f>IFERROR(VLOOKUP(A5, Entries!A:I,8,false),"")</f>
        <v>0</v>
      </c>
    </row>
    <row r="6">
      <c r="A6" s="78" t="s">
        <v>73</v>
      </c>
      <c r="B6" s="78" t="s">
        <v>18</v>
      </c>
      <c r="C6" s="85">
        <v>43949.0</v>
      </c>
      <c r="D6" s="85">
        <v>43952.0</v>
      </c>
      <c r="E6" s="86">
        <v>7.16</v>
      </c>
      <c r="F6" s="87">
        <v>8.34</v>
      </c>
      <c r="G6" s="88">
        <f t="shared" si="1"/>
        <v>1.18</v>
      </c>
      <c r="H6" s="89">
        <f t="shared" si="2"/>
        <v>0.1414868106</v>
      </c>
      <c r="I6" s="90" t="s">
        <v>74</v>
      </c>
      <c r="J6" s="78" t="s">
        <v>69</v>
      </c>
      <c r="K6" s="58">
        <f t="shared" si="3"/>
        <v>3</v>
      </c>
      <c r="L6" s="91" t="str">
        <f t="shared" si="4"/>
        <v>Fri</v>
      </c>
      <c r="M6" s="78" t="str">
        <f>IFERROR(VLOOKUP(A6, Entries!A:B,2,false),"")</f>
        <v>Warner Bros</v>
      </c>
      <c r="N6" s="23" t="str">
        <f>IFERROR(VLOOKUP(A6, Entries!A:K,11,false),"")</f>
        <v/>
      </c>
      <c r="O6" s="23" t="b">
        <f>IFERROR(VLOOKUP(A6, Entries!A:I,8,false),"")</f>
        <v>0</v>
      </c>
    </row>
    <row r="7">
      <c r="A7" s="78" t="s">
        <v>75</v>
      </c>
      <c r="B7" s="78" t="s">
        <v>19</v>
      </c>
      <c r="C7" s="85">
        <v>43949.0</v>
      </c>
      <c r="D7" s="85">
        <v>43949.0</v>
      </c>
      <c r="E7" s="86">
        <v>16.19</v>
      </c>
      <c r="F7" s="87">
        <v>18.3</v>
      </c>
      <c r="G7" s="88">
        <f t="shared" si="1"/>
        <v>2.11</v>
      </c>
      <c r="H7" s="89">
        <f t="shared" si="2"/>
        <v>0.1153005464</v>
      </c>
      <c r="I7" s="90" t="s">
        <v>76</v>
      </c>
      <c r="J7" s="78" t="s">
        <v>69</v>
      </c>
      <c r="K7" s="58">
        <f t="shared" si="3"/>
        <v>0</v>
      </c>
      <c r="L7" s="91" t="str">
        <f t="shared" si="4"/>
        <v>Tue</v>
      </c>
      <c r="M7" s="78" t="str">
        <f>IFERROR(VLOOKUP(A7, Entries!A:B,2,false),"")</f>
        <v>Square Enix</v>
      </c>
      <c r="N7" s="23" t="str">
        <f>IFERROR(VLOOKUP(A7, Entries!A:K,11,false),"")</f>
        <v/>
      </c>
      <c r="O7" s="23" t="b">
        <f>IFERROR(VLOOKUP(A7, Entries!A:I,8,false),"")</f>
        <v>1</v>
      </c>
    </row>
    <row r="8">
      <c r="A8" s="78" t="s">
        <v>75</v>
      </c>
      <c r="B8" s="78" t="s">
        <v>19</v>
      </c>
      <c r="C8" s="85">
        <v>43949.0</v>
      </c>
      <c r="D8" s="85">
        <v>43950.0</v>
      </c>
      <c r="E8" s="86">
        <v>16.19</v>
      </c>
      <c r="F8" s="87">
        <v>18.3</v>
      </c>
      <c r="G8" s="88">
        <f t="shared" si="1"/>
        <v>2.11</v>
      </c>
      <c r="H8" s="89">
        <f t="shared" si="2"/>
        <v>0.1153005464</v>
      </c>
      <c r="I8" s="90" t="s">
        <v>77</v>
      </c>
      <c r="J8" s="78" t="s">
        <v>69</v>
      </c>
      <c r="K8" s="58">
        <f t="shared" si="3"/>
        <v>1</v>
      </c>
      <c r="L8" s="91" t="str">
        <f t="shared" si="4"/>
        <v>Wed</v>
      </c>
      <c r="M8" s="78" t="str">
        <f>IFERROR(VLOOKUP(A8, Entries!A:B,2,false),"")</f>
        <v>Square Enix</v>
      </c>
      <c r="N8" s="23" t="str">
        <f>IFERROR(VLOOKUP(A8, Entries!A:K,11,false),"")</f>
        <v/>
      </c>
      <c r="O8" s="23" t="b">
        <f>IFERROR(VLOOKUP(A8, Entries!A:I,8,false),"")</f>
        <v>1</v>
      </c>
    </row>
    <row r="9">
      <c r="A9" s="78" t="s">
        <v>78</v>
      </c>
      <c r="B9" s="78" t="s">
        <v>21</v>
      </c>
      <c r="C9" s="85">
        <v>43950.0</v>
      </c>
      <c r="D9" s="85">
        <v>43982.0</v>
      </c>
      <c r="E9" s="86">
        <v>13.42</v>
      </c>
      <c r="F9" s="87">
        <v>14.71</v>
      </c>
      <c r="G9" s="88">
        <f t="shared" si="1"/>
        <v>1.29</v>
      </c>
      <c r="H9" s="89">
        <f t="shared" si="2"/>
        <v>0.08769544528</v>
      </c>
      <c r="I9" s="90" t="s">
        <v>79</v>
      </c>
      <c r="J9" s="78" t="s">
        <v>69</v>
      </c>
      <c r="K9" s="58">
        <f t="shared" si="3"/>
        <v>32</v>
      </c>
      <c r="L9" s="91" t="str">
        <f t="shared" si="4"/>
        <v>Sun</v>
      </c>
      <c r="M9" s="78" t="str">
        <f>IFERROR(VLOOKUP(A9, Entries!A:B,2,false),"")</f>
        <v>2K</v>
      </c>
      <c r="N9" s="23" t="str">
        <f>IFERROR(VLOOKUP(A9, Entries!A:K,11,false),"")</f>
        <v/>
      </c>
      <c r="O9" s="23" t="b">
        <f>IFERROR(VLOOKUP(A9, Entries!A:I,8,false),"")</f>
        <v>0</v>
      </c>
    </row>
    <row r="10">
      <c r="A10" s="78" t="s">
        <v>78</v>
      </c>
      <c r="B10" s="78" t="s">
        <v>21</v>
      </c>
      <c r="C10" s="85">
        <v>43950.0</v>
      </c>
      <c r="D10" s="85">
        <v>43982.0</v>
      </c>
      <c r="E10" s="86">
        <v>13.41</v>
      </c>
      <c r="F10" s="87">
        <v>15.15</v>
      </c>
      <c r="G10" s="88">
        <f t="shared" si="1"/>
        <v>1.74</v>
      </c>
      <c r="H10" s="89">
        <f t="shared" si="2"/>
        <v>0.1148514851</v>
      </c>
      <c r="I10" s="90" t="s">
        <v>80</v>
      </c>
      <c r="J10" s="78" t="s">
        <v>69</v>
      </c>
      <c r="K10" s="58">
        <f t="shared" si="3"/>
        <v>32</v>
      </c>
      <c r="L10" s="91" t="str">
        <f t="shared" si="4"/>
        <v>Sun</v>
      </c>
      <c r="M10" s="78" t="str">
        <f>IFERROR(VLOOKUP(A10, Entries!A:B,2,false),"")</f>
        <v>2K</v>
      </c>
      <c r="N10" s="23" t="str">
        <f>IFERROR(VLOOKUP(A10, Entries!A:K,11,false),"")</f>
        <v/>
      </c>
      <c r="O10" s="23" t="b">
        <f>IFERROR(VLOOKUP(A10, Entries!A:I,8,false),"")</f>
        <v>0</v>
      </c>
      <c r="P10" s="92"/>
    </row>
    <row r="11">
      <c r="A11" s="78" t="s">
        <v>78</v>
      </c>
      <c r="B11" s="78" t="s">
        <v>21</v>
      </c>
      <c r="C11" s="85">
        <v>43950.0</v>
      </c>
      <c r="D11" s="85">
        <v>43953.0</v>
      </c>
      <c r="E11" s="86">
        <v>13.5</v>
      </c>
      <c r="F11" s="87">
        <v>16.05</v>
      </c>
      <c r="G11" s="88">
        <f t="shared" si="1"/>
        <v>2.55</v>
      </c>
      <c r="H11" s="89">
        <f t="shared" si="2"/>
        <v>0.1588785047</v>
      </c>
      <c r="I11" s="90" t="s">
        <v>81</v>
      </c>
      <c r="J11" s="78" t="s">
        <v>69</v>
      </c>
      <c r="K11" s="58">
        <f t="shared" si="3"/>
        <v>3</v>
      </c>
      <c r="L11" s="91" t="str">
        <f t="shared" si="4"/>
        <v>Sat</v>
      </c>
      <c r="M11" s="78" t="str">
        <f>IFERROR(VLOOKUP(A11, Entries!A:B,2,false),"")</f>
        <v>2K</v>
      </c>
      <c r="N11" s="23" t="str">
        <f>IFERROR(VLOOKUP(A11, Entries!A:K,11,false),"")</f>
        <v/>
      </c>
      <c r="O11" s="23" t="b">
        <f>IFERROR(VLOOKUP(A11, Entries!A:I,8,false),"")</f>
        <v>0</v>
      </c>
    </row>
    <row r="12">
      <c r="A12" s="78" t="s">
        <v>78</v>
      </c>
      <c r="B12" s="78" t="s">
        <v>21</v>
      </c>
      <c r="C12" s="85">
        <v>43950.0</v>
      </c>
      <c r="D12" s="85">
        <v>43961.0</v>
      </c>
      <c r="E12" s="86">
        <v>13.5</v>
      </c>
      <c r="F12" s="87">
        <v>15.6</v>
      </c>
      <c r="G12" s="88">
        <f t="shared" si="1"/>
        <v>2.1</v>
      </c>
      <c r="H12" s="89">
        <f t="shared" si="2"/>
        <v>0.1346153846</v>
      </c>
      <c r="I12" s="90" t="s">
        <v>82</v>
      </c>
      <c r="J12" s="78" t="s">
        <v>69</v>
      </c>
      <c r="K12" s="58">
        <f t="shared" si="3"/>
        <v>11</v>
      </c>
      <c r="L12" s="91" t="str">
        <f t="shared" si="4"/>
        <v>Sun</v>
      </c>
      <c r="M12" s="78" t="str">
        <f>IFERROR(VLOOKUP(A12, Entries!A:B,2,false),"")</f>
        <v>2K</v>
      </c>
      <c r="N12" s="23" t="str">
        <f>IFERROR(VLOOKUP(A12, Entries!A:K,11,false),"")</f>
        <v/>
      </c>
      <c r="O12" s="23" t="b">
        <f>IFERROR(VLOOKUP(A12, Entries!A:I,8,false),"")</f>
        <v>0</v>
      </c>
    </row>
    <row r="13">
      <c r="A13" s="78" t="s">
        <v>78</v>
      </c>
      <c r="B13" s="78" t="s">
        <v>21</v>
      </c>
      <c r="C13" s="85">
        <v>43950.0</v>
      </c>
      <c r="D13" s="85">
        <v>43982.0</v>
      </c>
      <c r="E13" s="86">
        <v>13.6</v>
      </c>
      <c r="F13" s="87">
        <v>15.15</v>
      </c>
      <c r="G13" s="88">
        <f t="shared" si="1"/>
        <v>1.55</v>
      </c>
      <c r="H13" s="89">
        <f t="shared" si="2"/>
        <v>0.102310231</v>
      </c>
      <c r="I13" s="90" t="s">
        <v>83</v>
      </c>
      <c r="J13" s="78" t="s">
        <v>69</v>
      </c>
      <c r="K13" s="58">
        <f t="shared" si="3"/>
        <v>32</v>
      </c>
      <c r="L13" s="91" t="str">
        <f t="shared" si="4"/>
        <v>Sun</v>
      </c>
      <c r="M13" s="78" t="str">
        <f>IFERROR(VLOOKUP(A13, Entries!A:B,2,false),"")</f>
        <v>2K</v>
      </c>
      <c r="N13" s="23" t="str">
        <f>IFERROR(VLOOKUP(A13, Entries!A:K,11,false),"")</f>
        <v/>
      </c>
      <c r="O13" s="23" t="b">
        <f>IFERROR(VLOOKUP(A13, Entries!A:I,8,false),"")</f>
        <v>0</v>
      </c>
    </row>
    <row r="14">
      <c r="A14" s="78" t="s">
        <v>84</v>
      </c>
      <c r="B14" s="78" t="s">
        <v>19</v>
      </c>
      <c r="C14" s="85">
        <v>43951.0</v>
      </c>
      <c r="D14" s="85">
        <v>43951.0</v>
      </c>
      <c r="E14" s="86">
        <v>10.98</v>
      </c>
      <c r="F14" s="87">
        <v>14.67</v>
      </c>
      <c r="G14" s="88">
        <f t="shared" si="1"/>
        <v>3.69</v>
      </c>
      <c r="H14" s="89">
        <f t="shared" si="2"/>
        <v>0.2515337423</v>
      </c>
      <c r="I14" s="90" t="s">
        <v>85</v>
      </c>
      <c r="J14" s="78" t="s">
        <v>69</v>
      </c>
      <c r="K14" s="58">
        <f t="shared" si="3"/>
        <v>0</v>
      </c>
      <c r="L14" s="91" t="str">
        <f t="shared" si="4"/>
        <v>Thu</v>
      </c>
      <c r="M14" s="78" t="str">
        <f>IFERROR(VLOOKUP(A14, Entries!A:B,2,false),"")</f>
        <v>Siege Camp</v>
      </c>
      <c r="N14" s="23" t="str">
        <f>IFERROR(VLOOKUP(A14, Entries!A:K,11,false),"")</f>
        <v/>
      </c>
      <c r="O14" s="23" t="b">
        <f>IFERROR(VLOOKUP(A14, Entries!A:I,8,false),"")</f>
        <v>1</v>
      </c>
    </row>
    <row r="15">
      <c r="A15" s="78" t="s">
        <v>84</v>
      </c>
      <c r="B15" s="78" t="s">
        <v>19</v>
      </c>
      <c r="C15" s="85">
        <v>43951.0</v>
      </c>
      <c r="D15" s="85">
        <v>43951.0</v>
      </c>
      <c r="E15" s="86">
        <v>10.97</v>
      </c>
      <c r="F15" s="87">
        <v>14.7</v>
      </c>
      <c r="G15" s="88">
        <f t="shared" si="1"/>
        <v>3.73</v>
      </c>
      <c r="H15" s="89">
        <f t="shared" si="2"/>
        <v>0.2537414966</v>
      </c>
      <c r="I15" s="90" t="s">
        <v>86</v>
      </c>
      <c r="J15" s="78" t="s">
        <v>69</v>
      </c>
      <c r="K15" s="58">
        <f t="shared" si="3"/>
        <v>0</v>
      </c>
      <c r="L15" s="91" t="str">
        <f t="shared" si="4"/>
        <v>Thu</v>
      </c>
      <c r="M15" s="78" t="str">
        <f>IFERROR(VLOOKUP(A15, Entries!A:B,2,false),"")</f>
        <v>Siege Camp</v>
      </c>
      <c r="N15" s="23" t="str">
        <f>IFERROR(VLOOKUP(A15, Entries!A:K,11,false),"")</f>
        <v/>
      </c>
      <c r="O15" s="23" t="b">
        <f>IFERROR(VLOOKUP(A15, Entries!A:I,8,false),"")</f>
        <v>1</v>
      </c>
    </row>
    <row r="16">
      <c r="A16" s="78" t="s">
        <v>87</v>
      </c>
      <c r="B16" s="78" t="s">
        <v>22</v>
      </c>
      <c r="C16" s="85">
        <v>43953.0</v>
      </c>
      <c r="D16" s="85">
        <v>43966.0</v>
      </c>
      <c r="E16" s="86">
        <v>18.28</v>
      </c>
      <c r="F16" s="87">
        <v>21.85</v>
      </c>
      <c r="G16" s="88">
        <f t="shared" si="1"/>
        <v>3.57</v>
      </c>
      <c r="H16" s="89">
        <f t="shared" si="2"/>
        <v>0.1633867277</v>
      </c>
      <c r="I16" s="90" t="s">
        <v>88</v>
      </c>
      <c r="J16" s="78" t="s">
        <v>69</v>
      </c>
      <c r="K16" s="58">
        <f t="shared" si="3"/>
        <v>13</v>
      </c>
      <c r="L16" s="91" t="str">
        <f t="shared" si="4"/>
        <v>Fri</v>
      </c>
      <c r="M16" s="78" t="str">
        <f>IFERROR(VLOOKUP(A16, Entries!A:B,2,false),"")</f>
        <v>Mixed Realms</v>
      </c>
      <c r="N16" s="23" t="str">
        <f>IFERROR(VLOOKUP(A16, Entries!A:K,11,false),"")</f>
        <v/>
      </c>
      <c r="O16" s="23" t="b">
        <f>IFERROR(VLOOKUP(A16, Entries!A:I,8,false),"")</f>
        <v>0</v>
      </c>
    </row>
    <row r="17">
      <c r="A17" s="78" t="s">
        <v>89</v>
      </c>
      <c r="B17" s="78" t="s">
        <v>22</v>
      </c>
      <c r="C17" s="85">
        <v>43953.0</v>
      </c>
      <c r="D17" s="85">
        <v>43992.0</v>
      </c>
      <c r="E17" s="86">
        <v>7.15</v>
      </c>
      <c r="F17" s="87">
        <v>7.91</v>
      </c>
      <c r="G17" s="88">
        <f t="shared" si="1"/>
        <v>0.76</v>
      </c>
      <c r="H17" s="89">
        <f t="shared" si="2"/>
        <v>0.09608091024</v>
      </c>
      <c r="I17" s="90" t="s">
        <v>90</v>
      </c>
      <c r="J17" s="78" t="s">
        <v>69</v>
      </c>
      <c r="K17" s="58">
        <f t="shared" si="3"/>
        <v>39</v>
      </c>
      <c r="L17" s="91" t="str">
        <f t="shared" si="4"/>
        <v>Wed</v>
      </c>
      <c r="M17" s="78" t="str">
        <f>IFERROR(VLOOKUP(A17, Entries!A:B,2,false),"")</f>
        <v>Square Enix</v>
      </c>
      <c r="N17" s="23" t="str">
        <f>IFERROR(VLOOKUP(A17, Entries!A:K,11,false),"")</f>
        <v/>
      </c>
      <c r="O17" s="23" t="b">
        <f>IFERROR(VLOOKUP(A17, Entries!A:I,8,false),"")</f>
        <v>0</v>
      </c>
    </row>
    <row r="18">
      <c r="A18" s="78" t="s">
        <v>91</v>
      </c>
      <c r="B18" s="78" t="s">
        <v>21</v>
      </c>
      <c r="C18" s="85">
        <v>43953.0</v>
      </c>
      <c r="D18" s="85">
        <v>43955.0</v>
      </c>
      <c r="E18" s="86">
        <v>8.58</v>
      </c>
      <c r="F18" s="87">
        <v>10.82</v>
      </c>
      <c r="G18" s="88">
        <f t="shared" si="1"/>
        <v>2.24</v>
      </c>
      <c r="H18" s="89">
        <f t="shared" si="2"/>
        <v>0.2070240296</v>
      </c>
      <c r="I18" s="90" t="s">
        <v>92</v>
      </c>
      <c r="J18" s="78" t="s">
        <v>69</v>
      </c>
      <c r="K18" s="58">
        <f t="shared" si="3"/>
        <v>2</v>
      </c>
      <c r="L18" s="91" t="str">
        <f t="shared" si="4"/>
        <v>Mon</v>
      </c>
      <c r="M18" s="78" t="str">
        <f>IFERROR(VLOOKUP(A18, Entries!A:B,2,false),"")</f>
        <v>SEGA</v>
      </c>
      <c r="N18" s="23" t="str">
        <f>IFERROR(VLOOKUP(A18, Entries!A:K,11,false),"")</f>
        <v/>
      </c>
      <c r="O18" s="23" t="b">
        <f>IFERROR(VLOOKUP(A18, Entries!A:I,8,false),"")</f>
        <v>1</v>
      </c>
    </row>
    <row r="19">
      <c r="A19" s="78" t="s">
        <v>91</v>
      </c>
      <c r="B19" s="78" t="s">
        <v>21</v>
      </c>
      <c r="C19" s="85">
        <v>43953.0</v>
      </c>
      <c r="D19" s="85">
        <v>43959.0</v>
      </c>
      <c r="E19" s="86">
        <v>8.58</v>
      </c>
      <c r="F19" s="87">
        <v>10.73</v>
      </c>
      <c r="G19" s="88">
        <f t="shared" si="1"/>
        <v>2.15</v>
      </c>
      <c r="H19" s="89">
        <f t="shared" si="2"/>
        <v>0.2003727866</v>
      </c>
      <c r="I19" s="90" t="s">
        <v>93</v>
      </c>
      <c r="J19" s="78" t="s">
        <v>69</v>
      </c>
      <c r="K19" s="58">
        <f t="shared" si="3"/>
        <v>6</v>
      </c>
      <c r="L19" s="91" t="str">
        <f t="shared" si="4"/>
        <v>Fri</v>
      </c>
      <c r="M19" s="78" t="str">
        <f>IFERROR(VLOOKUP(A19, Entries!A:B,2,false),"")</f>
        <v>SEGA</v>
      </c>
      <c r="N19" s="23" t="str">
        <f>IFERROR(VLOOKUP(A19, Entries!A:K,11,false),"")</f>
        <v/>
      </c>
      <c r="O19" s="23" t="b">
        <f>IFERROR(VLOOKUP(A19, Entries!A:I,8,false),"")</f>
        <v>1</v>
      </c>
    </row>
    <row r="20">
      <c r="A20" s="78" t="s">
        <v>91</v>
      </c>
      <c r="B20" s="78" t="s">
        <v>21</v>
      </c>
      <c r="C20" s="85">
        <v>43953.0</v>
      </c>
      <c r="D20" s="85">
        <v>43960.0</v>
      </c>
      <c r="E20" s="86">
        <v>8.6</v>
      </c>
      <c r="F20" s="87">
        <v>10.73</v>
      </c>
      <c r="G20" s="88">
        <f t="shared" si="1"/>
        <v>2.13</v>
      </c>
      <c r="H20" s="89">
        <f t="shared" si="2"/>
        <v>0.1985088537</v>
      </c>
      <c r="I20" s="90" t="s">
        <v>94</v>
      </c>
      <c r="J20" s="78" t="s">
        <v>69</v>
      </c>
      <c r="K20" s="58">
        <f t="shared" si="3"/>
        <v>7</v>
      </c>
      <c r="L20" s="91" t="str">
        <f t="shared" si="4"/>
        <v>Sat</v>
      </c>
      <c r="M20" s="78" t="str">
        <f>IFERROR(VLOOKUP(A20, Entries!A:B,2,false),"")</f>
        <v>SEGA</v>
      </c>
      <c r="N20" s="23" t="str">
        <f>IFERROR(VLOOKUP(A20, Entries!A:K,11,false),"")</f>
        <v/>
      </c>
      <c r="O20" s="23" t="b">
        <f>IFERROR(VLOOKUP(A20, Entries!A:I,8,false),"")</f>
        <v>1</v>
      </c>
    </row>
    <row r="21">
      <c r="A21" s="78" t="s">
        <v>84</v>
      </c>
      <c r="B21" s="78" t="s">
        <v>19</v>
      </c>
      <c r="C21" s="85">
        <v>43954.0</v>
      </c>
      <c r="D21" s="85">
        <v>44005.0</v>
      </c>
      <c r="E21" s="86">
        <v>10.85</v>
      </c>
      <c r="F21" s="87">
        <v>14.24</v>
      </c>
      <c r="G21" s="88">
        <f t="shared" si="1"/>
        <v>3.39</v>
      </c>
      <c r="H21" s="89">
        <f t="shared" si="2"/>
        <v>0.2380617978</v>
      </c>
      <c r="I21" s="90" t="s">
        <v>95</v>
      </c>
      <c r="J21" s="78" t="s">
        <v>69</v>
      </c>
      <c r="K21" s="58">
        <f t="shared" si="3"/>
        <v>51</v>
      </c>
      <c r="L21" s="91" t="str">
        <f t="shared" si="4"/>
        <v>Tue</v>
      </c>
      <c r="M21" s="78" t="str">
        <f>IFERROR(VLOOKUP(A21, Entries!A:B,2,false),"")</f>
        <v>Siege Camp</v>
      </c>
      <c r="N21" s="23" t="str">
        <f>IFERROR(VLOOKUP(A21, Entries!A:K,11,false),"")</f>
        <v/>
      </c>
      <c r="O21" s="23" t="b">
        <f>IFERROR(VLOOKUP(A21, Entries!A:I,8,false),"")</f>
        <v>1</v>
      </c>
    </row>
    <row r="22">
      <c r="A22" s="78" t="s">
        <v>84</v>
      </c>
      <c r="B22" s="78" t="s">
        <v>19</v>
      </c>
      <c r="C22" s="85">
        <v>43954.0</v>
      </c>
      <c r="D22" s="85">
        <v>44011.0</v>
      </c>
      <c r="E22" s="86">
        <v>10.85</v>
      </c>
      <c r="F22" s="87">
        <v>14.39</v>
      </c>
      <c r="G22" s="88">
        <f t="shared" si="1"/>
        <v>3.54</v>
      </c>
      <c r="H22" s="89">
        <f t="shared" si="2"/>
        <v>0.2460041696</v>
      </c>
      <c r="I22" s="90" t="s">
        <v>96</v>
      </c>
      <c r="J22" s="78" t="s">
        <v>69</v>
      </c>
      <c r="K22" s="58">
        <f t="shared" si="3"/>
        <v>57</v>
      </c>
      <c r="L22" s="91" t="str">
        <f t="shared" si="4"/>
        <v>Mon</v>
      </c>
      <c r="M22" s="78" t="str">
        <f>IFERROR(VLOOKUP(A22, Entries!A:B,2,false),"")</f>
        <v>Siege Camp</v>
      </c>
      <c r="N22" s="23" t="str">
        <f>IFERROR(VLOOKUP(A22, Entries!A:K,11,false),"")</f>
        <v/>
      </c>
      <c r="O22" s="23" t="b">
        <f>IFERROR(VLOOKUP(A22, Entries!A:I,8,false),"")</f>
        <v>1</v>
      </c>
    </row>
    <row r="23">
      <c r="A23" s="78" t="s">
        <v>97</v>
      </c>
      <c r="B23" s="78" t="s">
        <v>19</v>
      </c>
      <c r="C23" s="85">
        <v>43956.0</v>
      </c>
      <c r="D23" s="85">
        <v>43956.0</v>
      </c>
      <c r="E23" s="86">
        <v>14.52</v>
      </c>
      <c r="F23" s="87">
        <v>17.44</v>
      </c>
      <c r="G23" s="88">
        <f t="shared" si="1"/>
        <v>2.92</v>
      </c>
      <c r="H23" s="89">
        <f t="shared" si="2"/>
        <v>0.1674311927</v>
      </c>
      <c r="I23" s="90" t="s">
        <v>98</v>
      </c>
      <c r="J23" s="78" t="s">
        <v>69</v>
      </c>
      <c r="K23" s="58">
        <f t="shared" si="3"/>
        <v>0</v>
      </c>
      <c r="L23" s="91" t="str">
        <f t="shared" si="4"/>
        <v>Tue</v>
      </c>
      <c r="M23" s="78" t="str">
        <f>IFERROR(VLOOKUP(A23, Entries!A:B,2,false),"")</f>
        <v>THQ Nordic</v>
      </c>
      <c r="N23" s="23" t="str">
        <f>IFERROR(VLOOKUP(A23, Entries!A:K,11,false),"")</f>
        <v/>
      </c>
      <c r="O23" s="23" t="b">
        <f>IFERROR(VLOOKUP(A23, Entries!A:I,8,false),"")</f>
        <v>0</v>
      </c>
    </row>
    <row r="24">
      <c r="A24" s="78" t="s">
        <v>97</v>
      </c>
      <c r="B24" s="78" t="s">
        <v>19</v>
      </c>
      <c r="C24" s="85">
        <v>43956.0</v>
      </c>
      <c r="D24" s="85">
        <v>43958.0</v>
      </c>
      <c r="E24" s="86">
        <v>14.52</v>
      </c>
      <c r="F24" s="87">
        <v>15.71</v>
      </c>
      <c r="G24" s="88">
        <f t="shared" si="1"/>
        <v>1.19</v>
      </c>
      <c r="H24" s="89">
        <f t="shared" si="2"/>
        <v>0.07574793125</v>
      </c>
      <c r="I24" s="90" t="s">
        <v>99</v>
      </c>
      <c r="J24" s="78" t="s">
        <v>69</v>
      </c>
      <c r="K24" s="58">
        <f t="shared" si="3"/>
        <v>2</v>
      </c>
      <c r="L24" s="91" t="str">
        <f t="shared" si="4"/>
        <v>Thu</v>
      </c>
      <c r="M24" s="78" t="str">
        <f>IFERROR(VLOOKUP(A24, Entries!A:B,2,false),"")</f>
        <v>THQ Nordic</v>
      </c>
      <c r="N24" s="23" t="str">
        <f>IFERROR(VLOOKUP(A24, Entries!A:K,11,false),"")</f>
        <v/>
      </c>
      <c r="O24" s="23" t="b">
        <f>IFERROR(VLOOKUP(A24, Entries!A:I,8,false),"")</f>
        <v>0</v>
      </c>
    </row>
    <row r="25">
      <c r="A25" s="78" t="s">
        <v>100</v>
      </c>
      <c r="B25" s="78" t="s">
        <v>23</v>
      </c>
      <c r="C25" s="85">
        <v>43958.0</v>
      </c>
      <c r="D25" s="85">
        <v>43977.0</v>
      </c>
      <c r="E25" s="86">
        <v>12.55</v>
      </c>
      <c r="F25" s="87">
        <v>15.83</v>
      </c>
      <c r="G25" s="88">
        <f t="shared" si="1"/>
        <v>3.28</v>
      </c>
      <c r="H25" s="89">
        <f t="shared" si="2"/>
        <v>0.2072015161</v>
      </c>
      <c r="I25" s="90" t="s">
        <v>101</v>
      </c>
      <c r="J25" s="78" t="s">
        <v>69</v>
      </c>
      <c r="K25" s="58">
        <f t="shared" si="3"/>
        <v>19</v>
      </c>
      <c r="L25" s="91" t="str">
        <f t="shared" si="4"/>
        <v>Tue</v>
      </c>
      <c r="M25" s="78" t="str">
        <f>IFERROR(VLOOKUP(A25, Entries!A:B,2,false),"")</f>
        <v>HandyGames</v>
      </c>
      <c r="N25" s="23" t="str">
        <f>IFERROR(VLOOKUP(A25, Entries!A:K,11,false),"")</f>
        <v/>
      </c>
      <c r="O25" s="23" t="b">
        <f>IFERROR(VLOOKUP(A25, Entries!A:I,8,false),"")</f>
        <v>0</v>
      </c>
    </row>
    <row r="26">
      <c r="A26" s="78" t="s">
        <v>102</v>
      </c>
      <c r="B26" s="78" t="s">
        <v>19</v>
      </c>
      <c r="C26" s="85">
        <v>43958.0</v>
      </c>
      <c r="D26" s="85">
        <v>43961.0</v>
      </c>
      <c r="E26" s="86">
        <v>3.05</v>
      </c>
      <c r="F26" s="87">
        <v>5.9</v>
      </c>
      <c r="G26" s="88">
        <f t="shared" si="1"/>
        <v>2.85</v>
      </c>
      <c r="H26" s="89">
        <f t="shared" si="2"/>
        <v>0.4830508475</v>
      </c>
      <c r="I26" s="90" t="s">
        <v>103</v>
      </c>
      <c r="J26" s="78" t="s">
        <v>69</v>
      </c>
      <c r="K26" s="58">
        <f t="shared" si="3"/>
        <v>3</v>
      </c>
      <c r="L26" s="91" t="str">
        <f t="shared" si="4"/>
        <v>Sun</v>
      </c>
      <c r="M26" s="78" t="str">
        <f>IFERROR(VLOOKUP(A26, Entries!A:B,2,false),"")</f>
        <v>Dimension 32</v>
      </c>
      <c r="N26" s="23" t="str">
        <f>IFERROR(VLOOKUP(A26, Entries!A:K,11,false),"")</f>
        <v/>
      </c>
      <c r="O26" s="23" t="b">
        <f>IFERROR(VLOOKUP(A26, Entries!A:I,8,false),"")</f>
        <v>1</v>
      </c>
    </row>
    <row r="27">
      <c r="A27" s="78" t="s">
        <v>102</v>
      </c>
      <c r="B27" s="78" t="s">
        <v>19</v>
      </c>
      <c r="C27" s="85">
        <v>43958.0</v>
      </c>
      <c r="D27" s="85">
        <v>43972.0</v>
      </c>
      <c r="E27" s="86">
        <v>3.05</v>
      </c>
      <c r="F27" s="87">
        <v>5.97</v>
      </c>
      <c r="G27" s="88">
        <f t="shared" si="1"/>
        <v>2.92</v>
      </c>
      <c r="H27" s="89">
        <f t="shared" si="2"/>
        <v>0.4891122278</v>
      </c>
      <c r="I27" s="90" t="s">
        <v>104</v>
      </c>
      <c r="J27" s="78" t="s">
        <v>69</v>
      </c>
      <c r="K27" s="58">
        <f t="shared" si="3"/>
        <v>14</v>
      </c>
      <c r="L27" s="91" t="str">
        <f t="shared" si="4"/>
        <v>Thu</v>
      </c>
      <c r="M27" s="78" t="str">
        <f>IFERROR(VLOOKUP(A27, Entries!A:B,2,false),"")</f>
        <v>Dimension 32</v>
      </c>
      <c r="N27" s="23" t="str">
        <f>IFERROR(VLOOKUP(A27, Entries!A:K,11,false),"")</f>
        <v/>
      </c>
      <c r="O27" s="23" t="b">
        <f>IFERROR(VLOOKUP(A27, Entries!A:I,8,false),"")</f>
        <v>1</v>
      </c>
    </row>
    <row r="28">
      <c r="A28" s="78" t="s">
        <v>102</v>
      </c>
      <c r="B28" s="78" t="s">
        <v>19</v>
      </c>
      <c r="C28" s="85">
        <v>43961.0</v>
      </c>
      <c r="D28" s="85">
        <v>43985.0</v>
      </c>
      <c r="E28" s="86">
        <v>3.05</v>
      </c>
      <c r="F28" s="87">
        <v>4.94</v>
      </c>
      <c r="G28" s="88">
        <f t="shared" si="1"/>
        <v>1.89</v>
      </c>
      <c r="H28" s="89">
        <f t="shared" si="2"/>
        <v>0.3825910931</v>
      </c>
      <c r="I28" s="90" t="s">
        <v>105</v>
      </c>
      <c r="J28" s="78" t="s">
        <v>69</v>
      </c>
      <c r="K28" s="58">
        <f t="shared" si="3"/>
        <v>24</v>
      </c>
      <c r="L28" s="91" t="str">
        <f t="shared" si="4"/>
        <v>Wed</v>
      </c>
      <c r="M28" s="78" t="str">
        <f>IFERROR(VLOOKUP(A28, Entries!A:B,2,false),"")</f>
        <v>Dimension 32</v>
      </c>
      <c r="N28" s="23" t="str">
        <f>IFERROR(VLOOKUP(A28, Entries!A:K,11,false),"")</f>
        <v/>
      </c>
      <c r="O28" s="23" t="b">
        <f>IFERROR(VLOOKUP(A28, Entries!A:I,8,false),"")</f>
        <v>1</v>
      </c>
    </row>
    <row r="29">
      <c r="A29" s="78" t="s">
        <v>106</v>
      </c>
      <c r="B29" s="78" t="s">
        <v>19</v>
      </c>
      <c r="C29" s="85">
        <v>43958.0</v>
      </c>
      <c r="D29" s="85">
        <v>43958.0</v>
      </c>
      <c r="E29" s="86">
        <v>3.05</v>
      </c>
      <c r="F29" s="87">
        <v>6.96</v>
      </c>
      <c r="G29" s="88">
        <f t="shared" si="1"/>
        <v>3.91</v>
      </c>
      <c r="H29" s="89">
        <f t="shared" si="2"/>
        <v>0.5617816092</v>
      </c>
      <c r="I29" s="90" t="s">
        <v>107</v>
      </c>
      <c r="J29" s="78" t="s">
        <v>69</v>
      </c>
      <c r="K29" s="58">
        <f t="shared" si="3"/>
        <v>0</v>
      </c>
      <c r="L29" s="91" t="str">
        <f t="shared" si="4"/>
        <v>Thu</v>
      </c>
      <c r="M29" s="78" t="str">
        <f>IFERROR(VLOOKUP(A29, Entries!A:B,2,false),"")</f>
        <v>Excalibur Games</v>
      </c>
      <c r="N29" s="23" t="str">
        <f>IFERROR(VLOOKUP(A29, Entries!A:K,11,false),"")</f>
        <v/>
      </c>
      <c r="O29" s="23" t="b">
        <f>IFERROR(VLOOKUP(A29, Entries!A:I,8,false),"")</f>
        <v>1</v>
      </c>
    </row>
    <row r="30">
      <c r="A30" s="78" t="s">
        <v>106</v>
      </c>
      <c r="B30" s="78" t="s">
        <v>19</v>
      </c>
      <c r="C30" s="85">
        <v>43958.0</v>
      </c>
      <c r="D30" s="85">
        <v>43959.0</v>
      </c>
      <c r="E30" s="86">
        <v>3.05</v>
      </c>
      <c r="F30" s="87">
        <v>6.96</v>
      </c>
      <c r="G30" s="88">
        <f t="shared" si="1"/>
        <v>3.91</v>
      </c>
      <c r="H30" s="89">
        <f t="shared" si="2"/>
        <v>0.5617816092</v>
      </c>
      <c r="I30" s="90" t="s">
        <v>108</v>
      </c>
      <c r="J30" s="78" t="s">
        <v>69</v>
      </c>
      <c r="K30" s="58">
        <f t="shared" si="3"/>
        <v>1</v>
      </c>
      <c r="L30" s="91" t="str">
        <f t="shared" si="4"/>
        <v>Fri</v>
      </c>
      <c r="M30" s="78" t="str">
        <f>IFERROR(VLOOKUP(A30, Entries!A:B,2,false),"")</f>
        <v>Excalibur Games</v>
      </c>
      <c r="N30" s="23" t="str">
        <f>IFERROR(VLOOKUP(A30, Entries!A:K,11,false),"")</f>
        <v/>
      </c>
      <c r="O30" s="23" t="b">
        <f>IFERROR(VLOOKUP(A30, Entries!A:I,8,false),"")</f>
        <v>1</v>
      </c>
    </row>
    <row r="31">
      <c r="A31" s="78" t="s">
        <v>106</v>
      </c>
      <c r="B31" s="78" t="s">
        <v>19</v>
      </c>
      <c r="C31" s="85">
        <v>43961.0</v>
      </c>
      <c r="D31" s="85">
        <v>43964.0</v>
      </c>
      <c r="E31" s="86">
        <v>3.05</v>
      </c>
      <c r="F31" s="87">
        <v>6.87</v>
      </c>
      <c r="G31" s="88">
        <f t="shared" si="1"/>
        <v>3.82</v>
      </c>
      <c r="H31" s="89">
        <f t="shared" si="2"/>
        <v>0.5560407569</v>
      </c>
      <c r="I31" s="90" t="s">
        <v>109</v>
      </c>
      <c r="J31" s="78" t="s">
        <v>69</v>
      </c>
      <c r="K31" s="58">
        <f t="shared" si="3"/>
        <v>3</v>
      </c>
      <c r="L31" s="91" t="str">
        <f t="shared" si="4"/>
        <v>Wed</v>
      </c>
      <c r="M31" s="78" t="str">
        <f>IFERROR(VLOOKUP(A31, Entries!A:B,2,false),"")</f>
        <v>Excalibur Games</v>
      </c>
      <c r="N31" s="23" t="str">
        <f>IFERROR(VLOOKUP(A31, Entries!A:K,11,false),"")</f>
        <v/>
      </c>
      <c r="O31" s="23" t="b">
        <f>IFERROR(VLOOKUP(A31, Entries!A:I,8,false),"")</f>
        <v>1</v>
      </c>
    </row>
    <row r="32">
      <c r="A32" s="78" t="s">
        <v>110</v>
      </c>
      <c r="B32" s="78" t="s">
        <v>19</v>
      </c>
      <c r="C32" s="85">
        <v>43958.0</v>
      </c>
      <c r="D32" s="85">
        <v>44815.0</v>
      </c>
      <c r="E32" s="86">
        <v>3.06</v>
      </c>
      <c r="F32" s="87">
        <v>0.11</v>
      </c>
      <c r="G32" s="88">
        <f t="shared" si="1"/>
        <v>-2.95</v>
      </c>
      <c r="H32" s="89">
        <f t="shared" si="2"/>
        <v>-26.81818182</v>
      </c>
      <c r="I32" s="93" t="s">
        <v>111</v>
      </c>
      <c r="J32" s="78" t="s">
        <v>69</v>
      </c>
      <c r="K32" s="58">
        <f t="shared" si="3"/>
        <v>857</v>
      </c>
      <c r="L32" s="91" t="str">
        <f t="shared" si="4"/>
        <v>Sun</v>
      </c>
      <c r="M32" s="78" t="str">
        <f>IFERROR(VLOOKUP(A32, Entries!A:B,2,false),"")</f>
        <v>Daedalic Entertainment</v>
      </c>
      <c r="N32" s="23" t="str">
        <f>IFERROR(VLOOKUP(A32, Entries!A:K,11,false),"")</f>
        <v/>
      </c>
      <c r="O32" s="23" t="b">
        <f>IFERROR(VLOOKUP(A32, Entries!A:I,8,false),"")</f>
        <v>0</v>
      </c>
    </row>
    <row r="33">
      <c r="A33" s="78" t="s">
        <v>110</v>
      </c>
      <c r="B33" s="78" t="s">
        <v>19</v>
      </c>
      <c r="C33" s="85">
        <v>43958.0</v>
      </c>
      <c r="D33" s="85">
        <v>44927.0</v>
      </c>
      <c r="E33" s="86">
        <v>3.06</v>
      </c>
      <c r="F33" s="87">
        <v>0.04</v>
      </c>
      <c r="G33" s="88">
        <f t="shared" si="1"/>
        <v>-3.02</v>
      </c>
      <c r="H33" s="89">
        <f t="shared" si="2"/>
        <v>-75.5</v>
      </c>
      <c r="I33" s="93" t="s">
        <v>112</v>
      </c>
      <c r="J33" s="78" t="s">
        <v>69</v>
      </c>
      <c r="K33" s="58">
        <f t="shared" si="3"/>
        <v>969</v>
      </c>
      <c r="L33" s="91" t="str">
        <f t="shared" si="4"/>
        <v>Sun</v>
      </c>
      <c r="M33" s="78" t="str">
        <f>IFERROR(VLOOKUP(A33, Entries!A:B,2,false),"")</f>
        <v>Daedalic Entertainment</v>
      </c>
      <c r="N33" s="23" t="str">
        <f>IFERROR(VLOOKUP(A33, Entries!A:K,11,false),"")</f>
        <v/>
      </c>
      <c r="O33" s="23" t="b">
        <f>IFERROR(VLOOKUP(A33, Entries!A:I,8,false),"")</f>
        <v>0</v>
      </c>
    </row>
    <row r="34">
      <c r="A34" s="78" t="s">
        <v>110</v>
      </c>
      <c r="B34" s="78" t="s">
        <v>19</v>
      </c>
      <c r="C34" s="85">
        <v>43961.0</v>
      </c>
      <c r="D34" s="85">
        <v>44987.0</v>
      </c>
      <c r="E34" s="86">
        <v>3.03</v>
      </c>
      <c r="F34" s="87">
        <v>0.09</v>
      </c>
      <c r="G34" s="88">
        <f t="shared" si="1"/>
        <v>-2.94</v>
      </c>
      <c r="H34" s="89">
        <f t="shared" si="2"/>
        <v>-32.66666667</v>
      </c>
      <c r="I34" s="93" t="s">
        <v>113</v>
      </c>
      <c r="J34" s="78" t="s">
        <v>69</v>
      </c>
      <c r="K34" s="58">
        <f t="shared" si="3"/>
        <v>1026</v>
      </c>
      <c r="L34" s="91" t="str">
        <f t="shared" si="4"/>
        <v>Thu</v>
      </c>
      <c r="M34" s="78" t="str">
        <f>IFERROR(VLOOKUP(A34, Entries!A:B,2,false),"")</f>
        <v>Daedalic Entertainment</v>
      </c>
      <c r="N34" s="23" t="str">
        <f>IFERROR(VLOOKUP(A34, Entries!A:K,11,false),"")</f>
        <v/>
      </c>
      <c r="O34" s="23" t="b">
        <f>IFERROR(VLOOKUP(A34, Entries!A:I,8,false),"")</f>
        <v>0</v>
      </c>
    </row>
    <row r="35">
      <c r="A35" s="78" t="s">
        <v>114</v>
      </c>
      <c r="B35" s="78" t="s">
        <v>19</v>
      </c>
      <c r="C35" s="85">
        <v>43961.0</v>
      </c>
      <c r="D35" s="85">
        <v>44009.0</v>
      </c>
      <c r="E35" s="86">
        <v>1.92</v>
      </c>
      <c r="F35" s="87">
        <v>2.18</v>
      </c>
      <c r="G35" s="88">
        <f t="shared" si="1"/>
        <v>0.26</v>
      </c>
      <c r="H35" s="89">
        <f t="shared" si="2"/>
        <v>0.119266055</v>
      </c>
      <c r="I35" s="90" t="s">
        <v>115</v>
      </c>
      <c r="J35" s="78" t="s">
        <v>69</v>
      </c>
      <c r="K35" s="58">
        <f t="shared" si="3"/>
        <v>48</v>
      </c>
      <c r="L35" s="91" t="str">
        <f t="shared" si="4"/>
        <v>Sat</v>
      </c>
      <c r="M35" s="78" t="str">
        <f>IFERROR(VLOOKUP(A35, Entries!A:B,2,false),"")</f>
        <v>Pixelatto</v>
      </c>
      <c r="N35" s="23" t="str">
        <f>IFERROR(VLOOKUP(A35, Entries!A:K,11,false),"")</f>
        <v/>
      </c>
      <c r="O35" s="23" t="b">
        <f>IFERROR(VLOOKUP(A35, Entries!A:I,8,false),"")</f>
        <v>0</v>
      </c>
    </row>
    <row r="36">
      <c r="A36" s="78" t="s">
        <v>114</v>
      </c>
      <c r="B36" s="78" t="s">
        <v>19</v>
      </c>
      <c r="C36" s="85">
        <v>43961.0</v>
      </c>
      <c r="D36" s="85">
        <v>43980.0</v>
      </c>
      <c r="E36" s="86">
        <v>1.92</v>
      </c>
      <c r="F36" s="87">
        <v>2.53</v>
      </c>
      <c r="G36" s="88">
        <f t="shared" si="1"/>
        <v>0.61</v>
      </c>
      <c r="H36" s="89">
        <f t="shared" si="2"/>
        <v>0.2411067194</v>
      </c>
      <c r="I36" s="90" t="s">
        <v>116</v>
      </c>
      <c r="J36" s="78" t="s">
        <v>69</v>
      </c>
      <c r="K36" s="58">
        <f t="shared" si="3"/>
        <v>19</v>
      </c>
      <c r="L36" s="91" t="str">
        <f t="shared" si="4"/>
        <v>Fri</v>
      </c>
      <c r="M36" s="78" t="str">
        <f>IFERROR(VLOOKUP(A36, Entries!A:B,2,false),"")</f>
        <v>Pixelatto</v>
      </c>
      <c r="N36" s="23" t="str">
        <f>IFERROR(VLOOKUP(A36, Entries!A:K,11,false),"")</f>
        <v/>
      </c>
      <c r="O36" s="23" t="b">
        <f>IFERROR(VLOOKUP(A36, Entries!A:I,8,false),"")</f>
        <v>0</v>
      </c>
    </row>
    <row r="37">
      <c r="A37" s="78" t="s">
        <v>117</v>
      </c>
      <c r="B37" s="78" t="s">
        <v>19</v>
      </c>
      <c r="C37" s="85">
        <v>43962.0</v>
      </c>
      <c r="D37" s="85">
        <v>43962.0</v>
      </c>
      <c r="E37" s="86">
        <v>0.96</v>
      </c>
      <c r="F37" s="87">
        <v>3.79</v>
      </c>
      <c r="G37" s="88">
        <f t="shared" si="1"/>
        <v>2.83</v>
      </c>
      <c r="H37" s="89">
        <f t="shared" si="2"/>
        <v>0.746701847</v>
      </c>
      <c r="I37" s="90" t="s">
        <v>118</v>
      </c>
      <c r="J37" s="78" t="s">
        <v>69</v>
      </c>
      <c r="K37" s="58">
        <f t="shared" si="3"/>
        <v>0</v>
      </c>
      <c r="L37" s="91" t="str">
        <f t="shared" si="4"/>
        <v>Mon</v>
      </c>
      <c r="M37" s="78" t="str">
        <f>IFERROR(VLOOKUP(A37, Entries!A:B,2,false),"")</f>
        <v>Starbreeze Publishing</v>
      </c>
      <c r="N37" s="23" t="str">
        <f>IFERROR(VLOOKUP(A37, Entries!A:K,11,false),"")</f>
        <v/>
      </c>
      <c r="O37" s="23" t="b">
        <f>IFERROR(VLOOKUP(A37, Entries!A:I,8,false),"")</f>
        <v>1</v>
      </c>
    </row>
    <row r="38">
      <c r="A38" s="78" t="s">
        <v>117</v>
      </c>
      <c r="B38" s="78" t="s">
        <v>19</v>
      </c>
      <c r="C38" s="85">
        <v>43962.0</v>
      </c>
      <c r="D38" s="85">
        <v>43964.0</v>
      </c>
      <c r="E38" s="86">
        <v>0.96</v>
      </c>
      <c r="F38" s="87">
        <v>2.92</v>
      </c>
      <c r="G38" s="88">
        <f t="shared" si="1"/>
        <v>1.96</v>
      </c>
      <c r="H38" s="89">
        <f t="shared" si="2"/>
        <v>0.6712328767</v>
      </c>
      <c r="I38" s="90" t="s">
        <v>119</v>
      </c>
      <c r="J38" s="78" t="s">
        <v>69</v>
      </c>
      <c r="K38" s="58">
        <f t="shared" si="3"/>
        <v>2</v>
      </c>
      <c r="L38" s="91" t="str">
        <f t="shared" si="4"/>
        <v>Wed</v>
      </c>
      <c r="M38" s="78" t="str">
        <f>IFERROR(VLOOKUP(A38, Entries!A:B,2,false),"")</f>
        <v>Starbreeze Publishing</v>
      </c>
      <c r="N38" s="23" t="str">
        <f>IFERROR(VLOOKUP(A38, Entries!A:K,11,false),"")</f>
        <v/>
      </c>
      <c r="O38" s="23" t="b">
        <f>IFERROR(VLOOKUP(A38, Entries!A:I,8,false),"")</f>
        <v>1</v>
      </c>
    </row>
    <row r="39">
      <c r="A39" s="78" t="s">
        <v>120</v>
      </c>
      <c r="B39" s="78" t="s">
        <v>25</v>
      </c>
      <c r="C39" s="85">
        <v>43965.0</v>
      </c>
      <c r="D39" s="85">
        <v>43967.0</v>
      </c>
      <c r="E39" s="86">
        <v>0.0</v>
      </c>
      <c r="F39" s="87">
        <v>5.46</v>
      </c>
      <c r="G39" s="88">
        <f t="shared" si="1"/>
        <v>5.46</v>
      </c>
      <c r="H39" s="89">
        <f t="shared" si="2"/>
        <v>1</v>
      </c>
      <c r="I39" s="90" t="s">
        <v>121</v>
      </c>
      <c r="J39" s="78" t="s">
        <v>69</v>
      </c>
      <c r="K39" s="58">
        <f t="shared" si="3"/>
        <v>2</v>
      </c>
      <c r="L39" s="91" t="str">
        <f t="shared" si="4"/>
        <v>Sat</v>
      </c>
      <c r="M39" s="78" t="str">
        <f>IFERROR(VLOOKUP(A39, Entries!A:B,2,false),"")</f>
        <v>HB Studios</v>
      </c>
      <c r="N39" s="23" t="str">
        <f>IFERROR(VLOOKUP(A39, Entries!A:K,11,false),"")</f>
        <v/>
      </c>
      <c r="O39" s="23" t="b">
        <f>IFERROR(VLOOKUP(A39, Entries!A:I,8,false),"")</f>
        <v>0</v>
      </c>
    </row>
    <row r="40">
      <c r="A40" s="78" t="s">
        <v>120</v>
      </c>
      <c r="B40" s="78" t="s">
        <v>25</v>
      </c>
      <c r="C40" s="85">
        <v>43965.0</v>
      </c>
      <c r="D40" s="85">
        <v>43971.0</v>
      </c>
      <c r="E40" s="86">
        <v>0.0</v>
      </c>
      <c r="F40" s="87">
        <v>5.31</v>
      </c>
      <c r="G40" s="88">
        <f t="shared" si="1"/>
        <v>5.31</v>
      </c>
      <c r="H40" s="89">
        <f t="shared" si="2"/>
        <v>1</v>
      </c>
      <c r="I40" s="90" t="s">
        <v>122</v>
      </c>
      <c r="J40" s="78" t="s">
        <v>69</v>
      </c>
      <c r="K40" s="58">
        <f t="shared" si="3"/>
        <v>6</v>
      </c>
      <c r="L40" s="91" t="str">
        <f t="shared" si="4"/>
        <v>Wed</v>
      </c>
      <c r="M40" s="78" t="str">
        <f>IFERROR(VLOOKUP(A40, Entries!A:B,2,false),"")</f>
        <v>HB Studios</v>
      </c>
      <c r="N40" s="23" t="str">
        <f>IFERROR(VLOOKUP(A40, Entries!A:K,11,false),"")</f>
        <v/>
      </c>
      <c r="O40" s="23" t="b">
        <f>IFERROR(VLOOKUP(A40, Entries!A:I,8,false),"")</f>
        <v>0</v>
      </c>
    </row>
    <row r="41">
      <c r="A41" s="78" t="s">
        <v>123</v>
      </c>
      <c r="B41" s="78" t="s">
        <v>25</v>
      </c>
      <c r="C41" s="85">
        <v>43965.0</v>
      </c>
      <c r="D41" s="85">
        <v>43969.0</v>
      </c>
      <c r="E41" s="86">
        <v>0.0</v>
      </c>
      <c r="F41" s="87">
        <v>2.82</v>
      </c>
      <c r="G41" s="88">
        <f t="shared" si="1"/>
        <v>2.82</v>
      </c>
      <c r="H41" s="89">
        <f t="shared" si="2"/>
        <v>1</v>
      </c>
      <c r="I41" s="90" t="s">
        <v>124</v>
      </c>
      <c r="J41" s="78" t="s">
        <v>69</v>
      </c>
      <c r="K41" s="58">
        <f t="shared" si="3"/>
        <v>4</v>
      </c>
      <c r="L41" s="91" t="str">
        <f t="shared" si="4"/>
        <v>Mon</v>
      </c>
      <c r="M41" s="78" t="str">
        <f>IFERROR(VLOOKUP(A41, Entries!A:B,2,false),"")</f>
        <v>Kalypso Media</v>
      </c>
      <c r="N41" s="23" t="str">
        <f>IFERROR(VLOOKUP(A41, Entries!A:K,11,false),"")</f>
        <v/>
      </c>
      <c r="O41" s="23" t="b">
        <f>IFERROR(VLOOKUP(A41, Entries!A:I,8,false),"")</f>
        <v>0</v>
      </c>
    </row>
    <row r="42">
      <c r="A42" s="78" t="s">
        <v>125</v>
      </c>
      <c r="B42" s="78" t="s">
        <v>17</v>
      </c>
      <c r="C42" s="85">
        <v>43966.0</v>
      </c>
      <c r="D42" s="85">
        <v>44035.0</v>
      </c>
      <c r="E42" s="86">
        <v>0.0</v>
      </c>
      <c r="F42" s="87">
        <v>4.88</v>
      </c>
      <c r="G42" s="88">
        <f t="shared" si="1"/>
        <v>4.88</v>
      </c>
      <c r="H42" s="89">
        <f t="shared" si="2"/>
        <v>1</v>
      </c>
      <c r="I42" s="93" t="s">
        <v>126</v>
      </c>
      <c r="J42" s="78" t="s">
        <v>69</v>
      </c>
      <c r="K42" s="58">
        <f t="shared" si="3"/>
        <v>69</v>
      </c>
      <c r="L42" s="91" t="str">
        <f t="shared" si="4"/>
        <v>Thu</v>
      </c>
      <c r="M42" s="78" t="str">
        <f>IFERROR(VLOOKUP(A42, Entries!A:B,2,false),"")</f>
        <v>Scraping Bottom</v>
      </c>
      <c r="N42" s="23" t="str">
        <f>IFERROR(VLOOKUP(A42, Entries!A:K,11,false),"")</f>
        <v/>
      </c>
      <c r="O42" s="23" t="b">
        <f>IFERROR(VLOOKUP(A42, Entries!A:I,8,false),"")</f>
        <v>0</v>
      </c>
    </row>
    <row r="43">
      <c r="A43" s="78" t="s">
        <v>127</v>
      </c>
      <c r="B43" s="78" t="s">
        <v>17</v>
      </c>
      <c r="C43" s="85">
        <v>43741.0</v>
      </c>
      <c r="D43" s="85">
        <v>43968.0</v>
      </c>
      <c r="E43" s="86">
        <v>7.15</v>
      </c>
      <c r="F43" s="87">
        <v>10.33</v>
      </c>
      <c r="G43" s="88">
        <f t="shared" si="1"/>
        <v>3.18</v>
      </c>
      <c r="H43" s="89">
        <f t="shared" si="2"/>
        <v>0.3078412391</v>
      </c>
      <c r="I43" s="78" t="s">
        <v>128</v>
      </c>
      <c r="J43" s="78" t="s">
        <v>69</v>
      </c>
      <c r="K43" s="58">
        <f t="shared" si="3"/>
        <v>227</v>
      </c>
      <c r="L43" s="91" t="str">
        <f t="shared" si="4"/>
        <v>Sun</v>
      </c>
      <c r="M43" s="78" t="str">
        <f>IFERROR(VLOOKUP(A43, Entries!A:B,2,false),"")</f>
        <v>Event Horizon</v>
      </c>
      <c r="N43" s="23" t="str">
        <f>IFERROR(VLOOKUP(A43, Entries!A:K,11,false),"")</f>
        <v/>
      </c>
      <c r="O43" s="23" t="b">
        <f>IFERROR(VLOOKUP(A43, Entries!A:I,8,false),"")</f>
        <v>0</v>
      </c>
    </row>
    <row r="44">
      <c r="A44" s="78" t="s">
        <v>102</v>
      </c>
      <c r="B44" s="78" t="s">
        <v>19</v>
      </c>
      <c r="C44" s="85">
        <v>43979.0</v>
      </c>
      <c r="D44" s="85">
        <v>43987.0</v>
      </c>
      <c r="E44" s="86">
        <v>3.01</v>
      </c>
      <c r="F44" s="87">
        <v>4.43</v>
      </c>
      <c r="G44" s="88">
        <f t="shared" si="1"/>
        <v>1.42</v>
      </c>
      <c r="H44" s="89">
        <f t="shared" si="2"/>
        <v>0.3205417607</v>
      </c>
      <c r="I44" s="78" t="s">
        <v>129</v>
      </c>
      <c r="J44" s="78" t="s">
        <v>69</v>
      </c>
      <c r="K44" s="58">
        <f t="shared" si="3"/>
        <v>8</v>
      </c>
      <c r="L44" s="91" t="str">
        <f t="shared" si="4"/>
        <v>Fri</v>
      </c>
      <c r="M44" s="78" t="str">
        <f>IFERROR(VLOOKUP(A44, Entries!A:B,2,false),"")</f>
        <v>Dimension 32</v>
      </c>
      <c r="N44" s="23" t="str">
        <f>IFERROR(VLOOKUP(A44, Entries!A:K,11,false),"")</f>
        <v/>
      </c>
      <c r="O44" s="23" t="b">
        <f>IFERROR(VLOOKUP(A44, Entries!A:I,8,false),"")</f>
        <v>1</v>
      </c>
    </row>
    <row r="45">
      <c r="A45" s="78" t="s">
        <v>102</v>
      </c>
      <c r="B45" s="78" t="s">
        <v>19</v>
      </c>
      <c r="C45" s="85">
        <v>43979.0</v>
      </c>
      <c r="D45" s="85">
        <v>43988.0</v>
      </c>
      <c r="E45" s="86">
        <v>3.01</v>
      </c>
      <c r="F45" s="87">
        <v>4.9</v>
      </c>
      <c r="G45" s="88">
        <f t="shared" si="1"/>
        <v>1.89</v>
      </c>
      <c r="H45" s="89">
        <f t="shared" si="2"/>
        <v>0.3857142857</v>
      </c>
      <c r="I45" s="78" t="s">
        <v>130</v>
      </c>
      <c r="J45" s="78" t="s">
        <v>69</v>
      </c>
      <c r="K45" s="58">
        <f t="shared" si="3"/>
        <v>9</v>
      </c>
      <c r="L45" s="91" t="str">
        <f t="shared" si="4"/>
        <v>Sat</v>
      </c>
      <c r="M45" s="78" t="str">
        <f>IFERROR(VLOOKUP(A45, Entries!A:B,2,false),"")</f>
        <v>Dimension 32</v>
      </c>
      <c r="N45" s="23" t="str">
        <f>IFERROR(VLOOKUP(A45, Entries!A:K,11,false),"")</f>
        <v/>
      </c>
      <c r="O45" s="23" t="b">
        <f>IFERROR(VLOOKUP(A45, Entries!A:I,8,false),"")</f>
        <v>1</v>
      </c>
    </row>
    <row r="46">
      <c r="A46" s="78" t="s">
        <v>106</v>
      </c>
      <c r="B46" s="78" t="s">
        <v>19</v>
      </c>
      <c r="C46" s="85">
        <v>43979.0</v>
      </c>
      <c r="D46" s="85">
        <v>43979.0</v>
      </c>
      <c r="E46" s="86">
        <v>3.01</v>
      </c>
      <c r="F46" s="87">
        <v>6.92</v>
      </c>
      <c r="G46" s="88">
        <f t="shared" si="1"/>
        <v>3.91</v>
      </c>
      <c r="H46" s="89">
        <f t="shared" si="2"/>
        <v>0.5650289017</v>
      </c>
      <c r="I46" s="78" t="s">
        <v>131</v>
      </c>
      <c r="J46" s="78" t="s">
        <v>69</v>
      </c>
      <c r="K46" s="58">
        <f t="shared" si="3"/>
        <v>0</v>
      </c>
      <c r="L46" s="91" t="str">
        <f t="shared" si="4"/>
        <v>Thu</v>
      </c>
      <c r="M46" s="78" t="str">
        <f>IFERROR(VLOOKUP(A46, Entries!A:B,2,false),"")</f>
        <v>Excalibur Games</v>
      </c>
      <c r="N46" s="23" t="str">
        <f>IFERROR(VLOOKUP(A46, Entries!A:K,11,false),"")</f>
        <v/>
      </c>
      <c r="O46" s="23" t="b">
        <f>IFERROR(VLOOKUP(A46, Entries!A:I,8,false),"")</f>
        <v>1</v>
      </c>
    </row>
    <row r="47">
      <c r="A47" s="78" t="s">
        <v>106</v>
      </c>
      <c r="B47" s="78" t="s">
        <v>19</v>
      </c>
      <c r="C47" s="85">
        <v>43979.0</v>
      </c>
      <c r="D47" s="85">
        <v>43979.0</v>
      </c>
      <c r="E47" s="86">
        <v>3.01</v>
      </c>
      <c r="F47" s="87">
        <v>6.92</v>
      </c>
      <c r="G47" s="88">
        <f t="shared" si="1"/>
        <v>3.91</v>
      </c>
      <c r="H47" s="89">
        <f t="shared" si="2"/>
        <v>0.5650289017</v>
      </c>
      <c r="I47" s="78" t="s">
        <v>132</v>
      </c>
      <c r="J47" s="78" t="s">
        <v>69</v>
      </c>
      <c r="K47" s="58">
        <f t="shared" si="3"/>
        <v>0</v>
      </c>
      <c r="L47" s="91" t="str">
        <f t="shared" si="4"/>
        <v>Thu</v>
      </c>
      <c r="M47" s="78" t="str">
        <f>IFERROR(VLOOKUP(A47, Entries!A:B,2,false),"")</f>
        <v>Excalibur Games</v>
      </c>
      <c r="N47" s="23" t="str">
        <f>IFERROR(VLOOKUP(A47, Entries!A:K,11,false),"")</f>
        <v/>
      </c>
      <c r="O47" s="23" t="b">
        <f>IFERROR(VLOOKUP(A47, Entries!A:I,8,false),"")</f>
        <v>1</v>
      </c>
    </row>
    <row r="48">
      <c r="A48" s="78" t="s">
        <v>133</v>
      </c>
      <c r="B48" s="78" t="s">
        <v>19</v>
      </c>
      <c r="C48" s="85">
        <v>43979.0</v>
      </c>
      <c r="D48" s="85">
        <v>44002.0</v>
      </c>
      <c r="E48" s="86">
        <v>3.01</v>
      </c>
      <c r="F48" s="87">
        <v>3.94</v>
      </c>
      <c r="G48" s="88">
        <f t="shared" si="1"/>
        <v>0.93</v>
      </c>
      <c r="H48" s="89">
        <f t="shared" si="2"/>
        <v>0.2360406091</v>
      </c>
      <c r="I48" s="78" t="s">
        <v>134</v>
      </c>
      <c r="J48" s="78" t="s">
        <v>69</v>
      </c>
      <c r="K48" s="58">
        <f t="shared" si="3"/>
        <v>23</v>
      </c>
      <c r="L48" s="91" t="str">
        <f t="shared" si="4"/>
        <v>Sat</v>
      </c>
      <c r="M48" s="78" t="str">
        <f>IFERROR(VLOOKUP(A48, Entries!A:B,2,false),"")</f>
        <v>Reverie World Studios</v>
      </c>
      <c r="N48" s="23" t="str">
        <f>IFERROR(VLOOKUP(A48, Entries!A:K,11,false),"")</f>
        <v/>
      </c>
      <c r="O48" s="23" t="b">
        <f>IFERROR(VLOOKUP(A48, Entries!A:I,8,false),"")</f>
        <v>0</v>
      </c>
    </row>
    <row r="49">
      <c r="A49" s="78" t="s">
        <v>133</v>
      </c>
      <c r="B49" s="78" t="s">
        <v>19</v>
      </c>
      <c r="C49" s="85">
        <v>43979.0</v>
      </c>
      <c r="D49" s="85">
        <v>44056.0</v>
      </c>
      <c r="E49" s="86">
        <v>3.01</v>
      </c>
      <c r="F49" s="87">
        <v>3.85</v>
      </c>
      <c r="G49" s="88">
        <f t="shared" si="1"/>
        <v>0.84</v>
      </c>
      <c r="H49" s="89">
        <f t="shared" si="2"/>
        <v>0.2181818182</v>
      </c>
      <c r="I49" s="78" t="s">
        <v>135</v>
      </c>
      <c r="J49" s="78" t="s">
        <v>69</v>
      </c>
      <c r="K49" s="58">
        <f t="shared" si="3"/>
        <v>77</v>
      </c>
      <c r="L49" s="91" t="str">
        <f t="shared" si="4"/>
        <v>Thu</v>
      </c>
      <c r="M49" s="78" t="str">
        <f>IFERROR(VLOOKUP(A49, Entries!A:B,2,false),"")</f>
        <v>Reverie World Studios</v>
      </c>
      <c r="N49" s="23" t="str">
        <f>IFERROR(VLOOKUP(A49, Entries!A:K,11,false),"")</f>
        <v/>
      </c>
      <c r="O49" s="23" t="b">
        <f>IFERROR(VLOOKUP(A49, Entries!A:I,8,false),"")</f>
        <v>0</v>
      </c>
    </row>
    <row r="50">
      <c r="A50" s="78" t="s">
        <v>136</v>
      </c>
      <c r="B50" s="78" t="s">
        <v>23</v>
      </c>
      <c r="C50" s="85">
        <v>43979.0</v>
      </c>
      <c r="D50" s="85">
        <v>44086.0</v>
      </c>
      <c r="E50" s="86">
        <v>5.24</v>
      </c>
      <c r="F50" s="87">
        <v>5.62</v>
      </c>
      <c r="G50" s="88">
        <f t="shared" si="1"/>
        <v>0.38</v>
      </c>
      <c r="H50" s="89">
        <f t="shared" si="2"/>
        <v>0.06761565836</v>
      </c>
      <c r="I50" s="78" t="s">
        <v>137</v>
      </c>
      <c r="J50" s="78" t="s">
        <v>69</v>
      </c>
      <c r="K50" s="58">
        <f t="shared" si="3"/>
        <v>107</v>
      </c>
      <c r="L50" s="91" t="str">
        <f t="shared" si="4"/>
        <v>Sat</v>
      </c>
      <c r="M50" s="78" t="str">
        <f>IFERROR(VLOOKUP(A50, Entries!A:B,2,false),"")</f>
        <v>Microids</v>
      </c>
      <c r="N50" s="23" t="str">
        <f>IFERROR(VLOOKUP(A50, Entries!A:K,11,false),"")</f>
        <v/>
      </c>
      <c r="O50" s="23" t="b">
        <f>IFERROR(VLOOKUP(A50, Entries!A:I,8,false),"")</f>
        <v>0</v>
      </c>
    </row>
    <row r="51">
      <c r="A51" s="78" t="s">
        <v>138</v>
      </c>
      <c r="B51" s="78" t="s">
        <v>21</v>
      </c>
      <c r="C51" s="85">
        <v>43979.0</v>
      </c>
      <c r="D51" s="85">
        <v>43980.0</v>
      </c>
      <c r="E51" s="86">
        <v>4.75</v>
      </c>
      <c r="F51" s="87">
        <v>6.91</v>
      </c>
      <c r="G51" s="88">
        <f t="shared" si="1"/>
        <v>2.16</v>
      </c>
      <c r="H51" s="89">
        <f t="shared" si="2"/>
        <v>0.3125904486</v>
      </c>
      <c r="I51" s="78" t="s">
        <v>139</v>
      </c>
      <c r="J51" s="78" t="s">
        <v>69</v>
      </c>
      <c r="K51" s="58">
        <f t="shared" si="3"/>
        <v>1</v>
      </c>
      <c r="L51" s="91" t="str">
        <f t="shared" si="4"/>
        <v>Fri</v>
      </c>
      <c r="M51" s="78" t="str">
        <f>IFERROR(VLOOKUP(A51, Entries!A:B,2,false),"")</f>
        <v>SCS Software</v>
      </c>
      <c r="N51" s="23" t="str">
        <f>IFERROR(VLOOKUP(A51, Entries!A:K,11,false),"")</f>
        <v/>
      </c>
      <c r="O51" s="23" t="b">
        <f>IFERROR(VLOOKUP(A51, Entries!A:I,8,false),"")</f>
        <v>0</v>
      </c>
    </row>
    <row r="52">
      <c r="A52" s="78" t="s">
        <v>138</v>
      </c>
      <c r="B52" s="78" t="s">
        <v>21</v>
      </c>
      <c r="C52" s="85">
        <v>43979.0</v>
      </c>
      <c r="D52" s="85">
        <v>43980.0</v>
      </c>
      <c r="E52" s="86">
        <v>4.75</v>
      </c>
      <c r="F52" s="87">
        <v>6.91</v>
      </c>
      <c r="G52" s="88">
        <f t="shared" si="1"/>
        <v>2.16</v>
      </c>
      <c r="H52" s="89">
        <f t="shared" si="2"/>
        <v>0.3125904486</v>
      </c>
      <c r="I52" s="78" t="s">
        <v>140</v>
      </c>
      <c r="J52" s="78" t="s">
        <v>69</v>
      </c>
      <c r="K52" s="58">
        <f t="shared" si="3"/>
        <v>1</v>
      </c>
      <c r="L52" s="91" t="str">
        <f t="shared" si="4"/>
        <v>Fri</v>
      </c>
      <c r="M52" s="78" t="str">
        <f>IFERROR(VLOOKUP(A52, Entries!A:B,2,false),"")</f>
        <v>SCS Software</v>
      </c>
      <c r="N52" s="23" t="str">
        <f>IFERROR(VLOOKUP(A52, Entries!A:K,11,false),"")</f>
        <v/>
      </c>
      <c r="O52" s="23" t="b">
        <f>IFERROR(VLOOKUP(A52, Entries!A:I,8,false),"")</f>
        <v>0</v>
      </c>
    </row>
    <row r="53">
      <c r="A53" s="78" t="s">
        <v>141</v>
      </c>
      <c r="B53" s="78" t="s">
        <v>19</v>
      </c>
      <c r="C53" s="85">
        <v>43980.0</v>
      </c>
      <c r="D53" s="85">
        <v>43980.0</v>
      </c>
      <c r="E53" s="86">
        <v>8.73</v>
      </c>
      <c r="F53" s="87">
        <v>10.93</v>
      </c>
      <c r="G53" s="88">
        <f t="shared" si="1"/>
        <v>2.2</v>
      </c>
      <c r="H53" s="89">
        <f t="shared" si="2"/>
        <v>0.2012808783</v>
      </c>
      <c r="I53" s="78" t="s">
        <v>142</v>
      </c>
      <c r="J53" s="78" t="s">
        <v>69</v>
      </c>
      <c r="K53" s="58">
        <f t="shared" si="3"/>
        <v>0</v>
      </c>
      <c r="L53" s="91" t="str">
        <f t="shared" si="4"/>
        <v>Fri</v>
      </c>
      <c r="M53" s="78" t="str">
        <f>IFERROR(VLOOKUP(A53, Entries!A:B,2,false),"")</f>
        <v>2K</v>
      </c>
      <c r="N53" s="23" t="str">
        <f>IFERROR(VLOOKUP(A53, Entries!A:K,11,false),"")</f>
        <v/>
      </c>
      <c r="O53" s="23" t="b">
        <f>IFERROR(VLOOKUP(A53, Entries!A:I,8,false),"")</f>
        <v>0</v>
      </c>
    </row>
    <row r="54">
      <c r="A54" s="78" t="s">
        <v>141</v>
      </c>
      <c r="B54" s="78" t="s">
        <v>21</v>
      </c>
      <c r="C54" s="85">
        <v>43981.0</v>
      </c>
      <c r="D54" s="85">
        <v>44003.0</v>
      </c>
      <c r="E54" s="86">
        <v>8.44</v>
      </c>
      <c r="F54" s="87">
        <v>8.62</v>
      </c>
      <c r="G54" s="88">
        <f t="shared" si="1"/>
        <v>0.18</v>
      </c>
      <c r="H54" s="89">
        <f t="shared" si="2"/>
        <v>0.02088167053</v>
      </c>
      <c r="I54" s="78" t="s">
        <v>143</v>
      </c>
      <c r="J54" s="78" t="s">
        <v>69</v>
      </c>
      <c r="K54" s="58">
        <f t="shared" si="3"/>
        <v>22</v>
      </c>
      <c r="L54" s="91" t="str">
        <f t="shared" si="4"/>
        <v>Sun</v>
      </c>
      <c r="M54" s="78" t="str">
        <f>IFERROR(VLOOKUP(A54, Entries!A:B,2,false),"")</f>
        <v>2K</v>
      </c>
      <c r="N54" s="23" t="str">
        <f>IFERROR(VLOOKUP(A54, Entries!A:K,11,false),"")</f>
        <v/>
      </c>
      <c r="O54" s="23" t="b">
        <f>IFERROR(VLOOKUP(A54, Entries!A:I,8,false),"")</f>
        <v>0</v>
      </c>
    </row>
    <row r="55">
      <c r="A55" s="78" t="s">
        <v>141</v>
      </c>
      <c r="B55" s="78" t="s">
        <v>21</v>
      </c>
      <c r="C55" s="85">
        <v>43981.0</v>
      </c>
      <c r="D55" s="85">
        <v>44069.0</v>
      </c>
      <c r="E55" s="86">
        <v>8.44</v>
      </c>
      <c r="F55" s="87">
        <v>8.75</v>
      </c>
      <c r="G55" s="88">
        <f t="shared" si="1"/>
        <v>0.31</v>
      </c>
      <c r="H55" s="89">
        <f t="shared" si="2"/>
        <v>0.03542857143</v>
      </c>
      <c r="I55" s="78" t="s">
        <v>144</v>
      </c>
      <c r="J55" s="78" t="s">
        <v>69</v>
      </c>
      <c r="K55" s="58">
        <f t="shared" si="3"/>
        <v>88</v>
      </c>
      <c r="L55" s="91" t="str">
        <f t="shared" si="4"/>
        <v>Wed</v>
      </c>
      <c r="M55" s="78" t="str">
        <f>IFERROR(VLOOKUP(A55, Entries!A:B,2,false),"")</f>
        <v>2K</v>
      </c>
      <c r="N55" s="23" t="str">
        <f>IFERROR(VLOOKUP(A55, Entries!A:K,11,false),"")</f>
        <v/>
      </c>
      <c r="O55" s="23" t="b">
        <f>IFERROR(VLOOKUP(A55, Entries!A:I,8,false),"")</f>
        <v>0</v>
      </c>
    </row>
    <row r="56">
      <c r="A56" s="78" t="s">
        <v>141</v>
      </c>
      <c r="B56" s="78" t="s">
        <v>22</v>
      </c>
      <c r="C56" s="85">
        <v>43981.0</v>
      </c>
      <c r="D56" s="85">
        <v>44078.0</v>
      </c>
      <c r="E56" s="86">
        <v>7.69</v>
      </c>
      <c r="F56" s="87">
        <v>8.38</v>
      </c>
      <c r="G56" s="88">
        <f t="shared" si="1"/>
        <v>0.69</v>
      </c>
      <c r="H56" s="89">
        <f t="shared" si="2"/>
        <v>0.08233890215</v>
      </c>
      <c r="I56" s="78" t="s">
        <v>145</v>
      </c>
      <c r="J56" s="78" t="s">
        <v>69</v>
      </c>
      <c r="K56" s="58">
        <f t="shared" si="3"/>
        <v>97</v>
      </c>
      <c r="L56" s="91" t="str">
        <f t="shared" si="4"/>
        <v>Fri</v>
      </c>
      <c r="M56" s="78" t="str">
        <f>IFERROR(VLOOKUP(A56, Entries!A:B,2,false),"")</f>
        <v>2K</v>
      </c>
      <c r="N56" s="23" t="str">
        <f>IFERROR(VLOOKUP(A56, Entries!A:K,11,false),"")</f>
        <v/>
      </c>
      <c r="O56" s="23" t="b">
        <f>IFERROR(VLOOKUP(A56, Entries!A:I,8,false),"")</f>
        <v>0</v>
      </c>
    </row>
    <row r="57">
      <c r="A57" s="78" t="s">
        <v>141</v>
      </c>
      <c r="B57" s="78" t="s">
        <v>22</v>
      </c>
      <c r="C57" s="85">
        <v>43981.0</v>
      </c>
      <c r="D57" s="85">
        <v>44115.0</v>
      </c>
      <c r="E57" s="86">
        <v>7.69</v>
      </c>
      <c r="F57" s="87">
        <v>8.36</v>
      </c>
      <c r="G57" s="88">
        <f t="shared" si="1"/>
        <v>0.67</v>
      </c>
      <c r="H57" s="89">
        <f t="shared" si="2"/>
        <v>0.08014354067</v>
      </c>
      <c r="I57" s="78" t="s">
        <v>146</v>
      </c>
      <c r="J57" s="78" t="s">
        <v>69</v>
      </c>
      <c r="K57" s="58">
        <f t="shared" si="3"/>
        <v>134</v>
      </c>
      <c r="L57" s="91" t="str">
        <f t="shared" si="4"/>
        <v>Sun</v>
      </c>
      <c r="M57" s="78" t="str">
        <f>IFERROR(VLOOKUP(A57, Entries!A:B,2,false),"")</f>
        <v>2K</v>
      </c>
      <c r="N57" s="23" t="str">
        <f>IFERROR(VLOOKUP(A57, Entries!A:K,11,false),"")</f>
        <v/>
      </c>
      <c r="O57" s="23" t="b">
        <f>IFERROR(VLOOKUP(A57, Entries!A:I,8,false),"")</f>
        <v>0</v>
      </c>
    </row>
    <row r="58">
      <c r="A58" s="78" t="s">
        <v>147</v>
      </c>
      <c r="B58" s="78" t="s">
        <v>23</v>
      </c>
      <c r="C58" s="85">
        <v>43980.0</v>
      </c>
      <c r="D58" s="85">
        <v>43988.0</v>
      </c>
      <c r="E58" s="86">
        <v>3.9</v>
      </c>
      <c r="F58" s="87">
        <v>5.0</v>
      </c>
      <c r="G58" s="88">
        <f t="shared" si="1"/>
        <v>1.1</v>
      </c>
      <c r="H58" s="89">
        <f t="shared" si="2"/>
        <v>0.22</v>
      </c>
      <c r="I58" s="78" t="s">
        <v>148</v>
      </c>
      <c r="J58" s="78" t="s">
        <v>69</v>
      </c>
      <c r="K58" s="58">
        <f t="shared" si="3"/>
        <v>8</v>
      </c>
      <c r="L58" s="91" t="str">
        <f t="shared" si="4"/>
        <v>Sat</v>
      </c>
      <c r="M58" s="78" t="str">
        <f>IFERROR(VLOOKUP(A58, Entries!A:B,2,false),"")</f>
        <v>SEGA</v>
      </c>
      <c r="N58" s="23" t="str">
        <f>IFERROR(VLOOKUP(A58, Entries!A:K,11,false),"")</f>
        <v/>
      </c>
      <c r="O58" s="23" t="b">
        <f>IFERROR(VLOOKUP(A58, Entries!A:I,8,false),"")</f>
        <v>0</v>
      </c>
    </row>
    <row r="59">
      <c r="A59" s="78" t="s">
        <v>149</v>
      </c>
      <c r="B59" s="78" t="s">
        <v>17</v>
      </c>
      <c r="C59" s="85">
        <v>43980.0</v>
      </c>
      <c r="D59" s="85">
        <v>43980.0</v>
      </c>
      <c r="E59" s="86">
        <v>7.57</v>
      </c>
      <c r="F59" s="87">
        <v>10.95</v>
      </c>
      <c r="G59" s="88">
        <f t="shared" si="1"/>
        <v>3.38</v>
      </c>
      <c r="H59" s="89">
        <f t="shared" si="2"/>
        <v>0.3086757991</v>
      </c>
      <c r="I59" s="78" t="s">
        <v>150</v>
      </c>
      <c r="J59" s="78" t="s">
        <v>69</v>
      </c>
      <c r="K59" s="58">
        <f t="shared" si="3"/>
        <v>0</v>
      </c>
      <c r="L59" s="91" t="str">
        <f t="shared" si="4"/>
        <v>Fri</v>
      </c>
      <c r="M59" s="78" t="str">
        <f>IFERROR(VLOOKUP(A59, Entries!A:B,2,false),"")</f>
        <v>Focus Home Interactive</v>
      </c>
      <c r="N59" s="23" t="str">
        <f>IFERROR(VLOOKUP(A59, Entries!A:K,11,false),"")</f>
        <v/>
      </c>
      <c r="O59" s="23" t="b">
        <f>IFERROR(VLOOKUP(A59, Entries!A:I,8,false),"")</f>
        <v>0</v>
      </c>
    </row>
    <row r="60">
      <c r="A60" s="78" t="s">
        <v>149</v>
      </c>
      <c r="B60" s="78" t="s">
        <v>17</v>
      </c>
      <c r="C60" s="85">
        <v>43980.0</v>
      </c>
      <c r="D60" s="85">
        <v>43988.0</v>
      </c>
      <c r="E60" s="86">
        <v>7.57</v>
      </c>
      <c r="F60" s="87">
        <v>9.52</v>
      </c>
      <c r="G60" s="88">
        <f t="shared" si="1"/>
        <v>1.95</v>
      </c>
      <c r="H60" s="89">
        <f t="shared" si="2"/>
        <v>0.2048319328</v>
      </c>
      <c r="I60" s="78" t="s">
        <v>151</v>
      </c>
      <c r="J60" s="78" t="s">
        <v>69</v>
      </c>
      <c r="K60" s="58">
        <f t="shared" si="3"/>
        <v>8</v>
      </c>
      <c r="L60" s="91" t="str">
        <f t="shared" si="4"/>
        <v>Sat</v>
      </c>
      <c r="M60" s="78" t="str">
        <f>IFERROR(VLOOKUP(A60, Entries!A:B,2,false),"")</f>
        <v>Focus Home Interactive</v>
      </c>
      <c r="N60" s="23" t="str">
        <f>IFERROR(VLOOKUP(A60, Entries!A:K,11,false),"")</f>
        <v/>
      </c>
      <c r="O60" s="23" t="b">
        <f>IFERROR(VLOOKUP(A60, Entries!A:I,8,false),"")</f>
        <v>0</v>
      </c>
    </row>
    <row r="61">
      <c r="A61" s="78" t="s">
        <v>149</v>
      </c>
      <c r="B61" s="78" t="s">
        <v>17</v>
      </c>
      <c r="C61" s="85">
        <v>43981.0</v>
      </c>
      <c r="D61" s="85">
        <v>43993.0</v>
      </c>
      <c r="E61" s="86">
        <v>7.57</v>
      </c>
      <c r="F61" s="87">
        <v>9.41</v>
      </c>
      <c r="G61" s="88">
        <f t="shared" si="1"/>
        <v>1.84</v>
      </c>
      <c r="H61" s="89">
        <f t="shared" si="2"/>
        <v>0.1955366631</v>
      </c>
      <c r="I61" s="78" t="s">
        <v>152</v>
      </c>
      <c r="J61" s="78" t="s">
        <v>69</v>
      </c>
      <c r="K61" s="58">
        <f t="shared" si="3"/>
        <v>12</v>
      </c>
      <c r="L61" s="91" t="str">
        <f t="shared" si="4"/>
        <v>Thu</v>
      </c>
      <c r="M61" s="78" t="str">
        <f>IFERROR(VLOOKUP(A61, Entries!A:B,2,false),"")</f>
        <v>Focus Home Interactive</v>
      </c>
      <c r="N61" s="23" t="str">
        <f>IFERROR(VLOOKUP(A61, Entries!A:K,11,false),"")</f>
        <v/>
      </c>
      <c r="O61" s="23" t="b">
        <f>IFERROR(VLOOKUP(A61, Entries!A:I,8,false),"")</f>
        <v>0</v>
      </c>
    </row>
    <row r="62">
      <c r="A62" s="78" t="s">
        <v>149</v>
      </c>
      <c r="B62" s="78" t="s">
        <v>17</v>
      </c>
      <c r="C62" s="85">
        <v>43981.0</v>
      </c>
      <c r="D62" s="85">
        <v>43994.0</v>
      </c>
      <c r="E62" s="86">
        <v>7.57</v>
      </c>
      <c r="F62" s="87">
        <v>9.41</v>
      </c>
      <c r="G62" s="88">
        <f t="shared" si="1"/>
        <v>1.84</v>
      </c>
      <c r="H62" s="89">
        <f t="shared" si="2"/>
        <v>0.1955366631</v>
      </c>
      <c r="I62" s="78" t="s">
        <v>153</v>
      </c>
      <c r="J62" s="78" t="s">
        <v>69</v>
      </c>
      <c r="K62" s="58">
        <f t="shared" si="3"/>
        <v>13</v>
      </c>
      <c r="L62" s="91" t="str">
        <f t="shared" si="4"/>
        <v>Fri</v>
      </c>
      <c r="M62" s="78" t="str">
        <f>IFERROR(VLOOKUP(A62, Entries!A:B,2,false),"")</f>
        <v>Focus Home Interactive</v>
      </c>
      <c r="N62" s="23" t="str">
        <f>IFERROR(VLOOKUP(A62, Entries!A:K,11,false),"")</f>
        <v/>
      </c>
      <c r="O62" s="23" t="b">
        <f>IFERROR(VLOOKUP(A62, Entries!A:I,8,false),"")</f>
        <v>0</v>
      </c>
    </row>
    <row r="63">
      <c r="A63" s="78" t="s">
        <v>138</v>
      </c>
      <c r="B63" s="78" t="s">
        <v>21</v>
      </c>
      <c r="C63" s="85">
        <v>43980.0</v>
      </c>
      <c r="D63" s="85">
        <v>43981.0</v>
      </c>
      <c r="E63" s="86">
        <v>4.75</v>
      </c>
      <c r="F63" s="87">
        <v>6.91</v>
      </c>
      <c r="G63" s="88">
        <f t="shared" si="1"/>
        <v>2.16</v>
      </c>
      <c r="H63" s="89">
        <f t="shared" si="2"/>
        <v>0.3125904486</v>
      </c>
      <c r="I63" s="78" t="s">
        <v>154</v>
      </c>
      <c r="J63" s="78" t="s">
        <v>69</v>
      </c>
      <c r="K63" s="58">
        <f t="shared" si="3"/>
        <v>1</v>
      </c>
      <c r="L63" s="91" t="str">
        <f t="shared" si="4"/>
        <v>Sat</v>
      </c>
      <c r="M63" s="78" t="str">
        <f>IFERROR(VLOOKUP(A63, Entries!A:B,2,false),"")</f>
        <v>SCS Software</v>
      </c>
      <c r="N63" s="23" t="str">
        <f>IFERROR(VLOOKUP(A63, Entries!A:K,11,false),"")</f>
        <v/>
      </c>
      <c r="O63" s="23" t="b">
        <f>IFERROR(VLOOKUP(A63, Entries!A:I,8,false),"")</f>
        <v>0</v>
      </c>
    </row>
    <row r="64">
      <c r="A64" s="78" t="s">
        <v>138</v>
      </c>
      <c r="B64" s="78" t="s">
        <v>21</v>
      </c>
      <c r="C64" s="85">
        <v>43980.0</v>
      </c>
      <c r="D64" s="85">
        <v>43981.0</v>
      </c>
      <c r="E64" s="86">
        <v>4.75</v>
      </c>
      <c r="F64" s="87">
        <v>7.02</v>
      </c>
      <c r="G64" s="88">
        <f t="shared" si="1"/>
        <v>2.27</v>
      </c>
      <c r="H64" s="89">
        <f t="shared" si="2"/>
        <v>0.3233618234</v>
      </c>
      <c r="I64" s="78" t="s">
        <v>155</v>
      </c>
      <c r="J64" s="78" t="s">
        <v>69</v>
      </c>
      <c r="K64" s="58">
        <f t="shared" si="3"/>
        <v>1</v>
      </c>
      <c r="L64" s="91" t="str">
        <f t="shared" si="4"/>
        <v>Sat</v>
      </c>
      <c r="M64" s="78" t="str">
        <f>IFERROR(VLOOKUP(A64, Entries!A:B,2,false),"")</f>
        <v>SCS Software</v>
      </c>
      <c r="N64" s="23" t="str">
        <f>IFERROR(VLOOKUP(A64, Entries!A:K,11,false),"")</f>
        <v/>
      </c>
      <c r="O64" s="23" t="b">
        <f>IFERROR(VLOOKUP(A64, Entries!A:I,8,false),"")</f>
        <v>0</v>
      </c>
    </row>
    <row r="65">
      <c r="A65" s="78" t="s">
        <v>138</v>
      </c>
      <c r="B65" s="78" t="s">
        <v>21</v>
      </c>
      <c r="C65" s="85">
        <v>43981.0</v>
      </c>
      <c r="D65" s="85">
        <v>43981.0</v>
      </c>
      <c r="E65" s="86">
        <v>4.65</v>
      </c>
      <c r="F65" s="87">
        <v>7.02</v>
      </c>
      <c r="G65" s="88">
        <f t="shared" si="1"/>
        <v>2.37</v>
      </c>
      <c r="H65" s="89">
        <f t="shared" si="2"/>
        <v>0.3376068376</v>
      </c>
      <c r="I65" s="78" t="s">
        <v>156</v>
      </c>
      <c r="J65" s="78" t="s">
        <v>69</v>
      </c>
      <c r="K65" s="58">
        <f t="shared" si="3"/>
        <v>0</v>
      </c>
      <c r="L65" s="91" t="str">
        <f t="shared" si="4"/>
        <v>Sat</v>
      </c>
      <c r="M65" s="78" t="str">
        <f>IFERROR(VLOOKUP(A65, Entries!A:B,2,false),"")</f>
        <v>SCS Software</v>
      </c>
      <c r="N65" s="23" t="str">
        <f>IFERROR(VLOOKUP(A65, Entries!A:K,11,false),"")</f>
        <v/>
      </c>
      <c r="O65" s="23" t="b">
        <f>IFERROR(VLOOKUP(A65, Entries!A:I,8,false),"")</f>
        <v>0</v>
      </c>
    </row>
    <row r="66">
      <c r="A66" s="78" t="s">
        <v>138</v>
      </c>
      <c r="B66" s="78" t="s">
        <v>21</v>
      </c>
      <c r="C66" s="85">
        <v>43981.0</v>
      </c>
      <c r="D66" s="85">
        <v>43983.0</v>
      </c>
      <c r="E66" s="86">
        <v>4.65</v>
      </c>
      <c r="F66" s="87">
        <v>6.12</v>
      </c>
      <c r="G66" s="88">
        <f t="shared" si="1"/>
        <v>1.47</v>
      </c>
      <c r="H66" s="89">
        <f t="shared" si="2"/>
        <v>0.2401960784</v>
      </c>
      <c r="I66" s="78" t="s">
        <v>157</v>
      </c>
      <c r="J66" s="78" t="s">
        <v>69</v>
      </c>
      <c r="K66" s="58">
        <f t="shared" si="3"/>
        <v>2</v>
      </c>
      <c r="L66" s="91" t="str">
        <f t="shared" si="4"/>
        <v>Mon</v>
      </c>
      <c r="M66" s="78" t="str">
        <f>IFERROR(VLOOKUP(A66, Entries!A:B,2,false),"")</f>
        <v>SCS Software</v>
      </c>
      <c r="N66" s="23" t="str">
        <f>IFERROR(VLOOKUP(A66, Entries!A:K,11,false),"")</f>
        <v/>
      </c>
      <c r="O66" s="23" t="b">
        <f>IFERROR(VLOOKUP(A66, Entries!A:I,8,false),"")</f>
        <v>0</v>
      </c>
    </row>
    <row r="67">
      <c r="A67" s="78" t="s">
        <v>138</v>
      </c>
      <c r="B67" s="78" t="s">
        <v>21</v>
      </c>
      <c r="C67" s="85">
        <v>43981.0</v>
      </c>
      <c r="D67" s="85">
        <v>43983.0</v>
      </c>
      <c r="E67" s="86">
        <v>4.65</v>
      </c>
      <c r="F67" s="87">
        <v>6.12</v>
      </c>
      <c r="G67" s="88">
        <f t="shared" si="1"/>
        <v>1.47</v>
      </c>
      <c r="H67" s="89">
        <f t="shared" si="2"/>
        <v>0.2401960784</v>
      </c>
      <c r="I67" s="78" t="s">
        <v>158</v>
      </c>
      <c r="J67" s="78" t="s">
        <v>69</v>
      </c>
      <c r="K67" s="58">
        <f t="shared" si="3"/>
        <v>2</v>
      </c>
      <c r="L67" s="91" t="str">
        <f t="shared" si="4"/>
        <v>Mon</v>
      </c>
      <c r="M67" s="78" t="str">
        <f>IFERROR(VLOOKUP(A67, Entries!A:B,2,false),"")</f>
        <v>SCS Software</v>
      </c>
      <c r="N67" s="23" t="str">
        <f>IFERROR(VLOOKUP(A67, Entries!A:K,11,false),"")</f>
        <v/>
      </c>
      <c r="O67" s="23" t="b">
        <f>IFERROR(VLOOKUP(A67, Entries!A:I,8,false),"")</f>
        <v>0</v>
      </c>
    </row>
    <row r="68">
      <c r="A68" s="78" t="s">
        <v>138</v>
      </c>
      <c r="B68" s="78" t="s">
        <v>21</v>
      </c>
      <c r="C68" s="85">
        <v>43984.0</v>
      </c>
      <c r="D68" s="85">
        <v>43984.0</v>
      </c>
      <c r="E68" s="86">
        <v>4.67</v>
      </c>
      <c r="F68" s="87">
        <v>6.12</v>
      </c>
      <c r="G68" s="88">
        <f t="shared" si="1"/>
        <v>1.45</v>
      </c>
      <c r="H68" s="89">
        <f t="shared" si="2"/>
        <v>0.2369281046</v>
      </c>
      <c r="I68" s="78" t="s">
        <v>159</v>
      </c>
      <c r="J68" s="78" t="s">
        <v>69</v>
      </c>
      <c r="K68" s="58">
        <f t="shared" si="3"/>
        <v>0</v>
      </c>
      <c r="L68" s="91" t="str">
        <f t="shared" si="4"/>
        <v>Tue</v>
      </c>
      <c r="M68" s="78" t="str">
        <f>IFERROR(VLOOKUP(A68, Entries!A:B,2,false),"")</f>
        <v>SCS Software</v>
      </c>
      <c r="N68" s="23" t="str">
        <f>IFERROR(VLOOKUP(A68, Entries!A:K,11,false),"")</f>
        <v/>
      </c>
      <c r="O68" s="23" t="b">
        <f>IFERROR(VLOOKUP(A68, Entries!A:I,8,false),"")</f>
        <v>0</v>
      </c>
    </row>
    <row r="69">
      <c r="A69" s="78" t="s">
        <v>160</v>
      </c>
      <c r="B69" s="78" t="s">
        <v>22</v>
      </c>
      <c r="C69" s="85">
        <v>43981.0</v>
      </c>
      <c r="D69" s="85">
        <v>44201.0</v>
      </c>
      <c r="E69" s="86">
        <v>0.0</v>
      </c>
      <c r="F69" s="87">
        <v>0.65</v>
      </c>
      <c r="G69" s="88">
        <f t="shared" si="1"/>
        <v>0.65</v>
      </c>
      <c r="H69" s="89">
        <f t="shared" si="2"/>
        <v>1</v>
      </c>
      <c r="I69" s="78" t="s">
        <v>161</v>
      </c>
      <c r="J69" s="78" t="s">
        <v>69</v>
      </c>
      <c r="K69" s="58">
        <f t="shared" si="3"/>
        <v>220</v>
      </c>
      <c r="L69" s="91" t="str">
        <f t="shared" si="4"/>
        <v>Tue</v>
      </c>
      <c r="M69" s="78" t="str">
        <f>IFERROR(VLOOKUP(A69, Entries!A:B,2,false),"")</f>
        <v>Konami</v>
      </c>
      <c r="N69" s="23" t="str">
        <f>IFERROR(VLOOKUP(A69, Entries!A:K,11,false),"")</f>
        <v/>
      </c>
      <c r="O69" s="23" t="b">
        <f>IFERROR(VLOOKUP(A69, Entries!A:I,8,false),"")</f>
        <v>0</v>
      </c>
    </row>
    <row r="70">
      <c r="A70" s="78" t="s">
        <v>160</v>
      </c>
      <c r="B70" s="78" t="s">
        <v>22</v>
      </c>
      <c r="C70" s="85">
        <v>43981.0</v>
      </c>
      <c r="D70" s="85">
        <v>44073.0</v>
      </c>
      <c r="E70" s="86">
        <v>0.0</v>
      </c>
      <c r="F70" s="87">
        <v>0.5</v>
      </c>
      <c r="G70" s="88">
        <f t="shared" si="1"/>
        <v>0.5</v>
      </c>
      <c r="H70" s="89">
        <f t="shared" si="2"/>
        <v>1</v>
      </c>
      <c r="I70" s="78" t="s">
        <v>162</v>
      </c>
      <c r="J70" s="78" t="s">
        <v>69</v>
      </c>
      <c r="K70" s="58">
        <f t="shared" si="3"/>
        <v>92</v>
      </c>
      <c r="L70" s="91" t="str">
        <f t="shared" si="4"/>
        <v>Sun</v>
      </c>
      <c r="M70" s="78" t="str">
        <f>IFERROR(VLOOKUP(A70, Entries!A:B,2,false),"")</f>
        <v>Konami</v>
      </c>
      <c r="N70" s="23" t="str">
        <f>IFERROR(VLOOKUP(A70, Entries!A:K,11,false),"")</f>
        <v/>
      </c>
      <c r="O70" s="23" t="b">
        <f>IFERROR(VLOOKUP(A70, Entries!A:I,8,false),"")</f>
        <v>0</v>
      </c>
    </row>
    <row r="71">
      <c r="A71" s="78" t="s">
        <v>163</v>
      </c>
      <c r="B71" s="78" t="s">
        <v>22</v>
      </c>
      <c r="C71" s="85">
        <v>43982.0</v>
      </c>
      <c r="D71" s="85">
        <v>43985.0</v>
      </c>
      <c r="E71" s="86">
        <v>2.3</v>
      </c>
      <c r="F71" s="87">
        <v>3.58</v>
      </c>
      <c r="G71" s="88">
        <f t="shared" si="1"/>
        <v>1.28</v>
      </c>
      <c r="H71" s="89">
        <f t="shared" si="2"/>
        <v>0.3575418994</v>
      </c>
      <c r="I71" s="78" t="s">
        <v>164</v>
      </c>
      <c r="J71" s="78" t="s">
        <v>69</v>
      </c>
      <c r="K71" s="58">
        <f t="shared" si="3"/>
        <v>3</v>
      </c>
      <c r="L71" s="91" t="str">
        <f t="shared" si="4"/>
        <v>Wed</v>
      </c>
      <c r="M71" s="78" t="str">
        <f>IFERROR(VLOOKUP(A71, Entries!A:B,2,false),"")</f>
        <v>Square Enix</v>
      </c>
      <c r="N71" s="23" t="str">
        <f>IFERROR(VLOOKUP(A71, Entries!A:K,11,false),"")</f>
        <v/>
      </c>
      <c r="O71" s="23" t="b">
        <f>IFERROR(VLOOKUP(A71, Entries!A:I,8,false),"")</f>
        <v>0</v>
      </c>
    </row>
    <row r="72">
      <c r="A72" s="78" t="s">
        <v>163</v>
      </c>
      <c r="B72" s="78" t="s">
        <v>22</v>
      </c>
      <c r="C72" s="85">
        <v>43982.0</v>
      </c>
      <c r="D72" s="85">
        <v>43985.0</v>
      </c>
      <c r="E72" s="86">
        <v>2.31</v>
      </c>
      <c r="F72" s="87">
        <v>3.58</v>
      </c>
      <c r="G72" s="88">
        <f t="shared" si="1"/>
        <v>1.27</v>
      </c>
      <c r="H72" s="89">
        <f t="shared" si="2"/>
        <v>0.3547486034</v>
      </c>
      <c r="I72" s="78" t="s">
        <v>165</v>
      </c>
      <c r="J72" s="78" t="s">
        <v>69</v>
      </c>
      <c r="K72" s="58">
        <f t="shared" si="3"/>
        <v>3</v>
      </c>
      <c r="L72" s="91" t="str">
        <f t="shared" si="4"/>
        <v>Wed</v>
      </c>
      <c r="M72" s="78" t="str">
        <f>IFERROR(VLOOKUP(A72, Entries!A:B,2,false),"")</f>
        <v>Square Enix</v>
      </c>
      <c r="N72" s="23" t="str">
        <f>IFERROR(VLOOKUP(A72, Entries!A:K,11,false),"")</f>
        <v/>
      </c>
      <c r="O72" s="23" t="b">
        <f>IFERROR(VLOOKUP(A72, Entries!A:I,8,false),"")</f>
        <v>0</v>
      </c>
    </row>
    <row r="73">
      <c r="A73" s="78" t="s">
        <v>166</v>
      </c>
      <c r="B73" s="78" t="s">
        <v>21</v>
      </c>
      <c r="C73" s="85">
        <v>43983.0</v>
      </c>
      <c r="D73" s="85">
        <v>43985.0</v>
      </c>
      <c r="E73" s="86">
        <v>9.21</v>
      </c>
      <c r="F73" s="87">
        <v>12.64</v>
      </c>
      <c r="G73" s="88">
        <f t="shared" si="1"/>
        <v>3.43</v>
      </c>
      <c r="H73" s="89">
        <f t="shared" si="2"/>
        <v>0.2713607595</v>
      </c>
      <c r="I73" s="78" t="s">
        <v>167</v>
      </c>
      <c r="J73" s="78" t="s">
        <v>69</v>
      </c>
      <c r="K73" s="58">
        <f t="shared" si="3"/>
        <v>2</v>
      </c>
      <c r="L73" s="91" t="str">
        <f t="shared" si="4"/>
        <v>Wed</v>
      </c>
      <c r="M73" s="78" t="str">
        <f>IFERROR(VLOOKUP(A73, Entries!A:B,2,false),"")</f>
        <v>Revival Productions</v>
      </c>
      <c r="N73" s="23" t="str">
        <f>IFERROR(VLOOKUP(A73, Entries!A:K,11,false),"")</f>
        <v/>
      </c>
      <c r="O73" s="23" t="b">
        <f>IFERROR(VLOOKUP(A73, Entries!A:I,8,false),"")</f>
        <v>0</v>
      </c>
    </row>
    <row r="74">
      <c r="A74" s="78" t="s">
        <v>166</v>
      </c>
      <c r="B74" s="78" t="s">
        <v>21</v>
      </c>
      <c r="C74" s="85">
        <v>43983.0</v>
      </c>
      <c r="D74" s="85">
        <v>43985.0</v>
      </c>
      <c r="E74" s="86">
        <v>9.21</v>
      </c>
      <c r="F74" s="87">
        <v>12.64</v>
      </c>
      <c r="G74" s="88">
        <f t="shared" si="1"/>
        <v>3.43</v>
      </c>
      <c r="H74" s="89">
        <f t="shared" si="2"/>
        <v>0.2713607595</v>
      </c>
      <c r="I74" s="78" t="s">
        <v>168</v>
      </c>
      <c r="J74" s="78" t="s">
        <v>69</v>
      </c>
      <c r="K74" s="58">
        <f t="shared" si="3"/>
        <v>2</v>
      </c>
      <c r="L74" s="91" t="str">
        <f t="shared" si="4"/>
        <v>Wed</v>
      </c>
      <c r="M74" s="78" t="str">
        <f>IFERROR(VLOOKUP(A74, Entries!A:B,2,false),"")</f>
        <v>Revival Productions</v>
      </c>
      <c r="N74" s="23" t="str">
        <f>IFERROR(VLOOKUP(A74, Entries!A:K,11,false),"")</f>
        <v/>
      </c>
      <c r="O74" s="23" t="b">
        <f>IFERROR(VLOOKUP(A74, Entries!A:I,8,false),"")</f>
        <v>0</v>
      </c>
    </row>
    <row r="75">
      <c r="A75" s="78" t="s">
        <v>169</v>
      </c>
      <c r="B75" s="78" t="s">
        <v>22</v>
      </c>
      <c r="C75" s="85">
        <v>43984.0</v>
      </c>
      <c r="D75" s="85">
        <v>43986.0</v>
      </c>
      <c r="E75" s="86">
        <v>15.02</v>
      </c>
      <c r="F75" s="87">
        <v>24.37</v>
      </c>
      <c r="G75" s="88">
        <f t="shared" si="1"/>
        <v>9.35</v>
      </c>
      <c r="H75" s="89">
        <f t="shared" si="2"/>
        <v>0.3836684448</v>
      </c>
      <c r="I75" s="78" t="s">
        <v>170</v>
      </c>
      <c r="J75" s="78" t="s">
        <v>69</v>
      </c>
      <c r="K75" s="58">
        <f t="shared" si="3"/>
        <v>2</v>
      </c>
      <c r="L75" s="91" t="str">
        <f t="shared" si="4"/>
        <v>Thu</v>
      </c>
      <c r="M75" s="78" t="str">
        <f>IFERROR(VLOOKUP(A75, Entries!A:B,2,false),"")</f>
        <v>NIS America</v>
      </c>
      <c r="N75" s="23" t="str">
        <f>IFERROR(VLOOKUP(A75, Entries!A:K,11,false),"")</f>
        <v/>
      </c>
      <c r="O75" s="23" t="b">
        <f>IFERROR(VLOOKUP(A75, Entries!A:I,8,false),"")</f>
        <v>0</v>
      </c>
    </row>
    <row r="76">
      <c r="A76" s="94" t="s">
        <v>166</v>
      </c>
      <c r="B76" s="78" t="s">
        <v>21</v>
      </c>
      <c r="C76" s="85">
        <v>43985.0</v>
      </c>
      <c r="D76" s="85">
        <v>44504.0</v>
      </c>
      <c r="E76" s="86">
        <v>7.69</v>
      </c>
      <c r="F76" s="87">
        <v>0.41</v>
      </c>
      <c r="G76" s="88">
        <f t="shared" si="1"/>
        <v>-7.28</v>
      </c>
      <c r="H76" s="89">
        <f t="shared" si="2"/>
        <v>-17.75609756</v>
      </c>
      <c r="I76" s="78" t="s">
        <v>171</v>
      </c>
      <c r="J76" s="78" t="s">
        <v>69</v>
      </c>
      <c r="K76" s="58">
        <f t="shared" si="3"/>
        <v>519</v>
      </c>
      <c r="L76" s="91" t="str">
        <f t="shared" si="4"/>
        <v>Thu</v>
      </c>
      <c r="M76" s="78" t="str">
        <f>IFERROR(VLOOKUP(A76, Entries!A:B,2,false),"")</f>
        <v>Revival Productions</v>
      </c>
      <c r="N76" s="23" t="str">
        <f>IFERROR(VLOOKUP(A76, Entries!A:K,11,false),"")</f>
        <v/>
      </c>
      <c r="O76" s="23" t="b">
        <f>IFERROR(VLOOKUP(A76, Entries!A:I,8,false),"")</f>
        <v>0</v>
      </c>
    </row>
    <row r="77">
      <c r="A77" s="78" t="s">
        <v>172</v>
      </c>
      <c r="B77" s="78" t="s">
        <v>19</v>
      </c>
      <c r="C77" s="85">
        <v>43986.0</v>
      </c>
      <c r="D77" s="85">
        <v>43996.0</v>
      </c>
      <c r="E77" s="86">
        <v>3.81</v>
      </c>
      <c r="F77" s="87">
        <v>4.29</v>
      </c>
      <c r="G77" s="88">
        <f t="shared" si="1"/>
        <v>0.48</v>
      </c>
      <c r="H77" s="89">
        <f t="shared" si="2"/>
        <v>0.1118881119</v>
      </c>
      <c r="I77" s="78" t="s">
        <v>173</v>
      </c>
      <c r="J77" s="78" t="s">
        <v>69</v>
      </c>
      <c r="K77" s="58">
        <f t="shared" si="3"/>
        <v>10</v>
      </c>
      <c r="L77" s="91" t="str">
        <f t="shared" si="4"/>
        <v>Sun</v>
      </c>
      <c r="M77" s="78" t="str">
        <f>IFERROR(VLOOKUP(A77, Entries!A:B,2,false),"")</f>
        <v>Square Enix</v>
      </c>
      <c r="N77" s="23" t="str">
        <f>IFERROR(VLOOKUP(A77, Entries!A:K,11,false),"")</f>
        <v/>
      </c>
      <c r="O77" s="23" t="b">
        <f>IFERROR(VLOOKUP(A77, Entries!A:I,8,false),"")</f>
        <v>0</v>
      </c>
    </row>
    <row r="78">
      <c r="A78" s="78" t="s">
        <v>172</v>
      </c>
      <c r="B78" s="78" t="s">
        <v>19</v>
      </c>
      <c r="C78" s="85">
        <v>43986.0</v>
      </c>
      <c r="D78" s="85">
        <v>43996.0</v>
      </c>
      <c r="E78" s="86">
        <v>3.81</v>
      </c>
      <c r="F78" s="87">
        <v>4.29</v>
      </c>
      <c r="G78" s="88">
        <f t="shared" si="1"/>
        <v>0.48</v>
      </c>
      <c r="H78" s="89">
        <f t="shared" si="2"/>
        <v>0.1118881119</v>
      </c>
      <c r="I78" s="78" t="s">
        <v>174</v>
      </c>
      <c r="J78" s="78" t="s">
        <v>69</v>
      </c>
      <c r="K78" s="58">
        <f t="shared" si="3"/>
        <v>10</v>
      </c>
      <c r="L78" s="91" t="str">
        <f t="shared" si="4"/>
        <v>Sun</v>
      </c>
      <c r="M78" s="78" t="str">
        <f>IFERROR(VLOOKUP(A78, Entries!A:B,2,false),"")</f>
        <v>Square Enix</v>
      </c>
      <c r="N78" s="23" t="str">
        <f>IFERROR(VLOOKUP(A78, Entries!A:K,11,false),"")</f>
        <v/>
      </c>
      <c r="O78" s="23" t="b">
        <f>IFERROR(VLOOKUP(A78, Entries!A:I,8,false),"")</f>
        <v>0</v>
      </c>
    </row>
    <row r="79">
      <c r="A79" s="78" t="s">
        <v>169</v>
      </c>
      <c r="B79" s="78" t="s">
        <v>22</v>
      </c>
      <c r="C79" s="85">
        <v>43986.0</v>
      </c>
      <c r="D79" s="85">
        <v>43998.0</v>
      </c>
      <c r="E79" s="86">
        <v>14.93</v>
      </c>
      <c r="F79" s="87">
        <v>21.08</v>
      </c>
      <c r="G79" s="88">
        <f t="shared" si="1"/>
        <v>6.15</v>
      </c>
      <c r="H79" s="89">
        <f t="shared" si="2"/>
        <v>0.2917457306</v>
      </c>
      <c r="I79" s="78" t="s">
        <v>175</v>
      </c>
      <c r="J79" s="78" t="s">
        <v>69</v>
      </c>
      <c r="K79" s="58">
        <f t="shared" si="3"/>
        <v>12</v>
      </c>
      <c r="L79" s="91" t="str">
        <f t="shared" si="4"/>
        <v>Tue</v>
      </c>
      <c r="M79" s="78" t="str">
        <f>IFERROR(VLOOKUP(A79, Entries!A:B,2,false),"")</f>
        <v>NIS America</v>
      </c>
      <c r="N79" s="23" t="str">
        <f>IFERROR(VLOOKUP(A79, Entries!A:K,11,false),"")</f>
        <v/>
      </c>
      <c r="O79" s="23" t="b">
        <f>IFERROR(VLOOKUP(A79, Entries!A:I,8,false),"")</f>
        <v>0</v>
      </c>
    </row>
    <row r="80">
      <c r="A80" s="78" t="s">
        <v>176</v>
      </c>
      <c r="B80" s="78" t="s">
        <v>19</v>
      </c>
      <c r="C80" s="85">
        <v>43987.0</v>
      </c>
      <c r="D80" s="85">
        <v>44080.0</v>
      </c>
      <c r="E80" s="86">
        <v>1.0</v>
      </c>
      <c r="F80" s="87">
        <v>0.98</v>
      </c>
      <c r="G80" s="88">
        <f t="shared" si="1"/>
        <v>-0.02</v>
      </c>
      <c r="H80" s="89">
        <f t="shared" si="2"/>
        <v>-0.02040816327</v>
      </c>
      <c r="I80" s="78" t="s">
        <v>177</v>
      </c>
      <c r="J80" s="78" t="s">
        <v>69</v>
      </c>
      <c r="K80" s="58">
        <f t="shared" si="3"/>
        <v>93</v>
      </c>
      <c r="L80" s="91" t="str">
        <f t="shared" si="4"/>
        <v>Sun</v>
      </c>
      <c r="M80" s="78" t="str">
        <f>IFERROR(VLOOKUP(A80, Entries!A:B,2,false),"")</f>
        <v>Nacon</v>
      </c>
      <c r="N80" s="23" t="str">
        <f>IFERROR(VLOOKUP(A80, Entries!A:K,11,false),"")</f>
        <v/>
      </c>
      <c r="O80" s="23" t="b">
        <f>IFERROR(VLOOKUP(A80, Entries!A:I,8,false),"")</f>
        <v>0</v>
      </c>
    </row>
    <row r="81">
      <c r="A81" s="78" t="s">
        <v>176</v>
      </c>
      <c r="B81" s="78" t="s">
        <v>19</v>
      </c>
      <c r="C81" s="85">
        <v>43987.0</v>
      </c>
      <c r="D81" s="85">
        <v>44044.0</v>
      </c>
      <c r="E81" s="86">
        <v>1.0</v>
      </c>
      <c r="F81" s="87">
        <v>1.19</v>
      </c>
      <c r="G81" s="88">
        <f t="shared" si="1"/>
        <v>0.19</v>
      </c>
      <c r="H81" s="89">
        <f t="shared" si="2"/>
        <v>0.1596638655</v>
      </c>
      <c r="I81" s="78" t="s">
        <v>178</v>
      </c>
      <c r="J81" s="78" t="s">
        <v>69</v>
      </c>
      <c r="K81" s="58">
        <f t="shared" si="3"/>
        <v>57</v>
      </c>
      <c r="L81" s="91" t="str">
        <f t="shared" si="4"/>
        <v>Sat</v>
      </c>
      <c r="M81" s="78" t="str">
        <f>IFERROR(VLOOKUP(A81, Entries!A:B,2,false),"")</f>
        <v>Nacon</v>
      </c>
      <c r="N81" s="23" t="str">
        <f>IFERROR(VLOOKUP(A81, Entries!A:K,11,false),"")</f>
        <v/>
      </c>
      <c r="O81" s="23" t="b">
        <f>IFERROR(VLOOKUP(A81, Entries!A:I,8,false),"")</f>
        <v>0</v>
      </c>
    </row>
    <row r="82">
      <c r="A82" s="78" t="s">
        <v>179</v>
      </c>
      <c r="B82" s="78" t="s">
        <v>19</v>
      </c>
      <c r="C82" s="85">
        <v>43987.0</v>
      </c>
      <c r="D82" s="85">
        <v>44048.0</v>
      </c>
      <c r="E82" s="86">
        <v>0.0</v>
      </c>
      <c r="F82" s="87">
        <v>0.28</v>
      </c>
      <c r="G82" s="88">
        <f t="shared" si="1"/>
        <v>0.28</v>
      </c>
      <c r="H82" s="89">
        <f t="shared" si="2"/>
        <v>1</v>
      </c>
      <c r="I82" s="78" t="s">
        <v>180</v>
      </c>
      <c r="J82" s="78" t="s">
        <v>69</v>
      </c>
      <c r="K82" s="58">
        <f t="shared" si="3"/>
        <v>61</v>
      </c>
      <c r="L82" s="91" t="str">
        <f t="shared" si="4"/>
        <v>Wed</v>
      </c>
      <c r="M82" s="78" t="str">
        <f>IFERROR(VLOOKUP(A82, Entries!A:B,2,false),"")</f>
        <v>THE BROTHERHOOD</v>
      </c>
      <c r="N82" s="23" t="str">
        <f>IFERROR(VLOOKUP(A82, Entries!A:K,11,false),"")</f>
        <v/>
      </c>
      <c r="O82" s="23" t="b">
        <f>IFERROR(VLOOKUP(A82, Entries!A:I,8,false),"")</f>
        <v>0</v>
      </c>
    </row>
    <row r="83">
      <c r="A83" s="78" t="s">
        <v>179</v>
      </c>
      <c r="B83" s="78" t="s">
        <v>19</v>
      </c>
      <c r="C83" s="85">
        <v>43987.0</v>
      </c>
      <c r="D83" s="85">
        <v>44066.0</v>
      </c>
      <c r="E83" s="86">
        <v>0.0</v>
      </c>
      <c r="F83" s="87">
        <v>0.35</v>
      </c>
      <c r="G83" s="88">
        <f t="shared" si="1"/>
        <v>0.35</v>
      </c>
      <c r="H83" s="89">
        <f t="shared" si="2"/>
        <v>1</v>
      </c>
      <c r="I83" s="78" t="s">
        <v>181</v>
      </c>
      <c r="J83" s="78" t="s">
        <v>69</v>
      </c>
      <c r="K83" s="58">
        <f t="shared" si="3"/>
        <v>79</v>
      </c>
      <c r="L83" s="91" t="str">
        <f t="shared" si="4"/>
        <v>Sun</v>
      </c>
      <c r="M83" s="78" t="str">
        <f>IFERROR(VLOOKUP(A83, Entries!A:B,2,false),"")</f>
        <v>THE BROTHERHOOD</v>
      </c>
      <c r="N83" s="23" t="str">
        <f>IFERROR(VLOOKUP(A83, Entries!A:K,11,false),"")</f>
        <v/>
      </c>
      <c r="O83" s="23" t="b">
        <f>IFERROR(VLOOKUP(A83, Entries!A:I,8,false),"")</f>
        <v>0</v>
      </c>
    </row>
    <row r="84">
      <c r="A84" s="78" t="s">
        <v>182</v>
      </c>
      <c r="B84" s="78" t="s">
        <v>19</v>
      </c>
      <c r="C84" s="85">
        <v>43987.0</v>
      </c>
      <c r="D84" s="85">
        <v>44135.0</v>
      </c>
      <c r="E84" s="86">
        <v>1.0</v>
      </c>
      <c r="F84" s="87">
        <v>0.84</v>
      </c>
      <c r="G84" s="88">
        <f t="shared" si="1"/>
        <v>-0.16</v>
      </c>
      <c r="H84" s="89">
        <f t="shared" si="2"/>
        <v>-0.1904761905</v>
      </c>
      <c r="I84" s="78" t="s">
        <v>183</v>
      </c>
      <c r="J84" s="78" t="s">
        <v>69</v>
      </c>
      <c r="K84" s="58">
        <f t="shared" si="3"/>
        <v>148</v>
      </c>
      <c r="L84" s="91" t="str">
        <f t="shared" si="4"/>
        <v>Sat</v>
      </c>
      <c r="M84" s="78" t="str">
        <f>IFERROR(VLOOKUP(A84, Entries!A:B,2,false),"")</f>
        <v>Cyanide Studio</v>
      </c>
      <c r="N84" s="23" t="str">
        <f>IFERROR(VLOOKUP(A84, Entries!A:K,11,false),"")</f>
        <v/>
      </c>
      <c r="O84" s="23" t="b">
        <f>IFERROR(VLOOKUP(A84, Entries!A:I,8,false),"")</f>
        <v>0</v>
      </c>
    </row>
    <row r="85">
      <c r="A85" s="78" t="s">
        <v>182</v>
      </c>
      <c r="B85" s="78" t="s">
        <v>19</v>
      </c>
      <c r="C85" s="85">
        <v>43987.0</v>
      </c>
      <c r="D85" s="85">
        <v>44022.0</v>
      </c>
      <c r="E85" s="86">
        <v>1.0</v>
      </c>
      <c r="F85" s="87">
        <v>1.09</v>
      </c>
      <c r="G85" s="88">
        <f t="shared" si="1"/>
        <v>0.09</v>
      </c>
      <c r="H85" s="89">
        <f t="shared" si="2"/>
        <v>0.08256880734</v>
      </c>
      <c r="I85" s="78" t="s">
        <v>184</v>
      </c>
      <c r="J85" s="78" t="s">
        <v>69</v>
      </c>
      <c r="K85" s="58">
        <f t="shared" si="3"/>
        <v>35</v>
      </c>
      <c r="L85" s="91" t="str">
        <f t="shared" si="4"/>
        <v>Fri</v>
      </c>
      <c r="M85" s="78" t="str">
        <f>IFERROR(VLOOKUP(A85, Entries!A:B,2,false),"")</f>
        <v>Cyanide Studio</v>
      </c>
      <c r="N85" s="23" t="str">
        <f>IFERROR(VLOOKUP(A85, Entries!A:K,11,false),"")</f>
        <v/>
      </c>
      <c r="O85" s="23" t="b">
        <f>IFERROR(VLOOKUP(A85, Entries!A:I,8,false),"")</f>
        <v>0</v>
      </c>
    </row>
    <row r="86">
      <c r="A86" s="78" t="s">
        <v>185</v>
      </c>
      <c r="B86" s="78" t="s">
        <v>19</v>
      </c>
      <c r="C86" s="85">
        <v>43987.0</v>
      </c>
      <c r="D86" s="85">
        <v>44495.0</v>
      </c>
      <c r="E86" s="86">
        <v>0.0</v>
      </c>
      <c r="F86" s="87">
        <v>0.09</v>
      </c>
      <c r="G86" s="88">
        <f t="shared" si="1"/>
        <v>0.09</v>
      </c>
      <c r="H86" s="89">
        <f t="shared" si="2"/>
        <v>1</v>
      </c>
      <c r="I86" s="78" t="s">
        <v>186</v>
      </c>
      <c r="J86" s="78" t="s">
        <v>69</v>
      </c>
      <c r="K86" s="58">
        <f t="shared" si="3"/>
        <v>508</v>
      </c>
      <c r="L86" s="91" t="str">
        <f t="shared" si="4"/>
        <v>Tue</v>
      </c>
      <c r="M86" s="78" t="str">
        <f>IFERROR(VLOOKUP(A86, Entries!A:B,2,false),"")</f>
        <v>Cyanide Studio</v>
      </c>
      <c r="N86" s="23" t="str">
        <f>IFERROR(VLOOKUP(A86, Entries!A:K,11,false),"")</f>
        <v/>
      </c>
      <c r="O86" s="23" t="b">
        <f>IFERROR(VLOOKUP(A86, Entries!A:I,8,false),"")</f>
        <v>0</v>
      </c>
    </row>
    <row r="87">
      <c r="A87" s="78" t="s">
        <v>187</v>
      </c>
      <c r="B87" s="78" t="s">
        <v>19</v>
      </c>
      <c r="C87" s="85">
        <v>43987.0</v>
      </c>
      <c r="D87" s="85">
        <v>44010.0</v>
      </c>
      <c r="E87" s="86">
        <v>0.0</v>
      </c>
      <c r="F87" s="87">
        <v>0.7</v>
      </c>
      <c r="G87" s="88">
        <f t="shared" si="1"/>
        <v>0.7</v>
      </c>
      <c r="H87" s="89">
        <f t="shared" si="2"/>
        <v>1</v>
      </c>
      <c r="I87" s="78" t="s">
        <v>188</v>
      </c>
      <c r="J87" s="78" t="s">
        <v>69</v>
      </c>
      <c r="K87" s="58">
        <f t="shared" si="3"/>
        <v>23</v>
      </c>
      <c r="L87" s="91" t="str">
        <f t="shared" si="4"/>
        <v>Sun</v>
      </c>
      <c r="M87" s="78" t="str">
        <f>IFERROR(VLOOKUP(A87, Entries!A:B,2,false),"")</f>
        <v>Games Operators</v>
      </c>
      <c r="N87" s="23" t="str">
        <f>IFERROR(VLOOKUP(A87, Entries!A:K,11,false),"")</f>
        <v/>
      </c>
      <c r="O87" s="23" t="b">
        <f>IFERROR(VLOOKUP(A87, Entries!A:I,8,false),"")</f>
        <v>0</v>
      </c>
    </row>
    <row r="88">
      <c r="A88" s="78" t="s">
        <v>187</v>
      </c>
      <c r="B88" s="78" t="s">
        <v>19</v>
      </c>
      <c r="C88" s="85">
        <v>43987.0</v>
      </c>
      <c r="D88" s="85">
        <v>44008.0</v>
      </c>
      <c r="E88" s="86">
        <v>0.0</v>
      </c>
      <c r="F88" s="87">
        <v>0.75</v>
      </c>
      <c r="G88" s="88">
        <f t="shared" si="1"/>
        <v>0.75</v>
      </c>
      <c r="H88" s="89">
        <f t="shared" si="2"/>
        <v>1</v>
      </c>
      <c r="I88" s="78" t="s">
        <v>189</v>
      </c>
      <c r="J88" s="78" t="s">
        <v>69</v>
      </c>
      <c r="K88" s="58">
        <f t="shared" si="3"/>
        <v>21</v>
      </c>
      <c r="L88" s="91" t="str">
        <f t="shared" si="4"/>
        <v>Fri</v>
      </c>
      <c r="M88" s="78" t="str">
        <f>IFERROR(VLOOKUP(A88, Entries!A:B,2,false),"")</f>
        <v>Games Operators</v>
      </c>
      <c r="N88" s="23" t="str">
        <f>IFERROR(VLOOKUP(A88, Entries!A:K,11,false),"")</f>
        <v/>
      </c>
      <c r="O88" s="23" t="b">
        <f>IFERROR(VLOOKUP(A88, Entries!A:I,8,false),"")</f>
        <v>0</v>
      </c>
    </row>
    <row r="89">
      <c r="A89" s="78" t="s">
        <v>190</v>
      </c>
      <c r="B89" s="78" t="s">
        <v>19</v>
      </c>
      <c r="C89" s="85">
        <v>43987.0</v>
      </c>
      <c r="D89" s="85">
        <v>45010.0</v>
      </c>
      <c r="E89" s="86">
        <v>1.0</v>
      </c>
      <c r="F89" s="87">
        <v>0.02</v>
      </c>
      <c r="G89" s="88">
        <f t="shared" si="1"/>
        <v>-0.98</v>
      </c>
      <c r="H89" s="89">
        <f t="shared" si="2"/>
        <v>-49</v>
      </c>
      <c r="I89" s="78" t="s">
        <v>191</v>
      </c>
      <c r="J89" s="78" t="s">
        <v>69</v>
      </c>
      <c r="K89" s="58">
        <f t="shared" si="3"/>
        <v>1023</v>
      </c>
      <c r="L89" s="91" t="str">
        <f t="shared" si="4"/>
        <v>Sat</v>
      </c>
      <c r="M89" s="78" t="str">
        <f>IFERROR(VLOOKUP(A89, Entries!A:B,2,false),"")</f>
        <v>Nightdive Studios</v>
      </c>
      <c r="N89" s="23" t="str">
        <f>IFERROR(VLOOKUP(A89, Entries!A:K,11,false),"")</f>
        <v/>
      </c>
      <c r="O89" s="23" t="b">
        <f>IFERROR(VLOOKUP(A89, Entries!A:I,8,false),"")</f>
        <v>0</v>
      </c>
    </row>
    <row r="90">
      <c r="A90" s="78" t="s">
        <v>190</v>
      </c>
      <c r="B90" s="78" t="s">
        <v>19</v>
      </c>
      <c r="C90" s="85">
        <v>43987.0</v>
      </c>
      <c r="D90" s="85">
        <v>45011.0</v>
      </c>
      <c r="E90" s="86">
        <v>1.0</v>
      </c>
      <c r="F90" s="87">
        <v>0.02</v>
      </c>
      <c r="G90" s="88">
        <f t="shared" si="1"/>
        <v>-0.98</v>
      </c>
      <c r="H90" s="89">
        <f t="shared" si="2"/>
        <v>-49</v>
      </c>
      <c r="I90" s="78" t="s">
        <v>192</v>
      </c>
      <c r="J90" s="78" t="s">
        <v>69</v>
      </c>
      <c r="K90" s="58">
        <f t="shared" si="3"/>
        <v>1024</v>
      </c>
      <c r="L90" s="91" t="str">
        <f t="shared" si="4"/>
        <v>Sun</v>
      </c>
      <c r="M90" s="78" t="str">
        <f>IFERROR(VLOOKUP(A90, Entries!A:B,2,false),"")</f>
        <v>Nightdive Studios</v>
      </c>
      <c r="N90" s="23" t="str">
        <f>IFERROR(VLOOKUP(A90, Entries!A:K,11,false),"")</f>
        <v/>
      </c>
      <c r="O90" s="23" t="b">
        <f>IFERROR(VLOOKUP(A90, Entries!A:I,8,false),"")</f>
        <v>0</v>
      </c>
    </row>
    <row r="91">
      <c r="A91" s="78" t="s">
        <v>193</v>
      </c>
      <c r="B91" s="78" t="s">
        <v>19</v>
      </c>
      <c r="C91" s="85">
        <v>43987.0</v>
      </c>
      <c r="D91" s="85">
        <v>43993.0</v>
      </c>
      <c r="E91" s="86">
        <v>1.0</v>
      </c>
      <c r="F91" s="87">
        <v>2.83</v>
      </c>
      <c r="G91" s="88">
        <f t="shared" si="1"/>
        <v>1.83</v>
      </c>
      <c r="H91" s="89">
        <f t="shared" si="2"/>
        <v>0.6466431095</v>
      </c>
      <c r="I91" s="78" t="s">
        <v>194</v>
      </c>
      <c r="J91" s="78" t="s">
        <v>69</v>
      </c>
      <c r="K91" s="58">
        <f t="shared" si="3"/>
        <v>6</v>
      </c>
      <c r="L91" s="91" t="str">
        <f t="shared" si="4"/>
        <v>Thu</v>
      </c>
      <c r="M91" s="78" t="str">
        <f>IFERROR(VLOOKUP(A91, Entries!A:B,2,false),"")</f>
        <v>Codemasters</v>
      </c>
      <c r="N91" s="23" t="str">
        <f>IFERROR(VLOOKUP(A91, Entries!A:K,11,false),"")</f>
        <v/>
      </c>
      <c r="O91" s="23" t="b">
        <f>IFERROR(VLOOKUP(A91, Entries!A:I,8,false),"")</f>
        <v>0</v>
      </c>
    </row>
    <row r="92">
      <c r="A92" s="78" t="s">
        <v>193</v>
      </c>
      <c r="B92" s="78" t="s">
        <v>19</v>
      </c>
      <c r="C92" s="85">
        <v>43987.0</v>
      </c>
      <c r="D92" s="85">
        <v>43992.0</v>
      </c>
      <c r="E92" s="86">
        <v>1.0</v>
      </c>
      <c r="F92" s="87">
        <v>2.88</v>
      </c>
      <c r="G92" s="88">
        <f t="shared" si="1"/>
        <v>1.88</v>
      </c>
      <c r="H92" s="89">
        <f t="shared" si="2"/>
        <v>0.6527777778</v>
      </c>
      <c r="I92" s="78" t="s">
        <v>195</v>
      </c>
      <c r="J92" s="78" t="s">
        <v>69</v>
      </c>
      <c r="K92" s="58">
        <f t="shared" si="3"/>
        <v>5</v>
      </c>
      <c r="L92" s="91" t="str">
        <f t="shared" si="4"/>
        <v>Wed</v>
      </c>
      <c r="M92" s="78" t="str">
        <f>IFERROR(VLOOKUP(A92, Entries!A:B,2,false),"")</f>
        <v>Codemasters</v>
      </c>
      <c r="N92" s="23" t="str">
        <f>IFERROR(VLOOKUP(A92, Entries!A:K,11,false),"")</f>
        <v/>
      </c>
      <c r="O92" s="23" t="b">
        <f>IFERROR(VLOOKUP(A92, Entries!A:I,8,false),"")</f>
        <v>0</v>
      </c>
    </row>
    <row r="93">
      <c r="A93" s="78" t="s">
        <v>196</v>
      </c>
      <c r="B93" s="78" t="s">
        <v>19</v>
      </c>
      <c r="C93" s="85">
        <v>43987.0</v>
      </c>
      <c r="D93" s="85">
        <v>43987.0</v>
      </c>
      <c r="E93" s="86">
        <v>0.0</v>
      </c>
      <c r="F93" s="87">
        <v>0.31</v>
      </c>
      <c r="G93" s="88">
        <f t="shared" si="1"/>
        <v>0.31</v>
      </c>
      <c r="H93" s="89">
        <f t="shared" si="2"/>
        <v>1</v>
      </c>
      <c r="I93" s="78" t="s">
        <v>197</v>
      </c>
      <c r="J93" s="78" t="s">
        <v>69</v>
      </c>
      <c r="K93" s="58">
        <f t="shared" si="3"/>
        <v>0</v>
      </c>
      <c r="L93" s="91" t="str">
        <f t="shared" si="4"/>
        <v>Fri</v>
      </c>
      <c r="M93" s="78" t="str">
        <f>IFERROR(VLOOKUP(A93, Entries!A:B,2,false),"")</f>
        <v>Atari</v>
      </c>
      <c r="N93" s="23" t="str">
        <f>IFERROR(VLOOKUP(A93, Entries!A:K,11,false),"")</f>
        <v/>
      </c>
      <c r="O93" s="23" t="b">
        <f>IFERROR(VLOOKUP(A93, Entries!A:I,8,false),"")</f>
        <v>0</v>
      </c>
    </row>
    <row r="94">
      <c r="A94" s="78" t="s">
        <v>196</v>
      </c>
      <c r="B94" s="78" t="s">
        <v>19</v>
      </c>
      <c r="C94" s="85">
        <v>43987.0</v>
      </c>
      <c r="D94" s="85">
        <v>44034.0</v>
      </c>
      <c r="E94" s="86">
        <v>0.0</v>
      </c>
      <c r="F94" s="87">
        <v>0.37</v>
      </c>
      <c r="G94" s="88">
        <f t="shared" si="1"/>
        <v>0.37</v>
      </c>
      <c r="H94" s="89">
        <f t="shared" si="2"/>
        <v>1</v>
      </c>
      <c r="I94" s="78" t="s">
        <v>198</v>
      </c>
      <c r="J94" s="78" t="s">
        <v>69</v>
      </c>
      <c r="K94" s="58">
        <f t="shared" si="3"/>
        <v>47</v>
      </c>
      <c r="L94" s="91" t="str">
        <f t="shared" si="4"/>
        <v>Wed</v>
      </c>
      <c r="M94" s="78" t="str">
        <f>IFERROR(VLOOKUP(A94, Entries!A:B,2,false),"")</f>
        <v>Atari</v>
      </c>
      <c r="N94" s="23" t="str">
        <f>IFERROR(VLOOKUP(A94, Entries!A:K,11,false),"")</f>
        <v/>
      </c>
      <c r="O94" s="23" t="b">
        <f>IFERROR(VLOOKUP(A94, Entries!A:I,8,false),"")</f>
        <v>0</v>
      </c>
    </row>
    <row r="95">
      <c r="A95" s="78" t="s">
        <v>199</v>
      </c>
      <c r="B95" s="78" t="s">
        <v>19</v>
      </c>
      <c r="C95" s="85">
        <v>43987.0</v>
      </c>
      <c r="D95" s="85">
        <v>44023.0</v>
      </c>
      <c r="E95" s="86">
        <v>0.0</v>
      </c>
      <c r="F95" s="87">
        <v>0.49</v>
      </c>
      <c r="G95" s="88">
        <f t="shared" si="1"/>
        <v>0.49</v>
      </c>
      <c r="H95" s="89">
        <f t="shared" si="2"/>
        <v>1</v>
      </c>
      <c r="I95" s="78" t="s">
        <v>200</v>
      </c>
      <c r="J95" s="78" t="s">
        <v>69</v>
      </c>
      <c r="K95" s="58">
        <f t="shared" si="3"/>
        <v>36</v>
      </c>
      <c r="L95" s="91" t="str">
        <f t="shared" si="4"/>
        <v>Sat</v>
      </c>
      <c r="M95" s="78" t="str">
        <f>IFERROR(VLOOKUP(A95, Entries!A:B,2,false),"")</f>
        <v>Thing Trunk</v>
      </c>
      <c r="N95" s="23" t="str">
        <f>IFERROR(VLOOKUP(A95, Entries!A:K,11,false),"")</f>
        <v/>
      </c>
      <c r="O95" s="23" t="b">
        <f>IFERROR(VLOOKUP(A95, Entries!A:I,8,false),"")</f>
        <v>0</v>
      </c>
    </row>
    <row r="96">
      <c r="A96" s="78" t="s">
        <v>199</v>
      </c>
      <c r="B96" s="78" t="s">
        <v>19</v>
      </c>
      <c r="C96" s="85">
        <v>43987.0</v>
      </c>
      <c r="D96" s="85">
        <v>44019.0</v>
      </c>
      <c r="E96" s="86">
        <v>0.0</v>
      </c>
      <c r="F96" s="87">
        <v>0.59</v>
      </c>
      <c r="G96" s="88">
        <f t="shared" si="1"/>
        <v>0.59</v>
      </c>
      <c r="H96" s="89">
        <f t="shared" si="2"/>
        <v>1</v>
      </c>
      <c r="I96" s="78" t="s">
        <v>201</v>
      </c>
      <c r="J96" s="78" t="s">
        <v>69</v>
      </c>
      <c r="K96" s="58">
        <f t="shared" si="3"/>
        <v>32</v>
      </c>
      <c r="L96" s="91" t="str">
        <f t="shared" si="4"/>
        <v>Tue</v>
      </c>
      <c r="M96" s="78" t="str">
        <f>IFERROR(VLOOKUP(A96, Entries!A:B,2,false),"")</f>
        <v>Thing Trunk</v>
      </c>
      <c r="N96" s="23" t="str">
        <f>IFERROR(VLOOKUP(A96, Entries!A:K,11,false),"")</f>
        <v/>
      </c>
      <c r="O96" s="23" t="b">
        <f>IFERROR(VLOOKUP(A96, Entries!A:I,8,false),"")</f>
        <v>0</v>
      </c>
    </row>
    <row r="97">
      <c r="A97" s="78" t="s">
        <v>202</v>
      </c>
      <c r="B97" s="78" t="s">
        <v>19</v>
      </c>
      <c r="C97" s="85">
        <v>43987.0</v>
      </c>
      <c r="D97" s="85">
        <v>44450.0</v>
      </c>
      <c r="E97" s="86">
        <v>0.41</v>
      </c>
      <c r="F97" s="87">
        <v>0.3</v>
      </c>
      <c r="G97" s="88">
        <f t="shared" si="1"/>
        <v>-0.11</v>
      </c>
      <c r="H97" s="89">
        <f t="shared" si="2"/>
        <v>-0.3666666667</v>
      </c>
      <c r="I97" s="78" t="s">
        <v>203</v>
      </c>
      <c r="J97" s="78" t="s">
        <v>69</v>
      </c>
      <c r="K97" s="58">
        <f t="shared" si="3"/>
        <v>463</v>
      </c>
      <c r="L97" s="91" t="str">
        <f t="shared" si="4"/>
        <v>Sat</v>
      </c>
      <c r="M97" s="78" t="str">
        <f>IFERROR(VLOOKUP(A97, Entries!A:B,2,false),"")</f>
        <v>Reverie World Studios</v>
      </c>
      <c r="N97" s="23" t="str">
        <f>IFERROR(VLOOKUP(A97, Entries!A:K,11,false),"")</f>
        <v/>
      </c>
      <c r="O97" s="23" t="b">
        <f>IFERROR(VLOOKUP(A97, Entries!A:I,8,false),"")</f>
        <v>0</v>
      </c>
    </row>
    <row r="98">
      <c r="A98" s="78" t="s">
        <v>204</v>
      </c>
      <c r="B98" s="78" t="s">
        <v>19</v>
      </c>
      <c r="C98" s="85">
        <v>43987.0</v>
      </c>
      <c r="D98" s="85">
        <v>44451.0</v>
      </c>
      <c r="E98" s="86">
        <v>0.41</v>
      </c>
      <c r="F98" s="87">
        <v>0.3</v>
      </c>
      <c r="G98" s="88">
        <f t="shared" si="1"/>
        <v>-0.11</v>
      </c>
      <c r="H98" s="89">
        <f t="shared" si="2"/>
        <v>-0.3666666667</v>
      </c>
      <c r="I98" s="78" t="s">
        <v>205</v>
      </c>
      <c r="J98" s="78" t="s">
        <v>69</v>
      </c>
      <c r="K98" s="58">
        <f t="shared" si="3"/>
        <v>464</v>
      </c>
      <c r="L98" s="91" t="str">
        <f t="shared" si="4"/>
        <v>Sun</v>
      </c>
      <c r="M98" s="78" t="str">
        <f>IFERROR(VLOOKUP(A98, Entries!A:B,2,false),"")</f>
        <v>Reverie World Studios</v>
      </c>
      <c r="N98" s="23" t="str">
        <f>IFERROR(VLOOKUP(A98, Entries!A:K,11,false),"")</f>
        <v/>
      </c>
      <c r="O98" s="23" t="b">
        <f>IFERROR(VLOOKUP(A98, Entries!A:I,8,false),"")</f>
        <v>0</v>
      </c>
    </row>
    <row r="99">
      <c r="A99" s="78" t="s">
        <v>138</v>
      </c>
      <c r="B99" s="78" t="s">
        <v>21</v>
      </c>
      <c r="C99" s="85">
        <v>43989.0</v>
      </c>
      <c r="D99" s="85">
        <v>43990.0</v>
      </c>
      <c r="E99" s="86">
        <v>4.67</v>
      </c>
      <c r="F99" s="87">
        <v>6.08</v>
      </c>
      <c r="G99" s="88">
        <f t="shared" si="1"/>
        <v>1.41</v>
      </c>
      <c r="H99" s="89">
        <f t="shared" si="2"/>
        <v>0.2319078947</v>
      </c>
      <c r="I99" s="78" t="s">
        <v>206</v>
      </c>
      <c r="J99" s="78" t="s">
        <v>69</v>
      </c>
      <c r="K99" s="58">
        <f t="shared" si="3"/>
        <v>1</v>
      </c>
      <c r="L99" s="91" t="str">
        <f t="shared" si="4"/>
        <v>Mon</v>
      </c>
      <c r="M99" s="78" t="str">
        <f>IFERROR(VLOOKUP(A99, Entries!A:B,2,false),"")</f>
        <v>SCS Software</v>
      </c>
      <c r="N99" s="23" t="str">
        <f>IFERROR(VLOOKUP(A99, Entries!A:K,11,false),"")</f>
        <v/>
      </c>
      <c r="O99" s="23" t="b">
        <f>IFERROR(VLOOKUP(A99, Entries!A:I,8,false),"")</f>
        <v>0</v>
      </c>
    </row>
    <row r="100">
      <c r="A100" s="78" t="s">
        <v>207</v>
      </c>
      <c r="B100" s="78" t="s">
        <v>19</v>
      </c>
      <c r="C100" s="85">
        <v>43993.0</v>
      </c>
      <c r="D100" s="85">
        <v>43993.0</v>
      </c>
      <c r="E100" s="86">
        <v>5.5</v>
      </c>
      <c r="F100" s="87">
        <v>8.33</v>
      </c>
      <c r="G100" s="88">
        <f t="shared" si="1"/>
        <v>2.83</v>
      </c>
      <c r="H100" s="89">
        <f t="shared" si="2"/>
        <v>0.3397358944</v>
      </c>
      <c r="I100" s="78" t="s">
        <v>208</v>
      </c>
      <c r="J100" s="78" t="s">
        <v>69</v>
      </c>
      <c r="K100" s="58">
        <f t="shared" si="3"/>
        <v>0</v>
      </c>
      <c r="L100" s="91" t="str">
        <f t="shared" si="4"/>
        <v>Thu</v>
      </c>
      <c r="M100" s="78" t="str">
        <f>IFERROR(VLOOKUP(A100, Entries!A:B,2,false),"")</f>
        <v>Square Enix</v>
      </c>
      <c r="N100" s="23" t="str">
        <f>IFERROR(VLOOKUP(A100, Entries!A:K,11,false),"")</f>
        <v/>
      </c>
      <c r="O100" s="23" t="b">
        <f>IFERROR(VLOOKUP(A100, Entries!A:I,8,false),"")</f>
        <v>0</v>
      </c>
    </row>
    <row r="101">
      <c r="A101" s="78" t="s">
        <v>207</v>
      </c>
      <c r="B101" s="78" t="s">
        <v>19</v>
      </c>
      <c r="C101" s="85">
        <v>43993.0</v>
      </c>
      <c r="D101" s="85">
        <v>43993.0</v>
      </c>
      <c r="E101" s="86">
        <v>5.5</v>
      </c>
      <c r="F101" s="87">
        <v>8.17</v>
      </c>
      <c r="G101" s="88">
        <f t="shared" si="1"/>
        <v>2.67</v>
      </c>
      <c r="H101" s="89">
        <f t="shared" si="2"/>
        <v>0.3268053856</v>
      </c>
      <c r="I101" s="78" t="s">
        <v>209</v>
      </c>
      <c r="J101" s="78" t="s">
        <v>69</v>
      </c>
      <c r="K101" s="58">
        <f t="shared" si="3"/>
        <v>0</v>
      </c>
      <c r="L101" s="91" t="str">
        <f t="shared" si="4"/>
        <v>Thu</v>
      </c>
      <c r="M101" s="78" t="str">
        <f>IFERROR(VLOOKUP(A101, Entries!A:B,2,false),"")</f>
        <v>Square Enix</v>
      </c>
      <c r="N101" s="23" t="str">
        <f>IFERROR(VLOOKUP(A101, Entries!A:K,11,false),"")</f>
        <v/>
      </c>
      <c r="O101" s="23" t="b">
        <f>IFERROR(VLOOKUP(A101, Entries!A:I,8,false),"")</f>
        <v>0</v>
      </c>
    </row>
    <row r="102">
      <c r="A102" s="78" t="s">
        <v>210</v>
      </c>
      <c r="B102" s="78" t="s">
        <v>23</v>
      </c>
      <c r="C102" s="85">
        <v>43993.0</v>
      </c>
      <c r="D102" s="85">
        <v>43995.0</v>
      </c>
      <c r="E102" s="86">
        <v>16.49</v>
      </c>
      <c r="F102" s="87">
        <v>20.99</v>
      </c>
      <c r="G102" s="88">
        <f t="shared" si="1"/>
        <v>4.5</v>
      </c>
      <c r="H102" s="89">
        <f t="shared" si="2"/>
        <v>0.2143878037</v>
      </c>
      <c r="I102" s="78" t="s">
        <v>211</v>
      </c>
      <c r="J102" s="78" t="s">
        <v>69</v>
      </c>
      <c r="K102" s="58">
        <f t="shared" si="3"/>
        <v>2</v>
      </c>
      <c r="L102" s="91" t="str">
        <f t="shared" si="4"/>
        <v>Sat</v>
      </c>
      <c r="M102" s="78" t="str">
        <f>IFERROR(VLOOKUP(A102, Entries!A:B,2,false),"")</f>
        <v>BANDAI NAMCO</v>
      </c>
      <c r="N102" s="23" t="str">
        <f>IFERROR(VLOOKUP(A102, Entries!A:K,11,false),"")</f>
        <v/>
      </c>
      <c r="O102" s="23" t="b">
        <f>IFERROR(VLOOKUP(A102, Entries!A:I,8,false),"")</f>
        <v>0</v>
      </c>
    </row>
    <row r="103">
      <c r="A103" s="78" t="s">
        <v>210</v>
      </c>
      <c r="B103" s="78" t="s">
        <v>23</v>
      </c>
      <c r="C103" s="85">
        <v>43993.0</v>
      </c>
      <c r="D103" s="85">
        <v>44536.0</v>
      </c>
      <c r="E103" s="86">
        <v>16.49</v>
      </c>
      <c r="F103" s="87">
        <v>7.51</v>
      </c>
      <c r="G103" s="88">
        <f t="shared" si="1"/>
        <v>-8.98</v>
      </c>
      <c r="H103" s="89">
        <f t="shared" si="2"/>
        <v>-1.195739015</v>
      </c>
      <c r="I103" s="78" t="s">
        <v>212</v>
      </c>
      <c r="J103" s="78" t="s">
        <v>69</v>
      </c>
      <c r="K103" s="58">
        <f t="shared" si="3"/>
        <v>543</v>
      </c>
      <c r="L103" s="91" t="str">
        <f t="shared" si="4"/>
        <v>Mon</v>
      </c>
      <c r="M103" s="78" t="str">
        <f>IFERROR(VLOOKUP(A103, Entries!A:B,2,false),"")</f>
        <v>BANDAI NAMCO</v>
      </c>
      <c r="N103" s="23" t="str">
        <f>IFERROR(VLOOKUP(A103, Entries!A:K,11,false),"")</f>
        <v/>
      </c>
      <c r="O103" s="23" t="b">
        <f>IFERROR(VLOOKUP(A103, Entries!A:I,8,false),"")</f>
        <v>0</v>
      </c>
    </row>
    <row r="104">
      <c r="A104" s="78" t="s">
        <v>207</v>
      </c>
      <c r="B104" s="78" t="s">
        <v>19</v>
      </c>
      <c r="C104" s="85">
        <v>43993.0</v>
      </c>
      <c r="D104" s="85">
        <v>44003.0</v>
      </c>
      <c r="E104" s="86">
        <v>5.5</v>
      </c>
      <c r="F104" s="87">
        <v>6.79</v>
      </c>
      <c r="G104" s="88">
        <f t="shared" si="1"/>
        <v>1.29</v>
      </c>
      <c r="H104" s="89">
        <f t="shared" si="2"/>
        <v>0.1899852725</v>
      </c>
      <c r="I104" s="78" t="s">
        <v>213</v>
      </c>
      <c r="J104" s="78" t="s">
        <v>69</v>
      </c>
      <c r="K104" s="58">
        <f t="shared" si="3"/>
        <v>10</v>
      </c>
      <c r="L104" s="91" t="str">
        <f t="shared" si="4"/>
        <v>Sun</v>
      </c>
      <c r="M104" s="78" t="str">
        <f>IFERROR(VLOOKUP(A104, Entries!A:B,2,false),"")</f>
        <v>Square Enix</v>
      </c>
      <c r="N104" s="23" t="str">
        <f>IFERROR(VLOOKUP(A104, Entries!A:K,11,false),"")</f>
        <v/>
      </c>
      <c r="O104" s="23" t="b">
        <f>IFERROR(VLOOKUP(A104, Entries!A:I,8,false),"")</f>
        <v>0</v>
      </c>
    </row>
    <row r="105">
      <c r="A105" s="78" t="s">
        <v>214</v>
      </c>
      <c r="B105" s="78" t="s">
        <v>21</v>
      </c>
      <c r="C105" s="85">
        <v>43994.0</v>
      </c>
      <c r="D105" s="85">
        <v>44101.0</v>
      </c>
      <c r="E105" s="86">
        <v>4.4</v>
      </c>
      <c r="F105" s="87">
        <v>4.67</v>
      </c>
      <c r="G105" s="88">
        <f t="shared" si="1"/>
        <v>0.27</v>
      </c>
      <c r="H105" s="89">
        <f t="shared" si="2"/>
        <v>0.05781584582</v>
      </c>
      <c r="I105" s="78" t="s">
        <v>215</v>
      </c>
      <c r="J105" s="78" t="s">
        <v>69</v>
      </c>
      <c r="K105" s="58">
        <f t="shared" si="3"/>
        <v>107</v>
      </c>
      <c r="L105" s="91" t="str">
        <f t="shared" si="4"/>
        <v>Sun</v>
      </c>
      <c r="M105" s="78" t="str">
        <f>IFERROR(VLOOKUP(A105, Entries!A:B,2,false),"")</f>
        <v>Warner Bros</v>
      </c>
      <c r="N105" s="23" t="str">
        <f>IFERROR(VLOOKUP(A105, Entries!A:K,11,false),"")</f>
        <v/>
      </c>
      <c r="O105" s="23" t="b">
        <f>IFERROR(VLOOKUP(A105, Entries!A:I,8,false),"")</f>
        <v>0</v>
      </c>
    </row>
    <row r="106">
      <c r="A106" s="78" t="s">
        <v>216</v>
      </c>
      <c r="B106" s="78" t="s">
        <v>23</v>
      </c>
      <c r="C106" s="85">
        <v>43994.0</v>
      </c>
      <c r="D106" s="85">
        <v>44067.0</v>
      </c>
      <c r="E106" s="86">
        <v>8.95</v>
      </c>
      <c r="F106" s="87">
        <v>9.14</v>
      </c>
      <c r="G106" s="88">
        <f t="shared" si="1"/>
        <v>0.19</v>
      </c>
      <c r="H106" s="89">
        <f t="shared" si="2"/>
        <v>0.02078774617</v>
      </c>
      <c r="I106" s="78" t="s">
        <v>217</v>
      </c>
      <c r="J106" s="78" t="s">
        <v>69</v>
      </c>
      <c r="K106" s="58">
        <f t="shared" si="3"/>
        <v>73</v>
      </c>
      <c r="L106" s="91" t="str">
        <f t="shared" si="4"/>
        <v>Mon</v>
      </c>
      <c r="M106" s="78" t="str">
        <f>IFERROR(VLOOKUP(A106, Entries!A:B,2,false),"")</f>
        <v>SEGA</v>
      </c>
      <c r="N106" s="23" t="str">
        <f>IFERROR(VLOOKUP(A106, Entries!A:K,11,false),"")</f>
        <v/>
      </c>
      <c r="O106" s="23" t="b">
        <f>IFERROR(VLOOKUP(A106, Entries!A:I,8,false),"")</f>
        <v>0</v>
      </c>
    </row>
    <row r="107">
      <c r="A107" s="78" t="s">
        <v>218</v>
      </c>
      <c r="B107" s="78" t="s">
        <v>19</v>
      </c>
      <c r="C107" s="85">
        <v>43995.0</v>
      </c>
      <c r="D107" s="85">
        <v>43995.0</v>
      </c>
      <c r="E107" s="86">
        <v>2.64</v>
      </c>
      <c r="F107" s="87">
        <v>3.74</v>
      </c>
      <c r="G107" s="88">
        <f t="shared" si="1"/>
        <v>1.1</v>
      </c>
      <c r="H107" s="89">
        <f t="shared" si="2"/>
        <v>0.2941176471</v>
      </c>
      <c r="I107" s="78" t="s">
        <v>219</v>
      </c>
      <c r="J107" s="78" t="s">
        <v>69</v>
      </c>
      <c r="K107" s="58">
        <f t="shared" si="3"/>
        <v>0</v>
      </c>
      <c r="L107" s="91" t="str">
        <f t="shared" si="4"/>
        <v>Sat</v>
      </c>
      <c r="M107" s="78" t="str">
        <f>IFERROR(VLOOKUP(A107, Entries!A:B,2,false),"")</f>
        <v>Square Enix</v>
      </c>
      <c r="N107" s="23" t="str">
        <f>IFERROR(VLOOKUP(A107, Entries!A:K,11,false),"")</f>
        <v/>
      </c>
      <c r="O107" s="23" t="b">
        <f>IFERROR(VLOOKUP(A107, Entries!A:I,8,false),"")</f>
        <v>1</v>
      </c>
    </row>
    <row r="108">
      <c r="A108" s="78" t="s">
        <v>218</v>
      </c>
      <c r="B108" s="78" t="s">
        <v>19</v>
      </c>
      <c r="C108" s="85">
        <v>43995.0</v>
      </c>
      <c r="D108" s="85">
        <v>43997.0</v>
      </c>
      <c r="E108" s="86">
        <v>2.64</v>
      </c>
      <c r="F108" s="87">
        <v>3.63</v>
      </c>
      <c r="G108" s="88">
        <f t="shared" si="1"/>
        <v>0.99</v>
      </c>
      <c r="H108" s="89">
        <f t="shared" si="2"/>
        <v>0.2727272727</v>
      </c>
      <c r="I108" s="78" t="s">
        <v>220</v>
      </c>
      <c r="J108" s="78" t="s">
        <v>69</v>
      </c>
      <c r="K108" s="58">
        <f t="shared" si="3"/>
        <v>2</v>
      </c>
      <c r="L108" s="91" t="str">
        <f t="shared" si="4"/>
        <v>Mon</v>
      </c>
      <c r="M108" s="78" t="str">
        <f>IFERROR(VLOOKUP(A108, Entries!A:B,2,false),"")</f>
        <v>Square Enix</v>
      </c>
      <c r="N108" s="23" t="str">
        <f>IFERROR(VLOOKUP(A108, Entries!A:K,11,false),"")</f>
        <v/>
      </c>
      <c r="O108" s="23" t="b">
        <f>IFERROR(VLOOKUP(A108, Entries!A:I,8,false),"")</f>
        <v>1</v>
      </c>
    </row>
    <row r="109">
      <c r="A109" s="78" t="s">
        <v>221</v>
      </c>
      <c r="B109" s="78" t="s">
        <v>21</v>
      </c>
      <c r="C109" s="85">
        <v>43997.0</v>
      </c>
      <c r="D109" s="85">
        <v>44008.0</v>
      </c>
      <c r="E109" s="86">
        <v>8.14</v>
      </c>
      <c r="F109" s="87">
        <v>13.45</v>
      </c>
      <c r="G109" s="88">
        <f t="shared" si="1"/>
        <v>5.31</v>
      </c>
      <c r="H109" s="89">
        <f t="shared" si="2"/>
        <v>0.394795539</v>
      </c>
      <c r="I109" s="78" t="s">
        <v>222</v>
      </c>
      <c r="J109" s="78" t="s">
        <v>69</v>
      </c>
      <c r="K109" s="58">
        <f t="shared" si="3"/>
        <v>11</v>
      </c>
      <c r="L109" s="91" t="str">
        <f t="shared" si="4"/>
        <v>Fri</v>
      </c>
      <c r="M109" s="78" t="str">
        <f>IFERROR(VLOOKUP(A109, Entries!A:B,2,false),"")</f>
        <v>Wired Productions</v>
      </c>
      <c r="N109" s="23" t="str">
        <f>IFERROR(VLOOKUP(A109, Entries!A:K,11,false),"")</f>
        <v/>
      </c>
      <c r="O109" s="23" t="b">
        <f>IFERROR(VLOOKUP(A109, Entries!A:I,8,false),"")</f>
        <v>0</v>
      </c>
    </row>
    <row r="110">
      <c r="A110" s="78" t="s">
        <v>218</v>
      </c>
      <c r="B110" s="78" t="s">
        <v>19</v>
      </c>
      <c r="C110" s="85">
        <v>43997.0</v>
      </c>
      <c r="D110" s="85">
        <v>43997.0</v>
      </c>
      <c r="E110" s="86">
        <v>2.64</v>
      </c>
      <c r="F110" s="87">
        <v>3.64</v>
      </c>
      <c r="G110" s="88">
        <f t="shared" si="1"/>
        <v>1</v>
      </c>
      <c r="H110" s="89">
        <f t="shared" si="2"/>
        <v>0.2747252747</v>
      </c>
      <c r="I110" s="78" t="s">
        <v>223</v>
      </c>
      <c r="J110" s="78" t="s">
        <v>69</v>
      </c>
      <c r="K110" s="58">
        <f t="shared" si="3"/>
        <v>0</v>
      </c>
      <c r="L110" s="91" t="str">
        <f t="shared" si="4"/>
        <v>Mon</v>
      </c>
      <c r="M110" s="78" t="str">
        <f>IFERROR(VLOOKUP(A110, Entries!A:B,2,false),"")</f>
        <v>Square Enix</v>
      </c>
      <c r="N110" s="23" t="str">
        <f>IFERROR(VLOOKUP(A110, Entries!A:K,11,false),"")</f>
        <v/>
      </c>
      <c r="O110" s="23" t="b">
        <f>IFERROR(VLOOKUP(A110, Entries!A:I,8,false),"")</f>
        <v>1</v>
      </c>
    </row>
    <row r="111">
      <c r="A111" s="78" t="s">
        <v>224</v>
      </c>
      <c r="B111" s="78" t="s">
        <v>19</v>
      </c>
      <c r="C111" s="85">
        <v>43997.0</v>
      </c>
      <c r="D111" s="85">
        <v>44748.0</v>
      </c>
      <c r="E111" s="86">
        <v>3.1</v>
      </c>
      <c r="F111" s="87">
        <v>0.13</v>
      </c>
      <c r="G111" s="88">
        <f t="shared" si="1"/>
        <v>-2.97</v>
      </c>
      <c r="H111" s="89">
        <f t="shared" si="2"/>
        <v>-22.84615385</v>
      </c>
      <c r="I111" s="78" t="s">
        <v>225</v>
      </c>
      <c r="J111" s="78" t="s">
        <v>69</v>
      </c>
      <c r="K111" s="58">
        <f t="shared" si="3"/>
        <v>751</v>
      </c>
      <c r="L111" s="91" t="str">
        <f t="shared" si="4"/>
        <v>Wed</v>
      </c>
      <c r="M111" s="78" t="str">
        <f>IFERROR(VLOOKUP(A111, Entries!A:B,2,false),"")</f>
        <v>Goblinz Publishing</v>
      </c>
      <c r="N111" s="23" t="str">
        <f>IFERROR(VLOOKUP(A111, Entries!A:K,11,false),"")</f>
        <v/>
      </c>
      <c r="O111" s="23" t="b">
        <f>IFERROR(VLOOKUP(A111, Entries!A:I,8,false),"")</f>
        <v>0</v>
      </c>
    </row>
    <row r="112">
      <c r="A112" s="78" t="s">
        <v>224</v>
      </c>
      <c r="B112" s="78" t="s">
        <v>19</v>
      </c>
      <c r="C112" s="85">
        <v>43997.0</v>
      </c>
      <c r="D112" s="85">
        <v>44748.0</v>
      </c>
      <c r="E112" s="86">
        <v>3.1</v>
      </c>
      <c r="F112" s="87">
        <v>0.13</v>
      </c>
      <c r="G112" s="88">
        <f t="shared" si="1"/>
        <v>-2.97</v>
      </c>
      <c r="H112" s="89">
        <f t="shared" si="2"/>
        <v>-22.84615385</v>
      </c>
      <c r="I112" s="78" t="s">
        <v>226</v>
      </c>
      <c r="J112" s="78" t="s">
        <v>69</v>
      </c>
      <c r="K112" s="58">
        <f t="shared" si="3"/>
        <v>751</v>
      </c>
      <c r="L112" s="91" t="str">
        <f t="shared" si="4"/>
        <v>Wed</v>
      </c>
      <c r="M112" s="78" t="str">
        <f>IFERROR(VLOOKUP(A112, Entries!A:B,2,false),"")</f>
        <v>Goblinz Publishing</v>
      </c>
      <c r="N112" s="23" t="str">
        <f>IFERROR(VLOOKUP(A112, Entries!A:K,11,false),"")</f>
        <v/>
      </c>
      <c r="O112" s="23" t="b">
        <f>IFERROR(VLOOKUP(A112, Entries!A:I,8,false),"")</f>
        <v>0</v>
      </c>
    </row>
    <row r="113">
      <c r="A113" s="78" t="s">
        <v>227</v>
      </c>
      <c r="B113" s="78" t="s">
        <v>19</v>
      </c>
      <c r="C113" s="85">
        <v>43997.0</v>
      </c>
      <c r="D113" s="85">
        <v>43997.0</v>
      </c>
      <c r="E113" s="86">
        <v>3.1</v>
      </c>
      <c r="F113" s="87">
        <v>5.1</v>
      </c>
      <c r="G113" s="88">
        <f t="shared" si="1"/>
        <v>2</v>
      </c>
      <c r="H113" s="89">
        <f t="shared" si="2"/>
        <v>0.3921568627</v>
      </c>
      <c r="I113" s="78" t="s">
        <v>228</v>
      </c>
      <c r="J113" s="78" t="s">
        <v>69</v>
      </c>
      <c r="K113" s="58">
        <f t="shared" si="3"/>
        <v>0</v>
      </c>
      <c r="L113" s="91" t="str">
        <f t="shared" si="4"/>
        <v>Mon</v>
      </c>
      <c r="M113" s="78" t="str">
        <f>IFERROR(VLOOKUP(A113, Entries!A:B,2,false),"")</f>
        <v>Frogwares</v>
      </c>
      <c r="N113" s="23" t="str">
        <f>IFERROR(VLOOKUP(A113, Entries!A:K,11,false),"")</f>
        <v/>
      </c>
      <c r="O113" s="23" t="b">
        <f>IFERROR(VLOOKUP(A113, Entries!A:I,8,false),"")</f>
        <v>0</v>
      </c>
    </row>
    <row r="114">
      <c r="A114" s="78" t="s">
        <v>227</v>
      </c>
      <c r="B114" s="78" t="s">
        <v>19</v>
      </c>
      <c r="C114" s="85">
        <v>43997.0</v>
      </c>
      <c r="D114" s="85">
        <v>43998.0</v>
      </c>
      <c r="E114" s="86">
        <v>3.1</v>
      </c>
      <c r="F114" s="87">
        <v>5.09</v>
      </c>
      <c r="G114" s="88">
        <f t="shared" si="1"/>
        <v>1.99</v>
      </c>
      <c r="H114" s="89">
        <f t="shared" si="2"/>
        <v>0.3909626719</v>
      </c>
      <c r="I114" s="78" t="s">
        <v>229</v>
      </c>
      <c r="J114" s="78" t="s">
        <v>69</v>
      </c>
      <c r="K114" s="58">
        <f t="shared" si="3"/>
        <v>1</v>
      </c>
      <c r="L114" s="91" t="str">
        <f t="shared" si="4"/>
        <v>Tue</v>
      </c>
      <c r="M114" s="78" t="str">
        <f>IFERROR(VLOOKUP(A114, Entries!A:B,2,false),"")</f>
        <v>Frogwares</v>
      </c>
      <c r="N114" s="23" t="str">
        <f>IFERROR(VLOOKUP(A114, Entries!A:K,11,false),"")</f>
        <v/>
      </c>
      <c r="O114" s="23" t="b">
        <f>IFERROR(VLOOKUP(A114, Entries!A:I,8,false),"")</f>
        <v>0</v>
      </c>
    </row>
    <row r="115">
      <c r="A115" s="78" t="s">
        <v>230</v>
      </c>
      <c r="B115" s="78" t="s">
        <v>19</v>
      </c>
      <c r="C115" s="85">
        <v>43997.0</v>
      </c>
      <c r="D115" s="85">
        <v>43997.0</v>
      </c>
      <c r="E115" s="86">
        <v>3.08</v>
      </c>
      <c r="F115" s="87">
        <v>5.59</v>
      </c>
      <c r="G115" s="88">
        <f t="shared" si="1"/>
        <v>2.51</v>
      </c>
      <c r="H115" s="89">
        <f t="shared" si="2"/>
        <v>0.4490161002</v>
      </c>
      <c r="I115" s="78" t="s">
        <v>231</v>
      </c>
      <c r="J115" s="78" t="s">
        <v>69</v>
      </c>
      <c r="K115" s="58">
        <f t="shared" si="3"/>
        <v>0</v>
      </c>
      <c r="L115" s="91" t="str">
        <f t="shared" si="4"/>
        <v>Mon</v>
      </c>
      <c r="M115" s="78" t="str">
        <f>IFERROR(VLOOKUP(A115, Entries!A:B,2,false),"")</f>
        <v>Codemasters</v>
      </c>
      <c r="N115" s="23" t="str">
        <f>IFERROR(VLOOKUP(A115, Entries!A:K,11,false),"")</f>
        <v/>
      </c>
      <c r="O115" s="23" t="b">
        <f>IFERROR(VLOOKUP(A115, Entries!A:I,8,false),"")</f>
        <v>1</v>
      </c>
    </row>
    <row r="116">
      <c r="A116" s="78" t="s">
        <v>230</v>
      </c>
      <c r="B116" s="78" t="s">
        <v>19</v>
      </c>
      <c r="C116" s="85">
        <v>43997.0</v>
      </c>
      <c r="D116" s="85">
        <v>43997.0</v>
      </c>
      <c r="E116" s="86">
        <v>3.08</v>
      </c>
      <c r="F116" s="87">
        <v>5.59</v>
      </c>
      <c r="G116" s="88">
        <f t="shared" si="1"/>
        <v>2.51</v>
      </c>
      <c r="H116" s="89">
        <f t="shared" si="2"/>
        <v>0.4490161002</v>
      </c>
      <c r="I116" s="78" t="s">
        <v>232</v>
      </c>
      <c r="J116" s="78" t="s">
        <v>69</v>
      </c>
      <c r="K116" s="58">
        <f t="shared" si="3"/>
        <v>0</v>
      </c>
      <c r="L116" s="91" t="str">
        <f t="shared" si="4"/>
        <v>Mon</v>
      </c>
      <c r="M116" s="78" t="str">
        <f>IFERROR(VLOOKUP(A116, Entries!A:B,2,false),"")</f>
        <v>Codemasters</v>
      </c>
      <c r="N116" s="23" t="str">
        <f>IFERROR(VLOOKUP(A116, Entries!A:K,11,false),"")</f>
        <v/>
      </c>
      <c r="O116" s="23" t="b">
        <f>IFERROR(VLOOKUP(A116, Entries!A:I,8,false),"")</f>
        <v>1</v>
      </c>
    </row>
    <row r="117">
      <c r="A117" s="78" t="s">
        <v>218</v>
      </c>
      <c r="B117" s="78" t="s">
        <v>19</v>
      </c>
      <c r="C117" s="85">
        <v>43997.0</v>
      </c>
      <c r="D117" s="85">
        <v>43998.0</v>
      </c>
      <c r="E117" s="86">
        <v>2.64</v>
      </c>
      <c r="F117" s="87">
        <v>3.63</v>
      </c>
      <c r="G117" s="88">
        <f t="shared" si="1"/>
        <v>0.99</v>
      </c>
      <c r="H117" s="89">
        <f t="shared" si="2"/>
        <v>0.2727272727</v>
      </c>
      <c r="I117" s="78" t="s">
        <v>233</v>
      </c>
      <c r="J117" s="78" t="s">
        <v>69</v>
      </c>
      <c r="K117" s="58">
        <f t="shared" si="3"/>
        <v>1</v>
      </c>
      <c r="L117" s="91" t="str">
        <f t="shared" si="4"/>
        <v>Tue</v>
      </c>
      <c r="M117" s="78" t="str">
        <f>IFERROR(VLOOKUP(A117, Entries!A:B,2,false),"")</f>
        <v>Square Enix</v>
      </c>
      <c r="N117" s="23" t="str">
        <f>IFERROR(VLOOKUP(A117, Entries!A:K,11,false),"")</f>
        <v/>
      </c>
      <c r="O117" s="23" t="b">
        <f>IFERROR(VLOOKUP(A117, Entries!A:I,8,false),"")</f>
        <v>1</v>
      </c>
    </row>
    <row r="118">
      <c r="A118" s="78" t="s">
        <v>227</v>
      </c>
      <c r="B118" s="78" t="s">
        <v>19</v>
      </c>
      <c r="C118" s="85">
        <v>43998.0</v>
      </c>
      <c r="D118" s="85">
        <v>43998.0</v>
      </c>
      <c r="E118" s="86">
        <v>3.1</v>
      </c>
      <c r="F118" s="87">
        <v>5.09</v>
      </c>
      <c r="G118" s="88">
        <f t="shared" si="1"/>
        <v>1.99</v>
      </c>
      <c r="H118" s="89">
        <f t="shared" si="2"/>
        <v>0.3909626719</v>
      </c>
      <c r="I118" s="78" t="s">
        <v>234</v>
      </c>
      <c r="J118" s="78" t="s">
        <v>69</v>
      </c>
      <c r="K118" s="58">
        <f t="shared" si="3"/>
        <v>0</v>
      </c>
      <c r="L118" s="91" t="str">
        <f t="shared" si="4"/>
        <v>Tue</v>
      </c>
      <c r="M118" s="78" t="str">
        <f>IFERROR(VLOOKUP(A118, Entries!A:B,2,false),"")</f>
        <v>Frogwares</v>
      </c>
      <c r="N118" s="23" t="str">
        <f>IFERROR(VLOOKUP(A118, Entries!A:K,11,false),"")</f>
        <v/>
      </c>
      <c r="O118" s="23" t="b">
        <f>IFERROR(VLOOKUP(A118, Entries!A:I,8,false),"")</f>
        <v>0</v>
      </c>
    </row>
    <row r="119">
      <c r="A119" s="78" t="s">
        <v>230</v>
      </c>
      <c r="B119" s="78" t="s">
        <v>19</v>
      </c>
      <c r="C119" s="85">
        <v>43998.0</v>
      </c>
      <c r="D119" s="85">
        <v>43998.0</v>
      </c>
      <c r="E119" s="86">
        <v>3.07</v>
      </c>
      <c r="F119" s="87">
        <v>5.59</v>
      </c>
      <c r="G119" s="88">
        <f t="shared" si="1"/>
        <v>2.52</v>
      </c>
      <c r="H119" s="89">
        <f t="shared" si="2"/>
        <v>0.4508050089</v>
      </c>
      <c r="I119" s="78" t="s">
        <v>235</v>
      </c>
      <c r="J119" s="78" t="s">
        <v>69</v>
      </c>
      <c r="K119" s="58">
        <f t="shared" si="3"/>
        <v>0</v>
      </c>
      <c r="L119" s="91" t="str">
        <f t="shared" si="4"/>
        <v>Tue</v>
      </c>
      <c r="M119" s="78" t="str">
        <f>IFERROR(VLOOKUP(A119, Entries!A:B,2,false),"")</f>
        <v>Codemasters</v>
      </c>
      <c r="N119" s="23" t="str">
        <f>IFERROR(VLOOKUP(A119, Entries!A:K,11,false),"")</f>
        <v/>
      </c>
      <c r="O119" s="23" t="b">
        <f>IFERROR(VLOOKUP(A119, Entries!A:I,8,false),"")</f>
        <v>1</v>
      </c>
    </row>
    <row r="120">
      <c r="A120" s="78" t="s">
        <v>218</v>
      </c>
      <c r="B120" s="78" t="s">
        <v>19</v>
      </c>
      <c r="C120" s="85">
        <v>43998.0</v>
      </c>
      <c r="D120" s="85">
        <v>44000.0</v>
      </c>
      <c r="E120" s="86">
        <v>2.64</v>
      </c>
      <c r="F120" s="87">
        <v>3.7</v>
      </c>
      <c r="G120" s="88">
        <f t="shared" si="1"/>
        <v>1.06</v>
      </c>
      <c r="H120" s="89">
        <f t="shared" si="2"/>
        <v>0.2864864865</v>
      </c>
      <c r="I120" s="78" t="s">
        <v>236</v>
      </c>
      <c r="J120" s="78" t="s">
        <v>69</v>
      </c>
      <c r="K120" s="58">
        <f t="shared" si="3"/>
        <v>2</v>
      </c>
      <c r="L120" s="91" t="str">
        <f t="shared" si="4"/>
        <v>Thu</v>
      </c>
      <c r="M120" s="78" t="str">
        <f>IFERROR(VLOOKUP(A120, Entries!A:B,2,false),"")</f>
        <v>Square Enix</v>
      </c>
      <c r="N120" s="23" t="str">
        <f>IFERROR(VLOOKUP(A120, Entries!A:K,11,false),"")</f>
        <v/>
      </c>
      <c r="O120" s="23" t="b">
        <f>IFERROR(VLOOKUP(A120, Entries!A:I,8,false),"")</f>
        <v>1</v>
      </c>
    </row>
    <row r="121">
      <c r="A121" s="78" t="s">
        <v>227</v>
      </c>
      <c r="B121" s="78" t="s">
        <v>19</v>
      </c>
      <c r="C121" s="85">
        <v>43999.0</v>
      </c>
      <c r="D121" s="85">
        <v>44002.0</v>
      </c>
      <c r="E121" s="86">
        <v>3.1</v>
      </c>
      <c r="F121" s="87">
        <v>4.86</v>
      </c>
      <c r="G121" s="88">
        <f t="shared" si="1"/>
        <v>1.76</v>
      </c>
      <c r="H121" s="89">
        <f t="shared" si="2"/>
        <v>0.3621399177</v>
      </c>
      <c r="I121" s="78" t="s">
        <v>237</v>
      </c>
      <c r="J121" s="78" t="s">
        <v>69</v>
      </c>
      <c r="K121" s="58">
        <f t="shared" si="3"/>
        <v>3</v>
      </c>
      <c r="L121" s="91" t="str">
        <f t="shared" si="4"/>
        <v>Sat</v>
      </c>
      <c r="M121" s="78" t="str">
        <f>IFERROR(VLOOKUP(A121, Entries!A:B,2,false),"")</f>
        <v>Frogwares</v>
      </c>
      <c r="N121" s="23" t="str">
        <f>IFERROR(VLOOKUP(A121, Entries!A:K,11,false),"")</f>
        <v/>
      </c>
      <c r="O121" s="23" t="b">
        <f>IFERROR(VLOOKUP(A121, Entries!A:I,8,false),"")</f>
        <v>0</v>
      </c>
    </row>
    <row r="122">
      <c r="A122" s="78" t="s">
        <v>230</v>
      </c>
      <c r="B122" s="78" t="s">
        <v>19</v>
      </c>
      <c r="C122" s="85">
        <v>43999.0</v>
      </c>
      <c r="D122" s="85">
        <v>43999.0</v>
      </c>
      <c r="E122" s="86">
        <v>3.1</v>
      </c>
      <c r="F122" s="87">
        <v>5.59</v>
      </c>
      <c r="G122" s="88">
        <f t="shared" si="1"/>
        <v>2.49</v>
      </c>
      <c r="H122" s="89">
        <f t="shared" si="2"/>
        <v>0.4454382826</v>
      </c>
      <c r="I122" s="78" t="s">
        <v>238</v>
      </c>
      <c r="J122" s="78" t="s">
        <v>69</v>
      </c>
      <c r="K122" s="58">
        <f t="shared" si="3"/>
        <v>0</v>
      </c>
      <c r="L122" s="91" t="str">
        <f t="shared" si="4"/>
        <v>Wed</v>
      </c>
      <c r="M122" s="78" t="str">
        <f>IFERROR(VLOOKUP(A122, Entries!A:B,2,false),"")</f>
        <v>Codemasters</v>
      </c>
      <c r="N122" s="23" t="str">
        <f>IFERROR(VLOOKUP(A122, Entries!A:K,11,false),"")</f>
        <v/>
      </c>
      <c r="O122" s="23" t="b">
        <f>IFERROR(VLOOKUP(A122, Entries!A:I,8,false),"")</f>
        <v>1</v>
      </c>
    </row>
    <row r="123">
      <c r="A123" s="78" t="s">
        <v>239</v>
      </c>
      <c r="B123" s="78" t="s">
        <v>19</v>
      </c>
      <c r="C123" s="85">
        <v>43999.0</v>
      </c>
      <c r="D123" s="85">
        <v>44046.0</v>
      </c>
      <c r="E123" s="86">
        <v>3.07</v>
      </c>
      <c r="F123" s="87">
        <v>3.4</v>
      </c>
      <c r="G123" s="88">
        <f t="shared" si="1"/>
        <v>0.33</v>
      </c>
      <c r="H123" s="89">
        <f t="shared" si="2"/>
        <v>0.09705882353</v>
      </c>
      <c r="I123" s="78" t="s">
        <v>240</v>
      </c>
      <c r="J123" s="78" t="s">
        <v>69</v>
      </c>
      <c r="K123" s="58">
        <f t="shared" si="3"/>
        <v>47</v>
      </c>
      <c r="L123" s="91" t="str">
        <f t="shared" si="4"/>
        <v>Mon</v>
      </c>
      <c r="M123" s="78" t="str">
        <f>IFERROR(VLOOKUP(A123, Entries!A:B,2,false),"")</f>
        <v>Curve Digital</v>
      </c>
      <c r="N123" s="23" t="str">
        <f>IFERROR(VLOOKUP(A123, Entries!A:K,11,false),"")</f>
        <v/>
      </c>
      <c r="O123" s="23" t="b">
        <f>IFERROR(VLOOKUP(A123, Entries!A:I,8,false),"")</f>
        <v>0</v>
      </c>
    </row>
    <row r="124">
      <c r="A124" s="78" t="s">
        <v>218</v>
      </c>
      <c r="B124" s="78" t="s">
        <v>19</v>
      </c>
      <c r="C124" s="85">
        <v>44002.0</v>
      </c>
      <c r="D124" s="85">
        <v>44003.0</v>
      </c>
      <c r="E124" s="86">
        <v>2.65</v>
      </c>
      <c r="F124" s="87">
        <v>3.78</v>
      </c>
      <c r="G124" s="88">
        <f t="shared" si="1"/>
        <v>1.13</v>
      </c>
      <c r="H124" s="89">
        <f t="shared" si="2"/>
        <v>0.2989417989</v>
      </c>
      <c r="I124" s="78" t="s">
        <v>241</v>
      </c>
      <c r="J124" s="78" t="s">
        <v>69</v>
      </c>
      <c r="K124" s="58">
        <f t="shared" si="3"/>
        <v>1</v>
      </c>
      <c r="L124" s="91" t="str">
        <f t="shared" si="4"/>
        <v>Sun</v>
      </c>
      <c r="M124" s="78" t="str">
        <f>IFERROR(VLOOKUP(A124, Entries!A:B,2,false),"")</f>
        <v>Square Enix</v>
      </c>
      <c r="N124" s="23" t="str">
        <f>IFERROR(VLOOKUP(A124, Entries!A:K,11,false),"")</f>
        <v/>
      </c>
      <c r="O124" s="23" t="b">
        <f>IFERROR(VLOOKUP(A124, Entries!A:I,8,false),"")</f>
        <v>1</v>
      </c>
    </row>
    <row r="125">
      <c r="A125" s="78" t="s">
        <v>227</v>
      </c>
      <c r="B125" s="78" t="s">
        <v>19</v>
      </c>
      <c r="C125" s="85">
        <v>44002.0</v>
      </c>
      <c r="D125" s="85">
        <v>44006.0</v>
      </c>
      <c r="E125" s="86">
        <v>3.1</v>
      </c>
      <c r="F125" s="87">
        <v>4.56</v>
      </c>
      <c r="G125" s="88">
        <f t="shared" si="1"/>
        <v>1.46</v>
      </c>
      <c r="H125" s="89">
        <f t="shared" si="2"/>
        <v>0.3201754386</v>
      </c>
      <c r="I125" s="78" t="s">
        <v>242</v>
      </c>
      <c r="J125" s="78" t="s">
        <v>69</v>
      </c>
      <c r="K125" s="58">
        <f t="shared" si="3"/>
        <v>4</v>
      </c>
      <c r="L125" s="91" t="str">
        <f t="shared" si="4"/>
        <v>Wed</v>
      </c>
      <c r="M125" s="78" t="str">
        <f>IFERROR(VLOOKUP(A125, Entries!A:B,2,false),"")</f>
        <v>Frogwares</v>
      </c>
      <c r="N125" s="23" t="str">
        <f>IFERROR(VLOOKUP(A125, Entries!A:K,11,false),"")</f>
        <v/>
      </c>
      <c r="O125" s="23" t="b">
        <f>IFERROR(VLOOKUP(A125, Entries!A:I,8,false),"")</f>
        <v>0</v>
      </c>
    </row>
    <row r="126">
      <c r="A126" s="95" t="s">
        <v>239</v>
      </c>
      <c r="B126" s="78" t="s">
        <v>19</v>
      </c>
      <c r="C126" s="85">
        <v>44002.0</v>
      </c>
      <c r="D126" s="85">
        <v>44054.0</v>
      </c>
      <c r="E126" s="86">
        <v>3.1</v>
      </c>
      <c r="F126" s="87">
        <v>3.35</v>
      </c>
      <c r="G126" s="88">
        <f t="shared" si="1"/>
        <v>0.25</v>
      </c>
      <c r="H126" s="89">
        <f t="shared" si="2"/>
        <v>0.07462686567</v>
      </c>
      <c r="I126" s="78" t="s">
        <v>243</v>
      </c>
      <c r="J126" s="78" t="s">
        <v>69</v>
      </c>
      <c r="K126" s="58">
        <f t="shared" si="3"/>
        <v>52</v>
      </c>
      <c r="L126" s="91" t="str">
        <f t="shared" si="4"/>
        <v>Tue</v>
      </c>
      <c r="M126" s="78" t="str">
        <f>IFERROR(VLOOKUP(A126, Entries!A:B,2,false),"")</f>
        <v>Curve Digital</v>
      </c>
      <c r="N126" s="23" t="str">
        <f>IFERROR(VLOOKUP(A126, Entries!A:K,11,false),"")</f>
        <v/>
      </c>
      <c r="O126" s="23" t="b">
        <f>IFERROR(VLOOKUP(A126, Entries!A:I,8,false),"")</f>
        <v>0</v>
      </c>
    </row>
    <row r="127">
      <c r="A127" s="78" t="s">
        <v>230</v>
      </c>
      <c r="B127" s="78" t="s">
        <v>19</v>
      </c>
      <c r="C127" s="85">
        <v>44002.0</v>
      </c>
      <c r="D127" s="85">
        <v>44003.0</v>
      </c>
      <c r="E127" s="86">
        <v>3.12</v>
      </c>
      <c r="F127" s="87">
        <v>5.32</v>
      </c>
      <c r="G127" s="88">
        <f t="shared" si="1"/>
        <v>2.2</v>
      </c>
      <c r="H127" s="89">
        <f t="shared" si="2"/>
        <v>0.4135338346</v>
      </c>
      <c r="I127" s="78" t="s">
        <v>244</v>
      </c>
      <c r="J127" s="78" t="s">
        <v>69</v>
      </c>
      <c r="K127" s="58">
        <f t="shared" si="3"/>
        <v>1</v>
      </c>
      <c r="L127" s="91" t="str">
        <f t="shared" si="4"/>
        <v>Sun</v>
      </c>
      <c r="M127" s="78" t="str">
        <f>IFERROR(VLOOKUP(A127, Entries!A:B,2,false),"")</f>
        <v>Codemasters</v>
      </c>
      <c r="N127" s="23" t="str">
        <f>IFERROR(VLOOKUP(A127, Entries!A:K,11,false),"")</f>
        <v/>
      </c>
      <c r="O127" s="23" t="b">
        <f>IFERROR(VLOOKUP(A127, Entries!A:I,8,false),"")</f>
        <v>1</v>
      </c>
    </row>
    <row r="128">
      <c r="A128" s="78" t="s">
        <v>218</v>
      </c>
      <c r="B128" s="78" t="s">
        <v>19</v>
      </c>
      <c r="C128" s="85">
        <v>44003.0</v>
      </c>
      <c r="D128" s="85">
        <v>44003.0</v>
      </c>
      <c r="E128" s="86">
        <v>2.65</v>
      </c>
      <c r="F128" s="87">
        <v>3.78</v>
      </c>
      <c r="G128" s="88">
        <f t="shared" si="1"/>
        <v>1.13</v>
      </c>
      <c r="H128" s="89">
        <f t="shared" si="2"/>
        <v>0.2989417989</v>
      </c>
      <c r="I128" s="78" t="s">
        <v>245</v>
      </c>
      <c r="J128" s="78" t="s">
        <v>69</v>
      </c>
      <c r="K128" s="58">
        <f t="shared" si="3"/>
        <v>0</v>
      </c>
      <c r="L128" s="91" t="str">
        <f t="shared" si="4"/>
        <v>Sun</v>
      </c>
      <c r="M128" s="78" t="str">
        <f>IFERROR(VLOOKUP(A128, Entries!A:B,2,false),"")</f>
        <v>Square Enix</v>
      </c>
      <c r="N128" s="23" t="str">
        <f>IFERROR(VLOOKUP(A128, Entries!A:K,11,false),"")</f>
        <v/>
      </c>
      <c r="O128" s="23" t="b">
        <f>IFERROR(VLOOKUP(A128, Entries!A:I,8,false),"")</f>
        <v>1</v>
      </c>
    </row>
    <row r="129">
      <c r="A129" s="78" t="s">
        <v>123</v>
      </c>
      <c r="B129" s="78" t="s">
        <v>21</v>
      </c>
      <c r="C129" s="85">
        <v>44003.0</v>
      </c>
      <c r="D129" s="85">
        <v>44003.0</v>
      </c>
      <c r="E129" s="86">
        <v>1.88</v>
      </c>
      <c r="F129" s="87">
        <v>2.93</v>
      </c>
      <c r="G129" s="88">
        <f t="shared" si="1"/>
        <v>1.05</v>
      </c>
      <c r="H129" s="89">
        <f t="shared" si="2"/>
        <v>0.3583617747</v>
      </c>
      <c r="I129" s="78" t="s">
        <v>246</v>
      </c>
      <c r="J129" s="78" t="s">
        <v>69</v>
      </c>
      <c r="K129" s="58">
        <f t="shared" si="3"/>
        <v>0</v>
      </c>
      <c r="L129" s="91" t="str">
        <f t="shared" si="4"/>
        <v>Sun</v>
      </c>
      <c r="M129" s="78" t="str">
        <f>IFERROR(VLOOKUP(A129, Entries!A:B,2,false),"")</f>
        <v>Kalypso Media</v>
      </c>
      <c r="N129" s="23" t="str">
        <f>IFERROR(VLOOKUP(A129, Entries!A:K,11,false),"")</f>
        <v/>
      </c>
      <c r="O129" s="23" t="b">
        <f>IFERROR(VLOOKUP(A129, Entries!A:I,8,false),"")</f>
        <v>0</v>
      </c>
    </row>
    <row r="130">
      <c r="A130" s="78" t="s">
        <v>123</v>
      </c>
      <c r="B130" s="78" t="s">
        <v>21</v>
      </c>
      <c r="C130" s="85">
        <v>44003.0</v>
      </c>
      <c r="D130" s="85">
        <v>44008.0</v>
      </c>
      <c r="E130" s="86">
        <v>1.88</v>
      </c>
      <c r="F130" s="87">
        <v>2.89</v>
      </c>
      <c r="G130" s="88">
        <f t="shared" si="1"/>
        <v>1.01</v>
      </c>
      <c r="H130" s="89">
        <f t="shared" si="2"/>
        <v>0.3494809689</v>
      </c>
      <c r="I130" s="78" t="s">
        <v>247</v>
      </c>
      <c r="J130" s="78" t="s">
        <v>69</v>
      </c>
      <c r="K130" s="58">
        <f t="shared" si="3"/>
        <v>5</v>
      </c>
      <c r="L130" s="91" t="str">
        <f t="shared" si="4"/>
        <v>Fri</v>
      </c>
      <c r="M130" s="78" t="str">
        <f>IFERROR(VLOOKUP(A130, Entries!A:B,2,false),"")</f>
        <v>Kalypso Media</v>
      </c>
      <c r="N130" s="23" t="str">
        <f>IFERROR(VLOOKUP(A130, Entries!A:K,11,false),"")</f>
        <v/>
      </c>
      <c r="O130" s="23" t="b">
        <f>IFERROR(VLOOKUP(A130, Entries!A:I,8,false),"")</f>
        <v>0</v>
      </c>
    </row>
    <row r="131">
      <c r="A131" s="78" t="s">
        <v>207</v>
      </c>
      <c r="B131" s="78" t="s">
        <v>22</v>
      </c>
      <c r="C131" s="85">
        <v>44003.0</v>
      </c>
      <c r="D131" s="85">
        <v>44003.0</v>
      </c>
      <c r="E131" s="86">
        <v>5.16</v>
      </c>
      <c r="F131" s="87">
        <v>6.77</v>
      </c>
      <c r="G131" s="88">
        <f t="shared" si="1"/>
        <v>1.61</v>
      </c>
      <c r="H131" s="89">
        <f t="shared" si="2"/>
        <v>0.2378138848</v>
      </c>
      <c r="I131" s="78" t="s">
        <v>248</v>
      </c>
      <c r="J131" s="78" t="s">
        <v>69</v>
      </c>
      <c r="K131" s="58">
        <f t="shared" si="3"/>
        <v>0</v>
      </c>
      <c r="L131" s="91" t="str">
        <f t="shared" si="4"/>
        <v>Sun</v>
      </c>
      <c r="M131" s="78" t="str">
        <f>IFERROR(VLOOKUP(A131, Entries!A:B,2,false),"")</f>
        <v>Square Enix</v>
      </c>
      <c r="N131" s="23" t="str">
        <f>IFERROR(VLOOKUP(A131, Entries!A:K,11,false),"")</f>
        <v/>
      </c>
      <c r="O131" s="23" t="b">
        <f>IFERROR(VLOOKUP(A131, Entries!A:I,8,false),"")</f>
        <v>0</v>
      </c>
    </row>
    <row r="132">
      <c r="A132" s="78" t="s">
        <v>218</v>
      </c>
      <c r="B132" s="78" t="s">
        <v>19</v>
      </c>
      <c r="C132" s="85">
        <v>44003.0</v>
      </c>
      <c r="D132" s="85">
        <v>44006.0</v>
      </c>
      <c r="E132" s="86">
        <v>2.65</v>
      </c>
      <c r="F132" s="87">
        <v>3.6</v>
      </c>
      <c r="G132" s="88">
        <f t="shared" si="1"/>
        <v>0.95</v>
      </c>
      <c r="H132" s="89">
        <f t="shared" si="2"/>
        <v>0.2638888889</v>
      </c>
      <c r="I132" s="78" t="s">
        <v>249</v>
      </c>
      <c r="J132" s="78" t="s">
        <v>69</v>
      </c>
      <c r="K132" s="58">
        <f t="shared" si="3"/>
        <v>3</v>
      </c>
      <c r="L132" s="91" t="str">
        <f t="shared" si="4"/>
        <v>Wed</v>
      </c>
      <c r="M132" s="78" t="str">
        <f>IFERROR(VLOOKUP(A132, Entries!A:B,2,false),"")</f>
        <v>Square Enix</v>
      </c>
      <c r="N132" s="23" t="str">
        <f>IFERROR(VLOOKUP(A132, Entries!A:K,11,false),"")</f>
        <v/>
      </c>
      <c r="O132" s="23" t="b">
        <f>IFERROR(VLOOKUP(A132, Entries!A:I,8,false),"")</f>
        <v>1</v>
      </c>
    </row>
    <row r="133">
      <c r="A133" s="78" t="s">
        <v>207</v>
      </c>
      <c r="B133" s="78" t="s">
        <v>22</v>
      </c>
      <c r="C133" s="85">
        <v>44003.0</v>
      </c>
      <c r="D133" s="85">
        <v>44005.0</v>
      </c>
      <c r="E133" s="86">
        <v>5.16</v>
      </c>
      <c r="F133" s="87">
        <v>6.74</v>
      </c>
      <c r="G133" s="88">
        <f t="shared" si="1"/>
        <v>1.58</v>
      </c>
      <c r="H133" s="89">
        <f t="shared" si="2"/>
        <v>0.234421365</v>
      </c>
      <c r="I133" s="78" t="s">
        <v>250</v>
      </c>
      <c r="J133" s="78" t="s">
        <v>69</v>
      </c>
      <c r="K133" s="58">
        <f t="shared" si="3"/>
        <v>2</v>
      </c>
      <c r="L133" s="91" t="str">
        <f t="shared" si="4"/>
        <v>Tue</v>
      </c>
      <c r="M133" s="78" t="str">
        <f>IFERROR(VLOOKUP(A133, Entries!A:B,2,false),"")</f>
        <v>Square Enix</v>
      </c>
      <c r="N133" s="23" t="str">
        <f>IFERROR(VLOOKUP(A133, Entries!A:K,11,false),"")</f>
        <v/>
      </c>
      <c r="O133" s="23" t="b">
        <f>IFERROR(VLOOKUP(A133, Entries!A:I,8,false),"")</f>
        <v>0</v>
      </c>
    </row>
    <row r="134">
      <c r="A134" s="78" t="s">
        <v>123</v>
      </c>
      <c r="B134" s="78" t="s">
        <v>21</v>
      </c>
      <c r="C134" s="85">
        <v>44003.0</v>
      </c>
      <c r="D134" s="85">
        <v>44010.0</v>
      </c>
      <c r="E134" s="86">
        <v>1.88</v>
      </c>
      <c r="F134" s="87">
        <v>2.96</v>
      </c>
      <c r="G134" s="88">
        <f t="shared" si="1"/>
        <v>1.08</v>
      </c>
      <c r="H134" s="89">
        <f t="shared" si="2"/>
        <v>0.3648648649</v>
      </c>
      <c r="I134" s="78" t="s">
        <v>251</v>
      </c>
      <c r="J134" s="78" t="s">
        <v>69</v>
      </c>
      <c r="K134" s="58">
        <f t="shared" si="3"/>
        <v>7</v>
      </c>
      <c r="L134" s="91" t="str">
        <f t="shared" si="4"/>
        <v>Sun</v>
      </c>
      <c r="M134" s="78" t="str">
        <f>IFERROR(VLOOKUP(A134, Entries!A:B,2,false),"")</f>
        <v>Kalypso Media</v>
      </c>
      <c r="N134" s="23" t="str">
        <f>IFERROR(VLOOKUP(A134, Entries!A:K,11,false),"")</f>
        <v/>
      </c>
      <c r="O134" s="23" t="b">
        <f>IFERROR(VLOOKUP(A134, Entries!A:I,8,false),"")</f>
        <v>0</v>
      </c>
    </row>
    <row r="135">
      <c r="A135" s="78" t="s">
        <v>123</v>
      </c>
      <c r="B135" s="78" t="s">
        <v>21</v>
      </c>
      <c r="C135" s="85">
        <v>44003.0</v>
      </c>
      <c r="D135" s="85">
        <v>44010.0</v>
      </c>
      <c r="E135" s="86">
        <v>1.88</v>
      </c>
      <c r="F135" s="87">
        <v>2.96</v>
      </c>
      <c r="G135" s="88">
        <f t="shared" si="1"/>
        <v>1.08</v>
      </c>
      <c r="H135" s="89">
        <f t="shared" si="2"/>
        <v>0.3648648649</v>
      </c>
      <c r="I135" s="78" t="s">
        <v>252</v>
      </c>
      <c r="J135" s="78" t="s">
        <v>69</v>
      </c>
      <c r="K135" s="58">
        <f t="shared" si="3"/>
        <v>7</v>
      </c>
      <c r="L135" s="91" t="str">
        <f t="shared" si="4"/>
        <v>Sun</v>
      </c>
      <c r="M135" s="78" t="str">
        <f>IFERROR(VLOOKUP(A135, Entries!A:B,2,false),"")</f>
        <v>Kalypso Media</v>
      </c>
      <c r="N135" s="23" t="str">
        <f>IFERROR(VLOOKUP(A135, Entries!A:K,11,false),"")</f>
        <v/>
      </c>
      <c r="O135" s="23" t="b">
        <f>IFERROR(VLOOKUP(A135, Entries!A:I,8,false),"")</f>
        <v>0</v>
      </c>
    </row>
    <row r="136">
      <c r="A136" s="78" t="s">
        <v>123</v>
      </c>
      <c r="B136" s="78" t="s">
        <v>21</v>
      </c>
      <c r="C136" s="85">
        <v>44003.0</v>
      </c>
      <c r="D136" s="85">
        <v>44011.0</v>
      </c>
      <c r="E136" s="86">
        <v>1.88</v>
      </c>
      <c r="F136" s="87">
        <v>2.96</v>
      </c>
      <c r="G136" s="88">
        <f t="shared" si="1"/>
        <v>1.08</v>
      </c>
      <c r="H136" s="89">
        <f t="shared" si="2"/>
        <v>0.3648648649</v>
      </c>
      <c r="I136" s="78" t="s">
        <v>253</v>
      </c>
      <c r="J136" s="78" t="s">
        <v>69</v>
      </c>
      <c r="K136" s="58">
        <f t="shared" si="3"/>
        <v>8</v>
      </c>
      <c r="L136" s="91" t="str">
        <f t="shared" si="4"/>
        <v>Mon</v>
      </c>
      <c r="M136" s="78" t="str">
        <f>IFERROR(VLOOKUP(A136, Entries!A:B,2,false),"")</f>
        <v>Kalypso Media</v>
      </c>
      <c r="N136" s="23" t="str">
        <f>IFERROR(VLOOKUP(A136, Entries!A:K,11,false),"")</f>
        <v/>
      </c>
      <c r="O136" s="23" t="b">
        <f>IFERROR(VLOOKUP(A136, Entries!A:I,8,false),"")</f>
        <v>0</v>
      </c>
    </row>
    <row r="137">
      <c r="A137" s="78" t="s">
        <v>254</v>
      </c>
      <c r="B137" s="78" t="s">
        <v>21</v>
      </c>
      <c r="C137" s="85">
        <v>44005.0</v>
      </c>
      <c r="D137" s="85">
        <v>44029.0</v>
      </c>
      <c r="E137" s="86">
        <v>4.97</v>
      </c>
      <c r="F137" s="87">
        <v>7.06</v>
      </c>
      <c r="G137" s="88">
        <f t="shared" si="1"/>
        <v>2.09</v>
      </c>
      <c r="H137" s="89">
        <f t="shared" si="2"/>
        <v>0.2960339943</v>
      </c>
      <c r="I137" s="78" t="s">
        <v>255</v>
      </c>
      <c r="J137" s="78" t="s">
        <v>69</v>
      </c>
      <c r="K137" s="58">
        <f t="shared" si="3"/>
        <v>24</v>
      </c>
      <c r="L137" s="91" t="str">
        <f t="shared" si="4"/>
        <v>Fri</v>
      </c>
      <c r="M137" s="78" t="str">
        <f>IFERROR(VLOOKUP(A137, Entries!A:B,2,false),"")</f>
        <v>Bethesda Softworks</v>
      </c>
      <c r="N137" s="23" t="str">
        <f>IFERROR(VLOOKUP(A137, Entries!A:K,11,false),"")</f>
        <v/>
      </c>
      <c r="O137" s="23" t="b">
        <f>IFERROR(VLOOKUP(A137, Entries!A:I,8,false),"")</f>
        <v>0</v>
      </c>
    </row>
    <row r="138">
      <c r="A138" s="78" t="s">
        <v>117</v>
      </c>
      <c r="B138" s="78" t="s">
        <v>19</v>
      </c>
      <c r="C138" s="85">
        <v>44006.0</v>
      </c>
      <c r="D138" s="85">
        <v>44016.0</v>
      </c>
      <c r="E138" s="86">
        <v>1.42</v>
      </c>
      <c r="F138" s="87">
        <v>1.69</v>
      </c>
      <c r="G138" s="88">
        <f t="shared" si="1"/>
        <v>0.27</v>
      </c>
      <c r="H138" s="89">
        <f t="shared" si="2"/>
        <v>0.1597633136</v>
      </c>
      <c r="I138" s="78" t="s">
        <v>256</v>
      </c>
      <c r="J138" s="78" t="s">
        <v>69</v>
      </c>
      <c r="K138" s="58">
        <f t="shared" si="3"/>
        <v>10</v>
      </c>
      <c r="L138" s="91" t="str">
        <f t="shared" si="4"/>
        <v>Sat</v>
      </c>
      <c r="M138" s="78" t="str">
        <f>IFERROR(VLOOKUP(A138, Entries!A:B,2,false),"")</f>
        <v>Starbreeze Publishing</v>
      </c>
      <c r="N138" s="23" t="str">
        <f>IFERROR(VLOOKUP(A138, Entries!A:K,11,false),"")</f>
        <v/>
      </c>
      <c r="O138" s="23" t="b">
        <f>IFERROR(VLOOKUP(A138, Entries!A:I,8,false),"")</f>
        <v>1</v>
      </c>
    </row>
    <row r="139">
      <c r="A139" s="95" t="s">
        <v>239</v>
      </c>
      <c r="B139" s="78" t="s">
        <v>19</v>
      </c>
      <c r="C139" s="85">
        <v>44006.0</v>
      </c>
      <c r="D139" s="85">
        <v>44045.0</v>
      </c>
      <c r="E139" s="86">
        <v>3.2</v>
      </c>
      <c r="F139" s="87">
        <v>3.56</v>
      </c>
      <c r="G139" s="88">
        <f t="shared" si="1"/>
        <v>0.36</v>
      </c>
      <c r="H139" s="89">
        <f t="shared" si="2"/>
        <v>0.1011235955</v>
      </c>
      <c r="I139" s="78" t="s">
        <v>257</v>
      </c>
      <c r="J139" s="78" t="s">
        <v>69</v>
      </c>
      <c r="K139" s="58">
        <f t="shared" si="3"/>
        <v>39</v>
      </c>
      <c r="L139" s="91" t="str">
        <f t="shared" si="4"/>
        <v>Sun</v>
      </c>
      <c r="M139" s="78" t="str">
        <f>IFERROR(VLOOKUP(A139, Entries!A:B,2,false),"")</f>
        <v>Curve Digital</v>
      </c>
      <c r="N139" s="23" t="str">
        <f>IFERROR(VLOOKUP(A139, Entries!A:K,11,false),"")</f>
        <v/>
      </c>
      <c r="O139" s="23" t="b">
        <f>IFERROR(VLOOKUP(A139, Entries!A:I,8,false),"")</f>
        <v>0</v>
      </c>
    </row>
    <row r="140">
      <c r="A140" s="78" t="s">
        <v>227</v>
      </c>
      <c r="B140" s="78" t="s">
        <v>19</v>
      </c>
      <c r="C140" s="85">
        <v>44006.0</v>
      </c>
      <c r="D140" s="85">
        <v>44009.0</v>
      </c>
      <c r="E140" s="86">
        <v>3.2</v>
      </c>
      <c r="F140" s="87">
        <v>4.36</v>
      </c>
      <c r="G140" s="88">
        <f t="shared" si="1"/>
        <v>1.16</v>
      </c>
      <c r="H140" s="89">
        <f t="shared" si="2"/>
        <v>0.2660550459</v>
      </c>
      <c r="I140" s="78" t="s">
        <v>258</v>
      </c>
      <c r="J140" s="78" t="s">
        <v>69</v>
      </c>
      <c r="K140" s="58">
        <f t="shared" si="3"/>
        <v>3</v>
      </c>
      <c r="L140" s="91" t="str">
        <f t="shared" si="4"/>
        <v>Sat</v>
      </c>
      <c r="M140" s="78" t="str">
        <f>IFERROR(VLOOKUP(A140, Entries!A:B,2,false),"")</f>
        <v>Frogwares</v>
      </c>
      <c r="N140" s="23" t="str">
        <f>IFERROR(VLOOKUP(A140, Entries!A:K,11,false),"")</f>
        <v/>
      </c>
      <c r="O140" s="23" t="b">
        <f>IFERROR(VLOOKUP(A140, Entries!A:I,8,false),"")</f>
        <v>0</v>
      </c>
    </row>
    <row r="141">
      <c r="A141" s="78" t="s">
        <v>230</v>
      </c>
      <c r="B141" s="78" t="s">
        <v>19</v>
      </c>
      <c r="C141" s="85">
        <v>44006.0</v>
      </c>
      <c r="D141" s="85">
        <v>44007.0</v>
      </c>
      <c r="E141" s="86">
        <v>3.2</v>
      </c>
      <c r="F141" s="87">
        <v>5.19</v>
      </c>
      <c r="G141" s="88">
        <f t="shared" si="1"/>
        <v>1.99</v>
      </c>
      <c r="H141" s="89">
        <f t="shared" si="2"/>
        <v>0.3834296724</v>
      </c>
      <c r="I141" s="78" t="s">
        <v>259</v>
      </c>
      <c r="J141" s="78" t="s">
        <v>69</v>
      </c>
      <c r="K141" s="58">
        <f t="shared" si="3"/>
        <v>1</v>
      </c>
      <c r="L141" s="91" t="str">
        <f t="shared" si="4"/>
        <v>Thu</v>
      </c>
      <c r="M141" s="78" t="str">
        <f>IFERROR(VLOOKUP(A141, Entries!A:B,2,false),"")</f>
        <v>Codemasters</v>
      </c>
      <c r="N141" s="23" t="str">
        <f>IFERROR(VLOOKUP(A141, Entries!A:K,11,false),"")</f>
        <v/>
      </c>
      <c r="O141" s="23" t="b">
        <f>IFERROR(VLOOKUP(A141, Entries!A:I,8,false),"")</f>
        <v>1</v>
      </c>
    </row>
    <row r="142">
      <c r="A142" s="78" t="s">
        <v>260</v>
      </c>
      <c r="B142" s="78" t="s">
        <v>19</v>
      </c>
      <c r="C142" s="85">
        <v>44006.0</v>
      </c>
      <c r="D142" s="85">
        <v>44044.0</v>
      </c>
      <c r="E142" s="86">
        <v>0.0</v>
      </c>
      <c r="F142" s="87">
        <v>0.46</v>
      </c>
      <c r="G142" s="88">
        <f t="shared" si="1"/>
        <v>0.46</v>
      </c>
      <c r="H142" s="89">
        <f t="shared" si="2"/>
        <v>1</v>
      </c>
      <c r="I142" s="78" t="s">
        <v>261</v>
      </c>
      <c r="J142" s="78" t="s">
        <v>69</v>
      </c>
      <c r="K142" s="58">
        <f t="shared" si="3"/>
        <v>38</v>
      </c>
      <c r="L142" s="91" t="str">
        <f t="shared" si="4"/>
        <v>Sat</v>
      </c>
      <c r="M142" s="78" t="str">
        <f>IFERROR(VLOOKUP(A142, Entries!A:B,2,false),"")</f>
        <v>Daedalic Entertainment</v>
      </c>
      <c r="N142" s="23" t="str">
        <f>IFERROR(VLOOKUP(A142, Entries!A:K,11,false),"")</f>
        <v/>
      </c>
      <c r="O142" s="23" t="b">
        <f>IFERROR(VLOOKUP(A142, Entries!A:I,8,false),"")</f>
        <v>0</v>
      </c>
    </row>
    <row r="143">
      <c r="A143" s="78" t="s">
        <v>218</v>
      </c>
      <c r="B143" s="78" t="s">
        <v>19</v>
      </c>
      <c r="C143" s="85">
        <v>44007.0</v>
      </c>
      <c r="D143" s="85">
        <v>44007.0</v>
      </c>
      <c r="E143" s="86">
        <v>2.63</v>
      </c>
      <c r="F143" s="87">
        <v>3.58</v>
      </c>
      <c r="G143" s="88">
        <f t="shared" si="1"/>
        <v>0.95</v>
      </c>
      <c r="H143" s="89">
        <f t="shared" si="2"/>
        <v>0.2653631285</v>
      </c>
      <c r="I143" s="78" t="s">
        <v>262</v>
      </c>
      <c r="J143" s="78" t="s">
        <v>69</v>
      </c>
      <c r="K143" s="58">
        <f t="shared" si="3"/>
        <v>0</v>
      </c>
      <c r="L143" s="91" t="str">
        <f t="shared" si="4"/>
        <v>Thu</v>
      </c>
      <c r="M143" s="78" t="str">
        <f>IFERROR(VLOOKUP(A143, Entries!A:B,2,false),"")</f>
        <v>Square Enix</v>
      </c>
      <c r="N143" s="23" t="str">
        <f>IFERROR(VLOOKUP(A143, Entries!A:K,11,false),"")</f>
        <v/>
      </c>
      <c r="O143" s="23" t="b">
        <f>IFERROR(VLOOKUP(A143, Entries!A:I,8,false),"")</f>
        <v>1</v>
      </c>
    </row>
    <row r="144">
      <c r="A144" s="78" t="s">
        <v>221</v>
      </c>
      <c r="B144" s="78" t="s">
        <v>21</v>
      </c>
      <c r="C144" s="85">
        <v>44010.0</v>
      </c>
      <c r="D144" s="85">
        <v>44016.0</v>
      </c>
      <c r="E144" s="86">
        <v>8.1</v>
      </c>
      <c r="F144" s="87">
        <v>13.54</v>
      </c>
      <c r="G144" s="88">
        <f t="shared" si="1"/>
        <v>5.44</v>
      </c>
      <c r="H144" s="89">
        <f t="shared" si="2"/>
        <v>0.4017725258</v>
      </c>
      <c r="I144" s="78" t="s">
        <v>263</v>
      </c>
      <c r="J144" s="78" t="s">
        <v>69</v>
      </c>
      <c r="K144" s="58">
        <f t="shared" si="3"/>
        <v>6</v>
      </c>
      <c r="L144" s="91" t="str">
        <f t="shared" si="4"/>
        <v>Sat</v>
      </c>
      <c r="M144" s="78" t="str">
        <f>IFERROR(VLOOKUP(A144, Entries!A:B,2,false),"")</f>
        <v>Wired Productions</v>
      </c>
      <c r="N144" s="23" t="str">
        <f>IFERROR(VLOOKUP(A144, Entries!A:K,11,false),"")</f>
        <v/>
      </c>
      <c r="O144" s="23" t="b">
        <f>IFERROR(VLOOKUP(A144, Entries!A:I,8,false),"")</f>
        <v>0</v>
      </c>
    </row>
    <row r="145">
      <c r="A145" s="78" t="s">
        <v>123</v>
      </c>
      <c r="B145" s="78" t="s">
        <v>21</v>
      </c>
      <c r="C145" s="85">
        <v>44010.0</v>
      </c>
      <c r="D145" s="85">
        <v>44011.0</v>
      </c>
      <c r="E145" s="86">
        <v>1.81</v>
      </c>
      <c r="F145" s="87">
        <v>2.96</v>
      </c>
      <c r="G145" s="88">
        <f t="shared" si="1"/>
        <v>1.15</v>
      </c>
      <c r="H145" s="89">
        <f t="shared" si="2"/>
        <v>0.3885135135</v>
      </c>
      <c r="I145" s="78" t="s">
        <v>264</v>
      </c>
      <c r="J145" s="78" t="s">
        <v>69</v>
      </c>
      <c r="K145" s="58">
        <f t="shared" si="3"/>
        <v>1</v>
      </c>
      <c r="L145" s="91" t="str">
        <f t="shared" si="4"/>
        <v>Mon</v>
      </c>
      <c r="M145" s="78" t="str">
        <f>IFERROR(VLOOKUP(A145, Entries!A:B,2,false),"")</f>
        <v>Kalypso Media</v>
      </c>
      <c r="N145" s="23" t="str">
        <f>IFERROR(VLOOKUP(A145, Entries!A:K,11,false),"")</f>
        <v/>
      </c>
      <c r="O145" s="23" t="b">
        <f>IFERROR(VLOOKUP(A145, Entries!A:I,8,false),"")</f>
        <v>0</v>
      </c>
    </row>
    <row r="146">
      <c r="A146" s="78" t="s">
        <v>123</v>
      </c>
      <c r="B146" s="78" t="s">
        <v>21</v>
      </c>
      <c r="C146" s="85">
        <v>44011.0</v>
      </c>
      <c r="D146" s="85">
        <v>44011.0</v>
      </c>
      <c r="E146" s="86">
        <v>1.81</v>
      </c>
      <c r="F146" s="87">
        <v>2.96</v>
      </c>
      <c r="G146" s="88">
        <f t="shared" si="1"/>
        <v>1.15</v>
      </c>
      <c r="H146" s="89">
        <f t="shared" si="2"/>
        <v>0.3885135135</v>
      </c>
      <c r="I146" s="78" t="s">
        <v>265</v>
      </c>
      <c r="J146" s="78" t="s">
        <v>69</v>
      </c>
      <c r="K146" s="58">
        <f t="shared" si="3"/>
        <v>0</v>
      </c>
      <c r="L146" s="91" t="str">
        <f t="shared" si="4"/>
        <v>Mon</v>
      </c>
      <c r="M146" s="78" t="str">
        <f>IFERROR(VLOOKUP(A146, Entries!A:B,2,false),"")</f>
        <v>Kalypso Media</v>
      </c>
      <c r="N146" s="23" t="str">
        <f>IFERROR(VLOOKUP(A146, Entries!A:K,11,false),"")</f>
        <v/>
      </c>
      <c r="O146" s="23" t="b">
        <f>IFERROR(VLOOKUP(A146, Entries!A:I,8,false),"")</f>
        <v>0</v>
      </c>
    </row>
    <row r="147">
      <c r="A147" s="78" t="s">
        <v>123</v>
      </c>
      <c r="B147" s="78" t="s">
        <v>21</v>
      </c>
      <c r="C147" s="85">
        <v>44011.0</v>
      </c>
      <c r="D147" s="85">
        <v>44011.0</v>
      </c>
      <c r="E147" s="86">
        <v>1.81</v>
      </c>
      <c r="F147" s="87">
        <v>2.96</v>
      </c>
      <c r="G147" s="88">
        <f t="shared" si="1"/>
        <v>1.15</v>
      </c>
      <c r="H147" s="89">
        <f t="shared" si="2"/>
        <v>0.3885135135</v>
      </c>
      <c r="I147" s="78" t="s">
        <v>266</v>
      </c>
      <c r="J147" s="78" t="s">
        <v>69</v>
      </c>
      <c r="K147" s="58">
        <f t="shared" si="3"/>
        <v>0</v>
      </c>
      <c r="L147" s="91" t="str">
        <f t="shared" si="4"/>
        <v>Mon</v>
      </c>
      <c r="M147" s="78" t="str">
        <f>IFERROR(VLOOKUP(A147, Entries!A:B,2,false),"")</f>
        <v>Kalypso Media</v>
      </c>
      <c r="N147" s="23" t="str">
        <f>IFERROR(VLOOKUP(A147, Entries!A:K,11,false),"")</f>
        <v/>
      </c>
      <c r="O147" s="23" t="b">
        <f>IFERROR(VLOOKUP(A147, Entries!A:I,8,false),"")</f>
        <v>0</v>
      </c>
    </row>
    <row r="148">
      <c r="A148" s="78" t="s">
        <v>123</v>
      </c>
      <c r="B148" s="78" t="s">
        <v>21</v>
      </c>
      <c r="C148" s="85">
        <v>44011.0</v>
      </c>
      <c r="D148" s="85">
        <v>44011.0</v>
      </c>
      <c r="E148" s="86">
        <v>1.81</v>
      </c>
      <c r="F148" s="87">
        <v>2.96</v>
      </c>
      <c r="G148" s="88">
        <f t="shared" si="1"/>
        <v>1.15</v>
      </c>
      <c r="H148" s="89">
        <f t="shared" si="2"/>
        <v>0.3885135135</v>
      </c>
      <c r="I148" s="78" t="s">
        <v>267</v>
      </c>
      <c r="J148" s="78" t="s">
        <v>69</v>
      </c>
      <c r="K148" s="58">
        <f t="shared" si="3"/>
        <v>0</v>
      </c>
      <c r="L148" s="91" t="str">
        <f t="shared" si="4"/>
        <v>Mon</v>
      </c>
      <c r="M148" s="78" t="str">
        <f>IFERROR(VLOOKUP(A148, Entries!A:B,2,false),"")</f>
        <v>Kalypso Media</v>
      </c>
      <c r="N148" s="23" t="str">
        <f>IFERROR(VLOOKUP(A148, Entries!A:K,11,false),"")</f>
        <v/>
      </c>
      <c r="O148" s="23" t="b">
        <f>IFERROR(VLOOKUP(A148, Entries!A:I,8,false),"")</f>
        <v>0</v>
      </c>
    </row>
    <row r="149">
      <c r="A149" s="78" t="s">
        <v>230</v>
      </c>
      <c r="B149" s="78" t="s">
        <v>19</v>
      </c>
      <c r="C149" s="85">
        <v>44014.0</v>
      </c>
      <c r="D149" s="85">
        <v>44015.0</v>
      </c>
      <c r="E149" s="86">
        <v>3.1</v>
      </c>
      <c r="F149" s="87">
        <v>4.91</v>
      </c>
      <c r="G149" s="88">
        <f t="shared" si="1"/>
        <v>1.81</v>
      </c>
      <c r="H149" s="89">
        <f t="shared" si="2"/>
        <v>0.3686354379</v>
      </c>
      <c r="I149" s="78" t="s">
        <v>268</v>
      </c>
      <c r="J149" s="78" t="s">
        <v>69</v>
      </c>
      <c r="K149" s="58">
        <f t="shared" si="3"/>
        <v>1</v>
      </c>
      <c r="L149" s="91" t="str">
        <f t="shared" si="4"/>
        <v>Fri</v>
      </c>
      <c r="M149" s="78" t="str">
        <f>IFERROR(VLOOKUP(A149, Entries!A:B,2,false),"")</f>
        <v>Codemasters</v>
      </c>
      <c r="N149" s="23" t="str">
        <f>IFERROR(VLOOKUP(A149, Entries!A:K,11,false),"")</f>
        <v/>
      </c>
      <c r="O149" s="23" t="b">
        <f>IFERROR(VLOOKUP(A149, Entries!A:I,8,false),"")</f>
        <v>1</v>
      </c>
    </row>
    <row r="150">
      <c r="A150" s="78" t="s">
        <v>227</v>
      </c>
      <c r="B150" s="78" t="s">
        <v>19</v>
      </c>
      <c r="C150" s="85">
        <v>44014.0</v>
      </c>
      <c r="D150" s="85">
        <v>44015.0</v>
      </c>
      <c r="E150" s="86">
        <v>3.1</v>
      </c>
      <c r="F150" s="87">
        <v>4.71</v>
      </c>
      <c r="G150" s="88">
        <f t="shared" si="1"/>
        <v>1.61</v>
      </c>
      <c r="H150" s="89">
        <f t="shared" si="2"/>
        <v>0.3418259023</v>
      </c>
      <c r="I150" s="78" t="s">
        <v>269</v>
      </c>
      <c r="J150" s="78" t="s">
        <v>69</v>
      </c>
      <c r="K150" s="58">
        <f t="shared" si="3"/>
        <v>1</v>
      </c>
      <c r="L150" s="91" t="str">
        <f t="shared" si="4"/>
        <v>Fri</v>
      </c>
      <c r="M150" s="78" t="str">
        <f>IFERROR(VLOOKUP(A150, Entries!A:B,2,false),"")</f>
        <v>Frogwares</v>
      </c>
      <c r="N150" s="23" t="str">
        <f>IFERROR(VLOOKUP(A150, Entries!A:K,11,false),"")</f>
        <v/>
      </c>
      <c r="O150" s="23" t="b">
        <f>IFERROR(VLOOKUP(A150, Entries!A:I,8,false),"")</f>
        <v>0</v>
      </c>
    </row>
    <row r="151">
      <c r="A151" s="78" t="s">
        <v>270</v>
      </c>
      <c r="B151" s="78" t="s">
        <v>19</v>
      </c>
      <c r="C151" s="85">
        <v>44014.0</v>
      </c>
      <c r="D151" s="85">
        <v>44021.0</v>
      </c>
      <c r="E151" s="86">
        <v>3.1</v>
      </c>
      <c r="F151" s="87">
        <v>5.71</v>
      </c>
      <c r="G151" s="88">
        <f t="shared" si="1"/>
        <v>2.61</v>
      </c>
      <c r="H151" s="89">
        <f t="shared" si="2"/>
        <v>0.4570928196</v>
      </c>
      <c r="I151" s="78" t="s">
        <v>271</v>
      </c>
      <c r="J151" s="78" t="s">
        <v>69</v>
      </c>
      <c r="K151" s="58">
        <f t="shared" si="3"/>
        <v>7</v>
      </c>
      <c r="L151" s="91" t="str">
        <f t="shared" si="4"/>
        <v>Thu</v>
      </c>
      <c r="M151" s="78" t="str">
        <f>IFERROR(VLOOKUP(A151, Entries!A:B,2,false),"")</f>
        <v>Headup</v>
      </c>
      <c r="N151" s="23" t="str">
        <f>IFERROR(VLOOKUP(A151, Entries!A:K,11,false),"")</f>
        <v/>
      </c>
      <c r="O151" s="23" t="b">
        <f>IFERROR(VLOOKUP(A151, Entries!A:I,8,false),"")</f>
        <v>0</v>
      </c>
    </row>
    <row r="152">
      <c r="A152" s="78" t="s">
        <v>272</v>
      </c>
      <c r="B152" s="78" t="s">
        <v>19</v>
      </c>
      <c r="C152" s="85">
        <v>44014.0</v>
      </c>
      <c r="D152" s="85">
        <v>44017.0</v>
      </c>
      <c r="E152" s="86">
        <v>0.77</v>
      </c>
      <c r="F152" s="87">
        <v>1.69</v>
      </c>
      <c r="G152" s="88">
        <f t="shared" si="1"/>
        <v>0.92</v>
      </c>
      <c r="H152" s="89">
        <f t="shared" si="2"/>
        <v>0.5443786982</v>
      </c>
      <c r="I152" s="78" t="s">
        <v>273</v>
      </c>
      <c r="J152" s="78" t="s">
        <v>69</v>
      </c>
      <c r="K152" s="58">
        <f t="shared" si="3"/>
        <v>3</v>
      </c>
      <c r="L152" s="91" t="str">
        <f t="shared" si="4"/>
        <v>Sun</v>
      </c>
      <c r="M152" s="78" t="str">
        <f>IFERROR(VLOOKUP(A152, Entries!A:B,2,false),"")</f>
        <v>Starbreeze Publishing</v>
      </c>
      <c r="N152" s="23" t="str">
        <f>IFERROR(VLOOKUP(A152, Entries!A:K,11,false),"")</f>
        <v/>
      </c>
      <c r="O152" s="23" t="b">
        <f>IFERROR(VLOOKUP(A152, Entries!A:I,8,false),"")</f>
        <v>1</v>
      </c>
    </row>
    <row r="153">
      <c r="A153" s="78" t="s">
        <v>274</v>
      </c>
      <c r="B153" s="78" t="s">
        <v>19</v>
      </c>
      <c r="C153" s="85">
        <v>44014.0</v>
      </c>
      <c r="D153" s="85">
        <v>44014.0</v>
      </c>
      <c r="E153" s="86">
        <v>0.0</v>
      </c>
      <c r="F153" s="87">
        <v>0.73</v>
      </c>
      <c r="G153" s="88">
        <f t="shared" si="1"/>
        <v>0.73</v>
      </c>
      <c r="H153" s="89">
        <f t="shared" si="2"/>
        <v>1</v>
      </c>
      <c r="I153" s="78" t="s">
        <v>275</v>
      </c>
      <c r="J153" s="78" t="s">
        <v>69</v>
      </c>
      <c r="K153" s="58">
        <f t="shared" si="3"/>
        <v>0</v>
      </c>
      <c r="L153" s="91" t="str">
        <f t="shared" si="4"/>
        <v>Thu</v>
      </c>
      <c r="M153" s="78" t="str">
        <f>IFERROR(VLOOKUP(A153, Entries!A:B,2,false),"")</f>
        <v>10tons Ltd</v>
      </c>
      <c r="N153" s="23" t="str">
        <f>IFERROR(VLOOKUP(A153, Entries!A:K,11,false),"")</f>
        <v/>
      </c>
      <c r="O153" s="23" t="b">
        <f>IFERROR(VLOOKUP(A153, Entries!A:I,8,false),"")</f>
        <v>0</v>
      </c>
    </row>
    <row r="154">
      <c r="A154" s="78" t="s">
        <v>274</v>
      </c>
      <c r="B154" s="78" t="s">
        <v>19</v>
      </c>
      <c r="C154" s="85">
        <v>44014.0</v>
      </c>
      <c r="D154" s="85">
        <v>44022.0</v>
      </c>
      <c r="E154" s="86">
        <v>0.0</v>
      </c>
      <c r="F154" s="87">
        <v>0.65</v>
      </c>
      <c r="G154" s="88">
        <f t="shared" si="1"/>
        <v>0.65</v>
      </c>
      <c r="H154" s="89">
        <f t="shared" si="2"/>
        <v>1</v>
      </c>
      <c r="I154" s="78" t="s">
        <v>276</v>
      </c>
      <c r="J154" s="78" t="s">
        <v>69</v>
      </c>
      <c r="K154" s="58">
        <f t="shared" si="3"/>
        <v>8</v>
      </c>
      <c r="L154" s="91" t="str">
        <f t="shared" si="4"/>
        <v>Fri</v>
      </c>
      <c r="M154" s="78" t="str">
        <f>IFERROR(VLOOKUP(A154, Entries!A:B,2,false),"")</f>
        <v>10tons Ltd</v>
      </c>
      <c r="N154" s="23" t="str">
        <f>IFERROR(VLOOKUP(A154, Entries!A:K,11,false),"")</f>
        <v/>
      </c>
      <c r="O154" s="23" t="b">
        <f>IFERROR(VLOOKUP(A154, Entries!A:I,8,false),"")</f>
        <v>0</v>
      </c>
    </row>
    <row r="155">
      <c r="A155" s="78" t="s">
        <v>218</v>
      </c>
      <c r="B155" s="78" t="s">
        <v>19</v>
      </c>
      <c r="C155" s="85">
        <v>44014.0</v>
      </c>
      <c r="D155" s="85">
        <v>44029.0</v>
      </c>
      <c r="E155" s="86">
        <v>2.47</v>
      </c>
      <c r="F155" s="87">
        <v>3.43</v>
      </c>
      <c r="G155" s="88">
        <f t="shared" si="1"/>
        <v>0.96</v>
      </c>
      <c r="H155" s="89">
        <f t="shared" si="2"/>
        <v>0.2798833819</v>
      </c>
      <c r="I155" s="78" t="s">
        <v>277</v>
      </c>
      <c r="J155" s="78" t="s">
        <v>69</v>
      </c>
      <c r="K155" s="58">
        <f t="shared" si="3"/>
        <v>15</v>
      </c>
      <c r="L155" s="91" t="str">
        <f t="shared" si="4"/>
        <v>Fri</v>
      </c>
      <c r="M155" s="78" t="str">
        <f>IFERROR(VLOOKUP(A155, Entries!A:B,2,false),"")</f>
        <v>Square Enix</v>
      </c>
      <c r="N155" s="23" t="str">
        <f>IFERROR(VLOOKUP(A155, Entries!A:K,11,false),"")</f>
        <v/>
      </c>
      <c r="O155" s="23" t="b">
        <f>IFERROR(VLOOKUP(A155, Entries!A:I,8,false),"")</f>
        <v>1</v>
      </c>
    </row>
    <row r="156">
      <c r="A156" s="78" t="s">
        <v>207</v>
      </c>
      <c r="B156" s="78" t="s">
        <v>19</v>
      </c>
      <c r="C156" s="85">
        <v>44014.0</v>
      </c>
      <c r="D156" s="85">
        <v>44023.0</v>
      </c>
      <c r="E156" s="86">
        <v>5.57</v>
      </c>
      <c r="F156" s="87">
        <v>6.67</v>
      </c>
      <c r="G156" s="88">
        <f t="shared" si="1"/>
        <v>1.1</v>
      </c>
      <c r="H156" s="89">
        <f t="shared" si="2"/>
        <v>0.1649175412</v>
      </c>
      <c r="I156" s="78" t="s">
        <v>278</v>
      </c>
      <c r="J156" s="78" t="s">
        <v>69</v>
      </c>
      <c r="K156" s="58">
        <f t="shared" si="3"/>
        <v>9</v>
      </c>
      <c r="L156" s="91" t="str">
        <f t="shared" si="4"/>
        <v>Sat</v>
      </c>
      <c r="M156" s="78" t="str">
        <f>IFERROR(VLOOKUP(A156, Entries!A:B,2,false),"")</f>
        <v>Square Enix</v>
      </c>
      <c r="N156" s="23" t="str">
        <f>IFERROR(VLOOKUP(A156, Entries!A:K,11,false),"")</f>
        <v/>
      </c>
      <c r="O156" s="23" t="b">
        <f>IFERROR(VLOOKUP(A156, Entries!A:I,8,false),"")</f>
        <v>0</v>
      </c>
    </row>
    <row r="157">
      <c r="A157" s="78" t="s">
        <v>279</v>
      </c>
      <c r="B157" s="78" t="s">
        <v>19</v>
      </c>
      <c r="C157" s="85">
        <v>44014.0</v>
      </c>
      <c r="D157" s="85">
        <v>44022.0</v>
      </c>
      <c r="E157" s="86">
        <v>4.41</v>
      </c>
      <c r="F157" s="87">
        <v>6.17</v>
      </c>
      <c r="G157" s="88">
        <f t="shared" si="1"/>
        <v>1.76</v>
      </c>
      <c r="H157" s="89">
        <f t="shared" si="2"/>
        <v>0.2852512156</v>
      </c>
      <c r="I157" s="78" t="s">
        <v>280</v>
      </c>
      <c r="J157" s="78" t="s">
        <v>69</v>
      </c>
      <c r="K157" s="58">
        <f t="shared" si="3"/>
        <v>8</v>
      </c>
      <c r="L157" s="91" t="str">
        <f t="shared" si="4"/>
        <v>Fri</v>
      </c>
      <c r="M157" s="78" t="str">
        <f>IFERROR(VLOOKUP(A157, Entries!A:B,2,false),"")</f>
        <v>Beamdog</v>
      </c>
      <c r="N157" s="23" t="str">
        <f>IFERROR(VLOOKUP(A157, Entries!A:K,11,false),"")</f>
        <v/>
      </c>
      <c r="O157" s="23" t="b">
        <f>IFERROR(VLOOKUP(A157, Entries!A:I,8,false),"")</f>
        <v>0</v>
      </c>
    </row>
    <row r="158">
      <c r="A158" s="78" t="s">
        <v>281</v>
      </c>
      <c r="B158" s="78" t="s">
        <v>21</v>
      </c>
      <c r="C158" s="85">
        <v>44014.0</v>
      </c>
      <c r="D158" s="85">
        <v>44016.0</v>
      </c>
      <c r="E158" s="86">
        <v>4.26</v>
      </c>
      <c r="F158" s="87">
        <v>5.16</v>
      </c>
      <c r="G158" s="88">
        <f t="shared" si="1"/>
        <v>0.9</v>
      </c>
      <c r="H158" s="89">
        <f t="shared" si="2"/>
        <v>0.1744186047</v>
      </c>
      <c r="I158" s="78" t="s">
        <v>282</v>
      </c>
      <c r="J158" s="78" t="s">
        <v>69</v>
      </c>
      <c r="K158" s="58">
        <f t="shared" si="3"/>
        <v>2</v>
      </c>
      <c r="L158" s="91" t="str">
        <f t="shared" si="4"/>
        <v>Sat</v>
      </c>
      <c r="M158" s="78" t="str">
        <f>IFERROR(VLOOKUP(A158, Entries!A:B,2,false),"")</f>
        <v>Red Barrels</v>
      </c>
      <c r="N158" s="23" t="str">
        <f>IFERROR(VLOOKUP(A158, Entries!A:K,11,false),"")</f>
        <v/>
      </c>
      <c r="O158" s="23" t="b">
        <f>IFERROR(VLOOKUP(A158, Entries!A:I,8,false),"")</f>
        <v>0</v>
      </c>
    </row>
    <row r="159">
      <c r="A159" s="78" t="s">
        <v>283</v>
      </c>
      <c r="B159" s="78" t="s">
        <v>23</v>
      </c>
      <c r="C159" s="85">
        <v>44014.0</v>
      </c>
      <c r="D159" s="85">
        <v>44023.0</v>
      </c>
      <c r="E159" s="86">
        <v>3.2</v>
      </c>
      <c r="F159" s="87">
        <v>4.69</v>
      </c>
      <c r="G159" s="88">
        <f t="shared" si="1"/>
        <v>1.49</v>
      </c>
      <c r="H159" s="89">
        <f t="shared" si="2"/>
        <v>0.3176972281</v>
      </c>
      <c r="I159" s="78" t="s">
        <v>284</v>
      </c>
      <c r="J159" s="78" t="s">
        <v>69</v>
      </c>
      <c r="K159" s="58">
        <f t="shared" si="3"/>
        <v>9</v>
      </c>
      <c r="L159" s="91" t="str">
        <f t="shared" si="4"/>
        <v>Sat</v>
      </c>
      <c r="M159" s="78" t="str">
        <f>IFERROR(VLOOKUP(A159, Entries!A:B,2,false),"")</f>
        <v>Those Awesome Guys</v>
      </c>
      <c r="N159" s="23" t="str">
        <f>IFERROR(VLOOKUP(A159, Entries!A:K,11,false),"")</f>
        <v/>
      </c>
      <c r="O159" s="23" t="b">
        <f>IFERROR(VLOOKUP(A159, Entries!A:I,8,false),"")</f>
        <v>0</v>
      </c>
    </row>
    <row r="160">
      <c r="A160" s="78" t="s">
        <v>283</v>
      </c>
      <c r="B160" s="78" t="s">
        <v>23</v>
      </c>
      <c r="C160" s="85">
        <v>44014.0</v>
      </c>
      <c r="D160" s="85">
        <v>44026.0</v>
      </c>
      <c r="E160" s="86">
        <v>3.2</v>
      </c>
      <c r="F160" s="87">
        <v>4.6</v>
      </c>
      <c r="G160" s="88">
        <f t="shared" si="1"/>
        <v>1.4</v>
      </c>
      <c r="H160" s="89">
        <f t="shared" si="2"/>
        <v>0.3043478261</v>
      </c>
      <c r="I160" s="78" t="s">
        <v>285</v>
      </c>
      <c r="J160" s="78" t="s">
        <v>69</v>
      </c>
      <c r="K160" s="58">
        <f t="shared" si="3"/>
        <v>12</v>
      </c>
      <c r="L160" s="91" t="str">
        <f t="shared" si="4"/>
        <v>Tue</v>
      </c>
      <c r="M160" s="78" t="str">
        <f>IFERROR(VLOOKUP(A160, Entries!A:B,2,false),"")</f>
        <v>Those Awesome Guys</v>
      </c>
      <c r="N160" s="23" t="str">
        <f>IFERROR(VLOOKUP(A160, Entries!A:K,11,false),"")</f>
        <v/>
      </c>
      <c r="O160" s="23" t="b">
        <f>IFERROR(VLOOKUP(A160, Entries!A:I,8,false),"")</f>
        <v>0</v>
      </c>
    </row>
    <row r="161">
      <c r="A161" s="78" t="s">
        <v>207</v>
      </c>
      <c r="B161" s="78" t="s">
        <v>19</v>
      </c>
      <c r="C161" s="85">
        <v>44014.0</v>
      </c>
      <c r="D161" s="85">
        <v>44024.0</v>
      </c>
      <c r="E161" s="86">
        <v>5.57</v>
      </c>
      <c r="F161" s="87">
        <v>7.06</v>
      </c>
      <c r="G161" s="88">
        <f t="shared" si="1"/>
        <v>1.49</v>
      </c>
      <c r="H161" s="89">
        <f t="shared" si="2"/>
        <v>0.2110481586</v>
      </c>
      <c r="I161" s="78" t="s">
        <v>286</v>
      </c>
      <c r="J161" s="78" t="s">
        <v>69</v>
      </c>
      <c r="K161" s="58">
        <f t="shared" si="3"/>
        <v>10</v>
      </c>
      <c r="L161" s="91" t="str">
        <f t="shared" si="4"/>
        <v>Sun</v>
      </c>
      <c r="M161" s="78" t="str">
        <f>IFERROR(VLOOKUP(A161, Entries!A:B,2,false),"")</f>
        <v>Square Enix</v>
      </c>
      <c r="N161" s="23" t="str">
        <f>IFERROR(VLOOKUP(A161, Entries!A:K,11,false),"")</f>
        <v/>
      </c>
      <c r="O161" s="23" t="b">
        <f>IFERROR(VLOOKUP(A161, Entries!A:I,8,false),"")</f>
        <v>0</v>
      </c>
    </row>
    <row r="162">
      <c r="A162" s="78" t="s">
        <v>207</v>
      </c>
      <c r="B162" s="78" t="s">
        <v>19</v>
      </c>
      <c r="C162" s="85">
        <v>44014.0</v>
      </c>
      <c r="D162" s="85">
        <v>44026.0</v>
      </c>
      <c r="E162" s="86">
        <v>5.57</v>
      </c>
      <c r="F162" s="87">
        <v>7.06</v>
      </c>
      <c r="G162" s="88">
        <f t="shared" si="1"/>
        <v>1.49</v>
      </c>
      <c r="H162" s="89">
        <f t="shared" si="2"/>
        <v>0.2110481586</v>
      </c>
      <c r="I162" s="78" t="s">
        <v>287</v>
      </c>
      <c r="J162" s="78" t="s">
        <v>69</v>
      </c>
      <c r="K162" s="58">
        <f t="shared" si="3"/>
        <v>12</v>
      </c>
      <c r="L162" s="91" t="str">
        <f t="shared" si="4"/>
        <v>Tue</v>
      </c>
      <c r="M162" s="78" t="str">
        <f>IFERROR(VLOOKUP(A162, Entries!A:B,2,false),"")</f>
        <v>Square Enix</v>
      </c>
      <c r="N162" s="23" t="str">
        <f>IFERROR(VLOOKUP(A162, Entries!A:K,11,false),"")</f>
        <v/>
      </c>
      <c r="O162" s="23" t="b">
        <f>IFERROR(VLOOKUP(A162, Entries!A:I,8,false),"")</f>
        <v>0</v>
      </c>
    </row>
    <row r="163">
      <c r="A163" s="78" t="s">
        <v>288</v>
      </c>
      <c r="B163" s="78" t="s">
        <v>19</v>
      </c>
      <c r="C163" s="85">
        <v>44014.0</v>
      </c>
      <c r="D163" s="85">
        <v>44029.0</v>
      </c>
      <c r="E163" s="86">
        <v>4.06</v>
      </c>
      <c r="F163" s="87">
        <v>4.48</v>
      </c>
      <c r="G163" s="88">
        <f t="shared" si="1"/>
        <v>0.42</v>
      </c>
      <c r="H163" s="89">
        <f t="shared" si="2"/>
        <v>0.09375</v>
      </c>
      <c r="I163" s="78" t="s">
        <v>289</v>
      </c>
      <c r="J163" s="78" t="s">
        <v>69</v>
      </c>
      <c r="K163" s="58">
        <f t="shared" si="3"/>
        <v>15</v>
      </c>
      <c r="L163" s="91" t="str">
        <f t="shared" si="4"/>
        <v>Fri</v>
      </c>
      <c r="M163" s="78" t="str">
        <f>IFERROR(VLOOKUP(A163, Entries!A:B,2,false),"")</f>
        <v>Deep Silver</v>
      </c>
      <c r="N163" s="23" t="str">
        <f>IFERROR(VLOOKUP(A163, Entries!A:K,11,false),"")</f>
        <v/>
      </c>
      <c r="O163" s="23" t="b">
        <f>IFERROR(VLOOKUP(A163, Entries!A:I,8,false),"")</f>
        <v>1</v>
      </c>
    </row>
    <row r="164">
      <c r="A164" s="78" t="s">
        <v>288</v>
      </c>
      <c r="B164" s="78" t="s">
        <v>19</v>
      </c>
      <c r="C164" s="85">
        <v>44014.0</v>
      </c>
      <c r="D164" s="85">
        <v>44029.0</v>
      </c>
      <c r="E164" s="86">
        <v>4.06</v>
      </c>
      <c r="F164" s="87">
        <v>4.48</v>
      </c>
      <c r="G164" s="88">
        <f t="shared" si="1"/>
        <v>0.42</v>
      </c>
      <c r="H164" s="89">
        <f t="shared" si="2"/>
        <v>0.09375</v>
      </c>
      <c r="I164" s="78" t="s">
        <v>290</v>
      </c>
      <c r="J164" s="78" t="s">
        <v>69</v>
      </c>
      <c r="K164" s="58">
        <f t="shared" si="3"/>
        <v>15</v>
      </c>
      <c r="L164" s="91" t="str">
        <f t="shared" si="4"/>
        <v>Fri</v>
      </c>
      <c r="M164" s="78" t="str">
        <f>IFERROR(VLOOKUP(A164, Entries!A:B,2,false),"")</f>
        <v>Deep Silver</v>
      </c>
      <c r="N164" s="23" t="str">
        <f>IFERROR(VLOOKUP(A164, Entries!A:K,11,false),"")</f>
        <v/>
      </c>
      <c r="O164" s="23" t="b">
        <f>IFERROR(VLOOKUP(A164, Entries!A:I,8,false),"")</f>
        <v>1</v>
      </c>
    </row>
    <row r="165">
      <c r="A165" s="78" t="s">
        <v>291</v>
      </c>
      <c r="B165" s="78" t="s">
        <v>19</v>
      </c>
      <c r="C165" s="85">
        <v>44014.0</v>
      </c>
      <c r="D165" s="85">
        <v>44024.0</v>
      </c>
      <c r="E165" s="86">
        <v>3.18</v>
      </c>
      <c r="F165" s="87">
        <v>4.87</v>
      </c>
      <c r="G165" s="88">
        <f t="shared" si="1"/>
        <v>1.69</v>
      </c>
      <c r="H165" s="89">
        <f t="shared" si="2"/>
        <v>0.3470225873</v>
      </c>
      <c r="I165" s="78" t="s">
        <v>292</v>
      </c>
      <c r="J165" s="78" t="s">
        <v>69</v>
      </c>
      <c r="K165" s="58">
        <f t="shared" si="3"/>
        <v>10</v>
      </c>
      <c r="L165" s="91" t="str">
        <f t="shared" si="4"/>
        <v>Sun</v>
      </c>
      <c r="M165" s="78" t="str">
        <f>IFERROR(VLOOKUP(A165, Entries!A:B,2,false),"")</f>
        <v>Square Enix</v>
      </c>
      <c r="N165" s="23" t="str">
        <f>IFERROR(VLOOKUP(A165, Entries!A:K,11,false),"")</f>
        <v/>
      </c>
      <c r="O165" s="23" t="b">
        <f>IFERROR(VLOOKUP(A165, Entries!A:I,8,false),"")</f>
        <v>0</v>
      </c>
    </row>
    <row r="166">
      <c r="A166" s="78" t="s">
        <v>293</v>
      </c>
      <c r="B166" s="78" t="s">
        <v>19</v>
      </c>
      <c r="C166" s="85">
        <v>44014.0</v>
      </c>
      <c r="D166" s="85">
        <v>44041.0</v>
      </c>
      <c r="E166" s="86">
        <v>0.0</v>
      </c>
      <c r="F166" s="87">
        <v>0.85</v>
      </c>
      <c r="G166" s="88">
        <f t="shared" si="1"/>
        <v>0.85</v>
      </c>
      <c r="H166" s="89">
        <f t="shared" si="2"/>
        <v>1</v>
      </c>
      <c r="I166" s="78" t="s">
        <v>294</v>
      </c>
      <c r="J166" s="78" t="s">
        <v>69</v>
      </c>
      <c r="K166" s="58">
        <f t="shared" si="3"/>
        <v>27</v>
      </c>
      <c r="L166" s="91" t="str">
        <f t="shared" si="4"/>
        <v>Wed</v>
      </c>
      <c r="M166" s="78" t="str">
        <f>IFERROR(VLOOKUP(A166, Entries!A:B,2,false),"")</f>
        <v>Modus Games</v>
      </c>
      <c r="N166" s="23" t="str">
        <f>IFERROR(VLOOKUP(A166, Entries!A:K,11,false),"")</f>
        <v/>
      </c>
      <c r="O166" s="23" t="b">
        <f>IFERROR(VLOOKUP(A166, Entries!A:I,8,false),"")</f>
        <v>0</v>
      </c>
    </row>
    <row r="167">
      <c r="A167" s="78" t="s">
        <v>293</v>
      </c>
      <c r="B167" s="78" t="s">
        <v>19</v>
      </c>
      <c r="C167" s="85">
        <v>44014.0</v>
      </c>
      <c r="D167" s="85">
        <v>44039.0</v>
      </c>
      <c r="E167" s="86">
        <v>0.0</v>
      </c>
      <c r="F167" s="87">
        <v>0.74</v>
      </c>
      <c r="G167" s="88">
        <f t="shared" si="1"/>
        <v>0.74</v>
      </c>
      <c r="H167" s="89">
        <f t="shared" si="2"/>
        <v>1</v>
      </c>
      <c r="I167" s="78" t="s">
        <v>295</v>
      </c>
      <c r="J167" s="78" t="s">
        <v>69</v>
      </c>
      <c r="K167" s="58">
        <f t="shared" si="3"/>
        <v>25</v>
      </c>
      <c r="L167" s="91" t="str">
        <f t="shared" si="4"/>
        <v>Mon</v>
      </c>
      <c r="M167" s="78" t="str">
        <f>IFERROR(VLOOKUP(A167, Entries!A:B,2,false),"")</f>
        <v>Modus Games</v>
      </c>
      <c r="N167" s="23" t="str">
        <f>IFERROR(VLOOKUP(A167, Entries!A:K,11,false),"")</f>
        <v/>
      </c>
      <c r="O167" s="23" t="b">
        <f>IFERROR(VLOOKUP(A167, Entries!A:I,8,false),"")</f>
        <v>0</v>
      </c>
    </row>
    <row r="168">
      <c r="A168" s="78" t="s">
        <v>293</v>
      </c>
      <c r="B168" s="78" t="s">
        <v>19</v>
      </c>
      <c r="C168" s="85">
        <v>44015.0</v>
      </c>
      <c r="D168" s="85">
        <v>44032.0</v>
      </c>
      <c r="E168" s="86">
        <v>0.0</v>
      </c>
      <c r="F168" s="87">
        <v>0.78</v>
      </c>
      <c r="G168" s="88">
        <f t="shared" si="1"/>
        <v>0.78</v>
      </c>
      <c r="H168" s="89">
        <f t="shared" si="2"/>
        <v>1</v>
      </c>
      <c r="I168" s="78" t="s">
        <v>296</v>
      </c>
      <c r="J168" s="78" t="s">
        <v>69</v>
      </c>
      <c r="K168" s="58">
        <f t="shared" si="3"/>
        <v>17</v>
      </c>
      <c r="L168" s="91" t="str">
        <f t="shared" si="4"/>
        <v>Mon</v>
      </c>
      <c r="M168" s="78" t="str">
        <f>IFERROR(VLOOKUP(A168, Entries!A:B,2,false),"")</f>
        <v>Modus Games</v>
      </c>
      <c r="N168" s="23" t="str">
        <f>IFERROR(VLOOKUP(A168, Entries!A:K,11,false),"")</f>
        <v/>
      </c>
      <c r="O168" s="23" t="b">
        <f>IFERROR(VLOOKUP(A168, Entries!A:I,8,false),"")</f>
        <v>0</v>
      </c>
    </row>
    <row r="169">
      <c r="A169" s="78" t="s">
        <v>297</v>
      </c>
      <c r="B169" s="78" t="s">
        <v>19</v>
      </c>
      <c r="C169" s="85">
        <v>44015.0</v>
      </c>
      <c r="D169" s="85">
        <v>44022.0</v>
      </c>
      <c r="E169" s="86">
        <v>13.39</v>
      </c>
      <c r="F169" s="87">
        <v>19.52</v>
      </c>
      <c r="G169" s="88">
        <f t="shared" si="1"/>
        <v>6.13</v>
      </c>
      <c r="H169" s="89">
        <f t="shared" si="2"/>
        <v>0.3140368852</v>
      </c>
      <c r="I169" s="78" t="s">
        <v>298</v>
      </c>
      <c r="J169" s="78" t="s">
        <v>69</v>
      </c>
      <c r="K169" s="58">
        <f t="shared" si="3"/>
        <v>7</v>
      </c>
      <c r="L169" s="91" t="str">
        <f t="shared" si="4"/>
        <v>Fri</v>
      </c>
      <c r="M169" s="78" t="str">
        <f>IFERROR(VLOOKUP(A169, Entries!A:B,2,false),"")</f>
        <v>Prime Matter</v>
      </c>
      <c r="N169" s="23" t="str">
        <f>IFERROR(VLOOKUP(A169, Entries!A:K,11,false),"")</f>
        <v/>
      </c>
      <c r="O169" s="23" t="b">
        <f>IFERROR(VLOOKUP(A169, Entries!A:I,8,false),"")</f>
        <v>0</v>
      </c>
    </row>
    <row r="170">
      <c r="A170" s="78" t="s">
        <v>272</v>
      </c>
      <c r="B170" s="78" t="s">
        <v>19</v>
      </c>
      <c r="C170" s="85">
        <v>44016.0</v>
      </c>
      <c r="D170" s="85">
        <v>44023.0</v>
      </c>
      <c r="E170" s="86">
        <v>0.92</v>
      </c>
      <c r="F170" s="87">
        <v>1.66</v>
      </c>
      <c r="G170" s="88">
        <f t="shared" si="1"/>
        <v>0.74</v>
      </c>
      <c r="H170" s="89">
        <f t="shared" si="2"/>
        <v>0.4457831325</v>
      </c>
      <c r="I170" s="78" t="s">
        <v>299</v>
      </c>
      <c r="J170" s="78" t="s">
        <v>69</v>
      </c>
      <c r="K170" s="58">
        <f t="shared" si="3"/>
        <v>7</v>
      </c>
      <c r="L170" s="91" t="str">
        <f t="shared" si="4"/>
        <v>Sat</v>
      </c>
      <c r="M170" s="78" t="str">
        <f>IFERROR(VLOOKUP(A170, Entries!A:B,2,false),"")</f>
        <v>Starbreeze Publishing</v>
      </c>
      <c r="N170" s="23" t="str">
        <f>IFERROR(VLOOKUP(A170, Entries!A:K,11,false),"")</f>
        <v/>
      </c>
      <c r="O170" s="23" t="b">
        <f>IFERROR(VLOOKUP(A170, Entries!A:I,8,false),"")</f>
        <v>1</v>
      </c>
    </row>
    <row r="171">
      <c r="A171" s="78" t="s">
        <v>221</v>
      </c>
      <c r="B171" s="78" t="s">
        <v>18</v>
      </c>
      <c r="C171" s="85">
        <v>44017.0</v>
      </c>
      <c r="D171" s="85">
        <v>44030.0</v>
      </c>
      <c r="E171" s="86">
        <v>8.31</v>
      </c>
      <c r="F171" s="87">
        <v>12.6</v>
      </c>
      <c r="G171" s="88">
        <f t="shared" si="1"/>
        <v>4.29</v>
      </c>
      <c r="H171" s="89">
        <f t="shared" si="2"/>
        <v>0.3404761905</v>
      </c>
      <c r="I171" s="78" t="s">
        <v>300</v>
      </c>
      <c r="J171" s="78" t="s">
        <v>69</v>
      </c>
      <c r="K171" s="58">
        <f t="shared" si="3"/>
        <v>13</v>
      </c>
      <c r="L171" s="91" t="str">
        <f t="shared" si="4"/>
        <v>Sat</v>
      </c>
      <c r="M171" s="78" t="str">
        <f>IFERROR(VLOOKUP(A171, Entries!A:B,2,false),"")</f>
        <v>Wired Productions</v>
      </c>
      <c r="N171" s="23" t="str">
        <f>IFERROR(VLOOKUP(A171, Entries!A:K,11,false),"")</f>
        <v/>
      </c>
      <c r="O171" s="23" t="b">
        <f>IFERROR(VLOOKUP(A171, Entries!A:I,8,false),"")</f>
        <v>0</v>
      </c>
    </row>
    <row r="172">
      <c r="A172" s="78" t="s">
        <v>84</v>
      </c>
      <c r="B172" s="78" t="s">
        <v>19</v>
      </c>
      <c r="C172" s="85">
        <v>44017.0</v>
      </c>
      <c r="D172" s="85">
        <v>44029.0</v>
      </c>
      <c r="E172" s="86">
        <v>10.58</v>
      </c>
      <c r="F172" s="87">
        <v>13.53</v>
      </c>
      <c r="G172" s="88">
        <f t="shared" si="1"/>
        <v>2.95</v>
      </c>
      <c r="H172" s="89">
        <f t="shared" si="2"/>
        <v>0.2180339985</v>
      </c>
      <c r="I172" s="78" t="s">
        <v>301</v>
      </c>
      <c r="J172" s="78" t="s">
        <v>69</v>
      </c>
      <c r="K172" s="58">
        <f t="shared" si="3"/>
        <v>12</v>
      </c>
      <c r="L172" s="91" t="str">
        <f t="shared" si="4"/>
        <v>Fri</v>
      </c>
      <c r="M172" s="78" t="str">
        <f>IFERROR(VLOOKUP(A172, Entries!A:B,2,false),"")</f>
        <v>Siege Camp</v>
      </c>
      <c r="N172" s="23" t="str">
        <f>IFERROR(VLOOKUP(A172, Entries!A:K,11,false),"")</f>
        <v/>
      </c>
      <c r="O172" s="23" t="b">
        <f>IFERROR(VLOOKUP(A172, Entries!A:I,8,false),"")</f>
        <v>1</v>
      </c>
    </row>
    <row r="173">
      <c r="A173" s="78" t="s">
        <v>272</v>
      </c>
      <c r="B173" s="78" t="s">
        <v>19</v>
      </c>
      <c r="C173" s="85">
        <v>44017.0</v>
      </c>
      <c r="D173" s="85">
        <v>44025.0</v>
      </c>
      <c r="E173" s="86">
        <v>0.87</v>
      </c>
      <c r="F173" s="87">
        <v>1.63</v>
      </c>
      <c r="G173" s="88">
        <f t="shared" si="1"/>
        <v>0.76</v>
      </c>
      <c r="H173" s="89">
        <f t="shared" si="2"/>
        <v>0.4662576687</v>
      </c>
      <c r="I173" s="78" t="s">
        <v>302</v>
      </c>
      <c r="J173" s="78" t="s">
        <v>69</v>
      </c>
      <c r="K173" s="58">
        <f t="shared" si="3"/>
        <v>8</v>
      </c>
      <c r="L173" s="91" t="str">
        <f t="shared" si="4"/>
        <v>Mon</v>
      </c>
      <c r="M173" s="78" t="str">
        <f>IFERROR(VLOOKUP(A173, Entries!A:B,2,false),"")</f>
        <v>Starbreeze Publishing</v>
      </c>
      <c r="N173" s="23" t="str">
        <f>IFERROR(VLOOKUP(A173, Entries!A:K,11,false),"")</f>
        <v/>
      </c>
      <c r="O173" s="23" t="b">
        <f>IFERROR(VLOOKUP(A173, Entries!A:I,8,false),"")</f>
        <v>1</v>
      </c>
    </row>
    <row r="174">
      <c r="A174" s="78" t="s">
        <v>303</v>
      </c>
      <c r="B174" s="78" t="s">
        <v>19</v>
      </c>
      <c r="C174" s="85">
        <v>44017.0</v>
      </c>
      <c r="D174" s="85">
        <v>44027.0</v>
      </c>
      <c r="E174" s="86">
        <v>0.0</v>
      </c>
      <c r="F174" s="87">
        <v>0.17</v>
      </c>
      <c r="G174" s="88">
        <f t="shared" si="1"/>
        <v>0.17</v>
      </c>
      <c r="H174" s="89">
        <f t="shared" si="2"/>
        <v>1</v>
      </c>
      <c r="I174" s="78" t="s">
        <v>304</v>
      </c>
      <c r="J174" s="78" t="s">
        <v>69</v>
      </c>
      <c r="K174" s="58">
        <f t="shared" si="3"/>
        <v>10</v>
      </c>
      <c r="L174" s="91" t="str">
        <f t="shared" si="4"/>
        <v>Wed</v>
      </c>
      <c r="M174" s="78" t="str">
        <f>IFERROR(VLOOKUP(A174, Entries!A:B,2,false),"")</f>
        <v>Daedalic Entertainment</v>
      </c>
      <c r="N174" s="23" t="str">
        <f>IFERROR(VLOOKUP(A174, Entries!A:K,11,false),"")</f>
        <v/>
      </c>
      <c r="O174" s="23" t="b">
        <f>IFERROR(VLOOKUP(A174, Entries!A:I,8,false),"")</f>
        <v>0</v>
      </c>
    </row>
    <row r="175">
      <c r="A175" s="78" t="s">
        <v>305</v>
      </c>
      <c r="B175" s="78" t="s">
        <v>22</v>
      </c>
      <c r="C175" s="85">
        <v>44019.0</v>
      </c>
      <c r="D175" s="85">
        <v>44030.0</v>
      </c>
      <c r="E175" s="86">
        <v>4.57</v>
      </c>
      <c r="F175" s="87">
        <v>7.31</v>
      </c>
      <c r="G175" s="88">
        <f t="shared" si="1"/>
        <v>2.74</v>
      </c>
      <c r="H175" s="89">
        <f t="shared" si="2"/>
        <v>0.3748290014</v>
      </c>
      <c r="I175" s="78" t="s">
        <v>306</v>
      </c>
      <c r="J175" s="78" t="s">
        <v>69</v>
      </c>
      <c r="K175" s="58">
        <f t="shared" si="3"/>
        <v>11</v>
      </c>
      <c r="L175" s="91" t="str">
        <f t="shared" si="4"/>
        <v>Sat</v>
      </c>
      <c r="M175" s="78" t="str">
        <f>IFERROR(VLOOKUP(A175, Entries!A:B,2,false),"")</f>
        <v>Kasedo Games</v>
      </c>
      <c r="N175" s="23" t="str">
        <f>IFERROR(VLOOKUP(A175, Entries!A:K,11,false),"")</f>
        <v/>
      </c>
      <c r="O175" s="23" t="b">
        <f>IFERROR(VLOOKUP(A175, Entries!A:I,8,false),"")</f>
        <v>0</v>
      </c>
    </row>
    <row r="176">
      <c r="A176" s="78" t="s">
        <v>305</v>
      </c>
      <c r="B176" s="78" t="s">
        <v>22</v>
      </c>
      <c r="C176" s="85">
        <v>44019.0</v>
      </c>
      <c r="D176" s="85">
        <v>44036.0</v>
      </c>
      <c r="E176" s="86">
        <v>4.57</v>
      </c>
      <c r="F176" s="87">
        <v>7.42</v>
      </c>
      <c r="G176" s="88">
        <f t="shared" si="1"/>
        <v>2.85</v>
      </c>
      <c r="H176" s="89">
        <f t="shared" si="2"/>
        <v>0.384097035</v>
      </c>
      <c r="I176" s="78" t="s">
        <v>307</v>
      </c>
      <c r="J176" s="78" t="s">
        <v>69</v>
      </c>
      <c r="K176" s="58">
        <f t="shared" si="3"/>
        <v>17</v>
      </c>
      <c r="L176" s="91" t="str">
        <f t="shared" si="4"/>
        <v>Fri</v>
      </c>
      <c r="M176" s="78" t="str">
        <f>IFERROR(VLOOKUP(A176, Entries!A:B,2,false),"")</f>
        <v>Kasedo Games</v>
      </c>
      <c r="N176" s="23" t="str">
        <f>IFERROR(VLOOKUP(A176, Entries!A:K,11,false),"")</f>
        <v/>
      </c>
      <c r="O176" s="23" t="b">
        <f>IFERROR(VLOOKUP(A176, Entries!A:I,8,false),"")</f>
        <v>0</v>
      </c>
    </row>
    <row r="177">
      <c r="A177" s="78" t="s">
        <v>308</v>
      </c>
      <c r="B177" s="78" t="s">
        <v>18</v>
      </c>
      <c r="C177" s="85">
        <v>44019.0</v>
      </c>
      <c r="D177" s="85">
        <v>44030.0</v>
      </c>
      <c r="E177" s="86">
        <v>6.93</v>
      </c>
      <c r="F177" s="87">
        <v>8.16</v>
      </c>
      <c r="G177" s="88">
        <f t="shared" si="1"/>
        <v>1.23</v>
      </c>
      <c r="H177" s="89">
        <f t="shared" si="2"/>
        <v>0.1507352941</v>
      </c>
      <c r="I177" s="78" t="s">
        <v>309</v>
      </c>
      <c r="J177" s="78" t="s">
        <v>69</v>
      </c>
      <c r="K177" s="58">
        <f t="shared" si="3"/>
        <v>11</v>
      </c>
      <c r="L177" s="91" t="str">
        <f t="shared" si="4"/>
        <v>Sat</v>
      </c>
      <c r="M177" s="78" t="str">
        <f>IFERROR(VLOOKUP(A177, Entries!A:B,2,false),"")</f>
        <v>505 Games</v>
      </c>
      <c r="N177" s="23" t="str">
        <f>IFERROR(VLOOKUP(A177, Entries!A:K,11,false),"")</f>
        <v/>
      </c>
      <c r="O177" s="23" t="b">
        <f>IFERROR(VLOOKUP(A177, Entries!A:I,8,false),"")</f>
        <v>0</v>
      </c>
    </row>
    <row r="178">
      <c r="A178" s="78" t="s">
        <v>310</v>
      </c>
      <c r="B178" s="78" t="s">
        <v>18</v>
      </c>
      <c r="C178" s="85">
        <v>44019.0</v>
      </c>
      <c r="D178" s="85">
        <v>44034.0</v>
      </c>
      <c r="E178" s="86">
        <v>6.24</v>
      </c>
      <c r="F178" s="87">
        <v>8.35</v>
      </c>
      <c r="G178" s="88">
        <f t="shared" si="1"/>
        <v>2.11</v>
      </c>
      <c r="H178" s="89">
        <f t="shared" si="2"/>
        <v>0.2526946108</v>
      </c>
      <c r="I178" s="78" t="s">
        <v>311</v>
      </c>
      <c r="J178" s="78" t="s">
        <v>69</v>
      </c>
      <c r="K178" s="58">
        <f t="shared" si="3"/>
        <v>15</v>
      </c>
      <c r="L178" s="91" t="str">
        <f t="shared" si="4"/>
        <v>Wed</v>
      </c>
      <c r="M178" s="78" t="str">
        <f>IFERROR(VLOOKUP(A178, Entries!A:B,2,false),"")</f>
        <v>Dovetail Games</v>
      </c>
      <c r="N178" s="23" t="str">
        <f>IFERROR(VLOOKUP(A178, Entries!A:K,11,false),"")</f>
        <v/>
      </c>
      <c r="O178" s="23" t="b">
        <f>IFERROR(VLOOKUP(A178, Entries!A:I,8,false),"")</f>
        <v>0</v>
      </c>
    </row>
    <row r="179">
      <c r="A179" s="78" t="s">
        <v>312</v>
      </c>
      <c r="B179" s="78" t="s">
        <v>26</v>
      </c>
      <c r="C179" s="85">
        <v>44019.0</v>
      </c>
      <c r="D179" s="85">
        <v>44043.0</v>
      </c>
      <c r="E179" s="86">
        <v>6.48</v>
      </c>
      <c r="F179" s="87">
        <v>7.48</v>
      </c>
      <c r="G179" s="88">
        <f t="shared" si="1"/>
        <v>1</v>
      </c>
      <c r="H179" s="89">
        <f t="shared" si="2"/>
        <v>0.1336898396</v>
      </c>
      <c r="I179" s="78" t="s">
        <v>313</v>
      </c>
      <c r="J179" s="78" t="s">
        <v>69</v>
      </c>
      <c r="K179" s="58">
        <f t="shared" si="3"/>
        <v>24</v>
      </c>
      <c r="L179" s="91" t="str">
        <f t="shared" si="4"/>
        <v>Fri</v>
      </c>
      <c r="M179" s="78" t="str">
        <f>IFERROR(VLOOKUP(A179, Entries!A:B,2,false),"")</f>
        <v>CAPCOM</v>
      </c>
      <c r="N179" s="23" t="str">
        <f>IFERROR(VLOOKUP(A179, Entries!A:K,11,false),"")</f>
        <v/>
      </c>
      <c r="O179" s="23" t="b">
        <f>IFERROR(VLOOKUP(A179, Entries!A:I,8,false),"")</f>
        <v>0</v>
      </c>
    </row>
    <row r="180">
      <c r="A180" s="78" t="s">
        <v>314</v>
      </c>
      <c r="B180" s="78" t="s">
        <v>23</v>
      </c>
      <c r="C180" s="85">
        <v>44020.0</v>
      </c>
      <c r="D180" s="85">
        <v>44023.0</v>
      </c>
      <c r="E180" s="86">
        <v>20.35</v>
      </c>
      <c r="F180" s="87">
        <v>25.59</v>
      </c>
      <c r="G180" s="88">
        <f t="shared" si="1"/>
        <v>5.24</v>
      </c>
      <c r="H180" s="89">
        <f t="shared" si="2"/>
        <v>0.2047674873</v>
      </c>
      <c r="I180" s="78" t="s">
        <v>315</v>
      </c>
      <c r="J180" s="78" t="s">
        <v>69</v>
      </c>
      <c r="K180" s="58">
        <f t="shared" si="3"/>
        <v>3</v>
      </c>
      <c r="L180" s="91" t="str">
        <f t="shared" si="4"/>
        <v>Sat</v>
      </c>
      <c r="M180" s="78" t="str">
        <f>IFERROR(VLOOKUP(A180, Entries!A:B,2,false),"")</f>
        <v>Nacon</v>
      </c>
      <c r="N180" s="23" t="str">
        <f>IFERROR(VLOOKUP(A180, Entries!A:K,11,false),"")</f>
        <v/>
      </c>
      <c r="O180" s="23" t="b">
        <f>IFERROR(VLOOKUP(A180, Entries!A:I,8,false),"")</f>
        <v>0</v>
      </c>
    </row>
    <row r="181">
      <c r="A181" s="78" t="s">
        <v>270</v>
      </c>
      <c r="B181" s="78" t="s">
        <v>19</v>
      </c>
      <c r="C181" s="85">
        <v>44021.0</v>
      </c>
      <c r="D181" s="85">
        <v>44025.0</v>
      </c>
      <c r="E181" s="86">
        <v>3.08</v>
      </c>
      <c r="F181" s="87">
        <v>5.55</v>
      </c>
      <c r="G181" s="88">
        <f t="shared" si="1"/>
        <v>2.47</v>
      </c>
      <c r="H181" s="89">
        <f t="shared" si="2"/>
        <v>0.445045045</v>
      </c>
      <c r="I181" s="78" t="s">
        <v>316</v>
      </c>
      <c r="J181" s="78" t="s">
        <v>69</v>
      </c>
      <c r="K181" s="58">
        <f t="shared" si="3"/>
        <v>4</v>
      </c>
      <c r="L181" s="91" t="str">
        <f t="shared" si="4"/>
        <v>Mon</v>
      </c>
      <c r="M181" s="78" t="str">
        <f>IFERROR(VLOOKUP(A181, Entries!A:B,2,false),"")</f>
        <v>Headup</v>
      </c>
      <c r="N181" s="23" t="str">
        <f>IFERROR(VLOOKUP(A181, Entries!A:K,11,false),"")</f>
        <v/>
      </c>
      <c r="O181" s="23" t="b">
        <f>IFERROR(VLOOKUP(A181, Entries!A:I,8,false),"")</f>
        <v>0</v>
      </c>
    </row>
    <row r="182">
      <c r="A182" s="78" t="s">
        <v>230</v>
      </c>
      <c r="B182" s="78" t="s">
        <v>19</v>
      </c>
      <c r="C182" s="85">
        <v>44021.0</v>
      </c>
      <c r="D182" s="85">
        <v>44030.0</v>
      </c>
      <c r="E182" s="86">
        <v>3.08</v>
      </c>
      <c r="F182" s="87">
        <v>5.12</v>
      </c>
      <c r="G182" s="88">
        <f t="shared" si="1"/>
        <v>2.04</v>
      </c>
      <c r="H182" s="89">
        <f t="shared" si="2"/>
        <v>0.3984375</v>
      </c>
      <c r="I182" s="78" t="s">
        <v>317</v>
      </c>
      <c r="J182" s="78" t="s">
        <v>69</v>
      </c>
      <c r="K182" s="58">
        <f t="shared" si="3"/>
        <v>9</v>
      </c>
      <c r="L182" s="91" t="str">
        <f t="shared" si="4"/>
        <v>Sat</v>
      </c>
      <c r="M182" s="78" t="str">
        <f>IFERROR(VLOOKUP(A182, Entries!A:B,2,false),"")</f>
        <v>Codemasters</v>
      </c>
      <c r="N182" s="23" t="str">
        <f>IFERROR(VLOOKUP(A182, Entries!A:K,11,false),"")</f>
        <v/>
      </c>
      <c r="O182" s="23" t="b">
        <f>IFERROR(VLOOKUP(A182, Entries!A:I,8,false),"")</f>
        <v>1</v>
      </c>
    </row>
    <row r="183">
      <c r="A183" s="78" t="s">
        <v>227</v>
      </c>
      <c r="B183" s="78" t="s">
        <v>19</v>
      </c>
      <c r="C183" s="85">
        <v>44021.0</v>
      </c>
      <c r="D183" s="85">
        <v>44027.0</v>
      </c>
      <c r="E183" s="86">
        <v>3.08</v>
      </c>
      <c r="F183" s="87">
        <v>4.41</v>
      </c>
      <c r="G183" s="88">
        <f t="shared" si="1"/>
        <v>1.33</v>
      </c>
      <c r="H183" s="89">
        <f t="shared" si="2"/>
        <v>0.3015873016</v>
      </c>
      <c r="I183" s="78" t="s">
        <v>318</v>
      </c>
      <c r="J183" s="78" t="s">
        <v>69</v>
      </c>
      <c r="K183" s="58">
        <f t="shared" si="3"/>
        <v>6</v>
      </c>
      <c r="L183" s="91" t="str">
        <f t="shared" si="4"/>
        <v>Wed</v>
      </c>
      <c r="M183" s="78" t="str">
        <f>IFERROR(VLOOKUP(A183, Entries!A:B,2,false),"")</f>
        <v>Frogwares</v>
      </c>
      <c r="N183" s="23" t="str">
        <f>IFERROR(VLOOKUP(A183, Entries!A:K,11,false),"")</f>
        <v/>
      </c>
      <c r="O183" s="23" t="b">
        <f>IFERROR(VLOOKUP(A183, Entries!A:I,8,false),"")</f>
        <v>0</v>
      </c>
    </row>
    <row r="184">
      <c r="A184" s="78" t="s">
        <v>319</v>
      </c>
      <c r="B184" s="78" t="s">
        <v>17</v>
      </c>
      <c r="C184" s="85">
        <v>44021.0</v>
      </c>
      <c r="D184" s="85">
        <v>44023.0</v>
      </c>
      <c r="E184" s="86">
        <v>12.16</v>
      </c>
      <c r="F184" s="87">
        <v>16.72</v>
      </c>
      <c r="G184" s="88">
        <f t="shared" si="1"/>
        <v>4.56</v>
      </c>
      <c r="H184" s="89">
        <f t="shared" si="2"/>
        <v>0.2727272727</v>
      </c>
      <c r="I184" s="78" t="s">
        <v>320</v>
      </c>
      <c r="J184" s="78" t="s">
        <v>69</v>
      </c>
      <c r="K184" s="58">
        <f t="shared" si="3"/>
        <v>2</v>
      </c>
      <c r="L184" s="91" t="str">
        <f t="shared" si="4"/>
        <v>Sat</v>
      </c>
      <c r="M184" s="78" t="str">
        <f>IFERROR(VLOOKUP(A184, Entries!A:B,2,false),"")</f>
        <v>BANDAI NAMCO</v>
      </c>
      <c r="N184" s="23" t="str">
        <f>IFERROR(VLOOKUP(A184, Entries!A:K,11,false),"")</f>
        <v/>
      </c>
      <c r="O184" s="23" t="b">
        <f>IFERROR(VLOOKUP(A184, Entries!A:I,8,false),"")</f>
        <v>1</v>
      </c>
    </row>
    <row r="185">
      <c r="A185" s="78" t="s">
        <v>297</v>
      </c>
      <c r="B185" s="78" t="s">
        <v>19</v>
      </c>
      <c r="C185" s="85">
        <v>44022.0</v>
      </c>
      <c r="D185" s="85">
        <v>44023.0</v>
      </c>
      <c r="E185" s="86">
        <v>13.33</v>
      </c>
      <c r="F185" s="87">
        <v>19.52</v>
      </c>
      <c r="G185" s="88">
        <f t="shared" si="1"/>
        <v>6.19</v>
      </c>
      <c r="H185" s="89">
        <f t="shared" si="2"/>
        <v>0.3171106557</v>
      </c>
      <c r="I185" s="78" t="s">
        <v>321</v>
      </c>
      <c r="J185" s="78" t="s">
        <v>69</v>
      </c>
      <c r="K185" s="58">
        <f t="shared" si="3"/>
        <v>1</v>
      </c>
      <c r="L185" s="91" t="str">
        <f t="shared" si="4"/>
        <v>Sat</v>
      </c>
      <c r="M185" s="78" t="str">
        <f>IFERROR(VLOOKUP(A185, Entries!A:B,2,false),"")</f>
        <v>Prime Matter</v>
      </c>
      <c r="N185" s="23" t="str">
        <f>IFERROR(VLOOKUP(A185, Entries!A:K,11,false),"")</f>
        <v/>
      </c>
      <c r="O185" s="23" t="b">
        <f>IFERROR(VLOOKUP(A185, Entries!A:I,8,false),"")</f>
        <v>0</v>
      </c>
    </row>
    <row r="186">
      <c r="A186" s="78" t="s">
        <v>293</v>
      </c>
      <c r="B186" s="78" t="s">
        <v>19</v>
      </c>
      <c r="C186" s="85">
        <v>44022.0</v>
      </c>
      <c r="D186" s="85">
        <v>44034.0</v>
      </c>
      <c r="E186" s="86">
        <v>0.0</v>
      </c>
      <c r="F186" s="87">
        <v>0.74</v>
      </c>
      <c r="G186" s="88">
        <f t="shared" si="1"/>
        <v>0.74</v>
      </c>
      <c r="H186" s="89">
        <f t="shared" si="2"/>
        <v>1</v>
      </c>
      <c r="I186" s="78" t="s">
        <v>322</v>
      </c>
      <c r="J186" s="78" t="s">
        <v>69</v>
      </c>
      <c r="K186" s="58">
        <f t="shared" si="3"/>
        <v>12</v>
      </c>
      <c r="L186" s="91" t="str">
        <f t="shared" si="4"/>
        <v>Wed</v>
      </c>
      <c r="M186" s="78" t="str">
        <f>IFERROR(VLOOKUP(A186, Entries!A:B,2,false),"")</f>
        <v>Modus Games</v>
      </c>
      <c r="N186" s="23" t="str">
        <f>IFERROR(VLOOKUP(A186, Entries!A:K,11,false),"")</f>
        <v/>
      </c>
      <c r="O186" s="23" t="b">
        <f>IFERROR(VLOOKUP(A186, Entries!A:I,8,false),"")</f>
        <v>0</v>
      </c>
    </row>
    <row r="187">
      <c r="A187" s="78" t="s">
        <v>323</v>
      </c>
      <c r="B187" s="78" t="s">
        <v>21</v>
      </c>
      <c r="C187" s="85">
        <v>44023.0</v>
      </c>
      <c r="D187" s="85">
        <v>44025.0</v>
      </c>
      <c r="E187" s="86">
        <v>10.03</v>
      </c>
      <c r="F187" s="87">
        <v>12.85</v>
      </c>
      <c r="G187" s="88">
        <f t="shared" si="1"/>
        <v>2.82</v>
      </c>
      <c r="H187" s="89">
        <f t="shared" si="2"/>
        <v>0.2194552529</v>
      </c>
      <c r="I187" s="78" t="s">
        <v>324</v>
      </c>
      <c r="J187" s="78" t="s">
        <v>69</v>
      </c>
      <c r="K187" s="58">
        <f t="shared" si="3"/>
        <v>2</v>
      </c>
      <c r="L187" s="91" t="str">
        <f t="shared" si="4"/>
        <v>Mon</v>
      </c>
      <c r="M187" s="78" t="str">
        <f>IFERROR(VLOOKUP(A187, Entries!A:B,2,false),"")</f>
        <v>PlayWay</v>
      </c>
      <c r="N187" s="23" t="str">
        <f>IFERROR(VLOOKUP(A187, Entries!A:K,11,false),"")</f>
        <v/>
      </c>
      <c r="O187" s="23" t="b">
        <f>IFERROR(VLOOKUP(A187, Entries!A:I,8,false),"")</f>
        <v>0</v>
      </c>
    </row>
    <row r="188">
      <c r="A188" s="78" t="s">
        <v>323</v>
      </c>
      <c r="B188" s="78" t="s">
        <v>21</v>
      </c>
      <c r="C188" s="85">
        <v>44023.0</v>
      </c>
      <c r="D188" s="85">
        <v>44025.0</v>
      </c>
      <c r="E188" s="86">
        <v>10.04</v>
      </c>
      <c r="F188" s="87">
        <v>12.85</v>
      </c>
      <c r="G188" s="88">
        <f t="shared" si="1"/>
        <v>2.81</v>
      </c>
      <c r="H188" s="89">
        <f t="shared" si="2"/>
        <v>0.2186770428</v>
      </c>
      <c r="I188" s="78" t="s">
        <v>325</v>
      </c>
      <c r="J188" s="78" t="s">
        <v>69</v>
      </c>
      <c r="K188" s="58">
        <f t="shared" si="3"/>
        <v>2</v>
      </c>
      <c r="L188" s="91" t="str">
        <f t="shared" si="4"/>
        <v>Mon</v>
      </c>
      <c r="M188" s="78" t="str">
        <f>IFERROR(VLOOKUP(A188, Entries!A:B,2,false),"")</f>
        <v>PlayWay</v>
      </c>
      <c r="N188" s="23" t="str">
        <f>IFERROR(VLOOKUP(A188, Entries!A:K,11,false),"")</f>
        <v/>
      </c>
      <c r="O188" s="23" t="b">
        <f>IFERROR(VLOOKUP(A188, Entries!A:I,8,false),"")</f>
        <v>0</v>
      </c>
    </row>
    <row r="189">
      <c r="A189" s="78" t="s">
        <v>326</v>
      </c>
      <c r="B189" s="78" t="s">
        <v>21</v>
      </c>
      <c r="C189" s="85">
        <v>44024.0</v>
      </c>
      <c r="D189" s="85">
        <v>44033.0</v>
      </c>
      <c r="E189" s="86">
        <v>10.1</v>
      </c>
      <c r="F189" s="87">
        <v>12.64</v>
      </c>
      <c r="G189" s="88">
        <f t="shared" si="1"/>
        <v>2.54</v>
      </c>
      <c r="H189" s="89">
        <f t="shared" si="2"/>
        <v>0.2009493671</v>
      </c>
      <c r="I189" s="78" t="s">
        <v>327</v>
      </c>
      <c r="J189" s="78" t="s">
        <v>69</v>
      </c>
      <c r="K189" s="58">
        <f t="shared" si="3"/>
        <v>9</v>
      </c>
      <c r="L189" s="91" t="str">
        <f t="shared" si="4"/>
        <v>Tue</v>
      </c>
      <c r="M189" s="78" t="str">
        <f>IFERROR(VLOOKUP(A189, Entries!A:B,2,false),"")</f>
        <v>Aerosoft</v>
      </c>
      <c r="N189" s="23" t="str">
        <f>IFERROR(VLOOKUP(A189, Entries!A:K,11,false),"")</f>
        <v/>
      </c>
      <c r="O189" s="23" t="b">
        <f>IFERROR(VLOOKUP(A189, Entries!A:I,8,false),"")</f>
        <v>1</v>
      </c>
    </row>
    <row r="190">
      <c r="A190" s="78" t="s">
        <v>328</v>
      </c>
      <c r="B190" s="78" t="s">
        <v>23</v>
      </c>
      <c r="C190" s="85">
        <v>44025.0</v>
      </c>
      <c r="D190" s="85">
        <v>44044.0</v>
      </c>
      <c r="E190" s="86">
        <v>12.02</v>
      </c>
      <c r="F190" s="87">
        <v>13.13</v>
      </c>
      <c r="G190" s="88">
        <f t="shared" si="1"/>
        <v>1.11</v>
      </c>
      <c r="H190" s="89">
        <f t="shared" si="2"/>
        <v>0.08453922315</v>
      </c>
      <c r="I190" s="78" t="s">
        <v>329</v>
      </c>
      <c r="J190" s="78" t="s">
        <v>69</v>
      </c>
      <c r="K190" s="58">
        <f t="shared" si="3"/>
        <v>19</v>
      </c>
      <c r="L190" s="91" t="str">
        <f t="shared" si="4"/>
        <v>Sat</v>
      </c>
      <c r="M190" s="78" t="str">
        <f>IFERROR(VLOOKUP(A190, Entries!A:B,2,false),"")</f>
        <v>SEGA</v>
      </c>
      <c r="N190" s="23" t="str">
        <f>IFERROR(VLOOKUP(A190, Entries!A:K,11,false),"")</f>
        <v/>
      </c>
      <c r="O190" s="23" t="b">
        <f>IFERROR(VLOOKUP(A190, Entries!A:I,8,false),"")</f>
        <v>0</v>
      </c>
    </row>
    <row r="191">
      <c r="A191" s="78" t="s">
        <v>323</v>
      </c>
      <c r="B191" s="78" t="s">
        <v>21</v>
      </c>
      <c r="C191" s="85">
        <v>44025.0</v>
      </c>
      <c r="D191" s="85">
        <v>44026.0</v>
      </c>
      <c r="E191" s="86">
        <v>9.95</v>
      </c>
      <c r="F191" s="87">
        <v>12.84</v>
      </c>
      <c r="G191" s="88">
        <f t="shared" si="1"/>
        <v>2.89</v>
      </c>
      <c r="H191" s="89">
        <f t="shared" si="2"/>
        <v>0.2250778816</v>
      </c>
      <c r="I191" s="78" t="s">
        <v>330</v>
      </c>
      <c r="J191" s="78" t="s">
        <v>69</v>
      </c>
      <c r="K191" s="58">
        <f t="shared" si="3"/>
        <v>1</v>
      </c>
      <c r="L191" s="91" t="str">
        <f t="shared" si="4"/>
        <v>Tue</v>
      </c>
      <c r="M191" s="78" t="str">
        <f>IFERROR(VLOOKUP(A191, Entries!A:B,2,false),"")</f>
        <v>PlayWay</v>
      </c>
      <c r="N191" s="23" t="str">
        <f>IFERROR(VLOOKUP(A191, Entries!A:K,11,false),"")</f>
        <v/>
      </c>
      <c r="O191" s="23" t="b">
        <f>IFERROR(VLOOKUP(A191, Entries!A:I,8,false),"")</f>
        <v>0</v>
      </c>
    </row>
    <row r="192">
      <c r="A192" s="78" t="s">
        <v>323</v>
      </c>
      <c r="B192" s="78" t="s">
        <v>21</v>
      </c>
      <c r="C192" s="85">
        <v>44025.0</v>
      </c>
      <c r="D192" s="85">
        <v>44040.0</v>
      </c>
      <c r="E192" s="86">
        <v>9.95</v>
      </c>
      <c r="F192" s="87">
        <v>12.16</v>
      </c>
      <c r="G192" s="88">
        <f t="shared" si="1"/>
        <v>2.21</v>
      </c>
      <c r="H192" s="89">
        <f t="shared" si="2"/>
        <v>0.1817434211</v>
      </c>
      <c r="I192" s="78" t="s">
        <v>331</v>
      </c>
      <c r="J192" s="78" t="s">
        <v>69</v>
      </c>
      <c r="K192" s="58">
        <f t="shared" si="3"/>
        <v>15</v>
      </c>
      <c r="L192" s="91" t="str">
        <f t="shared" si="4"/>
        <v>Tue</v>
      </c>
      <c r="M192" s="78" t="str">
        <f>IFERROR(VLOOKUP(A192, Entries!A:B,2,false),"")</f>
        <v>PlayWay</v>
      </c>
      <c r="N192" s="23" t="str">
        <f>IFERROR(VLOOKUP(A192, Entries!A:K,11,false),"")</f>
        <v/>
      </c>
      <c r="O192" s="23" t="b">
        <f>IFERROR(VLOOKUP(A192, Entries!A:I,8,false),"")</f>
        <v>0</v>
      </c>
    </row>
    <row r="193">
      <c r="A193" s="78" t="s">
        <v>323</v>
      </c>
      <c r="B193" s="78" t="s">
        <v>21</v>
      </c>
      <c r="C193" s="85">
        <v>44025.0</v>
      </c>
      <c r="D193" s="85">
        <v>44049.0</v>
      </c>
      <c r="E193" s="86">
        <v>10.0</v>
      </c>
      <c r="F193" s="87">
        <v>12.07</v>
      </c>
      <c r="G193" s="88">
        <f t="shared" si="1"/>
        <v>2.07</v>
      </c>
      <c r="H193" s="89">
        <f t="shared" si="2"/>
        <v>0.1714995857</v>
      </c>
      <c r="I193" s="78" t="s">
        <v>332</v>
      </c>
      <c r="J193" s="78" t="s">
        <v>69</v>
      </c>
      <c r="K193" s="58">
        <f t="shared" si="3"/>
        <v>24</v>
      </c>
      <c r="L193" s="91" t="str">
        <f t="shared" si="4"/>
        <v>Thu</v>
      </c>
      <c r="M193" s="78" t="str">
        <f>IFERROR(VLOOKUP(A193, Entries!A:B,2,false),"")</f>
        <v>PlayWay</v>
      </c>
      <c r="N193" s="23" t="str">
        <f>IFERROR(VLOOKUP(A193, Entries!A:K,11,false),"")</f>
        <v/>
      </c>
      <c r="O193" s="23" t="b">
        <f>IFERROR(VLOOKUP(A193, Entries!A:I,8,false),"")</f>
        <v>0</v>
      </c>
    </row>
    <row r="194">
      <c r="A194" s="78" t="s">
        <v>333</v>
      </c>
      <c r="B194" s="78" t="s">
        <v>19</v>
      </c>
      <c r="C194" s="85">
        <v>44026.0</v>
      </c>
      <c r="D194" s="85">
        <v>44029.0</v>
      </c>
      <c r="E194" s="86">
        <v>12.9</v>
      </c>
      <c r="F194" s="87">
        <v>18.25</v>
      </c>
      <c r="G194" s="88">
        <f t="shared" si="1"/>
        <v>5.35</v>
      </c>
      <c r="H194" s="89">
        <f t="shared" si="2"/>
        <v>0.2931506849</v>
      </c>
      <c r="I194" s="78" t="s">
        <v>334</v>
      </c>
      <c r="J194" s="78" t="s">
        <v>69</v>
      </c>
      <c r="K194" s="58">
        <f t="shared" si="3"/>
        <v>3</v>
      </c>
      <c r="L194" s="91" t="str">
        <f t="shared" si="4"/>
        <v>Fri</v>
      </c>
      <c r="M194" s="78" t="str">
        <f>IFERROR(VLOOKUP(A194, Entries!A:B,2,false),"")</f>
        <v>Prime Matter</v>
      </c>
      <c r="N194" s="23" t="str">
        <f>IFERROR(VLOOKUP(A194, Entries!A:K,11,false),"")</f>
        <v/>
      </c>
      <c r="O194" s="23" t="b">
        <f>IFERROR(VLOOKUP(A194, Entries!A:I,8,false),"")</f>
        <v>0</v>
      </c>
    </row>
    <row r="195">
      <c r="A195" s="78" t="s">
        <v>333</v>
      </c>
      <c r="B195" s="78" t="s">
        <v>19</v>
      </c>
      <c r="C195" s="85">
        <v>44026.0</v>
      </c>
      <c r="D195" s="85">
        <v>44029.0</v>
      </c>
      <c r="E195" s="86">
        <v>12.9</v>
      </c>
      <c r="F195" s="87">
        <v>18.26</v>
      </c>
      <c r="G195" s="88">
        <f t="shared" si="1"/>
        <v>5.36</v>
      </c>
      <c r="H195" s="89">
        <f t="shared" si="2"/>
        <v>0.2935377875</v>
      </c>
      <c r="I195" s="78" t="s">
        <v>335</v>
      </c>
      <c r="J195" s="78" t="s">
        <v>69</v>
      </c>
      <c r="K195" s="58">
        <f t="shared" si="3"/>
        <v>3</v>
      </c>
      <c r="L195" s="91" t="str">
        <f t="shared" si="4"/>
        <v>Fri</v>
      </c>
      <c r="M195" s="78" t="str">
        <f>IFERROR(VLOOKUP(A195, Entries!A:B,2,false),"")</f>
        <v>Prime Matter</v>
      </c>
      <c r="N195" s="23" t="str">
        <f>IFERROR(VLOOKUP(A195, Entries!A:K,11,false),"")</f>
        <v/>
      </c>
      <c r="O195" s="23" t="b">
        <f>IFERROR(VLOOKUP(A195, Entries!A:I,8,false),"")</f>
        <v>0</v>
      </c>
    </row>
    <row r="196">
      <c r="A196" s="78" t="s">
        <v>227</v>
      </c>
      <c r="B196" s="78" t="s">
        <v>19</v>
      </c>
      <c r="C196" s="85">
        <v>44027.0</v>
      </c>
      <c r="D196" s="85">
        <v>44027.0</v>
      </c>
      <c r="E196" s="86">
        <v>3.07</v>
      </c>
      <c r="F196" s="87">
        <v>4.44</v>
      </c>
      <c r="G196" s="88">
        <f t="shared" si="1"/>
        <v>1.37</v>
      </c>
      <c r="H196" s="89">
        <f t="shared" si="2"/>
        <v>0.3085585586</v>
      </c>
      <c r="I196" s="78" t="s">
        <v>336</v>
      </c>
      <c r="J196" s="78" t="s">
        <v>69</v>
      </c>
      <c r="K196" s="58">
        <f t="shared" si="3"/>
        <v>0</v>
      </c>
      <c r="L196" s="91" t="str">
        <f t="shared" si="4"/>
        <v>Wed</v>
      </c>
      <c r="M196" s="78" t="str">
        <f>IFERROR(VLOOKUP(A196, Entries!A:B,2,false),"")</f>
        <v>Frogwares</v>
      </c>
      <c r="N196" s="23" t="str">
        <f>IFERROR(VLOOKUP(A196, Entries!A:K,11,false),"")</f>
        <v/>
      </c>
      <c r="O196" s="23" t="b">
        <f>IFERROR(VLOOKUP(A196, Entries!A:I,8,false),"")</f>
        <v>0</v>
      </c>
    </row>
    <row r="197">
      <c r="A197" s="78" t="s">
        <v>230</v>
      </c>
      <c r="B197" s="78" t="s">
        <v>19</v>
      </c>
      <c r="C197" s="85">
        <v>44027.0</v>
      </c>
      <c r="D197" s="85">
        <v>44031.0</v>
      </c>
      <c r="E197" s="86">
        <v>3.07</v>
      </c>
      <c r="F197" s="87">
        <v>5.25</v>
      </c>
      <c r="G197" s="88">
        <f t="shared" si="1"/>
        <v>2.18</v>
      </c>
      <c r="H197" s="89">
        <f t="shared" si="2"/>
        <v>0.4152380952</v>
      </c>
      <c r="I197" s="78" t="s">
        <v>337</v>
      </c>
      <c r="J197" s="78" t="s">
        <v>69</v>
      </c>
      <c r="K197" s="58">
        <f t="shared" si="3"/>
        <v>4</v>
      </c>
      <c r="L197" s="91" t="str">
        <f t="shared" si="4"/>
        <v>Sun</v>
      </c>
      <c r="M197" s="78" t="str">
        <f>IFERROR(VLOOKUP(A197, Entries!A:B,2,false),"")</f>
        <v>Codemasters</v>
      </c>
      <c r="N197" s="23" t="str">
        <f>IFERROR(VLOOKUP(A197, Entries!A:K,11,false),"")</f>
        <v/>
      </c>
      <c r="O197" s="23" t="b">
        <f>IFERROR(VLOOKUP(A197, Entries!A:I,8,false),"")</f>
        <v>1</v>
      </c>
    </row>
    <row r="198">
      <c r="A198" s="78" t="s">
        <v>270</v>
      </c>
      <c r="B198" s="78" t="s">
        <v>19</v>
      </c>
      <c r="C198" s="85">
        <v>44027.0</v>
      </c>
      <c r="D198" s="85">
        <v>44032.0</v>
      </c>
      <c r="E198" s="86">
        <v>3.07</v>
      </c>
      <c r="F198" s="87">
        <v>4.87</v>
      </c>
      <c r="G198" s="88">
        <f t="shared" si="1"/>
        <v>1.8</v>
      </c>
      <c r="H198" s="89">
        <f t="shared" si="2"/>
        <v>0.3696098563</v>
      </c>
      <c r="I198" s="78" t="s">
        <v>338</v>
      </c>
      <c r="J198" s="78" t="s">
        <v>69</v>
      </c>
      <c r="K198" s="58">
        <f t="shared" si="3"/>
        <v>5</v>
      </c>
      <c r="L198" s="91" t="str">
        <f t="shared" si="4"/>
        <v>Mon</v>
      </c>
      <c r="M198" s="78" t="str">
        <f>IFERROR(VLOOKUP(A198, Entries!A:B,2,false),"")</f>
        <v>Headup</v>
      </c>
      <c r="N198" s="23" t="str">
        <f>IFERROR(VLOOKUP(A198, Entries!A:K,11,false),"")</f>
        <v/>
      </c>
      <c r="O198" s="23" t="b">
        <f>IFERROR(VLOOKUP(A198, Entries!A:I,8,false),"")</f>
        <v>0</v>
      </c>
    </row>
    <row r="199">
      <c r="A199" s="78" t="s">
        <v>339</v>
      </c>
      <c r="B199" s="78" t="s">
        <v>17</v>
      </c>
      <c r="C199" s="85">
        <v>44027.0</v>
      </c>
      <c r="D199" s="85">
        <v>44173.0</v>
      </c>
      <c r="E199" s="86">
        <v>0.8</v>
      </c>
      <c r="F199" s="87">
        <v>1.3</v>
      </c>
      <c r="G199" s="88">
        <f t="shared" si="1"/>
        <v>0.5</v>
      </c>
      <c r="H199" s="89">
        <f t="shared" si="2"/>
        <v>0.3846153846</v>
      </c>
      <c r="I199" s="78" t="s">
        <v>340</v>
      </c>
      <c r="J199" s="78" t="s">
        <v>69</v>
      </c>
      <c r="K199" s="58">
        <f t="shared" si="3"/>
        <v>146</v>
      </c>
      <c r="L199" s="91" t="str">
        <f t="shared" si="4"/>
        <v>Tue</v>
      </c>
      <c r="M199" s="78" t="str">
        <f>IFERROR(VLOOKUP(A199, Entries!A:B,2,false),"")</f>
        <v>CAPCOM</v>
      </c>
      <c r="N199" s="23" t="str">
        <f>IFERROR(VLOOKUP(A199, Entries!A:K,11,false),"")</f>
        <v/>
      </c>
      <c r="O199" s="23" t="b">
        <f>IFERROR(VLOOKUP(A199, Entries!A:I,8,false),"")</f>
        <v>0</v>
      </c>
    </row>
    <row r="200">
      <c r="A200" s="78" t="s">
        <v>341</v>
      </c>
      <c r="B200" s="78" t="s">
        <v>19</v>
      </c>
      <c r="C200" s="85">
        <v>44028.0</v>
      </c>
      <c r="D200" s="85">
        <v>44107.0</v>
      </c>
      <c r="E200" s="86">
        <v>0.43</v>
      </c>
      <c r="F200" s="87">
        <v>0.85</v>
      </c>
      <c r="G200" s="88">
        <f t="shared" si="1"/>
        <v>0.42</v>
      </c>
      <c r="H200" s="89">
        <f t="shared" si="2"/>
        <v>0.4941176471</v>
      </c>
      <c r="I200" s="78" t="s">
        <v>342</v>
      </c>
      <c r="J200" s="78" t="s">
        <v>69</v>
      </c>
      <c r="K200" s="58">
        <f t="shared" si="3"/>
        <v>79</v>
      </c>
      <c r="L200" s="91" t="str">
        <f t="shared" si="4"/>
        <v>Sat</v>
      </c>
      <c r="M200" s="78" t="str">
        <f>IFERROR(VLOOKUP(A200, Entries!A:B,2,false),"")</f>
        <v>Headup</v>
      </c>
      <c r="N200" s="23" t="str">
        <f>IFERROR(VLOOKUP(A200, Entries!A:K,11,false),"")</f>
        <v/>
      </c>
      <c r="O200" s="23" t="b">
        <f>IFERROR(VLOOKUP(A200, Entries!A:I,8,false),"")</f>
        <v>0</v>
      </c>
    </row>
    <row r="201">
      <c r="A201" s="78" t="s">
        <v>343</v>
      </c>
      <c r="B201" s="78" t="s">
        <v>19</v>
      </c>
      <c r="C201" s="85">
        <v>44028.0</v>
      </c>
      <c r="D201" s="85">
        <v>44044.0</v>
      </c>
      <c r="E201" s="86">
        <v>0.43</v>
      </c>
      <c r="F201" s="87">
        <v>1.83</v>
      </c>
      <c r="G201" s="88">
        <f t="shared" si="1"/>
        <v>1.4</v>
      </c>
      <c r="H201" s="89">
        <f t="shared" si="2"/>
        <v>0.7650273224</v>
      </c>
      <c r="I201" s="78" t="s">
        <v>344</v>
      </c>
      <c r="J201" s="78" t="s">
        <v>69</v>
      </c>
      <c r="K201" s="58">
        <f t="shared" si="3"/>
        <v>16</v>
      </c>
      <c r="L201" s="91" t="str">
        <f t="shared" si="4"/>
        <v>Sat</v>
      </c>
      <c r="M201" s="78" t="str">
        <f>IFERROR(VLOOKUP(A201, Entries!A:B,2,false),"")</f>
        <v>Rogueside</v>
      </c>
      <c r="N201" s="23" t="str">
        <f>IFERROR(VLOOKUP(A201, Entries!A:K,11,false),"")</f>
        <v/>
      </c>
      <c r="O201" s="23" t="b">
        <f>IFERROR(VLOOKUP(A201, Entries!A:I,8,false),"")</f>
        <v>0</v>
      </c>
    </row>
    <row r="202">
      <c r="A202" s="78" t="s">
        <v>345</v>
      </c>
      <c r="B202" s="78" t="s">
        <v>19</v>
      </c>
      <c r="C202" s="85">
        <v>44028.0</v>
      </c>
      <c r="D202" s="85">
        <v>44059.0</v>
      </c>
      <c r="E202" s="86">
        <v>0.43</v>
      </c>
      <c r="F202" s="87">
        <v>1.23</v>
      </c>
      <c r="G202" s="88">
        <f t="shared" si="1"/>
        <v>0.8</v>
      </c>
      <c r="H202" s="89">
        <f t="shared" si="2"/>
        <v>0.6504065041</v>
      </c>
      <c r="I202" s="78" t="s">
        <v>346</v>
      </c>
      <c r="J202" s="78" t="s">
        <v>69</v>
      </c>
      <c r="K202" s="58">
        <f t="shared" si="3"/>
        <v>31</v>
      </c>
      <c r="L202" s="91" t="str">
        <f t="shared" si="4"/>
        <v>Sun</v>
      </c>
      <c r="M202" s="78" t="str">
        <f>IFERROR(VLOOKUP(A202, Entries!A:B,2,false),"")</f>
        <v>Focus Home Interactive</v>
      </c>
      <c r="N202" s="23" t="str">
        <f>IFERROR(VLOOKUP(A202, Entries!A:K,11,false),"")</f>
        <v/>
      </c>
      <c r="O202" s="23" t="b">
        <f>IFERROR(VLOOKUP(A202, Entries!A:I,8,false),"")</f>
        <v>0</v>
      </c>
    </row>
    <row r="203">
      <c r="A203" s="78" t="s">
        <v>347</v>
      </c>
      <c r="B203" s="78" t="s">
        <v>19</v>
      </c>
      <c r="C203" s="85">
        <v>44028.0</v>
      </c>
      <c r="D203" s="85">
        <v>44043.0</v>
      </c>
      <c r="E203" s="86">
        <v>0.43</v>
      </c>
      <c r="F203" s="87">
        <v>1.49</v>
      </c>
      <c r="G203" s="88">
        <f t="shared" si="1"/>
        <v>1.06</v>
      </c>
      <c r="H203" s="89">
        <f t="shared" si="2"/>
        <v>0.711409396</v>
      </c>
      <c r="I203" s="78" t="s">
        <v>348</v>
      </c>
      <c r="J203" s="78" t="s">
        <v>69</v>
      </c>
      <c r="K203" s="58">
        <f t="shared" si="3"/>
        <v>15</v>
      </c>
      <c r="L203" s="91" t="str">
        <f t="shared" si="4"/>
        <v>Fri</v>
      </c>
      <c r="M203" s="78" t="str">
        <f>IFERROR(VLOOKUP(A203, Entries!A:B,2,false),"")</f>
        <v>Blueside</v>
      </c>
      <c r="N203" s="23" t="str">
        <f>IFERROR(VLOOKUP(A203, Entries!A:K,11,false),"")</f>
        <v/>
      </c>
      <c r="O203" s="23" t="b">
        <f>IFERROR(VLOOKUP(A203, Entries!A:I,8,false),"")</f>
        <v>0</v>
      </c>
    </row>
    <row r="204">
      <c r="A204" s="78" t="s">
        <v>349</v>
      </c>
      <c r="B204" s="78" t="s">
        <v>19</v>
      </c>
      <c r="C204" s="85">
        <v>44028.0</v>
      </c>
      <c r="D204" s="85">
        <v>44044.0</v>
      </c>
      <c r="E204" s="86">
        <v>0.43</v>
      </c>
      <c r="F204" s="87">
        <v>1.66</v>
      </c>
      <c r="G204" s="88">
        <f t="shared" si="1"/>
        <v>1.23</v>
      </c>
      <c r="H204" s="89">
        <f t="shared" si="2"/>
        <v>0.7409638554</v>
      </c>
      <c r="I204" s="78" t="s">
        <v>350</v>
      </c>
      <c r="J204" s="78" t="s">
        <v>69</v>
      </c>
      <c r="K204" s="58">
        <f t="shared" si="3"/>
        <v>16</v>
      </c>
      <c r="L204" s="91" t="str">
        <f t="shared" si="4"/>
        <v>Sat</v>
      </c>
      <c r="M204" s="78" t="str">
        <f>IFERROR(VLOOKUP(A204, Entries!A:B,2,false),"")</f>
        <v>Alawar Premium</v>
      </c>
      <c r="N204" s="23" t="str">
        <f>IFERROR(VLOOKUP(A204, Entries!A:K,11,false),"")</f>
        <v/>
      </c>
      <c r="O204" s="23" t="b">
        <f>IFERROR(VLOOKUP(A204, Entries!A:I,8,false),"")</f>
        <v>0</v>
      </c>
    </row>
    <row r="205">
      <c r="A205" s="78" t="s">
        <v>351</v>
      </c>
      <c r="B205" s="78" t="s">
        <v>19</v>
      </c>
      <c r="C205" s="85">
        <v>44028.0</v>
      </c>
      <c r="D205" s="85">
        <v>44044.0</v>
      </c>
      <c r="E205" s="86">
        <v>0.43</v>
      </c>
      <c r="F205" s="87">
        <v>0.91</v>
      </c>
      <c r="G205" s="88">
        <f t="shared" si="1"/>
        <v>0.48</v>
      </c>
      <c r="H205" s="89">
        <f t="shared" si="2"/>
        <v>0.5274725275</v>
      </c>
      <c r="I205" s="78" t="s">
        <v>352</v>
      </c>
      <c r="J205" s="78" t="s">
        <v>69</v>
      </c>
      <c r="K205" s="58">
        <f t="shared" si="3"/>
        <v>16</v>
      </c>
      <c r="L205" s="91" t="str">
        <f t="shared" si="4"/>
        <v>Sat</v>
      </c>
      <c r="M205" s="78" t="str">
        <f>IFERROR(VLOOKUP(A205, Entries!A:B,2,false),"")</f>
        <v>34BigThings</v>
      </c>
      <c r="N205" s="23" t="str">
        <f>IFERROR(VLOOKUP(A205, Entries!A:K,11,false),"")</f>
        <v/>
      </c>
      <c r="O205" s="23" t="b">
        <f>IFERROR(VLOOKUP(A205, Entries!A:I,8,false),"")</f>
        <v>0</v>
      </c>
    </row>
    <row r="206">
      <c r="A206" s="78" t="s">
        <v>353</v>
      </c>
      <c r="B206" s="78" t="s">
        <v>19</v>
      </c>
      <c r="C206" s="85">
        <v>44028.0</v>
      </c>
      <c r="D206" s="85">
        <v>44029.0</v>
      </c>
      <c r="E206" s="86">
        <v>0.43</v>
      </c>
      <c r="F206" s="87">
        <v>2.06</v>
      </c>
      <c r="G206" s="88">
        <f t="shared" si="1"/>
        <v>1.63</v>
      </c>
      <c r="H206" s="89">
        <f t="shared" si="2"/>
        <v>0.7912621359</v>
      </c>
      <c r="I206" s="78" t="s">
        <v>354</v>
      </c>
      <c r="J206" s="78" t="s">
        <v>69</v>
      </c>
      <c r="K206" s="58">
        <f t="shared" si="3"/>
        <v>1</v>
      </c>
      <c r="L206" s="91" t="str">
        <f t="shared" si="4"/>
        <v>Fri</v>
      </c>
      <c r="M206" s="78" t="str">
        <f>IFERROR(VLOOKUP(A206, Entries!A:B,2,false),"")</f>
        <v>Akupara Games</v>
      </c>
      <c r="N206" s="23" t="str">
        <f>IFERROR(VLOOKUP(A206, Entries!A:K,11,false),"")</f>
        <v/>
      </c>
      <c r="O206" s="23" t="b">
        <f>IFERROR(VLOOKUP(A206, Entries!A:I,8,false),"")</f>
        <v>0</v>
      </c>
    </row>
    <row r="207">
      <c r="A207" s="78" t="s">
        <v>355</v>
      </c>
      <c r="B207" s="78" t="s">
        <v>19</v>
      </c>
      <c r="C207" s="85">
        <v>44028.0</v>
      </c>
      <c r="D207" s="85">
        <v>44047.0</v>
      </c>
      <c r="E207" s="86">
        <v>0.43</v>
      </c>
      <c r="F207" s="87">
        <v>0.5</v>
      </c>
      <c r="G207" s="88">
        <f t="shared" si="1"/>
        <v>0.07</v>
      </c>
      <c r="H207" s="89">
        <f t="shared" si="2"/>
        <v>0.14</v>
      </c>
      <c r="I207" s="78" t="s">
        <v>356</v>
      </c>
      <c r="J207" s="78" t="s">
        <v>69</v>
      </c>
      <c r="K207" s="58">
        <f t="shared" si="3"/>
        <v>19</v>
      </c>
      <c r="L207" s="91" t="str">
        <f t="shared" si="4"/>
        <v>Tue</v>
      </c>
      <c r="M207" s="78" t="str">
        <f>IFERROR(VLOOKUP(A207, Entries!A:B,2,false),"")</f>
        <v>Alawar Premium</v>
      </c>
      <c r="N207" s="23" t="str">
        <f>IFERROR(VLOOKUP(A207, Entries!A:K,11,false),"")</f>
        <v/>
      </c>
      <c r="O207" s="23" t="b">
        <f>IFERROR(VLOOKUP(A207, Entries!A:I,8,false),"")</f>
        <v>0</v>
      </c>
    </row>
    <row r="208">
      <c r="A208" s="78" t="s">
        <v>357</v>
      </c>
      <c r="B208" s="78" t="s">
        <v>19</v>
      </c>
      <c r="C208" s="85">
        <v>44028.0</v>
      </c>
      <c r="D208" s="85">
        <v>44029.0</v>
      </c>
      <c r="E208" s="86">
        <v>0.43</v>
      </c>
      <c r="F208" s="87">
        <v>1.17</v>
      </c>
      <c r="G208" s="88">
        <f t="shared" si="1"/>
        <v>0.74</v>
      </c>
      <c r="H208" s="89">
        <f t="shared" si="2"/>
        <v>0.6324786325</v>
      </c>
      <c r="I208" s="78" t="s">
        <v>358</v>
      </c>
      <c r="J208" s="78" t="s">
        <v>69</v>
      </c>
      <c r="K208" s="58">
        <f t="shared" si="3"/>
        <v>1</v>
      </c>
      <c r="L208" s="91" t="str">
        <f t="shared" si="4"/>
        <v>Fri</v>
      </c>
      <c r="M208" s="78" t="str">
        <f>IFERROR(VLOOKUP(A208, Entries!A:B,2,false),"")</f>
        <v>Frozenbyte</v>
      </c>
      <c r="N208" s="23" t="str">
        <f>IFERROR(VLOOKUP(A208, Entries!A:K,11,false),"")</f>
        <v/>
      </c>
      <c r="O208" s="23" t="b">
        <f>IFERROR(VLOOKUP(A208, Entries!A:I,8,false),"")</f>
        <v>0</v>
      </c>
    </row>
    <row r="209">
      <c r="A209" s="78" t="s">
        <v>359</v>
      </c>
      <c r="B209" s="78" t="s">
        <v>19</v>
      </c>
      <c r="C209" s="85">
        <v>44028.0</v>
      </c>
      <c r="D209" s="85">
        <v>44074.0</v>
      </c>
      <c r="E209" s="86">
        <v>0.47</v>
      </c>
      <c r="F209" s="87">
        <v>1.38</v>
      </c>
      <c r="G209" s="88">
        <f t="shared" si="1"/>
        <v>0.91</v>
      </c>
      <c r="H209" s="89">
        <f t="shared" si="2"/>
        <v>0.6594202899</v>
      </c>
      <c r="I209" s="78" t="s">
        <v>360</v>
      </c>
      <c r="J209" s="78" t="s">
        <v>69</v>
      </c>
      <c r="K209" s="58">
        <f t="shared" si="3"/>
        <v>46</v>
      </c>
      <c r="L209" s="91" t="str">
        <f t="shared" si="4"/>
        <v>Mon</v>
      </c>
      <c r="M209" s="78" t="str">
        <f>IFERROR(VLOOKUP(A209, Entries!A:B,2,false),"")</f>
        <v>Camel 101</v>
      </c>
      <c r="N209" s="23" t="str">
        <f>IFERROR(VLOOKUP(A209, Entries!A:K,11,false),"")</f>
        <v/>
      </c>
      <c r="O209" s="23" t="b">
        <f>IFERROR(VLOOKUP(A209, Entries!A:I,8,false),"")</f>
        <v>0</v>
      </c>
    </row>
    <row r="210">
      <c r="A210" s="78" t="s">
        <v>117</v>
      </c>
      <c r="B210" s="78" t="s">
        <v>21</v>
      </c>
      <c r="C210" s="85">
        <v>44030.0</v>
      </c>
      <c r="D210" s="85">
        <v>44031.0</v>
      </c>
      <c r="E210" s="86">
        <v>0.88</v>
      </c>
      <c r="F210" s="87">
        <v>1.53</v>
      </c>
      <c r="G210" s="88">
        <f t="shared" si="1"/>
        <v>0.65</v>
      </c>
      <c r="H210" s="89">
        <f t="shared" si="2"/>
        <v>0.4248366013</v>
      </c>
      <c r="I210" s="78" t="s">
        <v>361</v>
      </c>
      <c r="J210" s="78" t="s">
        <v>69</v>
      </c>
      <c r="K210" s="58">
        <f t="shared" si="3"/>
        <v>1</v>
      </c>
      <c r="L210" s="91" t="str">
        <f t="shared" si="4"/>
        <v>Sun</v>
      </c>
      <c r="M210" s="78" t="str">
        <f>IFERROR(VLOOKUP(A210, Entries!A:B,2,false),"")</f>
        <v>Starbreeze Publishing</v>
      </c>
      <c r="N210" s="23" t="str">
        <f>IFERROR(VLOOKUP(A210, Entries!A:K,11,false),"")</f>
        <v/>
      </c>
      <c r="O210" s="23" t="b">
        <f>IFERROR(VLOOKUP(A210, Entries!A:I,8,false),"")</f>
        <v>1</v>
      </c>
    </row>
    <row r="211">
      <c r="A211" s="78" t="s">
        <v>117</v>
      </c>
      <c r="B211" s="78" t="s">
        <v>21</v>
      </c>
      <c r="C211" s="85">
        <v>44031.0</v>
      </c>
      <c r="D211" s="85">
        <v>44031.0</v>
      </c>
      <c r="E211" s="86">
        <v>0.88</v>
      </c>
      <c r="F211" s="87">
        <v>1.53</v>
      </c>
      <c r="G211" s="88">
        <f t="shared" si="1"/>
        <v>0.65</v>
      </c>
      <c r="H211" s="89">
        <f t="shared" si="2"/>
        <v>0.4248366013</v>
      </c>
      <c r="I211" s="78" t="s">
        <v>362</v>
      </c>
      <c r="J211" s="78" t="s">
        <v>69</v>
      </c>
      <c r="K211" s="58">
        <f t="shared" si="3"/>
        <v>0</v>
      </c>
      <c r="L211" s="91" t="str">
        <f t="shared" si="4"/>
        <v>Sun</v>
      </c>
      <c r="M211" s="78" t="str">
        <f>IFERROR(VLOOKUP(A211, Entries!A:B,2,false),"")</f>
        <v>Starbreeze Publishing</v>
      </c>
      <c r="N211" s="23" t="str">
        <f>IFERROR(VLOOKUP(A211, Entries!A:K,11,false),"")</f>
        <v/>
      </c>
      <c r="O211" s="23" t="b">
        <f>IFERROR(VLOOKUP(A211, Entries!A:I,8,false),"")</f>
        <v>1</v>
      </c>
    </row>
    <row r="212">
      <c r="A212" s="78" t="s">
        <v>117</v>
      </c>
      <c r="B212" s="78" t="s">
        <v>21</v>
      </c>
      <c r="C212" s="85">
        <v>44033.0</v>
      </c>
      <c r="D212" s="85">
        <v>44033.0</v>
      </c>
      <c r="E212" s="86">
        <v>0.88</v>
      </c>
      <c r="F212" s="87">
        <v>1.56</v>
      </c>
      <c r="G212" s="88">
        <f t="shared" si="1"/>
        <v>0.68</v>
      </c>
      <c r="H212" s="89">
        <f t="shared" si="2"/>
        <v>0.4358974359</v>
      </c>
      <c r="I212" s="78" t="s">
        <v>363</v>
      </c>
      <c r="J212" s="78" t="s">
        <v>69</v>
      </c>
      <c r="K212" s="58">
        <f t="shared" si="3"/>
        <v>0</v>
      </c>
      <c r="L212" s="91" t="str">
        <f t="shared" si="4"/>
        <v>Tue</v>
      </c>
      <c r="M212" s="78" t="str">
        <f>IFERROR(VLOOKUP(A212, Entries!A:B,2,false),"")</f>
        <v>Starbreeze Publishing</v>
      </c>
      <c r="N212" s="23" t="str">
        <f>IFERROR(VLOOKUP(A212, Entries!A:K,11,false),"")</f>
        <v/>
      </c>
      <c r="O212" s="23" t="b">
        <f>IFERROR(VLOOKUP(A212, Entries!A:I,8,false),"")</f>
        <v>1</v>
      </c>
    </row>
    <row r="213">
      <c r="A213" s="78" t="s">
        <v>123</v>
      </c>
      <c r="B213" s="78" t="s">
        <v>21</v>
      </c>
      <c r="C213" s="85">
        <v>44034.0</v>
      </c>
      <c r="D213" s="85">
        <v>44104.0</v>
      </c>
      <c r="E213" s="86">
        <v>2.54</v>
      </c>
      <c r="F213" s="87">
        <v>3.44</v>
      </c>
      <c r="G213" s="88">
        <f t="shared" si="1"/>
        <v>0.9</v>
      </c>
      <c r="H213" s="89">
        <f t="shared" si="2"/>
        <v>0.261627907</v>
      </c>
      <c r="I213" s="78" t="s">
        <v>364</v>
      </c>
      <c r="J213" s="78" t="s">
        <v>69</v>
      </c>
      <c r="K213" s="58">
        <f t="shared" si="3"/>
        <v>70</v>
      </c>
      <c r="L213" s="91" t="str">
        <f t="shared" si="4"/>
        <v>Wed</v>
      </c>
      <c r="M213" s="78" t="str">
        <f>IFERROR(VLOOKUP(A213, Entries!A:B,2,false),"")</f>
        <v>Kalypso Media</v>
      </c>
      <c r="N213" s="23" t="str">
        <f>IFERROR(VLOOKUP(A213, Entries!A:K,11,false),"")</f>
        <v/>
      </c>
      <c r="O213" s="23" t="b">
        <f>IFERROR(VLOOKUP(A213, Entries!A:I,8,false),"")</f>
        <v>0</v>
      </c>
    </row>
    <row r="214">
      <c r="A214" s="78" t="s">
        <v>117</v>
      </c>
      <c r="B214" s="78" t="s">
        <v>21</v>
      </c>
      <c r="C214" s="85">
        <v>44034.0</v>
      </c>
      <c r="D214" s="85">
        <v>44034.0</v>
      </c>
      <c r="E214" s="86">
        <v>0.88</v>
      </c>
      <c r="F214" s="87">
        <v>1.86</v>
      </c>
      <c r="G214" s="88">
        <f t="shared" si="1"/>
        <v>0.98</v>
      </c>
      <c r="H214" s="89">
        <f t="shared" si="2"/>
        <v>0.5268817204</v>
      </c>
      <c r="I214" s="78" t="s">
        <v>365</v>
      </c>
      <c r="J214" s="78" t="s">
        <v>69</v>
      </c>
      <c r="K214" s="58">
        <f t="shared" si="3"/>
        <v>0</v>
      </c>
      <c r="L214" s="91" t="str">
        <f t="shared" si="4"/>
        <v>Wed</v>
      </c>
      <c r="M214" s="78" t="str">
        <f>IFERROR(VLOOKUP(A214, Entries!A:B,2,false),"")</f>
        <v>Starbreeze Publishing</v>
      </c>
      <c r="N214" s="23" t="str">
        <f>IFERROR(VLOOKUP(A214, Entries!A:K,11,false),"")</f>
        <v/>
      </c>
      <c r="O214" s="23" t="b">
        <f>IFERROR(VLOOKUP(A214, Entries!A:I,8,false),"")</f>
        <v>1</v>
      </c>
    </row>
    <row r="215">
      <c r="A215" s="78" t="s">
        <v>117</v>
      </c>
      <c r="B215" s="78" t="s">
        <v>21</v>
      </c>
      <c r="C215" s="85">
        <v>44034.0</v>
      </c>
      <c r="D215" s="85">
        <v>44035.0</v>
      </c>
      <c r="E215" s="86">
        <v>0.88</v>
      </c>
      <c r="F215" s="87">
        <v>1.57</v>
      </c>
      <c r="G215" s="88">
        <f t="shared" si="1"/>
        <v>0.69</v>
      </c>
      <c r="H215" s="89">
        <f t="shared" si="2"/>
        <v>0.4394904459</v>
      </c>
      <c r="I215" s="78" t="s">
        <v>366</v>
      </c>
      <c r="J215" s="78" t="s">
        <v>69</v>
      </c>
      <c r="K215" s="58">
        <f t="shared" si="3"/>
        <v>1</v>
      </c>
      <c r="L215" s="91" t="str">
        <f t="shared" si="4"/>
        <v>Thu</v>
      </c>
      <c r="M215" s="78" t="str">
        <f>IFERROR(VLOOKUP(A215, Entries!A:B,2,false),"")</f>
        <v>Starbreeze Publishing</v>
      </c>
      <c r="N215" s="23" t="str">
        <f>IFERROR(VLOOKUP(A215, Entries!A:K,11,false),"")</f>
        <v/>
      </c>
      <c r="O215" s="23" t="b">
        <f>IFERROR(VLOOKUP(A215, Entries!A:I,8,false),"")</f>
        <v>1</v>
      </c>
    </row>
    <row r="216">
      <c r="A216" s="78" t="s">
        <v>117</v>
      </c>
      <c r="B216" s="78" t="s">
        <v>21</v>
      </c>
      <c r="C216" s="85">
        <v>44034.0</v>
      </c>
      <c r="D216" s="85">
        <v>44035.0</v>
      </c>
      <c r="E216" s="86">
        <v>0.88</v>
      </c>
      <c r="F216" s="87">
        <v>1.57</v>
      </c>
      <c r="G216" s="88">
        <f t="shared" si="1"/>
        <v>0.69</v>
      </c>
      <c r="H216" s="89">
        <f t="shared" si="2"/>
        <v>0.4394904459</v>
      </c>
      <c r="I216" s="78" t="s">
        <v>367</v>
      </c>
      <c r="J216" s="78" t="s">
        <v>69</v>
      </c>
      <c r="K216" s="58">
        <f t="shared" si="3"/>
        <v>1</v>
      </c>
      <c r="L216" s="91" t="str">
        <f t="shared" si="4"/>
        <v>Thu</v>
      </c>
      <c r="M216" s="78" t="str">
        <f>IFERROR(VLOOKUP(A216, Entries!A:B,2,false),"")</f>
        <v>Starbreeze Publishing</v>
      </c>
      <c r="N216" s="23" t="str">
        <f>IFERROR(VLOOKUP(A216, Entries!A:K,11,false),"")</f>
        <v/>
      </c>
      <c r="O216" s="23" t="b">
        <f>IFERROR(VLOOKUP(A216, Entries!A:I,8,false),"")</f>
        <v>1</v>
      </c>
    </row>
    <row r="217">
      <c r="A217" s="78" t="s">
        <v>368</v>
      </c>
      <c r="B217" s="78" t="s">
        <v>19</v>
      </c>
      <c r="C217" s="85">
        <v>44041.0</v>
      </c>
      <c r="D217" s="85">
        <v>44041.0</v>
      </c>
      <c r="E217" s="86">
        <v>0.89</v>
      </c>
      <c r="F217" s="87">
        <v>2.0</v>
      </c>
      <c r="G217" s="88">
        <f t="shared" si="1"/>
        <v>1.11</v>
      </c>
      <c r="H217" s="89">
        <f t="shared" si="2"/>
        <v>0.555</v>
      </c>
      <c r="I217" s="78" t="s">
        <v>369</v>
      </c>
      <c r="J217" s="78" t="s">
        <v>69</v>
      </c>
      <c r="K217" s="58">
        <f t="shared" si="3"/>
        <v>0</v>
      </c>
      <c r="L217" s="91" t="str">
        <f t="shared" si="4"/>
        <v>Wed</v>
      </c>
      <c r="M217" s="78" t="str">
        <f>IFERROR(VLOOKUP(A217, Entries!A:B,2,false),"")</f>
        <v>Autumn Games</v>
      </c>
      <c r="N217" s="23" t="str">
        <f>IFERROR(VLOOKUP(A217, Entries!A:K,11,false),"")</f>
        <v/>
      </c>
      <c r="O217" s="23" t="b">
        <f>IFERROR(VLOOKUP(A217, Entries!A:I,8,false),"")</f>
        <v>0</v>
      </c>
    </row>
    <row r="218">
      <c r="A218" s="78" t="s">
        <v>368</v>
      </c>
      <c r="B218" s="78" t="s">
        <v>19</v>
      </c>
      <c r="C218" s="85">
        <v>44041.0</v>
      </c>
      <c r="D218" s="85">
        <v>44041.0</v>
      </c>
      <c r="E218" s="86">
        <v>0.89</v>
      </c>
      <c r="F218" s="87">
        <v>1.96</v>
      </c>
      <c r="G218" s="88">
        <f t="shared" si="1"/>
        <v>1.07</v>
      </c>
      <c r="H218" s="89">
        <f t="shared" si="2"/>
        <v>0.5459183673</v>
      </c>
      <c r="I218" s="78" t="s">
        <v>370</v>
      </c>
      <c r="J218" s="78" t="s">
        <v>69</v>
      </c>
      <c r="K218" s="58">
        <f t="shared" si="3"/>
        <v>0</v>
      </c>
      <c r="L218" s="91" t="str">
        <f t="shared" si="4"/>
        <v>Wed</v>
      </c>
      <c r="M218" s="78" t="str">
        <f>IFERROR(VLOOKUP(A218, Entries!A:B,2,false),"")</f>
        <v>Autumn Games</v>
      </c>
      <c r="N218" s="23" t="str">
        <f>IFERROR(VLOOKUP(A218, Entries!A:K,11,false),"")</f>
        <v/>
      </c>
      <c r="O218" s="23" t="b">
        <f>IFERROR(VLOOKUP(A218, Entries!A:I,8,false),"")</f>
        <v>0</v>
      </c>
    </row>
    <row r="219">
      <c r="A219" s="78" t="s">
        <v>371</v>
      </c>
      <c r="B219" s="78" t="s">
        <v>19</v>
      </c>
      <c r="C219" s="85">
        <v>44041.0</v>
      </c>
      <c r="D219" s="85">
        <v>44061.0</v>
      </c>
      <c r="E219" s="86">
        <v>3.68</v>
      </c>
      <c r="F219" s="87">
        <v>4.54</v>
      </c>
      <c r="G219" s="88">
        <f t="shared" si="1"/>
        <v>0.86</v>
      </c>
      <c r="H219" s="89">
        <f t="shared" si="2"/>
        <v>0.1894273128</v>
      </c>
      <c r="I219" s="78" t="s">
        <v>372</v>
      </c>
      <c r="J219" s="78" t="s">
        <v>69</v>
      </c>
      <c r="K219" s="58">
        <f t="shared" si="3"/>
        <v>20</v>
      </c>
      <c r="L219" s="91" t="str">
        <f t="shared" si="4"/>
        <v>Tue</v>
      </c>
      <c r="M219" s="78" t="str">
        <f>IFERROR(VLOOKUP(A219, Entries!A:B,2,false),"")</f>
        <v>Assemble Entertainment</v>
      </c>
      <c r="N219" s="23" t="str">
        <f>IFERROR(VLOOKUP(A219, Entries!A:K,11,false),"")</f>
        <v/>
      </c>
      <c r="O219" s="23" t="b">
        <f>IFERROR(VLOOKUP(A219, Entries!A:I,8,false),"")</f>
        <v>0</v>
      </c>
    </row>
    <row r="220">
      <c r="A220" s="78" t="s">
        <v>373</v>
      </c>
      <c r="B220" s="78" t="s">
        <v>19</v>
      </c>
      <c r="C220" s="85">
        <v>44041.0</v>
      </c>
      <c r="D220" s="85">
        <v>44044.0</v>
      </c>
      <c r="E220" s="86">
        <v>5.41</v>
      </c>
      <c r="F220" s="87">
        <v>9.91</v>
      </c>
      <c r="G220" s="88">
        <f t="shared" si="1"/>
        <v>4.5</v>
      </c>
      <c r="H220" s="89">
        <f t="shared" si="2"/>
        <v>0.454086781</v>
      </c>
      <c r="I220" s="78" t="s">
        <v>374</v>
      </c>
      <c r="J220" s="78" t="s">
        <v>69</v>
      </c>
      <c r="K220" s="58">
        <f t="shared" si="3"/>
        <v>3</v>
      </c>
      <c r="L220" s="91" t="str">
        <f t="shared" si="4"/>
        <v>Sat</v>
      </c>
      <c r="M220" s="78" t="str">
        <f>IFERROR(VLOOKUP(A220, Entries!A:B,2,false),"")</f>
        <v>Beamdog</v>
      </c>
      <c r="N220" s="23" t="str">
        <f>IFERROR(VLOOKUP(A220, Entries!A:K,11,false),"")</f>
        <v/>
      </c>
      <c r="O220" s="23" t="b">
        <f>IFERROR(VLOOKUP(A220, Entries!A:I,8,false),"")</f>
        <v>1</v>
      </c>
    </row>
    <row r="221">
      <c r="A221" s="78" t="s">
        <v>375</v>
      </c>
      <c r="B221" s="78" t="s">
        <v>22</v>
      </c>
      <c r="C221" s="85">
        <v>44041.0</v>
      </c>
      <c r="D221" s="85">
        <v>44043.0</v>
      </c>
      <c r="E221" s="86">
        <v>5.34</v>
      </c>
      <c r="F221" s="87">
        <v>7.38</v>
      </c>
      <c r="G221" s="88">
        <f t="shared" si="1"/>
        <v>2.04</v>
      </c>
      <c r="H221" s="89">
        <f t="shared" si="2"/>
        <v>0.2764227642</v>
      </c>
      <c r="I221" s="78" t="s">
        <v>376</v>
      </c>
      <c r="J221" s="78" t="s">
        <v>69</v>
      </c>
      <c r="K221" s="58">
        <f t="shared" si="3"/>
        <v>2</v>
      </c>
      <c r="L221" s="91" t="str">
        <f t="shared" si="4"/>
        <v>Fri</v>
      </c>
      <c r="M221" s="78" t="str">
        <f>IFERROR(VLOOKUP(A221, Entries!A:B,2,false),"")</f>
        <v>Survios</v>
      </c>
      <c r="N221" s="23" t="str">
        <f>IFERROR(VLOOKUP(A221, Entries!A:K,11,false),"")</f>
        <v/>
      </c>
      <c r="O221" s="23" t="b">
        <f>IFERROR(VLOOKUP(A221, Entries!A:I,8,false),"")</f>
        <v>1</v>
      </c>
    </row>
    <row r="222">
      <c r="A222" s="78" t="s">
        <v>377</v>
      </c>
      <c r="B222" s="78" t="s">
        <v>19</v>
      </c>
      <c r="C222" s="85">
        <v>44042.0</v>
      </c>
      <c r="D222" s="85">
        <v>44051.0</v>
      </c>
      <c r="E222" s="86">
        <v>0.82</v>
      </c>
      <c r="F222" s="87">
        <v>1.53</v>
      </c>
      <c r="G222" s="88">
        <f t="shared" si="1"/>
        <v>0.71</v>
      </c>
      <c r="H222" s="89">
        <f t="shared" si="2"/>
        <v>0.4640522876</v>
      </c>
      <c r="I222" s="78" t="s">
        <v>378</v>
      </c>
      <c r="J222" s="78" t="s">
        <v>69</v>
      </c>
      <c r="K222" s="58">
        <f t="shared" si="3"/>
        <v>9</v>
      </c>
      <c r="L222" s="91" t="str">
        <f t="shared" si="4"/>
        <v>Sat</v>
      </c>
      <c r="M222" s="78" t="str">
        <f>IFERROR(VLOOKUP(A222, Entries!A:B,2,false),"")</f>
        <v>Runic Games</v>
      </c>
      <c r="N222" s="23" t="str">
        <f>IFERROR(VLOOKUP(A222, Entries!A:K,11,false),"")</f>
        <v/>
      </c>
      <c r="O222" s="23" t="b">
        <f>IFERROR(VLOOKUP(A222, Entries!A:I,8,false),"")</f>
        <v>0</v>
      </c>
    </row>
    <row r="223">
      <c r="A223" s="78" t="s">
        <v>379</v>
      </c>
      <c r="B223" s="78" t="s">
        <v>19</v>
      </c>
      <c r="C223" s="85">
        <v>44042.0</v>
      </c>
      <c r="D223" s="85">
        <v>44042.0</v>
      </c>
      <c r="E223" s="86">
        <v>0.55</v>
      </c>
      <c r="F223" s="87">
        <v>1.85</v>
      </c>
      <c r="G223" s="88">
        <f t="shared" si="1"/>
        <v>1.3</v>
      </c>
      <c r="H223" s="89">
        <f t="shared" si="2"/>
        <v>0.7027027027</v>
      </c>
      <c r="I223" s="78" t="s">
        <v>380</v>
      </c>
      <c r="J223" s="78" t="s">
        <v>69</v>
      </c>
      <c r="K223" s="58">
        <f t="shared" si="3"/>
        <v>0</v>
      </c>
      <c r="L223" s="91" t="str">
        <f t="shared" si="4"/>
        <v>Thu</v>
      </c>
      <c r="M223" s="78" t="str">
        <f>IFERROR(VLOOKUP(A223, Entries!A:B,2,false),"")</f>
        <v>1C Entertainment</v>
      </c>
      <c r="N223" s="23" t="str">
        <f>IFERROR(VLOOKUP(A223, Entries!A:K,11,false),"")</f>
        <v/>
      </c>
      <c r="O223" s="23" t="b">
        <f>IFERROR(VLOOKUP(A223, Entries!A:I,8,false),"")</f>
        <v>0</v>
      </c>
    </row>
    <row r="224">
      <c r="A224" s="78" t="s">
        <v>381</v>
      </c>
      <c r="B224" s="78" t="s">
        <v>19</v>
      </c>
      <c r="C224" s="85">
        <v>44042.0</v>
      </c>
      <c r="D224" s="85">
        <v>44045.0</v>
      </c>
      <c r="E224" s="86">
        <v>0.55</v>
      </c>
      <c r="F224" s="87">
        <v>1.38</v>
      </c>
      <c r="G224" s="88">
        <f t="shared" si="1"/>
        <v>0.83</v>
      </c>
      <c r="H224" s="89">
        <f t="shared" si="2"/>
        <v>0.6014492754</v>
      </c>
      <c r="I224" s="78" t="s">
        <v>382</v>
      </c>
      <c r="J224" s="78" t="s">
        <v>69</v>
      </c>
      <c r="K224" s="58">
        <f t="shared" si="3"/>
        <v>3</v>
      </c>
      <c r="L224" s="91" t="str">
        <f t="shared" si="4"/>
        <v>Sun</v>
      </c>
      <c r="M224" s="78" t="str">
        <f>IFERROR(VLOOKUP(A224, Entries!A:B,2,false),"")</f>
        <v>Curve Digital</v>
      </c>
      <c r="N224" s="23" t="str">
        <f>IFERROR(VLOOKUP(A224, Entries!A:K,11,false),"")</f>
        <v/>
      </c>
      <c r="O224" s="23" t="b">
        <f>IFERROR(VLOOKUP(A224, Entries!A:I,8,false),"")</f>
        <v>0</v>
      </c>
    </row>
    <row r="225">
      <c r="A225" s="78" t="s">
        <v>383</v>
      </c>
      <c r="B225" s="78" t="s">
        <v>19</v>
      </c>
      <c r="C225" s="85">
        <v>44042.0</v>
      </c>
      <c r="D225" s="85">
        <v>44068.0</v>
      </c>
      <c r="E225" s="86">
        <v>0.55</v>
      </c>
      <c r="F225" s="87">
        <v>0.72</v>
      </c>
      <c r="G225" s="88">
        <f t="shared" si="1"/>
        <v>0.17</v>
      </c>
      <c r="H225" s="89">
        <f t="shared" si="2"/>
        <v>0.2361111111</v>
      </c>
      <c r="I225" s="78" t="s">
        <v>384</v>
      </c>
      <c r="J225" s="78" t="s">
        <v>69</v>
      </c>
      <c r="K225" s="58">
        <f t="shared" si="3"/>
        <v>26</v>
      </c>
      <c r="L225" s="91" t="str">
        <f t="shared" si="4"/>
        <v>Tue</v>
      </c>
      <c r="M225" s="78" t="str">
        <f>IFERROR(VLOOKUP(A225, Entries!A:B,2,false),"")</f>
        <v>Wired Productions</v>
      </c>
      <c r="N225" s="23" t="str">
        <f>IFERROR(VLOOKUP(A225, Entries!A:K,11,false),"")</f>
        <v/>
      </c>
      <c r="O225" s="23" t="b">
        <f>IFERROR(VLOOKUP(A225, Entries!A:I,8,false),"")</f>
        <v>0</v>
      </c>
    </row>
    <row r="226">
      <c r="A226" s="78" t="s">
        <v>385</v>
      </c>
      <c r="B226" s="78" t="s">
        <v>19</v>
      </c>
      <c r="C226" s="85">
        <v>44042.0</v>
      </c>
      <c r="D226" s="85">
        <v>44047.0</v>
      </c>
      <c r="E226" s="86">
        <v>0.55</v>
      </c>
      <c r="F226" s="87">
        <v>2.4</v>
      </c>
      <c r="G226" s="88">
        <f t="shared" si="1"/>
        <v>1.85</v>
      </c>
      <c r="H226" s="89">
        <f t="shared" si="2"/>
        <v>0.7708333333</v>
      </c>
      <c r="I226" s="78" t="s">
        <v>386</v>
      </c>
      <c r="J226" s="78" t="s">
        <v>69</v>
      </c>
      <c r="K226" s="58">
        <f t="shared" si="3"/>
        <v>5</v>
      </c>
      <c r="L226" s="91" t="str">
        <f t="shared" si="4"/>
        <v>Tue</v>
      </c>
      <c r="M226" s="78" t="str">
        <f>IFERROR(VLOOKUP(A226, Entries!A:B,2,false),"")</f>
        <v>Cheesecake Dev</v>
      </c>
      <c r="N226" s="23" t="str">
        <f>IFERROR(VLOOKUP(A226, Entries!A:K,11,false),"")</f>
        <v/>
      </c>
      <c r="O226" s="23" t="b">
        <f>IFERROR(VLOOKUP(A226, Entries!A:I,8,false),"")</f>
        <v>1</v>
      </c>
    </row>
    <row r="227">
      <c r="A227" s="78" t="s">
        <v>387</v>
      </c>
      <c r="B227" s="78" t="s">
        <v>19</v>
      </c>
      <c r="C227" s="85">
        <v>44042.0</v>
      </c>
      <c r="D227" s="85">
        <v>44051.0</v>
      </c>
      <c r="E227" s="86">
        <v>0.35</v>
      </c>
      <c r="F227" s="87">
        <v>0.33</v>
      </c>
      <c r="G227" s="88">
        <f t="shared" si="1"/>
        <v>-0.02</v>
      </c>
      <c r="H227" s="89">
        <f t="shared" si="2"/>
        <v>-0.06060606061</v>
      </c>
      <c r="I227" s="78" t="s">
        <v>388</v>
      </c>
      <c r="J227" s="78" t="s">
        <v>69</v>
      </c>
      <c r="K227" s="58">
        <f t="shared" si="3"/>
        <v>9</v>
      </c>
      <c r="L227" s="91" t="str">
        <f t="shared" si="4"/>
        <v>Sat</v>
      </c>
      <c r="M227" s="78" t="str">
        <f>IFERROR(VLOOKUP(A227, Entries!A:B,2,false),"")</f>
        <v>Cheesecake Dev</v>
      </c>
      <c r="N227" s="23" t="str">
        <f>IFERROR(VLOOKUP(A227, Entries!A:K,11,false),"")</f>
        <v/>
      </c>
      <c r="O227" s="23" t="b">
        <f>IFERROR(VLOOKUP(A227, Entries!A:I,8,false),"")</f>
        <v>0</v>
      </c>
    </row>
    <row r="228">
      <c r="A228" s="78" t="s">
        <v>375</v>
      </c>
      <c r="B228" s="78" t="s">
        <v>22</v>
      </c>
      <c r="C228" s="85">
        <v>44043.0</v>
      </c>
      <c r="D228" s="85">
        <v>44056.0</v>
      </c>
      <c r="E228" s="86">
        <v>5.33</v>
      </c>
      <c r="F228" s="87">
        <v>8.55</v>
      </c>
      <c r="G228" s="88">
        <f t="shared" si="1"/>
        <v>3.22</v>
      </c>
      <c r="H228" s="89">
        <f t="shared" si="2"/>
        <v>0.3766081871</v>
      </c>
      <c r="I228" s="78" t="s">
        <v>389</v>
      </c>
      <c r="J228" s="78" t="s">
        <v>69</v>
      </c>
      <c r="K228" s="58">
        <f t="shared" si="3"/>
        <v>13</v>
      </c>
      <c r="L228" s="91" t="str">
        <f t="shared" si="4"/>
        <v>Thu</v>
      </c>
      <c r="M228" s="78" t="str">
        <f>IFERROR(VLOOKUP(A228, Entries!A:B,2,false),"")</f>
        <v>Survios</v>
      </c>
      <c r="N228" s="23" t="str">
        <f>IFERROR(VLOOKUP(A228, Entries!A:K,11,false),"")</f>
        <v/>
      </c>
      <c r="O228" s="23" t="b">
        <f>IFERROR(VLOOKUP(A228, Entries!A:I,8,false),"")</f>
        <v>1</v>
      </c>
    </row>
    <row r="229">
      <c r="A229" s="78" t="s">
        <v>375</v>
      </c>
      <c r="B229" s="78" t="s">
        <v>22</v>
      </c>
      <c r="C229" s="85">
        <v>44043.0</v>
      </c>
      <c r="D229" s="85">
        <v>44097.0</v>
      </c>
      <c r="E229" s="86">
        <v>5.33</v>
      </c>
      <c r="F229" s="87">
        <v>6.91</v>
      </c>
      <c r="G229" s="88">
        <f t="shared" si="1"/>
        <v>1.58</v>
      </c>
      <c r="H229" s="89">
        <f t="shared" si="2"/>
        <v>0.2286541245</v>
      </c>
      <c r="I229" s="78" t="s">
        <v>390</v>
      </c>
      <c r="J229" s="78" t="s">
        <v>69</v>
      </c>
      <c r="K229" s="58">
        <f t="shared" si="3"/>
        <v>54</v>
      </c>
      <c r="L229" s="91" t="str">
        <f t="shared" si="4"/>
        <v>Wed</v>
      </c>
      <c r="M229" s="78" t="str">
        <f>IFERROR(VLOOKUP(A229, Entries!A:B,2,false),"")</f>
        <v>Survios</v>
      </c>
      <c r="N229" s="23" t="str">
        <f>IFERROR(VLOOKUP(A229, Entries!A:K,11,false),"")</f>
        <v/>
      </c>
      <c r="O229" s="23" t="b">
        <f>IFERROR(VLOOKUP(A229, Entries!A:I,8,false),"")</f>
        <v>1</v>
      </c>
    </row>
    <row r="230">
      <c r="A230" s="78" t="s">
        <v>391</v>
      </c>
      <c r="B230" s="78" t="s">
        <v>22</v>
      </c>
      <c r="C230" s="85">
        <v>44043.0</v>
      </c>
      <c r="D230" s="85">
        <v>44113.0</v>
      </c>
      <c r="E230" s="86">
        <v>1.42</v>
      </c>
      <c r="F230" s="87">
        <v>1.62</v>
      </c>
      <c r="G230" s="88">
        <f t="shared" si="1"/>
        <v>0.2</v>
      </c>
      <c r="H230" s="89">
        <f t="shared" si="2"/>
        <v>0.1234567901</v>
      </c>
      <c r="I230" s="78" t="s">
        <v>392</v>
      </c>
      <c r="J230" s="78" t="s">
        <v>69</v>
      </c>
      <c r="K230" s="58">
        <f t="shared" si="3"/>
        <v>70</v>
      </c>
      <c r="L230" s="91" t="str">
        <f t="shared" si="4"/>
        <v>Fri</v>
      </c>
      <c r="M230" s="78" t="str">
        <f>IFERROR(VLOOKUP(A230, Entries!A:B,2,false),"")</f>
        <v>Daedalic Entertainment</v>
      </c>
      <c r="N230" s="23" t="str">
        <f>IFERROR(VLOOKUP(A230, Entries!A:K,11,false),"")</f>
        <v/>
      </c>
      <c r="O230" s="23" t="b">
        <f>IFERROR(VLOOKUP(A230, Entries!A:I,8,false),"")</f>
        <v>0</v>
      </c>
    </row>
    <row r="231">
      <c r="A231" s="78" t="s">
        <v>67</v>
      </c>
      <c r="B231" s="78" t="s">
        <v>23</v>
      </c>
      <c r="C231" s="85">
        <v>44043.0</v>
      </c>
      <c r="D231" s="85">
        <v>44277.0</v>
      </c>
      <c r="E231" s="86">
        <v>3.84</v>
      </c>
      <c r="F231" s="87">
        <v>5.04</v>
      </c>
      <c r="G231" s="88">
        <f t="shared" si="1"/>
        <v>1.2</v>
      </c>
      <c r="H231" s="89">
        <f t="shared" si="2"/>
        <v>0.2380952381</v>
      </c>
      <c r="I231" s="78" t="s">
        <v>393</v>
      </c>
      <c r="J231" s="78" t="s">
        <v>69</v>
      </c>
      <c r="K231" s="58">
        <f t="shared" si="3"/>
        <v>234</v>
      </c>
      <c r="L231" s="91" t="str">
        <f t="shared" si="4"/>
        <v>Mon</v>
      </c>
      <c r="M231" s="78" t="str">
        <f>IFERROR(VLOOKUP(A231, Entries!A:B,2,false),"")</f>
        <v>SEGA</v>
      </c>
      <c r="N231" s="23" t="str">
        <f>IFERROR(VLOOKUP(A231, Entries!A:K,11,false),"")</f>
        <v/>
      </c>
      <c r="O231" s="23" t="b">
        <f>IFERROR(VLOOKUP(A231, Entries!A:I,8,false),"")</f>
        <v>0</v>
      </c>
    </row>
    <row r="232">
      <c r="A232" s="78" t="s">
        <v>67</v>
      </c>
      <c r="B232" s="78" t="s">
        <v>23</v>
      </c>
      <c r="C232" s="85">
        <v>44043.0</v>
      </c>
      <c r="D232" s="85">
        <v>44277.0</v>
      </c>
      <c r="E232" s="86">
        <v>3.84</v>
      </c>
      <c r="F232" s="87">
        <v>5.04</v>
      </c>
      <c r="G232" s="88">
        <f t="shared" si="1"/>
        <v>1.2</v>
      </c>
      <c r="H232" s="89">
        <f t="shared" si="2"/>
        <v>0.2380952381</v>
      </c>
      <c r="I232" s="78" t="s">
        <v>394</v>
      </c>
      <c r="J232" s="78" t="s">
        <v>69</v>
      </c>
      <c r="K232" s="58">
        <f t="shared" si="3"/>
        <v>234</v>
      </c>
      <c r="L232" s="91" t="str">
        <f t="shared" si="4"/>
        <v>Mon</v>
      </c>
      <c r="M232" s="78" t="str">
        <f>IFERROR(VLOOKUP(A232, Entries!A:B,2,false),"")</f>
        <v>SEGA</v>
      </c>
      <c r="N232" s="23" t="str">
        <f>IFERROR(VLOOKUP(A232, Entries!A:K,11,false),"")</f>
        <v/>
      </c>
      <c r="O232" s="23" t="b">
        <f>IFERROR(VLOOKUP(A232, Entries!A:I,8,false),"")</f>
        <v>0</v>
      </c>
    </row>
    <row r="233">
      <c r="A233" s="78" t="s">
        <v>373</v>
      </c>
      <c r="B233" s="78" t="s">
        <v>19</v>
      </c>
      <c r="C233" s="85">
        <v>44044.0</v>
      </c>
      <c r="D233" s="85">
        <v>44046.0</v>
      </c>
      <c r="E233" s="86">
        <v>5.39</v>
      </c>
      <c r="F233" s="87">
        <v>9.91</v>
      </c>
      <c r="G233" s="88">
        <f t="shared" si="1"/>
        <v>4.52</v>
      </c>
      <c r="H233" s="89">
        <f t="shared" si="2"/>
        <v>0.4561049445</v>
      </c>
      <c r="I233" s="78" t="s">
        <v>395</v>
      </c>
      <c r="J233" s="78" t="s">
        <v>69</v>
      </c>
      <c r="K233" s="58">
        <f t="shared" si="3"/>
        <v>2</v>
      </c>
      <c r="L233" s="91" t="str">
        <f t="shared" si="4"/>
        <v>Mon</v>
      </c>
      <c r="M233" s="78" t="str">
        <f>IFERROR(VLOOKUP(A233, Entries!A:B,2,false),"")</f>
        <v>Beamdog</v>
      </c>
      <c r="N233" s="23" t="str">
        <f>IFERROR(VLOOKUP(A233, Entries!A:K,11,false),"")</f>
        <v/>
      </c>
      <c r="O233" s="23" t="b">
        <f>IFERROR(VLOOKUP(A233, Entries!A:I,8,false),"")</f>
        <v>1</v>
      </c>
    </row>
    <row r="234">
      <c r="A234" s="78" t="s">
        <v>373</v>
      </c>
      <c r="B234" s="78" t="s">
        <v>19</v>
      </c>
      <c r="C234" s="85">
        <v>44044.0</v>
      </c>
      <c r="D234" s="85">
        <v>44048.0</v>
      </c>
      <c r="E234" s="86">
        <v>5.39</v>
      </c>
      <c r="F234" s="87">
        <v>9.9</v>
      </c>
      <c r="G234" s="88">
        <f t="shared" si="1"/>
        <v>4.51</v>
      </c>
      <c r="H234" s="89">
        <f t="shared" si="2"/>
        <v>0.4555555556</v>
      </c>
      <c r="I234" s="78" t="s">
        <v>396</v>
      </c>
      <c r="J234" s="78" t="s">
        <v>69</v>
      </c>
      <c r="K234" s="58">
        <f t="shared" si="3"/>
        <v>4</v>
      </c>
      <c r="L234" s="91" t="str">
        <f t="shared" si="4"/>
        <v>Wed</v>
      </c>
      <c r="M234" s="78" t="str">
        <f>IFERROR(VLOOKUP(A234, Entries!A:B,2,false),"")</f>
        <v>Beamdog</v>
      </c>
      <c r="N234" s="23" t="str">
        <f>IFERROR(VLOOKUP(A234, Entries!A:K,11,false),"")</f>
        <v/>
      </c>
      <c r="O234" s="23" t="b">
        <f>IFERROR(VLOOKUP(A234, Entries!A:I,8,false),"")</f>
        <v>1</v>
      </c>
    </row>
    <row r="235">
      <c r="A235" s="78" t="s">
        <v>368</v>
      </c>
      <c r="B235" s="78" t="s">
        <v>21</v>
      </c>
      <c r="C235" s="85">
        <v>44044.0</v>
      </c>
      <c r="D235" s="85">
        <v>44044.0</v>
      </c>
      <c r="E235" s="86">
        <v>1.2</v>
      </c>
      <c r="F235" s="87">
        <v>1.93</v>
      </c>
      <c r="G235" s="88">
        <f t="shared" si="1"/>
        <v>0.73</v>
      </c>
      <c r="H235" s="89">
        <f t="shared" si="2"/>
        <v>0.378238342</v>
      </c>
      <c r="I235" s="78" t="s">
        <v>397</v>
      </c>
      <c r="J235" s="78" t="s">
        <v>69</v>
      </c>
      <c r="K235" s="58">
        <f t="shared" si="3"/>
        <v>0</v>
      </c>
      <c r="L235" s="91" t="str">
        <f t="shared" si="4"/>
        <v>Sat</v>
      </c>
      <c r="M235" s="78" t="str">
        <f>IFERROR(VLOOKUP(A235, Entries!A:B,2,false),"")</f>
        <v>Autumn Games</v>
      </c>
      <c r="N235" s="23" t="str">
        <f>IFERROR(VLOOKUP(A235, Entries!A:K,11,false),"")</f>
        <v/>
      </c>
      <c r="O235" s="23" t="b">
        <f>IFERROR(VLOOKUP(A235, Entries!A:I,8,false),"")</f>
        <v>0</v>
      </c>
    </row>
    <row r="236">
      <c r="A236" s="78" t="s">
        <v>398</v>
      </c>
      <c r="B236" s="78" t="s">
        <v>23</v>
      </c>
      <c r="C236" s="85">
        <v>44044.0</v>
      </c>
      <c r="D236" s="85">
        <v>44051.0</v>
      </c>
      <c r="E236" s="86">
        <v>7.22</v>
      </c>
      <c r="F236" s="87">
        <v>8.09</v>
      </c>
      <c r="G236" s="88">
        <f t="shared" si="1"/>
        <v>0.87</v>
      </c>
      <c r="H236" s="89">
        <f t="shared" si="2"/>
        <v>0.1075401731</v>
      </c>
      <c r="I236" s="78" t="s">
        <v>399</v>
      </c>
      <c r="J236" s="78" t="s">
        <v>69</v>
      </c>
      <c r="K236" s="58">
        <f t="shared" si="3"/>
        <v>7</v>
      </c>
      <c r="L236" s="91" t="str">
        <f t="shared" si="4"/>
        <v>Sat</v>
      </c>
      <c r="M236" s="78" t="str">
        <f>IFERROR(VLOOKUP(A236, Entries!A:B,2,false),"")</f>
        <v>BANDAI NAMCO</v>
      </c>
      <c r="N236" s="23" t="str">
        <f>IFERROR(VLOOKUP(A236, Entries!A:K,11,false),"")</f>
        <v/>
      </c>
      <c r="O236" s="23" t="b">
        <f>IFERROR(VLOOKUP(A236, Entries!A:I,8,false),"")</f>
        <v>0</v>
      </c>
    </row>
    <row r="237">
      <c r="A237" s="78" t="s">
        <v>400</v>
      </c>
      <c r="B237" s="78" t="s">
        <v>23</v>
      </c>
      <c r="C237" s="85">
        <v>44044.0</v>
      </c>
      <c r="D237" s="85">
        <v>44100.0</v>
      </c>
      <c r="E237" s="86">
        <v>10.19</v>
      </c>
      <c r="F237" s="87">
        <v>14.99</v>
      </c>
      <c r="G237" s="88">
        <f t="shared" si="1"/>
        <v>4.8</v>
      </c>
      <c r="H237" s="89">
        <f t="shared" si="2"/>
        <v>0.3202134757</v>
      </c>
      <c r="I237" s="78" t="s">
        <v>401</v>
      </c>
      <c r="J237" s="78" t="s">
        <v>69</v>
      </c>
      <c r="K237" s="58">
        <f t="shared" si="3"/>
        <v>56</v>
      </c>
      <c r="L237" s="91" t="str">
        <f t="shared" si="4"/>
        <v>Sat</v>
      </c>
      <c r="M237" s="78" t="str">
        <f>IFERROR(VLOOKUP(A237, Entries!A:B,2,false),"")</f>
        <v>CAPCOM</v>
      </c>
      <c r="N237" s="23" t="str">
        <f>IFERROR(VLOOKUP(A237, Entries!A:K,11,false),"")</f>
        <v/>
      </c>
      <c r="O237" s="23" t="b">
        <f>IFERROR(VLOOKUP(A237, Entries!A:I,8,false),"")</f>
        <v>0</v>
      </c>
    </row>
    <row r="238">
      <c r="A238" s="78" t="s">
        <v>368</v>
      </c>
      <c r="B238" s="78" t="s">
        <v>21</v>
      </c>
      <c r="C238" s="85">
        <v>44044.0</v>
      </c>
      <c r="D238" s="85">
        <v>44086.0</v>
      </c>
      <c r="E238" s="86">
        <v>1.2</v>
      </c>
      <c r="F238" s="87">
        <v>1.65</v>
      </c>
      <c r="G238" s="88">
        <f t="shared" si="1"/>
        <v>0.45</v>
      </c>
      <c r="H238" s="89">
        <f t="shared" si="2"/>
        <v>0.2727272727</v>
      </c>
      <c r="I238" s="78" t="s">
        <v>402</v>
      </c>
      <c r="J238" s="78" t="s">
        <v>69</v>
      </c>
      <c r="K238" s="58">
        <f t="shared" si="3"/>
        <v>42</v>
      </c>
      <c r="L238" s="91" t="str">
        <f t="shared" si="4"/>
        <v>Sat</v>
      </c>
      <c r="M238" s="78" t="str">
        <f>IFERROR(VLOOKUP(A238, Entries!A:B,2,false),"")</f>
        <v>Autumn Games</v>
      </c>
      <c r="N238" s="23" t="str">
        <f>IFERROR(VLOOKUP(A238, Entries!A:K,11,false),"")</f>
        <v/>
      </c>
      <c r="O238" s="23" t="b">
        <f>IFERROR(VLOOKUP(A238, Entries!A:I,8,false),"")</f>
        <v>0</v>
      </c>
    </row>
    <row r="239">
      <c r="A239" s="78" t="s">
        <v>403</v>
      </c>
      <c r="B239" s="78" t="s">
        <v>23</v>
      </c>
      <c r="C239" s="85">
        <v>44045.0</v>
      </c>
      <c r="D239" s="85">
        <v>44047.0</v>
      </c>
      <c r="E239" s="86">
        <v>10.62</v>
      </c>
      <c r="F239" s="87">
        <v>13.57</v>
      </c>
      <c r="G239" s="88">
        <f t="shared" si="1"/>
        <v>2.95</v>
      </c>
      <c r="H239" s="89">
        <f t="shared" si="2"/>
        <v>0.2173913043</v>
      </c>
      <c r="I239" s="78" t="s">
        <v>404</v>
      </c>
      <c r="J239" s="78" t="s">
        <v>69</v>
      </c>
      <c r="K239" s="58">
        <f t="shared" si="3"/>
        <v>2</v>
      </c>
      <c r="L239" s="91" t="str">
        <f t="shared" si="4"/>
        <v>Tue</v>
      </c>
      <c r="M239" s="78" t="str">
        <f>IFERROR(VLOOKUP(A239, Entries!A:B,2,false),"")</f>
        <v>Motion Twin</v>
      </c>
      <c r="N239" s="23" t="str">
        <f>IFERROR(VLOOKUP(A239, Entries!A:K,11,false),"")</f>
        <v/>
      </c>
      <c r="O239" s="23" t="b">
        <f>IFERROR(VLOOKUP(A239, Entries!A:I,8,false),"")</f>
        <v>0</v>
      </c>
    </row>
    <row r="240">
      <c r="A240" s="78" t="s">
        <v>373</v>
      </c>
      <c r="B240" s="78" t="s">
        <v>19</v>
      </c>
      <c r="C240" s="85">
        <v>44046.0</v>
      </c>
      <c r="D240" s="85">
        <v>44057.0</v>
      </c>
      <c r="E240" s="86">
        <v>5.38</v>
      </c>
      <c r="F240" s="87">
        <v>7.74</v>
      </c>
      <c r="G240" s="88">
        <f t="shared" si="1"/>
        <v>2.36</v>
      </c>
      <c r="H240" s="89">
        <f t="shared" si="2"/>
        <v>0.3049095607</v>
      </c>
      <c r="I240" s="78" t="s">
        <v>405</v>
      </c>
      <c r="J240" s="78" t="s">
        <v>69</v>
      </c>
      <c r="K240" s="58">
        <f t="shared" si="3"/>
        <v>11</v>
      </c>
      <c r="L240" s="91" t="str">
        <f t="shared" si="4"/>
        <v>Fri</v>
      </c>
      <c r="M240" s="78" t="str">
        <f>IFERROR(VLOOKUP(A240, Entries!A:B,2,false),"")</f>
        <v>Beamdog</v>
      </c>
      <c r="N240" s="23" t="str">
        <f>IFERROR(VLOOKUP(A240, Entries!A:K,11,false),"")</f>
        <v/>
      </c>
      <c r="O240" s="23" t="b">
        <f>IFERROR(VLOOKUP(A240, Entries!A:I,8,false),"")</f>
        <v>1</v>
      </c>
    </row>
    <row r="241">
      <c r="A241" s="78" t="s">
        <v>406</v>
      </c>
      <c r="B241" s="78" t="s">
        <v>19</v>
      </c>
      <c r="C241" s="85">
        <v>44046.0</v>
      </c>
      <c r="D241" s="85">
        <v>44054.0</v>
      </c>
      <c r="E241" s="86">
        <v>12.78</v>
      </c>
      <c r="F241" s="87">
        <v>16.67</v>
      </c>
      <c r="G241" s="88">
        <f t="shared" si="1"/>
        <v>3.89</v>
      </c>
      <c r="H241" s="89">
        <f t="shared" si="2"/>
        <v>0.2333533293</v>
      </c>
      <c r="I241" s="78" t="s">
        <v>407</v>
      </c>
      <c r="J241" s="78" t="s">
        <v>69</v>
      </c>
      <c r="K241" s="58">
        <f t="shared" si="3"/>
        <v>8</v>
      </c>
      <c r="L241" s="91" t="str">
        <f t="shared" si="4"/>
        <v>Tue</v>
      </c>
      <c r="M241" s="78" t="str">
        <f>IFERROR(VLOOKUP(A241, Entries!A:B,2,false),"")</f>
        <v>Focus Home Interactive</v>
      </c>
      <c r="N241" s="23" t="str">
        <f>IFERROR(VLOOKUP(A241, Entries!A:K,11,false),"")</f>
        <v/>
      </c>
      <c r="O241" s="23" t="b">
        <f>IFERROR(VLOOKUP(A241, Entries!A:I,8,false),"")</f>
        <v>0</v>
      </c>
    </row>
    <row r="242">
      <c r="A242" s="78" t="s">
        <v>408</v>
      </c>
      <c r="B242" s="78" t="s">
        <v>19</v>
      </c>
      <c r="C242" s="85">
        <v>44046.0</v>
      </c>
      <c r="D242" s="85">
        <v>44163.0</v>
      </c>
      <c r="E242" s="86">
        <v>0.0</v>
      </c>
      <c r="F242" s="87">
        <v>0.63</v>
      </c>
      <c r="G242" s="88">
        <f t="shared" si="1"/>
        <v>0.63</v>
      </c>
      <c r="H242" s="89">
        <f t="shared" si="2"/>
        <v>1</v>
      </c>
      <c r="I242" s="78" t="s">
        <v>409</v>
      </c>
      <c r="J242" s="78" t="s">
        <v>69</v>
      </c>
      <c r="K242" s="58">
        <f t="shared" si="3"/>
        <v>117</v>
      </c>
      <c r="L242" s="91" t="str">
        <f t="shared" si="4"/>
        <v>Sat</v>
      </c>
      <c r="M242" s="78" t="str">
        <f>IFERROR(VLOOKUP(A242, Entries!A:B,2,false),"")</f>
        <v>Camouflaj</v>
      </c>
      <c r="N242" s="23" t="str">
        <f>IFERROR(VLOOKUP(A242, Entries!A:K,11,false),"")</f>
        <v/>
      </c>
      <c r="O242" s="23" t="b">
        <f>IFERROR(VLOOKUP(A242, Entries!A:I,8,false),"")</f>
        <v>0</v>
      </c>
    </row>
    <row r="243">
      <c r="A243" s="78" t="s">
        <v>408</v>
      </c>
      <c r="B243" s="78" t="s">
        <v>19</v>
      </c>
      <c r="C243" s="85">
        <v>44046.0</v>
      </c>
      <c r="D243" s="85">
        <v>44162.0</v>
      </c>
      <c r="E243" s="86">
        <v>0.0</v>
      </c>
      <c r="F243" s="87">
        <v>0.65</v>
      </c>
      <c r="G243" s="88">
        <f t="shared" si="1"/>
        <v>0.65</v>
      </c>
      <c r="H243" s="89">
        <f t="shared" si="2"/>
        <v>1</v>
      </c>
      <c r="I243" s="78" t="s">
        <v>410</v>
      </c>
      <c r="J243" s="78" t="s">
        <v>69</v>
      </c>
      <c r="K243" s="58">
        <f t="shared" si="3"/>
        <v>116</v>
      </c>
      <c r="L243" s="91" t="str">
        <f t="shared" si="4"/>
        <v>Fri</v>
      </c>
      <c r="M243" s="78" t="str">
        <f>IFERROR(VLOOKUP(A243, Entries!A:B,2,false),"")</f>
        <v>Camouflaj</v>
      </c>
      <c r="N243" s="23" t="str">
        <f>IFERROR(VLOOKUP(A243, Entries!A:K,11,false),"")</f>
        <v/>
      </c>
      <c r="O243" s="23" t="b">
        <f>IFERROR(VLOOKUP(A243, Entries!A:I,8,false),"")</f>
        <v>0</v>
      </c>
    </row>
    <row r="244">
      <c r="A244" s="78" t="s">
        <v>411</v>
      </c>
      <c r="B244" s="78" t="s">
        <v>19</v>
      </c>
      <c r="C244" s="85">
        <v>44046.0</v>
      </c>
      <c r="D244" s="85">
        <v>44059.0</v>
      </c>
      <c r="E244" s="86">
        <v>7.57</v>
      </c>
      <c r="F244" s="87">
        <v>10.11</v>
      </c>
      <c r="G244" s="88">
        <f t="shared" si="1"/>
        <v>2.54</v>
      </c>
      <c r="H244" s="89">
        <f t="shared" si="2"/>
        <v>0.2512363996</v>
      </c>
      <c r="I244" s="78" t="s">
        <v>412</v>
      </c>
      <c r="J244" s="78" t="s">
        <v>69</v>
      </c>
      <c r="K244" s="58">
        <f t="shared" si="3"/>
        <v>13</v>
      </c>
      <c r="L244" s="91" t="str">
        <f t="shared" si="4"/>
        <v>Sun</v>
      </c>
      <c r="M244" s="78" t="str">
        <f>IFERROR(VLOOKUP(A244, Entries!A:B,2,false),"")</f>
        <v>ROCKFISH Games</v>
      </c>
      <c r="N244" s="23" t="str">
        <f>IFERROR(VLOOKUP(A244, Entries!A:K,11,false),"")</f>
        <v/>
      </c>
      <c r="O244" s="23" t="b">
        <f>IFERROR(VLOOKUP(A244, Entries!A:I,8,false),"")</f>
        <v>0</v>
      </c>
    </row>
    <row r="245">
      <c r="A245" s="78" t="s">
        <v>343</v>
      </c>
      <c r="B245" s="78" t="s">
        <v>19</v>
      </c>
      <c r="C245" s="85">
        <v>44046.0</v>
      </c>
      <c r="D245" s="85">
        <v>44052.0</v>
      </c>
      <c r="E245" s="86">
        <v>0.41</v>
      </c>
      <c r="F245" s="87">
        <v>2.01</v>
      </c>
      <c r="G245" s="88">
        <f t="shared" si="1"/>
        <v>1.6</v>
      </c>
      <c r="H245" s="89">
        <f t="shared" si="2"/>
        <v>0.7960199005</v>
      </c>
      <c r="I245" s="78" t="s">
        <v>413</v>
      </c>
      <c r="J245" s="78" t="s">
        <v>69</v>
      </c>
      <c r="K245" s="58">
        <f t="shared" si="3"/>
        <v>6</v>
      </c>
      <c r="L245" s="91" t="str">
        <f t="shared" si="4"/>
        <v>Sun</v>
      </c>
      <c r="M245" s="78" t="str">
        <f>IFERROR(VLOOKUP(A245, Entries!A:B,2,false),"")</f>
        <v>Rogueside</v>
      </c>
      <c r="N245" s="23" t="str">
        <f>IFERROR(VLOOKUP(A245, Entries!A:K,11,false),"")</f>
        <v/>
      </c>
      <c r="O245" s="23" t="b">
        <f>IFERROR(VLOOKUP(A245, Entries!A:I,8,false),"")</f>
        <v>0</v>
      </c>
    </row>
    <row r="246">
      <c r="A246" s="78" t="s">
        <v>349</v>
      </c>
      <c r="B246" s="78" t="s">
        <v>19</v>
      </c>
      <c r="C246" s="85">
        <v>44046.0</v>
      </c>
      <c r="D246" s="85">
        <v>44052.0</v>
      </c>
      <c r="E246" s="86">
        <v>0.42</v>
      </c>
      <c r="F246" s="87">
        <v>1.59</v>
      </c>
      <c r="G246" s="88">
        <f t="shared" si="1"/>
        <v>1.17</v>
      </c>
      <c r="H246" s="89">
        <f t="shared" si="2"/>
        <v>0.7358490566</v>
      </c>
      <c r="I246" s="78" t="s">
        <v>414</v>
      </c>
      <c r="J246" s="78" t="s">
        <v>69</v>
      </c>
      <c r="K246" s="58">
        <f t="shared" si="3"/>
        <v>6</v>
      </c>
      <c r="L246" s="91" t="str">
        <f t="shared" si="4"/>
        <v>Sun</v>
      </c>
      <c r="M246" s="78" t="str">
        <f>IFERROR(VLOOKUP(A246, Entries!A:B,2,false),"")</f>
        <v>Alawar Premium</v>
      </c>
      <c r="N246" s="23" t="str">
        <f>IFERROR(VLOOKUP(A246, Entries!A:K,11,false),"")</f>
        <v/>
      </c>
      <c r="O246" s="23" t="b">
        <f>IFERROR(VLOOKUP(A246, Entries!A:I,8,false),"")</f>
        <v>0</v>
      </c>
    </row>
    <row r="247">
      <c r="A247" s="78" t="s">
        <v>355</v>
      </c>
      <c r="B247" s="78" t="s">
        <v>19</v>
      </c>
      <c r="C247" s="85">
        <v>44046.0</v>
      </c>
      <c r="D247" s="85">
        <v>44049.0</v>
      </c>
      <c r="E247" s="86">
        <v>0.42</v>
      </c>
      <c r="F247" s="87">
        <v>0.49</v>
      </c>
      <c r="G247" s="88">
        <f t="shared" si="1"/>
        <v>0.07</v>
      </c>
      <c r="H247" s="89">
        <f t="shared" si="2"/>
        <v>0.1428571429</v>
      </c>
      <c r="I247" s="78" t="s">
        <v>415</v>
      </c>
      <c r="J247" s="78" t="s">
        <v>69</v>
      </c>
      <c r="K247" s="58">
        <f t="shared" si="3"/>
        <v>3</v>
      </c>
      <c r="L247" s="91" t="str">
        <f t="shared" si="4"/>
        <v>Thu</v>
      </c>
      <c r="M247" s="78" t="str">
        <f>IFERROR(VLOOKUP(A247, Entries!A:B,2,false),"")</f>
        <v>Alawar Premium</v>
      </c>
      <c r="N247" s="23" t="str">
        <f>IFERROR(VLOOKUP(A247, Entries!A:K,11,false),"")</f>
        <v/>
      </c>
      <c r="O247" s="23" t="b">
        <f>IFERROR(VLOOKUP(A247, Entries!A:I,8,false),"")</f>
        <v>0</v>
      </c>
    </row>
    <row r="248">
      <c r="A248" s="78" t="s">
        <v>347</v>
      </c>
      <c r="B248" s="78" t="s">
        <v>19</v>
      </c>
      <c r="C248" s="85">
        <v>44046.0</v>
      </c>
      <c r="D248" s="85">
        <v>44052.0</v>
      </c>
      <c r="E248" s="86">
        <v>0.42</v>
      </c>
      <c r="F248" s="87">
        <v>1.8</v>
      </c>
      <c r="G248" s="88">
        <f t="shared" si="1"/>
        <v>1.38</v>
      </c>
      <c r="H248" s="89">
        <f t="shared" si="2"/>
        <v>0.7666666667</v>
      </c>
      <c r="I248" s="78" t="s">
        <v>416</v>
      </c>
      <c r="J248" s="78" t="s">
        <v>69</v>
      </c>
      <c r="K248" s="58">
        <f t="shared" si="3"/>
        <v>6</v>
      </c>
      <c r="L248" s="91" t="str">
        <f t="shared" si="4"/>
        <v>Sun</v>
      </c>
      <c r="M248" s="78" t="str">
        <f>IFERROR(VLOOKUP(A248, Entries!A:B,2,false),"")</f>
        <v>Blueside</v>
      </c>
      <c r="N248" s="23" t="str">
        <f>IFERROR(VLOOKUP(A248, Entries!A:K,11,false),"")</f>
        <v/>
      </c>
      <c r="O248" s="23" t="b">
        <f>IFERROR(VLOOKUP(A248, Entries!A:I,8,false),"")</f>
        <v>0</v>
      </c>
    </row>
    <row r="249">
      <c r="A249" s="78" t="s">
        <v>351</v>
      </c>
      <c r="B249" s="78" t="s">
        <v>19</v>
      </c>
      <c r="C249" s="85">
        <v>44046.0</v>
      </c>
      <c r="D249" s="85">
        <v>44046.0</v>
      </c>
      <c r="E249" s="86">
        <v>0.42</v>
      </c>
      <c r="F249" s="87">
        <v>0.91</v>
      </c>
      <c r="G249" s="88">
        <f t="shared" si="1"/>
        <v>0.49</v>
      </c>
      <c r="H249" s="89">
        <f t="shared" si="2"/>
        <v>0.5384615385</v>
      </c>
      <c r="I249" s="78" t="s">
        <v>417</v>
      </c>
      <c r="J249" s="78" t="s">
        <v>69</v>
      </c>
      <c r="K249" s="58">
        <f t="shared" si="3"/>
        <v>0</v>
      </c>
      <c r="L249" s="91" t="str">
        <f t="shared" si="4"/>
        <v>Mon</v>
      </c>
      <c r="M249" s="78" t="str">
        <f>IFERROR(VLOOKUP(A249, Entries!A:B,2,false),"")</f>
        <v>34BigThings</v>
      </c>
      <c r="N249" s="23" t="str">
        <f>IFERROR(VLOOKUP(A249, Entries!A:K,11,false),"")</f>
        <v/>
      </c>
      <c r="O249" s="23" t="b">
        <f>IFERROR(VLOOKUP(A249, Entries!A:I,8,false),"")</f>
        <v>0</v>
      </c>
    </row>
    <row r="250">
      <c r="A250" s="78" t="s">
        <v>359</v>
      </c>
      <c r="B250" s="78" t="s">
        <v>19</v>
      </c>
      <c r="C250" s="85">
        <v>44046.0</v>
      </c>
      <c r="D250" s="85">
        <v>44449.0</v>
      </c>
      <c r="E250" s="86">
        <v>0.42</v>
      </c>
      <c r="F250" s="87">
        <v>0.19</v>
      </c>
      <c r="G250" s="88">
        <f t="shared" si="1"/>
        <v>-0.23</v>
      </c>
      <c r="H250" s="89">
        <f t="shared" si="2"/>
        <v>-1.210526316</v>
      </c>
      <c r="I250" s="78" t="s">
        <v>418</v>
      </c>
      <c r="J250" s="78" t="s">
        <v>69</v>
      </c>
      <c r="K250" s="58">
        <f t="shared" si="3"/>
        <v>403</v>
      </c>
      <c r="L250" s="91" t="str">
        <f t="shared" si="4"/>
        <v>Fri</v>
      </c>
      <c r="M250" s="78" t="str">
        <f>IFERROR(VLOOKUP(A250, Entries!A:B,2,false),"")</f>
        <v>Camel 101</v>
      </c>
      <c r="N250" s="23" t="str">
        <f>IFERROR(VLOOKUP(A250, Entries!A:K,11,false),"")</f>
        <v/>
      </c>
      <c r="O250" s="23" t="b">
        <f>IFERROR(VLOOKUP(A250, Entries!A:I,8,false),"")</f>
        <v>0</v>
      </c>
    </row>
    <row r="251">
      <c r="A251" s="78" t="s">
        <v>345</v>
      </c>
      <c r="B251" s="78" t="s">
        <v>19</v>
      </c>
      <c r="C251" s="85">
        <v>44046.0</v>
      </c>
      <c r="D251" s="85">
        <v>44060.0</v>
      </c>
      <c r="E251" s="86">
        <v>0.42</v>
      </c>
      <c r="F251" s="87">
        <v>1.21</v>
      </c>
      <c r="G251" s="88">
        <f t="shared" si="1"/>
        <v>0.79</v>
      </c>
      <c r="H251" s="89">
        <f t="shared" si="2"/>
        <v>0.652892562</v>
      </c>
      <c r="I251" s="78" t="s">
        <v>419</v>
      </c>
      <c r="J251" s="78" t="s">
        <v>69</v>
      </c>
      <c r="K251" s="58">
        <f t="shared" si="3"/>
        <v>14</v>
      </c>
      <c r="L251" s="91" t="str">
        <f t="shared" si="4"/>
        <v>Mon</v>
      </c>
      <c r="M251" s="78" t="str">
        <f>IFERROR(VLOOKUP(A251, Entries!A:B,2,false),"")</f>
        <v>Focus Home Interactive</v>
      </c>
      <c r="N251" s="23" t="str">
        <f>IFERROR(VLOOKUP(A251, Entries!A:K,11,false),"")</f>
        <v/>
      </c>
      <c r="O251" s="23" t="b">
        <f>IFERROR(VLOOKUP(A251, Entries!A:I,8,false),"")</f>
        <v>0</v>
      </c>
    </row>
    <row r="252">
      <c r="A252" s="78" t="s">
        <v>341</v>
      </c>
      <c r="B252" s="78" t="s">
        <v>19</v>
      </c>
      <c r="C252" s="85">
        <v>44046.0</v>
      </c>
      <c r="D252" s="85">
        <v>44107.0</v>
      </c>
      <c r="E252" s="86">
        <v>0.42</v>
      </c>
      <c r="F252" s="87">
        <v>0.85</v>
      </c>
      <c r="G252" s="88">
        <f t="shared" si="1"/>
        <v>0.43</v>
      </c>
      <c r="H252" s="89">
        <f t="shared" si="2"/>
        <v>0.5058823529</v>
      </c>
      <c r="I252" s="78" t="s">
        <v>420</v>
      </c>
      <c r="J252" s="78" t="s">
        <v>69</v>
      </c>
      <c r="K252" s="58">
        <f t="shared" si="3"/>
        <v>61</v>
      </c>
      <c r="L252" s="91" t="str">
        <f t="shared" si="4"/>
        <v>Sat</v>
      </c>
      <c r="M252" s="78" t="str">
        <f>IFERROR(VLOOKUP(A252, Entries!A:B,2,false),"")</f>
        <v>Headup</v>
      </c>
      <c r="N252" s="23" t="str">
        <f>IFERROR(VLOOKUP(A252, Entries!A:K,11,false),"")</f>
        <v/>
      </c>
      <c r="O252" s="23" t="b">
        <f>IFERROR(VLOOKUP(A252, Entries!A:I,8,false),"")</f>
        <v>0</v>
      </c>
    </row>
    <row r="253">
      <c r="A253" s="78" t="s">
        <v>357</v>
      </c>
      <c r="B253" s="78" t="s">
        <v>19</v>
      </c>
      <c r="C253" s="85">
        <v>44046.0</v>
      </c>
      <c r="D253" s="85">
        <v>44083.0</v>
      </c>
      <c r="E253" s="86">
        <v>0.42</v>
      </c>
      <c r="F253" s="87">
        <v>0.48</v>
      </c>
      <c r="G253" s="88">
        <f t="shared" si="1"/>
        <v>0.06</v>
      </c>
      <c r="H253" s="89">
        <f t="shared" si="2"/>
        <v>0.125</v>
      </c>
      <c r="I253" s="78" t="s">
        <v>421</v>
      </c>
      <c r="J253" s="78" t="s">
        <v>69</v>
      </c>
      <c r="K253" s="58">
        <f t="shared" si="3"/>
        <v>37</v>
      </c>
      <c r="L253" s="91" t="str">
        <f t="shared" si="4"/>
        <v>Wed</v>
      </c>
      <c r="M253" s="78" t="str">
        <f>IFERROR(VLOOKUP(A253, Entries!A:B,2,false),"")</f>
        <v>Frozenbyte</v>
      </c>
      <c r="N253" s="23" t="str">
        <f>IFERROR(VLOOKUP(A253, Entries!A:K,11,false),"")</f>
        <v/>
      </c>
      <c r="O253" s="23" t="b">
        <f>IFERROR(VLOOKUP(A253, Entries!A:I,8,false),"")</f>
        <v>0</v>
      </c>
    </row>
    <row r="254">
      <c r="A254" s="78" t="s">
        <v>353</v>
      </c>
      <c r="B254" s="78" t="s">
        <v>19</v>
      </c>
      <c r="C254" s="85">
        <v>44046.0</v>
      </c>
      <c r="D254" s="85">
        <v>44051.0</v>
      </c>
      <c r="E254" s="86">
        <v>0.42</v>
      </c>
      <c r="F254" s="87">
        <v>1.26</v>
      </c>
      <c r="G254" s="88">
        <f t="shared" si="1"/>
        <v>0.84</v>
      </c>
      <c r="H254" s="89">
        <f t="shared" si="2"/>
        <v>0.6666666667</v>
      </c>
      <c r="I254" s="78" t="s">
        <v>422</v>
      </c>
      <c r="J254" s="78" t="s">
        <v>69</v>
      </c>
      <c r="K254" s="58">
        <f t="shared" si="3"/>
        <v>5</v>
      </c>
      <c r="L254" s="91" t="str">
        <f t="shared" si="4"/>
        <v>Sat</v>
      </c>
      <c r="M254" s="78" t="str">
        <f>IFERROR(VLOOKUP(A254, Entries!A:B,2,false),"")</f>
        <v>Akupara Games</v>
      </c>
      <c r="N254" s="23" t="str">
        <f>IFERROR(VLOOKUP(A254, Entries!A:K,11,false),"")</f>
        <v/>
      </c>
      <c r="O254" s="23" t="b">
        <f>IFERROR(VLOOKUP(A254, Entries!A:I,8,false),"")</f>
        <v>0</v>
      </c>
    </row>
    <row r="255">
      <c r="A255" s="78" t="s">
        <v>368</v>
      </c>
      <c r="B255" s="78" t="s">
        <v>21</v>
      </c>
      <c r="C255" s="85">
        <v>44047.0</v>
      </c>
      <c r="D255" s="85">
        <v>44086.0</v>
      </c>
      <c r="E255" s="86">
        <v>1.19</v>
      </c>
      <c r="F255" s="87">
        <v>1.65</v>
      </c>
      <c r="G255" s="88">
        <f t="shared" si="1"/>
        <v>0.46</v>
      </c>
      <c r="H255" s="89">
        <f t="shared" si="2"/>
        <v>0.2787878788</v>
      </c>
      <c r="I255" s="78" t="s">
        <v>423</v>
      </c>
      <c r="J255" s="78" t="s">
        <v>69</v>
      </c>
      <c r="K255" s="58">
        <f t="shared" si="3"/>
        <v>39</v>
      </c>
      <c r="L255" s="91" t="str">
        <f t="shared" si="4"/>
        <v>Sat</v>
      </c>
      <c r="M255" s="78" t="str">
        <f>IFERROR(VLOOKUP(A255, Entries!A:B,2,false),"")</f>
        <v>Autumn Games</v>
      </c>
      <c r="N255" s="23" t="str">
        <f>IFERROR(VLOOKUP(A255, Entries!A:K,11,false),"")</f>
        <v/>
      </c>
      <c r="O255" s="23" t="b">
        <f>IFERROR(VLOOKUP(A255, Entries!A:I,8,false),"")</f>
        <v>0</v>
      </c>
    </row>
    <row r="256">
      <c r="A256" s="78" t="s">
        <v>424</v>
      </c>
      <c r="B256" s="78" t="s">
        <v>19</v>
      </c>
      <c r="C256" s="85">
        <v>44047.0</v>
      </c>
      <c r="D256" s="85">
        <v>44055.0</v>
      </c>
      <c r="E256" s="86">
        <v>12.94</v>
      </c>
      <c r="F256" s="87">
        <v>15.06</v>
      </c>
      <c r="G256" s="88">
        <f t="shared" si="1"/>
        <v>2.12</v>
      </c>
      <c r="H256" s="89">
        <f t="shared" si="2"/>
        <v>0.1407702523</v>
      </c>
      <c r="I256" s="78" t="s">
        <v>425</v>
      </c>
      <c r="J256" s="78" t="s">
        <v>69</v>
      </c>
      <c r="K256" s="58">
        <f t="shared" si="3"/>
        <v>8</v>
      </c>
      <c r="L256" s="91" t="str">
        <f t="shared" si="4"/>
        <v>Wed</v>
      </c>
      <c r="M256" s="78" t="str">
        <f>IFERROR(VLOOKUP(A256, Entries!A:B,2,false),"")</f>
        <v>Focus Home Interactive</v>
      </c>
      <c r="N256" s="23" t="str">
        <f>IFERROR(VLOOKUP(A256, Entries!A:K,11,false),"")</f>
        <v/>
      </c>
      <c r="O256" s="23" t="b">
        <f>IFERROR(VLOOKUP(A256, Entries!A:I,8,false),"")</f>
        <v>0</v>
      </c>
    </row>
    <row r="257">
      <c r="A257" s="78" t="s">
        <v>408</v>
      </c>
      <c r="B257" s="78" t="s">
        <v>19</v>
      </c>
      <c r="C257" s="85">
        <v>44047.0</v>
      </c>
      <c r="D257" s="85">
        <v>44090.0</v>
      </c>
      <c r="E257" s="86">
        <v>0.0</v>
      </c>
      <c r="F257" s="87">
        <v>1.06</v>
      </c>
      <c r="G257" s="88">
        <f t="shared" si="1"/>
        <v>1.06</v>
      </c>
      <c r="H257" s="89">
        <f t="shared" si="2"/>
        <v>1</v>
      </c>
      <c r="I257" s="78" t="s">
        <v>426</v>
      </c>
      <c r="J257" s="78" t="s">
        <v>69</v>
      </c>
      <c r="K257" s="58">
        <f t="shared" si="3"/>
        <v>43</v>
      </c>
      <c r="L257" s="91" t="str">
        <f t="shared" si="4"/>
        <v>Wed</v>
      </c>
      <c r="M257" s="78" t="str">
        <f>IFERROR(VLOOKUP(A257, Entries!A:B,2,false),"")</f>
        <v>Camouflaj</v>
      </c>
      <c r="N257" s="23" t="str">
        <f>IFERROR(VLOOKUP(A257, Entries!A:K,11,false),"")</f>
        <v/>
      </c>
      <c r="O257" s="23" t="b">
        <f>IFERROR(VLOOKUP(A257, Entries!A:I,8,false),"")</f>
        <v>0</v>
      </c>
    </row>
    <row r="258">
      <c r="A258" s="78" t="s">
        <v>427</v>
      </c>
      <c r="B258" s="78" t="s">
        <v>19</v>
      </c>
      <c r="C258" s="85">
        <v>44048.0</v>
      </c>
      <c r="D258" s="85">
        <v>44051.0</v>
      </c>
      <c r="E258" s="86">
        <v>0.0</v>
      </c>
      <c r="F258" s="87">
        <v>1.04</v>
      </c>
      <c r="G258" s="88">
        <f t="shared" si="1"/>
        <v>1.04</v>
      </c>
      <c r="H258" s="89">
        <f t="shared" si="2"/>
        <v>1</v>
      </c>
      <c r="I258" s="78" t="s">
        <v>428</v>
      </c>
      <c r="J258" s="78" t="s">
        <v>69</v>
      </c>
      <c r="K258" s="58">
        <f t="shared" si="3"/>
        <v>3</v>
      </c>
      <c r="L258" s="91" t="str">
        <f t="shared" si="4"/>
        <v>Sat</v>
      </c>
      <c r="M258" s="78" t="str">
        <f>IFERROR(VLOOKUP(A258, Entries!A:B,2,false),"")</f>
        <v>Fatshark</v>
      </c>
      <c r="N258" s="23" t="str">
        <f>IFERROR(VLOOKUP(A258, Entries!A:K,11,false),"")</f>
        <v/>
      </c>
      <c r="O258" s="23" t="b">
        <f>IFERROR(VLOOKUP(A258, Entries!A:I,8,false),"")</f>
        <v>0</v>
      </c>
    </row>
    <row r="259">
      <c r="A259" s="78" t="s">
        <v>429</v>
      </c>
      <c r="B259" s="78" t="s">
        <v>19</v>
      </c>
      <c r="C259" s="85">
        <v>44048.0</v>
      </c>
      <c r="D259" s="85">
        <v>44076.0</v>
      </c>
      <c r="E259" s="86">
        <v>17.76</v>
      </c>
      <c r="F259" s="87">
        <v>22.64</v>
      </c>
      <c r="G259" s="88">
        <f t="shared" si="1"/>
        <v>4.88</v>
      </c>
      <c r="H259" s="89">
        <f t="shared" si="2"/>
        <v>0.2155477032</v>
      </c>
      <c r="I259" s="78" t="s">
        <v>430</v>
      </c>
      <c r="J259" s="78" t="s">
        <v>69</v>
      </c>
      <c r="K259" s="58">
        <f t="shared" si="3"/>
        <v>28</v>
      </c>
      <c r="L259" s="91" t="str">
        <f t="shared" si="4"/>
        <v>Wed</v>
      </c>
      <c r="M259" s="78" t="str">
        <f>IFERROR(VLOOKUP(A259, Entries!A:B,2,false),"")</f>
        <v>Steel Sky Productions</v>
      </c>
      <c r="N259" s="23" t="str">
        <f>IFERROR(VLOOKUP(A259, Entries!A:K,11,false),"")</f>
        <v/>
      </c>
      <c r="O259" s="23" t="b">
        <f>IFERROR(VLOOKUP(A259, Entries!A:I,8,false),"")</f>
        <v>0</v>
      </c>
    </row>
    <row r="260">
      <c r="A260" s="78" t="s">
        <v>427</v>
      </c>
      <c r="B260" s="78" t="s">
        <v>19</v>
      </c>
      <c r="C260" s="85">
        <v>44049.0</v>
      </c>
      <c r="D260" s="85">
        <v>44051.0</v>
      </c>
      <c r="E260" s="86">
        <v>0.0</v>
      </c>
      <c r="F260" s="87">
        <v>1.04</v>
      </c>
      <c r="G260" s="88">
        <f t="shared" si="1"/>
        <v>1.04</v>
      </c>
      <c r="H260" s="89">
        <f t="shared" si="2"/>
        <v>1</v>
      </c>
      <c r="I260" s="78" t="s">
        <v>431</v>
      </c>
      <c r="J260" s="78" t="s">
        <v>69</v>
      </c>
      <c r="K260" s="58">
        <f t="shared" si="3"/>
        <v>2</v>
      </c>
      <c r="L260" s="91" t="str">
        <f t="shared" si="4"/>
        <v>Sat</v>
      </c>
      <c r="M260" s="78" t="str">
        <f>IFERROR(VLOOKUP(A260, Entries!A:B,2,false),"")</f>
        <v>Fatshark</v>
      </c>
      <c r="N260" s="23" t="str">
        <f>IFERROR(VLOOKUP(A260, Entries!A:K,11,false),"")</f>
        <v/>
      </c>
      <c r="O260" s="23" t="b">
        <f>IFERROR(VLOOKUP(A260, Entries!A:I,8,false),"")</f>
        <v>0</v>
      </c>
    </row>
    <row r="261">
      <c r="A261" s="78" t="s">
        <v>432</v>
      </c>
      <c r="B261" s="78" t="s">
        <v>19</v>
      </c>
      <c r="C261" s="85">
        <v>44049.0</v>
      </c>
      <c r="D261" s="85">
        <v>44051.0</v>
      </c>
      <c r="E261" s="86">
        <v>7.28</v>
      </c>
      <c r="F261" s="87">
        <v>10.82</v>
      </c>
      <c r="G261" s="88">
        <f t="shared" si="1"/>
        <v>3.54</v>
      </c>
      <c r="H261" s="89">
        <f t="shared" si="2"/>
        <v>0.3271719039</v>
      </c>
      <c r="I261" s="78" t="s">
        <v>433</v>
      </c>
      <c r="J261" s="78" t="s">
        <v>69</v>
      </c>
      <c r="K261" s="58">
        <f t="shared" si="3"/>
        <v>2</v>
      </c>
      <c r="L261" s="91" t="str">
        <f t="shared" si="4"/>
        <v>Sat</v>
      </c>
      <c r="M261" s="78" t="str">
        <f>IFERROR(VLOOKUP(A261, Entries!A:B,2,false),"")</f>
        <v>Focus Home Interactive</v>
      </c>
      <c r="N261" s="23" t="str">
        <f>IFERROR(VLOOKUP(A261, Entries!A:K,11,false),"")</f>
        <v/>
      </c>
      <c r="O261" s="23" t="b">
        <f>IFERROR(VLOOKUP(A261, Entries!A:I,8,false),"")</f>
        <v>0</v>
      </c>
    </row>
    <row r="262">
      <c r="A262" s="78" t="s">
        <v>373</v>
      </c>
      <c r="B262" s="78" t="s">
        <v>19</v>
      </c>
      <c r="C262" s="85">
        <v>44049.0</v>
      </c>
      <c r="D262" s="85">
        <v>44063.0</v>
      </c>
      <c r="E262" s="86">
        <v>5.38</v>
      </c>
      <c r="F262" s="87">
        <v>9.2</v>
      </c>
      <c r="G262" s="88">
        <f t="shared" si="1"/>
        <v>3.82</v>
      </c>
      <c r="H262" s="89">
        <f t="shared" si="2"/>
        <v>0.4152173913</v>
      </c>
      <c r="I262" s="78" t="s">
        <v>434</v>
      </c>
      <c r="J262" s="78" t="s">
        <v>69</v>
      </c>
      <c r="K262" s="58">
        <f t="shared" si="3"/>
        <v>14</v>
      </c>
      <c r="L262" s="91" t="str">
        <f t="shared" si="4"/>
        <v>Thu</v>
      </c>
      <c r="M262" s="78" t="str">
        <f>IFERROR(VLOOKUP(A262, Entries!A:B,2,false),"")</f>
        <v>Beamdog</v>
      </c>
      <c r="N262" s="23" t="str">
        <f>IFERROR(VLOOKUP(A262, Entries!A:K,11,false),"")</f>
        <v/>
      </c>
      <c r="O262" s="23" t="b">
        <f>IFERROR(VLOOKUP(A262, Entries!A:I,8,false),"")</f>
        <v>1</v>
      </c>
    </row>
    <row r="263">
      <c r="A263" s="78" t="s">
        <v>291</v>
      </c>
      <c r="B263" s="78" t="s">
        <v>19</v>
      </c>
      <c r="C263" s="85">
        <v>44049.0</v>
      </c>
      <c r="D263" s="85">
        <v>44058.0</v>
      </c>
      <c r="E263" s="86">
        <v>3.01</v>
      </c>
      <c r="F263" s="87">
        <v>4.64</v>
      </c>
      <c r="G263" s="88">
        <f t="shared" si="1"/>
        <v>1.63</v>
      </c>
      <c r="H263" s="89">
        <f t="shared" si="2"/>
        <v>0.3512931034</v>
      </c>
      <c r="I263" s="78" t="s">
        <v>435</v>
      </c>
      <c r="J263" s="78" t="s">
        <v>69</v>
      </c>
      <c r="K263" s="58">
        <f t="shared" si="3"/>
        <v>9</v>
      </c>
      <c r="L263" s="91" t="str">
        <f t="shared" si="4"/>
        <v>Sat</v>
      </c>
      <c r="M263" s="78" t="str">
        <f>IFERROR(VLOOKUP(A263, Entries!A:B,2,false),"")</f>
        <v>Square Enix</v>
      </c>
      <c r="N263" s="23" t="str">
        <f>IFERROR(VLOOKUP(A263, Entries!A:K,11,false),"")</f>
        <v/>
      </c>
      <c r="O263" s="23" t="b">
        <f>IFERROR(VLOOKUP(A263, Entries!A:I,8,false),"")</f>
        <v>0</v>
      </c>
    </row>
    <row r="264">
      <c r="A264" s="78" t="s">
        <v>368</v>
      </c>
      <c r="B264" s="78" t="s">
        <v>21</v>
      </c>
      <c r="C264" s="85">
        <v>44050.0</v>
      </c>
      <c r="D264" s="85">
        <v>44087.0</v>
      </c>
      <c r="E264" s="86">
        <v>1.15</v>
      </c>
      <c r="F264" s="87">
        <v>1.65</v>
      </c>
      <c r="G264" s="88">
        <f t="shared" si="1"/>
        <v>0.5</v>
      </c>
      <c r="H264" s="89">
        <f t="shared" si="2"/>
        <v>0.303030303</v>
      </c>
      <c r="I264" s="78" t="s">
        <v>436</v>
      </c>
      <c r="J264" s="78" t="s">
        <v>69</v>
      </c>
      <c r="K264" s="58">
        <f t="shared" si="3"/>
        <v>37</v>
      </c>
      <c r="L264" s="91" t="str">
        <f t="shared" si="4"/>
        <v>Sun</v>
      </c>
      <c r="M264" s="78" t="str">
        <f>IFERROR(VLOOKUP(A264, Entries!A:B,2,false),"")</f>
        <v>Autumn Games</v>
      </c>
      <c r="N264" s="23" t="str">
        <f>IFERROR(VLOOKUP(A264, Entries!A:K,11,false),"")</f>
        <v/>
      </c>
      <c r="O264" s="23" t="b">
        <f>IFERROR(VLOOKUP(A264, Entries!A:I,8,false),"")</f>
        <v>0</v>
      </c>
    </row>
    <row r="265">
      <c r="A265" s="78" t="s">
        <v>84</v>
      </c>
      <c r="B265" s="78" t="s">
        <v>19</v>
      </c>
      <c r="C265" s="85">
        <v>44051.0</v>
      </c>
      <c r="D265" s="85">
        <v>44063.0</v>
      </c>
      <c r="E265" s="86">
        <v>10.04</v>
      </c>
      <c r="F265" s="87">
        <v>16.0</v>
      </c>
      <c r="G265" s="88">
        <f t="shared" si="1"/>
        <v>5.96</v>
      </c>
      <c r="H265" s="89">
        <f t="shared" si="2"/>
        <v>0.3725</v>
      </c>
      <c r="I265" s="78" t="s">
        <v>437</v>
      </c>
      <c r="J265" s="78" t="s">
        <v>69</v>
      </c>
      <c r="K265" s="58">
        <f t="shared" si="3"/>
        <v>12</v>
      </c>
      <c r="L265" s="91" t="str">
        <f t="shared" si="4"/>
        <v>Thu</v>
      </c>
      <c r="M265" s="78" t="str">
        <f>IFERROR(VLOOKUP(A265, Entries!A:B,2,false),"")</f>
        <v>Siege Camp</v>
      </c>
      <c r="N265" s="23" t="str">
        <f>IFERROR(VLOOKUP(A265, Entries!A:K,11,false),"")</f>
        <v/>
      </c>
      <c r="O265" s="23" t="b">
        <f>IFERROR(VLOOKUP(A265, Entries!A:I,8,false),"")</f>
        <v>1</v>
      </c>
    </row>
    <row r="266">
      <c r="A266" s="78" t="s">
        <v>84</v>
      </c>
      <c r="B266" s="78" t="s">
        <v>19</v>
      </c>
      <c r="C266" s="85">
        <v>44051.0</v>
      </c>
      <c r="D266" s="85">
        <v>44093.0</v>
      </c>
      <c r="E266" s="86">
        <v>10.04</v>
      </c>
      <c r="F266" s="87">
        <v>15.42</v>
      </c>
      <c r="G266" s="88">
        <f t="shared" si="1"/>
        <v>5.38</v>
      </c>
      <c r="H266" s="89">
        <f t="shared" si="2"/>
        <v>0.3488975357</v>
      </c>
      <c r="I266" s="78" t="s">
        <v>438</v>
      </c>
      <c r="J266" s="78" t="s">
        <v>69</v>
      </c>
      <c r="K266" s="58">
        <f t="shared" si="3"/>
        <v>42</v>
      </c>
      <c r="L266" s="91" t="str">
        <f t="shared" si="4"/>
        <v>Sat</v>
      </c>
      <c r="M266" s="78" t="str">
        <f>IFERROR(VLOOKUP(A266, Entries!A:B,2,false),"")</f>
        <v>Siege Camp</v>
      </c>
      <c r="N266" s="23" t="str">
        <f>IFERROR(VLOOKUP(A266, Entries!A:K,11,false),"")</f>
        <v/>
      </c>
      <c r="O266" s="23" t="b">
        <f>IFERROR(VLOOKUP(A266, Entries!A:I,8,false),"")</f>
        <v>1</v>
      </c>
    </row>
    <row r="267">
      <c r="A267" s="78" t="s">
        <v>439</v>
      </c>
      <c r="B267" s="78" t="s">
        <v>19</v>
      </c>
      <c r="C267" s="85">
        <v>44051.0</v>
      </c>
      <c r="D267" s="85">
        <v>44060.0</v>
      </c>
      <c r="E267" s="86">
        <v>0.0</v>
      </c>
      <c r="F267" s="87">
        <v>1.12</v>
      </c>
      <c r="G267" s="88">
        <f t="shared" si="1"/>
        <v>1.12</v>
      </c>
      <c r="H267" s="89">
        <f t="shared" si="2"/>
        <v>1</v>
      </c>
      <c r="I267" s="78" t="s">
        <v>440</v>
      </c>
      <c r="J267" s="78" t="s">
        <v>69</v>
      </c>
      <c r="K267" s="58">
        <f t="shared" si="3"/>
        <v>9</v>
      </c>
      <c r="L267" s="91" t="str">
        <f t="shared" si="4"/>
        <v>Mon</v>
      </c>
      <c r="M267" s="78" t="str">
        <f>IFERROR(VLOOKUP(A267, Entries!A:B,2,false),"")</f>
        <v>Curve Digital</v>
      </c>
      <c r="N267" s="23" t="str">
        <f>IFERROR(VLOOKUP(A267, Entries!A:K,11,false),"")</f>
        <v/>
      </c>
      <c r="O267" s="23" t="b">
        <f>IFERROR(VLOOKUP(A267, Entries!A:I,8,false),"")</f>
        <v>0</v>
      </c>
    </row>
    <row r="268">
      <c r="A268" s="78" t="s">
        <v>439</v>
      </c>
      <c r="B268" s="78" t="s">
        <v>19</v>
      </c>
      <c r="C268" s="85">
        <v>44051.0</v>
      </c>
      <c r="D268" s="85">
        <v>44060.0</v>
      </c>
      <c r="E268" s="86">
        <v>0.0</v>
      </c>
      <c r="F268" s="87">
        <v>1.12</v>
      </c>
      <c r="G268" s="88">
        <f t="shared" si="1"/>
        <v>1.12</v>
      </c>
      <c r="H268" s="89">
        <f t="shared" si="2"/>
        <v>1</v>
      </c>
      <c r="I268" s="78" t="s">
        <v>441</v>
      </c>
      <c r="J268" s="78" t="s">
        <v>69</v>
      </c>
      <c r="K268" s="58">
        <f t="shared" si="3"/>
        <v>9</v>
      </c>
      <c r="L268" s="91" t="str">
        <f t="shared" si="4"/>
        <v>Mon</v>
      </c>
      <c r="M268" s="78" t="str">
        <f>IFERROR(VLOOKUP(A268, Entries!A:B,2,false),"")</f>
        <v>Curve Digital</v>
      </c>
      <c r="N268" s="23" t="str">
        <f>IFERROR(VLOOKUP(A268, Entries!A:K,11,false),"")</f>
        <v/>
      </c>
      <c r="O268" s="23" t="b">
        <f>IFERROR(VLOOKUP(A268, Entries!A:I,8,false),"")</f>
        <v>0</v>
      </c>
    </row>
    <row r="269">
      <c r="A269" s="78" t="s">
        <v>166</v>
      </c>
      <c r="B269" s="78" t="s">
        <v>21</v>
      </c>
      <c r="C269" s="85">
        <v>44051.0</v>
      </c>
      <c r="D269" s="85">
        <v>44051.0</v>
      </c>
      <c r="E269" s="86">
        <v>0.17</v>
      </c>
      <c r="F269" s="87">
        <v>0.27</v>
      </c>
      <c r="G269" s="88">
        <f t="shared" si="1"/>
        <v>0.1</v>
      </c>
      <c r="H269" s="89">
        <f t="shared" si="2"/>
        <v>0.3703703704</v>
      </c>
      <c r="I269" s="78" t="s">
        <v>442</v>
      </c>
      <c r="J269" s="78" t="s">
        <v>69</v>
      </c>
      <c r="K269" s="58">
        <f t="shared" si="3"/>
        <v>0</v>
      </c>
      <c r="L269" s="91" t="str">
        <f t="shared" si="4"/>
        <v>Sat</v>
      </c>
      <c r="M269" s="78" t="str">
        <f>IFERROR(VLOOKUP(A269, Entries!A:B,2,false),"")</f>
        <v>Revival Productions</v>
      </c>
      <c r="N269" s="23" t="str">
        <f>IFERROR(VLOOKUP(A269, Entries!A:K,11,false),"")</f>
        <v/>
      </c>
      <c r="O269" s="23" t="b">
        <f>IFERROR(VLOOKUP(A269, Entries!A:I,8,false),"")</f>
        <v>0</v>
      </c>
    </row>
    <row r="270">
      <c r="A270" s="78" t="s">
        <v>166</v>
      </c>
      <c r="B270" s="78" t="s">
        <v>21</v>
      </c>
      <c r="C270" s="85">
        <v>44051.0</v>
      </c>
      <c r="D270" s="85">
        <v>44052.0</v>
      </c>
      <c r="E270" s="86">
        <v>0.17</v>
      </c>
      <c r="F270" s="87">
        <v>0.27</v>
      </c>
      <c r="G270" s="88">
        <f t="shared" si="1"/>
        <v>0.1</v>
      </c>
      <c r="H270" s="89">
        <f t="shared" si="2"/>
        <v>0.3703703704</v>
      </c>
      <c r="I270" s="78" t="s">
        <v>443</v>
      </c>
      <c r="J270" s="78" t="s">
        <v>69</v>
      </c>
      <c r="K270" s="58">
        <f t="shared" si="3"/>
        <v>1</v>
      </c>
      <c r="L270" s="91" t="str">
        <f t="shared" si="4"/>
        <v>Sun</v>
      </c>
      <c r="M270" s="78" t="str">
        <f>IFERROR(VLOOKUP(A270, Entries!A:B,2,false),"")</f>
        <v>Revival Productions</v>
      </c>
      <c r="N270" s="23" t="str">
        <f>IFERROR(VLOOKUP(A270, Entries!A:K,11,false),"")</f>
        <v/>
      </c>
      <c r="O270" s="23" t="b">
        <f>IFERROR(VLOOKUP(A270, Entries!A:I,8,false),"")</f>
        <v>0</v>
      </c>
    </row>
    <row r="271">
      <c r="A271" s="78" t="s">
        <v>291</v>
      </c>
      <c r="B271" s="78" t="s">
        <v>19</v>
      </c>
      <c r="C271" s="85">
        <v>44051.0</v>
      </c>
      <c r="D271" s="85">
        <v>44062.0</v>
      </c>
      <c r="E271" s="86">
        <v>3.01</v>
      </c>
      <c r="F271" s="87">
        <v>4.64</v>
      </c>
      <c r="G271" s="88">
        <f t="shared" si="1"/>
        <v>1.63</v>
      </c>
      <c r="H271" s="89">
        <f t="shared" si="2"/>
        <v>0.3512931034</v>
      </c>
      <c r="I271" s="78" t="s">
        <v>444</v>
      </c>
      <c r="J271" s="78" t="s">
        <v>69</v>
      </c>
      <c r="K271" s="58">
        <f t="shared" si="3"/>
        <v>11</v>
      </c>
      <c r="L271" s="91" t="str">
        <f t="shared" si="4"/>
        <v>Wed</v>
      </c>
      <c r="M271" s="78" t="str">
        <f>IFERROR(VLOOKUP(A271, Entries!A:B,2,false),"")</f>
        <v>Square Enix</v>
      </c>
      <c r="N271" s="23" t="str">
        <f>IFERROR(VLOOKUP(A271, Entries!A:K,11,false),"")</f>
        <v/>
      </c>
      <c r="O271" s="23" t="b">
        <f>IFERROR(VLOOKUP(A271, Entries!A:I,8,false),"")</f>
        <v>0</v>
      </c>
    </row>
    <row r="272">
      <c r="A272" s="78" t="s">
        <v>432</v>
      </c>
      <c r="B272" s="78" t="s">
        <v>19</v>
      </c>
      <c r="C272" s="85">
        <v>44051.0</v>
      </c>
      <c r="D272" s="85">
        <v>44052.0</v>
      </c>
      <c r="E272" s="86">
        <v>7.33</v>
      </c>
      <c r="F272" s="87">
        <v>10.72</v>
      </c>
      <c r="G272" s="88">
        <f t="shared" si="1"/>
        <v>3.39</v>
      </c>
      <c r="H272" s="89">
        <f t="shared" si="2"/>
        <v>0.3162313433</v>
      </c>
      <c r="I272" s="78" t="s">
        <v>445</v>
      </c>
      <c r="J272" s="78" t="s">
        <v>69</v>
      </c>
      <c r="K272" s="58">
        <f t="shared" si="3"/>
        <v>1</v>
      </c>
      <c r="L272" s="91" t="str">
        <f t="shared" si="4"/>
        <v>Sun</v>
      </c>
      <c r="M272" s="78" t="str">
        <f>IFERROR(VLOOKUP(A272, Entries!A:B,2,false),"")</f>
        <v>Focus Home Interactive</v>
      </c>
      <c r="N272" s="23" t="str">
        <f>IFERROR(VLOOKUP(A272, Entries!A:K,11,false),"")</f>
        <v/>
      </c>
      <c r="O272" s="23" t="b">
        <f>IFERROR(VLOOKUP(A272, Entries!A:I,8,false),"")</f>
        <v>0</v>
      </c>
    </row>
    <row r="273">
      <c r="A273" s="78" t="s">
        <v>166</v>
      </c>
      <c r="B273" s="78" t="s">
        <v>21</v>
      </c>
      <c r="C273" s="85">
        <v>44051.0</v>
      </c>
      <c r="D273" s="85">
        <v>44055.0</v>
      </c>
      <c r="E273" s="86">
        <v>0.17</v>
      </c>
      <c r="F273" s="87">
        <v>0.29</v>
      </c>
      <c r="G273" s="88">
        <f t="shared" si="1"/>
        <v>0.12</v>
      </c>
      <c r="H273" s="89">
        <f t="shared" si="2"/>
        <v>0.4137931034</v>
      </c>
      <c r="I273" s="78" t="s">
        <v>446</v>
      </c>
      <c r="J273" s="78" t="s">
        <v>69</v>
      </c>
      <c r="K273" s="58">
        <f t="shared" si="3"/>
        <v>4</v>
      </c>
      <c r="L273" s="91" t="str">
        <f t="shared" si="4"/>
        <v>Wed</v>
      </c>
      <c r="M273" s="78" t="str">
        <f>IFERROR(VLOOKUP(A273, Entries!A:B,2,false),"")</f>
        <v>Revival Productions</v>
      </c>
      <c r="N273" s="23" t="str">
        <f>IFERROR(VLOOKUP(A273, Entries!A:K,11,false),"")</f>
        <v/>
      </c>
      <c r="O273" s="23" t="b">
        <f>IFERROR(VLOOKUP(A273, Entries!A:I,8,false),"")</f>
        <v>0</v>
      </c>
    </row>
    <row r="274">
      <c r="A274" s="78" t="s">
        <v>166</v>
      </c>
      <c r="B274" s="78" t="s">
        <v>21</v>
      </c>
      <c r="C274" s="85">
        <v>44051.0</v>
      </c>
      <c r="D274" s="85">
        <v>44055.0</v>
      </c>
      <c r="E274" s="86">
        <v>0.17</v>
      </c>
      <c r="F274" s="87">
        <v>0.36</v>
      </c>
      <c r="G274" s="88">
        <f t="shared" si="1"/>
        <v>0.19</v>
      </c>
      <c r="H274" s="89">
        <f t="shared" si="2"/>
        <v>0.5277777778</v>
      </c>
      <c r="I274" s="78" t="s">
        <v>447</v>
      </c>
      <c r="J274" s="78" t="s">
        <v>69</v>
      </c>
      <c r="K274" s="58">
        <f t="shared" si="3"/>
        <v>4</v>
      </c>
      <c r="L274" s="91" t="str">
        <f t="shared" si="4"/>
        <v>Wed</v>
      </c>
      <c r="M274" s="78" t="str">
        <f>IFERROR(VLOOKUP(A274, Entries!A:B,2,false),"")</f>
        <v>Revival Productions</v>
      </c>
      <c r="N274" s="23" t="str">
        <f>IFERROR(VLOOKUP(A274, Entries!A:K,11,false),"")</f>
        <v/>
      </c>
      <c r="O274" s="23" t="b">
        <f>IFERROR(VLOOKUP(A274, Entries!A:I,8,false),"")</f>
        <v>0</v>
      </c>
    </row>
    <row r="275">
      <c r="A275" s="78" t="s">
        <v>166</v>
      </c>
      <c r="B275" s="78" t="s">
        <v>21</v>
      </c>
      <c r="C275" s="85">
        <v>44051.0</v>
      </c>
      <c r="D275" s="85">
        <v>44061.0</v>
      </c>
      <c r="E275" s="86">
        <v>0.17</v>
      </c>
      <c r="F275" s="87">
        <v>0.27</v>
      </c>
      <c r="G275" s="88">
        <f t="shared" si="1"/>
        <v>0.1</v>
      </c>
      <c r="H275" s="89">
        <f t="shared" si="2"/>
        <v>0.3703703704</v>
      </c>
      <c r="I275" s="78" t="s">
        <v>448</v>
      </c>
      <c r="J275" s="78" t="s">
        <v>69</v>
      </c>
      <c r="K275" s="58">
        <f t="shared" si="3"/>
        <v>10</v>
      </c>
      <c r="L275" s="91" t="str">
        <f t="shared" si="4"/>
        <v>Tue</v>
      </c>
      <c r="M275" s="78" t="str">
        <f>IFERROR(VLOOKUP(A275, Entries!A:B,2,false),"")</f>
        <v>Revival Productions</v>
      </c>
      <c r="N275" s="23" t="str">
        <f>IFERROR(VLOOKUP(A275, Entries!A:K,11,false),"")</f>
        <v/>
      </c>
      <c r="O275" s="23" t="b">
        <f>IFERROR(VLOOKUP(A275, Entries!A:I,8,false),"")</f>
        <v>0</v>
      </c>
    </row>
    <row r="276">
      <c r="A276" s="78" t="s">
        <v>439</v>
      </c>
      <c r="B276" s="78" t="s">
        <v>19</v>
      </c>
      <c r="C276" s="85">
        <v>44051.0</v>
      </c>
      <c r="D276" s="85">
        <v>44060.0</v>
      </c>
      <c r="E276" s="86">
        <v>0.0</v>
      </c>
      <c r="F276" s="87">
        <v>1.12</v>
      </c>
      <c r="G276" s="88">
        <f t="shared" si="1"/>
        <v>1.12</v>
      </c>
      <c r="H276" s="89">
        <f t="shared" si="2"/>
        <v>1</v>
      </c>
      <c r="I276" s="78" t="s">
        <v>449</v>
      </c>
      <c r="J276" s="78" t="s">
        <v>69</v>
      </c>
      <c r="K276" s="58">
        <f t="shared" si="3"/>
        <v>9</v>
      </c>
      <c r="L276" s="91" t="str">
        <f t="shared" si="4"/>
        <v>Mon</v>
      </c>
      <c r="M276" s="78" t="str">
        <f>IFERROR(VLOOKUP(A276, Entries!A:B,2,false),"")</f>
        <v>Curve Digital</v>
      </c>
      <c r="N276" s="23" t="str">
        <f>IFERROR(VLOOKUP(A276, Entries!A:K,11,false),"")</f>
        <v/>
      </c>
      <c r="O276" s="23" t="b">
        <f>IFERROR(VLOOKUP(A276, Entries!A:I,8,false),"")</f>
        <v>0</v>
      </c>
    </row>
    <row r="277">
      <c r="A277" s="78" t="s">
        <v>432</v>
      </c>
      <c r="B277" s="78" t="s">
        <v>19</v>
      </c>
      <c r="C277" s="85">
        <v>44052.0</v>
      </c>
      <c r="D277" s="85">
        <v>44052.0</v>
      </c>
      <c r="E277" s="86">
        <v>7.32</v>
      </c>
      <c r="F277" s="87">
        <v>10.72</v>
      </c>
      <c r="G277" s="88">
        <f t="shared" si="1"/>
        <v>3.4</v>
      </c>
      <c r="H277" s="89">
        <f t="shared" si="2"/>
        <v>0.3171641791</v>
      </c>
      <c r="I277" s="78" t="s">
        <v>450</v>
      </c>
      <c r="J277" s="78" t="s">
        <v>69</v>
      </c>
      <c r="K277" s="58">
        <f t="shared" si="3"/>
        <v>0</v>
      </c>
      <c r="L277" s="91" t="str">
        <f t="shared" si="4"/>
        <v>Sun</v>
      </c>
      <c r="M277" s="78" t="str">
        <f>IFERROR(VLOOKUP(A277, Entries!A:B,2,false),"")</f>
        <v>Focus Home Interactive</v>
      </c>
      <c r="N277" s="23" t="str">
        <f>IFERROR(VLOOKUP(A277, Entries!A:K,11,false),"")</f>
        <v/>
      </c>
      <c r="O277" s="23" t="b">
        <f>IFERROR(VLOOKUP(A277, Entries!A:I,8,false),"")</f>
        <v>0</v>
      </c>
    </row>
    <row r="278">
      <c r="A278" s="78" t="s">
        <v>427</v>
      </c>
      <c r="B278" s="78" t="s">
        <v>19</v>
      </c>
      <c r="C278" s="85">
        <v>44052.0</v>
      </c>
      <c r="D278" s="85">
        <v>44056.0</v>
      </c>
      <c r="E278" s="86">
        <v>0.0</v>
      </c>
      <c r="F278" s="87">
        <v>1.03</v>
      </c>
      <c r="G278" s="88">
        <f t="shared" si="1"/>
        <v>1.03</v>
      </c>
      <c r="H278" s="89">
        <f t="shared" si="2"/>
        <v>1</v>
      </c>
      <c r="I278" s="78" t="s">
        <v>451</v>
      </c>
      <c r="J278" s="78" t="s">
        <v>69</v>
      </c>
      <c r="K278" s="58">
        <f t="shared" si="3"/>
        <v>4</v>
      </c>
      <c r="L278" s="91" t="str">
        <f t="shared" si="4"/>
        <v>Thu</v>
      </c>
      <c r="M278" s="78" t="str">
        <f>IFERROR(VLOOKUP(A278, Entries!A:B,2,false),"")</f>
        <v>Fatshark</v>
      </c>
      <c r="N278" s="23" t="str">
        <f>IFERROR(VLOOKUP(A278, Entries!A:K,11,false),"")</f>
        <v/>
      </c>
      <c r="O278" s="23" t="b">
        <f>IFERROR(VLOOKUP(A278, Entries!A:I,8,false),"")</f>
        <v>0</v>
      </c>
    </row>
    <row r="279">
      <c r="A279" s="78" t="s">
        <v>452</v>
      </c>
      <c r="B279" s="78" t="s">
        <v>19</v>
      </c>
      <c r="C279" s="85">
        <v>44052.0</v>
      </c>
      <c r="D279" s="85">
        <v>44055.0</v>
      </c>
      <c r="E279" s="86">
        <v>2.95</v>
      </c>
      <c r="F279" s="87">
        <v>5.67</v>
      </c>
      <c r="G279" s="88">
        <f t="shared" si="1"/>
        <v>2.72</v>
      </c>
      <c r="H279" s="89">
        <f t="shared" si="2"/>
        <v>0.4797178131</v>
      </c>
      <c r="I279" s="78" t="s">
        <v>453</v>
      </c>
      <c r="J279" s="78" t="s">
        <v>69</v>
      </c>
      <c r="K279" s="58">
        <f t="shared" si="3"/>
        <v>3</v>
      </c>
      <c r="L279" s="91" t="str">
        <f t="shared" si="4"/>
        <v>Wed</v>
      </c>
      <c r="M279" s="78" t="str">
        <f>IFERROR(VLOOKUP(A279, Entries!A:B,2,false),"")</f>
        <v>Klabater</v>
      </c>
      <c r="N279" s="23" t="str">
        <f>IFERROR(VLOOKUP(A279, Entries!A:K,11,false),"")</f>
        <v/>
      </c>
      <c r="O279" s="23" t="b">
        <f>IFERROR(VLOOKUP(A279, Entries!A:I,8,false),"")</f>
        <v>0</v>
      </c>
    </row>
    <row r="280">
      <c r="A280" s="78" t="s">
        <v>454</v>
      </c>
      <c r="B280" s="78" t="s">
        <v>19</v>
      </c>
      <c r="C280" s="85">
        <v>44052.0</v>
      </c>
      <c r="D280" s="85">
        <v>44154.0</v>
      </c>
      <c r="E280" s="86">
        <v>2.95</v>
      </c>
      <c r="F280" s="87">
        <v>3.22</v>
      </c>
      <c r="G280" s="88">
        <f t="shared" si="1"/>
        <v>0.27</v>
      </c>
      <c r="H280" s="89">
        <f t="shared" si="2"/>
        <v>0.08385093168</v>
      </c>
      <c r="I280" s="78" t="s">
        <v>455</v>
      </c>
      <c r="J280" s="78" t="s">
        <v>69</v>
      </c>
      <c r="K280" s="58">
        <f t="shared" si="3"/>
        <v>102</v>
      </c>
      <c r="L280" s="91" t="str">
        <f t="shared" si="4"/>
        <v>Thu</v>
      </c>
      <c r="M280" s="78" t="str">
        <f>IFERROR(VLOOKUP(A280, Entries!A:B,2,false),"")</f>
        <v>Over The Moon</v>
      </c>
      <c r="N280" s="23" t="str">
        <f>IFERROR(VLOOKUP(A280, Entries!A:K,11,false),"")</f>
        <v/>
      </c>
      <c r="O280" s="23" t="b">
        <f>IFERROR(VLOOKUP(A280, Entries!A:I,8,false),"")</f>
        <v>0</v>
      </c>
    </row>
    <row r="281">
      <c r="A281" s="78" t="s">
        <v>456</v>
      </c>
      <c r="B281" s="78" t="s">
        <v>19</v>
      </c>
      <c r="C281" s="85">
        <v>44052.0</v>
      </c>
      <c r="D281" s="85">
        <v>44079.0</v>
      </c>
      <c r="E281" s="86">
        <v>2.95</v>
      </c>
      <c r="F281" s="87">
        <v>4.59</v>
      </c>
      <c r="G281" s="88">
        <f t="shared" si="1"/>
        <v>1.64</v>
      </c>
      <c r="H281" s="89">
        <f t="shared" si="2"/>
        <v>0.3572984749</v>
      </c>
      <c r="I281" s="78" t="s">
        <v>457</v>
      </c>
      <c r="J281" s="78" t="s">
        <v>69</v>
      </c>
      <c r="K281" s="58">
        <f t="shared" si="3"/>
        <v>27</v>
      </c>
      <c r="L281" s="91" t="str">
        <f t="shared" si="4"/>
        <v>Sat</v>
      </c>
      <c r="M281" s="78" t="str">
        <f>IFERROR(VLOOKUP(A281, Entries!A:B,2,false),"")</f>
        <v>DANGEN Entertainment</v>
      </c>
      <c r="N281" s="23" t="str">
        <f>IFERROR(VLOOKUP(A281, Entries!A:K,11,false),"")</f>
        <v/>
      </c>
      <c r="O281" s="23" t="b">
        <f>IFERROR(VLOOKUP(A281, Entries!A:I,8,false),"")</f>
        <v>0</v>
      </c>
    </row>
    <row r="282">
      <c r="A282" s="78" t="s">
        <v>166</v>
      </c>
      <c r="B282" s="78" t="s">
        <v>21</v>
      </c>
      <c r="C282" s="85">
        <v>44052.0</v>
      </c>
      <c r="D282" s="85">
        <v>44066.0</v>
      </c>
      <c r="E282" s="86">
        <v>0.17</v>
      </c>
      <c r="F282" s="87">
        <v>0.27</v>
      </c>
      <c r="G282" s="88">
        <f t="shared" si="1"/>
        <v>0.1</v>
      </c>
      <c r="H282" s="89">
        <f t="shared" si="2"/>
        <v>0.3703703704</v>
      </c>
      <c r="I282" s="78" t="s">
        <v>458</v>
      </c>
      <c r="J282" s="78" t="s">
        <v>69</v>
      </c>
      <c r="K282" s="58">
        <f t="shared" si="3"/>
        <v>14</v>
      </c>
      <c r="L282" s="91" t="str">
        <f t="shared" si="4"/>
        <v>Sun</v>
      </c>
      <c r="M282" s="78" t="str">
        <f>IFERROR(VLOOKUP(A282, Entries!A:B,2,false),"")</f>
        <v>Revival Productions</v>
      </c>
      <c r="N282" s="23" t="str">
        <f>IFERROR(VLOOKUP(A282, Entries!A:K,11,false),"")</f>
        <v/>
      </c>
      <c r="O282" s="23" t="b">
        <f>IFERROR(VLOOKUP(A282, Entries!A:I,8,false),"")</f>
        <v>0</v>
      </c>
    </row>
    <row r="283">
      <c r="A283" s="78" t="s">
        <v>166</v>
      </c>
      <c r="B283" s="78" t="s">
        <v>21</v>
      </c>
      <c r="C283" s="85">
        <v>44052.0</v>
      </c>
      <c r="D283" s="85">
        <v>44072.0</v>
      </c>
      <c r="E283" s="86">
        <v>0.17</v>
      </c>
      <c r="F283" s="87">
        <v>0.38</v>
      </c>
      <c r="G283" s="88">
        <f t="shared" si="1"/>
        <v>0.21</v>
      </c>
      <c r="H283" s="89">
        <f t="shared" si="2"/>
        <v>0.5526315789</v>
      </c>
      <c r="I283" s="78" t="s">
        <v>459</v>
      </c>
      <c r="J283" s="78" t="s">
        <v>69</v>
      </c>
      <c r="K283" s="58">
        <f t="shared" si="3"/>
        <v>20</v>
      </c>
      <c r="L283" s="91" t="str">
        <f t="shared" si="4"/>
        <v>Sat</v>
      </c>
      <c r="M283" s="78" t="str">
        <f>IFERROR(VLOOKUP(A283, Entries!A:B,2,false),"")</f>
        <v>Revival Productions</v>
      </c>
      <c r="N283" s="23" t="str">
        <f>IFERROR(VLOOKUP(A283, Entries!A:K,11,false),"")</f>
        <v/>
      </c>
      <c r="O283" s="23" t="b">
        <f>IFERROR(VLOOKUP(A283, Entries!A:I,8,false),"")</f>
        <v>0</v>
      </c>
    </row>
    <row r="284">
      <c r="A284" s="78" t="s">
        <v>166</v>
      </c>
      <c r="B284" s="78" t="s">
        <v>21</v>
      </c>
      <c r="C284" s="85">
        <v>44052.0</v>
      </c>
      <c r="D284" s="85">
        <v>44073.0</v>
      </c>
      <c r="E284" s="86">
        <v>0.17</v>
      </c>
      <c r="F284" s="87">
        <v>0.38</v>
      </c>
      <c r="G284" s="88">
        <f t="shared" si="1"/>
        <v>0.21</v>
      </c>
      <c r="H284" s="89">
        <f t="shared" si="2"/>
        <v>0.5526315789</v>
      </c>
      <c r="I284" s="78" t="s">
        <v>460</v>
      </c>
      <c r="J284" s="78" t="s">
        <v>69</v>
      </c>
      <c r="K284" s="58">
        <f t="shared" si="3"/>
        <v>21</v>
      </c>
      <c r="L284" s="91" t="str">
        <f t="shared" si="4"/>
        <v>Sun</v>
      </c>
      <c r="M284" s="78" t="str">
        <f>IFERROR(VLOOKUP(A284, Entries!A:B,2,false),"")</f>
        <v>Revival Productions</v>
      </c>
      <c r="N284" s="23" t="str">
        <f>IFERROR(VLOOKUP(A284, Entries!A:K,11,false),"")</f>
        <v/>
      </c>
      <c r="O284" s="23" t="b">
        <f>IFERROR(VLOOKUP(A284, Entries!A:I,8,false),"")</f>
        <v>0</v>
      </c>
    </row>
    <row r="285">
      <c r="A285" s="78" t="s">
        <v>166</v>
      </c>
      <c r="B285" s="78" t="s">
        <v>21</v>
      </c>
      <c r="C285" s="85">
        <v>44052.0</v>
      </c>
      <c r="D285" s="85">
        <v>44075.0</v>
      </c>
      <c r="E285" s="86">
        <v>0.17</v>
      </c>
      <c r="F285" s="87">
        <v>0.38</v>
      </c>
      <c r="G285" s="88">
        <f t="shared" si="1"/>
        <v>0.21</v>
      </c>
      <c r="H285" s="89">
        <f t="shared" si="2"/>
        <v>0.5526315789</v>
      </c>
      <c r="I285" s="78" t="s">
        <v>461</v>
      </c>
      <c r="J285" s="78" t="s">
        <v>69</v>
      </c>
      <c r="K285" s="58">
        <f t="shared" si="3"/>
        <v>23</v>
      </c>
      <c r="L285" s="91" t="str">
        <f t="shared" si="4"/>
        <v>Tue</v>
      </c>
      <c r="M285" s="78" t="str">
        <f>IFERROR(VLOOKUP(A285, Entries!A:B,2,false),"")</f>
        <v>Revival Productions</v>
      </c>
      <c r="N285" s="23" t="str">
        <f>IFERROR(VLOOKUP(A285, Entries!A:K,11,false),"")</f>
        <v/>
      </c>
      <c r="O285" s="23" t="b">
        <f>IFERROR(VLOOKUP(A285, Entries!A:I,8,false),"")</f>
        <v>0</v>
      </c>
    </row>
    <row r="286">
      <c r="A286" s="78" t="s">
        <v>166</v>
      </c>
      <c r="B286" s="78" t="s">
        <v>21</v>
      </c>
      <c r="C286" s="85">
        <v>44052.0</v>
      </c>
      <c r="D286" s="85">
        <v>44075.0</v>
      </c>
      <c r="E286" s="86">
        <v>0.17</v>
      </c>
      <c r="F286" s="87">
        <v>0.38</v>
      </c>
      <c r="G286" s="88">
        <f t="shared" si="1"/>
        <v>0.21</v>
      </c>
      <c r="H286" s="89">
        <f t="shared" si="2"/>
        <v>0.5526315789</v>
      </c>
      <c r="I286" s="78" t="s">
        <v>462</v>
      </c>
      <c r="J286" s="78" t="s">
        <v>69</v>
      </c>
      <c r="K286" s="58">
        <f t="shared" si="3"/>
        <v>23</v>
      </c>
      <c r="L286" s="91" t="str">
        <f t="shared" si="4"/>
        <v>Tue</v>
      </c>
      <c r="M286" s="78" t="str">
        <f>IFERROR(VLOOKUP(A286, Entries!A:B,2,false),"")</f>
        <v>Revival Productions</v>
      </c>
      <c r="N286" s="23" t="str">
        <f>IFERROR(VLOOKUP(A286, Entries!A:K,11,false),"")</f>
        <v/>
      </c>
      <c r="O286" s="23" t="b">
        <f>IFERROR(VLOOKUP(A286, Entries!A:I,8,false),"")</f>
        <v>0</v>
      </c>
    </row>
    <row r="287">
      <c r="A287" s="78" t="s">
        <v>432</v>
      </c>
      <c r="B287" s="78" t="s">
        <v>19</v>
      </c>
      <c r="C287" s="85">
        <v>44052.0</v>
      </c>
      <c r="D287" s="85">
        <v>44055.0</v>
      </c>
      <c r="E287" s="86">
        <v>7.32</v>
      </c>
      <c r="F287" s="87">
        <v>10.45</v>
      </c>
      <c r="G287" s="88">
        <f t="shared" si="1"/>
        <v>3.13</v>
      </c>
      <c r="H287" s="89">
        <f t="shared" si="2"/>
        <v>0.2995215311</v>
      </c>
      <c r="I287" s="78" t="s">
        <v>463</v>
      </c>
      <c r="J287" s="78" t="s">
        <v>69</v>
      </c>
      <c r="K287" s="58">
        <f t="shared" si="3"/>
        <v>3</v>
      </c>
      <c r="L287" s="91" t="str">
        <f t="shared" si="4"/>
        <v>Wed</v>
      </c>
      <c r="M287" s="78" t="str">
        <f>IFERROR(VLOOKUP(A287, Entries!A:B,2,false),"")</f>
        <v>Focus Home Interactive</v>
      </c>
      <c r="N287" s="23" t="str">
        <f>IFERROR(VLOOKUP(A287, Entries!A:K,11,false),"")</f>
        <v/>
      </c>
      <c r="O287" s="23" t="b">
        <f>IFERROR(VLOOKUP(A287, Entries!A:I,8,false),"")</f>
        <v>0</v>
      </c>
    </row>
    <row r="288">
      <c r="A288" s="78" t="s">
        <v>464</v>
      </c>
      <c r="B288" s="78" t="s">
        <v>19</v>
      </c>
      <c r="C288" s="85">
        <v>44052.0</v>
      </c>
      <c r="D288" s="85">
        <v>44066.0</v>
      </c>
      <c r="E288" s="86">
        <v>2.9</v>
      </c>
      <c r="F288" s="87">
        <v>3.35</v>
      </c>
      <c r="G288" s="88">
        <f t="shared" si="1"/>
        <v>0.45</v>
      </c>
      <c r="H288" s="89">
        <f t="shared" si="2"/>
        <v>0.1343283582</v>
      </c>
      <c r="I288" s="78" t="s">
        <v>465</v>
      </c>
      <c r="J288" s="78" t="s">
        <v>69</v>
      </c>
      <c r="K288" s="58">
        <f t="shared" si="3"/>
        <v>14</v>
      </c>
      <c r="L288" s="91" t="str">
        <f t="shared" si="4"/>
        <v>Sun</v>
      </c>
      <c r="M288" s="78" t="str">
        <f>IFERROR(VLOOKUP(A288, Entries!A:B,2,false),"")</f>
        <v>Deep Silver</v>
      </c>
      <c r="N288" s="23" t="str">
        <f>IFERROR(VLOOKUP(A288, Entries!A:K,11,false),"")</f>
        <v/>
      </c>
      <c r="O288" s="23" t="b">
        <f>IFERROR(VLOOKUP(A288, Entries!A:I,8,false),"")</f>
        <v>0</v>
      </c>
    </row>
    <row r="289">
      <c r="A289" s="78" t="s">
        <v>427</v>
      </c>
      <c r="B289" s="78" t="s">
        <v>19</v>
      </c>
      <c r="C289" s="85">
        <v>44053.0</v>
      </c>
      <c r="D289" s="85">
        <v>44060.0</v>
      </c>
      <c r="E289" s="86">
        <v>0.0</v>
      </c>
      <c r="F289" s="87">
        <v>1.04</v>
      </c>
      <c r="G289" s="88">
        <f t="shared" si="1"/>
        <v>1.04</v>
      </c>
      <c r="H289" s="89">
        <f t="shared" si="2"/>
        <v>1</v>
      </c>
      <c r="I289" s="78" t="s">
        <v>466</v>
      </c>
      <c r="J289" s="78" t="s">
        <v>69</v>
      </c>
      <c r="K289" s="58">
        <f t="shared" si="3"/>
        <v>7</v>
      </c>
      <c r="L289" s="91" t="str">
        <f t="shared" si="4"/>
        <v>Mon</v>
      </c>
      <c r="M289" s="78" t="str">
        <f>IFERROR(VLOOKUP(A289, Entries!A:B,2,false),"")</f>
        <v>Fatshark</v>
      </c>
      <c r="N289" s="23" t="str">
        <f>IFERROR(VLOOKUP(A289, Entries!A:K,11,false),"")</f>
        <v/>
      </c>
      <c r="O289" s="23" t="b">
        <f>IFERROR(VLOOKUP(A289, Entries!A:I,8,false),"")</f>
        <v>0</v>
      </c>
    </row>
    <row r="290">
      <c r="A290" s="78" t="s">
        <v>467</v>
      </c>
      <c r="B290" s="78" t="s">
        <v>23</v>
      </c>
      <c r="C290" s="85">
        <v>44054.0</v>
      </c>
      <c r="D290" s="85">
        <v>44849.0</v>
      </c>
      <c r="E290" s="86">
        <v>4.35</v>
      </c>
      <c r="F290" s="87">
        <v>3.45</v>
      </c>
      <c r="G290" s="88">
        <f t="shared" si="1"/>
        <v>-0.9</v>
      </c>
      <c r="H290" s="89">
        <f t="shared" si="2"/>
        <v>-0.2608695652</v>
      </c>
      <c r="I290" s="78" t="s">
        <v>468</v>
      </c>
      <c r="J290" s="78" t="s">
        <v>69</v>
      </c>
      <c r="K290" s="58">
        <f t="shared" si="3"/>
        <v>795</v>
      </c>
      <c r="L290" s="91" t="str">
        <f t="shared" si="4"/>
        <v>Sat</v>
      </c>
      <c r="M290" s="78" t="str">
        <f>IFERROR(VLOOKUP(A290, Entries!A:B,2,false),"")</f>
        <v>Modus Games</v>
      </c>
      <c r="N290" s="23" t="str">
        <f>IFERROR(VLOOKUP(A290, Entries!A:K,11,false),"")</f>
        <v/>
      </c>
      <c r="O290" s="23" t="b">
        <f>IFERROR(VLOOKUP(A290, Entries!A:I,8,false),"")</f>
        <v>0</v>
      </c>
    </row>
    <row r="291">
      <c r="A291" s="78" t="s">
        <v>406</v>
      </c>
      <c r="B291" s="78" t="s">
        <v>19</v>
      </c>
      <c r="C291" s="85">
        <v>44054.0</v>
      </c>
      <c r="D291" s="85">
        <v>44054.0</v>
      </c>
      <c r="E291" s="86">
        <v>12.81</v>
      </c>
      <c r="F291" s="87">
        <v>16.68</v>
      </c>
      <c r="G291" s="88">
        <f t="shared" si="1"/>
        <v>3.87</v>
      </c>
      <c r="H291" s="89">
        <f t="shared" si="2"/>
        <v>0.2320143885</v>
      </c>
      <c r="I291" s="78" t="s">
        <v>469</v>
      </c>
      <c r="J291" s="78" t="s">
        <v>69</v>
      </c>
      <c r="K291" s="58">
        <f t="shared" si="3"/>
        <v>0</v>
      </c>
      <c r="L291" s="91" t="str">
        <f t="shared" si="4"/>
        <v>Tue</v>
      </c>
      <c r="M291" s="78" t="str">
        <f>IFERROR(VLOOKUP(A291, Entries!A:B,2,false),"")</f>
        <v>Focus Home Interactive</v>
      </c>
      <c r="N291" s="23" t="str">
        <f>IFERROR(VLOOKUP(A291, Entries!A:K,11,false),"")</f>
        <v/>
      </c>
      <c r="O291" s="23" t="b">
        <f>IFERROR(VLOOKUP(A291, Entries!A:I,8,false),"")</f>
        <v>0</v>
      </c>
    </row>
    <row r="292">
      <c r="A292" s="78" t="s">
        <v>406</v>
      </c>
      <c r="B292" s="78" t="s">
        <v>19</v>
      </c>
      <c r="C292" s="85">
        <v>44054.0</v>
      </c>
      <c r="D292" s="85">
        <v>44056.0</v>
      </c>
      <c r="E292" s="86">
        <v>12.81</v>
      </c>
      <c r="F292" s="87">
        <v>16.56</v>
      </c>
      <c r="G292" s="88">
        <f t="shared" si="1"/>
        <v>3.75</v>
      </c>
      <c r="H292" s="89">
        <f t="shared" si="2"/>
        <v>0.2264492754</v>
      </c>
      <c r="I292" s="78" t="s">
        <v>470</v>
      </c>
      <c r="J292" s="78" t="s">
        <v>69</v>
      </c>
      <c r="K292" s="58">
        <f t="shared" si="3"/>
        <v>2</v>
      </c>
      <c r="L292" s="91" t="str">
        <f t="shared" si="4"/>
        <v>Thu</v>
      </c>
      <c r="M292" s="78" t="str">
        <f>IFERROR(VLOOKUP(A292, Entries!A:B,2,false),"")</f>
        <v>Focus Home Interactive</v>
      </c>
      <c r="N292" s="23" t="str">
        <f>IFERROR(VLOOKUP(A292, Entries!A:K,11,false),"")</f>
        <v/>
      </c>
      <c r="O292" s="23" t="b">
        <f>IFERROR(VLOOKUP(A292, Entries!A:I,8,false),"")</f>
        <v>0</v>
      </c>
    </row>
    <row r="293">
      <c r="A293" s="78" t="s">
        <v>471</v>
      </c>
      <c r="B293" s="78" t="s">
        <v>19</v>
      </c>
      <c r="C293" s="85">
        <v>44054.0</v>
      </c>
      <c r="D293" s="85">
        <v>44060.0</v>
      </c>
      <c r="E293" s="86">
        <v>0.0</v>
      </c>
      <c r="F293" s="87">
        <v>1.27</v>
      </c>
      <c r="G293" s="88">
        <f t="shared" si="1"/>
        <v>1.27</v>
      </c>
      <c r="H293" s="89">
        <f t="shared" si="2"/>
        <v>1</v>
      </c>
      <c r="I293" s="78" t="s">
        <v>472</v>
      </c>
      <c r="J293" s="78" t="s">
        <v>69</v>
      </c>
      <c r="K293" s="58">
        <f t="shared" si="3"/>
        <v>6</v>
      </c>
      <c r="L293" s="91" t="str">
        <f t="shared" si="4"/>
        <v>Mon</v>
      </c>
      <c r="M293" s="78" t="str">
        <f>IFERROR(VLOOKUP(A293, Entries!A:B,2,false),"")</f>
        <v>Focus Home Interactive</v>
      </c>
      <c r="N293" s="23" t="str">
        <f>IFERROR(VLOOKUP(A293, Entries!A:K,11,false),"")</f>
        <v/>
      </c>
      <c r="O293" s="23" t="b">
        <f>IFERROR(VLOOKUP(A293, Entries!A:I,8,false),"")</f>
        <v>1</v>
      </c>
    </row>
    <row r="294">
      <c r="A294" s="78" t="s">
        <v>471</v>
      </c>
      <c r="B294" s="78" t="s">
        <v>19</v>
      </c>
      <c r="C294" s="85">
        <v>44054.0</v>
      </c>
      <c r="D294" s="85">
        <v>44060.0</v>
      </c>
      <c r="E294" s="86">
        <v>0.0</v>
      </c>
      <c r="F294" s="87">
        <v>1.27</v>
      </c>
      <c r="G294" s="88">
        <f t="shared" si="1"/>
        <v>1.27</v>
      </c>
      <c r="H294" s="89">
        <f t="shared" si="2"/>
        <v>1</v>
      </c>
      <c r="I294" s="78" t="s">
        <v>473</v>
      </c>
      <c r="J294" s="78" t="s">
        <v>69</v>
      </c>
      <c r="K294" s="58">
        <f t="shared" si="3"/>
        <v>6</v>
      </c>
      <c r="L294" s="91" t="str">
        <f t="shared" si="4"/>
        <v>Mon</v>
      </c>
      <c r="M294" s="78" t="str">
        <f>IFERROR(VLOOKUP(A294, Entries!A:B,2,false),"")</f>
        <v>Focus Home Interactive</v>
      </c>
      <c r="N294" s="23" t="str">
        <f>IFERROR(VLOOKUP(A294, Entries!A:K,11,false),"")</f>
        <v/>
      </c>
      <c r="O294" s="23" t="b">
        <f>IFERROR(VLOOKUP(A294, Entries!A:I,8,false),"")</f>
        <v>1</v>
      </c>
    </row>
    <row r="295">
      <c r="A295" s="78" t="s">
        <v>403</v>
      </c>
      <c r="B295" s="78" t="s">
        <v>23</v>
      </c>
      <c r="C295" s="85">
        <v>44054.0</v>
      </c>
      <c r="D295" s="85">
        <v>44149.0</v>
      </c>
      <c r="E295" s="86">
        <v>12.42</v>
      </c>
      <c r="F295" s="87">
        <v>12.67</v>
      </c>
      <c r="G295" s="88">
        <f t="shared" si="1"/>
        <v>0.25</v>
      </c>
      <c r="H295" s="89">
        <f t="shared" si="2"/>
        <v>0.01973164957</v>
      </c>
      <c r="I295" s="78" t="s">
        <v>474</v>
      </c>
      <c r="J295" s="78" t="s">
        <v>69</v>
      </c>
      <c r="K295" s="58">
        <f t="shared" si="3"/>
        <v>95</v>
      </c>
      <c r="L295" s="91" t="str">
        <f t="shared" si="4"/>
        <v>Sat</v>
      </c>
      <c r="M295" s="78" t="str">
        <f>IFERROR(VLOOKUP(A295, Entries!A:B,2,false),"")</f>
        <v>Motion Twin</v>
      </c>
      <c r="N295" s="23" t="str">
        <f>IFERROR(VLOOKUP(A295, Entries!A:K,11,false),"")</f>
        <v/>
      </c>
      <c r="O295" s="23" t="b">
        <f>IFERROR(VLOOKUP(A295, Entries!A:I,8,false),"")</f>
        <v>0</v>
      </c>
    </row>
    <row r="296">
      <c r="A296" s="78" t="s">
        <v>166</v>
      </c>
      <c r="B296" s="78" t="s">
        <v>21</v>
      </c>
      <c r="C296" s="85">
        <v>44055.0</v>
      </c>
      <c r="D296" s="85">
        <v>44075.0</v>
      </c>
      <c r="E296" s="86">
        <v>0.17</v>
      </c>
      <c r="F296" s="87">
        <v>0.38</v>
      </c>
      <c r="G296" s="88">
        <f t="shared" si="1"/>
        <v>0.21</v>
      </c>
      <c r="H296" s="89">
        <f t="shared" si="2"/>
        <v>0.5526315789</v>
      </c>
      <c r="I296" s="78" t="s">
        <v>475</v>
      </c>
      <c r="J296" s="78" t="s">
        <v>69</v>
      </c>
      <c r="K296" s="58">
        <f t="shared" si="3"/>
        <v>20</v>
      </c>
      <c r="L296" s="91" t="str">
        <f t="shared" si="4"/>
        <v>Tue</v>
      </c>
      <c r="M296" s="78" t="str">
        <f>IFERROR(VLOOKUP(A296, Entries!A:B,2,false),"")</f>
        <v>Revival Productions</v>
      </c>
      <c r="N296" s="23" t="str">
        <f>IFERROR(VLOOKUP(A296, Entries!A:K,11,false),"")</f>
        <v/>
      </c>
      <c r="O296" s="23" t="b">
        <f>IFERROR(VLOOKUP(A296, Entries!A:I,8,false),"")</f>
        <v>0</v>
      </c>
    </row>
    <row r="297">
      <c r="A297" s="78" t="s">
        <v>166</v>
      </c>
      <c r="B297" s="78" t="s">
        <v>21</v>
      </c>
      <c r="C297" s="85">
        <v>44055.0</v>
      </c>
      <c r="D297" s="85">
        <v>44075.0</v>
      </c>
      <c r="E297" s="86">
        <v>0.17</v>
      </c>
      <c r="F297" s="87">
        <v>0.38</v>
      </c>
      <c r="G297" s="88">
        <f t="shared" si="1"/>
        <v>0.21</v>
      </c>
      <c r="H297" s="89">
        <f t="shared" si="2"/>
        <v>0.5526315789</v>
      </c>
      <c r="I297" s="78" t="s">
        <v>476</v>
      </c>
      <c r="J297" s="78" t="s">
        <v>69</v>
      </c>
      <c r="K297" s="58">
        <f t="shared" si="3"/>
        <v>20</v>
      </c>
      <c r="L297" s="91" t="str">
        <f t="shared" si="4"/>
        <v>Tue</v>
      </c>
      <c r="M297" s="78" t="str">
        <f>IFERROR(VLOOKUP(A297, Entries!A:B,2,false),"")</f>
        <v>Revival Productions</v>
      </c>
      <c r="N297" s="23" t="str">
        <f>IFERROR(VLOOKUP(A297, Entries!A:K,11,false),"")</f>
        <v/>
      </c>
      <c r="O297" s="23" t="b">
        <f>IFERROR(VLOOKUP(A297, Entries!A:I,8,false),"")</f>
        <v>0</v>
      </c>
    </row>
    <row r="298">
      <c r="A298" s="78" t="s">
        <v>166</v>
      </c>
      <c r="B298" s="78" t="s">
        <v>21</v>
      </c>
      <c r="C298" s="85">
        <v>44055.0</v>
      </c>
      <c r="D298" s="85">
        <v>44078.0</v>
      </c>
      <c r="E298" s="86">
        <v>0.17</v>
      </c>
      <c r="F298" s="87">
        <v>0.39</v>
      </c>
      <c r="G298" s="88">
        <f t="shared" si="1"/>
        <v>0.22</v>
      </c>
      <c r="H298" s="89">
        <f t="shared" si="2"/>
        <v>0.5641025641</v>
      </c>
      <c r="I298" s="78" t="s">
        <v>477</v>
      </c>
      <c r="J298" s="78" t="s">
        <v>69</v>
      </c>
      <c r="K298" s="58">
        <f t="shared" si="3"/>
        <v>23</v>
      </c>
      <c r="L298" s="91" t="str">
        <f t="shared" si="4"/>
        <v>Fri</v>
      </c>
      <c r="M298" s="78" t="str">
        <f>IFERROR(VLOOKUP(A298, Entries!A:B,2,false),"")</f>
        <v>Revival Productions</v>
      </c>
      <c r="N298" s="23" t="str">
        <f>IFERROR(VLOOKUP(A298, Entries!A:K,11,false),"")</f>
        <v/>
      </c>
      <c r="O298" s="23" t="b">
        <f>IFERROR(VLOOKUP(A298, Entries!A:I,8,false),"")</f>
        <v>0</v>
      </c>
    </row>
    <row r="299">
      <c r="A299" s="78" t="s">
        <v>471</v>
      </c>
      <c r="B299" s="78" t="s">
        <v>19</v>
      </c>
      <c r="C299" s="85">
        <v>44056.0</v>
      </c>
      <c r="D299" s="85">
        <v>44061.0</v>
      </c>
      <c r="E299" s="86">
        <v>0.0</v>
      </c>
      <c r="F299" s="87">
        <v>1.4</v>
      </c>
      <c r="G299" s="88">
        <f t="shared" si="1"/>
        <v>1.4</v>
      </c>
      <c r="H299" s="89">
        <f t="shared" si="2"/>
        <v>1</v>
      </c>
      <c r="I299" s="78" t="s">
        <v>478</v>
      </c>
      <c r="J299" s="78" t="s">
        <v>69</v>
      </c>
      <c r="K299" s="58">
        <f t="shared" si="3"/>
        <v>5</v>
      </c>
      <c r="L299" s="91" t="str">
        <f t="shared" si="4"/>
        <v>Tue</v>
      </c>
      <c r="M299" s="78" t="str">
        <f>IFERROR(VLOOKUP(A299, Entries!A:B,2,false),"")</f>
        <v>Focus Home Interactive</v>
      </c>
      <c r="N299" s="23" t="str">
        <f>IFERROR(VLOOKUP(A299, Entries!A:K,11,false),"")</f>
        <v/>
      </c>
      <c r="O299" s="23" t="b">
        <f>IFERROR(VLOOKUP(A299, Entries!A:I,8,false),"")</f>
        <v>1</v>
      </c>
    </row>
    <row r="300">
      <c r="A300" s="78" t="s">
        <v>406</v>
      </c>
      <c r="B300" s="78" t="s">
        <v>19</v>
      </c>
      <c r="C300" s="85">
        <v>44056.0</v>
      </c>
      <c r="D300" s="85">
        <v>44065.0</v>
      </c>
      <c r="E300" s="86">
        <v>12.84</v>
      </c>
      <c r="F300" s="87">
        <v>16.28</v>
      </c>
      <c r="G300" s="88">
        <f t="shared" si="1"/>
        <v>3.44</v>
      </c>
      <c r="H300" s="89">
        <f t="shared" si="2"/>
        <v>0.2113022113</v>
      </c>
      <c r="I300" s="78" t="s">
        <v>479</v>
      </c>
      <c r="J300" s="78" t="s">
        <v>69</v>
      </c>
      <c r="K300" s="58">
        <f t="shared" si="3"/>
        <v>9</v>
      </c>
      <c r="L300" s="91" t="str">
        <f t="shared" si="4"/>
        <v>Sat</v>
      </c>
      <c r="M300" s="78" t="str">
        <f>IFERROR(VLOOKUP(A300, Entries!A:B,2,false),"")</f>
        <v>Focus Home Interactive</v>
      </c>
      <c r="N300" s="23" t="str">
        <f>IFERROR(VLOOKUP(A300, Entries!A:K,11,false),"")</f>
        <v/>
      </c>
      <c r="O300" s="23" t="b">
        <f>IFERROR(VLOOKUP(A300, Entries!A:I,8,false),"")</f>
        <v>0</v>
      </c>
    </row>
    <row r="301">
      <c r="A301" s="78" t="s">
        <v>166</v>
      </c>
      <c r="B301" s="78" t="s">
        <v>21</v>
      </c>
      <c r="C301" s="85">
        <v>44056.0</v>
      </c>
      <c r="D301" s="85">
        <v>44206.0</v>
      </c>
      <c r="E301" s="86">
        <v>0.17</v>
      </c>
      <c r="F301" s="87">
        <v>0.4</v>
      </c>
      <c r="G301" s="88">
        <f t="shared" si="1"/>
        <v>0.23</v>
      </c>
      <c r="H301" s="89">
        <f t="shared" si="2"/>
        <v>0.575</v>
      </c>
      <c r="I301" s="78" t="s">
        <v>480</v>
      </c>
      <c r="J301" s="78" t="s">
        <v>69</v>
      </c>
      <c r="K301" s="58">
        <f t="shared" si="3"/>
        <v>150</v>
      </c>
      <c r="L301" s="91" t="str">
        <f t="shared" si="4"/>
        <v>Sun</v>
      </c>
      <c r="M301" s="78" t="str">
        <f>IFERROR(VLOOKUP(A301, Entries!A:B,2,false),"")</f>
        <v>Revival Productions</v>
      </c>
      <c r="N301" s="23" t="str">
        <f>IFERROR(VLOOKUP(A301, Entries!A:K,11,false),"")</f>
        <v/>
      </c>
      <c r="O301" s="23" t="b">
        <f>IFERROR(VLOOKUP(A301, Entries!A:I,8,false),"")</f>
        <v>0</v>
      </c>
    </row>
    <row r="302">
      <c r="A302" s="78" t="s">
        <v>166</v>
      </c>
      <c r="B302" s="78" t="s">
        <v>21</v>
      </c>
      <c r="C302" s="85">
        <v>44056.0</v>
      </c>
      <c r="D302" s="85">
        <v>44206.0</v>
      </c>
      <c r="E302" s="86">
        <v>0.17</v>
      </c>
      <c r="F302" s="87">
        <v>0.4</v>
      </c>
      <c r="G302" s="88">
        <f t="shared" si="1"/>
        <v>0.23</v>
      </c>
      <c r="H302" s="89">
        <f t="shared" si="2"/>
        <v>0.575</v>
      </c>
      <c r="I302" s="78" t="s">
        <v>481</v>
      </c>
      <c r="J302" s="78" t="s">
        <v>69</v>
      </c>
      <c r="K302" s="58">
        <f t="shared" si="3"/>
        <v>150</v>
      </c>
      <c r="L302" s="91" t="str">
        <f t="shared" si="4"/>
        <v>Sun</v>
      </c>
      <c r="M302" s="78" t="str">
        <f>IFERROR(VLOOKUP(A302, Entries!A:B,2,false),"")</f>
        <v>Revival Productions</v>
      </c>
      <c r="N302" s="23" t="str">
        <f>IFERROR(VLOOKUP(A302, Entries!A:K,11,false),"")</f>
        <v/>
      </c>
      <c r="O302" s="23" t="b">
        <f>IFERROR(VLOOKUP(A302, Entries!A:I,8,false),"")</f>
        <v>0</v>
      </c>
    </row>
    <row r="303">
      <c r="A303" s="78" t="s">
        <v>166</v>
      </c>
      <c r="B303" s="78" t="s">
        <v>21</v>
      </c>
      <c r="C303" s="85">
        <v>44056.0</v>
      </c>
      <c r="D303" s="85">
        <v>44206.0</v>
      </c>
      <c r="E303" s="86">
        <v>0.17</v>
      </c>
      <c r="F303" s="87">
        <v>0.42</v>
      </c>
      <c r="G303" s="88">
        <f t="shared" si="1"/>
        <v>0.25</v>
      </c>
      <c r="H303" s="89">
        <f t="shared" si="2"/>
        <v>0.5952380952</v>
      </c>
      <c r="I303" s="78" t="s">
        <v>482</v>
      </c>
      <c r="J303" s="78" t="s">
        <v>69</v>
      </c>
      <c r="K303" s="58">
        <f t="shared" si="3"/>
        <v>150</v>
      </c>
      <c r="L303" s="91" t="str">
        <f t="shared" si="4"/>
        <v>Sun</v>
      </c>
      <c r="M303" s="78" t="str">
        <f>IFERROR(VLOOKUP(A303, Entries!A:B,2,false),"")</f>
        <v>Revival Productions</v>
      </c>
      <c r="N303" s="23" t="str">
        <f>IFERROR(VLOOKUP(A303, Entries!A:K,11,false),"")</f>
        <v/>
      </c>
      <c r="O303" s="23" t="b">
        <f>IFERROR(VLOOKUP(A303, Entries!A:I,8,false),"")</f>
        <v>0</v>
      </c>
    </row>
    <row r="304">
      <c r="A304" s="78" t="s">
        <v>166</v>
      </c>
      <c r="B304" s="78" t="s">
        <v>21</v>
      </c>
      <c r="C304" s="85">
        <v>44056.0</v>
      </c>
      <c r="D304" s="85">
        <v>44255.0</v>
      </c>
      <c r="E304" s="86">
        <v>0.17</v>
      </c>
      <c r="F304" s="87">
        <v>0.42</v>
      </c>
      <c r="G304" s="88">
        <f t="shared" si="1"/>
        <v>0.25</v>
      </c>
      <c r="H304" s="89">
        <f t="shared" si="2"/>
        <v>0.5952380952</v>
      </c>
      <c r="I304" s="78" t="s">
        <v>483</v>
      </c>
      <c r="J304" s="78" t="s">
        <v>69</v>
      </c>
      <c r="K304" s="58">
        <f t="shared" si="3"/>
        <v>199</v>
      </c>
      <c r="L304" s="91" t="str">
        <f t="shared" si="4"/>
        <v>Sun</v>
      </c>
      <c r="M304" s="78" t="str">
        <f>IFERROR(VLOOKUP(A304, Entries!A:B,2,false),"")</f>
        <v>Revival Productions</v>
      </c>
      <c r="N304" s="23" t="str">
        <f>IFERROR(VLOOKUP(A304, Entries!A:K,11,false),"")</f>
        <v/>
      </c>
      <c r="O304" s="23" t="b">
        <f>IFERROR(VLOOKUP(A304, Entries!A:I,8,false),"")</f>
        <v>0</v>
      </c>
    </row>
    <row r="305">
      <c r="A305" s="78" t="s">
        <v>166</v>
      </c>
      <c r="B305" s="78" t="s">
        <v>21</v>
      </c>
      <c r="C305" s="85">
        <v>44056.0</v>
      </c>
      <c r="D305" s="85">
        <v>44286.0</v>
      </c>
      <c r="E305" s="86">
        <v>0.17</v>
      </c>
      <c r="F305" s="87">
        <v>0.83</v>
      </c>
      <c r="G305" s="88">
        <f t="shared" si="1"/>
        <v>0.66</v>
      </c>
      <c r="H305" s="89">
        <f t="shared" si="2"/>
        <v>0.7951807229</v>
      </c>
      <c r="I305" s="78" t="s">
        <v>484</v>
      </c>
      <c r="J305" s="78" t="s">
        <v>69</v>
      </c>
      <c r="K305" s="58">
        <f t="shared" si="3"/>
        <v>230</v>
      </c>
      <c r="L305" s="91" t="str">
        <f t="shared" si="4"/>
        <v>Wed</v>
      </c>
      <c r="M305" s="78" t="str">
        <f>IFERROR(VLOOKUP(A305, Entries!A:B,2,false),"")</f>
        <v>Revival Productions</v>
      </c>
      <c r="N305" s="23" t="str">
        <f>IFERROR(VLOOKUP(A305, Entries!A:K,11,false),"")</f>
        <v/>
      </c>
      <c r="O305" s="23" t="b">
        <f>IFERROR(VLOOKUP(A305, Entries!A:I,8,false),"")</f>
        <v>0</v>
      </c>
    </row>
    <row r="306">
      <c r="A306" s="78" t="s">
        <v>166</v>
      </c>
      <c r="B306" s="78" t="s">
        <v>21</v>
      </c>
      <c r="C306" s="85">
        <v>44056.0</v>
      </c>
      <c r="D306" s="85">
        <v>44282.0</v>
      </c>
      <c r="E306" s="86">
        <v>0.17</v>
      </c>
      <c r="F306" s="87">
        <v>0.83</v>
      </c>
      <c r="G306" s="88">
        <f t="shared" si="1"/>
        <v>0.66</v>
      </c>
      <c r="H306" s="89">
        <f t="shared" si="2"/>
        <v>0.7951807229</v>
      </c>
      <c r="I306" s="78" t="s">
        <v>485</v>
      </c>
      <c r="J306" s="78" t="s">
        <v>69</v>
      </c>
      <c r="K306" s="58">
        <f t="shared" si="3"/>
        <v>226</v>
      </c>
      <c r="L306" s="91" t="str">
        <f t="shared" si="4"/>
        <v>Sat</v>
      </c>
      <c r="M306" s="78" t="str">
        <f>IFERROR(VLOOKUP(A306, Entries!A:B,2,false),"")</f>
        <v>Revival Productions</v>
      </c>
      <c r="N306" s="23" t="str">
        <f>IFERROR(VLOOKUP(A306, Entries!A:K,11,false),"")</f>
        <v/>
      </c>
      <c r="O306" s="23" t="b">
        <f>IFERROR(VLOOKUP(A306, Entries!A:I,8,false),"")</f>
        <v>0</v>
      </c>
    </row>
    <row r="307">
      <c r="A307" s="78" t="s">
        <v>117</v>
      </c>
      <c r="B307" s="78" t="s">
        <v>21</v>
      </c>
      <c r="C307" s="85">
        <v>44058.0</v>
      </c>
      <c r="D307" s="85">
        <v>44059.0</v>
      </c>
      <c r="E307" s="86">
        <v>0.88</v>
      </c>
      <c r="F307" s="87">
        <v>1.49</v>
      </c>
      <c r="G307" s="88">
        <f t="shared" si="1"/>
        <v>0.61</v>
      </c>
      <c r="H307" s="89">
        <f t="shared" si="2"/>
        <v>0.4093959732</v>
      </c>
      <c r="I307" s="78" t="s">
        <v>486</v>
      </c>
      <c r="J307" s="78" t="s">
        <v>69</v>
      </c>
      <c r="K307" s="58">
        <f t="shared" si="3"/>
        <v>1</v>
      </c>
      <c r="L307" s="91" t="str">
        <f t="shared" si="4"/>
        <v>Sun</v>
      </c>
      <c r="M307" s="78" t="str">
        <f>IFERROR(VLOOKUP(A307, Entries!A:B,2,false),"")</f>
        <v>Starbreeze Publishing</v>
      </c>
      <c r="N307" s="23" t="str">
        <f>IFERROR(VLOOKUP(A307, Entries!A:K,11,false),"")</f>
        <v/>
      </c>
      <c r="O307" s="23" t="b">
        <f>IFERROR(VLOOKUP(A307, Entries!A:I,8,false),"")</f>
        <v>1</v>
      </c>
    </row>
    <row r="308">
      <c r="A308" s="78" t="s">
        <v>117</v>
      </c>
      <c r="B308" s="78" t="s">
        <v>21</v>
      </c>
      <c r="C308" s="85">
        <v>44058.0</v>
      </c>
      <c r="D308" s="85">
        <v>44059.0</v>
      </c>
      <c r="E308" s="86">
        <v>0.88</v>
      </c>
      <c r="F308" s="87">
        <v>1.49</v>
      </c>
      <c r="G308" s="88">
        <f t="shared" si="1"/>
        <v>0.61</v>
      </c>
      <c r="H308" s="89">
        <f t="shared" si="2"/>
        <v>0.4093959732</v>
      </c>
      <c r="I308" s="78" t="s">
        <v>487</v>
      </c>
      <c r="J308" s="78" t="s">
        <v>69</v>
      </c>
      <c r="K308" s="58">
        <f t="shared" si="3"/>
        <v>1</v>
      </c>
      <c r="L308" s="91" t="str">
        <f t="shared" si="4"/>
        <v>Sun</v>
      </c>
      <c r="M308" s="78" t="str">
        <f>IFERROR(VLOOKUP(A308, Entries!A:B,2,false),"")</f>
        <v>Starbreeze Publishing</v>
      </c>
      <c r="N308" s="23" t="str">
        <f>IFERROR(VLOOKUP(A308, Entries!A:K,11,false),"")</f>
        <v/>
      </c>
      <c r="O308" s="23" t="b">
        <f>IFERROR(VLOOKUP(A308, Entries!A:I,8,false),"")</f>
        <v>1</v>
      </c>
    </row>
    <row r="309">
      <c r="A309" s="78" t="s">
        <v>291</v>
      </c>
      <c r="B309" s="78" t="s">
        <v>19</v>
      </c>
      <c r="C309" s="85">
        <v>44058.0</v>
      </c>
      <c r="D309" s="85">
        <v>44063.0</v>
      </c>
      <c r="E309" s="86">
        <v>3.02</v>
      </c>
      <c r="F309" s="87">
        <v>4.64</v>
      </c>
      <c r="G309" s="88">
        <f t="shared" si="1"/>
        <v>1.62</v>
      </c>
      <c r="H309" s="89">
        <f t="shared" si="2"/>
        <v>0.349137931</v>
      </c>
      <c r="I309" s="78" t="s">
        <v>488</v>
      </c>
      <c r="J309" s="78" t="s">
        <v>69</v>
      </c>
      <c r="K309" s="58">
        <f t="shared" si="3"/>
        <v>5</v>
      </c>
      <c r="L309" s="91" t="str">
        <f t="shared" si="4"/>
        <v>Thu</v>
      </c>
      <c r="M309" s="78" t="str">
        <f>IFERROR(VLOOKUP(A309, Entries!A:B,2,false),"")</f>
        <v>Square Enix</v>
      </c>
      <c r="N309" s="23" t="str">
        <f>IFERROR(VLOOKUP(A309, Entries!A:K,11,false),"")</f>
        <v/>
      </c>
      <c r="O309" s="23" t="b">
        <f>IFERROR(VLOOKUP(A309, Entries!A:I,8,false),"")</f>
        <v>0</v>
      </c>
    </row>
    <row r="310">
      <c r="A310" s="78" t="s">
        <v>489</v>
      </c>
      <c r="B310" s="78" t="s">
        <v>19</v>
      </c>
      <c r="C310" s="85">
        <v>44060.0</v>
      </c>
      <c r="D310" s="85">
        <v>44710.0</v>
      </c>
      <c r="E310" s="86">
        <v>12.59</v>
      </c>
      <c r="F310" s="87">
        <v>2.62</v>
      </c>
      <c r="G310" s="88">
        <f t="shared" si="1"/>
        <v>-9.97</v>
      </c>
      <c r="H310" s="89">
        <f t="shared" si="2"/>
        <v>-3.805343511</v>
      </c>
      <c r="I310" s="78" t="s">
        <v>490</v>
      </c>
      <c r="J310" s="78" t="s">
        <v>69</v>
      </c>
      <c r="K310" s="58">
        <f t="shared" si="3"/>
        <v>650</v>
      </c>
      <c r="L310" s="91" t="str">
        <f t="shared" si="4"/>
        <v>Sun</v>
      </c>
      <c r="M310" s="78" t="str">
        <f>IFERROR(VLOOKUP(A310, Entries!A:B,2,false),"")</f>
        <v>THQ Nordic</v>
      </c>
      <c r="N310" s="23" t="str">
        <f>IFERROR(VLOOKUP(A310, Entries!A:K,11,false),"")</f>
        <v/>
      </c>
      <c r="O310" s="23" t="b">
        <f>IFERROR(VLOOKUP(A310, Entries!A:I,8,false),"")</f>
        <v>0</v>
      </c>
    </row>
    <row r="311">
      <c r="A311" s="78" t="s">
        <v>471</v>
      </c>
      <c r="B311" s="78" t="s">
        <v>19</v>
      </c>
      <c r="C311" s="85">
        <v>44060.0</v>
      </c>
      <c r="D311" s="85">
        <v>44064.0</v>
      </c>
      <c r="E311" s="86">
        <v>0.0</v>
      </c>
      <c r="F311" s="87">
        <v>1.33</v>
      </c>
      <c r="G311" s="88">
        <f t="shared" si="1"/>
        <v>1.33</v>
      </c>
      <c r="H311" s="89">
        <f t="shared" si="2"/>
        <v>1</v>
      </c>
      <c r="I311" s="78" t="s">
        <v>491</v>
      </c>
      <c r="J311" s="78" t="s">
        <v>69</v>
      </c>
      <c r="K311" s="58">
        <f t="shared" si="3"/>
        <v>4</v>
      </c>
      <c r="L311" s="91" t="str">
        <f t="shared" si="4"/>
        <v>Fri</v>
      </c>
      <c r="M311" s="78" t="str">
        <f>IFERROR(VLOOKUP(A311, Entries!A:B,2,false),"")</f>
        <v>Focus Home Interactive</v>
      </c>
      <c r="N311" s="23" t="str">
        <f>IFERROR(VLOOKUP(A311, Entries!A:K,11,false),"")</f>
        <v/>
      </c>
      <c r="O311" s="23" t="b">
        <f>IFERROR(VLOOKUP(A311, Entries!A:I,8,false),"")</f>
        <v>1</v>
      </c>
    </row>
    <row r="312">
      <c r="A312" s="78" t="s">
        <v>492</v>
      </c>
      <c r="B312" s="78" t="s">
        <v>22</v>
      </c>
      <c r="C312" s="85">
        <v>44060.0</v>
      </c>
      <c r="D312" s="85">
        <v>44069.0</v>
      </c>
      <c r="E312" s="86">
        <v>3.91</v>
      </c>
      <c r="F312" s="87">
        <v>3.89</v>
      </c>
      <c r="G312" s="88">
        <f t="shared" si="1"/>
        <v>-0.02</v>
      </c>
      <c r="H312" s="89">
        <f t="shared" si="2"/>
        <v>-0.005141388175</v>
      </c>
      <c r="I312" s="78" t="s">
        <v>493</v>
      </c>
      <c r="J312" s="78" t="s">
        <v>69</v>
      </c>
      <c r="K312" s="58">
        <f t="shared" si="3"/>
        <v>9</v>
      </c>
      <c r="L312" s="91" t="str">
        <f t="shared" si="4"/>
        <v>Wed</v>
      </c>
      <c r="M312" s="78" t="str">
        <f>IFERROR(VLOOKUP(A312, Entries!A:B,2,false),"")</f>
        <v>Kalypso Media</v>
      </c>
      <c r="N312" s="23" t="str">
        <f>IFERROR(VLOOKUP(A312, Entries!A:K,11,false),"")</f>
        <v/>
      </c>
      <c r="O312" s="23" t="b">
        <f>IFERROR(VLOOKUP(A312, Entries!A:I,8,false),"")</f>
        <v>0</v>
      </c>
    </row>
    <row r="313">
      <c r="A313" s="78" t="s">
        <v>166</v>
      </c>
      <c r="B313" s="78" t="s">
        <v>21</v>
      </c>
      <c r="C313" s="85">
        <v>44061.0</v>
      </c>
      <c r="D313" s="85">
        <v>44210.0</v>
      </c>
      <c r="E313" s="86">
        <v>0.17</v>
      </c>
      <c r="F313" s="87">
        <v>1.5</v>
      </c>
      <c r="G313" s="88">
        <f t="shared" si="1"/>
        <v>1.33</v>
      </c>
      <c r="H313" s="89">
        <f t="shared" si="2"/>
        <v>0.8866666667</v>
      </c>
      <c r="I313" s="78" t="s">
        <v>494</v>
      </c>
      <c r="J313" s="78" t="s">
        <v>69</v>
      </c>
      <c r="K313" s="58">
        <f t="shared" si="3"/>
        <v>149</v>
      </c>
      <c r="L313" s="91" t="str">
        <f t="shared" si="4"/>
        <v>Thu</v>
      </c>
      <c r="M313" s="78" t="str">
        <f>IFERROR(VLOOKUP(A313, Entries!A:B,2,false),"")</f>
        <v>Revival Productions</v>
      </c>
      <c r="N313" s="23" t="str">
        <f>IFERROR(VLOOKUP(A313, Entries!A:K,11,false),"")</f>
        <v/>
      </c>
      <c r="O313" s="23" t="b">
        <f>IFERROR(VLOOKUP(A313, Entries!A:I,8,false),"")</f>
        <v>0</v>
      </c>
    </row>
    <row r="314">
      <c r="A314" s="78" t="s">
        <v>166</v>
      </c>
      <c r="B314" s="78" t="s">
        <v>21</v>
      </c>
      <c r="C314" s="85">
        <v>44062.0</v>
      </c>
      <c r="D314" s="85">
        <v>44081.0</v>
      </c>
      <c r="E314" s="86">
        <v>0.17</v>
      </c>
      <c r="F314" s="87">
        <v>0.65</v>
      </c>
      <c r="G314" s="88">
        <f t="shared" si="1"/>
        <v>0.48</v>
      </c>
      <c r="H314" s="89">
        <f t="shared" si="2"/>
        <v>0.7384615385</v>
      </c>
      <c r="I314" s="78" t="s">
        <v>495</v>
      </c>
      <c r="J314" s="78" t="s">
        <v>69</v>
      </c>
      <c r="K314" s="58">
        <f t="shared" si="3"/>
        <v>19</v>
      </c>
      <c r="L314" s="91" t="str">
        <f t="shared" si="4"/>
        <v>Mon</v>
      </c>
      <c r="M314" s="78" t="str">
        <f>IFERROR(VLOOKUP(A314, Entries!A:B,2,false),"")</f>
        <v>Revival Productions</v>
      </c>
      <c r="N314" s="23" t="str">
        <f>IFERROR(VLOOKUP(A314, Entries!A:K,11,false),"")</f>
        <v/>
      </c>
      <c r="O314" s="23" t="b">
        <f>IFERROR(VLOOKUP(A314, Entries!A:I,8,false),"")</f>
        <v>0</v>
      </c>
    </row>
    <row r="315">
      <c r="A315" s="78" t="s">
        <v>166</v>
      </c>
      <c r="B315" s="78" t="s">
        <v>21</v>
      </c>
      <c r="C315" s="85">
        <v>44063.0</v>
      </c>
      <c r="D315" s="85">
        <v>44081.0</v>
      </c>
      <c r="E315" s="86">
        <v>0.17</v>
      </c>
      <c r="F315" s="87">
        <v>0.65</v>
      </c>
      <c r="G315" s="88">
        <f t="shared" si="1"/>
        <v>0.48</v>
      </c>
      <c r="H315" s="89">
        <f t="shared" si="2"/>
        <v>0.7384615385</v>
      </c>
      <c r="I315" s="78" t="s">
        <v>496</v>
      </c>
      <c r="J315" s="78" t="s">
        <v>69</v>
      </c>
      <c r="K315" s="58">
        <f t="shared" si="3"/>
        <v>18</v>
      </c>
      <c r="L315" s="91" t="str">
        <f t="shared" si="4"/>
        <v>Mon</v>
      </c>
      <c r="M315" s="78" t="str">
        <f>IFERROR(VLOOKUP(A315, Entries!A:B,2,false),"")</f>
        <v>Revival Productions</v>
      </c>
      <c r="N315" s="23" t="str">
        <f>IFERROR(VLOOKUP(A315, Entries!A:K,11,false),"")</f>
        <v/>
      </c>
      <c r="O315" s="23" t="b">
        <f>IFERROR(VLOOKUP(A315, Entries!A:I,8,false),"")</f>
        <v>0</v>
      </c>
    </row>
    <row r="316">
      <c r="A316" s="78" t="s">
        <v>166</v>
      </c>
      <c r="B316" s="78" t="s">
        <v>21</v>
      </c>
      <c r="C316" s="85">
        <v>44064.0</v>
      </c>
      <c r="D316" s="85">
        <v>44091.0</v>
      </c>
      <c r="E316" s="86">
        <v>0.17</v>
      </c>
      <c r="F316" s="87">
        <v>0.46</v>
      </c>
      <c r="G316" s="88">
        <f t="shared" si="1"/>
        <v>0.29</v>
      </c>
      <c r="H316" s="89">
        <f t="shared" si="2"/>
        <v>0.6304347826</v>
      </c>
      <c r="I316" s="78" t="s">
        <v>497</v>
      </c>
      <c r="J316" s="78" t="s">
        <v>69</v>
      </c>
      <c r="K316" s="58">
        <f t="shared" si="3"/>
        <v>27</v>
      </c>
      <c r="L316" s="91" t="str">
        <f t="shared" si="4"/>
        <v>Thu</v>
      </c>
      <c r="M316" s="78" t="str">
        <f>IFERROR(VLOOKUP(A316, Entries!A:B,2,false),"")</f>
        <v>Revival Productions</v>
      </c>
      <c r="N316" s="23" t="str">
        <f>IFERROR(VLOOKUP(A316, Entries!A:K,11,false),"")</f>
        <v/>
      </c>
      <c r="O316" s="23" t="b">
        <f>IFERROR(VLOOKUP(A316, Entries!A:I,8,false),"")</f>
        <v>0</v>
      </c>
    </row>
    <row r="317">
      <c r="A317" s="78" t="s">
        <v>166</v>
      </c>
      <c r="B317" s="78" t="s">
        <v>21</v>
      </c>
      <c r="C317" s="85">
        <v>44065.0</v>
      </c>
      <c r="D317" s="85">
        <v>44091.0</v>
      </c>
      <c r="E317" s="86">
        <v>0.17</v>
      </c>
      <c r="F317" s="87">
        <v>0.46</v>
      </c>
      <c r="G317" s="88">
        <f t="shared" si="1"/>
        <v>0.29</v>
      </c>
      <c r="H317" s="89">
        <f t="shared" si="2"/>
        <v>0.6304347826</v>
      </c>
      <c r="I317" s="78" t="s">
        <v>498</v>
      </c>
      <c r="J317" s="78" t="s">
        <v>69</v>
      </c>
      <c r="K317" s="58">
        <f t="shared" si="3"/>
        <v>26</v>
      </c>
      <c r="L317" s="91" t="str">
        <f t="shared" si="4"/>
        <v>Thu</v>
      </c>
      <c r="M317" s="78" t="str">
        <f>IFERROR(VLOOKUP(A317, Entries!A:B,2,false),"")</f>
        <v>Revival Productions</v>
      </c>
      <c r="N317" s="23" t="str">
        <f>IFERROR(VLOOKUP(A317, Entries!A:K,11,false),"")</f>
        <v/>
      </c>
      <c r="O317" s="23" t="b">
        <f>IFERROR(VLOOKUP(A317, Entries!A:I,8,false),"")</f>
        <v>0</v>
      </c>
    </row>
    <row r="318">
      <c r="A318" s="78" t="s">
        <v>499</v>
      </c>
      <c r="B318" s="78" t="s">
        <v>22</v>
      </c>
      <c r="C318" s="85">
        <v>44062.0</v>
      </c>
      <c r="D318" s="85">
        <v>44393.0</v>
      </c>
      <c r="E318" s="86">
        <v>1.41</v>
      </c>
      <c r="F318" s="87">
        <v>0.29</v>
      </c>
      <c r="G318" s="88">
        <f t="shared" si="1"/>
        <v>-1.12</v>
      </c>
      <c r="H318" s="89">
        <f t="shared" si="2"/>
        <v>-3.862068966</v>
      </c>
      <c r="I318" s="78" t="s">
        <v>500</v>
      </c>
      <c r="J318" s="78" t="s">
        <v>69</v>
      </c>
      <c r="K318" s="58">
        <f t="shared" si="3"/>
        <v>331</v>
      </c>
      <c r="L318" s="91" t="str">
        <f t="shared" si="4"/>
        <v>Fri</v>
      </c>
      <c r="M318" s="78" t="str">
        <f>IFERROR(VLOOKUP(A318, Entries!A:B,2,false),"")</f>
        <v>Square Enix</v>
      </c>
      <c r="N318" s="23" t="str">
        <f>IFERROR(VLOOKUP(A318, Entries!A:K,11,false),"")</f>
        <v/>
      </c>
      <c r="O318" s="23" t="b">
        <f>IFERROR(VLOOKUP(A318, Entries!A:I,8,false),"")</f>
        <v>0</v>
      </c>
    </row>
    <row r="319">
      <c r="A319" s="78" t="s">
        <v>291</v>
      </c>
      <c r="B319" s="78" t="s">
        <v>19</v>
      </c>
      <c r="C319" s="85">
        <v>44062.0</v>
      </c>
      <c r="D319" s="85">
        <v>44072.0</v>
      </c>
      <c r="E319" s="86">
        <v>2.99</v>
      </c>
      <c r="F319" s="87">
        <v>4.64</v>
      </c>
      <c r="G319" s="88">
        <f t="shared" si="1"/>
        <v>1.65</v>
      </c>
      <c r="H319" s="89">
        <f t="shared" si="2"/>
        <v>0.3556034483</v>
      </c>
      <c r="I319" s="78" t="s">
        <v>501</v>
      </c>
      <c r="J319" s="78" t="s">
        <v>69</v>
      </c>
      <c r="K319" s="58">
        <f t="shared" si="3"/>
        <v>10</v>
      </c>
      <c r="L319" s="91" t="str">
        <f t="shared" si="4"/>
        <v>Sat</v>
      </c>
      <c r="M319" s="78" t="str">
        <f>IFERROR(VLOOKUP(A319, Entries!A:B,2,false),"")</f>
        <v>Square Enix</v>
      </c>
      <c r="N319" s="23" t="str">
        <f>IFERROR(VLOOKUP(A319, Entries!A:K,11,false),"")</f>
        <v/>
      </c>
      <c r="O319" s="23" t="b">
        <f>IFERROR(VLOOKUP(A319, Entries!A:I,8,false),"")</f>
        <v>0</v>
      </c>
    </row>
    <row r="320">
      <c r="A320" s="78" t="s">
        <v>502</v>
      </c>
      <c r="B320" s="78" t="s">
        <v>19</v>
      </c>
      <c r="C320" s="85">
        <v>44063.0</v>
      </c>
      <c r="D320" s="85">
        <v>44069.0</v>
      </c>
      <c r="E320" s="86">
        <v>0.41</v>
      </c>
      <c r="F320" s="87">
        <v>0.46</v>
      </c>
      <c r="G320" s="88">
        <f t="shared" si="1"/>
        <v>0.05</v>
      </c>
      <c r="H320" s="89">
        <f t="shared" si="2"/>
        <v>0.1086956522</v>
      </c>
      <c r="I320" s="78" t="s">
        <v>503</v>
      </c>
      <c r="J320" s="78" t="s">
        <v>69</v>
      </c>
      <c r="K320" s="58">
        <f t="shared" si="3"/>
        <v>6</v>
      </c>
      <c r="L320" s="91" t="str">
        <f t="shared" si="4"/>
        <v>Wed</v>
      </c>
      <c r="M320" s="78" t="str">
        <f>IFERROR(VLOOKUP(A320, Entries!A:B,2,false),"")</f>
        <v>Krillbite Studio</v>
      </c>
      <c r="N320" s="23" t="str">
        <f>IFERROR(VLOOKUP(A320, Entries!A:K,11,false),"")</f>
        <v/>
      </c>
      <c r="O320" s="23" t="b">
        <f>IFERROR(VLOOKUP(A320, Entries!A:I,8,false),"")</f>
        <v>0</v>
      </c>
    </row>
    <row r="321">
      <c r="A321" s="78" t="s">
        <v>504</v>
      </c>
      <c r="B321" s="78" t="s">
        <v>19</v>
      </c>
      <c r="C321" s="85">
        <v>44063.0</v>
      </c>
      <c r="D321" s="85">
        <v>44114.0</v>
      </c>
      <c r="E321" s="86">
        <v>0.47</v>
      </c>
      <c r="F321" s="87">
        <v>0.65</v>
      </c>
      <c r="G321" s="88">
        <f t="shared" si="1"/>
        <v>0.18</v>
      </c>
      <c r="H321" s="89">
        <f t="shared" si="2"/>
        <v>0.2769230769</v>
      </c>
      <c r="I321" s="78" t="s">
        <v>505</v>
      </c>
      <c r="J321" s="78" t="s">
        <v>69</v>
      </c>
      <c r="K321" s="58">
        <f t="shared" si="3"/>
        <v>51</v>
      </c>
      <c r="L321" s="91" t="str">
        <f t="shared" si="4"/>
        <v>Sat</v>
      </c>
      <c r="M321" s="78" t="str">
        <f>IFERROR(VLOOKUP(A321, Entries!A:B,2,false),"")</f>
        <v>oneoreight</v>
      </c>
      <c r="N321" s="23" t="str">
        <f>IFERROR(VLOOKUP(A321, Entries!A:K,11,false),"")</f>
        <v/>
      </c>
      <c r="O321" s="23" t="b">
        <f>IFERROR(VLOOKUP(A321, Entries!A:I,8,false),"")</f>
        <v>0</v>
      </c>
    </row>
    <row r="322">
      <c r="A322" s="78" t="s">
        <v>506</v>
      </c>
      <c r="B322" s="78" t="s">
        <v>19</v>
      </c>
      <c r="C322" s="85">
        <v>44063.0</v>
      </c>
      <c r="D322" s="85">
        <v>44064.0</v>
      </c>
      <c r="E322" s="86">
        <v>0.41</v>
      </c>
      <c r="F322" s="87">
        <v>0.7</v>
      </c>
      <c r="G322" s="88">
        <f t="shared" si="1"/>
        <v>0.29</v>
      </c>
      <c r="H322" s="89">
        <f t="shared" si="2"/>
        <v>0.4142857143</v>
      </c>
      <c r="I322" s="78" t="s">
        <v>507</v>
      </c>
      <c r="J322" s="78" t="s">
        <v>69</v>
      </c>
      <c r="K322" s="58">
        <f t="shared" si="3"/>
        <v>1</v>
      </c>
      <c r="L322" s="91" t="str">
        <f t="shared" si="4"/>
        <v>Fri</v>
      </c>
      <c r="M322" s="78" t="str">
        <f>IFERROR(VLOOKUP(A322, Entries!A:B,2,false),"")</f>
        <v>Lonely Troops</v>
      </c>
      <c r="N322" s="23" t="str">
        <f>IFERROR(VLOOKUP(A322, Entries!A:K,11,false),"")</f>
        <v/>
      </c>
      <c r="O322" s="23" t="b">
        <f>IFERROR(VLOOKUP(A322, Entries!A:I,8,false),"")</f>
        <v>0</v>
      </c>
    </row>
    <row r="323">
      <c r="A323" s="78" t="s">
        <v>508</v>
      </c>
      <c r="B323" s="78" t="s">
        <v>19</v>
      </c>
      <c r="C323" s="85">
        <v>44063.0</v>
      </c>
      <c r="D323" s="85">
        <v>44219.0</v>
      </c>
      <c r="E323" s="86">
        <v>0.41</v>
      </c>
      <c r="F323" s="87">
        <v>0.65</v>
      </c>
      <c r="G323" s="88">
        <f t="shared" si="1"/>
        <v>0.24</v>
      </c>
      <c r="H323" s="89">
        <f t="shared" si="2"/>
        <v>0.3692307692</v>
      </c>
      <c r="I323" s="78" t="s">
        <v>509</v>
      </c>
      <c r="J323" s="78" t="s">
        <v>69</v>
      </c>
      <c r="K323" s="58">
        <f t="shared" si="3"/>
        <v>156</v>
      </c>
      <c r="L323" s="91" t="str">
        <f t="shared" si="4"/>
        <v>Sat</v>
      </c>
      <c r="M323" s="78" t="str">
        <f>IFERROR(VLOOKUP(A323, Entries!A:B,2,false),"")</f>
        <v>Ice-Pick Lodge</v>
      </c>
      <c r="N323" s="23" t="str">
        <f>IFERROR(VLOOKUP(A323, Entries!A:K,11,false),"")</f>
        <v/>
      </c>
      <c r="O323" s="23" t="b">
        <f>IFERROR(VLOOKUP(A323, Entries!A:I,8,false),"")</f>
        <v>0</v>
      </c>
    </row>
    <row r="324">
      <c r="A324" s="78" t="s">
        <v>510</v>
      </c>
      <c r="B324" s="78" t="s">
        <v>19</v>
      </c>
      <c r="C324" s="85">
        <v>44063.0</v>
      </c>
      <c r="D324" s="85">
        <v>44073.0</v>
      </c>
      <c r="E324" s="86">
        <v>0.41</v>
      </c>
      <c r="F324" s="87">
        <v>1.82</v>
      </c>
      <c r="G324" s="88">
        <f t="shared" si="1"/>
        <v>1.41</v>
      </c>
      <c r="H324" s="89">
        <f t="shared" si="2"/>
        <v>0.7747252747</v>
      </c>
      <c r="I324" s="78" t="s">
        <v>511</v>
      </c>
      <c r="J324" s="78" t="s">
        <v>69</v>
      </c>
      <c r="K324" s="58">
        <f t="shared" si="3"/>
        <v>10</v>
      </c>
      <c r="L324" s="91" t="str">
        <f t="shared" si="4"/>
        <v>Sun</v>
      </c>
      <c r="M324" s="78" t="str">
        <f>IFERROR(VLOOKUP(A324, Entries!A:B,2,false),"")</f>
        <v>Perfect World Entertainment</v>
      </c>
      <c r="N324" s="23" t="str">
        <f>IFERROR(VLOOKUP(A324, Entries!A:K,11,false),"")</f>
        <v/>
      </c>
      <c r="O324" s="23" t="b">
        <f>IFERROR(VLOOKUP(A324, Entries!A:I,8,false),"")</f>
        <v>0</v>
      </c>
    </row>
    <row r="325">
      <c r="A325" s="78" t="s">
        <v>512</v>
      </c>
      <c r="B325" s="78" t="s">
        <v>19</v>
      </c>
      <c r="C325" s="85">
        <v>44063.0</v>
      </c>
      <c r="D325" s="85">
        <v>44168.0</v>
      </c>
      <c r="E325" s="86">
        <v>0.41</v>
      </c>
      <c r="F325" s="87">
        <v>0.77</v>
      </c>
      <c r="G325" s="88">
        <f t="shared" si="1"/>
        <v>0.36</v>
      </c>
      <c r="H325" s="89">
        <f t="shared" si="2"/>
        <v>0.4675324675</v>
      </c>
      <c r="I325" s="78" t="s">
        <v>513</v>
      </c>
      <c r="J325" s="78" t="s">
        <v>69</v>
      </c>
      <c r="K325" s="58">
        <f t="shared" si="3"/>
        <v>105</v>
      </c>
      <c r="L325" s="91" t="str">
        <f t="shared" si="4"/>
        <v>Thu</v>
      </c>
      <c r="M325" s="78" t="str">
        <f>IFERROR(VLOOKUP(A325, Entries!A:B,2,false),"")</f>
        <v>tinyBuild</v>
      </c>
      <c r="N325" s="23" t="str">
        <f>IFERROR(VLOOKUP(A325, Entries!A:K,11,false),"")</f>
        <v/>
      </c>
      <c r="O325" s="23" t="b">
        <f>IFERROR(VLOOKUP(A325, Entries!A:I,8,false),"")</f>
        <v>0</v>
      </c>
    </row>
    <row r="326">
      <c r="A326" s="78" t="s">
        <v>514</v>
      </c>
      <c r="B326" s="78" t="s">
        <v>19</v>
      </c>
      <c r="C326" s="85">
        <v>44063.0</v>
      </c>
      <c r="D326" s="85">
        <v>44068.0</v>
      </c>
      <c r="E326" s="86">
        <v>0.41</v>
      </c>
      <c r="F326" s="87">
        <v>3.0</v>
      </c>
      <c r="G326" s="88">
        <f t="shared" si="1"/>
        <v>2.59</v>
      </c>
      <c r="H326" s="89">
        <f t="shared" si="2"/>
        <v>0.8633333333</v>
      </c>
      <c r="I326" s="78" t="s">
        <v>515</v>
      </c>
      <c r="J326" s="78" t="s">
        <v>69</v>
      </c>
      <c r="K326" s="58">
        <f t="shared" si="3"/>
        <v>5</v>
      </c>
      <c r="L326" s="91" t="str">
        <f t="shared" si="4"/>
        <v>Tue</v>
      </c>
      <c r="M326" s="78" t="str">
        <f>IFERROR(VLOOKUP(A326, Entries!A:B,2,false),"")</f>
        <v>FireFly Studios</v>
      </c>
      <c r="N326" s="23" t="str">
        <f>IFERROR(VLOOKUP(A326, Entries!A:K,11,false),"")</f>
        <v/>
      </c>
      <c r="O326" s="23" t="b">
        <f>IFERROR(VLOOKUP(A326, Entries!A:I,8,false),"")</f>
        <v>0</v>
      </c>
    </row>
    <row r="327">
      <c r="A327" s="78" t="s">
        <v>182</v>
      </c>
      <c r="B327" s="78" t="s">
        <v>19</v>
      </c>
      <c r="C327" s="85">
        <v>44063.0</v>
      </c>
      <c r="D327" s="85">
        <v>44068.0</v>
      </c>
      <c r="E327" s="86">
        <v>0.41</v>
      </c>
      <c r="F327" s="87">
        <v>0.8</v>
      </c>
      <c r="G327" s="88">
        <f t="shared" si="1"/>
        <v>0.39</v>
      </c>
      <c r="H327" s="89">
        <f t="shared" si="2"/>
        <v>0.4875</v>
      </c>
      <c r="I327" s="78" t="s">
        <v>516</v>
      </c>
      <c r="J327" s="78" t="s">
        <v>69</v>
      </c>
      <c r="K327" s="58">
        <f t="shared" si="3"/>
        <v>5</v>
      </c>
      <c r="L327" s="91" t="str">
        <f t="shared" si="4"/>
        <v>Tue</v>
      </c>
      <c r="M327" s="78" t="str">
        <f>IFERROR(VLOOKUP(A327, Entries!A:B,2,false),"")</f>
        <v>Cyanide Studio</v>
      </c>
      <c r="N327" s="23" t="str">
        <f>IFERROR(VLOOKUP(A327, Entries!A:K,11,false),"")</f>
        <v/>
      </c>
      <c r="O327" s="23" t="b">
        <f>IFERROR(VLOOKUP(A327, Entries!A:I,8,false),"")</f>
        <v>0</v>
      </c>
    </row>
    <row r="328">
      <c r="A328" s="78" t="s">
        <v>517</v>
      </c>
      <c r="B328" s="78" t="s">
        <v>19</v>
      </c>
      <c r="C328" s="85">
        <v>44064.0</v>
      </c>
      <c r="D328" s="85">
        <v>44065.0</v>
      </c>
      <c r="E328" s="86">
        <v>8.38</v>
      </c>
      <c r="F328" s="87">
        <v>11.34</v>
      </c>
      <c r="G328" s="88">
        <f t="shared" si="1"/>
        <v>2.96</v>
      </c>
      <c r="H328" s="89">
        <f t="shared" si="2"/>
        <v>0.2610229277</v>
      </c>
      <c r="I328" s="78" t="s">
        <v>518</v>
      </c>
      <c r="J328" s="78" t="s">
        <v>69</v>
      </c>
      <c r="K328" s="58">
        <f t="shared" si="3"/>
        <v>1</v>
      </c>
      <c r="L328" s="91" t="str">
        <f t="shared" si="4"/>
        <v>Sat</v>
      </c>
      <c r="M328" s="78" t="str">
        <f>IFERROR(VLOOKUP(A328, Entries!A:B,2,false),"")</f>
        <v>Devolver Digital</v>
      </c>
      <c r="N328" s="23" t="str">
        <f>IFERROR(VLOOKUP(A328, Entries!A:K,11,false),"")</f>
        <v/>
      </c>
      <c r="O328" s="23" t="b">
        <f>IFERROR(VLOOKUP(A328, Entries!A:I,8,false),"")</f>
        <v>0</v>
      </c>
    </row>
    <row r="329">
      <c r="A329" s="78" t="s">
        <v>439</v>
      </c>
      <c r="B329" s="78" t="s">
        <v>19</v>
      </c>
      <c r="C329" s="85">
        <v>44064.0</v>
      </c>
      <c r="D329" s="85">
        <v>44064.0</v>
      </c>
      <c r="E329" s="86">
        <v>0.0</v>
      </c>
      <c r="F329" s="87">
        <v>1.02</v>
      </c>
      <c r="G329" s="88">
        <f t="shared" si="1"/>
        <v>1.02</v>
      </c>
      <c r="H329" s="89">
        <f t="shared" si="2"/>
        <v>1</v>
      </c>
      <c r="I329" s="78" t="s">
        <v>519</v>
      </c>
      <c r="J329" s="78" t="s">
        <v>69</v>
      </c>
      <c r="K329" s="58">
        <f t="shared" si="3"/>
        <v>0</v>
      </c>
      <c r="L329" s="91" t="str">
        <f t="shared" si="4"/>
        <v>Fri</v>
      </c>
      <c r="M329" s="78" t="str">
        <f>IFERROR(VLOOKUP(A329, Entries!A:B,2,false),"")</f>
        <v>Curve Digital</v>
      </c>
      <c r="N329" s="23" t="str">
        <f>IFERROR(VLOOKUP(A329, Entries!A:K,11,false),"")</f>
        <v/>
      </c>
      <c r="O329" s="23" t="b">
        <f>IFERROR(VLOOKUP(A329, Entries!A:I,8,false),"")</f>
        <v>0</v>
      </c>
    </row>
    <row r="330">
      <c r="A330" s="78" t="s">
        <v>502</v>
      </c>
      <c r="B330" s="78" t="s">
        <v>19</v>
      </c>
      <c r="C330" s="85">
        <v>44064.0</v>
      </c>
      <c r="D330" s="85">
        <v>44079.0</v>
      </c>
      <c r="E330" s="86">
        <v>0.42</v>
      </c>
      <c r="F330" s="87">
        <v>0.43</v>
      </c>
      <c r="G330" s="88">
        <f t="shared" si="1"/>
        <v>0.01</v>
      </c>
      <c r="H330" s="89">
        <f t="shared" si="2"/>
        <v>0.02325581395</v>
      </c>
      <c r="I330" s="78" t="s">
        <v>520</v>
      </c>
      <c r="J330" s="78" t="s">
        <v>69</v>
      </c>
      <c r="K330" s="58">
        <f t="shared" si="3"/>
        <v>15</v>
      </c>
      <c r="L330" s="91" t="str">
        <f t="shared" si="4"/>
        <v>Sat</v>
      </c>
      <c r="M330" s="78" t="str">
        <f>IFERROR(VLOOKUP(A330, Entries!A:B,2,false),"")</f>
        <v>Krillbite Studio</v>
      </c>
      <c r="N330" s="23" t="str">
        <f>IFERROR(VLOOKUP(A330, Entries!A:K,11,false),"")</f>
        <v/>
      </c>
      <c r="O330" s="23" t="b">
        <f>IFERROR(VLOOKUP(A330, Entries!A:I,8,false),"")</f>
        <v>0</v>
      </c>
    </row>
    <row r="331">
      <c r="A331" s="78" t="s">
        <v>504</v>
      </c>
      <c r="B331" s="78" t="s">
        <v>19</v>
      </c>
      <c r="C331" s="85">
        <v>44064.0</v>
      </c>
      <c r="D331" s="85">
        <v>44094.0</v>
      </c>
      <c r="E331" s="86">
        <v>0.42</v>
      </c>
      <c r="F331" s="87">
        <v>0.73</v>
      </c>
      <c r="G331" s="88">
        <f t="shared" si="1"/>
        <v>0.31</v>
      </c>
      <c r="H331" s="89">
        <f t="shared" si="2"/>
        <v>0.4246575342</v>
      </c>
      <c r="I331" s="78" t="s">
        <v>521</v>
      </c>
      <c r="J331" s="78" t="s">
        <v>69</v>
      </c>
      <c r="K331" s="58">
        <f t="shared" si="3"/>
        <v>30</v>
      </c>
      <c r="L331" s="91" t="str">
        <f t="shared" si="4"/>
        <v>Sun</v>
      </c>
      <c r="M331" s="78" t="str">
        <f>IFERROR(VLOOKUP(A331, Entries!A:B,2,false),"")</f>
        <v>oneoreight</v>
      </c>
      <c r="N331" s="23" t="str">
        <f>IFERROR(VLOOKUP(A331, Entries!A:K,11,false),"")</f>
        <v/>
      </c>
      <c r="O331" s="23" t="b">
        <f>IFERROR(VLOOKUP(A331, Entries!A:I,8,false),"")</f>
        <v>0</v>
      </c>
    </row>
    <row r="332">
      <c r="A332" s="78" t="s">
        <v>506</v>
      </c>
      <c r="B332" s="78" t="s">
        <v>19</v>
      </c>
      <c r="C332" s="85">
        <v>44064.0</v>
      </c>
      <c r="D332" s="85">
        <v>44187.0</v>
      </c>
      <c r="E332" s="86">
        <v>0.42</v>
      </c>
      <c r="F332" s="87">
        <v>0.25</v>
      </c>
      <c r="G332" s="88">
        <f t="shared" si="1"/>
        <v>-0.17</v>
      </c>
      <c r="H332" s="89">
        <f t="shared" si="2"/>
        <v>-0.68</v>
      </c>
      <c r="I332" s="78" t="s">
        <v>522</v>
      </c>
      <c r="J332" s="78" t="s">
        <v>69</v>
      </c>
      <c r="K332" s="58">
        <f t="shared" si="3"/>
        <v>123</v>
      </c>
      <c r="L332" s="91" t="str">
        <f t="shared" si="4"/>
        <v>Tue</v>
      </c>
      <c r="M332" s="78" t="str">
        <f>IFERROR(VLOOKUP(A332, Entries!A:B,2,false),"")</f>
        <v>Lonely Troops</v>
      </c>
      <c r="N332" s="23" t="str">
        <f>IFERROR(VLOOKUP(A332, Entries!A:K,11,false),"")</f>
        <v/>
      </c>
      <c r="O332" s="23" t="b">
        <f>IFERROR(VLOOKUP(A332, Entries!A:I,8,false),"")</f>
        <v>0</v>
      </c>
    </row>
    <row r="333">
      <c r="A333" s="78" t="s">
        <v>508</v>
      </c>
      <c r="B333" s="78" t="s">
        <v>19</v>
      </c>
      <c r="C333" s="85">
        <v>44064.0</v>
      </c>
      <c r="D333" s="85">
        <v>44251.0</v>
      </c>
      <c r="E333" s="86">
        <v>0.42</v>
      </c>
      <c r="F333" s="87">
        <v>0.64</v>
      </c>
      <c r="G333" s="88">
        <f t="shared" si="1"/>
        <v>0.22</v>
      </c>
      <c r="H333" s="89">
        <f t="shared" si="2"/>
        <v>0.34375</v>
      </c>
      <c r="I333" s="78" t="s">
        <v>523</v>
      </c>
      <c r="J333" s="78" t="s">
        <v>69</v>
      </c>
      <c r="K333" s="58">
        <f t="shared" si="3"/>
        <v>187</v>
      </c>
      <c r="L333" s="91" t="str">
        <f t="shared" si="4"/>
        <v>Wed</v>
      </c>
      <c r="M333" s="78" t="str">
        <f>IFERROR(VLOOKUP(A333, Entries!A:B,2,false),"")</f>
        <v>Ice-Pick Lodge</v>
      </c>
      <c r="N333" s="23" t="str">
        <f>IFERROR(VLOOKUP(A333, Entries!A:K,11,false),"")</f>
        <v/>
      </c>
      <c r="O333" s="23" t="b">
        <f>IFERROR(VLOOKUP(A333, Entries!A:I,8,false),"")</f>
        <v>0</v>
      </c>
    </row>
    <row r="334">
      <c r="A334" s="78" t="s">
        <v>510</v>
      </c>
      <c r="B334" s="78" t="s">
        <v>19</v>
      </c>
      <c r="C334" s="85">
        <v>44064.0</v>
      </c>
      <c r="D334" s="85">
        <v>44073.0</v>
      </c>
      <c r="E334" s="86">
        <v>0.42</v>
      </c>
      <c r="F334" s="87">
        <v>1.82</v>
      </c>
      <c r="G334" s="88">
        <f t="shared" si="1"/>
        <v>1.4</v>
      </c>
      <c r="H334" s="89">
        <f t="shared" si="2"/>
        <v>0.7692307692</v>
      </c>
      <c r="I334" s="78" t="s">
        <v>524</v>
      </c>
      <c r="J334" s="78" t="s">
        <v>69</v>
      </c>
      <c r="K334" s="58">
        <f t="shared" si="3"/>
        <v>9</v>
      </c>
      <c r="L334" s="91" t="str">
        <f t="shared" si="4"/>
        <v>Sun</v>
      </c>
      <c r="M334" s="78" t="str">
        <f>IFERROR(VLOOKUP(A334, Entries!A:B,2,false),"")</f>
        <v>Perfect World Entertainment</v>
      </c>
      <c r="N334" s="23" t="str">
        <f>IFERROR(VLOOKUP(A334, Entries!A:K,11,false),"")</f>
        <v/>
      </c>
      <c r="O334" s="23" t="b">
        <f>IFERROR(VLOOKUP(A334, Entries!A:I,8,false),"")</f>
        <v>0</v>
      </c>
    </row>
    <row r="335">
      <c r="A335" s="78" t="s">
        <v>512</v>
      </c>
      <c r="B335" s="78" t="s">
        <v>19</v>
      </c>
      <c r="C335" s="85">
        <v>44064.0</v>
      </c>
      <c r="D335" s="85">
        <v>44196.0</v>
      </c>
      <c r="E335" s="86">
        <v>0.42</v>
      </c>
      <c r="F335" s="87">
        <v>0.55</v>
      </c>
      <c r="G335" s="88">
        <f t="shared" si="1"/>
        <v>0.13</v>
      </c>
      <c r="H335" s="89">
        <f t="shared" si="2"/>
        <v>0.2363636364</v>
      </c>
      <c r="I335" s="78" t="s">
        <v>525</v>
      </c>
      <c r="J335" s="78" t="s">
        <v>69</v>
      </c>
      <c r="K335" s="58">
        <f t="shared" si="3"/>
        <v>132</v>
      </c>
      <c r="L335" s="91" t="str">
        <f t="shared" si="4"/>
        <v>Thu</v>
      </c>
      <c r="M335" s="78" t="str">
        <f>IFERROR(VLOOKUP(A335, Entries!A:B,2,false),"")</f>
        <v>tinyBuild</v>
      </c>
      <c r="N335" s="23" t="str">
        <f>IFERROR(VLOOKUP(A335, Entries!A:K,11,false),"")</f>
        <v/>
      </c>
      <c r="O335" s="23" t="b">
        <f>IFERROR(VLOOKUP(A335, Entries!A:I,8,false),"")</f>
        <v>0</v>
      </c>
    </row>
    <row r="336">
      <c r="A336" s="78" t="s">
        <v>514</v>
      </c>
      <c r="B336" s="78" t="s">
        <v>19</v>
      </c>
      <c r="C336" s="85">
        <v>44064.0</v>
      </c>
      <c r="D336" s="85">
        <v>44069.0</v>
      </c>
      <c r="E336" s="86">
        <v>0.42</v>
      </c>
      <c r="F336" s="87">
        <v>2.97</v>
      </c>
      <c r="G336" s="88">
        <f t="shared" si="1"/>
        <v>2.55</v>
      </c>
      <c r="H336" s="89">
        <f t="shared" si="2"/>
        <v>0.8585858586</v>
      </c>
      <c r="I336" s="78" t="s">
        <v>526</v>
      </c>
      <c r="J336" s="78" t="s">
        <v>69</v>
      </c>
      <c r="K336" s="58">
        <f t="shared" si="3"/>
        <v>5</v>
      </c>
      <c r="L336" s="91" t="str">
        <f t="shared" si="4"/>
        <v>Wed</v>
      </c>
      <c r="M336" s="78" t="str">
        <f>IFERROR(VLOOKUP(A336, Entries!A:B,2,false),"")</f>
        <v>FireFly Studios</v>
      </c>
      <c r="N336" s="23" t="str">
        <f>IFERROR(VLOOKUP(A336, Entries!A:K,11,false),"")</f>
        <v/>
      </c>
      <c r="O336" s="23" t="b">
        <f>IFERROR(VLOOKUP(A336, Entries!A:I,8,false),"")</f>
        <v>0</v>
      </c>
    </row>
    <row r="337">
      <c r="A337" s="78" t="s">
        <v>182</v>
      </c>
      <c r="B337" s="78" t="s">
        <v>19</v>
      </c>
      <c r="C337" s="85">
        <v>44064.0</v>
      </c>
      <c r="D337" s="85">
        <v>44089.0</v>
      </c>
      <c r="E337" s="86">
        <v>0.4</v>
      </c>
      <c r="F337" s="87">
        <v>0.84</v>
      </c>
      <c r="G337" s="88">
        <f t="shared" si="1"/>
        <v>0.44</v>
      </c>
      <c r="H337" s="89">
        <f t="shared" si="2"/>
        <v>0.5238095238</v>
      </c>
      <c r="I337" s="78" t="s">
        <v>527</v>
      </c>
      <c r="J337" s="78" t="s">
        <v>69</v>
      </c>
      <c r="K337" s="58">
        <f t="shared" si="3"/>
        <v>25</v>
      </c>
      <c r="L337" s="91" t="str">
        <f t="shared" si="4"/>
        <v>Tue</v>
      </c>
      <c r="M337" s="78" t="str">
        <f>IFERROR(VLOOKUP(A337, Entries!A:B,2,false),"")</f>
        <v>Cyanide Studio</v>
      </c>
      <c r="N337" s="23" t="str">
        <f>IFERROR(VLOOKUP(A337, Entries!A:K,11,false),"")</f>
        <v/>
      </c>
      <c r="O337" s="23" t="b">
        <f>IFERROR(VLOOKUP(A337, Entries!A:I,8,false),"")</f>
        <v>0</v>
      </c>
    </row>
    <row r="338">
      <c r="A338" s="78" t="s">
        <v>528</v>
      </c>
      <c r="B338" s="78" t="s">
        <v>19</v>
      </c>
      <c r="C338" s="85">
        <v>44065.0</v>
      </c>
      <c r="D338" s="85">
        <v>44104.0</v>
      </c>
      <c r="E338" s="86">
        <v>11.61</v>
      </c>
      <c r="F338" s="87">
        <v>12.58</v>
      </c>
      <c r="G338" s="88">
        <f t="shared" si="1"/>
        <v>0.97</v>
      </c>
      <c r="H338" s="89">
        <f t="shared" si="2"/>
        <v>0.07710651828</v>
      </c>
      <c r="I338" s="78" t="s">
        <v>529</v>
      </c>
      <c r="J338" s="78" t="s">
        <v>69</v>
      </c>
      <c r="K338" s="58">
        <f t="shared" si="3"/>
        <v>39</v>
      </c>
      <c r="L338" s="91" t="str">
        <f t="shared" si="4"/>
        <v>Wed</v>
      </c>
      <c r="M338" s="78" t="str">
        <f>IFERROR(VLOOKUP(A338, Entries!A:B,2,false),"")</f>
        <v>Codemasters</v>
      </c>
      <c r="N338" s="23" t="str">
        <f>IFERROR(VLOOKUP(A338, Entries!A:K,11,false),"")</f>
        <v/>
      </c>
      <c r="O338" s="23" t="b">
        <f>IFERROR(VLOOKUP(A338, Entries!A:I,8,false),"")</f>
        <v>0</v>
      </c>
    </row>
    <row r="339">
      <c r="A339" s="78" t="s">
        <v>439</v>
      </c>
      <c r="B339" s="78" t="s">
        <v>19</v>
      </c>
      <c r="C339" s="85">
        <v>44065.0</v>
      </c>
      <c r="D339" s="85">
        <v>44085.0</v>
      </c>
      <c r="E339" s="86">
        <v>0.0</v>
      </c>
      <c r="F339" s="87">
        <v>0.9</v>
      </c>
      <c r="G339" s="88">
        <f t="shared" si="1"/>
        <v>0.9</v>
      </c>
      <c r="H339" s="89">
        <f t="shared" si="2"/>
        <v>1</v>
      </c>
      <c r="I339" s="78" t="s">
        <v>530</v>
      </c>
      <c r="J339" s="78" t="s">
        <v>69</v>
      </c>
      <c r="K339" s="58">
        <f t="shared" si="3"/>
        <v>20</v>
      </c>
      <c r="L339" s="91" t="str">
        <f t="shared" si="4"/>
        <v>Fri</v>
      </c>
      <c r="M339" s="78" t="str">
        <f>IFERROR(VLOOKUP(A339, Entries!A:B,2,false),"")</f>
        <v>Curve Digital</v>
      </c>
      <c r="N339" s="23" t="str">
        <f>IFERROR(VLOOKUP(A339, Entries!A:K,11,false),"")</f>
        <v/>
      </c>
      <c r="O339" s="23" t="b">
        <f>IFERROR(VLOOKUP(A339, Entries!A:I,8,false),"")</f>
        <v>0</v>
      </c>
    </row>
    <row r="340">
      <c r="A340" s="78" t="s">
        <v>517</v>
      </c>
      <c r="B340" s="78" t="s">
        <v>19</v>
      </c>
      <c r="C340" s="85">
        <v>44065.0</v>
      </c>
      <c r="D340" s="85">
        <v>44101.0</v>
      </c>
      <c r="E340" s="86">
        <v>8.38</v>
      </c>
      <c r="F340" s="87">
        <v>9.59</v>
      </c>
      <c r="G340" s="88">
        <f t="shared" si="1"/>
        <v>1.21</v>
      </c>
      <c r="H340" s="89">
        <f t="shared" si="2"/>
        <v>0.126173097</v>
      </c>
      <c r="I340" s="78" t="s">
        <v>531</v>
      </c>
      <c r="J340" s="78" t="s">
        <v>69</v>
      </c>
      <c r="K340" s="58">
        <f t="shared" si="3"/>
        <v>36</v>
      </c>
      <c r="L340" s="91" t="str">
        <f t="shared" si="4"/>
        <v>Sun</v>
      </c>
      <c r="M340" s="78" t="str">
        <f>IFERROR(VLOOKUP(A340, Entries!A:B,2,false),"")</f>
        <v>Devolver Digital</v>
      </c>
      <c r="N340" s="23" t="str">
        <f>IFERROR(VLOOKUP(A340, Entries!A:K,11,false),"")</f>
        <v/>
      </c>
      <c r="O340" s="23" t="b">
        <f>IFERROR(VLOOKUP(A340, Entries!A:I,8,false),"")</f>
        <v>0</v>
      </c>
    </row>
    <row r="341">
      <c r="A341" s="78" t="s">
        <v>502</v>
      </c>
      <c r="B341" s="78" t="s">
        <v>19</v>
      </c>
      <c r="C341" s="85">
        <v>44065.0</v>
      </c>
      <c r="D341" s="85">
        <v>44082.0</v>
      </c>
      <c r="E341" s="86">
        <v>0.42</v>
      </c>
      <c r="F341" s="87">
        <v>0.65</v>
      </c>
      <c r="G341" s="88">
        <f t="shared" si="1"/>
        <v>0.23</v>
      </c>
      <c r="H341" s="89">
        <f t="shared" si="2"/>
        <v>0.3538461538</v>
      </c>
      <c r="I341" s="78" t="s">
        <v>532</v>
      </c>
      <c r="J341" s="78" t="s">
        <v>69</v>
      </c>
      <c r="K341" s="58">
        <f t="shared" si="3"/>
        <v>17</v>
      </c>
      <c r="L341" s="91" t="str">
        <f t="shared" si="4"/>
        <v>Tue</v>
      </c>
      <c r="M341" s="78" t="str">
        <f>IFERROR(VLOOKUP(A341, Entries!A:B,2,false),"")</f>
        <v>Krillbite Studio</v>
      </c>
      <c r="N341" s="23" t="str">
        <f>IFERROR(VLOOKUP(A341, Entries!A:K,11,false),"")</f>
        <v/>
      </c>
      <c r="O341" s="23" t="b">
        <f>IFERROR(VLOOKUP(A341, Entries!A:I,8,false),"")</f>
        <v>0</v>
      </c>
    </row>
    <row r="342">
      <c r="A342" s="78" t="s">
        <v>504</v>
      </c>
      <c r="B342" s="78" t="s">
        <v>19</v>
      </c>
      <c r="C342" s="85">
        <v>44065.0</v>
      </c>
      <c r="D342" s="85">
        <v>44093.0</v>
      </c>
      <c r="E342" s="86">
        <v>0.45</v>
      </c>
      <c r="F342" s="87">
        <v>0.76</v>
      </c>
      <c r="G342" s="88">
        <f t="shared" si="1"/>
        <v>0.31</v>
      </c>
      <c r="H342" s="89">
        <f t="shared" si="2"/>
        <v>0.4078947368</v>
      </c>
      <c r="I342" s="78" t="s">
        <v>533</v>
      </c>
      <c r="J342" s="78" t="s">
        <v>69</v>
      </c>
      <c r="K342" s="58">
        <f t="shared" si="3"/>
        <v>28</v>
      </c>
      <c r="L342" s="91" t="str">
        <f t="shared" si="4"/>
        <v>Sat</v>
      </c>
      <c r="M342" s="78" t="str">
        <f>IFERROR(VLOOKUP(A342, Entries!A:B,2,false),"")</f>
        <v>oneoreight</v>
      </c>
      <c r="N342" s="23" t="str">
        <f>IFERROR(VLOOKUP(A342, Entries!A:K,11,false),"")</f>
        <v/>
      </c>
      <c r="O342" s="23" t="b">
        <f>IFERROR(VLOOKUP(A342, Entries!A:I,8,false),"")</f>
        <v>0</v>
      </c>
    </row>
    <row r="343">
      <c r="A343" s="78" t="s">
        <v>506</v>
      </c>
      <c r="B343" s="78" t="s">
        <v>19</v>
      </c>
      <c r="C343" s="85">
        <v>44065.0</v>
      </c>
      <c r="D343" s="85">
        <v>44190.0</v>
      </c>
      <c r="E343" s="86">
        <v>0.42</v>
      </c>
      <c r="F343" s="87">
        <v>0.25</v>
      </c>
      <c r="G343" s="88">
        <f t="shared" si="1"/>
        <v>-0.17</v>
      </c>
      <c r="H343" s="89">
        <f t="shared" si="2"/>
        <v>-0.68</v>
      </c>
      <c r="I343" s="78" t="s">
        <v>534</v>
      </c>
      <c r="J343" s="78" t="s">
        <v>69</v>
      </c>
      <c r="K343" s="58">
        <f t="shared" si="3"/>
        <v>125</v>
      </c>
      <c r="L343" s="91" t="str">
        <f t="shared" si="4"/>
        <v>Fri</v>
      </c>
      <c r="M343" s="78" t="str">
        <f>IFERROR(VLOOKUP(A343, Entries!A:B,2,false),"")</f>
        <v>Lonely Troops</v>
      </c>
      <c r="N343" s="23" t="str">
        <f>IFERROR(VLOOKUP(A343, Entries!A:K,11,false),"")</f>
        <v/>
      </c>
      <c r="O343" s="23" t="b">
        <f>IFERROR(VLOOKUP(A343, Entries!A:I,8,false),"")</f>
        <v>0</v>
      </c>
    </row>
    <row r="344">
      <c r="A344" s="78" t="s">
        <v>508</v>
      </c>
      <c r="B344" s="78" t="s">
        <v>19</v>
      </c>
      <c r="C344" s="85">
        <v>44065.0</v>
      </c>
      <c r="D344" s="85">
        <v>44453.0</v>
      </c>
      <c r="E344" s="86">
        <v>0.42</v>
      </c>
      <c r="F344" s="87">
        <v>0.56</v>
      </c>
      <c r="G344" s="88">
        <f t="shared" si="1"/>
        <v>0.14</v>
      </c>
      <c r="H344" s="89">
        <f t="shared" si="2"/>
        <v>0.25</v>
      </c>
      <c r="I344" s="78" t="s">
        <v>535</v>
      </c>
      <c r="J344" s="78" t="s">
        <v>69</v>
      </c>
      <c r="K344" s="58">
        <f t="shared" si="3"/>
        <v>388</v>
      </c>
      <c r="L344" s="91" t="str">
        <f t="shared" si="4"/>
        <v>Tue</v>
      </c>
      <c r="M344" s="78" t="str">
        <f>IFERROR(VLOOKUP(A344, Entries!A:B,2,false),"")</f>
        <v>Ice-Pick Lodge</v>
      </c>
      <c r="N344" s="23" t="str">
        <f>IFERROR(VLOOKUP(A344, Entries!A:K,11,false),"")</f>
        <v/>
      </c>
      <c r="O344" s="23" t="b">
        <f>IFERROR(VLOOKUP(A344, Entries!A:I,8,false),"")</f>
        <v>0</v>
      </c>
    </row>
    <row r="345">
      <c r="A345" s="78" t="s">
        <v>510</v>
      </c>
      <c r="B345" s="78" t="s">
        <v>19</v>
      </c>
      <c r="C345" s="85">
        <v>44065.0</v>
      </c>
      <c r="D345" s="85">
        <v>44113.0</v>
      </c>
      <c r="E345" s="86">
        <v>0.42</v>
      </c>
      <c r="F345" s="87">
        <v>1.18</v>
      </c>
      <c r="G345" s="88">
        <f t="shared" si="1"/>
        <v>0.76</v>
      </c>
      <c r="H345" s="89">
        <f t="shared" si="2"/>
        <v>0.6440677966</v>
      </c>
      <c r="I345" s="78" t="s">
        <v>536</v>
      </c>
      <c r="J345" s="78" t="s">
        <v>69</v>
      </c>
      <c r="K345" s="58">
        <f t="shared" si="3"/>
        <v>48</v>
      </c>
      <c r="L345" s="91" t="str">
        <f t="shared" si="4"/>
        <v>Fri</v>
      </c>
      <c r="M345" s="78" t="str">
        <f>IFERROR(VLOOKUP(A345, Entries!A:B,2,false),"")</f>
        <v>Perfect World Entertainment</v>
      </c>
      <c r="N345" s="23" t="str">
        <f>IFERROR(VLOOKUP(A345, Entries!A:K,11,false),"")</f>
        <v/>
      </c>
      <c r="O345" s="23" t="b">
        <f>IFERROR(VLOOKUP(A345, Entries!A:I,8,false),"")</f>
        <v>0</v>
      </c>
    </row>
    <row r="346">
      <c r="A346" s="78" t="s">
        <v>512</v>
      </c>
      <c r="B346" s="78" t="s">
        <v>19</v>
      </c>
      <c r="C346" s="85">
        <v>44065.0</v>
      </c>
      <c r="D346" s="85">
        <v>44165.0</v>
      </c>
      <c r="E346" s="86">
        <v>0.42</v>
      </c>
      <c r="F346" s="87">
        <v>0.79</v>
      </c>
      <c r="G346" s="88">
        <f t="shared" si="1"/>
        <v>0.37</v>
      </c>
      <c r="H346" s="89">
        <f t="shared" si="2"/>
        <v>0.4683544304</v>
      </c>
      <c r="I346" s="78" t="s">
        <v>537</v>
      </c>
      <c r="J346" s="78" t="s">
        <v>69</v>
      </c>
      <c r="K346" s="58">
        <f t="shared" si="3"/>
        <v>100</v>
      </c>
      <c r="L346" s="91" t="str">
        <f t="shared" si="4"/>
        <v>Mon</v>
      </c>
      <c r="M346" s="78" t="str">
        <f>IFERROR(VLOOKUP(A346, Entries!A:B,2,false),"")</f>
        <v>tinyBuild</v>
      </c>
      <c r="N346" s="23" t="str">
        <f>IFERROR(VLOOKUP(A346, Entries!A:K,11,false),"")</f>
        <v/>
      </c>
      <c r="O346" s="23" t="b">
        <f>IFERROR(VLOOKUP(A346, Entries!A:I,8,false),"")</f>
        <v>0</v>
      </c>
    </row>
    <row r="347">
      <c r="A347" s="78" t="s">
        <v>514</v>
      </c>
      <c r="B347" s="78" t="s">
        <v>19</v>
      </c>
      <c r="C347" s="85">
        <v>44065.0</v>
      </c>
      <c r="D347" s="85">
        <v>44071.0</v>
      </c>
      <c r="E347" s="86">
        <v>0.42</v>
      </c>
      <c r="F347" s="87">
        <v>2.87</v>
      </c>
      <c r="G347" s="88">
        <f t="shared" si="1"/>
        <v>2.45</v>
      </c>
      <c r="H347" s="89">
        <f t="shared" si="2"/>
        <v>0.8536585366</v>
      </c>
      <c r="I347" s="78" t="s">
        <v>538</v>
      </c>
      <c r="J347" s="78" t="s">
        <v>69</v>
      </c>
      <c r="K347" s="58">
        <f t="shared" si="3"/>
        <v>6</v>
      </c>
      <c r="L347" s="91" t="str">
        <f t="shared" si="4"/>
        <v>Fri</v>
      </c>
      <c r="M347" s="78" t="str">
        <f>IFERROR(VLOOKUP(A347, Entries!A:B,2,false),"")</f>
        <v>FireFly Studios</v>
      </c>
      <c r="N347" s="23" t="str">
        <f>IFERROR(VLOOKUP(A347, Entries!A:K,11,false),"")</f>
        <v/>
      </c>
      <c r="O347" s="23" t="b">
        <f>IFERROR(VLOOKUP(A347, Entries!A:I,8,false),"")</f>
        <v>0</v>
      </c>
    </row>
    <row r="348">
      <c r="A348" s="78" t="s">
        <v>182</v>
      </c>
      <c r="B348" s="78" t="s">
        <v>19</v>
      </c>
      <c r="C348" s="85">
        <v>44065.0</v>
      </c>
      <c r="D348" s="85">
        <v>44089.0</v>
      </c>
      <c r="E348" s="86">
        <v>0.42</v>
      </c>
      <c r="F348" s="87">
        <v>0.84</v>
      </c>
      <c r="G348" s="88">
        <f t="shared" si="1"/>
        <v>0.42</v>
      </c>
      <c r="H348" s="89">
        <f t="shared" si="2"/>
        <v>0.5</v>
      </c>
      <c r="I348" s="78" t="s">
        <v>539</v>
      </c>
      <c r="J348" s="78" t="s">
        <v>69</v>
      </c>
      <c r="K348" s="58">
        <f t="shared" si="3"/>
        <v>24</v>
      </c>
      <c r="L348" s="91" t="str">
        <f t="shared" si="4"/>
        <v>Tue</v>
      </c>
      <c r="M348" s="78" t="str">
        <f>IFERROR(VLOOKUP(A348, Entries!A:B,2,false),"")</f>
        <v>Cyanide Studio</v>
      </c>
      <c r="N348" s="23" t="str">
        <f>IFERROR(VLOOKUP(A348, Entries!A:K,11,false),"")</f>
        <v/>
      </c>
      <c r="O348" s="23" t="b">
        <f>IFERROR(VLOOKUP(A348, Entries!A:I,8,false),"")</f>
        <v>0</v>
      </c>
    </row>
    <row r="349">
      <c r="A349" s="78" t="s">
        <v>540</v>
      </c>
      <c r="B349" s="78" t="s">
        <v>19</v>
      </c>
      <c r="C349" s="85">
        <v>44066.0</v>
      </c>
      <c r="D349" s="85">
        <v>44072.0</v>
      </c>
      <c r="E349" s="86">
        <v>0.0</v>
      </c>
      <c r="F349" s="87">
        <v>0.77</v>
      </c>
      <c r="G349" s="88">
        <f t="shared" si="1"/>
        <v>0.77</v>
      </c>
      <c r="H349" s="89">
        <f t="shared" si="2"/>
        <v>1</v>
      </c>
      <c r="I349" s="78" t="s">
        <v>541</v>
      </c>
      <c r="J349" s="78" t="s">
        <v>69</v>
      </c>
      <c r="K349" s="58">
        <f t="shared" si="3"/>
        <v>6</v>
      </c>
      <c r="L349" s="91" t="str">
        <f t="shared" si="4"/>
        <v>Sat</v>
      </c>
      <c r="M349" s="78" t="str">
        <f>IFERROR(VLOOKUP(A349, Entries!A:B,2,false),"")</f>
        <v>10tons Ltd</v>
      </c>
      <c r="N349" s="23" t="str">
        <f>IFERROR(VLOOKUP(A349, Entries!A:K,11,false),"")</f>
        <v/>
      </c>
      <c r="O349" s="23" t="b">
        <f>IFERROR(VLOOKUP(A349, Entries!A:I,8,false),"")</f>
        <v>0</v>
      </c>
    </row>
    <row r="350">
      <c r="A350" s="78" t="s">
        <v>333</v>
      </c>
      <c r="B350" s="78" t="s">
        <v>19</v>
      </c>
      <c r="C350" s="85">
        <v>44072.0</v>
      </c>
      <c r="D350" s="85">
        <v>44072.0</v>
      </c>
      <c r="E350" s="86">
        <v>13.4</v>
      </c>
      <c r="F350" s="87">
        <v>18.72</v>
      </c>
      <c r="G350" s="88">
        <f t="shared" si="1"/>
        <v>5.32</v>
      </c>
      <c r="H350" s="89">
        <f t="shared" si="2"/>
        <v>0.2841880342</v>
      </c>
      <c r="I350" s="78" t="s">
        <v>542</v>
      </c>
      <c r="J350" s="78" t="s">
        <v>69</v>
      </c>
      <c r="K350" s="58">
        <f t="shared" si="3"/>
        <v>0</v>
      </c>
      <c r="L350" s="91" t="str">
        <f t="shared" si="4"/>
        <v>Sat</v>
      </c>
      <c r="M350" s="78" t="str">
        <f>IFERROR(VLOOKUP(A350, Entries!A:B,2,false),"")</f>
        <v>Prime Matter</v>
      </c>
      <c r="N350" s="23" t="str">
        <f>IFERROR(VLOOKUP(A350, Entries!A:K,11,false),"")</f>
        <v/>
      </c>
      <c r="O350" s="23" t="b">
        <f>IFERROR(VLOOKUP(A350, Entries!A:I,8,false),"")</f>
        <v>0</v>
      </c>
    </row>
    <row r="351">
      <c r="A351" s="78" t="s">
        <v>333</v>
      </c>
      <c r="B351" s="78" t="s">
        <v>19</v>
      </c>
      <c r="C351" s="85">
        <v>44073.0</v>
      </c>
      <c r="D351" s="85">
        <v>44073.0</v>
      </c>
      <c r="E351" s="86">
        <v>13.4</v>
      </c>
      <c r="F351" s="87">
        <v>18.68</v>
      </c>
      <c r="G351" s="88">
        <f t="shared" si="1"/>
        <v>5.28</v>
      </c>
      <c r="H351" s="89">
        <f t="shared" si="2"/>
        <v>0.2826552463</v>
      </c>
      <c r="I351" s="78" t="s">
        <v>543</v>
      </c>
      <c r="J351" s="78" t="s">
        <v>69</v>
      </c>
      <c r="K351" s="58">
        <f t="shared" si="3"/>
        <v>0</v>
      </c>
      <c r="L351" s="91" t="str">
        <f t="shared" si="4"/>
        <v>Sun</v>
      </c>
      <c r="M351" s="78" t="str">
        <f>IFERROR(VLOOKUP(A351, Entries!A:B,2,false),"")</f>
        <v>Prime Matter</v>
      </c>
      <c r="N351" s="23" t="str">
        <f>IFERROR(VLOOKUP(A351, Entries!A:K,11,false),"")</f>
        <v/>
      </c>
      <c r="O351" s="23" t="b">
        <f>IFERROR(VLOOKUP(A351, Entries!A:I,8,false),"")</f>
        <v>0</v>
      </c>
    </row>
    <row r="352">
      <c r="A352" s="78" t="s">
        <v>544</v>
      </c>
      <c r="B352" s="78" t="s">
        <v>21</v>
      </c>
      <c r="C352" s="85">
        <v>44073.0</v>
      </c>
      <c r="D352" s="85">
        <v>44083.0</v>
      </c>
      <c r="E352" s="86">
        <v>0.99</v>
      </c>
      <c r="F352" s="87">
        <v>1.37</v>
      </c>
      <c r="G352" s="88">
        <f t="shared" si="1"/>
        <v>0.38</v>
      </c>
      <c r="H352" s="89">
        <f t="shared" si="2"/>
        <v>0.2773722628</v>
      </c>
      <c r="I352" s="78" t="s">
        <v>545</v>
      </c>
      <c r="J352" s="78" t="s">
        <v>69</v>
      </c>
      <c r="K352" s="58">
        <f t="shared" si="3"/>
        <v>10</v>
      </c>
      <c r="L352" s="91" t="str">
        <f t="shared" si="4"/>
        <v>Wed</v>
      </c>
      <c r="M352" s="78" t="str">
        <f>IFERROR(VLOOKUP(A352, Entries!A:B,2,false),"")</f>
        <v>Paradox Interactive</v>
      </c>
      <c r="N352" s="23" t="str">
        <f>IFERROR(VLOOKUP(A352, Entries!A:K,11,false),"")</f>
        <v/>
      </c>
      <c r="O352" s="23" t="b">
        <f>IFERROR(VLOOKUP(A352, Entries!A:I,8,false),"")</f>
        <v>0</v>
      </c>
    </row>
    <row r="353">
      <c r="A353" s="78" t="s">
        <v>385</v>
      </c>
      <c r="B353" s="78" t="s">
        <v>21</v>
      </c>
      <c r="C353" s="85">
        <v>44073.0</v>
      </c>
      <c r="D353" s="85">
        <v>44073.0</v>
      </c>
      <c r="E353" s="86">
        <v>0.84</v>
      </c>
      <c r="F353" s="87">
        <v>1.41</v>
      </c>
      <c r="G353" s="88">
        <f t="shared" si="1"/>
        <v>0.57</v>
      </c>
      <c r="H353" s="89">
        <f t="shared" si="2"/>
        <v>0.4042553191</v>
      </c>
      <c r="I353" s="78" t="s">
        <v>546</v>
      </c>
      <c r="J353" s="78" t="s">
        <v>69</v>
      </c>
      <c r="K353" s="58">
        <f t="shared" si="3"/>
        <v>0</v>
      </c>
      <c r="L353" s="91" t="str">
        <f t="shared" si="4"/>
        <v>Sun</v>
      </c>
      <c r="M353" s="78" t="str">
        <f>IFERROR(VLOOKUP(A353, Entries!A:B,2,false),"")</f>
        <v>Cheesecake Dev</v>
      </c>
      <c r="N353" s="23" t="str">
        <f>IFERROR(VLOOKUP(A353, Entries!A:K,11,false),"")</f>
        <v/>
      </c>
      <c r="O353" s="23" t="b">
        <f>IFERROR(VLOOKUP(A353, Entries!A:I,8,false),"")</f>
        <v>1</v>
      </c>
    </row>
    <row r="354">
      <c r="A354" s="78" t="s">
        <v>333</v>
      </c>
      <c r="B354" s="78" t="s">
        <v>19</v>
      </c>
      <c r="C354" s="85">
        <v>44073.0</v>
      </c>
      <c r="D354" s="85">
        <v>44217.0</v>
      </c>
      <c r="E354" s="86">
        <v>14.1</v>
      </c>
      <c r="F354" s="87">
        <v>13.41</v>
      </c>
      <c r="G354" s="88">
        <f t="shared" si="1"/>
        <v>-0.69</v>
      </c>
      <c r="H354" s="89">
        <f t="shared" si="2"/>
        <v>-0.0514541387</v>
      </c>
      <c r="I354" s="78" t="s">
        <v>547</v>
      </c>
      <c r="J354" s="78" t="s">
        <v>69</v>
      </c>
      <c r="K354" s="58">
        <f t="shared" si="3"/>
        <v>144</v>
      </c>
      <c r="L354" s="91" t="str">
        <f t="shared" si="4"/>
        <v>Thu</v>
      </c>
      <c r="M354" s="78" t="str">
        <f>IFERROR(VLOOKUP(A354, Entries!A:B,2,false),"")</f>
        <v>Prime Matter</v>
      </c>
      <c r="N354" s="23" t="str">
        <f>IFERROR(VLOOKUP(A354, Entries!A:K,11,false),"")</f>
        <v/>
      </c>
      <c r="O354" s="23" t="b">
        <f>IFERROR(VLOOKUP(A354, Entries!A:I,8,false),"")</f>
        <v>0</v>
      </c>
    </row>
    <row r="355">
      <c r="A355" s="78" t="s">
        <v>385</v>
      </c>
      <c r="B355" s="78" t="s">
        <v>21</v>
      </c>
      <c r="C355" s="85">
        <v>44073.0</v>
      </c>
      <c r="D355" s="85">
        <v>44079.0</v>
      </c>
      <c r="E355" s="86">
        <v>0.84</v>
      </c>
      <c r="F355" s="87">
        <v>1.28</v>
      </c>
      <c r="G355" s="88">
        <f t="shared" si="1"/>
        <v>0.44</v>
      </c>
      <c r="H355" s="89">
        <f t="shared" si="2"/>
        <v>0.34375</v>
      </c>
      <c r="I355" s="78" t="s">
        <v>548</v>
      </c>
      <c r="J355" s="78" t="s">
        <v>69</v>
      </c>
      <c r="K355" s="58">
        <f t="shared" si="3"/>
        <v>6</v>
      </c>
      <c r="L355" s="91" t="str">
        <f t="shared" si="4"/>
        <v>Sat</v>
      </c>
      <c r="M355" s="78" t="str">
        <f>IFERROR(VLOOKUP(A355, Entries!A:B,2,false),"")</f>
        <v>Cheesecake Dev</v>
      </c>
      <c r="N355" s="23" t="str">
        <f>IFERROR(VLOOKUP(A355, Entries!A:K,11,false),"")</f>
        <v/>
      </c>
      <c r="O355" s="23" t="b">
        <f>IFERROR(VLOOKUP(A355, Entries!A:I,8,false),"")</f>
        <v>1</v>
      </c>
    </row>
    <row r="356">
      <c r="A356" s="78" t="s">
        <v>385</v>
      </c>
      <c r="B356" s="78" t="s">
        <v>21</v>
      </c>
      <c r="C356" s="85">
        <v>44073.0</v>
      </c>
      <c r="D356" s="85">
        <v>44083.0</v>
      </c>
      <c r="E356" s="86">
        <v>0.85</v>
      </c>
      <c r="F356" s="87">
        <v>1.19</v>
      </c>
      <c r="G356" s="88">
        <f t="shared" si="1"/>
        <v>0.34</v>
      </c>
      <c r="H356" s="89">
        <f t="shared" si="2"/>
        <v>0.2857142857</v>
      </c>
      <c r="I356" s="78" t="s">
        <v>549</v>
      </c>
      <c r="J356" s="78" t="s">
        <v>69</v>
      </c>
      <c r="K356" s="58">
        <f t="shared" si="3"/>
        <v>10</v>
      </c>
      <c r="L356" s="91" t="str">
        <f t="shared" si="4"/>
        <v>Wed</v>
      </c>
      <c r="M356" s="78" t="str">
        <f>IFERROR(VLOOKUP(A356, Entries!A:B,2,false),"")</f>
        <v>Cheesecake Dev</v>
      </c>
      <c r="N356" s="23" t="str">
        <f>IFERROR(VLOOKUP(A356, Entries!A:K,11,false),"")</f>
        <v/>
      </c>
      <c r="O356" s="23" t="b">
        <f>IFERROR(VLOOKUP(A356, Entries!A:I,8,false),"")</f>
        <v>1</v>
      </c>
    </row>
    <row r="357">
      <c r="A357" s="78" t="s">
        <v>550</v>
      </c>
      <c r="B357" s="78" t="s">
        <v>19</v>
      </c>
      <c r="C357" s="85">
        <v>44075.0</v>
      </c>
      <c r="D357" s="85">
        <v>44114.0</v>
      </c>
      <c r="E357" s="86">
        <v>2.91</v>
      </c>
      <c r="F357" s="87">
        <v>5.28</v>
      </c>
      <c r="G357" s="88">
        <f t="shared" si="1"/>
        <v>2.37</v>
      </c>
      <c r="H357" s="89">
        <f t="shared" si="2"/>
        <v>0.4488636364</v>
      </c>
      <c r="I357" s="78" t="s">
        <v>551</v>
      </c>
      <c r="J357" s="78" t="s">
        <v>69</v>
      </c>
      <c r="K357" s="58">
        <f t="shared" si="3"/>
        <v>39</v>
      </c>
      <c r="L357" s="91" t="str">
        <f t="shared" si="4"/>
        <v>Sat</v>
      </c>
      <c r="M357" s="78" t="str">
        <f>IFERROR(VLOOKUP(A357, Entries!A:B,2,false),"")</f>
        <v>Codemasters</v>
      </c>
      <c r="N357" s="23" t="str">
        <f>IFERROR(VLOOKUP(A357, Entries!A:K,11,false),"")</f>
        <v/>
      </c>
      <c r="O357" s="23" t="b">
        <f>IFERROR(VLOOKUP(A357, Entries!A:I,8,false),"")</f>
        <v>0</v>
      </c>
    </row>
    <row r="358">
      <c r="A358" s="78" t="s">
        <v>464</v>
      </c>
      <c r="B358" s="78" t="s">
        <v>19</v>
      </c>
      <c r="C358" s="85">
        <v>44075.0</v>
      </c>
      <c r="D358" s="85">
        <v>44093.0</v>
      </c>
      <c r="E358" s="86">
        <v>2.99</v>
      </c>
      <c r="F358" s="87">
        <v>3.33</v>
      </c>
      <c r="G358" s="88">
        <f t="shared" si="1"/>
        <v>0.34</v>
      </c>
      <c r="H358" s="89">
        <f t="shared" si="2"/>
        <v>0.1021021021</v>
      </c>
      <c r="I358" s="78" t="s">
        <v>552</v>
      </c>
      <c r="J358" s="78" t="s">
        <v>69</v>
      </c>
      <c r="K358" s="58">
        <f t="shared" si="3"/>
        <v>18</v>
      </c>
      <c r="L358" s="91" t="str">
        <f t="shared" si="4"/>
        <v>Sat</v>
      </c>
      <c r="M358" s="78" t="str">
        <f>IFERROR(VLOOKUP(A358, Entries!A:B,2,false),"")</f>
        <v>Deep Silver</v>
      </c>
      <c r="N358" s="23" t="str">
        <f>IFERROR(VLOOKUP(A358, Entries!A:K,11,false),"")</f>
        <v/>
      </c>
      <c r="O358" s="23" t="b">
        <f>IFERROR(VLOOKUP(A358, Entries!A:I,8,false),"")</f>
        <v>0</v>
      </c>
    </row>
    <row r="359">
      <c r="A359" s="78" t="s">
        <v>553</v>
      </c>
      <c r="B359" s="78" t="s">
        <v>19</v>
      </c>
      <c r="C359" s="85">
        <v>44077.0</v>
      </c>
      <c r="D359" s="85">
        <v>44104.0</v>
      </c>
      <c r="E359" s="86">
        <v>8.36</v>
      </c>
      <c r="F359" s="87">
        <v>11.33</v>
      </c>
      <c r="G359" s="88">
        <f t="shared" si="1"/>
        <v>2.97</v>
      </c>
      <c r="H359" s="89">
        <f t="shared" si="2"/>
        <v>0.2621359223</v>
      </c>
      <c r="I359" s="78" t="s">
        <v>554</v>
      </c>
      <c r="J359" s="78" t="s">
        <v>69</v>
      </c>
      <c r="K359" s="58">
        <f t="shared" si="3"/>
        <v>27</v>
      </c>
      <c r="L359" s="91" t="str">
        <f t="shared" si="4"/>
        <v>Wed</v>
      </c>
      <c r="M359" s="78" t="str">
        <f>IFERROR(VLOOKUP(A359, Entries!A:B,2,false),"")</f>
        <v>Beamdog</v>
      </c>
      <c r="N359" s="23" t="str">
        <f>IFERROR(VLOOKUP(A359, Entries!A:K,11,false),"")</f>
        <v/>
      </c>
      <c r="O359" s="23" t="b">
        <f>IFERROR(VLOOKUP(A359, Entries!A:I,8,false),"")</f>
        <v>0</v>
      </c>
    </row>
    <row r="360">
      <c r="A360" s="78" t="s">
        <v>218</v>
      </c>
      <c r="B360" s="78" t="s">
        <v>19</v>
      </c>
      <c r="C360" s="85">
        <v>44079.0</v>
      </c>
      <c r="D360" s="85">
        <v>44079.0</v>
      </c>
      <c r="E360" s="86">
        <v>2.51</v>
      </c>
      <c r="F360" s="87">
        <v>3.1</v>
      </c>
      <c r="G360" s="88">
        <f t="shared" si="1"/>
        <v>0.59</v>
      </c>
      <c r="H360" s="89">
        <f t="shared" si="2"/>
        <v>0.1903225806</v>
      </c>
      <c r="I360" s="78" t="s">
        <v>555</v>
      </c>
      <c r="J360" s="78" t="s">
        <v>69</v>
      </c>
      <c r="K360" s="58">
        <f t="shared" si="3"/>
        <v>0</v>
      </c>
      <c r="L360" s="91" t="str">
        <f t="shared" si="4"/>
        <v>Sat</v>
      </c>
      <c r="M360" s="78" t="str">
        <f>IFERROR(VLOOKUP(A360, Entries!A:B,2,false),"")</f>
        <v>Square Enix</v>
      </c>
      <c r="N360" s="23" t="str">
        <f>IFERROR(VLOOKUP(A360, Entries!A:K,11,false),"")</f>
        <v/>
      </c>
      <c r="O360" s="23" t="b">
        <f>IFERROR(VLOOKUP(A360, Entries!A:I,8,false),"")</f>
        <v>1</v>
      </c>
    </row>
    <row r="361">
      <c r="A361" s="78" t="s">
        <v>218</v>
      </c>
      <c r="B361" s="78" t="s">
        <v>19</v>
      </c>
      <c r="C361" s="85">
        <v>44079.0</v>
      </c>
      <c r="D361" s="85">
        <v>44080.0</v>
      </c>
      <c r="E361" s="86">
        <v>2.51</v>
      </c>
      <c r="F361" s="87">
        <v>3.08</v>
      </c>
      <c r="G361" s="88">
        <f t="shared" si="1"/>
        <v>0.57</v>
      </c>
      <c r="H361" s="89">
        <f t="shared" si="2"/>
        <v>0.1850649351</v>
      </c>
      <c r="I361" s="78" t="s">
        <v>556</v>
      </c>
      <c r="J361" s="78" t="s">
        <v>69</v>
      </c>
      <c r="K361" s="58">
        <f t="shared" si="3"/>
        <v>1</v>
      </c>
      <c r="L361" s="91" t="str">
        <f t="shared" si="4"/>
        <v>Sun</v>
      </c>
      <c r="M361" s="78" t="str">
        <f>IFERROR(VLOOKUP(A361, Entries!A:B,2,false),"")</f>
        <v>Square Enix</v>
      </c>
      <c r="N361" s="23" t="str">
        <f>IFERROR(VLOOKUP(A361, Entries!A:K,11,false),"")</f>
        <v/>
      </c>
      <c r="O361" s="23" t="b">
        <f>IFERROR(VLOOKUP(A361, Entries!A:I,8,false),"")</f>
        <v>1</v>
      </c>
    </row>
    <row r="362">
      <c r="A362" s="78" t="s">
        <v>291</v>
      </c>
      <c r="B362" s="78" t="s">
        <v>19</v>
      </c>
      <c r="C362" s="85">
        <v>44079.0</v>
      </c>
      <c r="D362" s="85">
        <v>44086.0</v>
      </c>
      <c r="E362" s="86">
        <v>3.01</v>
      </c>
      <c r="F362" s="87">
        <v>4.64</v>
      </c>
      <c r="G362" s="88">
        <f t="shared" si="1"/>
        <v>1.63</v>
      </c>
      <c r="H362" s="89">
        <f t="shared" si="2"/>
        <v>0.3512931034</v>
      </c>
      <c r="I362" s="78" t="s">
        <v>557</v>
      </c>
      <c r="J362" s="78" t="s">
        <v>69</v>
      </c>
      <c r="K362" s="58">
        <f t="shared" si="3"/>
        <v>7</v>
      </c>
      <c r="L362" s="91" t="str">
        <f t="shared" si="4"/>
        <v>Sat</v>
      </c>
      <c r="M362" s="78" t="str">
        <f>IFERROR(VLOOKUP(A362, Entries!A:B,2,false),"")</f>
        <v>Square Enix</v>
      </c>
      <c r="N362" s="23" t="str">
        <f>IFERROR(VLOOKUP(A362, Entries!A:K,11,false),"")</f>
        <v/>
      </c>
      <c r="O362" s="23" t="b">
        <f>IFERROR(VLOOKUP(A362, Entries!A:I,8,false),"")</f>
        <v>0</v>
      </c>
    </row>
    <row r="363">
      <c r="A363" s="78" t="s">
        <v>291</v>
      </c>
      <c r="B363" s="78" t="s">
        <v>19</v>
      </c>
      <c r="C363" s="85">
        <v>44079.0</v>
      </c>
      <c r="D363" s="85">
        <v>44182.0</v>
      </c>
      <c r="E363" s="86">
        <v>3.01</v>
      </c>
      <c r="F363" s="87">
        <v>4.54</v>
      </c>
      <c r="G363" s="88">
        <f t="shared" si="1"/>
        <v>1.53</v>
      </c>
      <c r="H363" s="89">
        <f t="shared" si="2"/>
        <v>0.3370044053</v>
      </c>
      <c r="I363" s="78" t="s">
        <v>558</v>
      </c>
      <c r="J363" s="78" t="s">
        <v>69</v>
      </c>
      <c r="K363" s="58">
        <f t="shared" si="3"/>
        <v>103</v>
      </c>
      <c r="L363" s="91" t="str">
        <f t="shared" si="4"/>
        <v>Thu</v>
      </c>
      <c r="M363" s="78" t="str">
        <f>IFERROR(VLOOKUP(A363, Entries!A:B,2,false),"")</f>
        <v>Square Enix</v>
      </c>
      <c r="N363" s="23" t="str">
        <f>IFERROR(VLOOKUP(A363, Entries!A:K,11,false),"")</f>
        <v/>
      </c>
      <c r="O363" s="23" t="b">
        <f>IFERROR(VLOOKUP(A363, Entries!A:I,8,false),"")</f>
        <v>0</v>
      </c>
    </row>
    <row r="364">
      <c r="A364" s="78" t="s">
        <v>559</v>
      </c>
      <c r="B364" s="78" t="s">
        <v>21</v>
      </c>
      <c r="C364" s="85">
        <v>44079.0</v>
      </c>
      <c r="D364" s="85">
        <v>44096.0</v>
      </c>
      <c r="E364" s="86">
        <v>19.37</v>
      </c>
      <c r="F364" s="87">
        <v>22.64</v>
      </c>
      <c r="G364" s="88">
        <f t="shared" si="1"/>
        <v>3.27</v>
      </c>
      <c r="H364" s="89">
        <f t="shared" si="2"/>
        <v>0.144434629</v>
      </c>
      <c r="I364" s="78" t="s">
        <v>560</v>
      </c>
      <c r="J364" s="78" t="s">
        <v>69</v>
      </c>
      <c r="K364" s="58">
        <f t="shared" si="3"/>
        <v>17</v>
      </c>
      <c r="L364" s="91" t="str">
        <f t="shared" si="4"/>
        <v>Tue</v>
      </c>
      <c r="M364" s="78" t="str">
        <f>IFERROR(VLOOKUP(A364, Entries!A:B,2,false),"")</f>
        <v>BANDAI NAMCO</v>
      </c>
      <c r="N364" s="23" t="str">
        <f>IFERROR(VLOOKUP(A364, Entries!A:K,11,false),"")</f>
        <v/>
      </c>
      <c r="O364" s="23" t="b">
        <f>IFERROR(VLOOKUP(A364, Entries!A:I,8,false),"")</f>
        <v>0</v>
      </c>
    </row>
    <row r="365">
      <c r="A365" s="78" t="s">
        <v>218</v>
      </c>
      <c r="B365" s="78" t="s">
        <v>19</v>
      </c>
      <c r="C365" s="85">
        <v>44080.0</v>
      </c>
      <c r="D365" s="85">
        <v>44081.0</v>
      </c>
      <c r="E365" s="86">
        <v>2.51</v>
      </c>
      <c r="F365" s="87">
        <v>3.09</v>
      </c>
      <c r="G365" s="88">
        <f t="shared" si="1"/>
        <v>0.58</v>
      </c>
      <c r="H365" s="89">
        <f t="shared" si="2"/>
        <v>0.1877022654</v>
      </c>
      <c r="I365" s="78" t="s">
        <v>561</v>
      </c>
      <c r="J365" s="78" t="s">
        <v>69</v>
      </c>
      <c r="K365" s="58">
        <f t="shared" si="3"/>
        <v>1</v>
      </c>
      <c r="L365" s="91" t="str">
        <f t="shared" si="4"/>
        <v>Mon</v>
      </c>
      <c r="M365" s="78" t="str">
        <f>IFERROR(VLOOKUP(A365, Entries!A:B,2,false),"")</f>
        <v>Square Enix</v>
      </c>
      <c r="N365" s="23" t="str">
        <f>IFERROR(VLOOKUP(A365, Entries!A:K,11,false),"")</f>
        <v/>
      </c>
      <c r="O365" s="23" t="b">
        <f>IFERROR(VLOOKUP(A365, Entries!A:I,8,false),"")</f>
        <v>1</v>
      </c>
    </row>
    <row r="366">
      <c r="A366" s="78" t="s">
        <v>218</v>
      </c>
      <c r="B366" s="78" t="s">
        <v>19</v>
      </c>
      <c r="C366" s="85">
        <v>44081.0</v>
      </c>
      <c r="D366" s="85">
        <v>44082.0</v>
      </c>
      <c r="E366" s="86">
        <v>2.51</v>
      </c>
      <c r="F366" s="87">
        <v>3.07</v>
      </c>
      <c r="G366" s="88">
        <f t="shared" si="1"/>
        <v>0.56</v>
      </c>
      <c r="H366" s="89">
        <f t="shared" si="2"/>
        <v>0.1824104235</v>
      </c>
      <c r="I366" s="78" t="s">
        <v>562</v>
      </c>
      <c r="J366" s="78" t="s">
        <v>69</v>
      </c>
      <c r="K366" s="58">
        <f t="shared" si="3"/>
        <v>1</v>
      </c>
      <c r="L366" s="91" t="str">
        <f t="shared" si="4"/>
        <v>Tue</v>
      </c>
      <c r="M366" s="78" t="str">
        <f>IFERROR(VLOOKUP(A366, Entries!A:B,2,false),"")</f>
        <v>Square Enix</v>
      </c>
      <c r="N366" s="23" t="str">
        <f>IFERROR(VLOOKUP(A366, Entries!A:K,11,false),"")</f>
        <v/>
      </c>
      <c r="O366" s="23" t="b">
        <f>IFERROR(VLOOKUP(A366, Entries!A:I,8,false),"")</f>
        <v>1</v>
      </c>
    </row>
    <row r="367">
      <c r="A367" s="78" t="s">
        <v>117</v>
      </c>
      <c r="B367" s="78" t="s">
        <v>19</v>
      </c>
      <c r="C367" s="85">
        <v>44082.0</v>
      </c>
      <c r="D367" s="85">
        <v>44103.0</v>
      </c>
      <c r="E367" s="86">
        <v>0.88</v>
      </c>
      <c r="F367" s="87">
        <v>1.6</v>
      </c>
      <c r="G367" s="88">
        <f t="shared" si="1"/>
        <v>0.72</v>
      </c>
      <c r="H367" s="89">
        <f t="shared" si="2"/>
        <v>0.45</v>
      </c>
      <c r="I367" s="78" t="s">
        <v>563</v>
      </c>
      <c r="J367" s="78" t="s">
        <v>69</v>
      </c>
      <c r="K367" s="58">
        <f t="shared" si="3"/>
        <v>21</v>
      </c>
      <c r="L367" s="91" t="str">
        <f t="shared" si="4"/>
        <v>Tue</v>
      </c>
      <c r="M367" s="78" t="str">
        <f>IFERROR(VLOOKUP(A367, Entries!A:B,2,false),"")</f>
        <v>Starbreeze Publishing</v>
      </c>
      <c r="N367" s="23" t="str">
        <f>IFERROR(VLOOKUP(A367, Entries!A:K,11,false),"")</f>
        <v/>
      </c>
      <c r="O367" s="23" t="b">
        <f>IFERROR(VLOOKUP(A367, Entries!A:I,8,false),"")</f>
        <v>1</v>
      </c>
    </row>
    <row r="368">
      <c r="A368" s="78" t="s">
        <v>117</v>
      </c>
      <c r="B368" s="78" t="s">
        <v>19</v>
      </c>
      <c r="C368" s="85">
        <v>44082.0</v>
      </c>
      <c r="D368" s="85">
        <v>44103.0</v>
      </c>
      <c r="E368" s="86">
        <v>0.88</v>
      </c>
      <c r="F368" s="87">
        <v>1.6</v>
      </c>
      <c r="G368" s="88">
        <f t="shared" si="1"/>
        <v>0.72</v>
      </c>
      <c r="H368" s="89">
        <f t="shared" si="2"/>
        <v>0.45</v>
      </c>
      <c r="I368" s="78" t="s">
        <v>564</v>
      </c>
      <c r="J368" s="78" t="s">
        <v>69</v>
      </c>
      <c r="K368" s="58">
        <f t="shared" si="3"/>
        <v>21</v>
      </c>
      <c r="L368" s="91" t="str">
        <f t="shared" si="4"/>
        <v>Tue</v>
      </c>
      <c r="M368" s="78" t="str">
        <f>IFERROR(VLOOKUP(A368, Entries!A:B,2,false),"")</f>
        <v>Starbreeze Publishing</v>
      </c>
      <c r="N368" s="23" t="str">
        <f>IFERROR(VLOOKUP(A368, Entries!A:K,11,false),"")</f>
        <v/>
      </c>
      <c r="O368" s="23" t="b">
        <f>IFERROR(VLOOKUP(A368, Entries!A:I,8,false),"")</f>
        <v>1</v>
      </c>
    </row>
    <row r="369">
      <c r="A369" s="78" t="s">
        <v>117</v>
      </c>
      <c r="B369" s="78" t="s">
        <v>21</v>
      </c>
      <c r="C369" s="85">
        <v>44082.0</v>
      </c>
      <c r="D369" s="85">
        <v>44116.0</v>
      </c>
      <c r="E369" s="86">
        <v>1.0</v>
      </c>
      <c r="F369" s="87">
        <v>1.26</v>
      </c>
      <c r="G369" s="88">
        <f t="shared" si="1"/>
        <v>0.26</v>
      </c>
      <c r="H369" s="89">
        <f t="shared" si="2"/>
        <v>0.2063492063</v>
      </c>
      <c r="I369" s="78" t="s">
        <v>565</v>
      </c>
      <c r="J369" s="78" t="s">
        <v>69</v>
      </c>
      <c r="K369" s="58">
        <f t="shared" si="3"/>
        <v>34</v>
      </c>
      <c r="L369" s="91" t="str">
        <f t="shared" si="4"/>
        <v>Mon</v>
      </c>
      <c r="M369" s="78" t="str">
        <f>IFERROR(VLOOKUP(A369, Entries!A:B,2,false),"")</f>
        <v>Starbreeze Publishing</v>
      </c>
      <c r="N369" s="23" t="str">
        <f>IFERROR(VLOOKUP(A369, Entries!A:K,11,false),"")</f>
        <v/>
      </c>
      <c r="O369" s="23" t="b">
        <f>IFERROR(VLOOKUP(A369, Entries!A:I,8,false),"")</f>
        <v>1</v>
      </c>
    </row>
    <row r="370">
      <c r="A370" s="78" t="s">
        <v>117</v>
      </c>
      <c r="B370" s="78" t="s">
        <v>21</v>
      </c>
      <c r="C370" s="85">
        <v>44082.0</v>
      </c>
      <c r="D370" s="85">
        <v>44116.0</v>
      </c>
      <c r="E370" s="86">
        <v>1.0</v>
      </c>
      <c r="F370" s="87">
        <v>1.23</v>
      </c>
      <c r="G370" s="88">
        <f t="shared" si="1"/>
        <v>0.23</v>
      </c>
      <c r="H370" s="89">
        <f t="shared" si="2"/>
        <v>0.1869918699</v>
      </c>
      <c r="I370" s="78" t="s">
        <v>566</v>
      </c>
      <c r="J370" s="78" t="s">
        <v>69</v>
      </c>
      <c r="K370" s="58">
        <f t="shared" si="3"/>
        <v>34</v>
      </c>
      <c r="L370" s="91" t="str">
        <f t="shared" si="4"/>
        <v>Mon</v>
      </c>
      <c r="M370" s="78" t="str">
        <f>IFERROR(VLOOKUP(A370, Entries!A:B,2,false),"")</f>
        <v>Starbreeze Publishing</v>
      </c>
      <c r="N370" s="23" t="str">
        <f>IFERROR(VLOOKUP(A370, Entries!A:K,11,false),"")</f>
        <v/>
      </c>
      <c r="O370" s="23" t="b">
        <f>IFERROR(VLOOKUP(A370, Entries!A:I,8,false),"")</f>
        <v>1</v>
      </c>
    </row>
    <row r="371">
      <c r="A371" s="78" t="s">
        <v>117</v>
      </c>
      <c r="B371" s="78" t="s">
        <v>21</v>
      </c>
      <c r="C371" s="85">
        <v>44082.0</v>
      </c>
      <c r="D371" s="85">
        <v>44116.0</v>
      </c>
      <c r="E371" s="86">
        <v>1.0</v>
      </c>
      <c r="F371" s="87">
        <v>1.23</v>
      </c>
      <c r="G371" s="88">
        <f t="shared" si="1"/>
        <v>0.23</v>
      </c>
      <c r="H371" s="89">
        <f t="shared" si="2"/>
        <v>0.1869918699</v>
      </c>
      <c r="I371" s="78" t="s">
        <v>567</v>
      </c>
      <c r="J371" s="78" t="s">
        <v>69</v>
      </c>
      <c r="K371" s="58">
        <f t="shared" si="3"/>
        <v>34</v>
      </c>
      <c r="L371" s="91" t="str">
        <f t="shared" si="4"/>
        <v>Mon</v>
      </c>
      <c r="M371" s="78" t="str">
        <f>IFERROR(VLOOKUP(A371, Entries!A:B,2,false),"")</f>
        <v>Starbreeze Publishing</v>
      </c>
      <c r="N371" s="23" t="str">
        <f>IFERROR(VLOOKUP(A371, Entries!A:K,11,false),"")</f>
        <v/>
      </c>
      <c r="O371" s="23" t="b">
        <f>IFERROR(VLOOKUP(A371, Entries!A:I,8,false),"")</f>
        <v>1</v>
      </c>
    </row>
    <row r="372">
      <c r="A372" s="78" t="s">
        <v>117</v>
      </c>
      <c r="B372" s="78" t="s">
        <v>19</v>
      </c>
      <c r="C372" s="85">
        <v>44082.0</v>
      </c>
      <c r="D372" s="85">
        <v>44116.0</v>
      </c>
      <c r="E372" s="86">
        <v>0.88</v>
      </c>
      <c r="F372" s="87">
        <v>1.23</v>
      </c>
      <c r="G372" s="88">
        <f t="shared" si="1"/>
        <v>0.35</v>
      </c>
      <c r="H372" s="89">
        <f t="shared" si="2"/>
        <v>0.2845528455</v>
      </c>
      <c r="I372" s="78" t="s">
        <v>568</v>
      </c>
      <c r="J372" s="78" t="s">
        <v>69</v>
      </c>
      <c r="K372" s="58">
        <f t="shared" si="3"/>
        <v>34</v>
      </c>
      <c r="L372" s="91" t="str">
        <f t="shared" si="4"/>
        <v>Mon</v>
      </c>
      <c r="M372" s="78" t="str">
        <f>IFERROR(VLOOKUP(A372, Entries!A:B,2,false),"")</f>
        <v>Starbreeze Publishing</v>
      </c>
      <c r="N372" s="23" t="str">
        <f>IFERROR(VLOOKUP(A372, Entries!A:K,11,false),"")</f>
        <v/>
      </c>
      <c r="O372" s="23" t="b">
        <f>IFERROR(VLOOKUP(A372, Entries!A:I,8,false),"")</f>
        <v>1</v>
      </c>
    </row>
    <row r="373">
      <c r="A373" s="78" t="s">
        <v>218</v>
      </c>
      <c r="B373" s="78" t="s">
        <v>19</v>
      </c>
      <c r="C373" s="85">
        <v>44083.0</v>
      </c>
      <c r="D373" s="85">
        <v>44083.0</v>
      </c>
      <c r="E373" s="86">
        <v>2.51</v>
      </c>
      <c r="F373" s="87">
        <v>3.07</v>
      </c>
      <c r="G373" s="88">
        <f t="shared" si="1"/>
        <v>0.56</v>
      </c>
      <c r="H373" s="89">
        <f t="shared" si="2"/>
        <v>0.1824104235</v>
      </c>
      <c r="I373" s="78" t="s">
        <v>569</v>
      </c>
      <c r="J373" s="78" t="s">
        <v>69</v>
      </c>
      <c r="K373" s="58">
        <f t="shared" si="3"/>
        <v>0</v>
      </c>
      <c r="L373" s="91" t="str">
        <f t="shared" si="4"/>
        <v>Wed</v>
      </c>
      <c r="M373" s="78" t="str">
        <f>IFERROR(VLOOKUP(A373, Entries!A:B,2,false),"")</f>
        <v>Square Enix</v>
      </c>
      <c r="N373" s="23" t="str">
        <f>IFERROR(VLOOKUP(A373, Entries!A:K,11,false),"")</f>
        <v/>
      </c>
      <c r="O373" s="23" t="b">
        <f>IFERROR(VLOOKUP(A373, Entries!A:I,8,false),"")</f>
        <v>1</v>
      </c>
    </row>
    <row r="374">
      <c r="A374" s="78" t="s">
        <v>544</v>
      </c>
      <c r="B374" s="78" t="s">
        <v>21</v>
      </c>
      <c r="C374" s="85">
        <v>44083.0</v>
      </c>
      <c r="D374" s="85">
        <v>44144.0</v>
      </c>
      <c r="E374" s="86">
        <v>0.97</v>
      </c>
      <c r="F374" s="87">
        <v>1.37</v>
      </c>
      <c r="G374" s="88">
        <f t="shared" si="1"/>
        <v>0.4</v>
      </c>
      <c r="H374" s="89">
        <f t="shared" si="2"/>
        <v>0.2919708029</v>
      </c>
      <c r="I374" s="78" t="s">
        <v>570</v>
      </c>
      <c r="J374" s="78" t="s">
        <v>69</v>
      </c>
      <c r="K374" s="58">
        <f t="shared" si="3"/>
        <v>61</v>
      </c>
      <c r="L374" s="91" t="str">
        <f t="shared" si="4"/>
        <v>Mon</v>
      </c>
      <c r="M374" s="78" t="str">
        <f>IFERROR(VLOOKUP(A374, Entries!A:B,2,false),"")</f>
        <v>Paradox Interactive</v>
      </c>
      <c r="N374" s="23" t="str">
        <f>IFERROR(VLOOKUP(A374, Entries!A:K,11,false),"")</f>
        <v/>
      </c>
      <c r="O374" s="23" t="b">
        <f>IFERROR(VLOOKUP(A374, Entries!A:I,8,false),"")</f>
        <v>0</v>
      </c>
    </row>
    <row r="375">
      <c r="A375" s="78" t="s">
        <v>291</v>
      </c>
      <c r="B375" s="78" t="s">
        <v>19</v>
      </c>
      <c r="C375" s="85">
        <v>44086.0</v>
      </c>
      <c r="D375" s="85">
        <v>44183.0</v>
      </c>
      <c r="E375" s="86">
        <v>3.01</v>
      </c>
      <c r="F375" s="87">
        <v>4.54</v>
      </c>
      <c r="G375" s="88">
        <f t="shared" si="1"/>
        <v>1.53</v>
      </c>
      <c r="H375" s="89">
        <f t="shared" si="2"/>
        <v>0.3370044053</v>
      </c>
      <c r="I375" s="78" t="s">
        <v>571</v>
      </c>
      <c r="J375" s="78" t="s">
        <v>69</v>
      </c>
      <c r="K375" s="58">
        <f t="shared" si="3"/>
        <v>97</v>
      </c>
      <c r="L375" s="91" t="str">
        <f t="shared" si="4"/>
        <v>Fri</v>
      </c>
      <c r="M375" s="78" t="str">
        <f>IFERROR(VLOOKUP(A375, Entries!A:B,2,false),"")</f>
        <v>Square Enix</v>
      </c>
      <c r="N375" s="23" t="str">
        <f>IFERROR(VLOOKUP(A375, Entries!A:K,11,false),"")</f>
        <v/>
      </c>
      <c r="O375" s="23" t="b">
        <f>IFERROR(VLOOKUP(A375, Entries!A:I,8,false),"")</f>
        <v>0</v>
      </c>
    </row>
    <row r="376">
      <c r="A376" s="78" t="s">
        <v>572</v>
      </c>
      <c r="B376" s="78" t="s">
        <v>19</v>
      </c>
      <c r="C376" s="85">
        <v>44088.0</v>
      </c>
      <c r="D376" s="85">
        <v>44189.0</v>
      </c>
      <c r="E376" s="86">
        <v>0.56</v>
      </c>
      <c r="F376" s="87">
        <v>0.76</v>
      </c>
      <c r="G376" s="88">
        <f t="shared" si="1"/>
        <v>0.2</v>
      </c>
      <c r="H376" s="89">
        <f t="shared" si="2"/>
        <v>0.2631578947</v>
      </c>
      <c r="I376" s="78" t="s">
        <v>573</v>
      </c>
      <c r="J376" s="78" t="s">
        <v>69</v>
      </c>
      <c r="K376" s="58">
        <f t="shared" si="3"/>
        <v>101</v>
      </c>
      <c r="L376" s="91" t="str">
        <f t="shared" si="4"/>
        <v>Thu</v>
      </c>
      <c r="M376" s="78" t="str">
        <f>IFERROR(VLOOKUP(A376, Entries!A:B,2,false),"")</f>
        <v>Eugen Systems</v>
      </c>
      <c r="N376" s="23" t="str">
        <f>IFERROR(VLOOKUP(A376, Entries!A:K,11,false),"")</f>
        <v/>
      </c>
      <c r="O376" s="23" t="b">
        <f>IFERROR(VLOOKUP(A376, Entries!A:I,8,false),"")</f>
        <v>0</v>
      </c>
    </row>
    <row r="377">
      <c r="A377" s="78" t="s">
        <v>572</v>
      </c>
      <c r="B377" s="78" t="s">
        <v>19</v>
      </c>
      <c r="C377" s="85">
        <v>44088.0</v>
      </c>
      <c r="D377" s="85">
        <v>44190.0</v>
      </c>
      <c r="E377" s="86">
        <v>0.56</v>
      </c>
      <c r="F377" s="87">
        <v>0.76</v>
      </c>
      <c r="G377" s="88">
        <f t="shared" si="1"/>
        <v>0.2</v>
      </c>
      <c r="H377" s="89">
        <f t="shared" si="2"/>
        <v>0.2631578947</v>
      </c>
      <c r="I377" s="78" t="s">
        <v>574</v>
      </c>
      <c r="J377" s="78" t="s">
        <v>69</v>
      </c>
      <c r="K377" s="58">
        <f t="shared" si="3"/>
        <v>102</v>
      </c>
      <c r="L377" s="91" t="str">
        <f t="shared" si="4"/>
        <v>Fri</v>
      </c>
      <c r="M377" s="78" t="str">
        <f>IFERROR(VLOOKUP(A377, Entries!A:B,2,false),"")</f>
        <v>Eugen Systems</v>
      </c>
      <c r="N377" s="23" t="str">
        <f>IFERROR(VLOOKUP(A377, Entries!A:K,11,false),"")</f>
        <v/>
      </c>
      <c r="O377" s="23" t="b">
        <f>IFERROR(VLOOKUP(A377, Entries!A:I,8,false),"")</f>
        <v>0</v>
      </c>
    </row>
    <row r="378">
      <c r="A378" s="78" t="s">
        <v>575</v>
      </c>
      <c r="B378" s="78" t="s">
        <v>19</v>
      </c>
      <c r="C378" s="85">
        <v>44088.0</v>
      </c>
      <c r="D378" s="85">
        <v>44093.0</v>
      </c>
      <c r="E378" s="86">
        <v>0.56</v>
      </c>
      <c r="F378" s="87">
        <v>3.28</v>
      </c>
      <c r="G378" s="88">
        <f t="shared" si="1"/>
        <v>2.72</v>
      </c>
      <c r="H378" s="89">
        <f t="shared" si="2"/>
        <v>0.8292682927</v>
      </c>
      <c r="I378" s="78" t="s">
        <v>576</v>
      </c>
      <c r="J378" s="78" t="s">
        <v>69</v>
      </c>
      <c r="K378" s="58">
        <f t="shared" si="3"/>
        <v>5</v>
      </c>
      <c r="L378" s="91" t="str">
        <f t="shared" si="4"/>
        <v>Sat</v>
      </c>
      <c r="M378" s="78" t="str">
        <f>IFERROR(VLOOKUP(A378, Entries!A:B,2,false),"")</f>
        <v>Codemasters</v>
      </c>
      <c r="N378" s="23" t="str">
        <f>IFERROR(VLOOKUP(A378, Entries!A:K,11,false),"")</f>
        <v/>
      </c>
      <c r="O378" s="23" t="b">
        <f>IFERROR(VLOOKUP(A378, Entries!A:I,8,false),"")</f>
        <v>0</v>
      </c>
    </row>
    <row r="379">
      <c r="A379" s="78" t="s">
        <v>575</v>
      </c>
      <c r="B379" s="78" t="s">
        <v>19</v>
      </c>
      <c r="C379" s="85">
        <v>44088.0</v>
      </c>
      <c r="D379" s="85">
        <v>44093.0</v>
      </c>
      <c r="E379" s="86">
        <v>0.56</v>
      </c>
      <c r="F379" s="87">
        <v>3.13</v>
      </c>
      <c r="G379" s="88">
        <f t="shared" si="1"/>
        <v>2.57</v>
      </c>
      <c r="H379" s="89">
        <f t="shared" si="2"/>
        <v>0.821086262</v>
      </c>
      <c r="I379" s="78" t="s">
        <v>577</v>
      </c>
      <c r="J379" s="78" t="s">
        <v>69</v>
      </c>
      <c r="K379" s="58">
        <f t="shared" si="3"/>
        <v>5</v>
      </c>
      <c r="L379" s="91" t="str">
        <f t="shared" si="4"/>
        <v>Sat</v>
      </c>
      <c r="M379" s="78" t="str">
        <f>IFERROR(VLOOKUP(A379, Entries!A:B,2,false),"")</f>
        <v>Codemasters</v>
      </c>
      <c r="N379" s="23" t="str">
        <f>IFERROR(VLOOKUP(A379, Entries!A:K,11,false),"")</f>
        <v/>
      </c>
      <c r="O379" s="23" t="b">
        <f>IFERROR(VLOOKUP(A379, Entries!A:I,8,false),"")</f>
        <v>0</v>
      </c>
    </row>
    <row r="380">
      <c r="A380" s="78" t="s">
        <v>578</v>
      </c>
      <c r="B380" s="78" t="s">
        <v>19</v>
      </c>
      <c r="C380" s="85">
        <v>44088.0</v>
      </c>
      <c r="D380" s="85">
        <v>44345.0</v>
      </c>
      <c r="E380" s="86">
        <v>0.56</v>
      </c>
      <c r="F380" s="87">
        <v>0.65</v>
      </c>
      <c r="G380" s="88">
        <f t="shared" si="1"/>
        <v>0.09</v>
      </c>
      <c r="H380" s="89">
        <f t="shared" si="2"/>
        <v>0.1384615385</v>
      </c>
      <c r="I380" s="78" t="s">
        <v>579</v>
      </c>
      <c r="J380" s="78" t="s">
        <v>69</v>
      </c>
      <c r="K380" s="58">
        <f t="shared" si="3"/>
        <v>257</v>
      </c>
      <c r="L380" s="91" t="str">
        <f t="shared" si="4"/>
        <v>Sat</v>
      </c>
      <c r="M380" s="78" t="str">
        <f>IFERROR(VLOOKUP(A380, Entries!A:B,2,false),"")</f>
        <v>Kalypso Media</v>
      </c>
      <c r="N380" s="23" t="str">
        <f>IFERROR(VLOOKUP(A380, Entries!A:K,11,false),"")</f>
        <v/>
      </c>
      <c r="O380" s="23" t="b">
        <f>IFERROR(VLOOKUP(A380, Entries!A:I,8,false),"")</f>
        <v>0</v>
      </c>
    </row>
    <row r="381">
      <c r="A381" s="78" t="s">
        <v>578</v>
      </c>
      <c r="B381" s="78" t="s">
        <v>19</v>
      </c>
      <c r="C381" s="85">
        <v>44088.0</v>
      </c>
      <c r="D381" s="85">
        <v>44347.0</v>
      </c>
      <c r="E381" s="86">
        <v>0.56</v>
      </c>
      <c r="F381" s="87">
        <v>0.65</v>
      </c>
      <c r="G381" s="88">
        <f t="shared" si="1"/>
        <v>0.09</v>
      </c>
      <c r="H381" s="89">
        <f t="shared" si="2"/>
        <v>0.1384615385</v>
      </c>
      <c r="I381" s="78" t="s">
        <v>580</v>
      </c>
      <c r="J381" s="78" t="s">
        <v>69</v>
      </c>
      <c r="K381" s="58">
        <f t="shared" si="3"/>
        <v>259</v>
      </c>
      <c r="L381" s="91" t="str">
        <f t="shared" si="4"/>
        <v>Mon</v>
      </c>
      <c r="M381" s="78" t="str">
        <f>IFERROR(VLOOKUP(A381, Entries!A:B,2,false),"")</f>
        <v>Kalypso Media</v>
      </c>
      <c r="N381" s="23" t="str">
        <f>IFERROR(VLOOKUP(A381, Entries!A:K,11,false),"")</f>
        <v/>
      </c>
      <c r="O381" s="23" t="b">
        <f>IFERROR(VLOOKUP(A381, Entries!A:I,8,false),"")</f>
        <v>0</v>
      </c>
    </row>
    <row r="382">
      <c r="A382" s="78" t="s">
        <v>581</v>
      </c>
      <c r="B382" s="78" t="s">
        <v>19</v>
      </c>
      <c r="C382" s="85">
        <v>44088.0</v>
      </c>
      <c r="D382" s="85">
        <v>44627.0</v>
      </c>
      <c r="E382" s="86">
        <v>0.56</v>
      </c>
      <c r="F382" s="87">
        <v>0.03</v>
      </c>
      <c r="G382" s="88">
        <f t="shared" si="1"/>
        <v>-0.53</v>
      </c>
      <c r="H382" s="89">
        <f t="shared" si="2"/>
        <v>-17.66666667</v>
      </c>
      <c r="I382" s="78" t="s">
        <v>582</v>
      </c>
      <c r="J382" s="78" t="s">
        <v>69</v>
      </c>
      <c r="K382" s="58">
        <f t="shared" si="3"/>
        <v>539</v>
      </c>
      <c r="L382" s="91" t="str">
        <f t="shared" si="4"/>
        <v>Mon</v>
      </c>
      <c r="M382" s="78" t="str">
        <f>IFERROR(VLOOKUP(A382, Entries!A:B,2,false),"")</f>
        <v>Silver Dollar Games</v>
      </c>
      <c r="N382" s="23" t="str">
        <f>IFERROR(VLOOKUP(A382, Entries!A:K,11,false),"")</f>
        <v/>
      </c>
      <c r="O382" s="23" t="b">
        <f>IFERROR(VLOOKUP(A382, Entries!A:I,8,false),"")</f>
        <v>0</v>
      </c>
    </row>
    <row r="383">
      <c r="A383" s="78" t="s">
        <v>581</v>
      </c>
      <c r="B383" s="78" t="s">
        <v>19</v>
      </c>
      <c r="C383" s="85">
        <v>44088.0</v>
      </c>
      <c r="D383" s="85">
        <v>44629.0</v>
      </c>
      <c r="E383" s="86">
        <v>0.56</v>
      </c>
      <c r="F383" s="87">
        <v>0.03</v>
      </c>
      <c r="G383" s="88">
        <f t="shared" si="1"/>
        <v>-0.53</v>
      </c>
      <c r="H383" s="89">
        <f t="shared" si="2"/>
        <v>-17.66666667</v>
      </c>
      <c r="I383" s="78" t="s">
        <v>583</v>
      </c>
      <c r="J383" s="78" t="s">
        <v>69</v>
      </c>
      <c r="K383" s="58">
        <f t="shared" si="3"/>
        <v>541</v>
      </c>
      <c r="L383" s="91" t="str">
        <f t="shared" si="4"/>
        <v>Wed</v>
      </c>
      <c r="M383" s="78" t="str">
        <f>IFERROR(VLOOKUP(A383, Entries!A:B,2,false),"")</f>
        <v>Silver Dollar Games</v>
      </c>
      <c r="N383" s="23" t="str">
        <f>IFERROR(VLOOKUP(A383, Entries!A:K,11,false),"")</f>
        <v/>
      </c>
      <c r="O383" s="23" t="b">
        <f>IFERROR(VLOOKUP(A383, Entries!A:I,8,false),"")</f>
        <v>0</v>
      </c>
    </row>
    <row r="384">
      <c r="A384" s="78" t="s">
        <v>584</v>
      </c>
      <c r="B384" s="78" t="s">
        <v>19</v>
      </c>
      <c r="C384" s="85">
        <v>44088.0</v>
      </c>
      <c r="D384" s="85">
        <v>44526.0</v>
      </c>
      <c r="E384" s="86">
        <v>0.56</v>
      </c>
      <c r="F384" s="87">
        <v>0.54</v>
      </c>
      <c r="G384" s="88">
        <f t="shared" si="1"/>
        <v>-0.02</v>
      </c>
      <c r="H384" s="89">
        <f t="shared" si="2"/>
        <v>-0.03703703704</v>
      </c>
      <c r="I384" s="78" t="s">
        <v>585</v>
      </c>
      <c r="J384" s="78" t="s">
        <v>69</v>
      </c>
      <c r="K384" s="58">
        <f t="shared" si="3"/>
        <v>438</v>
      </c>
      <c r="L384" s="91" t="str">
        <f t="shared" si="4"/>
        <v>Fri</v>
      </c>
      <c r="M384" s="78" t="str">
        <f>IFERROR(VLOOKUP(A384, Entries!A:B,2,false),"")</f>
        <v>Runic Games</v>
      </c>
      <c r="N384" s="23" t="str">
        <f>IFERROR(VLOOKUP(A384, Entries!A:K,11,false),"")</f>
        <v/>
      </c>
      <c r="O384" s="23" t="b">
        <f>IFERROR(VLOOKUP(A384, Entries!A:I,8,false),"")</f>
        <v>0</v>
      </c>
    </row>
    <row r="385">
      <c r="A385" s="78" t="s">
        <v>584</v>
      </c>
      <c r="B385" s="78" t="s">
        <v>19</v>
      </c>
      <c r="C385" s="85">
        <v>44088.0</v>
      </c>
      <c r="D385" s="85">
        <v>44541.0</v>
      </c>
      <c r="E385" s="86">
        <v>0.55</v>
      </c>
      <c r="F385" s="87">
        <v>0.54</v>
      </c>
      <c r="G385" s="88">
        <f t="shared" si="1"/>
        <v>-0.01</v>
      </c>
      <c r="H385" s="89">
        <f t="shared" si="2"/>
        <v>-0.01851851852</v>
      </c>
      <c r="I385" s="78" t="s">
        <v>586</v>
      </c>
      <c r="J385" s="78" t="s">
        <v>69</v>
      </c>
      <c r="K385" s="58">
        <f t="shared" si="3"/>
        <v>453</v>
      </c>
      <c r="L385" s="91" t="str">
        <f t="shared" si="4"/>
        <v>Sat</v>
      </c>
      <c r="M385" s="78" t="str">
        <f>IFERROR(VLOOKUP(A385, Entries!A:B,2,false),"")</f>
        <v>Runic Games</v>
      </c>
      <c r="N385" s="23" t="str">
        <f>IFERROR(VLOOKUP(A385, Entries!A:K,11,false),"")</f>
        <v/>
      </c>
      <c r="O385" s="23" t="b">
        <f>IFERROR(VLOOKUP(A385, Entries!A:I,8,false),"")</f>
        <v>0</v>
      </c>
    </row>
    <row r="386">
      <c r="A386" s="78" t="s">
        <v>587</v>
      </c>
      <c r="B386" s="78" t="s">
        <v>19</v>
      </c>
      <c r="C386" s="85">
        <v>44088.0</v>
      </c>
      <c r="D386" s="85">
        <v>44092.0</v>
      </c>
      <c r="E386" s="86">
        <v>0.55</v>
      </c>
      <c r="F386" s="87">
        <v>0.93</v>
      </c>
      <c r="G386" s="88">
        <f t="shared" si="1"/>
        <v>0.38</v>
      </c>
      <c r="H386" s="89">
        <f t="shared" si="2"/>
        <v>0.4086021505</v>
      </c>
      <c r="I386" s="78" t="s">
        <v>588</v>
      </c>
      <c r="J386" s="78" t="s">
        <v>69</v>
      </c>
      <c r="K386" s="58">
        <f t="shared" si="3"/>
        <v>4</v>
      </c>
      <c r="L386" s="91" t="str">
        <f t="shared" si="4"/>
        <v>Fri</v>
      </c>
      <c r="M386" s="78" t="str">
        <f>IFERROR(VLOOKUP(A386, Entries!A:B,2,false),"")</f>
        <v>Runic Games</v>
      </c>
      <c r="N386" s="23" t="str">
        <f>IFERROR(VLOOKUP(A386, Entries!A:K,11,false),"")</f>
        <v/>
      </c>
      <c r="O386" s="23" t="b">
        <f>IFERROR(VLOOKUP(A386, Entries!A:I,8,false),"")</f>
        <v>0</v>
      </c>
    </row>
    <row r="387">
      <c r="A387" s="78" t="s">
        <v>587</v>
      </c>
      <c r="B387" s="78" t="s">
        <v>19</v>
      </c>
      <c r="C387" s="85">
        <v>44088.0</v>
      </c>
      <c r="D387" s="85">
        <v>44092.0</v>
      </c>
      <c r="E387" s="86">
        <v>0.55</v>
      </c>
      <c r="F387" s="87">
        <v>0.93</v>
      </c>
      <c r="G387" s="88">
        <f t="shared" si="1"/>
        <v>0.38</v>
      </c>
      <c r="H387" s="89">
        <f t="shared" si="2"/>
        <v>0.4086021505</v>
      </c>
      <c r="I387" s="78" t="s">
        <v>589</v>
      </c>
      <c r="J387" s="78" t="s">
        <v>69</v>
      </c>
      <c r="K387" s="58">
        <f t="shared" si="3"/>
        <v>4</v>
      </c>
      <c r="L387" s="91" t="str">
        <f t="shared" si="4"/>
        <v>Fri</v>
      </c>
      <c r="M387" s="78" t="str">
        <f>IFERROR(VLOOKUP(A387, Entries!A:B,2,false),"")</f>
        <v>Runic Games</v>
      </c>
      <c r="N387" s="23" t="str">
        <f>IFERROR(VLOOKUP(A387, Entries!A:K,11,false),"")</f>
        <v/>
      </c>
      <c r="O387" s="23" t="b">
        <f>IFERROR(VLOOKUP(A387, Entries!A:I,8,false),"")</f>
        <v>0</v>
      </c>
    </row>
    <row r="388">
      <c r="A388" s="78" t="s">
        <v>506</v>
      </c>
      <c r="B388" s="78" t="s">
        <v>21</v>
      </c>
      <c r="C388" s="85">
        <v>44089.0</v>
      </c>
      <c r="D388" s="85">
        <v>44193.0</v>
      </c>
      <c r="E388" s="86">
        <v>0.47</v>
      </c>
      <c r="F388" s="87">
        <v>0.25</v>
      </c>
      <c r="G388" s="88">
        <f t="shared" si="1"/>
        <v>-0.22</v>
      </c>
      <c r="H388" s="89">
        <f t="shared" si="2"/>
        <v>-0.88</v>
      </c>
      <c r="I388" s="78" t="s">
        <v>590</v>
      </c>
      <c r="J388" s="78" t="s">
        <v>69</v>
      </c>
      <c r="K388" s="58">
        <f t="shared" si="3"/>
        <v>104</v>
      </c>
      <c r="L388" s="91" t="str">
        <f t="shared" si="4"/>
        <v>Mon</v>
      </c>
      <c r="M388" s="78" t="str">
        <f>IFERROR(VLOOKUP(A388, Entries!A:B,2,false),"")</f>
        <v>Lonely Troops</v>
      </c>
      <c r="N388" s="23" t="str">
        <f>IFERROR(VLOOKUP(A388, Entries!A:K,11,false),"")</f>
        <v/>
      </c>
      <c r="O388" s="23" t="b">
        <f>IFERROR(VLOOKUP(A388, Entries!A:I,8,false),"")</f>
        <v>0</v>
      </c>
    </row>
    <row r="389">
      <c r="A389" s="78" t="s">
        <v>506</v>
      </c>
      <c r="B389" s="78" t="s">
        <v>21</v>
      </c>
      <c r="C389" s="85">
        <v>44089.0</v>
      </c>
      <c r="D389" s="85">
        <v>44335.0</v>
      </c>
      <c r="E389" s="86">
        <v>0.47</v>
      </c>
      <c r="F389" s="87">
        <v>0.51</v>
      </c>
      <c r="G389" s="88">
        <f t="shared" si="1"/>
        <v>0.04</v>
      </c>
      <c r="H389" s="89">
        <f t="shared" si="2"/>
        <v>0.07843137255</v>
      </c>
      <c r="I389" s="78" t="s">
        <v>591</v>
      </c>
      <c r="J389" s="78" t="s">
        <v>69</v>
      </c>
      <c r="K389" s="58">
        <f t="shared" si="3"/>
        <v>246</v>
      </c>
      <c r="L389" s="91" t="str">
        <f t="shared" si="4"/>
        <v>Wed</v>
      </c>
      <c r="M389" s="78" t="str">
        <f>IFERROR(VLOOKUP(A389, Entries!A:B,2,false),"")</f>
        <v>Lonely Troops</v>
      </c>
      <c r="N389" s="23" t="str">
        <f>IFERROR(VLOOKUP(A389, Entries!A:K,11,false),"")</f>
        <v/>
      </c>
      <c r="O389" s="23" t="b">
        <f>IFERROR(VLOOKUP(A389, Entries!A:I,8,false),"")</f>
        <v>0</v>
      </c>
    </row>
    <row r="390">
      <c r="A390" s="78" t="s">
        <v>218</v>
      </c>
      <c r="B390" s="78" t="s">
        <v>19</v>
      </c>
      <c r="C390" s="85">
        <v>44089.0</v>
      </c>
      <c r="D390" s="85">
        <v>44106.0</v>
      </c>
      <c r="E390" s="86">
        <v>2.5</v>
      </c>
      <c r="F390" s="87">
        <v>2.81</v>
      </c>
      <c r="G390" s="88">
        <f t="shared" si="1"/>
        <v>0.31</v>
      </c>
      <c r="H390" s="89">
        <f t="shared" si="2"/>
        <v>0.1103202847</v>
      </c>
      <c r="I390" s="78" t="s">
        <v>592</v>
      </c>
      <c r="J390" s="78" t="s">
        <v>69</v>
      </c>
      <c r="K390" s="58">
        <f t="shared" si="3"/>
        <v>17</v>
      </c>
      <c r="L390" s="91" t="str">
        <f t="shared" si="4"/>
        <v>Fri</v>
      </c>
      <c r="M390" s="78" t="str">
        <f>IFERROR(VLOOKUP(A390, Entries!A:B,2,false),"")</f>
        <v>Square Enix</v>
      </c>
      <c r="N390" s="23" t="str">
        <f>IFERROR(VLOOKUP(A390, Entries!A:K,11,false),"")</f>
        <v/>
      </c>
      <c r="O390" s="23" t="b">
        <f>IFERROR(VLOOKUP(A390, Entries!A:I,8,false),"")</f>
        <v>1</v>
      </c>
    </row>
    <row r="391">
      <c r="A391" s="78" t="s">
        <v>218</v>
      </c>
      <c r="B391" s="78" t="s">
        <v>19</v>
      </c>
      <c r="C391" s="85">
        <v>44089.0</v>
      </c>
      <c r="D391" s="85">
        <v>44107.0</v>
      </c>
      <c r="E391" s="86">
        <v>2.5</v>
      </c>
      <c r="F391" s="87">
        <v>2.83</v>
      </c>
      <c r="G391" s="88">
        <f t="shared" si="1"/>
        <v>0.33</v>
      </c>
      <c r="H391" s="89">
        <f t="shared" si="2"/>
        <v>0.1166077739</v>
      </c>
      <c r="I391" s="78" t="s">
        <v>593</v>
      </c>
      <c r="J391" s="78" t="s">
        <v>69</v>
      </c>
      <c r="K391" s="58">
        <f t="shared" si="3"/>
        <v>18</v>
      </c>
      <c r="L391" s="91" t="str">
        <f t="shared" si="4"/>
        <v>Sat</v>
      </c>
      <c r="M391" s="78" t="str">
        <f>IFERROR(VLOOKUP(A391, Entries!A:B,2,false),"")</f>
        <v>Square Enix</v>
      </c>
      <c r="N391" s="23" t="str">
        <f>IFERROR(VLOOKUP(A391, Entries!A:K,11,false),"")</f>
        <v/>
      </c>
      <c r="O391" s="23" t="b">
        <f>IFERROR(VLOOKUP(A391, Entries!A:I,8,false),"")</f>
        <v>1</v>
      </c>
    </row>
    <row r="392">
      <c r="A392" s="78" t="s">
        <v>572</v>
      </c>
      <c r="B392" s="78" t="s">
        <v>19</v>
      </c>
      <c r="C392" s="85">
        <v>44093.0</v>
      </c>
      <c r="D392" s="85">
        <v>44192.0</v>
      </c>
      <c r="E392" s="86">
        <v>0.55</v>
      </c>
      <c r="F392" s="87">
        <v>0.76</v>
      </c>
      <c r="G392" s="88">
        <f t="shared" si="1"/>
        <v>0.21</v>
      </c>
      <c r="H392" s="89">
        <f t="shared" si="2"/>
        <v>0.2763157895</v>
      </c>
      <c r="I392" s="78" t="s">
        <v>594</v>
      </c>
      <c r="J392" s="78" t="s">
        <v>69</v>
      </c>
      <c r="K392" s="58">
        <f t="shared" si="3"/>
        <v>99</v>
      </c>
      <c r="L392" s="91" t="str">
        <f t="shared" si="4"/>
        <v>Sun</v>
      </c>
      <c r="M392" s="78" t="str">
        <f>IFERROR(VLOOKUP(A392, Entries!A:B,2,false),"")</f>
        <v>Eugen Systems</v>
      </c>
      <c r="N392" s="23" t="str">
        <f>IFERROR(VLOOKUP(A392, Entries!A:K,11,false),"")</f>
        <v/>
      </c>
      <c r="O392" s="23" t="b">
        <f>IFERROR(VLOOKUP(A392, Entries!A:I,8,false),"")</f>
        <v>0</v>
      </c>
    </row>
    <row r="393">
      <c r="A393" s="78" t="s">
        <v>572</v>
      </c>
      <c r="B393" s="78" t="s">
        <v>19</v>
      </c>
      <c r="C393" s="85">
        <v>44093.0</v>
      </c>
      <c r="D393" s="85">
        <v>44193.0</v>
      </c>
      <c r="E393" s="86">
        <v>0.55</v>
      </c>
      <c r="F393" s="87">
        <v>0.76</v>
      </c>
      <c r="G393" s="88">
        <f t="shared" si="1"/>
        <v>0.21</v>
      </c>
      <c r="H393" s="89">
        <f t="shared" si="2"/>
        <v>0.2763157895</v>
      </c>
      <c r="I393" s="78" t="s">
        <v>595</v>
      </c>
      <c r="J393" s="78" t="s">
        <v>69</v>
      </c>
      <c r="K393" s="58">
        <f t="shared" si="3"/>
        <v>100</v>
      </c>
      <c r="L393" s="91" t="str">
        <f t="shared" si="4"/>
        <v>Mon</v>
      </c>
      <c r="M393" s="78" t="str">
        <f>IFERROR(VLOOKUP(A393, Entries!A:B,2,false),"")</f>
        <v>Eugen Systems</v>
      </c>
      <c r="N393" s="23" t="str">
        <f>IFERROR(VLOOKUP(A393, Entries!A:K,11,false),"")</f>
        <v/>
      </c>
      <c r="O393" s="23" t="b">
        <f>IFERROR(VLOOKUP(A393, Entries!A:I,8,false),"")</f>
        <v>0</v>
      </c>
    </row>
    <row r="394">
      <c r="A394" s="78" t="s">
        <v>578</v>
      </c>
      <c r="B394" s="78" t="s">
        <v>19</v>
      </c>
      <c r="C394" s="85">
        <v>44093.0</v>
      </c>
      <c r="D394" s="85">
        <v>44374.0</v>
      </c>
      <c r="E394" s="86">
        <v>0.55</v>
      </c>
      <c r="F394" s="87">
        <v>0.65</v>
      </c>
      <c r="G394" s="88">
        <f t="shared" si="1"/>
        <v>0.1</v>
      </c>
      <c r="H394" s="89">
        <f t="shared" si="2"/>
        <v>0.1538461538</v>
      </c>
      <c r="I394" s="78" t="s">
        <v>596</v>
      </c>
      <c r="J394" s="78" t="s">
        <v>69</v>
      </c>
      <c r="K394" s="58">
        <f t="shared" si="3"/>
        <v>281</v>
      </c>
      <c r="L394" s="91" t="str">
        <f t="shared" si="4"/>
        <v>Sun</v>
      </c>
      <c r="M394" s="78" t="str">
        <f>IFERROR(VLOOKUP(A394, Entries!A:B,2,false),"")</f>
        <v>Kalypso Media</v>
      </c>
      <c r="N394" s="23" t="str">
        <f>IFERROR(VLOOKUP(A394, Entries!A:K,11,false),"")</f>
        <v/>
      </c>
      <c r="O394" s="23" t="b">
        <f>IFERROR(VLOOKUP(A394, Entries!A:I,8,false),"")</f>
        <v>0</v>
      </c>
    </row>
    <row r="395">
      <c r="A395" s="78" t="s">
        <v>578</v>
      </c>
      <c r="B395" s="78" t="s">
        <v>19</v>
      </c>
      <c r="C395" s="85">
        <v>44093.0</v>
      </c>
      <c r="D395" s="85">
        <v>44378.0</v>
      </c>
      <c r="E395" s="86">
        <v>0.55</v>
      </c>
      <c r="F395" s="87">
        <v>0.65</v>
      </c>
      <c r="G395" s="88">
        <f t="shared" si="1"/>
        <v>0.1</v>
      </c>
      <c r="H395" s="89">
        <f t="shared" si="2"/>
        <v>0.1538461538</v>
      </c>
      <c r="I395" s="78" t="s">
        <v>597</v>
      </c>
      <c r="J395" s="78" t="s">
        <v>69</v>
      </c>
      <c r="K395" s="58">
        <f t="shared" si="3"/>
        <v>285</v>
      </c>
      <c r="L395" s="91" t="str">
        <f t="shared" si="4"/>
        <v>Thu</v>
      </c>
      <c r="M395" s="78" t="str">
        <f>IFERROR(VLOOKUP(A395, Entries!A:B,2,false),"")</f>
        <v>Kalypso Media</v>
      </c>
      <c r="N395" s="23" t="str">
        <f>IFERROR(VLOOKUP(A395, Entries!A:K,11,false),"")</f>
        <v/>
      </c>
      <c r="O395" s="23" t="b">
        <f>IFERROR(VLOOKUP(A395, Entries!A:I,8,false),"")</f>
        <v>0</v>
      </c>
    </row>
    <row r="396">
      <c r="A396" s="78" t="s">
        <v>581</v>
      </c>
      <c r="B396" s="78" t="s">
        <v>19</v>
      </c>
      <c r="C396" s="85">
        <v>44093.0</v>
      </c>
      <c r="D396" s="85">
        <v>44630.0</v>
      </c>
      <c r="E396" s="86">
        <v>0.55</v>
      </c>
      <c r="F396" s="87">
        <v>0.03</v>
      </c>
      <c r="G396" s="88">
        <f t="shared" si="1"/>
        <v>-0.52</v>
      </c>
      <c r="H396" s="89">
        <f t="shared" si="2"/>
        <v>-17.33333333</v>
      </c>
      <c r="I396" s="78" t="s">
        <v>598</v>
      </c>
      <c r="J396" s="78" t="s">
        <v>69</v>
      </c>
      <c r="K396" s="58">
        <f t="shared" si="3"/>
        <v>537</v>
      </c>
      <c r="L396" s="91" t="str">
        <f t="shared" si="4"/>
        <v>Thu</v>
      </c>
      <c r="M396" s="78" t="str">
        <f>IFERROR(VLOOKUP(A396, Entries!A:B,2,false),"")</f>
        <v>Silver Dollar Games</v>
      </c>
      <c r="N396" s="23" t="str">
        <f>IFERROR(VLOOKUP(A396, Entries!A:K,11,false),"")</f>
        <v/>
      </c>
      <c r="O396" s="23" t="b">
        <f>IFERROR(VLOOKUP(A396, Entries!A:I,8,false),"")</f>
        <v>0</v>
      </c>
    </row>
    <row r="397">
      <c r="A397" s="78" t="s">
        <v>581</v>
      </c>
      <c r="B397" s="78" t="s">
        <v>19</v>
      </c>
      <c r="C397" s="85">
        <v>44093.0</v>
      </c>
      <c r="D397" s="85">
        <v>44632.0</v>
      </c>
      <c r="E397" s="86">
        <v>0.55</v>
      </c>
      <c r="F397" s="87">
        <v>0.03</v>
      </c>
      <c r="G397" s="88">
        <f t="shared" si="1"/>
        <v>-0.52</v>
      </c>
      <c r="H397" s="89">
        <f t="shared" si="2"/>
        <v>-17.33333333</v>
      </c>
      <c r="I397" s="78" t="s">
        <v>599</v>
      </c>
      <c r="J397" s="78" t="s">
        <v>69</v>
      </c>
      <c r="K397" s="58">
        <f t="shared" si="3"/>
        <v>539</v>
      </c>
      <c r="L397" s="91" t="str">
        <f t="shared" si="4"/>
        <v>Sat</v>
      </c>
      <c r="M397" s="78" t="str">
        <f>IFERROR(VLOOKUP(A397, Entries!A:B,2,false),"")</f>
        <v>Silver Dollar Games</v>
      </c>
      <c r="N397" s="23" t="str">
        <f>IFERROR(VLOOKUP(A397, Entries!A:K,11,false),"")</f>
        <v/>
      </c>
      <c r="O397" s="23" t="b">
        <f>IFERROR(VLOOKUP(A397, Entries!A:I,8,false),"")</f>
        <v>0</v>
      </c>
    </row>
    <row r="398">
      <c r="A398" s="78" t="s">
        <v>584</v>
      </c>
      <c r="B398" s="78" t="s">
        <v>19</v>
      </c>
      <c r="C398" s="85">
        <v>44093.0</v>
      </c>
      <c r="D398" s="85">
        <v>44724.0</v>
      </c>
      <c r="E398" s="86">
        <v>0.55</v>
      </c>
      <c r="F398" s="87">
        <v>0.14</v>
      </c>
      <c r="G398" s="88">
        <f t="shared" si="1"/>
        <v>-0.41</v>
      </c>
      <c r="H398" s="89">
        <f t="shared" si="2"/>
        <v>-2.928571429</v>
      </c>
      <c r="I398" s="78" t="s">
        <v>600</v>
      </c>
      <c r="J398" s="78" t="s">
        <v>69</v>
      </c>
      <c r="K398" s="58">
        <f t="shared" si="3"/>
        <v>631</v>
      </c>
      <c r="L398" s="91" t="str">
        <f t="shared" si="4"/>
        <v>Sun</v>
      </c>
      <c r="M398" s="78" t="str">
        <f>IFERROR(VLOOKUP(A398, Entries!A:B,2,false),"")</f>
        <v>Runic Games</v>
      </c>
      <c r="N398" s="23" t="str">
        <f>IFERROR(VLOOKUP(A398, Entries!A:K,11,false),"")</f>
        <v/>
      </c>
      <c r="O398" s="23" t="b">
        <f>IFERROR(VLOOKUP(A398, Entries!A:I,8,false),"")</f>
        <v>0</v>
      </c>
    </row>
    <row r="399">
      <c r="A399" s="78" t="s">
        <v>584</v>
      </c>
      <c r="B399" s="78" t="s">
        <v>19</v>
      </c>
      <c r="C399" s="85">
        <v>44093.0</v>
      </c>
      <c r="D399" s="85">
        <v>44724.0</v>
      </c>
      <c r="E399" s="86">
        <v>0.55</v>
      </c>
      <c r="F399" s="87">
        <v>0.14</v>
      </c>
      <c r="G399" s="88">
        <f t="shared" si="1"/>
        <v>-0.41</v>
      </c>
      <c r="H399" s="89">
        <f t="shared" si="2"/>
        <v>-2.928571429</v>
      </c>
      <c r="I399" s="78" t="s">
        <v>601</v>
      </c>
      <c r="J399" s="78" t="s">
        <v>69</v>
      </c>
      <c r="K399" s="58">
        <f t="shared" si="3"/>
        <v>631</v>
      </c>
      <c r="L399" s="91" t="str">
        <f t="shared" si="4"/>
        <v>Sun</v>
      </c>
      <c r="M399" s="78" t="str">
        <f>IFERROR(VLOOKUP(A399, Entries!A:B,2,false),"")</f>
        <v>Runic Games</v>
      </c>
      <c r="N399" s="23" t="str">
        <f>IFERROR(VLOOKUP(A399, Entries!A:K,11,false),"")</f>
        <v/>
      </c>
      <c r="O399" s="23" t="b">
        <f>IFERROR(VLOOKUP(A399, Entries!A:I,8,false),"")</f>
        <v>0</v>
      </c>
    </row>
    <row r="400">
      <c r="A400" s="78" t="s">
        <v>587</v>
      </c>
      <c r="B400" s="78" t="s">
        <v>19</v>
      </c>
      <c r="C400" s="85">
        <v>44093.0</v>
      </c>
      <c r="D400" s="85">
        <v>44094.0</v>
      </c>
      <c r="E400" s="86">
        <v>0.57</v>
      </c>
      <c r="F400" s="87">
        <v>1.17</v>
      </c>
      <c r="G400" s="88">
        <f t="shared" si="1"/>
        <v>0.6</v>
      </c>
      <c r="H400" s="89">
        <f t="shared" si="2"/>
        <v>0.5128205128</v>
      </c>
      <c r="I400" s="78" t="s">
        <v>602</v>
      </c>
      <c r="J400" s="78" t="s">
        <v>69</v>
      </c>
      <c r="K400" s="58">
        <f t="shared" si="3"/>
        <v>1</v>
      </c>
      <c r="L400" s="91" t="str">
        <f t="shared" si="4"/>
        <v>Sun</v>
      </c>
      <c r="M400" s="78" t="str">
        <f>IFERROR(VLOOKUP(A400, Entries!A:B,2,false),"")</f>
        <v>Runic Games</v>
      </c>
      <c r="N400" s="23" t="str">
        <f>IFERROR(VLOOKUP(A400, Entries!A:K,11,false),"")</f>
        <v/>
      </c>
      <c r="O400" s="23" t="b">
        <f>IFERROR(VLOOKUP(A400, Entries!A:I,8,false),"")</f>
        <v>0</v>
      </c>
    </row>
    <row r="401">
      <c r="A401" s="78" t="s">
        <v>587</v>
      </c>
      <c r="B401" s="78" t="s">
        <v>19</v>
      </c>
      <c r="C401" s="85">
        <v>44093.0</v>
      </c>
      <c r="D401" s="85">
        <v>44094.0</v>
      </c>
      <c r="E401" s="86">
        <v>0.57</v>
      </c>
      <c r="F401" s="87">
        <v>1.18</v>
      </c>
      <c r="G401" s="88">
        <f t="shared" si="1"/>
        <v>0.61</v>
      </c>
      <c r="H401" s="89">
        <f t="shared" si="2"/>
        <v>0.5169491525</v>
      </c>
      <c r="I401" s="78" t="s">
        <v>603</v>
      </c>
      <c r="J401" s="78" t="s">
        <v>69</v>
      </c>
      <c r="K401" s="58">
        <f t="shared" si="3"/>
        <v>1</v>
      </c>
      <c r="L401" s="91" t="str">
        <f t="shared" si="4"/>
        <v>Sun</v>
      </c>
      <c r="M401" s="78" t="str">
        <f>IFERROR(VLOOKUP(A401, Entries!A:B,2,false),"")</f>
        <v>Runic Games</v>
      </c>
      <c r="N401" s="23" t="str">
        <f>IFERROR(VLOOKUP(A401, Entries!A:K,11,false),"")</f>
        <v/>
      </c>
      <c r="O401" s="23" t="b">
        <f>IFERROR(VLOOKUP(A401, Entries!A:I,8,false),"")</f>
        <v>0</v>
      </c>
    </row>
    <row r="402">
      <c r="A402" s="78" t="s">
        <v>575</v>
      </c>
      <c r="B402" s="78" t="s">
        <v>19</v>
      </c>
      <c r="C402" s="85">
        <v>44093.0</v>
      </c>
      <c r="D402" s="85">
        <v>44093.0</v>
      </c>
      <c r="E402" s="86">
        <v>0.57</v>
      </c>
      <c r="F402" s="87">
        <v>3.27</v>
      </c>
      <c r="G402" s="88">
        <f t="shared" si="1"/>
        <v>2.7</v>
      </c>
      <c r="H402" s="89">
        <f t="shared" si="2"/>
        <v>0.8256880734</v>
      </c>
      <c r="I402" s="78" t="s">
        <v>604</v>
      </c>
      <c r="J402" s="78" t="s">
        <v>69</v>
      </c>
      <c r="K402" s="58">
        <f t="shared" si="3"/>
        <v>0</v>
      </c>
      <c r="L402" s="91" t="str">
        <f t="shared" si="4"/>
        <v>Sat</v>
      </c>
      <c r="M402" s="78" t="str">
        <f>IFERROR(VLOOKUP(A402, Entries!A:B,2,false),"")</f>
        <v>Codemasters</v>
      </c>
      <c r="N402" s="23" t="str">
        <f>IFERROR(VLOOKUP(A402, Entries!A:K,11,false),"")</f>
        <v/>
      </c>
      <c r="O402" s="23" t="b">
        <f>IFERROR(VLOOKUP(A402, Entries!A:I,8,false),"")</f>
        <v>0</v>
      </c>
    </row>
    <row r="403">
      <c r="A403" s="78" t="s">
        <v>575</v>
      </c>
      <c r="B403" s="78" t="s">
        <v>19</v>
      </c>
      <c r="C403" s="85">
        <v>44093.0</v>
      </c>
      <c r="D403" s="85">
        <v>44094.0</v>
      </c>
      <c r="E403" s="86">
        <v>0.57</v>
      </c>
      <c r="F403" s="87">
        <v>3.28</v>
      </c>
      <c r="G403" s="88">
        <f t="shared" si="1"/>
        <v>2.71</v>
      </c>
      <c r="H403" s="89">
        <f t="shared" si="2"/>
        <v>0.8262195122</v>
      </c>
      <c r="I403" s="78" t="s">
        <v>605</v>
      </c>
      <c r="J403" s="78" t="s">
        <v>69</v>
      </c>
      <c r="K403" s="58">
        <f t="shared" si="3"/>
        <v>1</v>
      </c>
      <c r="L403" s="91" t="str">
        <f t="shared" si="4"/>
        <v>Sun</v>
      </c>
      <c r="M403" s="78" t="str">
        <f>IFERROR(VLOOKUP(A403, Entries!A:B,2,false),"")</f>
        <v>Codemasters</v>
      </c>
      <c r="N403" s="23" t="str">
        <f>IFERROR(VLOOKUP(A403, Entries!A:K,11,false),"")</f>
        <v/>
      </c>
      <c r="O403" s="23" t="b">
        <f>IFERROR(VLOOKUP(A403, Entries!A:I,8,false),"")</f>
        <v>0</v>
      </c>
    </row>
    <row r="404">
      <c r="A404" s="78" t="s">
        <v>559</v>
      </c>
      <c r="B404" s="78" t="s">
        <v>21</v>
      </c>
      <c r="C404" s="85">
        <v>44096.0</v>
      </c>
      <c r="D404" s="85">
        <v>44111.0</v>
      </c>
      <c r="E404" s="86">
        <v>18.34</v>
      </c>
      <c r="F404" s="87">
        <v>24.49</v>
      </c>
      <c r="G404" s="88">
        <f t="shared" si="1"/>
        <v>6.15</v>
      </c>
      <c r="H404" s="89">
        <f t="shared" si="2"/>
        <v>0.2511229073</v>
      </c>
      <c r="I404" s="78" t="s">
        <v>606</v>
      </c>
      <c r="J404" s="78" t="s">
        <v>69</v>
      </c>
      <c r="K404" s="58">
        <f t="shared" si="3"/>
        <v>15</v>
      </c>
      <c r="L404" s="91" t="str">
        <f t="shared" si="4"/>
        <v>Wed</v>
      </c>
      <c r="M404" s="78" t="str">
        <f>IFERROR(VLOOKUP(A404, Entries!A:B,2,false),"")</f>
        <v>BANDAI NAMCO</v>
      </c>
      <c r="N404" s="23" t="str">
        <f>IFERROR(VLOOKUP(A404, Entries!A:K,11,false),"")</f>
        <v/>
      </c>
      <c r="O404" s="23" t="b">
        <f>IFERROR(VLOOKUP(A404, Entries!A:I,8,false),"")</f>
        <v>0</v>
      </c>
    </row>
    <row r="405">
      <c r="A405" s="78" t="s">
        <v>169</v>
      </c>
      <c r="B405" s="78" t="s">
        <v>22</v>
      </c>
      <c r="C405" s="85">
        <v>44099.0</v>
      </c>
      <c r="D405" s="85">
        <v>44105.0</v>
      </c>
      <c r="E405" s="86">
        <v>14.34</v>
      </c>
      <c r="F405" s="87">
        <v>17.13</v>
      </c>
      <c r="G405" s="88">
        <f t="shared" si="1"/>
        <v>2.79</v>
      </c>
      <c r="H405" s="89">
        <f t="shared" si="2"/>
        <v>0.1628721541</v>
      </c>
      <c r="I405" s="78" t="s">
        <v>607</v>
      </c>
      <c r="J405" s="78" t="s">
        <v>69</v>
      </c>
      <c r="K405" s="58">
        <f t="shared" si="3"/>
        <v>6</v>
      </c>
      <c r="L405" s="91" t="str">
        <f t="shared" si="4"/>
        <v>Thu</v>
      </c>
      <c r="M405" s="78" t="str">
        <f>IFERROR(VLOOKUP(A405, Entries!A:B,2,false),"")</f>
        <v>NIS America</v>
      </c>
      <c r="N405" s="23" t="str">
        <f>IFERROR(VLOOKUP(A405, Entries!A:K,11,false),"")</f>
        <v/>
      </c>
      <c r="O405" s="23" t="b">
        <f>IFERROR(VLOOKUP(A405, Entries!A:I,8,false),"")</f>
        <v>0</v>
      </c>
    </row>
    <row r="406">
      <c r="A406" s="78" t="s">
        <v>608</v>
      </c>
      <c r="B406" s="78" t="s">
        <v>22</v>
      </c>
      <c r="C406" s="85">
        <v>44099.0</v>
      </c>
      <c r="D406" s="85">
        <v>44153.0</v>
      </c>
      <c r="E406" s="86">
        <v>15.23</v>
      </c>
      <c r="F406" s="87">
        <v>16.52</v>
      </c>
      <c r="G406" s="88">
        <f t="shared" si="1"/>
        <v>1.29</v>
      </c>
      <c r="H406" s="89">
        <f t="shared" si="2"/>
        <v>0.07808716707</v>
      </c>
      <c r="I406" s="78" t="s">
        <v>609</v>
      </c>
      <c r="J406" s="78" t="s">
        <v>69</v>
      </c>
      <c r="K406" s="58">
        <f t="shared" si="3"/>
        <v>54</v>
      </c>
      <c r="L406" s="91" t="str">
        <f t="shared" si="4"/>
        <v>Wed</v>
      </c>
      <c r="M406" s="78" t="str">
        <f>IFERROR(VLOOKUP(A406, Entries!A:B,2,false),"")</f>
        <v>Square Enix</v>
      </c>
      <c r="N406" s="23" t="str">
        <f>IFERROR(VLOOKUP(A406, Entries!A:K,11,false),"")</f>
        <v/>
      </c>
      <c r="O406" s="23" t="b">
        <f>IFERROR(VLOOKUP(A406, Entries!A:I,8,false),"")</f>
        <v>0</v>
      </c>
    </row>
    <row r="407">
      <c r="A407" s="78" t="s">
        <v>610</v>
      </c>
      <c r="B407" s="78" t="s">
        <v>22</v>
      </c>
      <c r="C407" s="85">
        <v>44099.0</v>
      </c>
      <c r="D407" s="85">
        <v>44102.0</v>
      </c>
      <c r="E407" s="86">
        <v>3.81</v>
      </c>
      <c r="F407" s="87">
        <v>5.0</v>
      </c>
      <c r="G407" s="88">
        <f t="shared" si="1"/>
        <v>1.19</v>
      </c>
      <c r="H407" s="89">
        <f t="shared" si="2"/>
        <v>0.238</v>
      </c>
      <c r="I407" s="78" t="s">
        <v>611</v>
      </c>
      <c r="J407" s="78" t="s">
        <v>69</v>
      </c>
      <c r="K407" s="58">
        <f t="shared" si="3"/>
        <v>3</v>
      </c>
      <c r="L407" s="91" t="str">
        <f t="shared" si="4"/>
        <v>Mon</v>
      </c>
      <c r="M407" s="78" t="str">
        <f>IFERROR(VLOOKUP(A407, Entries!A:B,2,false),"")</f>
        <v>Square Enix</v>
      </c>
      <c r="N407" s="23" t="str">
        <f>IFERROR(VLOOKUP(A407, Entries!A:K,11,false),"")</f>
        <v/>
      </c>
      <c r="O407" s="23" t="b">
        <f>IFERROR(VLOOKUP(A407, Entries!A:I,8,false),"")</f>
        <v>0</v>
      </c>
    </row>
    <row r="408">
      <c r="A408" s="78" t="s">
        <v>610</v>
      </c>
      <c r="B408" s="78" t="s">
        <v>22</v>
      </c>
      <c r="C408" s="85">
        <v>44099.0</v>
      </c>
      <c r="D408" s="85">
        <v>44104.0</v>
      </c>
      <c r="E408" s="86">
        <v>3.81</v>
      </c>
      <c r="F408" s="87">
        <v>5.01</v>
      </c>
      <c r="G408" s="88">
        <f t="shared" si="1"/>
        <v>1.2</v>
      </c>
      <c r="H408" s="89">
        <f t="shared" si="2"/>
        <v>0.2395209581</v>
      </c>
      <c r="I408" s="78" t="s">
        <v>612</v>
      </c>
      <c r="J408" s="78" t="s">
        <v>69</v>
      </c>
      <c r="K408" s="58">
        <f t="shared" si="3"/>
        <v>5</v>
      </c>
      <c r="L408" s="91" t="str">
        <f t="shared" si="4"/>
        <v>Wed</v>
      </c>
      <c r="M408" s="78" t="str">
        <f>IFERROR(VLOOKUP(A408, Entries!A:B,2,false),"")</f>
        <v>Square Enix</v>
      </c>
      <c r="N408" s="23" t="str">
        <f>IFERROR(VLOOKUP(A408, Entries!A:K,11,false),"")</f>
        <v/>
      </c>
      <c r="O408" s="23" t="b">
        <f>IFERROR(VLOOKUP(A408, Entries!A:I,8,false),"")</f>
        <v>0</v>
      </c>
    </row>
    <row r="409">
      <c r="A409" s="78" t="s">
        <v>613</v>
      </c>
      <c r="B409" s="78" t="s">
        <v>19</v>
      </c>
      <c r="C409" s="85">
        <v>44099.0</v>
      </c>
      <c r="D409" s="85">
        <v>44396.0</v>
      </c>
      <c r="E409" s="86">
        <v>4.76</v>
      </c>
      <c r="F409" s="87">
        <v>5.25</v>
      </c>
      <c r="G409" s="88">
        <f t="shared" si="1"/>
        <v>0.49</v>
      </c>
      <c r="H409" s="89">
        <f t="shared" si="2"/>
        <v>0.09333333333</v>
      </c>
      <c r="I409" s="78" t="s">
        <v>614</v>
      </c>
      <c r="J409" s="78" t="s">
        <v>69</v>
      </c>
      <c r="K409" s="58">
        <f t="shared" si="3"/>
        <v>297</v>
      </c>
      <c r="L409" s="91" t="str">
        <f t="shared" si="4"/>
        <v>Mon</v>
      </c>
      <c r="M409" s="78" t="str">
        <f>IFERROR(VLOOKUP(A409, Entries!A:B,2,false),"")</f>
        <v>Square Enix</v>
      </c>
      <c r="N409" s="23" t="str">
        <f>IFERROR(VLOOKUP(A409, Entries!A:K,11,false),"")</f>
        <v/>
      </c>
      <c r="O409" s="23" t="b">
        <f>IFERROR(VLOOKUP(A409, Entries!A:I,8,false),"")</f>
        <v>0</v>
      </c>
    </row>
    <row r="410">
      <c r="A410" s="78" t="s">
        <v>377</v>
      </c>
      <c r="B410" s="78" t="s">
        <v>19</v>
      </c>
      <c r="C410" s="85">
        <v>44099.0</v>
      </c>
      <c r="D410" s="85">
        <v>44212.0</v>
      </c>
      <c r="E410" s="86">
        <v>0.0</v>
      </c>
      <c r="F410" s="87">
        <v>0.67</v>
      </c>
      <c r="G410" s="88">
        <f t="shared" si="1"/>
        <v>0.67</v>
      </c>
      <c r="H410" s="89">
        <f t="shared" si="2"/>
        <v>1</v>
      </c>
      <c r="I410" s="78" t="s">
        <v>615</v>
      </c>
      <c r="J410" s="78" t="s">
        <v>69</v>
      </c>
      <c r="K410" s="58">
        <f t="shared" si="3"/>
        <v>113</v>
      </c>
      <c r="L410" s="91" t="str">
        <f t="shared" si="4"/>
        <v>Sat</v>
      </c>
      <c r="M410" s="78" t="str">
        <f>IFERROR(VLOOKUP(A410, Entries!A:B,2,false),"")</f>
        <v>Runic Games</v>
      </c>
      <c r="N410" s="23" t="str">
        <f>IFERROR(VLOOKUP(A410, Entries!A:K,11,false),"")</f>
        <v/>
      </c>
      <c r="O410" s="23" t="b">
        <f>IFERROR(VLOOKUP(A410, Entries!A:I,8,false),"")</f>
        <v>0</v>
      </c>
    </row>
    <row r="411">
      <c r="A411" s="78" t="s">
        <v>616</v>
      </c>
      <c r="B411" s="78" t="s">
        <v>19</v>
      </c>
      <c r="C411" s="85">
        <v>44099.0</v>
      </c>
      <c r="D411" s="85">
        <v>44102.0</v>
      </c>
      <c r="E411" s="86">
        <v>2.95</v>
      </c>
      <c r="F411" s="87">
        <v>4.56</v>
      </c>
      <c r="G411" s="88">
        <f t="shared" si="1"/>
        <v>1.61</v>
      </c>
      <c r="H411" s="89">
        <f t="shared" si="2"/>
        <v>0.3530701754</v>
      </c>
      <c r="I411" s="78" t="s">
        <v>617</v>
      </c>
      <c r="J411" s="78" t="s">
        <v>69</v>
      </c>
      <c r="K411" s="58">
        <f t="shared" si="3"/>
        <v>3</v>
      </c>
      <c r="L411" s="91" t="str">
        <f t="shared" si="4"/>
        <v>Mon</v>
      </c>
      <c r="M411" s="78" t="str">
        <f>IFERROR(VLOOKUP(A411, Entries!A:B,2,false),"")</f>
        <v>Raiser Games</v>
      </c>
      <c r="N411" s="23" t="str">
        <f>IFERROR(VLOOKUP(A411, Entries!A:K,11,false),"")</f>
        <v/>
      </c>
      <c r="O411" s="23" t="b">
        <f>IFERROR(VLOOKUP(A411, Entries!A:I,8,false),"")</f>
        <v>1</v>
      </c>
    </row>
    <row r="412">
      <c r="A412" s="78" t="s">
        <v>618</v>
      </c>
      <c r="B412" s="78" t="s">
        <v>19</v>
      </c>
      <c r="C412" s="85">
        <v>44099.0</v>
      </c>
      <c r="D412" s="85">
        <v>44100.0</v>
      </c>
      <c r="E412" s="86">
        <v>2.95</v>
      </c>
      <c r="F412" s="87">
        <v>4.43</v>
      </c>
      <c r="G412" s="88">
        <f t="shared" si="1"/>
        <v>1.48</v>
      </c>
      <c r="H412" s="89">
        <f t="shared" si="2"/>
        <v>0.3340857788</v>
      </c>
      <c r="I412" s="78" t="s">
        <v>619</v>
      </c>
      <c r="J412" s="78" t="s">
        <v>69</v>
      </c>
      <c r="K412" s="58">
        <f t="shared" si="3"/>
        <v>1</v>
      </c>
      <c r="L412" s="91" t="str">
        <f t="shared" si="4"/>
        <v>Sat</v>
      </c>
      <c r="M412" s="78" t="str">
        <f>IFERROR(VLOOKUP(A412, Entries!A:B,2,false),"")</f>
        <v>M2H</v>
      </c>
      <c r="N412" s="23" t="str">
        <f>IFERROR(VLOOKUP(A412, Entries!A:K,11,false),"")</f>
        <v/>
      </c>
      <c r="O412" s="23" t="b">
        <f>IFERROR(VLOOKUP(A412, Entries!A:I,8,false),"")</f>
        <v>1</v>
      </c>
    </row>
    <row r="413">
      <c r="A413" s="78" t="s">
        <v>620</v>
      </c>
      <c r="B413" s="78" t="s">
        <v>19</v>
      </c>
      <c r="C413" s="85">
        <v>44099.0</v>
      </c>
      <c r="D413" s="85">
        <v>44099.0</v>
      </c>
      <c r="E413" s="86">
        <v>2.95</v>
      </c>
      <c r="F413" s="87">
        <v>4.64</v>
      </c>
      <c r="G413" s="88">
        <f t="shared" si="1"/>
        <v>1.69</v>
      </c>
      <c r="H413" s="89">
        <f t="shared" si="2"/>
        <v>0.3642241379</v>
      </c>
      <c r="I413" s="78" t="s">
        <v>621</v>
      </c>
      <c r="J413" s="78" t="s">
        <v>69</v>
      </c>
      <c r="K413" s="58">
        <f t="shared" si="3"/>
        <v>0</v>
      </c>
      <c r="L413" s="91" t="str">
        <f t="shared" si="4"/>
        <v>Fri</v>
      </c>
      <c r="M413" s="78" t="str">
        <f>IFERROR(VLOOKUP(A413, Entries!A:B,2,false),"")</f>
        <v>Skybound Games</v>
      </c>
      <c r="N413" s="23" t="str">
        <f>IFERROR(VLOOKUP(A413, Entries!A:K,11,false),"")</f>
        <v/>
      </c>
      <c r="O413" s="23" t="b">
        <f>IFERROR(VLOOKUP(A413, Entries!A:I,8,false),"")</f>
        <v>0</v>
      </c>
    </row>
    <row r="414">
      <c r="A414" s="78" t="s">
        <v>622</v>
      </c>
      <c r="B414" s="78" t="s">
        <v>19</v>
      </c>
      <c r="C414" s="85">
        <v>44099.0</v>
      </c>
      <c r="D414" s="85">
        <v>44114.0</v>
      </c>
      <c r="E414" s="86">
        <v>2.95</v>
      </c>
      <c r="F414" s="87">
        <v>3.72</v>
      </c>
      <c r="G414" s="88">
        <f t="shared" si="1"/>
        <v>0.77</v>
      </c>
      <c r="H414" s="89">
        <f t="shared" si="2"/>
        <v>0.2069892473</v>
      </c>
      <c r="I414" s="78" t="s">
        <v>623</v>
      </c>
      <c r="J414" s="78" t="s">
        <v>69</v>
      </c>
      <c r="K414" s="58">
        <f t="shared" si="3"/>
        <v>15</v>
      </c>
      <c r="L414" s="91" t="str">
        <f t="shared" si="4"/>
        <v>Sat</v>
      </c>
      <c r="M414" s="78" t="str">
        <f>IFERROR(VLOOKUP(A414, Entries!A:B,2,false),"")</f>
        <v>Blue Brain Games</v>
      </c>
      <c r="N414" s="23" t="str">
        <f>IFERROR(VLOOKUP(A414, Entries!A:K,11,false),"")</f>
        <v/>
      </c>
      <c r="O414" s="23" t="b">
        <f>IFERROR(VLOOKUP(A414, Entries!A:I,8,false),"")</f>
        <v>1</v>
      </c>
    </row>
    <row r="415">
      <c r="A415" s="78" t="s">
        <v>624</v>
      </c>
      <c r="B415" s="78" t="s">
        <v>19</v>
      </c>
      <c r="C415" s="85">
        <v>44099.0</v>
      </c>
      <c r="D415" s="85">
        <v>44099.0</v>
      </c>
      <c r="E415" s="86">
        <v>2.92</v>
      </c>
      <c r="F415" s="87">
        <v>5.27</v>
      </c>
      <c r="G415" s="88">
        <f t="shared" si="1"/>
        <v>2.35</v>
      </c>
      <c r="H415" s="89">
        <f t="shared" si="2"/>
        <v>0.4459203036</v>
      </c>
      <c r="I415" s="78" t="s">
        <v>625</v>
      </c>
      <c r="J415" s="78" t="s">
        <v>69</v>
      </c>
      <c r="K415" s="58">
        <f t="shared" si="3"/>
        <v>0</v>
      </c>
      <c r="L415" s="91" t="str">
        <f t="shared" si="4"/>
        <v>Fri</v>
      </c>
      <c r="M415" s="78" t="str">
        <f>IFERROR(VLOOKUP(A415, Entries!A:B,2,false),"")</f>
        <v>NEXT Studios</v>
      </c>
      <c r="N415" s="23" t="str">
        <f>IFERROR(VLOOKUP(A415, Entries!A:K,11,false),"")</f>
        <v/>
      </c>
      <c r="O415" s="23" t="b">
        <f>IFERROR(VLOOKUP(A415, Entries!A:I,8,false),"")</f>
        <v>1</v>
      </c>
    </row>
    <row r="416">
      <c r="A416" s="95" t="s">
        <v>618</v>
      </c>
      <c r="B416" s="78" t="s">
        <v>19</v>
      </c>
      <c r="C416" s="85">
        <v>44100.0</v>
      </c>
      <c r="D416" s="85">
        <v>44107.0</v>
      </c>
      <c r="E416" s="86">
        <v>2.98</v>
      </c>
      <c r="F416" s="87">
        <v>3.95</v>
      </c>
      <c r="G416" s="88">
        <f t="shared" si="1"/>
        <v>0.97</v>
      </c>
      <c r="H416" s="89">
        <f t="shared" si="2"/>
        <v>0.2455696203</v>
      </c>
      <c r="I416" s="78" t="s">
        <v>626</v>
      </c>
      <c r="J416" s="78" t="s">
        <v>69</v>
      </c>
      <c r="K416" s="58">
        <f t="shared" si="3"/>
        <v>7</v>
      </c>
      <c r="L416" s="91" t="str">
        <f t="shared" si="4"/>
        <v>Sat</v>
      </c>
      <c r="M416" s="78" t="str">
        <f>IFERROR(VLOOKUP(A416, Entries!A:B,2,false),"")</f>
        <v>M2H</v>
      </c>
      <c r="N416" s="23" t="str">
        <f>IFERROR(VLOOKUP(A416, Entries!A:K,11,false),"")</f>
        <v/>
      </c>
      <c r="O416" s="23" t="b">
        <f>IFERROR(VLOOKUP(A416, Entries!A:I,8,false),"")</f>
        <v>1</v>
      </c>
    </row>
    <row r="417">
      <c r="A417" s="95" t="s">
        <v>620</v>
      </c>
      <c r="B417" s="78" t="s">
        <v>19</v>
      </c>
      <c r="C417" s="85">
        <v>44100.0</v>
      </c>
      <c r="D417" s="85">
        <v>44100.0</v>
      </c>
      <c r="E417" s="86">
        <v>2.98</v>
      </c>
      <c r="F417" s="87">
        <v>4.6</v>
      </c>
      <c r="G417" s="88">
        <f t="shared" si="1"/>
        <v>1.62</v>
      </c>
      <c r="H417" s="89">
        <f t="shared" si="2"/>
        <v>0.352173913</v>
      </c>
      <c r="I417" s="78" t="s">
        <v>627</v>
      </c>
      <c r="J417" s="78" t="s">
        <v>69</v>
      </c>
      <c r="K417" s="58">
        <f t="shared" si="3"/>
        <v>0</v>
      </c>
      <c r="L417" s="91" t="str">
        <f t="shared" si="4"/>
        <v>Sat</v>
      </c>
      <c r="M417" s="78" t="str">
        <f>IFERROR(VLOOKUP(A417, Entries!A:B,2,false),"")</f>
        <v>Skybound Games</v>
      </c>
      <c r="N417" s="23" t="str">
        <f>IFERROR(VLOOKUP(A417, Entries!A:K,11,false),"")</f>
        <v/>
      </c>
      <c r="O417" s="23" t="b">
        <f>IFERROR(VLOOKUP(A417, Entries!A:I,8,false),"")</f>
        <v>0</v>
      </c>
    </row>
    <row r="418">
      <c r="A418" s="95" t="s">
        <v>624</v>
      </c>
      <c r="B418" s="78" t="s">
        <v>19</v>
      </c>
      <c r="C418" s="85">
        <v>44100.0</v>
      </c>
      <c r="D418" s="85">
        <v>44100.0</v>
      </c>
      <c r="E418" s="86">
        <v>3.0</v>
      </c>
      <c r="F418" s="87">
        <v>5.29</v>
      </c>
      <c r="G418" s="88">
        <f t="shared" si="1"/>
        <v>2.29</v>
      </c>
      <c r="H418" s="89">
        <f t="shared" si="2"/>
        <v>0.4328922495</v>
      </c>
      <c r="I418" s="78" t="s">
        <v>628</v>
      </c>
      <c r="J418" s="78" t="s">
        <v>69</v>
      </c>
      <c r="K418" s="58">
        <f t="shared" si="3"/>
        <v>0</v>
      </c>
      <c r="L418" s="91" t="str">
        <f t="shared" si="4"/>
        <v>Sat</v>
      </c>
      <c r="M418" s="78" t="str">
        <f>IFERROR(VLOOKUP(A418, Entries!A:B,2,false),"")</f>
        <v>NEXT Studios</v>
      </c>
      <c r="N418" s="23" t="str">
        <f>IFERROR(VLOOKUP(A418, Entries!A:K,11,false),"")</f>
        <v/>
      </c>
      <c r="O418" s="23" t="b">
        <f>IFERROR(VLOOKUP(A418, Entries!A:I,8,false),"")</f>
        <v>1</v>
      </c>
    </row>
    <row r="419">
      <c r="A419" s="78" t="s">
        <v>629</v>
      </c>
      <c r="B419" s="78" t="s">
        <v>22</v>
      </c>
      <c r="C419" s="85">
        <v>44100.0</v>
      </c>
      <c r="D419" s="85">
        <v>44100.0</v>
      </c>
      <c r="E419" s="86">
        <v>2.51</v>
      </c>
      <c r="F419" s="87">
        <v>5.23</v>
      </c>
      <c r="G419" s="88">
        <f t="shared" si="1"/>
        <v>2.72</v>
      </c>
      <c r="H419" s="89">
        <f t="shared" si="2"/>
        <v>0.5200764818</v>
      </c>
      <c r="I419" s="78" t="s">
        <v>630</v>
      </c>
      <c r="J419" s="78" t="s">
        <v>69</v>
      </c>
      <c r="K419" s="58">
        <f t="shared" si="3"/>
        <v>0</v>
      </c>
      <c r="L419" s="91" t="str">
        <f t="shared" si="4"/>
        <v>Sat</v>
      </c>
      <c r="M419" s="78" t="str">
        <f>IFERROR(VLOOKUP(A419, Entries!A:B,2,false),"")</f>
        <v>1C Entertainment</v>
      </c>
      <c r="N419" s="23" t="str">
        <f>IFERROR(VLOOKUP(A419, Entries!A:K,11,false),"")</f>
        <v/>
      </c>
      <c r="O419" s="23" t="b">
        <f>IFERROR(VLOOKUP(A419, Entries!A:I,8,false),"")</f>
        <v>0</v>
      </c>
    </row>
    <row r="420">
      <c r="A420" s="78" t="s">
        <v>629</v>
      </c>
      <c r="B420" s="78" t="s">
        <v>22</v>
      </c>
      <c r="C420" s="85">
        <v>44100.0</v>
      </c>
      <c r="D420" s="85">
        <v>44101.0</v>
      </c>
      <c r="E420" s="86">
        <v>2.51</v>
      </c>
      <c r="F420" s="87">
        <v>5.15</v>
      </c>
      <c r="G420" s="88">
        <f t="shared" si="1"/>
        <v>2.64</v>
      </c>
      <c r="H420" s="89">
        <f t="shared" si="2"/>
        <v>0.5126213592</v>
      </c>
      <c r="I420" s="78" t="s">
        <v>631</v>
      </c>
      <c r="J420" s="78" t="s">
        <v>69</v>
      </c>
      <c r="K420" s="58">
        <f t="shared" si="3"/>
        <v>1</v>
      </c>
      <c r="L420" s="91" t="str">
        <f t="shared" si="4"/>
        <v>Sun</v>
      </c>
      <c r="M420" s="78" t="str">
        <f>IFERROR(VLOOKUP(A420, Entries!A:B,2,false),"")</f>
        <v>1C Entertainment</v>
      </c>
      <c r="N420" s="23" t="str">
        <f>IFERROR(VLOOKUP(A420, Entries!A:K,11,false),"")</f>
        <v/>
      </c>
      <c r="O420" s="23" t="b">
        <f>IFERROR(VLOOKUP(A420, Entries!A:I,8,false),"")</f>
        <v>0</v>
      </c>
    </row>
    <row r="421">
      <c r="A421" s="78" t="s">
        <v>629</v>
      </c>
      <c r="B421" s="78" t="s">
        <v>22</v>
      </c>
      <c r="C421" s="85">
        <v>44100.0</v>
      </c>
      <c r="D421" s="85">
        <v>44103.0</v>
      </c>
      <c r="E421" s="86">
        <v>2.51</v>
      </c>
      <c r="F421" s="87">
        <v>4.49</v>
      </c>
      <c r="G421" s="88">
        <f t="shared" si="1"/>
        <v>1.98</v>
      </c>
      <c r="H421" s="89">
        <f t="shared" si="2"/>
        <v>0.4409799555</v>
      </c>
      <c r="I421" s="78" t="s">
        <v>632</v>
      </c>
      <c r="J421" s="78" t="s">
        <v>69</v>
      </c>
      <c r="K421" s="58">
        <f t="shared" si="3"/>
        <v>3</v>
      </c>
      <c r="L421" s="91" t="str">
        <f t="shared" si="4"/>
        <v>Tue</v>
      </c>
      <c r="M421" s="78" t="str">
        <f>IFERROR(VLOOKUP(A421, Entries!A:B,2,false),"")</f>
        <v>1C Entertainment</v>
      </c>
      <c r="N421" s="23" t="str">
        <f>IFERROR(VLOOKUP(A421, Entries!A:K,11,false),"")</f>
        <v/>
      </c>
      <c r="O421" s="23" t="b">
        <f>IFERROR(VLOOKUP(A421, Entries!A:I,8,false),"")</f>
        <v>0</v>
      </c>
    </row>
    <row r="422">
      <c r="A422" s="78" t="s">
        <v>629</v>
      </c>
      <c r="B422" s="78" t="s">
        <v>22</v>
      </c>
      <c r="C422" s="85">
        <v>44100.0</v>
      </c>
      <c r="D422" s="85">
        <v>44110.0</v>
      </c>
      <c r="E422" s="86">
        <v>2.51</v>
      </c>
      <c r="F422" s="87">
        <v>4.44</v>
      </c>
      <c r="G422" s="88">
        <f t="shared" si="1"/>
        <v>1.93</v>
      </c>
      <c r="H422" s="89">
        <f t="shared" si="2"/>
        <v>0.4346846847</v>
      </c>
      <c r="I422" s="78" t="s">
        <v>633</v>
      </c>
      <c r="J422" s="78" t="s">
        <v>69</v>
      </c>
      <c r="K422" s="58">
        <f t="shared" si="3"/>
        <v>10</v>
      </c>
      <c r="L422" s="91" t="str">
        <f t="shared" si="4"/>
        <v>Tue</v>
      </c>
      <c r="M422" s="78" t="str">
        <f>IFERROR(VLOOKUP(A422, Entries!A:B,2,false),"")</f>
        <v>1C Entertainment</v>
      </c>
      <c r="N422" s="23" t="str">
        <f>IFERROR(VLOOKUP(A422, Entries!A:K,11,false),"")</f>
        <v/>
      </c>
      <c r="O422" s="23" t="b">
        <f>IFERROR(VLOOKUP(A422, Entries!A:I,8,false),"")</f>
        <v>0</v>
      </c>
    </row>
    <row r="423">
      <c r="A423" s="95" t="s">
        <v>618</v>
      </c>
      <c r="B423" s="78" t="s">
        <v>19</v>
      </c>
      <c r="C423" s="85">
        <v>44101.0</v>
      </c>
      <c r="D423" s="85">
        <v>44108.0</v>
      </c>
      <c r="E423" s="86">
        <v>2.98</v>
      </c>
      <c r="F423" s="87">
        <v>3.91</v>
      </c>
      <c r="G423" s="88">
        <f t="shared" si="1"/>
        <v>0.93</v>
      </c>
      <c r="H423" s="89">
        <f t="shared" si="2"/>
        <v>0.2378516624</v>
      </c>
      <c r="I423" s="78" t="s">
        <v>634</v>
      </c>
      <c r="J423" s="78" t="s">
        <v>69</v>
      </c>
      <c r="K423" s="58">
        <f t="shared" si="3"/>
        <v>7</v>
      </c>
      <c r="L423" s="91" t="str">
        <f t="shared" si="4"/>
        <v>Sun</v>
      </c>
      <c r="M423" s="78" t="str">
        <f>IFERROR(VLOOKUP(A423, Entries!A:B,2,false),"")</f>
        <v>M2H</v>
      </c>
      <c r="N423" s="23" t="str">
        <f>IFERROR(VLOOKUP(A423, Entries!A:K,11,false),"")</f>
        <v/>
      </c>
      <c r="O423" s="23" t="b">
        <f>IFERROR(VLOOKUP(A423, Entries!A:I,8,false),"")</f>
        <v>1</v>
      </c>
    </row>
    <row r="424">
      <c r="A424" s="95" t="s">
        <v>620</v>
      </c>
      <c r="B424" s="78" t="s">
        <v>19</v>
      </c>
      <c r="C424" s="85">
        <v>44101.0</v>
      </c>
      <c r="D424" s="85">
        <v>44103.0</v>
      </c>
      <c r="E424" s="86">
        <v>2.98</v>
      </c>
      <c r="F424" s="87">
        <v>4.35</v>
      </c>
      <c r="G424" s="88">
        <f t="shared" si="1"/>
        <v>1.37</v>
      </c>
      <c r="H424" s="89">
        <f t="shared" si="2"/>
        <v>0.3149425287</v>
      </c>
      <c r="I424" s="78" t="s">
        <v>635</v>
      </c>
      <c r="J424" s="78" t="s">
        <v>69</v>
      </c>
      <c r="K424" s="58">
        <f t="shared" si="3"/>
        <v>2</v>
      </c>
      <c r="L424" s="91" t="str">
        <f t="shared" si="4"/>
        <v>Tue</v>
      </c>
      <c r="M424" s="78" t="str">
        <f>IFERROR(VLOOKUP(A424, Entries!A:B,2,false),"")</f>
        <v>Skybound Games</v>
      </c>
      <c r="N424" s="23" t="str">
        <f>IFERROR(VLOOKUP(A424, Entries!A:K,11,false),"")</f>
        <v/>
      </c>
      <c r="O424" s="23" t="b">
        <f>IFERROR(VLOOKUP(A424, Entries!A:I,8,false),"")</f>
        <v>0</v>
      </c>
    </row>
    <row r="425">
      <c r="A425" s="95" t="s">
        <v>624</v>
      </c>
      <c r="B425" s="78" t="s">
        <v>19</v>
      </c>
      <c r="C425" s="85">
        <v>44101.0</v>
      </c>
      <c r="D425" s="85">
        <v>44104.0</v>
      </c>
      <c r="E425" s="86">
        <v>3.0</v>
      </c>
      <c r="F425" s="87">
        <v>6.16</v>
      </c>
      <c r="G425" s="88">
        <f t="shared" si="1"/>
        <v>3.16</v>
      </c>
      <c r="H425" s="89">
        <f t="shared" si="2"/>
        <v>0.512987013</v>
      </c>
      <c r="I425" s="78" t="s">
        <v>636</v>
      </c>
      <c r="J425" s="78" t="s">
        <v>69</v>
      </c>
      <c r="K425" s="58">
        <f t="shared" si="3"/>
        <v>3</v>
      </c>
      <c r="L425" s="91" t="str">
        <f t="shared" si="4"/>
        <v>Wed</v>
      </c>
      <c r="M425" s="78" t="str">
        <f>IFERROR(VLOOKUP(A425, Entries!A:B,2,false),"")</f>
        <v>NEXT Studios</v>
      </c>
      <c r="N425" s="23" t="str">
        <f>IFERROR(VLOOKUP(A425, Entries!A:K,11,false),"")</f>
        <v/>
      </c>
      <c r="O425" s="23" t="b">
        <f>IFERROR(VLOOKUP(A425, Entries!A:I,8,false),"")</f>
        <v>1</v>
      </c>
    </row>
    <row r="426">
      <c r="A426" s="78" t="s">
        <v>629</v>
      </c>
      <c r="B426" s="78" t="s">
        <v>22</v>
      </c>
      <c r="C426" s="85">
        <v>44101.0</v>
      </c>
      <c r="D426" s="85">
        <v>44117.0</v>
      </c>
      <c r="E426" s="86">
        <v>2.51</v>
      </c>
      <c r="F426" s="87">
        <v>4.35</v>
      </c>
      <c r="G426" s="88">
        <f t="shared" si="1"/>
        <v>1.84</v>
      </c>
      <c r="H426" s="89">
        <f t="shared" si="2"/>
        <v>0.4229885057</v>
      </c>
      <c r="I426" s="78" t="s">
        <v>637</v>
      </c>
      <c r="J426" s="78" t="s">
        <v>69</v>
      </c>
      <c r="K426" s="58">
        <f t="shared" si="3"/>
        <v>16</v>
      </c>
      <c r="L426" s="91" t="str">
        <f t="shared" si="4"/>
        <v>Tue</v>
      </c>
      <c r="M426" s="78" t="str">
        <f>IFERROR(VLOOKUP(A426, Entries!A:B,2,false),"")</f>
        <v>1C Entertainment</v>
      </c>
      <c r="N426" s="23" t="str">
        <f>IFERROR(VLOOKUP(A426, Entries!A:K,11,false),"")</f>
        <v/>
      </c>
      <c r="O426" s="23" t="b">
        <f>IFERROR(VLOOKUP(A426, Entries!A:I,8,false),"")</f>
        <v>0</v>
      </c>
    </row>
    <row r="427">
      <c r="A427" s="78" t="s">
        <v>629</v>
      </c>
      <c r="B427" s="78" t="s">
        <v>22</v>
      </c>
      <c r="C427" s="85">
        <v>44101.0</v>
      </c>
      <c r="D427" s="85">
        <v>44267.0</v>
      </c>
      <c r="E427" s="86">
        <v>2.51</v>
      </c>
      <c r="F427" s="87">
        <v>3.57</v>
      </c>
      <c r="G427" s="88">
        <f t="shared" si="1"/>
        <v>1.06</v>
      </c>
      <c r="H427" s="89">
        <f t="shared" si="2"/>
        <v>0.2969187675</v>
      </c>
      <c r="I427" s="78" t="s">
        <v>638</v>
      </c>
      <c r="J427" s="78" t="s">
        <v>69</v>
      </c>
      <c r="K427" s="58">
        <f t="shared" si="3"/>
        <v>166</v>
      </c>
      <c r="L427" s="91" t="str">
        <f t="shared" si="4"/>
        <v>Fri</v>
      </c>
      <c r="M427" s="78" t="str">
        <f>IFERROR(VLOOKUP(A427, Entries!A:B,2,false),"")</f>
        <v>1C Entertainment</v>
      </c>
      <c r="N427" s="23" t="str">
        <f>IFERROR(VLOOKUP(A427, Entries!A:K,11,false),"")</f>
        <v/>
      </c>
      <c r="O427" s="23" t="b">
        <f>IFERROR(VLOOKUP(A427, Entries!A:I,8,false),"")</f>
        <v>0</v>
      </c>
    </row>
    <row r="428">
      <c r="A428" s="78" t="s">
        <v>629</v>
      </c>
      <c r="B428" s="78" t="s">
        <v>22</v>
      </c>
      <c r="C428" s="85">
        <v>44101.0</v>
      </c>
      <c r="D428" s="85">
        <v>44268.0</v>
      </c>
      <c r="E428" s="86">
        <v>2.52</v>
      </c>
      <c r="F428" s="87">
        <v>3.59</v>
      </c>
      <c r="G428" s="88">
        <f t="shared" si="1"/>
        <v>1.07</v>
      </c>
      <c r="H428" s="89">
        <f t="shared" si="2"/>
        <v>0.2980501393</v>
      </c>
      <c r="I428" s="78" t="s">
        <v>639</v>
      </c>
      <c r="J428" s="78" t="s">
        <v>69</v>
      </c>
      <c r="K428" s="58">
        <f t="shared" si="3"/>
        <v>167</v>
      </c>
      <c r="L428" s="91" t="str">
        <f t="shared" si="4"/>
        <v>Sat</v>
      </c>
      <c r="M428" s="78" t="str">
        <f>IFERROR(VLOOKUP(A428, Entries!A:B,2,false),"")</f>
        <v>1C Entertainment</v>
      </c>
      <c r="N428" s="23" t="str">
        <f>IFERROR(VLOOKUP(A428, Entries!A:K,11,false),"")</f>
        <v/>
      </c>
      <c r="O428" s="23" t="b">
        <f>IFERROR(VLOOKUP(A428, Entries!A:I,8,false),"")</f>
        <v>0</v>
      </c>
    </row>
    <row r="429">
      <c r="A429" s="95" t="s">
        <v>616</v>
      </c>
      <c r="B429" s="78" t="s">
        <v>19</v>
      </c>
      <c r="C429" s="85">
        <v>44102.0</v>
      </c>
      <c r="D429" s="85">
        <v>44111.0</v>
      </c>
      <c r="E429" s="86">
        <v>2.98</v>
      </c>
      <c r="F429" s="87">
        <v>3.63</v>
      </c>
      <c r="G429" s="88">
        <f t="shared" si="1"/>
        <v>0.65</v>
      </c>
      <c r="H429" s="89">
        <f t="shared" si="2"/>
        <v>0.1790633609</v>
      </c>
      <c r="I429" s="78" t="s">
        <v>640</v>
      </c>
      <c r="J429" s="78" t="s">
        <v>69</v>
      </c>
      <c r="K429" s="58">
        <f t="shared" si="3"/>
        <v>9</v>
      </c>
      <c r="L429" s="91" t="str">
        <f t="shared" si="4"/>
        <v>Wed</v>
      </c>
      <c r="M429" s="78" t="str">
        <f>IFERROR(VLOOKUP(A429, Entries!A:B,2,false),"")</f>
        <v>Raiser Games</v>
      </c>
      <c r="N429" s="23" t="str">
        <f>IFERROR(VLOOKUP(A429, Entries!A:K,11,false),"")</f>
        <v/>
      </c>
      <c r="O429" s="23" t="b">
        <f>IFERROR(VLOOKUP(A429, Entries!A:I,8,false),"")</f>
        <v>1</v>
      </c>
    </row>
    <row r="430">
      <c r="A430" s="95" t="s">
        <v>620</v>
      </c>
      <c r="B430" s="78" t="s">
        <v>19</v>
      </c>
      <c r="C430" s="85">
        <v>44102.0</v>
      </c>
      <c r="D430" s="85">
        <v>44104.0</v>
      </c>
      <c r="E430" s="86">
        <v>2.98</v>
      </c>
      <c r="F430" s="87">
        <v>4.27</v>
      </c>
      <c r="G430" s="88">
        <f t="shared" si="1"/>
        <v>1.29</v>
      </c>
      <c r="H430" s="89">
        <f t="shared" si="2"/>
        <v>0.3021077283</v>
      </c>
      <c r="I430" s="78" t="s">
        <v>641</v>
      </c>
      <c r="J430" s="78" t="s">
        <v>69</v>
      </c>
      <c r="K430" s="58">
        <f t="shared" si="3"/>
        <v>2</v>
      </c>
      <c r="L430" s="91" t="str">
        <f t="shared" si="4"/>
        <v>Wed</v>
      </c>
      <c r="M430" s="78" t="str">
        <f>IFERROR(VLOOKUP(A430, Entries!A:B,2,false),"")</f>
        <v>Skybound Games</v>
      </c>
      <c r="N430" s="23" t="str">
        <f>IFERROR(VLOOKUP(A430, Entries!A:K,11,false),"")</f>
        <v/>
      </c>
      <c r="O430" s="23" t="b">
        <f>IFERROR(VLOOKUP(A430, Entries!A:I,8,false),"")</f>
        <v>0</v>
      </c>
    </row>
    <row r="431">
      <c r="A431" s="95" t="s">
        <v>624</v>
      </c>
      <c r="B431" s="78" t="s">
        <v>19</v>
      </c>
      <c r="C431" s="85">
        <v>44102.0</v>
      </c>
      <c r="D431" s="85">
        <v>44104.0</v>
      </c>
      <c r="E431" s="86">
        <v>3.0</v>
      </c>
      <c r="F431" s="87">
        <v>6.16</v>
      </c>
      <c r="G431" s="88">
        <f t="shared" si="1"/>
        <v>3.16</v>
      </c>
      <c r="H431" s="89">
        <f t="shared" si="2"/>
        <v>0.512987013</v>
      </c>
      <c r="I431" s="78" t="s">
        <v>642</v>
      </c>
      <c r="J431" s="78" t="s">
        <v>69</v>
      </c>
      <c r="K431" s="58">
        <f t="shared" si="3"/>
        <v>2</v>
      </c>
      <c r="L431" s="91" t="str">
        <f t="shared" si="4"/>
        <v>Wed</v>
      </c>
      <c r="M431" s="78" t="str">
        <f>IFERROR(VLOOKUP(A431, Entries!A:B,2,false),"")</f>
        <v>NEXT Studios</v>
      </c>
      <c r="N431" s="23" t="str">
        <f>IFERROR(VLOOKUP(A431, Entries!A:K,11,false),"")</f>
        <v/>
      </c>
      <c r="O431" s="23" t="b">
        <f>IFERROR(VLOOKUP(A431, Entries!A:I,8,false),"")</f>
        <v>1</v>
      </c>
    </row>
    <row r="432">
      <c r="A432" s="78" t="s">
        <v>610</v>
      </c>
      <c r="B432" s="78" t="s">
        <v>22</v>
      </c>
      <c r="C432" s="85">
        <v>44102.0</v>
      </c>
      <c r="D432" s="85">
        <v>44113.0</v>
      </c>
      <c r="E432" s="86">
        <v>3.81</v>
      </c>
      <c r="F432" s="87">
        <v>3.99</v>
      </c>
      <c r="G432" s="88">
        <f t="shared" si="1"/>
        <v>0.18</v>
      </c>
      <c r="H432" s="89">
        <f t="shared" si="2"/>
        <v>0.04511278195</v>
      </c>
      <c r="I432" s="78" t="s">
        <v>643</v>
      </c>
      <c r="J432" s="78" t="s">
        <v>69</v>
      </c>
      <c r="K432" s="58">
        <f t="shared" si="3"/>
        <v>11</v>
      </c>
      <c r="L432" s="91" t="str">
        <f t="shared" si="4"/>
        <v>Fri</v>
      </c>
      <c r="M432" s="78" t="str">
        <f>IFERROR(VLOOKUP(A432, Entries!A:B,2,false),"")</f>
        <v>Square Enix</v>
      </c>
      <c r="N432" s="23" t="str">
        <f>IFERROR(VLOOKUP(A432, Entries!A:K,11,false),"")</f>
        <v/>
      </c>
      <c r="O432" s="23" t="b">
        <f>IFERROR(VLOOKUP(A432, Entries!A:I,8,false),"")</f>
        <v>0</v>
      </c>
    </row>
    <row r="433">
      <c r="A433" s="78" t="s">
        <v>610</v>
      </c>
      <c r="B433" s="78" t="s">
        <v>22</v>
      </c>
      <c r="C433" s="85">
        <v>44102.0</v>
      </c>
      <c r="D433" s="85">
        <v>44119.0</v>
      </c>
      <c r="E433" s="86">
        <v>3.81</v>
      </c>
      <c r="F433" s="87">
        <v>3.99</v>
      </c>
      <c r="G433" s="88">
        <f t="shared" si="1"/>
        <v>0.18</v>
      </c>
      <c r="H433" s="89">
        <f t="shared" si="2"/>
        <v>0.04511278195</v>
      </c>
      <c r="I433" s="78" t="s">
        <v>644</v>
      </c>
      <c r="J433" s="78" t="s">
        <v>69</v>
      </c>
      <c r="K433" s="58">
        <f t="shared" si="3"/>
        <v>17</v>
      </c>
      <c r="L433" s="91" t="str">
        <f t="shared" si="4"/>
        <v>Thu</v>
      </c>
      <c r="M433" s="78" t="str">
        <f>IFERROR(VLOOKUP(A433, Entries!A:B,2,false),"")</f>
        <v>Square Enix</v>
      </c>
      <c r="N433" s="23" t="str">
        <f>IFERROR(VLOOKUP(A433, Entries!A:K,11,false),"")</f>
        <v/>
      </c>
      <c r="O433" s="23" t="b">
        <f>IFERROR(VLOOKUP(A433, Entries!A:I,8,false),"")</f>
        <v>0</v>
      </c>
    </row>
    <row r="434">
      <c r="A434" s="78" t="s">
        <v>610</v>
      </c>
      <c r="B434" s="78" t="s">
        <v>22</v>
      </c>
      <c r="C434" s="85">
        <v>44102.0</v>
      </c>
      <c r="D434" s="85">
        <v>44119.0</v>
      </c>
      <c r="E434" s="86">
        <v>3.82</v>
      </c>
      <c r="F434" s="87">
        <v>3.99</v>
      </c>
      <c r="G434" s="88">
        <f t="shared" si="1"/>
        <v>0.17</v>
      </c>
      <c r="H434" s="89">
        <f t="shared" si="2"/>
        <v>0.04260651629</v>
      </c>
      <c r="I434" s="78" t="s">
        <v>645</v>
      </c>
      <c r="J434" s="78" t="s">
        <v>69</v>
      </c>
      <c r="K434" s="58">
        <f t="shared" si="3"/>
        <v>17</v>
      </c>
      <c r="L434" s="91" t="str">
        <f t="shared" si="4"/>
        <v>Thu</v>
      </c>
      <c r="M434" s="78" t="str">
        <f>IFERROR(VLOOKUP(A434, Entries!A:B,2,false),"")</f>
        <v>Square Enix</v>
      </c>
      <c r="N434" s="23" t="str">
        <f>IFERROR(VLOOKUP(A434, Entries!A:K,11,false),"")</f>
        <v/>
      </c>
      <c r="O434" s="23" t="b">
        <f>IFERROR(VLOOKUP(A434, Entries!A:I,8,false),"")</f>
        <v>0</v>
      </c>
    </row>
    <row r="435">
      <c r="A435" s="78" t="s">
        <v>629</v>
      </c>
      <c r="B435" s="78" t="s">
        <v>22</v>
      </c>
      <c r="C435" s="85">
        <v>44104.0</v>
      </c>
      <c r="D435" s="85">
        <v>44318.0</v>
      </c>
      <c r="E435" s="86">
        <v>2.5</v>
      </c>
      <c r="F435" s="87">
        <v>4.11</v>
      </c>
      <c r="G435" s="88">
        <f t="shared" si="1"/>
        <v>1.61</v>
      </c>
      <c r="H435" s="89">
        <f t="shared" si="2"/>
        <v>0.3917274939</v>
      </c>
      <c r="I435" s="78" t="s">
        <v>646</v>
      </c>
      <c r="J435" s="78" t="s">
        <v>69</v>
      </c>
      <c r="K435" s="58">
        <f t="shared" si="3"/>
        <v>214</v>
      </c>
      <c r="L435" s="91" t="str">
        <f t="shared" si="4"/>
        <v>Sun</v>
      </c>
      <c r="M435" s="78" t="str">
        <f>IFERROR(VLOOKUP(A435, Entries!A:B,2,false),"")</f>
        <v>1C Entertainment</v>
      </c>
      <c r="N435" s="23" t="str">
        <f>IFERROR(VLOOKUP(A435, Entries!A:K,11,false),"")</f>
        <v/>
      </c>
      <c r="O435" s="23" t="b">
        <f>IFERROR(VLOOKUP(A435, Entries!A:I,8,false),"")</f>
        <v>0</v>
      </c>
    </row>
    <row r="436">
      <c r="A436" s="78" t="s">
        <v>629</v>
      </c>
      <c r="B436" s="78" t="s">
        <v>22</v>
      </c>
      <c r="C436" s="85">
        <v>44104.0</v>
      </c>
      <c r="D436" s="85">
        <v>44361.0</v>
      </c>
      <c r="E436" s="86">
        <v>2.5</v>
      </c>
      <c r="F436" s="87">
        <v>4.66</v>
      </c>
      <c r="G436" s="88">
        <f t="shared" si="1"/>
        <v>2.16</v>
      </c>
      <c r="H436" s="89">
        <f t="shared" si="2"/>
        <v>0.4635193133</v>
      </c>
      <c r="I436" s="78" t="s">
        <v>647</v>
      </c>
      <c r="J436" s="78" t="s">
        <v>69</v>
      </c>
      <c r="K436" s="58">
        <f t="shared" si="3"/>
        <v>257</v>
      </c>
      <c r="L436" s="91" t="str">
        <f t="shared" si="4"/>
        <v>Mon</v>
      </c>
      <c r="M436" s="78" t="str">
        <f>IFERROR(VLOOKUP(A436, Entries!A:B,2,false),"")</f>
        <v>1C Entertainment</v>
      </c>
      <c r="N436" s="23" t="str">
        <f>IFERROR(VLOOKUP(A436, Entries!A:K,11,false),"")</f>
        <v/>
      </c>
      <c r="O436" s="23" t="b">
        <f>IFERROR(VLOOKUP(A436, Entries!A:I,8,false),"")</f>
        <v>0</v>
      </c>
    </row>
    <row r="437">
      <c r="A437" s="78" t="s">
        <v>610</v>
      </c>
      <c r="B437" s="78" t="s">
        <v>22</v>
      </c>
      <c r="C437" s="85">
        <v>44104.0</v>
      </c>
      <c r="D437" s="85">
        <v>44140.0</v>
      </c>
      <c r="E437" s="86">
        <v>3.8</v>
      </c>
      <c r="F437" s="87">
        <v>3.99</v>
      </c>
      <c r="G437" s="88">
        <f t="shared" si="1"/>
        <v>0.19</v>
      </c>
      <c r="H437" s="89">
        <f t="shared" si="2"/>
        <v>0.04761904762</v>
      </c>
      <c r="I437" s="78" t="s">
        <v>648</v>
      </c>
      <c r="J437" s="78" t="s">
        <v>69</v>
      </c>
      <c r="K437" s="58">
        <f t="shared" si="3"/>
        <v>36</v>
      </c>
      <c r="L437" s="91" t="str">
        <f t="shared" si="4"/>
        <v>Thu</v>
      </c>
      <c r="M437" s="78" t="str">
        <f>IFERROR(VLOOKUP(A437, Entries!A:B,2,false),"")</f>
        <v>Square Enix</v>
      </c>
      <c r="N437" s="23" t="str">
        <f>IFERROR(VLOOKUP(A437, Entries!A:K,11,false),"")</f>
        <v/>
      </c>
      <c r="O437" s="23" t="b">
        <f>IFERROR(VLOOKUP(A437, Entries!A:I,8,false),"")</f>
        <v>0</v>
      </c>
    </row>
    <row r="438">
      <c r="A438" s="78" t="s">
        <v>610</v>
      </c>
      <c r="B438" s="78" t="s">
        <v>22</v>
      </c>
      <c r="C438" s="85">
        <v>44104.0</v>
      </c>
      <c r="D438" s="85">
        <v>44142.0</v>
      </c>
      <c r="E438" s="86">
        <v>3.79</v>
      </c>
      <c r="F438" s="87">
        <v>3.99</v>
      </c>
      <c r="G438" s="88">
        <f t="shared" si="1"/>
        <v>0.2</v>
      </c>
      <c r="H438" s="89">
        <f t="shared" si="2"/>
        <v>0.05012531328</v>
      </c>
      <c r="I438" s="78" t="s">
        <v>649</v>
      </c>
      <c r="J438" s="78" t="s">
        <v>69</v>
      </c>
      <c r="K438" s="58">
        <f t="shared" si="3"/>
        <v>38</v>
      </c>
      <c r="L438" s="91" t="str">
        <f t="shared" si="4"/>
        <v>Sat</v>
      </c>
      <c r="M438" s="78" t="str">
        <f>IFERROR(VLOOKUP(A438, Entries!A:B,2,false),"")</f>
        <v>Square Enix</v>
      </c>
      <c r="N438" s="23" t="str">
        <f>IFERROR(VLOOKUP(A438, Entries!A:K,11,false),"")</f>
        <v/>
      </c>
      <c r="O438" s="23" t="b">
        <f>IFERROR(VLOOKUP(A438, Entries!A:I,8,false),"")</f>
        <v>0</v>
      </c>
    </row>
    <row r="439">
      <c r="A439" s="95" t="s">
        <v>616</v>
      </c>
      <c r="B439" s="78" t="s">
        <v>19</v>
      </c>
      <c r="C439" s="85">
        <v>44104.0</v>
      </c>
      <c r="D439" s="85">
        <v>44111.0</v>
      </c>
      <c r="E439" s="86">
        <v>2.97</v>
      </c>
      <c r="F439" s="87">
        <v>3.63</v>
      </c>
      <c r="G439" s="88">
        <f t="shared" si="1"/>
        <v>0.66</v>
      </c>
      <c r="H439" s="89">
        <f t="shared" si="2"/>
        <v>0.1818181818</v>
      </c>
      <c r="I439" s="78" t="s">
        <v>650</v>
      </c>
      <c r="J439" s="78" t="s">
        <v>69</v>
      </c>
      <c r="K439" s="58">
        <f t="shared" si="3"/>
        <v>7</v>
      </c>
      <c r="L439" s="91" t="str">
        <f t="shared" si="4"/>
        <v>Wed</v>
      </c>
      <c r="M439" s="78" t="str">
        <f>IFERROR(VLOOKUP(A439, Entries!A:B,2,false),"")</f>
        <v>Raiser Games</v>
      </c>
      <c r="N439" s="23" t="str">
        <f>IFERROR(VLOOKUP(A439, Entries!A:K,11,false),"")</f>
        <v/>
      </c>
      <c r="O439" s="23" t="b">
        <f>IFERROR(VLOOKUP(A439, Entries!A:I,8,false),"")</f>
        <v>1</v>
      </c>
    </row>
    <row r="440">
      <c r="A440" s="95" t="s">
        <v>620</v>
      </c>
      <c r="B440" s="78" t="s">
        <v>19</v>
      </c>
      <c r="C440" s="85">
        <v>44104.0</v>
      </c>
      <c r="D440" s="85">
        <v>44105.0</v>
      </c>
      <c r="E440" s="86">
        <v>2.97</v>
      </c>
      <c r="F440" s="87">
        <v>4.22</v>
      </c>
      <c r="G440" s="88">
        <f t="shared" si="1"/>
        <v>1.25</v>
      </c>
      <c r="H440" s="89">
        <f t="shared" si="2"/>
        <v>0.2962085308</v>
      </c>
      <c r="I440" s="78" t="s">
        <v>651</v>
      </c>
      <c r="J440" s="78" t="s">
        <v>69</v>
      </c>
      <c r="K440" s="58">
        <f t="shared" si="3"/>
        <v>1</v>
      </c>
      <c r="L440" s="91" t="str">
        <f t="shared" si="4"/>
        <v>Thu</v>
      </c>
      <c r="M440" s="78" t="str">
        <f>IFERROR(VLOOKUP(A440, Entries!A:B,2,false),"")</f>
        <v>Skybound Games</v>
      </c>
      <c r="N440" s="23" t="str">
        <f>IFERROR(VLOOKUP(A440, Entries!A:K,11,false),"")</f>
        <v/>
      </c>
      <c r="O440" s="23" t="b">
        <f>IFERROR(VLOOKUP(A440, Entries!A:I,8,false),"")</f>
        <v>0</v>
      </c>
    </row>
    <row r="441">
      <c r="A441" s="95" t="s">
        <v>624</v>
      </c>
      <c r="B441" s="78" t="s">
        <v>19</v>
      </c>
      <c r="C441" s="85">
        <v>44104.0</v>
      </c>
      <c r="D441" s="85">
        <v>44105.0</v>
      </c>
      <c r="E441" s="86">
        <v>2.98</v>
      </c>
      <c r="F441" s="87">
        <v>6.16</v>
      </c>
      <c r="G441" s="88">
        <f t="shared" si="1"/>
        <v>3.18</v>
      </c>
      <c r="H441" s="89">
        <f t="shared" si="2"/>
        <v>0.5162337662</v>
      </c>
      <c r="I441" s="78" t="s">
        <v>652</v>
      </c>
      <c r="J441" s="78" t="s">
        <v>69</v>
      </c>
      <c r="K441" s="58">
        <f t="shared" si="3"/>
        <v>1</v>
      </c>
      <c r="L441" s="91" t="str">
        <f t="shared" si="4"/>
        <v>Thu</v>
      </c>
      <c r="M441" s="78" t="str">
        <f>IFERROR(VLOOKUP(A441, Entries!A:B,2,false),"")</f>
        <v>NEXT Studios</v>
      </c>
      <c r="N441" s="23" t="str">
        <f>IFERROR(VLOOKUP(A441, Entries!A:K,11,false),"")</f>
        <v/>
      </c>
      <c r="O441" s="23" t="b">
        <f>IFERROR(VLOOKUP(A441, Entries!A:I,8,false),"")</f>
        <v>1</v>
      </c>
    </row>
    <row r="442">
      <c r="A442" s="95" t="s">
        <v>620</v>
      </c>
      <c r="B442" s="78" t="s">
        <v>19</v>
      </c>
      <c r="C442" s="85">
        <v>44105.0</v>
      </c>
      <c r="D442" s="85">
        <v>44105.0</v>
      </c>
      <c r="E442" s="86">
        <v>2.97</v>
      </c>
      <c r="F442" s="87">
        <v>4.22</v>
      </c>
      <c r="G442" s="88">
        <f t="shared" si="1"/>
        <v>1.25</v>
      </c>
      <c r="H442" s="89">
        <f t="shared" si="2"/>
        <v>0.2962085308</v>
      </c>
      <c r="I442" s="78" t="s">
        <v>653</v>
      </c>
      <c r="J442" s="78" t="s">
        <v>69</v>
      </c>
      <c r="K442" s="58">
        <f t="shared" si="3"/>
        <v>0</v>
      </c>
      <c r="L442" s="91" t="str">
        <f t="shared" si="4"/>
        <v>Thu</v>
      </c>
      <c r="M442" s="78" t="str">
        <f>IFERROR(VLOOKUP(A442, Entries!A:B,2,false),"")</f>
        <v>Skybound Games</v>
      </c>
      <c r="N442" s="23" t="str">
        <f>IFERROR(VLOOKUP(A442, Entries!A:K,11,false),"")</f>
        <v/>
      </c>
      <c r="O442" s="23" t="b">
        <f>IFERROR(VLOOKUP(A442, Entries!A:I,8,false),"")</f>
        <v>0</v>
      </c>
    </row>
    <row r="443">
      <c r="A443" s="95" t="s">
        <v>624</v>
      </c>
      <c r="B443" s="78" t="s">
        <v>19</v>
      </c>
      <c r="C443" s="85">
        <v>44105.0</v>
      </c>
      <c r="D443" s="85">
        <v>44108.0</v>
      </c>
      <c r="E443" s="86">
        <v>2.97</v>
      </c>
      <c r="F443" s="87">
        <v>5.9</v>
      </c>
      <c r="G443" s="88">
        <f t="shared" si="1"/>
        <v>2.93</v>
      </c>
      <c r="H443" s="89">
        <f t="shared" si="2"/>
        <v>0.4966101695</v>
      </c>
      <c r="I443" s="78" t="s">
        <v>654</v>
      </c>
      <c r="J443" s="78" t="s">
        <v>69</v>
      </c>
      <c r="K443" s="58">
        <f t="shared" si="3"/>
        <v>3</v>
      </c>
      <c r="L443" s="91" t="str">
        <f t="shared" si="4"/>
        <v>Sun</v>
      </c>
      <c r="M443" s="78" t="str">
        <f>IFERROR(VLOOKUP(A443, Entries!A:B,2,false),"")</f>
        <v>NEXT Studios</v>
      </c>
      <c r="N443" s="23" t="str">
        <f>IFERROR(VLOOKUP(A443, Entries!A:K,11,false),"")</f>
        <v/>
      </c>
      <c r="O443" s="23" t="b">
        <f>IFERROR(VLOOKUP(A443, Entries!A:I,8,false),"")</f>
        <v>1</v>
      </c>
    </row>
    <row r="444">
      <c r="A444" s="78" t="s">
        <v>655</v>
      </c>
      <c r="B444" s="78" t="s">
        <v>19</v>
      </c>
      <c r="C444" s="85">
        <v>44105.0</v>
      </c>
      <c r="D444" s="85">
        <v>44109.0</v>
      </c>
      <c r="E444" s="86">
        <v>2.97</v>
      </c>
      <c r="F444" s="87">
        <v>4.8</v>
      </c>
      <c r="G444" s="88">
        <f t="shared" si="1"/>
        <v>1.83</v>
      </c>
      <c r="H444" s="89">
        <f t="shared" si="2"/>
        <v>0.38125</v>
      </c>
      <c r="I444" s="78" t="s">
        <v>656</v>
      </c>
      <c r="J444" s="78" t="s">
        <v>69</v>
      </c>
      <c r="K444" s="58">
        <f t="shared" si="3"/>
        <v>4</v>
      </c>
      <c r="L444" s="91" t="str">
        <f t="shared" si="4"/>
        <v>Mon</v>
      </c>
      <c r="M444" s="78" t="str">
        <f>IFERROR(VLOOKUP(A444, Entries!A:B,2,false),"")</f>
        <v>YGGDRAZIL GROUP</v>
      </c>
      <c r="N444" s="23" t="str">
        <f>IFERROR(VLOOKUP(A444, Entries!A:K,11,false),"")</f>
        <v/>
      </c>
      <c r="O444" s="23" t="b">
        <f>IFERROR(VLOOKUP(A444, Entries!A:I,8,false),"")</f>
        <v>0</v>
      </c>
    </row>
    <row r="445">
      <c r="A445" s="78" t="s">
        <v>657</v>
      </c>
      <c r="B445" s="78" t="s">
        <v>23</v>
      </c>
      <c r="C445" s="85">
        <v>44106.0</v>
      </c>
      <c r="D445" s="85">
        <v>44106.0</v>
      </c>
      <c r="E445" s="86">
        <v>20.44</v>
      </c>
      <c r="F445" s="87">
        <v>32.47</v>
      </c>
      <c r="G445" s="88">
        <f t="shared" si="1"/>
        <v>12.03</v>
      </c>
      <c r="H445" s="89">
        <f t="shared" si="2"/>
        <v>0.3704958423</v>
      </c>
      <c r="I445" s="78" t="s">
        <v>658</v>
      </c>
      <c r="J445" s="78" t="s">
        <v>69</v>
      </c>
      <c r="K445" s="58">
        <f t="shared" si="3"/>
        <v>0</v>
      </c>
      <c r="L445" s="91" t="str">
        <f t="shared" si="4"/>
        <v>Fri</v>
      </c>
      <c r="M445" s="78" t="str">
        <f>IFERROR(VLOOKUP(A445, Entries!A:B,2,false),"")</f>
        <v>Nacon</v>
      </c>
      <c r="N445" s="23" t="str">
        <f>IFERROR(VLOOKUP(A445, Entries!A:K,11,false),"")</f>
        <v/>
      </c>
      <c r="O445" s="23" t="b">
        <f>IFERROR(VLOOKUP(A445, Entries!A:I,8,false),"")</f>
        <v>0</v>
      </c>
    </row>
    <row r="446">
      <c r="A446" s="78" t="s">
        <v>657</v>
      </c>
      <c r="B446" s="78" t="s">
        <v>23</v>
      </c>
      <c r="C446" s="85">
        <v>44106.0</v>
      </c>
      <c r="D446" s="85">
        <v>44114.0</v>
      </c>
      <c r="E446" s="86">
        <v>20.44</v>
      </c>
      <c r="F446" s="87">
        <v>30.57</v>
      </c>
      <c r="G446" s="88">
        <f t="shared" si="1"/>
        <v>10.13</v>
      </c>
      <c r="H446" s="89">
        <f t="shared" si="2"/>
        <v>0.3313706248</v>
      </c>
      <c r="I446" s="78" t="s">
        <v>659</v>
      </c>
      <c r="J446" s="78" t="s">
        <v>69</v>
      </c>
      <c r="K446" s="58">
        <f t="shared" si="3"/>
        <v>8</v>
      </c>
      <c r="L446" s="91" t="str">
        <f t="shared" si="4"/>
        <v>Sat</v>
      </c>
      <c r="M446" s="78" t="str">
        <f>IFERROR(VLOOKUP(A446, Entries!A:B,2,false),"")</f>
        <v>Nacon</v>
      </c>
      <c r="N446" s="23" t="str">
        <f>IFERROR(VLOOKUP(A446, Entries!A:K,11,false),"")</f>
        <v/>
      </c>
      <c r="O446" s="23" t="b">
        <f>IFERROR(VLOOKUP(A446, Entries!A:I,8,false),"")</f>
        <v>0</v>
      </c>
    </row>
    <row r="447">
      <c r="A447" s="78" t="s">
        <v>660</v>
      </c>
      <c r="B447" s="78" t="s">
        <v>26</v>
      </c>
      <c r="C447" s="85">
        <v>44107.0</v>
      </c>
      <c r="D447" s="85">
        <v>44109.0</v>
      </c>
      <c r="E447" s="86">
        <v>8.01</v>
      </c>
      <c r="F447" s="87">
        <v>11.62</v>
      </c>
      <c r="G447" s="88">
        <f t="shared" si="1"/>
        <v>3.61</v>
      </c>
      <c r="H447" s="89">
        <f t="shared" si="2"/>
        <v>0.3106712565</v>
      </c>
      <c r="I447" s="78" t="s">
        <v>661</v>
      </c>
      <c r="J447" s="78" t="s">
        <v>69</v>
      </c>
      <c r="K447" s="58">
        <f t="shared" si="3"/>
        <v>2</v>
      </c>
      <c r="L447" s="91" t="str">
        <f t="shared" si="4"/>
        <v>Mon</v>
      </c>
      <c r="M447" s="78" t="str">
        <f>IFERROR(VLOOKUP(A447, Entries!A:B,2,false),"")</f>
        <v>Shiro Games</v>
      </c>
      <c r="N447" s="23" t="str">
        <f>IFERROR(VLOOKUP(A447, Entries!A:K,11,false),"")</f>
        <v/>
      </c>
      <c r="O447" s="23" t="b">
        <f>IFERROR(VLOOKUP(A447, Entries!A:I,8,false),"")</f>
        <v>0</v>
      </c>
    </row>
    <row r="448">
      <c r="A448" s="95" t="s">
        <v>620</v>
      </c>
      <c r="B448" s="78" t="s">
        <v>19</v>
      </c>
      <c r="C448" s="85">
        <v>44108.0</v>
      </c>
      <c r="D448" s="85">
        <v>44109.0</v>
      </c>
      <c r="E448" s="86">
        <v>2.96</v>
      </c>
      <c r="F448" s="87">
        <v>3.98</v>
      </c>
      <c r="G448" s="88">
        <f t="shared" si="1"/>
        <v>1.02</v>
      </c>
      <c r="H448" s="89">
        <f t="shared" si="2"/>
        <v>0.256281407</v>
      </c>
      <c r="I448" s="78" t="s">
        <v>662</v>
      </c>
      <c r="J448" s="78" t="s">
        <v>69</v>
      </c>
      <c r="K448" s="58">
        <f t="shared" si="3"/>
        <v>1</v>
      </c>
      <c r="L448" s="91" t="str">
        <f t="shared" si="4"/>
        <v>Mon</v>
      </c>
      <c r="M448" s="78" t="str">
        <f>IFERROR(VLOOKUP(A448, Entries!A:B,2,false),"")</f>
        <v>Skybound Games</v>
      </c>
      <c r="N448" s="23" t="str">
        <f>IFERROR(VLOOKUP(A448, Entries!A:K,11,false),"")</f>
        <v/>
      </c>
      <c r="O448" s="23" t="b">
        <f>IFERROR(VLOOKUP(A448, Entries!A:I,8,false),"")</f>
        <v>0</v>
      </c>
    </row>
    <row r="449">
      <c r="A449" s="95" t="s">
        <v>624</v>
      </c>
      <c r="B449" s="78" t="s">
        <v>19</v>
      </c>
      <c r="C449" s="85">
        <v>44108.0</v>
      </c>
      <c r="D449" s="85">
        <v>44109.0</v>
      </c>
      <c r="E449" s="86">
        <v>2.97</v>
      </c>
      <c r="F449" s="87">
        <v>5.74</v>
      </c>
      <c r="G449" s="88">
        <f t="shared" si="1"/>
        <v>2.77</v>
      </c>
      <c r="H449" s="89">
        <f t="shared" si="2"/>
        <v>0.4825783972</v>
      </c>
      <c r="I449" s="78" t="s">
        <v>663</v>
      </c>
      <c r="J449" s="78" t="s">
        <v>69</v>
      </c>
      <c r="K449" s="58">
        <f t="shared" si="3"/>
        <v>1</v>
      </c>
      <c r="L449" s="91" t="str">
        <f t="shared" si="4"/>
        <v>Mon</v>
      </c>
      <c r="M449" s="78" t="str">
        <f>IFERROR(VLOOKUP(A449, Entries!A:B,2,false),"")</f>
        <v>NEXT Studios</v>
      </c>
      <c r="N449" s="23" t="str">
        <f>IFERROR(VLOOKUP(A449, Entries!A:K,11,false),"")</f>
        <v/>
      </c>
      <c r="O449" s="23" t="b">
        <f>IFERROR(VLOOKUP(A449, Entries!A:I,8,false),"")</f>
        <v>1</v>
      </c>
    </row>
    <row r="450">
      <c r="A450" s="78" t="s">
        <v>618</v>
      </c>
      <c r="B450" s="78" t="s">
        <v>19</v>
      </c>
      <c r="C450" s="85">
        <v>44108.0</v>
      </c>
      <c r="D450" s="85">
        <v>44128.0</v>
      </c>
      <c r="E450" s="86">
        <v>2.97</v>
      </c>
      <c r="F450" s="87">
        <v>3.94</v>
      </c>
      <c r="G450" s="88">
        <f t="shared" si="1"/>
        <v>0.97</v>
      </c>
      <c r="H450" s="89">
        <f t="shared" si="2"/>
        <v>0.2461928934</v>
      </c>
      <c r="I450" s="78" t="s">
        <v>664</v>
      </c>
      <c r="J450" s="78" t="s">
        <v>69</v>
      </c>
      <c r="K450" s="58">
        <f t="shared" si="3"/>
        <v>20</v>
      </c>
      <c r="L450" s="91" t="str">
        <f t="shared" si="4"/>
        <v>Sat</v>
      </c>
      <c r="M450" s="78" t="str">
        <f>IFERROR(VLOOKUP(A450, Entries!A:B,2,false),"")</f>
        <v>M2H</v>
      </c>
      <c r="N450" s="23" t="str">
        <f>IFERROR(VLOOKUP(A450, Entries!A:K,11,false),"")</f>
        <v/>
      </c>
      <c r="O450" s="23" t="b">
        <f>IFERROR(VLOOKUP(A450, Entries!A:I,8,false),"")</f>
        <v>1</v>
      </c>
    </row>
    <row r="451">
      <c r="A451" s="78" t="s">
        <v>665</v>
      </c>
      <c r="B451" s="78" t="s">
        <v>19</v>
      </c>
      <c r="C451" s="85">
        <v>44108.0</v>
      </c>
      <c r="D451" s="85">
        <v>44131.0</v>
      </c>
      <c r="E451" s="86">
        <v>0.89</v>
      </c>
      <c r="F451" s="87">
        <v>3.84</v>
      </c>
      <c r="G451" s="88">
        <f t="shared" si="1"/>
        <v>2.95</v>
      </c>
      <c r="H451" s="89">
        <f t="shared" si="2"/>
        <v>0.7682291667</v>
      </c>
      <c r="I451" s="78" t="s">
        <v>666</v>
      </c>
      <c r="J451" s="78" t="s">
        <v>69</v>
      </c>
      <c r="K451" s="58">
        <f t="shared" si="3"/>
        <v>23</v>
      </c>
      <c r="L451" s="91" t="str">
        <f t="shared" si="4"/>
        <v>Tue</v>
      </c>
      <c r="M451" s="78" t="str">
        <f>IFERROR(VLOOKUP(A451, Entries!A:B,2,false),"")</f>
        <v>Codemasters</v>
      </c>
      <c r="N451" s="23" t="str">
        <f>IFERROR(VLOOKUP(A451, Entries!A:K,11,false),"")</f>
        <v/>
      </c>
      <c r="O451" s="23" t="b">
        <f>IFERROR(VLOOKUP(A451, Entries!A:I,8,false),"")</f>
        <v>0</v>
      </c>
    </row>
    <row r="452">
      <c r="A452" s="78" t="s">
        <v>665</v>
      </c>
      <c r="B452" s="78" t="s">
        <v>19</v>
      </c>
      <c r="C452" s="85">
        <v>44108.0</v>
      </c>
      <c r="D452" s="85">
        <v>44122.0</v>
      </c>
      <c r="E452" s="86">
        <v>0.89</v>
      </c>
      <c r="F452" s="87">
        <v>4.06</v>
      </c>
      <c r="G452" s="88">
        <f t="shared" si="1"/>
        <v>3.17</v>
      </c>
      <c r="H452" s="89">
        <f t="shared" si="2"/>
        <v>0.7807881773</v>
      </c>
      <c r="I452" s="78" t="s">
        <v>667</v>
      </c>
      <c r="J452" s="78" t="s">
        <v>69</v>
      </c>
      <c r="K452" s="58">
        <f t="shared" si="3"/>
        <v>14</v>
      </c>
      <c r="L452" s="91" t="str">
        <f t="shared" si="4"/>
        <v>Sun</v>
      </c>
      <c r="M452" s="78" t="str">
        <f>IFERROR(VLOOKUP(A452, Entries!A:B,2,false),"")</f>
        <v>Codemasters</v>
      </c>
      <c r="N452" s="23" t="str">
        <f>IFERROR(VLOOKUP(A452, Entries!A:K,11,false),"")</f>
        <v/>
      </c>
      <c r="O452" s="23" t="b">
        <f>IFERROR(VLOOKUP(A452, Entries!A:I,8,false),"")</f>
        <v>0</v>
      </c>
    </row>
    <row r="453">
      <c r="A453" s="78" t="s">
        <v>665</v>
      </c>
      <c r="B453" s="78" t="s">
        <v>19</v>
      </c>
      <c r="C453" s="85">
        <v>44108.0</v>
      </c>
      <c r="D453" s="85">
        <v>44121.0</v>
      </c>
      <c r="E453" s="86">
        <v>0.89</v>
      </c>
      <c r="F453" s="87">
        <v>4.06</v>
      </c>
      <c r="G453" s="88">
        <f t="shared" si="1"/>
        <v>3.17</v>
      </c>
      <c r="H453" s="89">
        <f t="shared" si="2"/>
        <v>0.7807881773</v>
      </c>
      <c r="I453" s="78" t="s">
        <v>668</v>
      </c>
      <c r="J453" s="78" t="s">
        <v>69</v>
      </c>
      <c r="K453" s="58">
        <f t="shared" si="3"/>
        <v>13</v>
      </c>
      <c r="L453" s="91" t="str">
        <f t="shared" si="4"/>
        <v>Sat</v>
      </c>
      <c r="M453" s="78" t="str">
        <f>IFERROR(VLOOKUP(A453, Entries!A:B,2,false),"")</f>
        <v>Codemasters</v>
      </c>
      <c r="N453" s="23" t="str">
        <f>IFERROR(VLOOKUP(A453, Entries!A:K,11,false),"")</f>
        <v/>
      </c>
      <c r="O453" s="23" t="b">
        <f>IFERROR(VLOOKUP(A453, Entries!A:I,8,false),"")</f>
        <v>0</v>
      </c>
    </row>
    <row r="454">
      <c r="A454" s="78" t="s">
        <v>669</v>
      </c>
      <c r="B454" s="78" t="s">
        <v>19</v>
      </c>
      <c r="C454" s="85">
        <v>44109.0</v>
      </c>
      <c r="D454" s="85">
        <v>44113.0</v>
      </c>
      <c r="E454" s="86">
        <v>1.33</v>
      </c>
      <c r="F454" s="87">
        <v>2.63</v>
      </c>
      <c r="G454" s="88">
        <f t="shared" si="1"/>
        <v>1.3</v>
      </c>
      <c r="H454" s="89">
        <f t="shared" si="2"/>
        <v>0.4942965779</v>
      </c>
      <c r="I454" s="78" t="s">
        <v>670</v>
      </c>
      <c r="J454" s="78" t="s">
        <v>69</v>
      </c>
      <c r="K454" s="58">
        <f t="shared" si="3"/>
        <v>4</v>
      </c>
      <c r="L454" s="91" t="str">
        <f t="shared" si="4"/>
        <v>Fri</v>
      </c>
      <c r="M454" s="78" t="str">
        <f>IFERROR(VLOOKUP(A454, Entries!A:B,2,false),"")</f>
        <v>Atari</v>
      </c>
      <c r="N454" s="23" t="str">
        <f>IFERROR(VLOOKUP(A454, Entries!A:K,11,false),"")</f>
        <v/>
      </c>
      <c r="O454" s="23" t="b">
        <f>IFERROR(VLOOKUP(A454, Entries!A:I,8,false),"")</f>
        <v>0</v>
      </c>
    </row>
    <row r="455">
      <c r="A455" s="78" t="s">
        <v>669</v>
      </c>
      <c r="B455" s="78" t="s">
        <v>19</v>
      </c>
      <c r="C455" s="85">
        <v>44109.0</v>
      </c>
      <c r="D455" s="85">
        <v>44117.0</v>
      </c>
      <c r="E455" s="86">
        <v>1.33</v>
      </c>
      <c r="F455" s="87">
        <v>2.44</v>
      </c>
      <c r="G455" s="88">
        <f t="shared" si="1"/>
        <v>1.11</v>
      </c>
      <c r="H455" s="89">
        <f t="shared" si="2"/>
        <v>0.4549180328</v>
      </c>
      <c r="I455" s="78" t="s">
        <v>671</v>
      </c>
      <c r="J455" s="78" t="s">
        <v>69</v>
      </c>
      <c r="K455" s="58">
        <f t="shared" si="3"/>
        <v>8</v>
      </c>
      <c r="L455" s="91" t="str">
        <f t="shared" si="4"/>
        <v>Tue</v>
      </c>
      <c r="M455" s="78" t="str">
        <f>IFERROR(VLOOKUP(A455, Entries!A:B,2,false),"")</f>
        <v>Atari</v>
      </c>
      <c r="N455" s="23" t="str">
        <f>IFERROR(VLOOKUP(A455, Entries!A:K,11,false),"")</f>
        <v/>
      </c>
      <c r="O455" s="23" t="b">
        <f>IFERROR(VLOOKUP(A455, Entries!A:I,8,false),"")</f>
        <v>0</v>
      </c>
    </row>
    <row r="456">
      <c r="A456" s="78" t="s">
        <v>411</v>
      </c>
      <c r="B456" s="78" t="s">
        <v>19</v>
      </c>
      <c r="C456" s="85">
        <v>44109.0</v>
      </c>
      <c r="D456" s="85">
        <v>44114.0</v>
      </c>
      <c r="E456" s="86">
        <v>6.93</v>
      </c>
      <c r="F456" s="87">
        <v>9.8</v>
      </c>
      <c r="G456" s="88">
        <f t="shared" si="1"/>
        <v>2.87</v>
      </c>
      <c r="H456" s="89">
        <f t="shared" si="2"/>
        <v>0.2928571429</v>
      </c>
      <c r="I456" s="78" t="s">
        <v>65</v>
      </c>
      <c r="J456" s="78" t="s">
        <v>69</v>
      </c>
      <c r="K456" s="58">
        <f t="shared" si="3"/>
        <v>5</v>
      </c>
      <c r="L456" s="91" t="str">
        <f t="shared" si="4"/>
        <v>Sat</v>
      </c>
      <c r="M456" s="78" t="str">
        <f>IFERROR(VLOOKUP(A456, Entries!A:B,2,false),"")</f>
        <v>ROCKFISH Games</v>
      </c>
      <c r="N456" s="23" t="str">
        <f>IFERROR(VLOOKUP(A456, Entries!A:K,11,false),"")</f>
        <v/>
      </c>
      <c r="O456" s="23" t="b">
        <f>IFERROR(VLOOKUP(A456, Entries!A:I,8,false),"")</f>
        <v>0</v>
      </c>
    </row>
    <row r="457">
      <c r="A457" s="78" t="s">
        <v>411</v>
      </c>
      <c r="B457" s="78" t="s">
        <v>19</v>
      </c>
      <c r="C457" s="85">
        <v>44109.0</v>
      </c>
      <c r="D457" s="85">
        <v>44119.0</v>
      </c>
      <c r="E457" s="86">
        <v>6.93</v>
      </c>
      <c r="F457" s="87">
        <v>8.69</v>
      </c>
      <c r="G457" s="88">
        <f t="shared" si="1"/>
        <v>1.76</v>
      </c>
      <c r="H457" s="89">
        <f t="shared" si="2"/>
        <v>0.2025316456</v>
      </c>
      <c r="I457" s="78" t="s">
        <v>65</v>
      </c>
      <c r="J457" s="78" t="s">
        <v>69</v>
      </c>
      <c r="K457" s="58">
        <f t="shared" si="3"/>
        <v>10</v>
      </c>
      <c r="L457" s="91" t="str">
        <f t="shared" si="4"/>
        <v>Thu</v>
      </c>
      <c r="M457" s="78" t="str">
        <f>IFERROR(VLOOKUP(A457, Entries!A:B,2,false),"")</f>
        <v>ROCKFISH Games</v>
      </c>
      <c r="N457" s="23" t="str">
        <f>IFERROR(VLOOKUP(A457, Entries!A:K,11,false),"")</f>
        <v/>
      </c>
      <c r="O457" s="23" t="b">
        <f>IFERROR(VLOOKUP(A457, Entries!A:I,8,false),"")</f>
        <v>0</v>
      </c>
    </row>
    <row r="458">
      <c r="A458" s="95" t="s">
        <v>620</v>
      </c>
      <c r="B458" s="78" t="s">
        <v>19</v>
      </c>
      <c r="C458" s="85">
        <v>44110.0</v>
      </c>
      <c r="D458" s="85">
        <v>44110.0</v>
      </c>
      <c r="E458" s="86">
        <v>2.96</v>
      </c>
      <c r="F458" s="87">
        <v>3.98</v>
      </c>
      <c r="G458" s="88">
        <f t="shared" si="1"/>
        <v>1.02</v>
      </c>
      <c r="H458" s="89">
        <f t="shared" si="2"/>
        <v>0.256281407</v>
      </c>
      <c r="I458" s="78" t="s">
        <v>672</v>
      </c>
      <c r="J458" s="78" t="s">
        <v>69</v>
      </c>
      <c r="K458" s="58">
        <f t="shared" si="3"/>
        <v>0</v>
      </c>
      <c r="L458" s="91" t="str">
        <f t="shared" si="4"/>
        <v>Tue</v>
      </c>
      <c r="M458" s="78" t="str">
        <f>IFERROR(VLOOKUP(A458, Entries!A:B,2,false),"")</f>
        <v>Skybound Games</v>
      </c>
      <c r="N458" s="23" t="str">
        <f>IFERROR(VLOOKUP(A458, Entries!A:K,11,false),"")</f>
        <v/>
      </c>
      <c r="O458" s="23" t="b">
        <f>IFERROR(VLOOKUP(A458, Entries!A:I,8,false),"")</f>
        <v>0</v>
      </c>
    </row>
    <row r="459">
      <c r="A459" s="95" t="s">
        <v>624</v>
      </c>
      <c r="B459" s="78" t="s">
        <v>19</v>
      </c>
      <c r="C459" s="85">
        <v>44110.0</v>
      </c>
      <c r="D459" s="85">
        <v>44114.0</v>
      </c>
      <c r="E459" s="86">
        <v>2.96</v>
      </c>
      <c r="F459" s="87">
        <v>4.01</v>
      </c>
      <c r="G459" s="88">
        <f t="shared" si="1"/>
        <v>1.05</v>
      </c>
      <c r="H459" s="89">
        <f t="shared" si="2"/>
        <v>0.2618453865</v>
      </c>
      <c r="I459" s="78" t="s">
        <v>673</v>
      </c>
      <c r="J459" s="78" t="s">
        <v>69</v>
      </c>
      <c r="K459" s="58">
        <f t="shared" si="3"/>
        <v>4</v>
      </c>
      <c r="L459" s="91" t="str">
        <f t="shared" si="4"/>
        <v>Sat</v>
      </c>
      <c r="M459" s="78" t="str">
        <f>IFERROR(VLOOKUP(A459, Entries!A:B,2,false),"")</f>
        <v>NEXT Studios</v>
      </c>
      <c r="N459" s="23" t="str">
        <f>IFERROR(VLOOKUP(A459, Entries!A:K,11,false),"")</f>
        <v/>
      </c>
      <c r="O459" s="23" t="b">
        <f>IFERROR(VLOOKUP(A459, Entries!A:I,8,false),"")</f>
        <v>1</v>
      </c>
    </row>
    <row r="460">
      <c r="A460" s="78" t="s">
        <v>655</v>
      </c>
      <c r="B460" s="78" t="s">
        <v>19</v>
      </c>
      <c r="C460" s="85">
        <v>44110.0</v>
      </c>
      <c r="D460" s="85">
        <v>44115.0</v>
      </c>
      <c r="E460" s="86">
        <v>2.97</v>
      </c>
      <c r="F460" s="87">
        <v>3.97</v>
      </c>
      <c r="G460" s="88">
        <f t="shared" si="1"/>
        <v>1</v>
      </c>
      <c r="H460" s="89">
        <f t="shared" si="2"/>
        <v>0.2518891688</v>
      </c>
      <c r="I460" s="78" t="s">
        <v>674</v>
      </c>
      <c r="J460" s="78" t="s">
        <v>69</v>
      </c>
      <c r="K460" s="58">
        <f t="shared" si="3"/>
        <v>5</v>
      </c>
      <c r="L460" s="91" t="str">
        <f t="shared" si="4"/>
        <v>Sun</v>
      </c>
      <c r="M460" s="78" t="str">
        <f>IFERROR(VLOOKUP(A460, Entries!A:B,2,false),"")</f>
        <v>YGGDRAZIL GROUP</v>
      </c>
      <c r="N460" s="23" t="str">
        <f>IFERROR(VLOOKUP(A460, Entries!A:K,11,false),"")</f>
        <v/>
      </c>
      <c r="O460" s="23" t="b">
        <f>IFERROR(VLOOKUP(A460, Entries!A:I,8,false),"")</f>
        <v>0</v>
      </c>
    </row>
    <row r="461">
      <c r="A461" s="95" t="s">
        <v>620</v>
      </c>
      <c r="B461" s="78" t="s">
        <v>19</v>
      </c>
      <c r="C461" s="85">
        <v>44111.0</v>
      </c>
      <c r="D461" s="85">
        <v>44185.0</v>
      </c>
      <c r="E461" s="86">
        <v>2.95</v>
      </c>
      <c r="F461" s="87">
        <v>3.58</v>
      </c>
      <c r="G461" s="88">
        <f t="shared" si="1"/>
        <v>0.63</v>
      </c>
      <c r="H461" s="89">
        <f t="shared" si="2"/>
        <v>0.1759776536</v>
      </c>
      <c r="I461" s="78" t="s">
        <v>675</v>
      </c>
      <c r="J461" s="78" t="s">
        <v>69</v>
      </c>
      <c r="K461" s="58">
        <f t="shared" si="3"/>
        <v>74</v>
      </c>
      <c r="L461" s="91" t="str">
        <f t="shared" si="4"/>
        <v>Sun</v>
      </c>
      <c r="M461" s="78" t="str">
        <f>IFERROR(VLOOKUP(A461, Entries!A:B,2,false),"")</f>
        <v>Skybound Games</v>
      </c>
      <c r="N461" s="23" t="str">
        <f>IFERROR(VLOOKUP(A461, Entries!A:K,11,false),"")</f>
        <v/>
      </c>
      <c r="O461" s="23" t="b">
        <f>IFERROR(VLOOKUP(A461, Entries!A:I,8,false),"")</f>
        <v>0</v>
      </c>
    </row>
    <row r="462">
      <c r="A462" s="95" t="s">
        <v>624</v>
      </c>
      <c r="B462" s="78" t="s">
        <v>19</v>
      </c>
      <c r="C462" s="85">
        <v>44111.0</v>
      </c>
      <c r="D462" s="85">
        <v>44114.0</v>
      </c>
      <c r="E462" s="86">
        <v>2.96</v>
      </c>
      <c r="F462" s="87">
        <v>4.01</v>
      </c>
      <c r="G462" s="88">
        <f t="shared" si="1"/>
        <v>1.05</v>
      </c>
      <c r="H462" s="89">
        <f t="shared" si="2"/>
        <v>0.2618453865</v>
      </c>
      <c r="I462" s="78" t="s">
        <v>676</v>
      </c>
      <c r="J462" s="78" t="s">
        <v>69</v>
      </c>
      <c r="K462" s="58">
        <f t="shared" si="3"/>
        <v>3</v>
      </c>
      <c r="L462" s="91" t="str">
        <f t="shared" si="4"/>
        <v>Sat</v>
      </c>
      <c r="M462" s="78" t="str">
        <f>IFERROR(VLOOKUP(A462, Entries!A:B,2,false),"")</f>
        <v>NEXT Studios</v>
      </c>
      <c r="N462" s="23" t="str">
        <f>IFERROR(VLOOKUP(A462, Entries!A:K,11,false),"")</f>
        <v/>
      </c>
      <c r="O462" s="23" t="b">
        <f>IFERROR(VLOOKUP(A462, Entries!A:I,8,false),"")</f>
        <v>1</v>
      </c>
    </row>
    <row r="463">
      <c r="A463" s="78" t="s">
        <v>655</v>
      </c>
      <c r="B463" s="78" t="s">
        <v>19</v>
      </c>
      <c r="C463" s="85">
        <v>44111.0</v>
      </c>
      <c r="D463" s="85">
        <v>44119.0</v>
      </c>
      <c r="E463" s="86">
        <v>2.96</v>
      </c>
      <c r="F463" s="87">
        <v>3.92</v>
      </c>
      <c r="G463" s="88">
        <f t="shared" si="1"/>
        <v>0.96</v>
      </c>
      <c r="H463" s="89">
        <f t="shared" si="2"/>
        <v>0.2448979592</v>
      </c>
      <c r="I463" s="78" t="s">
        <v>677</v>
      </c>
      <c r="J463" s="78" t="s">
        <v>69</v>
      </c>
      <c r="K463" s="58">
        <f t="shared" si="3"/>
        <v>8</v>
      </c>
      <c r="L463" s="91" t="str">
        <f t="shared" si="4"/>
        <v>Thu</v>
      </c>
      <c r="M463" s="78" t="str">
        <f>IFERROR(VLOOKUP(A463, Entries!A:B,2,false),"")</f>
        <v>YGGDRAZIL GROUP</v>
      </c>
      <c r="N463" s="23" t="str">
        <f>IFERROR(VLOOKUP(A463, Entries!A:K,11,false),"")</f>
        <v/>
      </c>
      <c r="O463" s="23" t="b">
        <f>IFERROR(VLOOKUP(A463, Entries!A:I,8,false),"")</f>
        <v>0</v>
      </c>
    </row>
    <row r="464">
      <c r="A464" s="78" t="s">
        <v>678</v>
      </c>
      <c r="B464" s="78" t="s">
        <v>19</v>
      </c>
      <c r="C464" s="85">
        <v>44111.0</v>
      </c>
      <c r="D464" s="85">
        <v>44112.0</v>
      </c>
      <c r="E464" s="86">
        <v>4.43</v>
      </c>
      <c r="F464" s="87">
        <v>8.33</v>
      </c>
      <c r="G464" s="88">
        <f t="shared" si="1"/>
        <v>3.9</v>
      </c>
      <c r="H464" s="89">
        <f t="shared" si="2"/>
        <v>0.4681872749</v>
      </c>
      <c r="I464" s="78" t="s">
        <v>679</v>
      </c>
      <c r="J464" s="78" t="s">
        <v>69</v>
      </c>
      <c r="K464" s="58">
        <f t="shared" si="3"/>
        <v>1</v>
      </c>
      <c r="L464" s="91" t="str">
        <f t="shared" si="4"/>
        <v>Thu</v>
      </c>
      <c r="M464" s="78" t="str">
        <f>IFERROR(VLOOKUP(A464, Entries!A:B,2,false),"")</f>
        <v>FireFly Studios</v>
      </c>
      <c r="N464" s="23" t="str">
        <f>IFERROR(VLOOKUP(A464, Entries!A:K,11,false),"")</f>
        <v/>
      </c>
      <c r="O464" s="23" t="b">
        <f>IFERROR(VLOOKUP(A464, Entries!A:I,8,false),"")</f>
        <v>0</v>
      </c>
    </row>
    <row r="465">
      <c r="A465" s="78" t="s">
        <v>680</v>
      </c>
      <c r="B465" s="78" t="s">
        <v>19</v>
      </c>
      <c r="C465" s="85">
        <v>44112.0</v>
      </c>
      <c r="D465" s="85">
        <v>44206.0</v>
      </c>
      <c r="E465" s="86">
        <v>0.53</v>
      </c>
      <c r="F465" s="87">
        <v>1.34</v>
      </c>
      <c r="G465" s="88">
        <f t="shared" si="1"/>
        <v>0.81</v>
      </c>
      <c r="H465" s="89">
        <f t="shared" si="2"/>
        <v>0.6044776119</v>
      </c>
      <c r="I465" s="78" t="s">
        <v>681</v>
      </c>
      <c r="J465" s="78" t="s">
        <v>69</v>
      </c>
      <c r="K465" s="58">
        <f t="shared" si="3"/>
        <v>94</v>
      </c>
      <c r="L465" s="91" t="str">
        <f t="shared" si="4"/>
        <v>Sun</v>
      </c>
      <c r="M465" s="78" t="str">
        <f>IFERROR(VLOOKUP(A465, Entries!A:B,2,false),"")</f>
        <v>Darkwind Media</v>
      </c>
      <c r="N465" s="23" t="str">
        <f>IFERROR(VLOOKUP(A465, Entries!A:K,11,false),"")</f>
        <v/>
      </c>
      <c r="O465" s="23" t="b">
        <f>IFERROR(VLOOKUP(A465, Entries!A:I,8,false),"")</f>
        <v>0</v>
      </c>
    </row>
    <row r="466">
      <c r="A466" s="78" t="s">
        <v>682</v>
      </c>
      <c r="B466" s="78" t="s">
        <v>19</v>
      </c>
      <c r="C466" s="85">
        <v>44112.0</v>
      </c>
      <c r="D466" s="85">
        <v>44312.0</v>
      </c>
      <c r="E466" s="86">
        <v>0.53</v>
      </c>
      <c r="F466" s="87">
        <v>1.38</v>
      </c>
      <c r="G466" s="88">
        <f t="shared" si="1"/>
        <v>0.85</v>
      </c>
      <c r="H466" s="89">
        <f t="shared" si="2"/>
        <v>0.615942029</v>
      </c>
      <c r="I466" s="78" t="s">
        <v>683</v>
      </c>
      <c r="J466" s="78" t="s">
        <v>69</v>
      </c>
      <c r="K466" s="58">
        <f t="shared" si="3"/>
        <v>200</v>
      </c>
      <c r="L466" s="91" t="str">
        <f t="shared" si="4"/>
        <v>Mon</v>
      </c>
      <c r="M466" s="78" t="str">
        <f>IFERROR(VLOOKUP(A466, Entries!A:B,2,false),"")</f>
        <v>Sludj Games</v>
      </c>
      <c r="N466" s="23" t="str">
        <f>IFERROR(VLOOKUP(A466, Entries!A:K,11,false),"")</f>
        <v/>
      </c>
      <c r="O466" s="23" t="b">
        <f>IFERROR(VLOOKUP(A466, Entries!A:I,8,false),"")</f>
        <v>0</v>
      </c>
    </row>
    <row r="467">
      <c r="A467" s="78" t="s">
        <v>684</v>
      </c>
      <c r="B467" s="78" t="s">
        <v>19</v>
      </c>
      <c r="C467" s="85">
        <v>44112.0</v>
      </c>
      <c r="D467" s="85">
        <v>44129.0</v>
      </c>
      <c r="E467" s="86">
        <v>0.53</v>
      </c>
      <c r="F467" s="87">
        <v>2.49</v>
      </c>
      <c r="G467" s="88">
        <f t="shared" si="1"/>
        <v>1.96</v>
      </c>
      <c r="H467" s="89">
        <f t="shared" si="2"/>
        <v>0.7871485944</v>
      </c>
      <c r="I467" s="78" t="s">
        <v>685</v>
      </c>
      <c r="J467" s="78" t="s">
        <v>69</v>
      </c>
      <c r="K467" s="58">
        <f t="shared" si="3"/>
        <v>17</v>
      </c>
      <c r="L467" s="91" t="str">
        <f t="shared" si="4"/>
        <v>Sun</v>
      </c>
      <c r="M467" s="78" t="str">
        <f>IFERROR(VLOOKUP(A467, Entries!A:B,2,false),"")</f>
        <v>Headup</v>
      </c>
      <c r="N467" s="23" t="str">
        <f>IFERROR(VLOOKUP(A467, Entries!A:K,11,false),"")</f>
        <v/>
      </c>
      <c r="O467" s="23" t="b">
        <f>IFERROR(VLOOKUP(A467, Entries!A:I,8,false),"")</f>
        <v>0</v>
      </c>
    </row>
    <row r="468">
      <c r="A468" s="78" t="s">
        <v>686</v>
      </c>
      <c r="B468" s="78" t="s">
        <v>19</v>
      </c>
      <c r="C468" s="85">
        <v>44112.0</v>
      </c>
      <c r="D468" s="85">
        <v>44188.0</v>
      </c>
      <c r="E468" s="86">
        <v>0.53</v>
      </c>
      <c r="F468" s="87">
        <v>1.29</v>
      </c>
      <c r="G468" s="88">
        <f t="shared" si="1"/>
        <v>0.76</v>
      </c>
      <c r="H468" s="89">
        <f t="shared" si="2"/>
        <v>0.5891472868</v>
      </c>
      <c r="I468" s="78" t="s">
        <v>687</v>
      </c>
      <c r="J468" s="78" t="s">
        <v>69</v>
      </c>
      <c r="K468" s="58">
        <f t="shared" si="3"/>
        <v>76</v>
      </c>
      <c r="L468" s="91" t="str">
        <f t="shared" si="4"/>
        <v>Wed</v>
      </c>
      <c r="M468" s="78" t="str">
        <f>IFERROR(VLOOKUP(A468, Entries!A:B,2,false),"")</f>
        <v>Raiser Games</v>
      </c>
      <c r="N468" s="23" t="str">
        <f>IFERROR(VLOOKUP(A468, Entries!A:K,11,false),"")</f>
        <v/>
      </c>
      <c r="O468" s="23" t="b">
        <f>IFERROR(VLOOKUP(A468, Entries!A:I,8,false),"")</f>
        <v>0</v>
      </c>
    </row>
    <row r="469">
      <c r="A469" s="78" t="s">
        <v>688</v>
      </c>
      <c r="B469" s="78" t="s">
        <v>19</v>
      </c>
      <c r="C469" s="85">
        <v>44112.0</v>
      </c>
      <c r="D469" s="85">
        <v>44339.0</v>
      </c>
      <c r="E469" s="86">
        <v>0.54</v>
      </c>
      <c r="F469" s="87">
        <v>0.73</v>
      </c>
      <c r="G469" s="88">
        <f t="shared" si="1"/>
        <v>0.19</v>
      </c>
      <c r="H469" s="89">
        <f t="shared" si="2"/>
        <v>0.2602739726</v>
      </c>
      <c r="I469" s="78" t="s">
        <v>689</v>
      </c>
      <c r="J469" s="78" t="s">
        <v>69</v>
      </c>
      <c r="K469" s="58">
        <f t="shared" si="3"/>
        <v>227</v>
      </c>
      <c r="L469" s="91" t="str">
        <f t="shared" si="4"/>
        <v>Sun</v>
      </c>
      <c r="M469" s="78" t="str">
        <f>IFERROR(VLOOKUP(A469, Entries!A:B,2,false),"")</f>
        <v>Serenity Forge</v>
      </c>
      <c r="N469" s="23" t="str">
        <f>IFERROR(VLOOKUP(A469, Entries!A:K,11,false),"")</f>
        <v/>
      </c>
      <c r="O469" s="23" t="b">
        <f>IFERROR(VLOOKUP(A469, Entries!A:I,8,false),"")</f>
        <v>0</v>
      </c>
    </row>
    <row r="470">
      <c r="A470" s="78" t="s">
        <v>314</v>
      </c>
      <c r="B470" s="78" t="s">
        <v>23</v>
      </c>
      <c r="C470" s="85">
        <v>44113.0</v>
      </c>
      <c r="D470" s="85">
        <v>44243.0</v>
      </c>
      <c r="E470" s="86">
        <v>19.53</v>
      </c>
      <c r="F470" s="87">
        <v>19.43</v>
      </c>
      <c r="G470" s="88">
        <f t="shared" si="1"/>
        <v>-0.1</v>
      </c>
      <c r="H470" s="89">
        <f t="shared" si="2"/>
        <v>-0.005146680391</v>
      </c>
      <c r="I470" s="78" t="s">
        <v>690</v>
      </c>
      <c r="J470" s="78" t="s">
        <v>69</v>
      </c>
      <c r="K470" s="58">
        <f t="shared" si="3"/>
        <v>130</v>
      </c>
      <c r="L470" s="91" t="str">
        <f t="shared" si="4"/>
        <v>Tue</v>
      </c>
      <c r="M470" s="78" t="str">
        <f>IFERROR(VLOOKUP(A470, Entries!A:B,2,false),"")</f>
        <v>Nacon</v>
      </c>
      <c r="N470" s="23" t="str">
        <f>IFERROR(VLOOKUP(A470, Entries!A:K,11,false),"")</f>
        <v/>
      </c>
      <c r="O470" s="23" t="b">
        <f>IFERROR(VLOOKUP(A470, Entries!A:I,8,false),"")</f>
        <v>0</v>
      </c>
    </row>
    <row r="471">
      <c r="A471" s="78" t="s">
        <v>691</v>
      </c>
      <c r="B471" s="78" t="s">
        <v>19</v>
      </c>
      <c r="C471" s="85">
        <v>44114.0</v>
      </c>
      <c r="D471" s="85">
        <v>44675.0</v>
      </c>
      <c r="E471" s="86">
        <v>0.89</v>
      </c>
      <c r="F471" s="87">
        <v>0.55</v>
      </c>
      <c r="G471" s="88">
        <f t="shared" si="1"/>
        <v>-0.34</v>
      </c>
      <c r="H471" s="89">
        <f t="shared" si="2"/>
        <v>-0.6181818182</v>
      </c>
      <c r="I471" s="78" t="s">
        <v>692</v>
      </c>
      <c r="J471" s="78" t="s">
        <v>69</v>
      </c>
      <c r="K471" s="58">
        <f t="shared" si="3"/>
        <v>561</v>
      </c>
      <c r="L471" s="91" t="str">
        <f t="shared" si="4"/>
        <v>Sun</v>
      </c>
      <c r="M471" s="78" t="str">
        <f>IFERROR(VLOOKUP(A471, Entries!A:B,2,false),"")</f>
        <v>Curve Digital</v>
      </c>
      <c r="N471" s="23" t="str">
        <f>IFERROR(VLOOKUP(A471, Entries!A:K,11,false),"")</f>
        <v/>
      </c>
      <c r="O471" s="23" t="b">
        <f>IFERROR(VLOOKUP(A471, Entries!A:I,8,false),"")</f>
        <v>0</v>
      </c>
    </row>
    <row r="472">
      <c r="A472" s="78" t="s">
        <v>691</v>
      </c>
      <c r="B472" s="78" t="s">
        <v>19</v>
      </c>
      <c r="C472" s="85">
        <v>44114.0</v>
      </c>
      <c r="D472" s="85">
        <v>44675.0</v>
      </c>
      <c r="E472" s="86">
        <v>0.89</v>
      </c>
      <c r="F472" s="87">
        <v>0.55</v>
      </c>
      <c r="G472" s="88">
        <f t="shared" si="1"/>
        <v>-0.34</v>
      </c>
      <c r="H472" s="89">
        <f t="shared" si="2"/>
        <v>-0.6181818182</v>
      </c>
      <c r="I472" s="78" t="s">
        <v>693</v>
      </c>
      <c r="J472" s="78" t="s">
        <v>69</v>
      </c>
      <c r="K472" s="58">
        <f t="shared" si="3"/>
        <v>561</v>
      </c>
      <c r="L472" s="91" t="str">
        <f t="shared" si="4"/>
        <v>Sun</v>
      </c>
      <c r="M472" s="78" t="str">
        <f>IFERROR(VLOOKUP(A472, Entries!A:B,2,false),"")</f>
        <v>Curve Digital</v>
      </c>
      <c r="N472" s="23" t="str">
        <f>IFERROR(VLOOKUP(A472, Entries!A:K,11,false),"")</f>
        <v/>
      </c>
      <c r="O472" s="23" t="b">
        <f>IFERROR(VLOOKUP(A472, Entries!A:I,8,false),"")</f>
        <v>0</v>
      </c>
    </row>
    <row r="473">
      <c r="A473" s="78" t="s">
        <v>377</v>
      </c>
      <c r="B473" s="78" t="s">
        <v>19</v>
      </c>
      <c r="C473" s="85">
        <v>44114.0</v>
      </c>
      <c r="D473" s="85">
        <v>44207.0</v>
      </c>
      <c r="E473" s="86">
        <v>0.0</v>
      </c>
      <c r="F473" s="87">
        <v>0.66</v>
      </c>
      <c r="G473" s="88">
        <f t="shared" si="1"/>
        <v>0.66</v>
      </c>
      <c r="H473" s="89">
        <f t="shared" si="2"/>
        <v>1</v>
      </c>
      <c r="I473" s="78" t="s">
        <v>694</v>
      </c>
      <c r="J473" s="78" t="s">
        <v>69</v>
      </c>
      <c r="K473" s="58">
        <f t="shared" si="3"/>
        <v>93</v>
      </c>
      <c r="L473" s="91" t="str">
        <f t="shared" si="4"/>
        <v>Mon</v>
      </c>
      <c r="M473" s="78" t="str">
        <f>IFERROR(VLOOKUP(A473, Entries!A:B,2,false),"")</f>
        <v>Runic Games</v>
      </c>
      <c r="N473" s="23" t="str">
        <f>IFERROR(VLOOKUP(A473, Entries!A:K,11,false),"")</f>
        <v/>
      </c>
      <c r="O473" s="23" t="b">
        <f>IFERROR(VLOOKUP(A473, Entries!A:I,8,false),"")</f>
        <v>0</v>
      </c>
    </row>
    <row r="474">
      <c r="A474" s="78" t="s">
        <v>411</v>
      </c>
      <c r="B474" s="78" t="s">
        <v>19</v>
      </c>
      <c r="C474" s="85">
        <v>44114.0</v>
      </c>
      <c r="D474" s="85">
        <v>44129.0</v>
      </c>
      <c r="E474" s="86">
        <v>6.89</v>
      </c>
      <c r="F474" s="87">
        <v>8.59</v>
      </c>
      <c r="G474" s="88">
        <f t="shared" si="1"/>
        <v>1.7</v>
      </c>
      <c r="H474" s="89">
        <f t="shared" si="2"/>
        <v>0.1979045402</v>
      </c>
      <c r="I474" s="78" t="s">
        <v>65</v>
      </c>
      <c r="J474" s="78" t="s">
        <v>69</v>
      </c>
      <c r="K474" s="58">
        <f t="shared" si="3"/>
        <v>15</v>
      </c>
      <c r="L474" s="91" t="str">
        <f t="shared" si="4"/>
        <v>Sun</v>
      </c>
      <c r="M474" s="78" t="str">
        <f>IFERROR(VLOOKUP(A474, Entries!A:B,2,false),"")</f>
        <v>ROCKFISH Games</v>
      </c>
      <c r="N474" s="23" t="str">
        <f>IFERROR(VLOOKUP(A474, Entries!A:K,11,false),"")</f>
        <v/>
      </c>
      <c r="O474" s="23" t="b">
        <f>IFERROR(VLOOKUP(A474, Entries!A:I,8,false),"")</f>
        <v>0</v>
      </c>
    </row>
    <row r="475">
      <c r="A475" s="78" t="s">
        <v>411</v>
      </c>
      <c r="B475" s="78" t="s">
        <v>19</v>
      </c>
      <c r="C475" s="85">
        <v>44114.0</v>
      </c>
      <c r="D475" s="85">
        <v>44136.0</v>
      </c>
      <c r="E475" s="86">
        <v>6.9</v>
      </c>
      <c r="F475" s="87">
        <v>8.59</v>
      </c>
      <c r="G475" s="88">
        <f t="shared" si="1"/>
        <v>1.69</v>
      </c>
      <c r="H475" s="89">
        <f t="shared" si="2"/>
        <v>0.1967403958</v>
      </c>
      <c r="I475" s="78" t="s">
        <v>65</v>
      </c>
      <c r="J475" s="78" t="s">
        <v>69</v>
      </c>
      <c r="K475" s="58">
        <f t="shared" si="3"/>
        <v>22</v>
      </c>
      <c r="L475" s="91" t="str">
        <f t="shared" si="4"/>
        <v>Sun</v>
      </c>
      <c r="M475" s="78" t="str">
        <f>IFERROR(VLOOKUP(A475, Entries!A:B,2,false),"")</f>
        <v>ROCKFISH Games</v>
      </c>
      <c r="N475" s="23" t="str">
        <f>IFERROR(VLOOKUP(A475, Entries!A:K,11,false),"")</f>
        <v/>
      </c>
      <c r="O475" s="23" t="b">
        <f>IFERROR(VLOOKUP(A475, Entries!A:I,8,false),"")</f>
        <v>0</v>
      </c>
    </row>
    <row r="476">
      <c r="A476" s="78" t="s">
        <v>411</v>
      </c>
      <c r="B476" s="78" t="s">
        <v>19</v>
      </c>
      <c r="C476" s="85">
        <v>44114.0</v>
      </c>
      <c r="D476" s="85">
        <v>44139.0</v>
      </c>
      <c r="E476" s="86">
        <v>6.9</v>
      </c>
      <c r="F476" s="87">
        <v>8.59</v>
      </c>
      <c r="G476" s="88">
        <f t="shared" si="1"/>
        <v>1.69</v>
      </c>
      <c r="H476" s="89">
        <f t="shared" si="2"/>
        <v>0.1967403958</v>
      </c>
      <c r="I476" s="78" t="s">
        <v>65</v>
      </c>
      <c r="J476" s="78" t="s">
        <v>69</v>
      </c>
      <c r="K476" s="58">
        <f t="shared" si="3"/>
        <v>25</v>
      </c>
      <c r="L476" s="91" t="str">
        <f t="shared" si="4"/>
        <v>Wed</v>
      </c>
      <c r="M476" s="78" t="str">
        <f>IFERROR(VLOOKUP(A476, Entries!A:B,2,false),"")</f>
        <v>ROCKFISH Games</v>
      </c>
      <c r="N476" s="23" t="str">
        <f>IFERROR(VLOOKUP(A476, Entries!A:K,11,false),"")</f>
        <v/>
      </c>
      <c r="O476" s="23" t="b">
        <f>IFERROR(VLOOKUP(A476, Entries!A:I,8,false),"")</f>
        <v>0</v>
      </c>
    </row>
    <row r="477">
      <c r="A477" s="78" t="s">
        <v>550</v>
      </c>
      <c r="B477" s="78" t="s">
        <v>19</v>
      </c>
      <c r="C477" s="85">
        <v>44114.0</v>
      </c>
      <c r="D477" s="85">
        <v>44466.0</v>
      </c>
      <c r="E477" s="86">
        <v>2.94</v>
      </c>
      <c r="F477" s="87">
        <v>1.15</v>
      </c>
      <c r="G477" s="88">
        <f t="shared" si="1"/>
        <v>-1.79</v>
      </c>
      <c r="H477" s="89">
        <f t="shared" si="2"/>
        <v>-1.556521739</v>
      </c>
      <c r="I477" s="78" t="s">
        <v>695</v>
      </c>
      <c r="J477" s="78" t="s">
        <v>69</v>
      </c>
      <c r="K477" s="58">
        <f t="shared" si="3"/>
        <v>352</v>
      </c>
      <c r="L477" s="91" t="str">
        <f t="shared" si="4"/>
        <v>Mon</v>
      </c>
      <c r="M477" s="78" t="str">
        <f>IFERROR(VLOOKUP(A477, Entries!A:B,2,false),"")</f>
        <v>Codemasters</v>
      </c>
      <c r="N477" s="23" t="str">
        <f>IFERROR(VLOOKUP(A477, Entries!A:K,11,false),"")</f>
        <v/>
      </c>
      <c r="O477" s="23" t="b">
        <f>IFERROR(VLOOKUP(A477, Entries!A:I,8,false),"")</f>
        <v>0</v>
      </c>
    </row>
    <row r="478">
      <c r="A478" s="78" t="s">
        <v>622</v>
      </c>
      <c r="B478" s="78" t="s">
        <v>19</v>
      </c>
      <c r="C478" s="85">
        <v>44115.0</v>
      </c>
      <c r="D478" s="85">
        <v>44115.0</v>
      </c>
      <c r="E478" s="86">
        <v>2.95</v>
      </c>
      <c r="F478" s="87">
        <v>3.67</v>
      </c>
      <c r="G478" s="88">
        <f t="shared" si="1"/>
        <v>0.72</v>
      </c>
      <c r="H478" s="89">
        <f t="shared" si="2"/>
        <v>0.1961852861</v>
      </c>
      <c r="I478" s="78" t="s">
        <v>696</v>
      </c>
      <c r="J478" s="78" t="s">
        <v>69</v>
      </c>
      <c r="K478" s="58">
        <f t="shared" si="3"/>
        <v>0</v>
      </c>
      <c r="L478" s="91" t="str">
        <f t="shared" si="4"/>
        <v>Sun</v>
      </c>
      <c r="M478" s="78" t="str">
        <f>IFERROR(VLOOKUP(A478, Entries!A:B,2,false),"")</f>
        <v>Blue Brain Games</v>
      </c>
      <c r="N478" s="23" t="str">
        <f>IFERROR(VLOOKUP(A478, Entries!A:K,11,false),"")</f>
        <v/>
      </c>
      <c r="O478" s="23" t="b">
        <f>IFERROR(VLOOKUP(A478, Entries!A:I,8,false),"")</f>
        <v>1</v>
      </c>
    </row>
    <row r="479">
      <c r="A479" s="95" t="s">
        <v>620</v>
      </c>
      <c r="B479" s="78" t="s">
        <v>19</v>
      </c>
      <c r="C479" s="85">
        <v>44115.0</v>
      </c>
      <c r="D479" s="85">
        <v>44185.0</v>
      </c>
      <c r="E479" s="86">
        <v>2.95</v>
      </c>
      <c r="F479" s="87">
        <v>3.58</v>
      </c>
      <c r="G479" s="88">
        <f t="shared" si="1"/>
        <v>0.63</v>
      </c>
      <c r="H479" s="89">
        <f t="shared" si="2"/>
        <v>0.1759776536</v>
      </c>
      <c r="I479" s="78" t="s">
        <v>697</v>
      </c>
      <c r="J479" s="78" t="s">
        <v>69</v>
      </c>
      <c r="K479" s="58">
        <f t="shared" si="3"/>
        <v>70</v>
      </c>
      <c r="L479" s="91" t="str">
        <f t="shared" si="4"/>
        <v>Sun</v>
      </c>
      <c r="M479" s="78" t="str">
        <f>IFERROR(VLOOKUP(A479, Entries!A:B,2,false),"")</f>
        <v>Skybound Games</v>
      </c>
      <c r="N479" s="23" t="str">
        <f>IFERROR(VLOOKUP(A479, Entries!A:K,11,false),"")</f>
        <v/>
      </c>
      <c r="O479" s="23" t="b">
        <f>IFERROR(VLOOKUP(A479, Entries!A:I,8,false),"")</f>
        <v>0</v>
      </c>
    </row>
    <row r="480">
      <c r="A480" s="95" t="s">
        <v>624</v>
      </c>
      <c r="B480" s="78" t="s">
        <v>19</v>
      </c>
      <c r="C480" s="85">
        <v>44115.0</v>
      </c>
      <c r="D480" s="85">
        <v>44121.0</v>
      </c>
      <c r="E480" s="86">
        <v>2.95</v>
      </c>
      <c r="F480" s="87">
        <v>4.83</v>
      </c>
      <c r="G480" s="88">
        <f t="shared" si="1"/>
        <v>1.88</v>
      </c>
      <c r="H480" s="89">
        <f t="shared" si="2"/>
        <v>0.3892339545</v>
      </c>
      <c r="I480" s="78" t="s">
        <v>698</v>
      </c>
      <c r="J480" s="78" t="s">
        <v>69</v>
      </c>
      <c r="K480" s="58">
        <f t="shared" si="3"/>
        <v>6</v>
      </c>
      <c r="L480" s="91" t="str">
        <f t="shared" si="4"/>
        <v>Sat</v>
      </c>
      <c r="M480" s="78" t="str">
        <f>IFERROR(VLOOKUP(A480, Entries!A:B,2,false),"")</f>
        <v>NEXT Studios</v>
      </c>
      <c r="N480" s="23" t="str">
        <f>IFERROR(VLOOKUP(A480, Entries!A:K,11,false),"")</f>
        <v/>
      </c>
      <c r="O480" s="23" t="b">
        <f>IFERROR(VLOOKUP(A480, Entries!A:I,8,false),"")</f>
        <v>1</v>
      </c>
    </row>
    <row r="481">
      <c r="A481" s="78" t="s">
        <v>616</v>
      </c>
      <c r="B481" s="78" t="s">
        <v>19</v>
      </c>
      <c r="C481" s="85">
        <v>44115.0</v>
      </c>
      <c r="D481" s="85">
        <v>44115.0</v>
      </c>
      <c r="E481" s="86">
        <v>2.95</v>
      </c>
      <c r="F481" s="87">
        <v>4.0</v>
      </c>
      <c r="G481" s="88">
        <f t="shared" si="1"/>
        <v>1.05</v>
      </c>
      <c r="H481" s="89">
        <f t="shared" si="2"/>
        <v>0.2625</v>
      </c>
      <c r="I481" s="78" t="s">
        <v>699</v>
      </c>
      <c r="J481" s="78" t="s">
        <v>69</v>
      </c>
      <c r="K481" s="58">
        <f t="shared" si="3"/>
        <v>0</v>
      </c>
      <c r="L481" s="91" t="str">
        <f t="shared" si="4"/>
        <v>Sun</v>
      </c>
      <c r="M481" s="78" t="str">
        <f>IFERROR(VLOOKUP(A481, Entries!A:B,2,false),"")</f>
        <v>Raiser Games</v>
      </c>
      <c r="N481" s="23" t="str">
        <f>IFERROR(VLOOKUP(A481, Entries!A:K,11,false),"")</f>
        <v/>
      </c>
      <c r="O481" s="23" t="b">
        <f>IFERROR(VLOOKUP(A481, Entries!A:I,8,false),"")</f>
        <v>1</v>
      </c>
    </row>
    <row r="482">
      <c r="A482" s="78" t="s">
        <v>618</v>
      </c>
      <c r="B482" s="78" t="s">
        <v>19</v>
      </c>
      <c r="C482" s="85">
        <v>44115.0</v>
      </c>
      <c r="D482" s="85">
        <v>44136.0</v>
      </c>
      <c r="E482" s="86">
        <v>2.96</v>
      </c>
      <c r="F482" s="87">
        <v>3.77</v>
      </c>
      <c r="G482" s="88">
        <f t="shared" si="1"/>
        <v>0.81</v>
      </c>
      <c r="H482" s="89">
        <f t="shared" si="2"/>
        <v>0.2148541114</v>
      </c>
      <c r="I482" s="78" t="s">
        <v>700</v>
      </c>
      <c r="J482" s="78" t="s">
        <v>69</v>
      </c>
      <c r="K482" s="58">
        <f t="shared" si="3"/>
        <v>21</v>
      </c>
      <c r="L482" s="91" t="str">
        <f t="shared" si="4"/>
        <v>Sun</v>
      </c>
      <c r="M482" s="78" t="str">
        <f>IFERROR(VLOOKUP(A482, Entries!A:B,2,false),"")</f>
        <v>M2H</v>
      </c>
      <c r="N482" s="23" t="str">
        <f>IFERROR(VLOOKUP(A482, Entries!A:K,11,false),"")</f>
        <v/>
      </c>
      <c r="O482" s="23" t="b">
        <f>IFERROR(VLOOKUP(A482, Entries!A:I,8,false),"")</f>
        <v>1</v>
      </c>
    </row>
    <row r="483">
      <c r="A483" s="78" t="s">
        <v>616</v>
      </c>
      <c r="B483" s="78" t="s">
        <v>19</v>
      </c>
      <c r="C483" s="85">
        <v>44116.0</v>
      </c>
      <c r="D483" s="85">
        <v>44122.0</v>
      </c>
      <c r="E483" s="86">
        <v>2.95</v>
      </c>
      <c r="F483" s="87">
        <v>4.69</v>
      </c>
      <c r="G483" s="88">
        <f t="shared" si="1"/>
        <v>1.74</v>
      </c>
      <c r="H483" s="89">
        <f t="shared" si="2"/>
        <v>0.3710021322</v>
      </c>
      <c r="I483" s="78" t="s">
        <v>701</v>
      </c>
      <c r="J483" s="78" t="s">
        <v>69</v>
      </c>
      <c r="K483" s="58">
        <f t="shared" si="3"/>
        <v>6</v>
      </c>
      <c r="L483" s="91" t="str">
        <f t="shared" si="4"/>
        <v>Sun</v>
      </c>
      <c r="M483" s="78" t="str">
        <f>IFERROR(VLOOKUP(A483, Entries!A:B,2,false),"")</f>
        <v>Raiser Games</v>
      </c>
      <c r="N483" s="23" t="str">
        <f>IFERROR(VLOOKUP(A483, Entries!A:K,11,false),"")</f>
        <v/>
      </c>
      <c r="O483" s="23" t="b">
        <f>IFERROR(VLOOKUP(A483, Entries!A:I,8,false),"")</f>
        <v>1</v>
      </c>
    </row>
    <row r="484">
      <c r="A484" s="78" t="s">
        <v>622</v>
      </c>
      <c r="B484" s="78" t="s">
        <v>19</v>
      </c>
      <c r="C484" s="85">
        <v>44116.0</v>
      </c>
      <c r="D484" s="85">
        <v>44117.0</v>
      </c>
      <c r="E484" s="86">
        <v>2.95</v>
      </c>
      <c r="F484" s="87">
        <v>4.12</v>
      </c>
      <c r="G484" s="88">
        <f t="shared" si="1"/>
        <v>1.17</v>
      </c>
      <c r="H484" s="89">
        <f t="shared" si="2"/>
        <v>0.2839805825</v>
      </c>
      <c r="I484" s="78" t="s">
        <v>702</v>
      </c>
      <c r="J484" s="78" t="s">
        <v>69</v>
      </c>
      <c r="K484" s="58">
        <f t="shared" si="3"/>
        <v>1</v>
      </c>
      <c r="L484" s="91" t="str">
        <f t="shared" si="4"/>
        <v>Tue</v>
      </c>
      <c r="M484" s="78" t="str">
        <f>IFERROR(VLOOKUP(A484, Entries!A:B,2,false),"")</f>
        <v>Blue Brain Games</v>
      </c>
      <c r="N484" s="23" t="str">
        <f>IFERROR(VLOOKUP(A484, Entries!A:K,11,false),"")</f>
        <v/>
      </c>
      <c r="O484" s="23" t="b">
        <f>IFERROR(VLOOKUP(A484, Entries!A:I,8,false),"")</f>
        <v>1</v>
      </c>
    </row>
    <row r="485">
      <c r="A485" s="78" t="s">
        <v>655</v>
      </c>
      <c r="B485" s="78" t="s">
        <v>19</v>
      </c>
      <c r="C485" s="85">
        <v>44116.0</v>
      </c>
      <c r="D485" s="85">
        <v>44140.0</v>
      </c>
      <c r="E485" s="86">
        <v>2.96</v>
      </c>
      <c r="F485" s="87">
        <v>4.0</v>
      </c>
      <c r="G485" s="88">
        <f t="shared" si="1"/>
        <v>1.04</v>
      </c>
      <c r="H485" s="89">
        <f t="shared" si="2"/>
        <v>0.26</v>
      </c>
      <c r="I485" s="78" t="s">
        <v>703</v>
      </c>
      <c r="J485" s="78" t="s">
        <v>69</v>
      </c>
      <c r="K485" s="58">
        <f t="shared" si="3"/>
        <v>24</v>
      </c>
      <c r="L485" s="91" t="str">
        <f t="shared" si="4"/>
        <v>Thu</v>
      </c>
      <c r="M485" s="78" t="str">
        <f>IFERROR(VLOOKUP(A485, Entries!A:B,2,false),"")</f>
        <v>YGGDRAZIL GROUP</v>
      </c>
      <c r="N485" s="23" t="str">
        <f>IFERROR(VLOOKUP(A485, Entries!A:K,11,false),"")</f>
        <v/>
      </c>
      <c r="O485" s="23" t="b">
        <f>IFERROR(VLOOKUP(A485, Entries!A:I,8,false),"")</f>
        <v>0</v>
      </c>
    </row>
    <row r="486">
      <c r="A486" s="78" t="s">
        <v>383</v>
      </c>
      <c r="B486" s="78" t="s">
        <v>19</v>
      </c>
      <c r="C486" s="85">
        <v>44116.0</v>
      </c>
      <c r="D486" s="85">
        <v>44119.0</v>
      </c>
      <c r="E486" s="86">
        <v>0.0</v>
      </c>
      <c r="F486" s="87">
        <v>1.14</v>
      </c>
      <c r="G486" s="88">
        <f t="shared" si="1"/>
        <v>1.14</v>
      </c>
      <c r="H486" s="89">
        <f t="shared" si="2"/>
        <v>1</v>
      </c>
      <c r="I486" s="78" t="s">
        <v>704</v>
      </c>
      <c r="J486" s="78" t="s">
        <v>69</v>
      </c>
      <c r="K486" s="58">
        <f t="shared" si="3"/>
        <v>3</v>
      </c>
      <c r="L486" s="91" t="str">
        <f t="shared" si="4"/>
        <v>Thu</v>
      </c>
      <c r="M486" s="78" t="str">
        <f>IFERROR(VLOOKUP(A486, Entries!A:B,2,false),"")</f>
        <v>Wired Productions</v>
      </c>
      <c r="N486" s="23" t="str">
        <f>IFERROR(VLOOKUP(A486, Entries!A:K,11,false),"")</f>
        <v/>
      </c>
      <c r="O486" s="23" t="b">
        <f>IFERROR(VLOOKUP(A486, Entries!A:I,8,false),"")</f>
        <v>0</v>
      </c>
    </row>
    <row r="487">
      <c r="A487" s="78" t="s">
        <v>117</v>
      </c>
      <c r="B487" s="78" t="s">
        <v>19</v>
      </c>
      <c r="C487" s="85">
        <v>44116.0</v>
      </c>
      <c r="D487" s="85">
        <v>44149.0</v>
      </c>
      <c r="E487" s="86">
        <v>0.83</v>
      </c>
      <c r="F487" s="87">
        <v>1.22</v>
      </c>
      <c r="G487" s="88">
        <f t="shared" si="1"/>
        <v>0.39</v>
      </c>
      <c r="H487" s="89">
        <f t="shared" si="2"/>
        <v>0.3196721311</v>
      </c>
      <c r="I487" s="78" t="s">
        <v>705</v>
      </c>
      <c r="J487" s="78" t="s">
        <v>69</v>
      </c>
      <c r="K487" s="58">
        <f t="shared" si="3"/>
        <v>33</v>
      </c>
      <c r="L487" s="91" t="str">
        <f t="shared" si="4"/>
        <v>Sat</v>
      </c>
      <c r="M487" s="78" t="str">
        <f>IFERROR(VLOOKUP(A487, Entries!A:B,2,false),"")</f>
        <v>Starbreeze Publishing</v>
      </c>
      <c r="N487" s="23" t="str">
        <f>IFERROR(VLOOKUP(A487, Entries!A:K,11,false),"")</f>
        <v/>
      </c>
      <c r="O487" s="23" t="b">
        <f>IFERROR(VLOOKUP(A487, Entries!A:I,8,false),"")</f>
        <v>1</v>
      </c>
    </row>
    <row r="488">
      <c r="A488" s="78" t="s">
        <v>117</v>
      </c>
      <c r="B488" s="78" t="s">
        <v>19</v>
      </c>
      <c r="C488" s="85">
        <v>44116.0</v>
      </c>
      <c r="D488" s="85">
        <v>44153.0</v>
      </c>
      <c r="E488" s="86">
        <v>0.83</v>
      </c>
      <c r="F488" s="87">
        <v>1.22</v>
      </c>
      <c r="G488" s="88">
        <f t="shared" si="1"/>
        <v>0.39</v>
      </c>
      <c r="H488" s="89">
        <f t="shared" si="2"/>
        <v>0.3196721311</v>
      </c>
      <c r="I488" s="78" t="s">
        <v>706</v>
      </c>
      <c r="J488" s="78" t="s">
        <v>69</v>
      </c>
      <c r="K488" s="58">
        <f t="shared" si="3"/>
        <v>37</v>
      </c>
      <c r="L488" s="91" t="str">
        <f t="shared" si="4"/>
        <v>Wed</v>
      </c>
      <c r="M488" s="78" t="str">
        <f>IFERROR(VLOOKUP(A488, Entries!A:B,2,false),"")</f>
        <v>Starbreeze Publishing</v>
      </c>
      <c r="N488" s="23" t="str">
        <f>IFERROR(VLOOKUP(A488, Entries!A:K,11,false),"")</f>
        <v/>
      </c>
      <c r="O488" s="23" t="b">
        <f>IFERROR(VLOOKUP(A488, Entries!A:I,8,false),"")</f>
        <v>1</v>
      </c>
    </row>
    <row r="489">
      <c r="A489" s="78" t="s">
        <v>333</v>
      </c>
      <c r="B489" s="78" t="s">
        <v>19</v>
      </c>
      <c r="C489" s="85">
        <v>44116.0</v>
      </c>
      <c r="D489" s="85">
        <v>44264.0</v>
      </c>
      <c r="E489" s="86">
        <v>10.1</v>
      </c>
      <c r="F489" s="87">
        <v>13.29</v>
      </c>
      <c r="G489" s="88">
        <f t="shared" si="1"/>
        <v>3.19</v>
      </c>
      <c r="H489" s="89">
        <f t="shared" si="2"/>
        <v>0.2400300978</v>
      </c>
      <c r="I489" s="78" t="s">
        <v>707</v>
      </c>
      <c r="J489" s="78" t="s">
        <v>69</v>
      </c>
      <c r="K489" s="58">
        <f t="shared" si="3"/>
        <v>148</v>
      </c>
      <c r="L489" s="91" t="str">
        <f t="shared" si="4"/>
        <v>Tue</v>
      </c>
      <c r="M489" s="78" t="str">
        <f>IFERROR(VLOOKUP(A489, Entries!A:B,2,false),"")</f>
        <v>Prime Matter</v>
      </c>
      <c r="N489" s="23" t="str">
        <f>IFERROR(VLOOKUP(A489, Entries!A:K,11,false),"")</f>
        <v/>
      </c>
      <c r="O489" s="23" t="b">
        <f>IFERROR(VLOOKUP(A489, Entries!A:I,8,false),"")</f>
        <v>0</v>
      </c>
    </row>
    <row r="490">
      <c r="A490" s="78" t="s">
        <v>375</v>
      </c>
      <c r="B490" s="78" t="s">
        <v>19</v>
      </c>
      <c r="C490" s="85">
        <v>44116.0</v>
      </c>
      <c r="D490" s="85">
        <v>44118.0</v>
      </c>
      <c r="E490" s="86">
        <v>4.29</v>
      </c>
      <c r="F490" s="87">
        <v>6.72</v>
      </c>
      <c r="G490" s="88">
        <f t="shared" si="1"/>
        <v>2.43</v>
      </c>
      <c r="H490" s="89">
        <f t="shared" si="2"/>
        <v>0.3616071429</v>
      </c>
      <c r="I490" s="78" t="s">
        <v>708</v>
      </c>
      <c r="J490" s="78" t="s">
        <v>69</v>
      </c>
      <c r="K490" s="58">
        <f t="shared" si="3"/>
        <v>2</v>
      </c>
      <c r="L490" s="91" t="str">
        <f t="shared" si="4"/>
        <v>Wed</v>
      </c>
      <c r="M490" s="78" t="str">
        <f>IFERROR(VLOOKUP(A490, Entries!A:B,2,false),"")</f>
        <v>Survios</v>
      </c>
      <c r="N490" s="23" t="str">
        <f>IFERROR(VLOOKUP(A490, Entries!A:K,11,false),"")</f>
        <v/>
      </c>
      <c r="O490" s="23" t="b">
        <f>IFERROR(VLOOKUP(A490, Entries!A:I,8,false),"")</f>
        <v>1</v>
      </c>
    </row>
    <row r="491">
      <c r="A491" s="78" t="s">
        <v>709</v>
      </c>
      <c r="B491" s="78" t="s">
        <v>19</v>
      </c>
      <c r="C491" s="85">
        <v>44116.0</v>
      </c>
      <c r="D491" s="85">
        <v>44118.0</v>
      </c>
      <c r="E491" s="86">
        <v>8.41</v>
      </c>
      <c r="F491" s="87">
        <v>13.51</v>
      </c>
      <c r="G491" s="88">
        <f t="shared" si="1"/>
        <v>5.1</v>
      </c>
      <c r="H491" s="89">
        <f t="shared" si="2"/>
        <v>0.3774981495</v>
      </c>
      <c r="I491" s="78" t="s">
        <v>710</v>
      </c>
      <c r="J491" s="78" t="s">
        <v>69</v>
      </c>
      <c r="K491" s="58">
        <f t="shared" si="3"/>
        <v>2</v>
      </c>
      <c r="L491" s="91" t="str">
        <f t="shared" si="4"/>
        <v>Wed</v>
      </c>
      <c r="M491" s="78" t="str">
        <f>IFERROR(VLOOKUP(A491, Entries!A:B,2,false),"")</f>
        <v>Beamdog</v>
      </c>
      <c r="N491" s="23" t="str">
        <f>IFERROR(VLOOKUP(A491, Entries!A:K,11,false),"")</f>
        <v/>
      </c>
      <c r="O491" s="23" t="b">
        <f>IFERROR(VLOOKUP(A491, Entries!A:I,8,false),"")</f>
        <v>0</v>
      </c>
    </row>
    <row r="492">
      <c r="A492" s="78" t="s">
        <v>117</v>
      </c>
      <c r="B492" s="78" t="s">
        <v>19</v>
      </c>
      <c r="C492" s="85">
        <v>44116.0</v>
      </c>
      <c r="D492" s="85">
        <v>44153.0</v>
      </c>
      <c r="E492" s="86">
        <v>0.83</v>
      </c>
      <c r="F492" s="87">
        <v>1.22</v>
      </c>
      <c r="G492" s="88">
        <f t="shared" si="1"/>
        <v>0.39</v>
      </c>
      <c r="H492" s="89">
        <f t="shared" si="2"/>
        <v>0.3196721311</v>
      </c>
      <c r="I492" s="78" t="s">
        <v>711</v>
      </c>
      <c r="J492" s="78" t="s">
        <v>69</v>
      </c>
      <c r="K492" s="58">
        <f t="shared" si="3"/>
        <v>37</v>
      </c>
      <c r="L492" s="91" t="str">
        <f t="shared" si="4"/>
        <v>Wed</v>
      </c>
      <c r="M492" s="78" t="str">
        <f>IFERROR(VLOOKUP(A492, Entries!A:B,2,false),"")</f>
        <v>Starbreeze Publishing</v>
      </c>
      <c r="N492" s="23" t="str">
        <f>IFERROR(VLOOKUP(A492, Entries!A:K,11,false),"")</f>
        <v/>
      </c>
      <c r="O492" s="23" t="b">
        <f>IFERROR(VLOOKUP(A492, Entries!A:I,8,false),"")</f>
        <v>1</v>
      </c>
    </row>
    <row r="493">
      <c r="A493" s="78" t="s">
        <v>117</v>
      </c>
      <c r="B493" s="78" t="s">
        <v>19</v>
      </c>
      <c r="C493" s="85">
        <v>44116.0</v>
      </c>
      <c r="D493" s="85">
        <v>44153.0</v>
      </c>
      <c r="E493" s="86">
        <v>0.83</v>
      </c>
      <c r="F493" s="87">
        <v>1.22</v>
      </c>
      <c r="G493" s="88">
        <f t="shared" si="1"/>
        <v>0.39</v>
      </c>
      <c r="H493" s="89">
        <f t="shared" si="2"/>
        <v>0.3196721311</v>
      </c>
      <c r="I493" s="78" t="s">
        <v>712</v>
      </c>
      <c r="J493" s="78" t="s">
        <v>69</v>
      </c>
      <c r="K493" s="58">
        <f t="shared" si="3"/>
        <v>37</v>
      </c>
      <c r="L493" s="91" t="str">
        <f t="shared" si="4"/>
        <v>Wed</v>
      </c>
      <c r="M493" s="78" t="str">
        <f>IFERROR(VLOOKUP(A493, Entries!A:B,2,false),"")</f>
        <v>Starbreeze Publishing</v>
      </c>
      <c r="N493" s="23" t="str">
        <f>IFERROR(VLOOKUP(A493, Entries!A:K,11,false),"")</f>
        <v/>
      </c>
      <c r="O493" s="23" t="b">
        <f>IFERROR(VLOOKUP(A493, Entries!A:I,8,false),"")</f>
        <v>1</v>
      </c>
    </row>
    <row r="494">
      <c r="A494" s="78" t="s">
        <v>117</v>
      </c>
      <c r="B494" s="78" t="s">
        <v>19</v>
      </c>
      <c r="C494" s="85">
        <v>44116.0</v>
      </c>
      <c r="D494" s="85">
        <v>44154.0</v>
      </c>
      <c r="E494" s="86">
        <v>0.84</v>
      </c>
      <c r="F494" s="87">
        <v>1.24</v>
      </c>
      <c r="G494" s="88">
        <f t="shared" si="1"/>
        <v>0.4</v>
      </c>
      <c r="H494" s="89">
        <f t="shared" si="2"/>
        <v>0.3225806452</v>
      </c>
      <c r="I494" s="78" t="s">
        <v>713</v>
      </c>
      <c r="J494" s="78" t="s">
        <v>69</v>
      </c>
      <c r="K494" s="58">
        <f t="shared" si="3"/>
        <v>38</v>
      </c>
      <c r="L494" s="91" t="str">
        <f t="shared" si="4"/>
        <v>Thu</v>
      </c>
      <c r="M494" s="78" t="str">
        <f>IFERROR(VLOOKUP(A494, Entries!A:B,2,false),"")</f>
        <v>Starbreeze Publishing</v>
      </c>
      <c r="N494" s="23" t="str">
        <f>IFERROR(VLOOKUP(A494, Entries!A:K,11,false),"")</f>
        <v/>
      </c>
      <c r="O494" s="23" t="b">
        <f>IFERROR(VLOOKUP(A494, Entries!A:I,8,false),"")</f>
        <v>1</v>
      </c>
    </row>
    <row r="495">
      <c r="A495" s="78" t="s">
        <v>714</v>
      </c>
      <c r="B495" s="78" t="s">
        <v>19</v>
      </c>
      <c r="C495" s="85">
        <v>44117.0</v>
      </c>
      <c r="D495" s="85">
        <v>44118.0</v>
      </c>
      <c r="E495" s="86">
        <v>0.83</v>
      </c>
      <c r="F495" s="87">
        <v>1.34</v>
      </c>
      <c r="G495" s="88">
        <f t="shared" si="1"/>
        <v>0.51</v>
      </c>
      <c r="H495" s="89">
        <f t="shared" si="2"/>
        <v>0.3805970149</v>
      </c>
      <c r="I495" s="78" t="s">
        <v>715</v>
      </c>
      <c r="J495" s="78" t="s">
        <v>69</v>
      </c>
      <c r="K495" s="58">
        <f t="shared" si="3"/>
        <v>1</v>
      </c>
      <c r="L495" s="91" t="str">
        <f t="shared" si="4"/>
        <v>Wed</v>
      </c>
      <c r="M495" s="78" t="str">
        <f>IFERROR(VLOOKUP(A495, Entries!A:B,2,false),"")</f>
        <v>Driven Arts</v>
      </c>
      <c r="N495" s="23" t="str">
        <f>IFERROR(VLOOKUP(A495, Entries!A:K,11,false),"")</f>
        <v/>
      </c>
      <c r="O495" s="23" t="b">
        <f>IFERROR(VLOOKUP(A495, Entries!A:I,8,false),"")</f>
        <v>0</v>
      </c>
    </row>
    <row r="496">
      <c r="A496" s="78" t="s">
        <v>616</v>
      </c>
      <c r="B496" s="78" t="s">
        <v>19</v>
      </c>
      <c r="C496" s="85">
        <v>44117.0</v>
      </c>
      <c r="D496" s="85">
        <v>44124.0</v>
      </c>
      <c r="E496" s="86">
        <v>2.94</v>
      </c>
      <c r="F496" s="87">
        <v>4.62</v>
      </c>
      <c r="G496" s="88">
        <f t="shared" si="1"/>
        <v>1.68</v>
      </c>
      <c r="H496" s="89">
        <f t="shared" si="2"/>
        <v>0.3636363636</v>
      </c>
      <c r="I496" s="78" t="s">
        <v>716</v>
      </c>
      <c r="J496" s="78" t="s">
        <v>69</v>
      </c>
      <c r="K496" s="58">
        <f t="shared" si="3"/>
        <v>7</v>
      </c>
      <c r="L496" s="91" t="str">
        <f t="shared" si="4"/>
        <v>Tue</v>
      </c>
      <c r="M496" s="78" t="str">
        <f>IFERROR(VLOOKUP(A496, Entries!A:B,2,false),"")</f>
        <v>Raiser Games</v>
      </c>
      <c r="N496" s="23" t="str">
        <f>IFERROR(VLOOKUP(A496, Entries!A:K,11,false),"")</f>
        <v/>
      </c>
      <c r="O496" s="23" t="b">
        <f>IFERROR(VLOOKUP(A496, Entries!A:I,8,false),"")</f>
        <v>1</v>
      </c>
    </row>
    <row r="497">
      <c r="A497" s="78" t="s">
        <v>618</v>
      </c>
      <c r="B497" s="78" t="s">
        <v>19</v>
      </c>
      <c r="C497" s="85">
        <v>44117.0</v>
      </c>
      <c r="D497" s="85">
        <v>44135.0</v>
      </c>
      <c r="E497" s="86">
        <v>2.94</v>
      </c>
      <c r="F497" s="87">
        <v>3.77</v>
      </c>
      <c r="G497" s="88">
        <f t="shared" si="1"/>
        <v>0.83</v>
      </c>
      <c r="H497" s="89">
        <f t="shared" si="2"/>
        <v>0.2201591512</v>
      </c>
      <c r="I497" s="78" t="s">
        <v>717</v>
      </c>
      <c r="J497" s="78" t="s">
        <v>69</v>
      </c>
      <c r="K497" s="58">
        <f t="shared" si="3"/>
        <v>18</v>
      </c>
      <c r="L497" s="91" t="str">
        <f t="shared" si="4"/>
        <v>Sat</v>
      </c>
      <c r="M497" s="78" t="str">
        <f>IFERROR(VLOOKUP(A497, Entries!A:B,2,false),"")</f>
        <v>M2H</v>
      </c>
      <c r="N497" s="23" t="str">
        <f>IFERROR(VLOOKUP(A497, Entries!A:K,11,false),"")</f>
        <v/>
      </c>
      <c r="O497" s="23" t="b">
        <f>IFERROR(VLOOKUP(A497, Entries!A:I,8,false),"")</f>
        <v>1</v>
      </c>
    </row>
    <row r="498">
      <c r="A498" s="78" t="s">
        <v>622</v>
      </c>
      <c r="B498" s="78" t="s">
        <v>19</v>
      </c>
      <c r="C498" s="85">
        <v>44117.0</v>
      </c>
      <c r="D498" s="85">
        <v>44118.0</v>
      </c>
      <c r="E498" s="86">
        <v>2.95</v>
      </c>
      <c r="F498" s="87">
        <v>4.12</v>
      </c>
      <c r="G498" s="88">
        <f t="shared" si="1"/>
        <v>1.17</v>
      </c>
      <c r="H498" s="89">
        <f t="shared" si="2"/>
        <v>0.2839805825</v>
      </c>
      <c r="I498" s="78" t="s">
        <v>718</v>
      </c>
      <c r="J498" s="78" t="s">
        <v>69</v>
      </c>
      <c r="K498" s="58">
        <f t="shared" si="3"/>
        <v>1</v>
      </c>
      <c r="L498" s="91" t="str">
        <f t="shared" si="4"/>
        <v>Wed</v>
      </c>
      <c r="M498" s="78" t="str">
        <f>IFERROR(VLOOKUP(A498, Entries!A:B,2,false),"")</f>
        <v>Blue Brain Games</v>
      </c>
      <c r="N498" s="23" t="str">
        <f>IFERROR(VLOOKUP(A498, Entries!A:K,11,false),"")</f>
        <v/>
      </c>
      <c r="O498" s="23" t="b">
        <f>IFERROR(VLOOKUP(A498, Entries!A:I,8,false),"")</f>
        <v>1</v>
      </c>
    </row>
    <row r="499">
      <c r="A499" s="78" t="s">
        <v>719</v>
      </c>
      <c r="B499" s="78" t="s">
        <v>19</v>
      </c>
      <c r="C499" s="85">
        <v>44117.0</v>
      </c>
      <c r="D499" s="85">
        <v>44122.0</v>
      </c>
      <c r="E499" s="86">
        <v>4.19</v>
      </c>
      <c r="F499" s="87">
        <v>6.46</v>
      </c>
      <c r="G499" s="88">
        <f t="shared" si="1"/>
        <v>2.27</v>
      </c>
      <c r="H499" s="89">
        <f t="shared" si="2"/>
        <v>0.3513931889</v>
      </c>
      <c r="I499" s="78" t="s">
        <v>720</v>
      </c>
      <c r="J499" s="78" t="s">
        <v>69</v>
      </c>
      <c r="K499" s="58">
        <f t="shared" si="3"/>
        <v>5</v>
      </c>
      <c r="L499" s="91" t="str">
        <f t="shared" si="4"/>
        <v>Sun</v>
      </c>
      <c r="M499" s="78" t="str">
        <f>IFERROR(VLOOKUP(A499, Entries!A:B,2,false),"")</f>
        <v>Lukas Rustemeyer</v>
      </c>
      <c r="N499" s="23" t="str">
        <f>IFERROR(VLOOKUP(A499, Entries!A:K,11,false),"")</f>
        <v/>
      </c>
      <c r="O499" s="23" t="b">
        <f>IFERROR(VLOOKUP(A499, Entries!A:I,8,false),"")</f>
        <v>1</v>
      </c>
    </row>
    <row r="500">
      <c r="A500" s="78" t="s">
        <v>719</v>
      </c>
      <c r="B500" s="78" t="s">
        <v>19</v>
      </c>
      <c r="C500" s="85">
        <v>44117.0</v>
      </c>
      <c r="D500" s="85">
        <v>44128.0</v>
      </c>
      <c r="E500" s="86">
        <v>4.19</v>
      </c>
      <c r="F500" s="87">
        <v>6.38</v>
      </c>
      <c r="G500" s="88">
        <f t="shared" si="1"/>
        <v>2.19</v>
      </c>
      <c r="H500" s="89">
        <f t="shared" si="2"/>
        <v>0.3432601881</v>
      </c>
      <c r="I500" s="78" t="s">
        <v>721</v>
      </c>
      <c r="J500" s="78" t="s">
        <v>69</v>
      </c>
      <c r="K500" s="58">
        <f t="shared" si="3"/>
        <v>11</v>
      </c>
      <c r="L500" s="91" t="str">
        <f t="shared" si="4"/>
        <v>Sat</v>
      </c>
      <c r="M500" s="78" t="str">
        <f>IFERROR(VLOOKUP(A500, Entries!A:B,2,false),"")</f>
        <v>Lukas Rustemeyer</v>
      </c>
      <c r="N500" s="23" t="str">
        <f>IFERROR(VLOOKUP(A500, Entries!A:K,11,false),"")</f>
        <v/>
      </c>
      <c r="O500" s="23" t="b">
        <f>IFERROR(VLOOKUP(A500, Entries!A:I,8,false),"")</f>
        <v>1</v>
      </c>
    </row>
    <row r="501">
      <c r="A501" s="78" t="s">
        <v>669</v>
      </c>
      <c r="B501" s="78" t="s">
        <v>19</v>
      </c>
      <c r="C501" s="85">
        <v>44117.0</v>
      </c>
      <c r="D501" s="85">
        <v>44117.0</v>
      </c>
      <c r="E501" s="86">
        <v>0.83</v>
      </c>
      <c r="F501" s="87">
        <v>2.36</v>
      </c>
      <c r="G501" s="88">
        <f t="shared" si="1"/>
        <v>1.53</v>
      </c>
      <c r="H501" s="89">
        <f t="shared" si="2"/>
        <v>0.6483050847</v>
      </c>
      <c r="I501" s="78" t="s">
        <v>722</v>
      </c>
      <c r="J501" s="78" t="s">
        <v>69</v>
      </c>
      <c r="K501" s="58">
        <f t="shared" si="3"/>
        <v>0</v>
      </c>
      <c r="L501" s="91" t="str">
        <f t="shared" si="4"/>
        <v>Tue</v>
      </c>
      <c r="M501" s="78" t="str">
        <f>IFERROR(VLOOKUP(A501, Entries!A:B,2,false),"")</f>
        <v>Atari</v>
      </c>
      <c r="N501" s="23" t="str">
        <f>IFERROR(VLOOKUP(A501, Entries!A:K,11,false),"")</f>
        <v/>
      </c>
      <c r="O501" s="23" t="b">
        <f>IFERROR(VLOOKUP(A501, Entries!A:I,8,false),"")</f>
        <v>0</v>
      </c>
    </row>
    <row r="502">
      <c r="A502" s="78" t="s">
        <v>669</v>
      </c>
      <c r="B502" s="78" t="s">
        <v>19</v>
      </c>
      <c r="C502" s="85">
        <v>44118.0</v>
      </c>
      <c r="D502" s="85">
        <v>44145.0</v>
      </c>
      <c r="E502" s="86">
        <v>0.83</v>
      </c>
      <c r="F502" s="87">
        <v>1.7</v>
      </c>
      <c r="G502" s="88">
        <f t="shared" si="1"/>
        <v>0.87</v>
      </c>
      <c r="H502" s="89">
        <f t="shared" si="2"/>
        <v>0.5117647059</v>
      </c>
      <c r="I502" s="78" t="s">
        <v>723</v>
      </c>
      <c r="J502" s="78" t="s">
        <v>69</v>
      </c>
      <c r="K502" s="58">
        <f t="shared" si="3"/>
        <v>27</v>
      </c>
      <c r="L502" s="91" t="str">
        <f t="shared" si="4"/>
        <v>Tue</v>
      </c>
      <c r="M502" s="78" t="str">
        <f>IFERROR(VLOOKUP(A502, Entries!A:B,2,false),"")</f>
        <v>Atari</v>
      </c>
      <c r="N502" s="23" t="str">
        <f>IFERROR(VLOOKUP(A502, Entries!A:K,11,false),"")</f>
        <v/>
      </c>
      <c r="O502" s="23" t="b">
        <f>IFERROR(VLOOKUP(A502, Entries!A:I,8,false),"")</f>
        <v>0</v>
      </c>
    </row>
    <row r="503">
      <c r="A503" s="78" t="s">
        <v>411</v>
      </c>
      <c r="B503" s="78" t="s">
        <v>19</v>
      </c>
      <c r="C503" s="85">
        <v>44118.0</v>
      </c>
      <c r="D503" s="85">
        <v>44187.0</v>
      </c>
      <c r="E503" s="86">
        <v>6.35</v>
      </c>
      <c r="F503" s="87">
        <v>7.29</v>
      </c>
      <c r="G503" s="88">
        <f t="shared" si="1"/>
        <v>0.94</v>
      </c>
      <c r="H503" s="89">
        <f t="shared" si="2"/>
        <v>0.1289437586</v>
      </c>
      <c r="I503" s="78" t="s">
        <v>65</v>
      </c>
      <c r="J503" s="78" t="s">
        <v>69</v>
      </c>
      <c r="K503" s="58">
        <f t="shared" si="3"/>
        <v>69</v>
      </c>
      <c r="L503" s="91" t="str">
        <f t="shared" si="4"/>
        <v>Tue</v>
      </c>
      <c r="M503" s="78" t="str">
        <f>IFERROR(VLOOKUP(A503, Entries!A:B,2,false),"")</f>
        <v>ROCKFISH Games</v>
      </c>
      <c r="N503" s="23" t="str">
        <f>IFERROR(VLOOKUP(A503, Entries!A:K,11,false),"")</f>
        <v/>
      </c>
      <c r="O503" s="23" t="b">
        <f>IFERROR(VLOOKUP(A503, Entries!A:I,8,false),"")</f>
        <v>0</v>
      </c>
    </row>
    <row r="504">
      <c r="A504" s="78" t="s">
        <v>669</v>
      </c>
      <c r="B504" s="78" t="s">
        <v>19</v>
      </c>
      <c r="C504" s="85">
        <v>44118.0</v>
      </c>
      <c r="D504" s="85">
        <v>44166.0</v>
      </c>
      <c r="E504" s="86">
        <v>0.83</v>
      </c>
      <c r="F504" s="87">
        <v>1.37</v>
      </c>
      <c r="G504" s="88">
        <f t="shared" si="1"/>
        <v>0.54</v>
      </c>
      <c r="H504" s="89">
        <f t="shared" si="2"/>
        <v>0.3941605839</v>
      </c>
      <c r="I504" s="78" t="s">
        <v>724</v>
      </c>
      <c r="J504" s="78" t="s">
        <v>69</v>
      </c>
      <c r="K504" s="58">
        <f t="shared" si="3"/>
        <v>48</v>
      </c>
      <c r="L504" s="91" t="str">
        <f t="shared" si="4"/>
        <v>Tue</v>
      </c>
      <c r="M504" s="78" t="str">
        <f>IFERROR(VLOOKUP(A504, Entries!A:B,2,false),"")</f>
        <v>Atari</v>
      </c>
      <c r="N504" s="23" t="str">
        <f>IFERROR(VLOOKUP(A504, Entries!A:K,11,false),"")</f>
        <v/>
      </c>
      <c r="O504" s="23" t="b">
        <f>IFERROR(VLOOKUP(A504, Entries!A:I,8,false),"")</f>
        <v>0</v>
      </c>
    </row>
    <row r="505">
      <c r="A505" s="78" t="s">
        <v>714</v>
      </c>
      <c r="B505" s="78" t="s">
        <v>19</v>
      </c>
      <c r="C505" s="85">
        <v>44118.0</v>
      </c>
      <c r="D505" s="85">
        <v>44121.0</v>
      </c>
      <c r="E505" s="86">
        <v>0.83</v>
      </c>
      <c r="F505" s="87">
        <v>1.34</v>
      </c>
      <c r="G505" s="88">
        <f t="shared" si="1"/>
        <v>0.51</v>
      </c>
      <c r="H505" s="89">
        <f t="shared" si="2"/>
        <v>0.3805970149</v>
      </c>
      <c r="I505" s="78" t="s">
        <v>725</v>
      </c>
      <c r="J505" s="78" t="s">
        <v>69</v>
      </c>
      <c r="K505" s="58">
        <f t="shared" si="3"/>
        <v>3</v>
      </c>
      <c r="L505" s="91" t="str">
        <f t="shared" si="4"/>
        <v>Sat</v>
      </c>
      <c r="M505" s="78" t="str">
        <f>IFERROR(VLOOKUP(A505, Entries!A:B,2,false),"")</f>
        <v>Driven Arts</v>
      </c>
      <c r="N505" s="23" t="str">
        <f>IFERROR(VLOOKUP(A505, Entries!A:K,11,false),"")</f>
        <v/>
      </c>
      <c r="O505" s="23" t="b">
        <f>IFERROR(VLOOKUP(A505, Entries!A:I,8,false),"")</f>
        <v>0</v>
      </c>
    </row>
    <row r="506">
      <c r="A506" s="78" t="s">
        <v>375</v>
      </c>
      <c r="B506" s="78" t="s">
        <v>19</v>
      </c>
      <c r="C506" s="85">
        <v>44118.0</v>
      </c>
      <c r="D506" s="85">
        <v>44121.0</v>
      </c>
      <c r="E506" s="86">
        <v>4.31</v>
      </c>
      <c r="F506" s="87">
        <v>6.47</v>
      </c>
      <c r="G506" s="88">
        <f t="shared" si="1"/>
        <v>2.16</v>
      </c>
      <c r="H506" s="89">
        <f t="shared" si="2"/>
        <v>0.3338485317</v>
      </c>
      <c r="I506" s="78" t="s">
        <v>726</v>
      </c>
      <c r="J506" s="78" t="s">
        <v>69</v>
      </c>
      <c r="K506" s="58">
        <f t="shared" si="3"/>
        <v>3</v>
      </c>
      <c r="L506" s="91" t="str">
        <f t="shared" si="4"/>
        <v>Sat</v>
      </c>
      <c r="M506" s="78" t="str">
        <f>IFERROR(VLOOKUP(A506, Entries!A:B,2,false),"")</f>
        <v>Survios</v>
      </c>
      <c r="N506" s="23" t="str">
        <f>IFERROR(VLOOKUP(A506, Entries!A:K,11,false),"")</f>
        <v/>
      </c>
      <c r="O506" s="23" t="b">
        <f>IFERROR(VLOOKUP(A506, Entries!A:I,8,false),"")</f>
        <v>1</v>
      </c>
    </row>
    <row r="507">
      <c r="A507" s="78" t="s">
        <v>727</v>
      </c>
      <c r="B507" s="78" t="s">
        <v>22</v>
      </c>
      <c r="C507" s="85">
        <v>44121.0</v>
      </c>
      <c r="D507" s="85">
        <v>44122.0</v>
      </c>
      <c r="E507" s="86">
        <v>11.76</v>
      </c>
      <c r="F507" s="87">
        <v>14.25</v>
      </c>
      <c r="G507" s="88">
        <f t="shared" si="1"/>
        <v>2.49</v>
      </c>
      <c r="H507" s="89">
        <f t="shared" si="2"/>
        <v>0.1747368421</v>
      </c>
      <c r="I507" s="78" t="s">
        <v>728</v>
      </c>
      <c r="J507" s="78" t="s">
        <v>69</v>
      </c>
      <c r="K507" s="58">
        <f t="shared" si="3"/>
        <v>1</v>
      </c>
      <c r="L507" s="91" t="str">
        <f t="shared" si="4"/>
        <v>Sun</v>
      </c>
      <c r="M507" s="78" t="str">
        <f>IFERROR(VLOOKUP(A507, Entries!A:B,2,false),"")</f>
        <v>Team17 Digital</v>
      </c>
      <c r="N507" s="23" t="str">
        <f>IFERROR(VLOOKUP(A507, Entries!A:K,11,false),"")</f>
        <v/>
      </c>
      <c r="O507" s="23" t="b">
        <f>IFERROR(VLOOKUP(A507, Entries!A:I,8,false),"")</f>
        <v>0</v>
      </c>
    </row>
    <row r="508">
      <c r="A508" s="78" t="s">
        <v>660</v>
      </c>
      <c r="B508" s="78" t="s">
        <v>23</v>
      </c>
      <c r="C508" s="85">
        <v>44123.0</v>
      </c>
      <c r="D508" s="85">
        <v>44124.0</v>
      </c>
      <c r="E508" s="86">
        <v>8.9</v>
      </c>
      <c r="F508" s="87">
        <v>10.76</v>
      </c>
      <c r="G508" s="88">
        <f t="shared" si="1"/>
        <v>1.86</v>
      </c>
      <c r="H508" s="89">
        <f t="shared" si="2"/>
        <v>0.1728624535</v>
      </c>
      <c r="I508" s="78" t="s">
        <v>729</v>
      </c>
      <c r="J508" s="78" t="s">
        <v>69</v>
      </c>
      <c r="K508" s="58">
        <f t="shared" si="3"/>
        <v>1</v>
      </c>
      <c r="L508" s="91" t="str">
        <f t="shared" si="4"/>
        <v>Tue</v>
      </c>
      <c r="M508" s="78" t="str">
        <f>IFERROR(VLOOKUP(A508, Entries!A:B,2,false),"")</f>
        <v>Shiro Games</v>
      </c>
      <c r="N508" s="23" t="str">
        <f>IFERROR(VLOOKUP(A508, Entries!A:K,11,false),"")</f>
        <v/>
      </c>
      <c r="O508" s="23" t="b">
        <f>IFERROR(VLOOKUP(A508, Entries!A:I,8,false),"")</f>
        <v>0</v>
      </c>
    </row>
    <row r="509">
      <c r="A509" s="78" t="s">
        <v>660</v>
      </c>
      <c r="B509" s="78" t="s">
        <v>23</v>
      </c>
      <c r="C509" s="85">
        <v>44124.0</v>
      </c>
      <c r="D509" s="85">
        <v>44131.0</v>
      </c>
      <c r="E509" s="86">
        <v>8.89</v>
      </c>
      <c r="F509" s="87">
        <v>9.6</v>
      </c>
      <c r="G509" s="88">
        <f t="shared" si="1"/>
        <v>0.71</v>
      </c>
      <c r="H509" s="89">
        <f t="shared" si="2"/>
        <v>0.07395833333</v>
      </c>
      <c r="I509" s="78" t="s">
        <v>730</v>
      </c>
      <c r="J509" s="78" t="s">
        <v>69</v>
      </c>
      <c r="K509" s="58">
        <f t="shared" si="3"/>
        <v>7</v>
      </c>
      <c r="L509" s="91" t="str">
        <f t="shared" si="4"/>
        <v>Tue</v>
      </c>
      <c r="M509" s="78" t="str">
        <f>IFERROR(VLOOKUP(A509, Entries!A:B,2,false),"")</f>
        <v>Shiro Games</v>
      </c>
      <c r="N509" s="23" t="str">
        <f>IFERROR(VLOOKUP(A509, Entries!A:K,11,false),"")</f>
        <v/>
      </c>
      <c r="O509" s="23" t="b">
        <f>IFERROR(VLOOKUP(A509, Entries!A:I,8,false),"")</f>
        <v>0</v>
      </c>
    </row>
    <row r="510">
      <c r="A510" s="78" t="s">
        <v>731</v>
      </c>
      <c r="B510" s="78" t="s">
        <v>19</v>
      </c>
      <c r="C510" s="85">
        <v>44126.0</v>
      </c>
      <c r="D510" s="85">
        <v>44128.0</v>
      </c>
      <c r="E510" s="86">
        <v>2.95</v>
      </c>
      <c r="F510" s="87">
        <v>3.94</v>
      </c>
      <c r="G510" s="88">
        <f t="shared" si="1"/>
        <v>0.99</v>
      </c>
      <c r="H510" s="89">
        <f t="shared" si="2"/>
        <v>0.2512690355</v>
      </c>
      <c r="I510" s="78" t="s">
        <v>732</v>
      </c>
      <c r="J510" s="78" t="s">
        <v>69</v>
      </c>
      <c r="K510" s="58">
        <f t="shared" si="3"/>
        <v>2</v>
      </c>
      <c r="L510" s="91" t="str">
        <f t="shared" si="4"/>
        <v>Sat</v>
      </c>
      <c r="M510" s="78" t="str">
        <f>IFERROR(VLOOKUP(A510, Entries!A:B,2,false),"")</f>
        <v>Square Enix</v>
      </c>
      <c r="N510" s="23" t="str">
        <f>IFERROR(VLOOKUP(A510, Entries!A:K,11,false),"")</f>
        <v/>
      </c>
      <c r="O510" s="23" t="b">
        <f>IFERROR(VLOOKUP(A510, Entries!A:I,8,false),"")</f>
        <v>1</v>
      </c>
    </row>
    <row r="511">
      <c r="A511" s="78" t="s">
        <v>550</v>
      </c>
      <c r="B511" s="78" t="s">
        <v>19</v>
      </c>
      <c r="C511" s="85">
        <v>44129.0</v>
      </c>
      <c r="D511" s="85">
        <v>44468.0</v>
      </c>
      <c r="E511" s="86">
        <v>0.88</v>
      </c>
      <c r="F511" s="87">
        <v>1.21</v>
      </c>
      <c r="G511" s="88">
        <f t="shared" si="1"/>
        <v>0.33</v>
      </c>
      <c r="H511" s="89">
        <f t="shared" si="2"/>
        <v>0.2727272727</v>
      </c>
      <c r="I511" s="78" t="s">
        <v>733</v>
      </c>
      <c r="J511" s="78" t="s">
        <v>69</v>
      </c>
      <c r="K511" s="58">
        <f t="shared" si="3"/>
        <v>339</v>
      </c>
      <c r="L511" s="91" t="str">
        <f t="shared" si="4"/>
        <v>Wed</v>
      </c>
      <c r="M511" s="78" t="str">
        <f>IFERROR(VLOOKUP(A511, Entries!A:B,2,false),"")</f>
        <v>Codemasters</v>
      </c>
      <c r="N511" s="23" t="str">
        <f>IFERROR(VLOOKUP(A511, Entries!A:K,11,false),"")</f>
        <v/>
      </c>
      <c r="O511" s="23" t="b">
        <f>IFERROR(VLOOKUP(A511, Entries!A:I,8,false),"")</f>
        <v>0</v>
      </c>
    </row>
    <row r="512">
      <c r="A512" s="78" t="s">
        <v>550</v>
      </c>
      <c r="B512" s="78" t="s">
        <v>19</v>
      </c>
      <c r="C512" s="85">
        <v>44129.0</v>
      </c>
      <c r="D512" s="85">
        <v>44470.0</v>
      </c>
      <c r="E512" s="86">
        <v>0.88</v>
      </c>
      <c r="F512" s="87">
        <v>1.24</v>
      </c>
      <c r="G512" s="88">
        <f t="shared" si="1"/>
        <v>0.36</v>
      </c>
      <c r="H512" s="89">
        <f t="shared" si="2"/>
        <v>0.2903225806</v>
      </c>
      <c r="I512" s="78" t="s">
        <v>734</v>
      </c>
      <c r="J512" s="78" t="s">
        <v>69</v>
      </c>
      <c r="K512" s="58">
        <f t="shared" si="3"/>
        <v>341</v>
      </c>
      <c r="L512" s="91" t="str">
        <f t="shared" si="4"/>
        <v>Fri</v>
      </c>
      <c r="M512" s="78" t="str">
        <f>IFERROR(VLOOKUP(A512, Entries!A:B,2,false),"")</f>
        <v>Codemasters</v>
      </c>
      <c r="N512" s="23" t="str">
        <f>IFERROR(VLOOKUP(A512, Entries!A:K,11,false),"")</f>
        <v/>
      </c>
      <c r="O512" s="23" t="b">
        <f>IFERROR(VLOOKUP(A512, Entries!A:I,8,false),"")</f>
        <v>0</v>
      </c>
    </row>
    <row r="513">
      <c r="A513" s="78" t="s">
        <v>517</v>
      </c>
      <c r="B513" s="78" t="s">
        <v>23</v>
      </c>
      <c r="C513" s="85">
        <v>44130.0</v>
      </c>
      <c r="D513" s="85">
        <v>44195.0</v>
      </c>
      <c r="E513" s="86">
        <v>7.64</v>
      </c>
      <c r="F513" s="87">
        <v>8.17</v>
      </c>
      <c r="G513" s="88">
        <f t="shared" si="1"/>
        <v>0.53</v>
      </c>
      <c r="H513" s="89">
        <f t="shared" si="2"/>
        <v>0.06487148103</v>
      </c>
      <c r="I513" s="78" t="s">
        <v>735</v>
      </c>
      <c r="J513" s="78" t="s">
        <v>69</v>
      </c>
      <c r="K513" s="58">
        <f t="shared" si="3"/>
        <v>65</v>
      </c>
      <c r="L513" s="91" t="str">
        <f t="shared" si="4"/>
        <v>Wed</v>
      </c>
      <c r="M513" s="78" t="str">
        <f>IFERROR(VLOOKUP(A513, Entries!A:B,2,false),"")</f>
        <v>Devolver Digital</v>
      </c>
      <c r="N513" s="23" t="str">
        <f>IFERROR(VLOOKUP(A513, Entries!A:K,11,false),"")</f>
        <v/>
      </c>
      <c r="O513" s="23" t="b">
        <f>IFERROR(VLOOKUP(A513, Entries!A:I,8,false),"")</f>
        <v>0</v>
      </c>
    </row>
    <row r="514">
      <c r="A514" s="78" t="s">
        <v>736</v>
      </c>
      <c r="B514" s="78" t="s">
        <v>21</v>
      </c>
      <c r="C514" s="85">
        <v>44132.0</v>
      </c>
      <c r="D514" s="85">
        <v>44136.0</v>
      </c>
      <c r="E514" s="86">
        <v>7.19</v>
      </c>
      <c r="F514" s="87">
        <v>9.33</v>
      </c>
      <c r="G514" s="88">
        <f t="shared" si="1"/>
        <v>2.14</v>
      </c>
      <c r="H514" s="89">
        <f t="shared" si="2"/>
        <v>0.2293676313</v>
      </c>
      <c r="I514" s="78" t="s">
        <v>737</v>
      </c>
      <c r="J514" s="78" t="s">
        <v>69</v>
      </c>
      <c r="K514" s="58">
        <f t="shared" si="3"/>
        <v>4</v>
      </c>
      <c r="L514" s="91" t="str">
        <f t="shared" si="4"/>
        <v>Sun</v>
      </c>
      <c r="M514" s="78" t="str">
        <f>IFERROR(VLOOKUP(A514, Entries!A:B,2,false),"")</f>
        <v>Awe Interactive</v>
      </c>
      <c r="N514" s="23" t="str">
        <f>IFERROR(VLOOKUP(A514, Entries!A:K,11,false),"")</f>
        <v/>
      </c>
      <c r="O514" s="23" t="b">
        <f>IFERROR(VLOOKUP(A514, Entries!A:I,8,false),"")</f>
        <v>0</v>
      </c>
    </row>
    <row r="515">
      <c r="A515" s="78" t="s">
        <v>665</v>
      </c>
      <c r="B515" s="78" t="s">
        <v>19</v>
      </c>
      <c r="C515" s="85">
        <v>44132.0</v>
      </c>
      <c r="D515" s="85">
        <v>44235.0</v>
      </c>
      <c r="E515" s="86">
        <v>0.88</v>
      </c>
      <c r="F515" s="87">
        <v>2.28</v>
      </c>
      <c r="G515" s="88">
        <f t="shared" si="1"/>
        <v>1.4</v>
      </c>
      <c r="H515" s="89">
        <f t="shared" si="2"/>
        <v>0.6140350877</v>
      </c>
      <c r="I515" s="78" t="s">
        <v>738</v>
      </c>
      <c r="J515" s="78" t="s">
        <v>69</v>
      </c>
      <c r="K515" s="58">
        <f t="shared" si="3"/>
        <v>103</v>
      </c>
      <c r="L515" s="91" t="str">
        <f t="shared" si="4"/>
        <v>Mon</v>
      </c>
      <c r="M515" s="78" t="str">
        <f>IFERROR(VLOOKUP(A515, Entries!A:B,2,false),"")</f>
        <v>Codemasters</v>
      </c>
      <c r="N515" s="23" t="str">
        <f>IFERROR(VLOOKUP(A515, Entries!A:K,11,false),"")</f>
        <v/>
      </c>
      <c r="O515" s="23" t="b">
        <f>IFERROR(VLOOKUP(A515, Entries!A:I,8,false),"")</f>
        <v>0</v>
      </c>
    </row>
    <row r="516">
      <c r="A516" s="78" t="s">
        <v>665</v>
      </c>
      <c r="B516" s="78" t="s">
        <v>19</v>
      </c>
      <c r="C516" s="85">
        <v>44132.0</v>
      </c>
      <c r="D516" s="85">
        <v>44455.0</v>
      </c>
      <c r="E516" s="86">
        <v>0.88</v>
      </c>
      <c r="F516" s="87">
        <v>2.03</v>
      </c>
      <c r="G516" s="88">
        <f t="shared" si="1"/>
        <v>1.15</v>
      </c>
      <c r="H516" s="89">
        <f t="shared" si="2"/>
        <v>0.5665024631</v>
      </c>
      <c r="I516" s="78" t="s">
        <v>739</v>
      </c>
      <c r="J516" s="78" t="s">
        <v>69</v>
      </c>
      <c r="K516" s="58">
        <f t="shared" si="3"/>
        <v>323</v>
      </c>
      <c r="L516" s="91" t="str">
        <f t="shared" si="4"/>
        <v>Thu</v>
      </c>
      <c r="M516" s="78" t="str">
        <f>IFERROR(VLOOKUP(A516, Entries!A:B,2,false),"")</f>
        <v>Codemasters</v>
      </c>
      <c r="N516" s="23" t="str">
        <f>IFERROR(VLOOKUP(A516, Entries!A:K,11,false),"")</f>
        <v/>
      </c>
      <c r="O516" s="23" t="b">
        <f>IFERROR(VLOOKUP(A516, Entries!A:I,8,false),"")</f>
        <v>0</v>
      </c>
    </row>
    <row r="517">
      <c r="A517" s="78" t="s">
        <v>665</v>
      </c>
      <c r="B517" s="78" t="s">
        <v>19</v>
      </c>
      <c r="C517" s="85">
        <v>44132.0</v>
      </c>
      <c r="D517" s="85">
        <v>44480.0</v>
      </c>
      <c r="E517" s="86">
        <v>0.88</v>
      </c>
      <c r="F517" s="87">
        <v>2.19</v>
      </c>
      <c r="G517" s="88">
        <f t="shared" si="1"/>
        <v>1.31</v>
      </c>
      <c r="H517" s="89">
        <f t="shared" si="2"/>
        <v>0.598173516</v>
      </c>
      <c r="I517" s="78" t="s">
        <v>740</v>
      </c>
      <c r="J517" s="78" t="s">
        <v>69</v>
      </c>
      <c r="K517" s="58">
        <f t="shared" si="3"/>
        <v>348</v>
      </c>
      <c r="L517" s="91" t="str">
        <f t="shared" si="4"/>
        <v>Mon</v>
      </c>
      <c r="M517" s="78" t="str">
        <f>IFERROR(VLOOKUP(A517, Entries!A:B,2,false),"")</f>
        <v>Codemasters</v>
      </c>
      <c r="N517" s="23" t="str">
        <f>IFERROR(VLOOKUP(A517, Entries!A:K,11,false),"")</f>
        <v/>
      </c>
      <c r="O517" s="23" t="b">
        <f>IFERROR(VLOOKUP(A517, Entries!A:I,8,false),"")</f>
        <v>0</v>
      </c>
    </row>
    <row r="518">
      <c r="A518" s="78" t="s">
        <v>665</v>
      </c>
      <c r="B518" s="78" t="s">
        <v>19</v>
      </c>
      <c r="C518" s="85">
        <v>44132.0</v>
      </c>
      <c r="D518" s="85">
        <v>44484.0</v>
      </c>
      <c r="E518" s="86">
        <v>0.89</v>
      </c>
      <c r="F518" s="87">
        <v>2.25</v>
      </c>
      <c r="G518" s="88">
        <f t="shared" si="1"/>
        <v>1.36</v>
      </c>
      <c r="H518" s="89">
        <f t="shared" si="2"/>
        <v>0.6044444444</v>
      </c>
      <c r="I518" s="78" t="s">
        <v>741</v>
      </c>
      <c r="J518" s="78" t="s">
        <v>69</v>
      </c>
      <c r="K518" s="58">
        <f t="shared" si="3"/>
        <v>352</v>
      </c>
      <c r="L518" s="91" t="str">
        <f t="shared" si="4"/>
        <v>Fri</v>
      </c>
      <c r="M518" s="78" t="str">
        <f>IFERROR(VLOOKUP(A518, Entries!A:B,2,false),"")</f>
        <v>Codemasters</v>
      </c>
      <c r="N518" s="23" t="str">
        <f>IFERROR(VLOOKUP(A518, Entries!A:K,11,false),"")</f>
        <v/>
      </c>
      <c r="O518" s="23" t="b">
        <f>IFERROR(VLOOKUP(A518, Entries!A:I,8,false),"")</f>
        <v>0</v>
      </c>
    </row>
    <row r="519">
      <c r="A519" s="78" t="s">
        <v>742</v>
      </c>
      <c r="B519" s="78" t="s">
        <v>23</v>
      </c>
      <c r="C519" s="85">
        <v>44134.0</v>
      </c>
      <c r="D519" s="85">
        <v>44212.0</v>
      </c>
      <c r="E519" s="86">
        <v>21.72</v>
      </c>
      <c r="F519" s="87">
        <v>20.97</v>
      </c>
      <c r="G519" s="88">
        <f t="shared" si="1"/>
        <v>-0.75</v>
      </c>
      <c r="H519" s="89">
        <f t="shared" si="2"/>
        <v>-0.03576537911</v>
      </c>
      <c r="I519" s="78" t="s">
        <v>743</v>
      </c>
      <c r="J519" s="78" t="s">
        <v>69</v>
      </c>
      <c r="K519" s="58">
        <f t="shared" si="3"/>
        <v>78</v>
      </c>
      <c r="L519" s="91" t="str">
        <f t="shared" si="4"/>
        <v>Sat</v>
      </c>
      <c r="M519" s="78" t="str">
        <f>IFERROR(VLOOKUP(A519, Entries!A:B,2,false),"")</f>
        <v>Quantic Dream</v>
      </c>
      <c r="N519" s="23" t="str">
        <f>IFERROR(VLOOKUP(A519, Entries!A:K,11,false),"")</f>
        <v/>
      </c>
      <c r="O519" s="23" t="b">
        <f>IFERROR(VLOOKUP(A519, Entries!A:I,8,false),"")</f>
        <v>0</v>
      </c>
    </row>
    <row r="520">
      <c r="A520" s="96" t="s">
        <v>736</v>
      </c>
      <c r="B520" s="78" t="s">
        <v>21</v>
      </c>
      <c r="C520" s="85">
        <v>44136.0</v>
      </c>
      <c r="D520" s="85">
        <v>44137.0</v>
      </c>
      <c r="E520" s="86">
        <v>7.06</v>
      </c>
      <c r="F520" s="87">
        <v>9.28</v>
      </c>
      <c r="G520" s="88">
        <f t="shared" si="1"/>
        <v>2.22</v>
      </c>
      <c r="H520" s="89">
        <f t="shared" si="2"/>
        <v>0.2392241379</v>
      </c>
      <c r="I520" s="78" t="s">
        <v>744</v>
      </c>
      <c r="J520" s="78" t="s">
        <v>69</v>
      </c>
      <c r="K520" s="58">
        <f t="shared" si="3"/>
        <v>1</v>
      </c>
      <c r="L520" s="91" t="str">
        <f t="shared" si="4"/>
        <v>Mon</v>
      </c>
      <c r="M520" s="78" t="str">
        <f>IFERROR(VLOOKUP(A520, Entries!A:B,2,false),"")</f>
        <v>Awe Interactive</v>
      </c>
      <c r="N520" s="23" t="str">
        <f>IFERROR(VLOOKUP(A520, Entries!A:K,11,false),"")</f>
        <v/>
      </c>
      <c r="O520" s="23" t="b">
        <f>IFERROR(VLOOKUP(A520, Entries!A:I,8,false),"")</f>
        <v>0</v>
      </c>
    </row>
    <row r="521">
      <c r="A521" s="78" t="s">
        <v>660</v>
      </c>
      <c r="B521" s="78" t="s">
        <v>23</v>
      </c>
      <c r="C521" s="85">
        <v>44137.0</v>
      </c>
      <c r="D521" s="85">
        <v>45046.0</v>
      </c>
      <c r="E521" s="86">
        <v>8.94</v>
      </c>
      <c r="F521" s="87">
        <v>1.2</v>
      </c>
      <c r="G521" s="88">
        <f t="shared" si="1"/>
        <v>-7.74</v>
      </c>
      <c r="H521" s="89">
        <f t="shared" si="2"/>
        <v>-6.45</v>
      </c>
      <c r="I521" s="78" t="s">
        <v>745</v>
      </c>
      <c r="J521" s="78" t="s">
        <v>69</v>
      </c>
      <c r="K521" s="58">
        <f t="shared" si="3"/>
        <v>909</v>
      </c>
      <c r="L521" s="91" t="str">
        <f t="shared" si="4"/>
        <v>Sun</v>
      </c>
      <c r="M521" s="78" t="str">
        <f>IFERROR(VLOOKUP(A521, Entries!A:B,2,false),"")</f>
        <v>Shiro Games</v>
      </c>
      <c r="N521" s="23" t="str">
        <f>IFERROR(VLOOKUP(A521, Entries!A:K,11,false),"")</f>
        <v/>
      </c>
      <c r="O521" s="23" t="b">
        <f>IFERROR(VLOOKUP(A521, Entries!A:I,8,false),"")</f>
        <v>0</v>
      </c>
    </row>
    <row r="522">
      <c r="A522" s="78" t="s">
        <v>736</v>
      </c>
      <c r="B522" s="78" t="s">
        <v>21</v>
      </c>
      <c r="C522" s="85">
        <v>44137.0</v>
      </c>
      <c r="D522" s="85">
        <v>44138.0</v>
      </c>
      <c r="E522" s="86">
        <v>7.06</v>
      </c>
      <c r="F522" s="87">
        <v>9.25</v>
      </c>
      <c r="G522" s="88">
        <f t="shared" si="1"/>
        <v>2.19</v>
      </c>
      <c r="H522" s="89">
        <f t="shared" si="2"/>
        <v>0.2367567568</v>
      </c>
      <c r="I522" s="78" t="s">
        <v>746</v>
      </c>
      <c r="J522" s="78" t="s">
        <v>69</v>
      </c>
      <c r="K522" s="58">
        <f t="shared" si="3"/>
        <v>1</v>
      </c>
      <c r="L522" s="91" t="str">
        <f t="shared" si="4"/>
        <v>Tue</v>
      </c>
      <c r="M522" s="78" t="str">
        <f>IFERROR(VLOOKUP(A522, Entries!A:B,2,false),"")</f>
        <v>Awe Interactive</v>
      </c>
      <c r="N522" s="23" t="str">
        <f>IFERROR(VLOOKUP(A522, Entries!A:K,11,false),"")</f>
        <v/>
      </c>
      <c r="O522" s="23" t="b">
        <f>IFERROR(VLOOKUP(A522, Entries!A:I,8,false),"")</f>
        <v>0</v>
      </c>
    </row>
    <row r="523">
      <c r="A523" s="78" t="s">
        <v>169</v>
      </c>
      <c r="B523" s="78" t="s">
        <v>19</v>
      </c>
      <c r="C523" s="85">
        <v>44141.0</v>
      </c>
      <c r="D523" s="85">
        <v>44222.0</v>
      </c>
      <c r="E523" s="86">
        <v>13.51</v>
      </c>
      <c r="F523" s="87">
        <v>15.65</v>
      </c>
      <c r="G523" s="88">
        <f t="shared" si="1"/>
        <v>2.14</v>
      </c>
      <c r="H523" s="89">
        <f t="shared" si="2"/>
        <v>0.1367412141</v>
      </c>
      <c r="I523" s="78" t="s">
        <v>747</v>
      </c>
      <c r="J523" s="78" t="s">
        <v>69</v>
      </c>
      <c r="K523" s="58">
        <f t="shared" si="3"/>
        <v>81</v>
      </c>
      <c r="L523" s="91" t="str">
        <f t="shared" si="4"/>
        <v>Tue</v>
      </c>
      <c r="M523" s="78" t="str">
        <f>IFERROR(VLOOKUP(A523, Entries!A:B,2,false),"")</f>
        <v>NIS America</v>
      </c>
      <c r="N523" s="23" t="str">
        <f>IFERROR(VLOOKUP(A523, Entries!A:K,11,false),"")</f>
        <v/>
      </c>
      <c r="O523" s="23" t="b">
        <f>IFERROR(VLOOKUP(A523, Entries!A:I,8,false),"")</f>
        <v>0</v>
      </c>
    </row>
    <row r="524">
      <c r="A524" s="78" t="s">
        <v>169</v>
      </c>
      <c r="B524" s="78" t="s">
        <v>19</v>
      </c>
      <c r="C524" s="85">
        <v>44141.0</v>
      </c>
      <c r="D524" s="85">
        <v>44305.0</v>
      </c>
      <c r="E524" s="86">
        <v>12.52</v>
      </c>
      <c r="F524" s="87">
        <v>16.03</v>
      </c>
      <c r="G524" s="88">
        <f t="shared" si="1"/>
        <v>3.51</v>
      </c>
      <c r="H524" s="89">
        <f t="shared" si="2"/>
        <v>0.2189644417</v>
      </c>
      <c r="I524" s="78" t="s">
        <v>748</v>
      </c>
      <c r="J524" s="78" t="s">
        <v>69</v>
      </c>
      <c r="K524" s="58">
        <f t="shared" si="3"/>
        <v>164</v>
      </c>
      <c r="L524" s="91" t="str">
        <f t="shared" si="4"/>
        <v>Mon</v>
      </c>
      <c r="M524" s="78" t="str">
        <f>IFERROR(VLOOKUP(A524, Entries!A:B,2,false),"")</f>
        <v>NIS America</v>
      </c>
      <c r="N524" s="23" t="str">
        <f>IFERROR(VLOOKUP(A524, Entries!A:K,11,false),"")</f>
        <v/>
      </c>
      <c r="O524" s="23" t="b">
        <f>IFERROR(VLOOKUP(A524, Entries!A:I,8,false),"")</f>
        <v>0</v>
      </c>
    </row>
    <row r="525">
      <c r="A525" s="78" t="s">
        <v>439</v>
      </c>
      <c r="B525" s="78" t="s">
        <v>19</v>
      </c>
      <c r="C525" s="85">
        <v>44141.0</v>
      </c>
      <c r="D525" s="85">
        <v>44142.0</v>
      </c>
      <c r="E525" s="86">
        <v>0.0</v>
      </c>
      <c r="F525" s="87">
        <v>1.74</v>
      </c>
      <c r="G525" s="88">
        <f t="shared" si="1"/>
        <v>1.74</v>
      </c>
      <c r="H525" s="89">
        <f t="shared" si="2"/>
        <v>1</v>
      </c>
      <c r="I525" s="78" t="s">
        <v>749</v>
      </c>
      <c r="J525" s="78" t="s">
        <v>69</v>
      </c>
      <c r="K525" s="58">
        <f t="shared" si="3"/>
        <v>1</v>
      </c>
      <c r="L525" s="91" t="str">
        <f t="shared" si="4"/>
        <v>Sat</v>
      </c>
      <c r="M525" s="78" t="str">
        <f>IFERROR(VLOOKUP(A525, Entries!A:B,2,false),"")</f>
        <v>Curve Digital</v>
      </c>
      <c r="N525" s="23" t="str">
        <f>IFERROR(VLOOKUP(A525, Entries!A:K,11,false),"")</f>
        <v/>
      </c>
      <c r="O525" s="23" t="b">
        <f>IFERROR(VLOOKUP(A525, Entries!A:I,8,false),"")</f>
        <v>0</v>
      </c>
    </row>
    <row r="526">
      <c r="A526" s="78" t="s">
        <v>750</v>
      </c>
      <c r="B526" s="78" t="s">
        <v>19</v>
      </c>
      <c r="C526" s="85">
        <v>44142.0</v>
      </c>
      <c r="D526" s="85">
        <v>44150.0</v>
      </c>
      <c r="E526" s="86">
        <v>19.08</v>
      </c>
      <c r="F526" s="87">
        <v>26.54</v>
      </c>
      <c r="G526" s="88">
        <f t="shared" si="1"/>
        <v>7.46</v>
      </c>
      <c r="H526" s="89">
        <f t="shared" si="2"/>
        <v>0.2810851545</v>
      </c>
      <c r="I526" s="78" t="s">
        <v>751</v>
      </c>
      <c r="J526" s="78" t="s">
        <v>69</v>
      </c>
      <c r="K526" s="58">
        <f t="shared" si="3"/>
        <v>8</v>
      </c>
      <c r="L526" s="91" t="str">
        <f t="shared" si="4"/>
        <v>Sun</v>
      </c>
      <c r="M526" s="78" t="str">
        <f>IFERROR(VLOOKUP(A526, Entries!A:B,2,false),"")</f>
        <v>Focus Home Interactive</v>
      </c>
      <c r="N526" s="23" t="str">
        <f>IFERROR(VLOOKUP(A526, Entries!A:K,11,false),"")</f>
        <v/>
      </c>
      <c r="O526" s="23" t="b">
        <f>IFERROR(VLOOKUP(A526, Entries!A:I,8,false),"")</f>
        <v>0</v>
      </c>
    </row>
    <row r="527">
      <c r="A527" s="78" t="s">
        <v>544</v>
      </c>
      <c r="B527" s="78" t="s">
        <v>21</v>
      </c>
      <c r="C527" s="85">
        <v>44144.0</v>
      </c>
      <c r="D527" s="85">
        <v>44145.0</v>
      </c>
      <c r="E527" s="86">
        <v>0.64</v>
      </c>
      <c r="F527" s="87">
        <v>1.62</v>
      </c>
      <c r="G527" s="88">
        <f t="shared" si="1"/>
        <v>0.98</v>
      </c>
      <c r="H527" s="89">
        <f t="shared" si="2"/>
        <v>0.6049382716</v>
      </c>
      <c r="I527" s="78" t="s">
        <v>752</v>
      </c>
      <c r="J527" s="78" t="s">
        <v>69</v>
      </c>
      <c r="K527" s="58">
        <f t="shared" si="3"/>
        <v>1</v>
      </c>
      <c r="L527" s="91" t="str">
        <f t="shared" si="4"/>
        <v>Tue</v>
      </c>
      <c r="M527" s="78" t="str">
        <f>IFERROR(VLOOKUP(A527, Entries!A:B,2,false),"")</f>
        <v>Paradox Interactive</v>
      </c>
      <c r="N527" s="23" t="str">
        <f>IFERROR(VLOOKUP(A527, Entries!A:K,11,false),"")</f>
        <v/>
      </c>
      <c r="O527" s="23" t="b">
        <f>IFERROR(VLOOKUP(A527, Entries!A:I,8,false),"")</f>
        <v>0</v>
      </c>
    </row>
    <row r="528">
      <c r="A528" s="78" t="s">
        <v>753</v>
      </c>
      <c r="B528" s="78" t="s">
        <v>19</v>
      </c>
      <c r="C528" s="85">
        <v>44147.0</v>
      </c>
      <c r="D528" s="85">
        <v>44148.0</v>
      </c>
      <c r="E528" s="86">
        <v>2.96</v>
      </c>
      <c r="F528" s="87">
        <v>7.91</v>
      </c>
      <c r="G528" s="88">
        <f t="shared" si="1"/>
        <v>4.95</v>
      </c>
      <c r="H528" s="89">
        <f t="shared" si="2"/>
        <v>0.6257901391</v>
      </c>
      <c r="I528" s="78" t="s">
        <v>754</v>
      </c>
      <c r="J528" s="78" t="s">
        <v>69</v>
      </c>
      <c r="K528" s="58">
        <f t="shared" si="3"/>
        <v>1</v>
      </c>
      <c r="L528" s="91" t="str">
        <f t="shared" si="4"/>
        <v>Fri</v>
      </c>
      <c r="M528" s="78" t="str">
        <f>IFERROR(VLOOKUP(A528, Entries!A:B,2,false),"")</f>
        <v>Codemasters</v>
      </c>
      <c r="N528" s="23" t="str">
        <f>IFERROR(VLOOKUP(A528, Entries!A:K,11,false),"")</f>
        <v/>
      </c>
      <c r="O528" s="23" t="b">
        <f>IFERROR(VLOOKUP(A528, Entries!A:I,8,false),"")</f>
        <v>0</v>
      </c>
    </row>
    <row r="529">
      <c r="A529" s="78" t="s">
        <v>753</v>
      </c>
      <c r="B529" s="78" t="s">
        <v>19</v>
      </c>
      <c r="C529" s="85">
        <v>44147.0</v>
      </c>
      <c r="D529" s="85">
        <v>44148.0</v>
      </c>
      <c r="E529" s="86">
        <v>2.96</v>
      </c>
      <c r="F529" s="87">
        <v>7.91</v>
      </c>
      <c r="G529" s="88">
        <f t="shared" si="1"/>
        <v>4.95</v>
      </c>
      <c r="H529" s="89">
        <f t="shared" si="2"/>
        <v>0.6257901391</v>
      </c>
      <c r="I529" s="78" t="s">
        <v>755</v>
      </c>
      <c r="J529" s="78" t="s">
        <v>69</v>
      </c>
      <c r="K529" s="58">
        <f t="shared" si="3"/>
        <v>1</v>
      </c>
      <c r="L529" s="91" t="str">
        <f t="shared" si="4"/>
        <v>Fri</v>
      </c>
      <c r="M529" s="78" t="str">
        <f>IFERROR(VLOOKUP(A529, Entries!A:B,2,false),"")</f>
        <v>Codemasters</v>
      </c>
      <c r="N529" s="23" t="str">
        <f>IFERROR(VLOOKUP(A529, Entries!A:K,11,false),"")</f>
        <v/>
      </c>
      <c r="O529" s="23" t="b">
        <f>IFERROR(VLOOKUP(A529, Entries!A:I,8,false),"")</f>
        <v>0</v>
      </c>
    </row>
    <row r="530">
      <c r="A530" s="78" t="s">
        <v>756</v>
      </c>
      <c r="B530" s="78" t="s">
        <v>19</v>
      </c>
      <c r="C530" s="85">
        <v>44147.0</v>
      </c>
      <c r="D530" s="85">
        <v>44181.0</v>
      </c>
      <c r="E530" s="86">
        <v>2.95</v>
      </c>
      <c r="F530" s="87">
        <v>3.4</v>
      </c>
      <c r="G530" s="88">
        <f t="shared" si="1"/>
        <v>0.45</v>
      </c>
      <c r="H530" s="89">
        <f t="shared" si="2"/>
        <v>0.1323529412</v>
      </c>
      <c r="I530" s="78" t="s">
        <v>757</v>
      </c>
      <c r="J530" s="78" t="s">
        <v>69</v>
      </c>
      <c r="K530" s="58">
        <f t="shared" si="3"/>
        <v>34</v>
      </c>
      <c r="L530" s="91" t="str">
        <f t="shared" si="4"/>
        <v>Wed</v>
      </c>
      <c r="M530" s="78" t="str">
        <f>IFERROR(VLOOKUP(A530, Entries!A:B,2,false),"")</f>
        <v>Codemasters</v>
      </c>
      <c r="N530" s="23" t="str">
        <f>IFERROR(VLOOKUP(A530, Entries!A:K,11,false),"")</f>
        <v/>
      </c>
      <c r="O530" s="23" t="b">
        <f>IFERROR(VLOOKUP(A530, Entries!A:I,8,false),"")</f>
        <v>0</v>
      </c>
    </row>
    <row r="531">
      <c r="A531" s="78" t="s">
        <v>756</v>
      </c>
      <c r="B531" s="78" t="s">
        <v>19</v>
      </c>
      <c r="C531" s="85">
        <v>44147.0</v>
      </c>
      <c r="D531" s="85">
        <v>44187.0</v>
      </c>
      <c r="E531" s="86">
        <v>2.95</v>
      </c>
      <c r="F531" s="87">
        <v>3.3</v>
      </c>
      <c r="G531" s="88">
        <f t="shared" si="1"/>
        <v>0.35</v>
      </c>
      <c r="H531" s="89">
        <f t="shared" si="2"/>
        <v>0.1060606061</v>
      </c>
      <c r="I531" s="78" t="s">
        <v>758</v>
      </c>
      <c r="J531" s="78" t="s">
        <v>69</v>
      </c>
      <c r="K531" s="58">
        <f t="shared" si="3"/>
        <v>40</v>
      </c>
      <c r="L531" s="91" t="str">
        <f t="shared" si="4"/>
        <v>Tue</v>
      </c>
      <c r="M531" s="78" t="str">
        <f>IFERROR(VLOOKUP(A531, Entries!A:B,2,false),"")</f>
        <v>Codemasters</v>
      </c>
      <c r="N531" s="23" t="str">
        <f>IFERROR(VLOOKUP(A531, Entries!A:K,11,false),"")</f>
        <v/>
      </c>
      <c r="O531" s="23" t="b">
        <f>IFERROR(VLOOKUP(A531, Entries!A:I,8,false),"")</f>
        <v>0</v>
      </c>
    </row>
    <row r="532">
      <c r="A532" s="78" t="s">
        <v>759</v>
      </c>
      <c r="B532" s="78" t="s">
        <v>19</v>
      </c>
      <c r="C532" s="85">
        <v>44147.0</v>
      </c>
      <c r="D532" s="85">
        <v>44149.0</v>
      </c>
      <c r="E532" s="86">
        <v>2.95</v>
      </c>
      <c r="F532" s="87">
        <v>3.86</v>
      </c>
      <c r="G532" s="88">
        <f t="shared" si="1"/>
        <v>0.91</v>
      </c>
      <c r="H532" s="89">
        <f t="shared" si="2"/>
        <v>0.2357512953</v>
      </c>
      <c r="I532" s="78" t="s">
        <v>760</v>
      </c>
      <c r="J532" s="78" t="s">
        <v>69</v>
      </c>
      <c r="K532" s="58">
        <f t="shared" si="3"/>
        <v>2</v>
      </c>
      <c r="L532" s="91" t="str">
        <f t="shared" si="4"/>
        <v>Sat</v>
      </c>
      <c r="M532" s="78" t="str">
        <f>IFERROR(VLOOKUP(A532, Entries!A:B,2,false),"")</f>
        <v>Kalypso Media</v>
      </c>
      <c r="N532" s="23" t="str">
        <f>IFERROR(VLOOKUP(A532, Entries!A:K,11,false),"")</f>
        <v/>
      </c>
      <c r="O532" s="23" t="b">
        <f>IFERROR(VLOOKUP(A532, Entries!A:I,8,false),"")</f>
        <v>0</v>
      </c>
    </row>
    <row r="533">
      <c r="A533" s="78" t="s">
        <v>759</v>
      </c>
      <c r="B533" s="78" t="s">
        <v>19</v>
      </c>
      <c r="C533" s="85">
        <v>44147.0</v>
      </c>
      <c r="D533" s="85">
        <v>44317.0</v>
      </c>
      <c r="E533" s="86">
        <v>2.95</v>
      </c>
      <c r="F533" s="87">
        <v>3.15</v>
      </c>
      <c r="G533" s="88">
        <f t="shared" si="1"/>
        <v>0.2</v>
      </c>
      <c r="H533" s="89">
        <f t="shared" si="2"/>
        <v>0.06349206349</v>
      </c>
      <c r="I533" s="78" t="s">
        <v>761</v>
      </c>
      <c r="J533" s="78" t="s">
        <v>69</v>
      </c>
      <c r="K533" s="58">
        <f t="shared" si="3"/>
        <v>170</v>
      </c>
      <c r="L533" s="91" t="str">
        <f t="shared" si="4"/>
        <v>Sat</v>
      </c>
      <c r="M533" s="78" t="str">
        <f>IFERROR(VLOOKUP(A533, Entries!A:B,2,false),"")</f>
        <v>Kalypso Media</v>
      </c>
      <c r="N533" s="23" t="str">
        <f>IFERROR(VLOOKUP(A533, Entries!A:K,11,false),"")</f>
        <v/>
      </c>
      <c r="O533" s="23" t="b">
        <f>IFERROR(VLOOKUP(A533, Entries!A:I,8,false),"")</f>
        <v>0</v>
      </c>
    </row>
    <row r="534">
      <c r="A534" s="78" t="s">
        <v>762</v>
      </c>
      <c r="B534" s="78" t="s">
        <v>19</v>
      </c>
      <c r="C534" s="85">
        <v>44148.0</v>
      </c>
      <c r="D534" s="85">
        <v>44153.0</v>
      </c>
      <c r="E534" s="86">
        <v>5.49</v>
      </c>
      <c r="F534" s="87">
        <v>6.6</v>
      </c>
      <c r="G534" s="88">
        <f t="shared" si="1"/>
        <v>1.11</v>
      </c>
      <c r="H534" s="89">
        <f t="shared" si="2"/>
        <v>0.1681818182</v>
      </c>
      <c r="I534" s="78" t="s">
        <v>763</v>
      </c>
      <c r="J534" s="78" t="s">
        <v>69</v>
      </c>
      <c r="K534" s="58">
        <f t="shared" si="3"/>
        <v>5</v>
      </c>
      <c r="L534" s="91" t="str">
        <f t="shared" si="4"/>
        <v>Wed</v>
      </c>
      <c r="M534" s="78" t="str">
        <f>IFERROR(VLOOKUP(A534, Entries!A:B,2,false),"")</f>
        <v>Modus Games</v>
      </c>
      <c r="N534" s="23" t="str">
        <f>IFERROR(VLOOKUP(A534, Entries!A:K,11,false),"")</f>
        <v/>
      </c>
      <c r="O534" s="23" t="b">
        <f>IFERROR(VLOOKUP(A534, Entries!A:I,8,false),"")</f>
        <v>0</v>
      </c>
    </row>
    <row r="535">
      <c r="A535" s="78" t="s">
        <v>691</v>
      </c>
      <c r="B535" s="78" t="s">
        <v>19</v>
      </c>
      <c r="C535" s="85">
        <v>44148.0</v>
      </c>
      <c r="D535" s="85">
        <v>44681.0</v>
      </c>
      <c r="E535" s="86">
        <v>0.0</v>
      </c>
      <c r="F535" s="87">
        <v>0.55</v>
      </c>
      <c r="G535" s="88">
        <f t="shared" si="1"/>
        <v>0.55</v>
      </c>
      <c r="H535" s="89">
        <f t="shared" si="2"/>
        <v>1</v>
      </c>
      <c r="I535" s="78" t="s">
        <v>764</v>
      </c>
      <c r="J535" s="78" t="s">
        <v>69</v>
      </c>
      <c r="K535" s="58">
        <f t="shared" si="3"/>
        <v>533</v>
      </c>
      <c r="L535" s="91" t="str">
        <f t="shared" si="4"/>
        <v>Sat</v>
      </c>
      <c r="M535" s="78" t="str">
        <f>IFERROR(VLOOKUP(A535, Entries!A:B,2,false),"")</f>
        <v>Curve Digital</v>
      </c>
      <c r="N535" s="23" t="str">
        <f>IFERROR(VLOOKUP(A535, Entries!A:K,11,false),"")</f>
        <v/>
      </c>
      <c r="O535" s="23" t="b">
        <f>IFERROR(VLOOKUP(A535, Entries!A:I,8,false),"")</f>
        <v>0</v>
      </c>
    </row>
    <row r="536">
      <c r="A536" s="78" t="s">
        <v>765</v>
      </c>
      <c r="B536" s="78" t="s">
        <v>22</v>
      </c>
      <c r="C536" s="85">
        <v>44154.0</v>
      </c>
      <c r="D536" s="85">
        <v>44155.0</v>
      </c>
      <c r="E536" s="86">
        <v>9.34</v>
      </c>
      <c r="F536" s="87">
        <v>12.18</v>
      </c>
      <c r="G536" s="88">
        <f t="shared" si="1"/>
        <v>2.84</v>
      </c>
      <c r="H536" s="89">
        <f t="shared" si="2"/>
        <v>0.2331691297</v>
      </c>
      <c r="I536" s="78" t="s">
        <v>766</v>
      </c>
      <c r="J536" s="78" t="s">
        <v>69</v>
      </c>
      <c r="K536" s="58">
        <f t="shared" si="3"/>
        <v>1</v>
      </c>
      <c r="L536" s="91" t="str">
        <f t="shared" si="4"/>
        <v>Fri</v>
      </c>
      <c r="M536" s="78" t="str">
        <f>IFERROR(VLOOKUP(A536, Entries!A:B,2,false),"")</f>
        <v>Bungie</v>
      </c>
      <c r="N536" s="23" t="str">
        <f>IFERROR(VLOOKUP(A536, Entries!A:K,11,false),"")</f>
        <v/>
      </c>
      <c r="O536" s="23" t="b">
        <f>IFERROR(VLOOKUP(A536, Entries!A:I,8,false),"")</f>
        <v>0</v>
      </c>
    </row>
    <row r="537">
      <c r="A537" s="78" t="s">
        <v>767</v>
      </c>
      <c r="B537" s="78" t="s">
        <v>19</v>
      </c>
      <c r="C537" s="85">
        <v>44155.0</v>
      </c>
      <c r="D537" s="85">
        <v>44687.0</v>
      </c>
      <c r="E537" s="86">
        <v>10.46</v>
      </c>
      <c r="F537" s="87">
        <v>1.24</v>
      </c>
      <c r="G537" s="88">
        <f t="shared" si="1"/>
        <v>-9.22</v>
      </c>
      <c r="H537" s="89">
        <f t="shared" si="2"/>
        <v>-7.435483871</v>
      </c>
      <c r="I537" s="78" t="s">
        <v>768</v>
      </c>
      <c r="J537" s="78" t="s">
        <v>69</v>
      </c>
      <c r="K537" s="58">
        <f t="shared" si="3"/>
        <v>532</v>
      </c>
      <c r="L537" s="91" t="str">
        <f t="shared" si="4"/>
        <v>Fri</v>
      </c>
      <c r="M537" s="78" t="str">
        <f>IFERROR(VLOOKUP(A537, Entries!A:B,2,false),"")</f>
        <v>Big Sugar</v>
      </c>
      <c r="N537" s="23" t="str">
        <f>IFERROR(VLOOKUP(A537, Entries!A:K,11,false),"")</f>
        <v/>
      </c>
      <c r="O537" s="23" t="b">
        <f>IFERROR(VLOOKUP(A537, Entries!A:I,8,false),"")</f>
        <v>0</v>
      </c>
    </row>
    <row r="538">
      <c r="A538" s="78" t="s">
        <v>769</v>
      </c>
      <c r="B538" s="78" t="s">
        <v>19</v>
      </c>
      <c r="C538" s="85">
        <v>44157.0</v>
      </c>
      <c r="D538" s="85">
        <v>44157.0</v>
      </c>
      <c r="E538" s="86">
        <v>2.78</v>
      </c>
      <c r="F538" s="87">
        <v>7.43</v>
      </c>
      <c r="G538" s="88">
        <f t="shared" si="1"/>
        <v>4.65</v>
      </c>
      <c r="H538" s="89">
        <f t="shared" si="2"/>
        <v>0.6258411844</v>
      </c>
      <c r="I538" s="78" t="s">
        <v>770</v>
      </c>
      <c r="J538" s="78" t="s">
        <v>69</v>
      </c>
      <c r="K538" s="58">
        <f t="shared" si="3"/>
        <v>0</v>
      </c>
      <c r="L538" s="91" t="str">
        <f t="shared" si="4"/>
        <v>Sun</v>
      </c>
      <c r="M538" s="78" t="str">
        <f>IFERROR(VLOOKUP(A538, Entries!A:B,2,false),"")</f>
        <v>Starbreeze Publishing</v>
      </c>
      <c r="N538" s="23" t="str">
        <f>IFERROR(VLOOKUP(A538, Entries!A:K,11,false),"")</f>
        <v/>
      </c>
      <c r="O538" s="23" t="b">
        <f>IFERROR(VLOOKUP(A538, Entries!A:I,8,false),"")</f>
        <v>0</v>
      </c>
    </row>
    <row r="539">
      <c r="A539" s="78" t="s">
        <v>769</v>
      </c>
      <c r="B539" s="78" t="s">
        <v>19</v>
      </c>
      <c r="C539" s="85">
        <v>44157.0</v>
      </c>
      <c r="D539" s="85">
        <v>44158.0</v>
      </c>
      <c r="E539" s="86">
        <v>2.78</v>
      </c>
      <c r="F539" s="87">
        <v>7.38</v>
      </c>
      <c r="G539" s="88">
        <f t="shared" si="1"/>
        <v>4.6</v>
      </c>
      <c r="H539" s="89">
        <f t="shared" si="2"/>
        <v>0.6233062331</v>
      </c>
      <c r="I539" s="78" t="s">
        <v>771</v>
      </c>
      <c r="J539" s="78" t="s">
        <v>69</v>
      </c>
      <c r="K539" s="58">
        <f t="shared" si="3"/>
        <v>1</v>
      </c>
      <c r="L539" s="91" t="str">
        <f t="shared" si="4"/>
        <v>Mon</v>
      </c>
      <c r="M539" s="78" t="str">
        <f>IFERROR(VLOOKUP(A539, Entries!A:B,2,false),"")</f>
        <v>Starbreeze Publishing</v>
      </c>
      <c r="N539" s="23" t="str">
        <f>IFERROR(VLOOKUP(A539, Entries!A:K,11,false),"")</f>
        <v/>
      </c>
      <c r="O539" s="23" t="b">
        <f>IFERROR(VLOOKUP(A539, Entries!A:I,8,false),"")</f>
        <v>0</v>
      </c>
    </row>
    <row r="540">
      <c r="A540" s="78" t="s">
        <v>279</v>
      </c>
      <c r="B540" s="78" t="s">
        <v>19</v>
      </c>
      <c r="C540" s="85">
        <v>44157.0</v>
      </c>
      <c r="D540" s="85">
        <v>44157.0</v>
      </c>
      <c r="E540" s="86">
        <v>4.17</v>
      </c>
      <c r="F540" s="87">
        <v>7.46</v>
      </c>
      <c r="G540" s="88">
        <f t="shared" si="1"/>
        <v>3.29</v>
      </c>
      <c r="H540" s="89">
        <f t="shared" si="2"/>
        <v>0.4410187668</v>
      </c>
      <c r="I540" s="78" t="s">
        <v>772</v>
      </c>
      <c r="J540" s="78" t="s">
        <v>69</v>
      </c>
      <c r="K540" s="58">
        <f t="shared" si="3"/>
        <v>0</v>
      </c>
      <c r="L540" s="91" t="str">
        <f t="shared" si="4"/>
        <v>Sun</v>
      </c>
      <c r="M540" s="78" t="str">
        <f>IFERROR(VLOOKUP(A540, Entries!A:B,2,false),"")</f>
        <v>Beamdog</v>
      </c>
      <c r="N540" s="23" t="str">
        <f>IFERROR(VLOOKUP(A540, Entries!A:K,11,false),"")</f>
        <v/>
      </c>
      <c r="O540" s="23" t="b">
        <f>IFERROR(VLOOKUP(A540, Entries!A:I,8,false),"")</f>
        <v>0</v>
      </c>
    </row>
    <row r="541">
      <c r="A541" s="78" t="s">
        <v>773</v>
      </c>
      <c r="B541" s="78" t="s">
        <v>19</v>
      </c>
      <c r="C541" s="85">
        <v>44157.0</v>
      </c>
      <c r="D541" s="85">
        <v>44157.0</v>
      </c>
      <c r="E541" s="86">
        <v>5.5</v>
      </c>
      <c r="F541" s="87">
        <v>7.82</v>
      </c>
      <c r="G541" s="88">
        <f t="shared" si="1"/>
        <v>2.32</v>
      </c>
      <c r="H541" s="89">
        <f t="shared" si="2"/>
        <v>0.2966751918</v>
      </c>
      <c r="I541" s="78" t="s">
        <v>774</v>
      </c>
      <c r="J541" s="78" t="s">
        <v>69</v>
      </c>
      <c r="K541" s="58">
        <f t="shared" si="3"/>
        <v>0</v>
      </c>
      <c r="L541" s="91" t="str">
        <f t="shared" si="4"/>
        <v>Sun</v>
      </c>
      <c r="M541" s="78" t="str">
        <f>IFERROR(VLOOKUP(A541, Entries!A:B,2,false),"")</f>
        <v>Focus Home Interactive</v>
      </c>
      <c r="N541" s="23" t="str">
        <f>IFERROR(VLOOKUP(A541, Entries!A:K,11,false),"")</f>
        <v/>
      </c>
      <c r="O541" s="23" t="b">
        <f>IFERROR(VLOOKUP(A541, Entries!A:I,8,false),"")</f>
        <v>0</v>
      </c>
    </row>
    <row r="542">
      <c r="A542" s="78" t="s">
        <v>775</v>
      </c>
      <c r="B542" s="78" t="s">
        <v>19</v>
      </c>
      <c r="C542" s="85">
        <v>44157.0</v>
      </c>
      <c r="D542" s="85">
        <v>44164.0</v>
      </c>
      <c r="E542" s="86">
        <v>0.0</v>
      </c>
      <c r="F542" s="87">
        <v>0.92</v>
      </c>
      <c r="G542" s="88">
        <f t="shared" si="1"/>
        <v>0.92</v>
      </c>
      <c r="H542" s="89">
        <f t="shared" si="2"/>
        <v>1</v>
      </c>
      <c r="I542" s="78" t="s">
        <v>776</v>
      </c>
      <c r="J542" s="78" t="s">
        <v>69</v>
      </c>
      <c r="K542" s="58">
        <f t="shared" si="3"/>
        <v>7</v>
      </c>
      <c r="L542" s="91" t="str">
        <f t="shared" si="4"/>
        <v>Sun</v>
      </c>
      <c r="M542" s="78" t="str">
        <f>IFERROR(VLOOKUP(A542, Entries!A:B,2,false),"")</f>
        <v>LucasArts</v>
      </c>
      <c r="N542" s="23" t="str">
        <f>IFERROR(VLOOKUP(A542, Entries!A:K,11,false),"")</f>
        <v/>
      </c>
      <c r="O542" s="23" t="b">
        <f>IFERROR(VLOOKUP(A542, Entries!A:I,8,false),"")</f>
        <v>0</v>
      </c>
    </row>
    <row r="543">
      <c r="A543" s="78" t="s">
        <v>750</v>
      </c>
      <c r="B543" s="78" t="s">
        <v>19</v>
      </c>
      <c r="C543" s="85">
        <v>44157.0</v>
      </c>
      <c r="D543" s="85">
        <v>44279.0</v>
      </c>
      <c r="E543" s="86">
        <v>18.99</v>
      </c>
      <c r="F543" s="87">
        <v>20.62</v>
      </c>
      <c r="G543" s="88">
        <f t="shared" si="1"/>
        <v>1.63</v>
      </c>
      <c r="H543" s="89">
        <f t="shared" si="2"/>
        <v>0.07904946654</v>
      </c>
      <c r="I543" s="78" t="s">
        <v>777</v>
      </c>
      <c r="J543" s="78" t="s">
        <v>69</v>
      </c>
      <c r="K543" s="58">
        <f t="shared" si="3"/>
        <v>122</v>
      </c>
      <c r="L543" s="91" t="str">
        <f t="shared" si="4"/>
        <v>Wed</v>
      </c>
      <c r="M543" s="78" t="str">
        <f>IFERROR(VLOOKUP(A543, Entries!A:B,2,false),"")</f>
        <v>Focus Home Interactive</v>
      </c>
      <c r="N543" s="23" t="str">
        <f>IFERROR(VLOOKUP(A543, Entries!A:K,11,false),"")</f>
        <v/>
      </c>
      <c r="O543" s="23" t="b">
        <f>IFERROR(VLOOKUP(A543, Entries!A:I,8,false),"")</f>
        <v>0</v>
      </c>
    </row>
    <row r="544">
      <c r="A544" s="78" t="s">
        <v>778</v>
      </c>
      <c r="B544" s="78" t="s">
        <v>19</v>
      </c>
      <c r="C544" s="85">
        <v>44157.0</v>
      </c>
      <c r="D544" s="85">
        <v>44178.0</v>
      </c>
      <c r="E544" s="86">
        <v>0.0</v>
      </c>
      <c r="F544" s="87">
        <v>4.91</v>
      </c>
      <c r="G544" s="88">
        <f t="shared" si="1"/>
        <v>4.91</v>
      </c>
      <c r="H544" s="89">
        <f t="shared" si="2"/>
        <v>1</v>
      </c>
      <c r="I544" s="78" t="s">
        <v>779</v>
      </c>
      <c r="J544" s="78" t="s">
        <v>69</v>
      </c>
      <c r="K544" s="58">
        <f t="shared" si="3"/>
        <v>21</v>
      </c>
      <c r="L544" s="91" t="str">
        <f t="shared" si="4"/>
        <v>Sun</v>
      </c>
      <c r="M544" s="78" t="str">
        <f>IFERROR(VLOOKUP(A544, Entries!A:B,2,false),"")</f>
        <v>Microids</v>
      </c>
      <c r="N544" s="23" t="str">
        <f>IFERROR(VLOOKUP(A544, Entries!A:K,11,false),"")</f>
        <v/>
      </c>
      <c r="O544" s="23" t="b">
        <f>IFERROR(VLOOKUP(A544, Entries!A:I,8,false),"")</f>
        <v>0</v>
      </c>
    </row>
    <row r="545">
      <c r="A545" s="78" t="s">
        <v>279</v>
      </c>
      <c r="B545" s="78" t="s">
        <v>19</v>
      </c>
      <c r="C545" s="85">
        <v>44157.0</v>
      </c>
      <c r="D545" s="85">
        <v>44183.0</v>
      </c>
      <c r="E545" s="86">
        <v>4.17</v>
      </c>
      <c r="F545" s="87">
        <v>6.64</v>
      </c>
      <c r="G545" s="88">
        <f t="shared" si="1"/>
        <v>2.47</v>
      </c>
      <c r="H545" s="89">
        <f t="shared" si="2"/>
        <v>0.3719879518</v>
      </c>
      <c r="I545" s="78" t="s">
        <v>780</v>
      </c>
      <c r="J545" s="78" t="s">
        <v>69</v>
      </c>
      <c r="K545" s="58">
        <f t="shared" si="3"/>
        <v>26</v>
      </c>
      <c r="L545" s="91" t="str">
        <f t="shared" si="4"/>
        <v>Fri</v>
      </c>
      <c r="M545" s="78" t="str">
        <f>IFERROR(VLOOKUP(A545, Entries!A:B,2,false),"")</f>
        <v>Beamdog</v>
      </c>
      <c r="N545" s="23" t="str">
        <f>IFERROR(VLOOKUP(A545, Entries!A:K,11,false),"")</f>
        <v/>
      </c>
      <c r="O545" s="23" t="b">
        <f>IFERROR(VLOOKUP(A545, Entries!A:I,8,false),"")</f>
        <v>0</v>
      </c>
    </row>
    <row r="546">
      <c r="A546" s="78" t="s">
        <v>769</v>
      </c>
      <c r="B546" s="78" t="s">
        <v>19</v>
      </c>
      <c r="C546" s="85">
        <v>44158.0</v>
      </c>
      <c r="D546" s="85">
        <v>44158.0</v>
      </c>
      <c r="E546" s="86">
        <v>2.78</v>
      </c>
      <c r="F546" s="87">
        <v>7.38</v>
      </c>
      <c r="G546" s="88">
        <f t="shared" si="1"/>
        <v>4.6</v>
      </c>
      <c r="H546" s="89">
        <f t="shared" si="2"/>
        <v>0.6233062331</v>
      </c>
      <c r="I546" s="78" t="s">
        <v>781</v>
      </c>
      <c r="J546" s="78" t="s">
        <v>69</v>
      </c>
      <c r="K546" s="58">
        <f t="shared" si="3"/>
        <v>0</v>
      </c>
      <c r="L546" s="91" t="str">
        <f t="shared" si="4"/>
        <v>Mon</v>
      </c>
      <c r="M546" s="78" t="str">
        <f>IFERROR(VLOOKUP(A546, Entries!A:B,2,false),"")</f>
        <v>Starbreeze Publishing</v>
      </c>
      <c r="N546" s="23" t="str">
        <f>IFERROR(VLOOKUP(A546, Entries!A:K,11,false),"")</f>
        <v/>
      </c>
      <c r="O546" s="23" t="b">
        <f>IFERROR(VLOOKUP(A546, Entries!A:I,8,false),"")</f>
        <v>0</v>
      </c>
    </row>
    <row r="547">
      <c r="A547" s="78" t="s">
        <v>279</v>
      </c>
      <c r="B547" s="78" t="s">
        <v>19</v>
      </c>
      <c r="C547" s="85">
        <v>44158.0</v>
      </c>
      <c r="D547" s="85">
        <v>44184.0</v>
      </c>
      <c r="E547" s="86">
        <v>4.17</v>
      </c>
      <c r="F547" s="87">
        <v>6.92</v>
      </c>
      <c r="G547" s="88">
        <f t="shared" si="1"/>
        <v>2.75</v>
      </c>
      <c r="H547" s="89">
        <f t="shared" si="2"/>
        <v>0.3973988439</v>
      </c>
      <c r="I547" s="78" t="s">
        <v>782</v>
      </c>
      <c r="J547" s="78" t="s">
        <v>69</v>
      </c>
      <c r="K547" s="58">
        <f t="shared" si="3"/>
        <v>26</v>
      </c>
      <c r="L547" s="91" t="str">
        <f t="shared" si="4"/>
        <v>Sat</v>
      </c>
      <c r="M547" s="78" t="str">
        <f>IFERROR(VLOOKUP(A547, Entries!A:B,2,false),"")</f>
        <v>Beamdog</v>
      </c>
      <c r="N547" s="23" t="str">
        <f>IFERROR(VLOOKUP(A547, Entries!A:K,11,false),"")</f>
        <v/>
      </c>
      <c r="O547" s="23" t="b">
        <f>IFERROR(VLOOKUP(A547, Entries!A:I,8,false),"")</f>
        <v>0</v>
      </c>
    </row>
    <row r="548">
      <c r="A548" s="78" t="s">
        <v>773</v>
      </c>
      <c r="B548" s="78" t="s">
        <v>19</v>
      </c>
      <c r="C548" s="85">
        <v>44158.0</v>
      </c>
      <c r="D548" s="85">
        <v>44160.0</v>
      </c>
      <c r="E548" s="86">
        <v>5.5</v>
      </c>
      <c r="F548" s="87">
        <v>7.46</v>
      </c>
      <c r="G548" s="88">
        <f t="shared" si="1"/>
        <v>1.96</v>
      </c>
      <c r="H548" s="89">
        <f t="shared" si="2"/>
        <v>0.2627345845</v>
      </c>
      <c r="I548" s="78" t="s">
        <v>783</v>
      </c>
      <c r="J548" s="78" t="s">
        <v>69</v>
      </c>
      <c r="K548" s="58">
        <f t="shared" si="3"/>
        <v>2</v>
      </c>
      <c r="L548" s="91" t="str">
        <f t="shared" si="4"/>
        <v>Wed</v>
      </c>
      <c r="M548" s="78" t="str">
        <f>IFERROR(VLOOKUP(A548, Entries!A:B,2,false),"")</f>
        <v>Focus Home Interactive</v>
      </c>
      <c r="N548" s="23" t="str">
        <f>IFERROR(VLOOKUP(A548, Entries!A:K,11,false),"")</f>
        <v/>
      </c>
      <c r="O548" s="23" t="b">
        <f>IFERROR(VLOOKUP(A548, Entries!A:I,8,false),"")</f>
        <v>0</v>
      </c>
    </row>
    <row r="549">
      <c r="A549" s="78" t="s">
        <v>584</v>
      </c>
      <c r="B549" s="78" t="s">
        <v>19</v>
      </c>
      <c r="C549" s="85">
        <v>44158.0</v>
      </c>
      <c r="D549" s="85">
        <v>44158.0</v>
      </c>
      <c r="E549" s="86">
        <v>0.0</v>
      </c>
      <c r="F549" s="87">
        <v>0.37</v>
      </c>
      <c r="G549" s="88">
        <f t="shared" si="1"/>
        <v>0.37</v>
      </c>
      <c r="H549" s="89">
        <f t="shared" si="2"/>
        <v>1</v>
      </c>
      <c r="I549" s="78" t="s">
        <v>561</v>
      </c>
      <c r="J549" s="78" t="s">
        <v>69</v>
      </c>
      <c r="K549" s="58">
        <f t="shared" si="3"/>
        <v>0</v>
      </c>
      <c r="L549" s="91" t="str">
        <f t="shared" si="4"/>
        <v>Mon</v>
      </c>
      <c r="M549" s="78" t="str">
        <f>IFERROR(VLOOKUP(A549, Entries!A:B,2,false),"")</f>
        <v>Runic Games</v>
      </c>
      <c r="N549" s="23" t="str">
        <f>IFERROR(VLOOKUP(A549, Entries!A:K,11,false),"")</f>
        <v/>
      </c>
      <c r="O549" s="23" t="b">
        <f>IFERROR(VLOOKUP(A549, Entries!A:I,8,false),"")</f>
        <v>0</v>
      </c>
    </row>
    <row r="550">
      <c r="A550" s="78" t="s">
        <v>784</v>
      </c>
      <c r="B550" s="78" t="s">
        <v>22</v>
      </c>
      <c r="C550" s="85">
        <v>44159.0</v>
      </c>
      <c r="D550" s="85">
        <v>44267.0</v>
      </c>
      <c r="E550" s="86">
        <v>9.82</v>
      </c>
      <c r="F550" s="87">
        <v>12.19</v>
      </c>
      <c r="G550" s="88">
        <f t="shared" si="1"/>
        <v>2.37</v>
      </c>
      <c r="H550" s="89">
        <f t="shared" si="2"/>
        <v>0.1944216571</v>
      </c>
      <c r="I550" s="78" t="s">
        <v>785</v>
      </c>
      <c r="J550" s="78" t="s">
        <v>69</v>
      </c>
      <c r="K550" s="58">
        <f t="shared" si="3"/>
        <v>108</v>
      </c>
      <c r="L550" s="91" t="str">
        <f t="shared" si="4"/>
        <v>Fri</v>
      </c>
      <c r="M550" s="78" t="str">
        <f>IFERROR(VLOOKUP(A550, Entries!A:B,2,false),"")</f>
        <v>Bungie</v>
      </c>
      <c r="N550" s="23" t="str">
        <f>IFERROR(VLOOKUP(A550, Entries!A:K,11,false),"")</f>
        <v/>
      </c>
      <c r="O550" s="23" t="b">
        <f>IFERROR(VLOOKUP(A550, Entries!A:I,8,false),"")</f>
        <v>0</v>
      </c>
    </row>
    <row r="551">
      <c r="A551" s="78" t="s">
        <v>669</v>
      </c>
      <c r="B551" s="78" t="s">
        <v>19</v>
      </c>
      <c r="C551" s="85">
        <v>44160.0</v>
      </c>
      <c r="D551" s="85">
        <v>44168.0</v>
      </c>
      <c r="E551" s="86">
        <v>0.87</v>
      </c>
      <c r="F551" s="87">
        <v>1.35</v>
      </c>
      <c r="G551" s="88">
        <f t="shared" si="1"/>
        <v>0.48</v>
      </c>
      <c r="H551" s="89">
        <f t="shared" si="2"/>
        <v>0.3555555556</v>
      </c>
      <c r="I551" s="78" t="s">
        <v>786</v>
      </c>
      <c r="J551" s="78" t="s">
        <v>69</v>
      </c>
      <c r="K551" s="58">
        <f t="shared" si="3"/>
        <v>8</v>
      </c>
      <c r="L551" s="91" t="str">
        <f t="shared" si="4"/>
        <v>Thu</v>
      </c>
      <c r="M551" s="78" t="str">
        <f>IFERROR(VLOOKUP(A551, Entries!A:B,2,false),"")</f>
        <v>Atari</v>
      </c>
      <c r="N551" s="23" t="str">
        <f>IFERROR(VLOOKUP(A551, Entries!A:K,11,false),"")</f>
        <v/>
      </c>
      <c r="O551" s="23" t="b">
        <f>IFERROR(VLOOKUP(A551, Entries!A:I,8,false),"")</f>
        <v>0</v>
      </c>
    </row>
    <row r="552">
      <c r="A552" s="78" t="s">
        <v>678</v>
      </c>
      <c r="B552" s="78" t="s">
        <v>23</v>
      </c>
      <c r="C552" s="85">
        <v>44160.0</v>
      </c>
      <c r="D552" s="85">
        <v>44174.0</v>
      </c>
      <c r="E552" s="86">
        <v>3.74</v>
      </c>
      <c r="F552" s="87">
        <v>7.07</v>
      </c>
      <c r="G552" s="88">
        <f t="shared" si="1"/>
        <v>3.33</v>
      </c>
      <c r="H552" s="89">
        <f t="shared" si="2"/>
        <v>0.4710042433</v>
      </c>
      <c r="I552" s="78" t="s">
        <v>787</v>
      </c>
      <c r="J552" s="78" t="s">
        <v>69</v>
      </c>
      <c r="K552" s="58">
        <f t="shared" si="3"/>
        <v>14</v>
      </c>
      <c r="L552" s="91" t="str">
        <f t="shared" si="4"/>
        <v>Wed</v>
      </c>
      <c r="M552" s="78" t="str">
        <f>IFERROR(VLOOKUP(A552, Entries!A:B,2,false),"")</f>
        <v>FireFly Studios</v>
      </c>
      <c r="N552" s="23" t="str">
        <f>IFERROR(VLOOKUP(A552, Entries!A:K,11,false),"")</f>
        <v/>
      </c>
      <c r="O552" s="23" t="b">
        <f>IFERROR(VLOOKUP(A552, Entries!A:I,8,false),"")</f>
        <v>0</v>
      </c>
    </row>
    <row r="553">
      <c r="A553" s="78" t="s">
        <v>678</v>
      </c>
      <c r="B553" s="78" t="s">
        <v>23</v>
      </c>
      <c r="C553" s="85">
        <v>44160.0</v>
      </c>
      <c r="D553" s="85">
        <v>44174.0</v>
      </c>
      <c r="E553" s="86">
        <v>3.74</v>
      </c>
      <c r="F553" s="87">
        <v>7.07</v>
      </c>
      <c r="G553" s="88">
        <f t="shared" si="1"/>
        <v>3.33</v>
      </c>
      <c r="H553" s="89">
        <f t="shared" si="2"/>
        <v>0.4710042433</v>
      </c>
      <c r="I553" s="78" t="s">
        <v>788</v>
      </c>
      <c r="J553" s="78" t="s">
        <v>69</v>
      </c>
      <c r="K553" s="58">
        <f t="shared" si="3"/>
        <v>14</v>
      </c>
      <c r="L553" s="91" t="str">
        <f t="shared" si="4"/>
        <v>Wed</v>
      </c>
      <c r="M553" s="78" t="str">
        <f>IFERROR(VLOOKUP(A553, Entries!A:B,2,false),"")</f>
        <v>FireFly Studios</v>
      </c>
      <c r="N553" s="23" t="str">
        <f>IFERROR(VLOOKUP(A553, Entries!A:K,11,false),"")</f>
        <v/>
      </c>
      <c r="O553" s="23" t="b">
        <f>IFERROR(VLOOKUP(A553, Entries!A:I,8,false),"")</f>
        <v>0</v>
      </c>
    </row>
    <row r="554">
      <c r="A554" s="78" t="s">
        <v>84</v>
      </c>
      <c r="B554" s="78" t="s">
        <v>19</v>
      </c>
      <c r="C554" s="85">
        <v>44160.0</v>
      </c>
      <c r="D554" s="85">
        <v>44167.0</v>
      </c>
      <c r="E554" s="86">
        <v>10.86</v>
      </c>
      <c r="F554" s="87">
        <v>13.07</v>
      </c>
      <c r="G554" s="88">
        <f t="shared" si="1"/>
        <v>2.21</v>
      </c>
      <c r="H554" s="89">
        <f t="shared" si="2"/>
        <v>0.169089518</v>
      </c>
      <c r="I554" s="78" t="s">
        <v>789</v>
      </c>
      <c r="J554" s="78" t="s">
        <v>69</v>
      </c>
      <c r="K554" s="58">
        <f t="shared" si="3"/>
        <v>7</v>
      </c>
      <c r="L554" s="91" t="str">
        <f t="shared" si="4"/>
        <v>Wed</v>
      </c>
      <c r="M554" s="78" t="str">
        <f>IFERROR(VLOOKUP(A554, Entries!A:B,2,false),"")</f>
        <v>Siege Camp</v>
      </c>
      <c r="N554" s="23" t="str">
        <f>IFERROR(VLOOKUP(A554, Entries!A:K,11,false),"")</f>
        <v/>
      </c>
      <c r="O554" s="23" t="b">
        <f>IFERROR(VLOOKUP(A554, Entries!A:I,8,false),"")</f>
        <v>1</v>
      </c>
    </row>
    <row r="555">
      <c r="A555" s="78" t="s">
        <v>790</v>
      </c>
      <c r="B555" s="78" t="s">
        <v>19</v>
      </c>
      <c r="C555" s="85">
        <v>44160.0</v>
      </c>
      <c r="D555" s="85">
        <v>44272.0</v>
      </c>
      <c r="E555" s="86">
        <v>0.0</v>
      </c>
      <c r="F555" s="87">
        <v>0.88</v>
      </c>
      <c r="G555" s="88">
        <f t="shared" si="1"/>
        <v>0.88</v>
      </c>
      <c r="H555" s="89">
        <f t="shared" si="2"/>
        <v>1</v>
      </c>
      <c r="I555" s="78" t="s">
        <v>791</v>
      </c>
      <c r="J555" s="78" t="s">
        <v>69</v>
      </c>
      <c r="K555" s="58">
        <f t="shared" si="3"/>
        <v>112</v>
      </c>
      <c r="L555" s="91" t="str">
        <f t="shared" si="4"/>
        <v>Wed</v>
      </c>
      <c r="M555" s="78" t="str">
        <f>IFERROR(VLOOKUP(A555, Entries!A:B,2,false),"")</f>
        <v>Surprise Attack</v>
      </c>
      <c r="N555" s="23" t="str">
        <f>IFERROR(VLOOKUP(A555, Entries!A:K,11,false),"")</f>
        <v/>
      </c>
      <c r="O555" s="23" t="b">
        <f>IFERROR(VLOOKUP(A555, Entries!A:I,8,false),"")</f>
        <v>0</v>
      </c>
    </row>
    <row r="556">
      <c r="A556" s="78" t="s">
        <v>773</v>
      </c>
      <c r="B556" s="78" t="s">
        <v>19</v>
      </c>
      <c r="C556" s="85">
        <v>44162.0</v>
      </c>
      <c r="D556" s="85">
        <v>44166.0</v>
      </c>
      <c r="E556" s="86">
        <v>5.22</v>
      </c>
      <c r="F556" s="87">
        <v>7.5</v>
      </c>
      <c r="G556" s="88">
        <f t="shared" si="1"/>
        <v>2.28</v>
      </c>
      <c r="H556" s="89">
        <f t="shared" si="2"/>
        <v>0.304</v>
      </c>
      <c r="I556" s="78" t="s">
        <v>792</v>
      </c>
      <c r="J556" s="78" t="s">
        <v>69</v>
      </c>
      <c r="K556" s="58">
        <f t="shared" si="3"/>
        <v>4</v>
      </c>
      <c r="L556" s="91" t="str">
        <f t="shared" si="4"/>
        <v>Tue</v>
      </c>
      <c r="M556" s="78" t="str">
        <f>IFERROR(VLOOKUP(A556, Entries!A:B,2,false),"")</f>
        <v>Focus Home Interactive</v>
      </c>
      <c r="N556" s="23" t="str">
        <f>IFERROR(VLOOKUP(A556, Entries!A:K,11,false),"")</f>
        <v/>
      </c>
      <c r="O556" s="23" t="b">
        <f>IFERROR(VLOOKUP(A556, Entries!A:I,8,false),"")</f>
        <v>0</v>
      </c>
    </row>
    <row r="557">
      <c r="A557" s="78" t="s">
        <v>550</v>
      </c>
      <c r="B557" s="78" t="s">
        <v>19</v>
      </c>
      <c r="C557" s="85">
        <v>44162.0</v>
      </c>
      <c r="D557" s="85">
        <v>44475.0</v>
      </c>
      <c r="E557" s="86">
        <v>0.9</v>
      </c>
      <c r="F557" s="87">
        <v>1.24</v>
      </c>
      <c r="G557" s="88">
        <f t="shared" si="1"/>
        <v>0.34</v>
      </c>
      <c r="H557" s="89">
        <f t="shared" si="2"/>
        <v>0.2741935484</v>
      </c>
      <c r="I557" s="78" t="s">
        <v>793</v>
      </c>
      <c r="J557" s="78" t="s">
        <v>69</v>
      </c>
      <c r="K557" s="58">
        <f t="shared" si="3"/>
        <v>313</v>
      </c>
      <c r="L557" s="91" t="str">
        <f t="shared" si="4"/>
        <v>Wed</v>
      </c>
      <c r="M557" s="78" t="str">
        <f>IFERROR(VLOOKUP(A557, Entries!A:B,2,false),"")</f>
        <v>Codemasters</v>
      </c>
      <c r="N557" s="23" t="str">
        <f>IFERROR(VLOOKUP(A557, Entries!A:K,11,false),"")</f>
        <v/>
      </c>
      <c r="O557" s="23" t="b">
        <f>IFERROR(VLOOKUP(A557, Entries!A:I,8,false),"")</f>
        <v>0</v>
      </c>
    </row>
    <row r="558">
      <c r="A558" s="78" t="s">
        <v>550</v>
      </c>
      <c r="B558" s="78" t="s">
        <v>19</v>
      </c>
      <c r="C558" s="85">
        <v>44162.0</v>
      </c>
      <c r="D558" s="85">
        <v>44478.0</v>
      </c>
      <c r="E558" s="86">
        <v>0.9</v>
      </c>
      <c r="F558" s="87">
        <v>1.24</v>
      </c>
      <c r="G558" s="88">
        <f t="shared" si="1"/>
        <v>0.34</v>
      </c>
      <c r="H558" s="89">
        <f t="shared" si="2"/>
        <v>0.2741935484</v>
      </c>
      <c r="I558" s="78" t="s">
        <v>794</v>
      </c>
      <c r="J558" s="78" t="s">
        <v>69</v>
      </c>
      <c r="K558" s="58">
        <f t="shared" si="3"/>
        <v>316</v>
      </c>
      <c r="L558" s="91" t="str">
        <f t="shared" si="4"/>
        <v>Sat</v>
      </c>
      <c r="M558" s="78" t="str">
        <f>IFERROR(VLOOKUP(A558, Entries!A:B,2,false),"")</f>
        <v>Codemasters</v>
      </c>
      <c r="N558" s="23" t="str">
        <f>IFERROR(VLOOKUP(A558, Entries!A:K,11,false),"")</f>
        <v/>
      </c>
      <c r="O558" s="23" t="b">
        <f>IFERROR(VLOOKUP(A558, Entries!A:I,8,false),"")</f>
        <v>0</v>
      </c>
    </row>
    <row r="559">
      <c r="A559" s="78" t="s">
        <v>550</v>
      </c>
      <c r="B559" s="78" t="s">
        <v>19</v>
      </c>
      <c r="C559" s="85">
        <v>44162.0</v>
      </c>
      <c r="D559" s="85">
        <v>44491.0</v>
      </c>
      <c r="E559" s="86">
        <v>0.9</v>
      </c>
      <c r="F559" s="87">
        <v>1.26</v>
      </c>
      <c r="G559" s="88">
        <f t="shared" si="1"/>
        <v>0.36</v>
      </c>
      <c r="H559" s="89">
        <f t="shared" si="2"/>
        <v>0.2857142857</v>
      </c>
      <c r="I559" s="78" t="s">
        <v>795</v>
      </c>
      <c r="J559" s="78" t="s">
        <v>69</v>
      </c>
      <c r="K559" s="58">
        <f t="shared" si="3"/>
        <v>329</v>
      </c>
      <c r="L559" s="91" t="str">
        <f t="shared" si="4"/>
        <v>Fri</v>
      </c>
      <c r="M559" s="78" t="str">
        <f>IFERROR(VLOOKUP(A559, Entries!A:B,2,false),"")</f>
        <v>Codemasters</v>
      </c>
      <c r="N559" s="23" t="str">
        <f>IFERROR(VLOOKUP(A559, Entries!A:K,11,false),"")</f>
        <v/>
      </c>
      <c r="O559" s="23" t="b">
        <f>IFERROR(VLOOKUP(A559, Entries!A:I,8,false),"")</f>
        <v>0</v>
      </c>
    </row>
    <row r="560">
      <c r="A560" s="78" t="s">
        <v>550</v>
      </c>
      <c r="B560" s="78" t="s">
        <v>19</v>
      </c>
      <c r="C560" s="85">
        <v>44162.0</v>
      </c>
      <c r="D560" s="85">
        <v>44493.0</v>
      </c>
      <c r="E560" s="86">
        <v>0.9</v>
      </c>
      <c r="F560" s="87">
        <v>1.26</v>
      </c>
      <c r="G560" s="88">
        <f t="shared" si="1"/>
        <v>0.36</v>
      </c>
      <c r="H560" s="89">
        <f t="shared" si="2"/>
        <v>0.2857142857</v>
      </c>
      <c r="I560" s="78" t="s">
        <v>796</v>
      </c>
      <c r="J560" s="78" t="s">
        <v>69</v>
      </c>
      <c r="K560" s="58">
        <f t="shared" si="3"/>
        <v>331</v>
      </c>
      <c r="L560" s="91" t="str">
        <f t="shared" si="4"/>
        <v>Sun</v>
      </c>
      <c r="M560" s="78" t="str">
        <f>IFERROR(VLOOKUP(A560, Entries!A:B,2,false),"")</f>
        <v>Codemasters</v>
      </c>
      <c r="N560" s="23" t="str">
        <f>IFERROR(VLOOKUP(A560, Entries!A:K,11,false),"")</f>
        <v/>
      </c>
      <c r="O560" s="23" t="b">
        <f>IFERROR(VLOOKUP(A560, Entries!A:I,8,false),"")</f>
        <v>0</v>
      </c>
    </row>
    <row r="561">
      <c r="A561" s="78" t="s">
        <v>797</v>
      </c>
      <c r="B561" s="78" t="s">
        <v>19</v>
      </c>
      <c r="C561" s="85">
        <v>44162.0</v>
      </c>
      <c r="D561" s="85">
        <v>44175.0</v>
      </c>
      <c r="E561" s="86">
        <v>0.0</v>
      </c>
      <c r="F561" s="87">
        <v>0.8</v>
      </c>
      <c r="G561" s="88">
        <f t="shared" si="1"/>
        <v>0.8</v>
      </c>
      <c r="H561" s="89">
        <f t="shared" si="2"/>
        <v>1</v>
      </c>
      <c r="I561" s="78" t="s">
        <v>798</v>
      </c>
      <c r="J561" s="78" t="s">
        <v>69</v>
      </c>
      <c r="K561" s="58">
        <f t="shared" si="3"/>
        <v>13</v>
      </c>
      <c r="L561" s="91" t="str">
        <f t="shared" si="4"/>
        <v>Thu</v>
      </c>
      <c r="M561" s="78" t="str">
        <f>IFERROR(VLOOKUP(A561, Entries!A:B,2,false),"")</f>
        <v>LucasArts</v>
      </c>
      <c r="N561" s="23" t="str">
        <f>IFERROR(VLOOKUP(A561, Entries!A:K,11,false),"")</f>
        <v/>
      </c>
      <c r="O561" s="23" t="b">
        <f>IFERROR(VLOOKUP(A561, Entries!A:I,8,false),"")</f>
        <v>0</v>
      </c>
    </row>
    <row r="562">
      <c r="A562" s="78" t="s">
        <v>624</v>
      </c>
      <c r="B562" s="78" t="s">
        <v>19</v>
      </c>
      <c r="C562" s="85">
        <v>44168.0</v>
      </c>
      <c r="D562" s="85">
        <v>44170.0</v>
      </c>
      <c r="E562" s="86">
        <v>2.65</v>
      </c>
      <c r="F562" s="87">
        <v>4.6</v>
      </c>
      <c r="G562" s="88">
        <f t="shared" si="1"/>
        <v>1.95</v>
      </c>
      <c r="H562" s="89">
        <f t="shared" si="2"/>
        <v>0.4239130435</v>
      </c>
      <c r="I562" s="78" t="s">
        <v>799</v>
      </c>
      <c r="J562" s="78" t="s">
        <v>69</v>
      </c>
      <c r="K562" s="58">
        <f t="shared" si="3"/>
        <v>2</v>
      </c>
      <c r="L562" s="91" t="str">
        <f t="shared" si="4"/>
        <v>Sat</v>
      </c>
      <c r="M562" s="78" t="str">
        <f>IFERROR(VLOOKUP(A562, Entries!A:B,2,false),"")</f>
        <v>NEXT Studios</v>
      </c>
      <c r="N562" s="23" t="str">
        <f>IFERROR(VLOOKUP(A562, Entries!A:K,11,false),"")</f>
        <v/>
      </c>
      <c r="O562" s="23" t="b">
        <f>IFERROR(VLOOKUP(A562, Entries!A:I,8,false),"")</f>
        <v>1</v>
      </c>
    </row>
    <row r="563">
      <c r="A563" s="78" t="s">
        <v>622</v>
      </c>
      <c r="B563" s="78" t="s">
        <v>19</v>
      </c>
      <c r="C563" s="85">
        <v>44168.0</v>
      </c>
      <c r="D563" s="85">
        <v>44170.0</v>
      </c>
      <c r="E563" s="86">
        <v>2.61</v>
      </c>
      <c r="F563" s="87">
        <v>3.73</v>
      </c>
      <c r="G563" s="88">
        <f t="shared" si="1"/>
        <v>1.12</v>
      </c>
      <c r="H563" s="89">
        <f t="shared" si="2"/>
        <v>0.3002680965</v>
      </c>
      <c r="I563" s="78" t="s">
        <v>800</v>
      </c>
      <c r="J563" s="78" t="s">
        <v>69</v>
      </c>
      <c r="K563" s="58">
        <f t="shared" si="3"/>
        <v>2</v>
      </c>
      <c r="L563" s="91" t="str">
        <f t="shared" si="4"/>
        <v>Sat</v>
      </c>
      <c r="M563" s="78" t="str">
        <f>IFERROR(VLOOKUP(A563, Entries!A:B,2,false),"")</f>
        <v>Blue Brain Games</v>
      </c>
      <c r="N563" s="23" t="str">
        <f>IFERROR(VLOOKUP(A563, Entries!A:K,11,false),"")</f>
        <v/>
      </c>
      <c r="O563" s="23" t="b">
        <f>IFERROR(VLOOKUP(A563, Entries!A:I,8,false),"")</f>
        <v>1</v>
      </c>
    </row>
    <row r="564">
      <c r="A564" s="78" t="s">
        <v>801</v>
      </c>
      <c r="B564" s="78" t="s">
        <v>19</v>
      </c>
      <c r="C564" s="85">
        <v>44168.0</v>
      </c>
      <c r="D564" s="85">
        <v>44238.0</v>
      </c>
      <c r="E564" s="86">
        <v>2.61</v>
      </c>
      <c r="F564" s="87">
        <v>3.38</v>
      </c>
      <c r="G564" s="88">
        <f t="shared" si="1"/>
        <v>0.77</v>
      </c>
      <c r="H564" s="89">
        <f t="shared" si="2"/>
        <v>0.2278106509</v>
      </c>
      <c r="I564" s="78" t="s">
        <v>802</v>
      </c>
      <c r="J564" s="78" t="s">
        <v>69</v>
      </c>
      <c r="K564" s="58">
        <f t="shared" si="3"/>
        <v>70</v>
      </c>
      <c r="L564" s="91" t="str">
        <f t="shared" si="4"/>
        <v>Thu</v>
      </c>
      <c r="M564" s="78" t="str">
        <f>IFERROR(VLOOKUP(A564, Entries!A:B,2,false),"")</f>
        <v>Nacon</v>
      </c>
      <c r="N564" s="23" t="str">
        <f>IFERROR(VLOOKUP(A564, Entries!A:K,11,false),"")</f>
        <v/>
      </c>
      <c r="O564" s="23" t="b">
        <f>IFERROR(VLOOKUP(A564, Entries!A:I,8,false),"")</f>
        <v>0</v>
      </c>
    </row>
    <row r="565">
      <c r="A565" s="78" t="s">
        <v>803</v>
      </c>
      <c r="B565" s="78" t="s">
        <v>19</v>
      </c>
      <c r="C565" s="85">
        <v>44168.0</v>
      </c>
      <c r="D565" s="85">
        <v>44217.0</v>
      </c>
      <c r="E565" s="86">
        <v>2.61</v>
      </c>
      <c r="F565" s="87">
        <v>3.33</v>
      </c>
      <c r="G565" s="88">
        <f t="shared" si="1"/>
        <v>0.72</v>
      </c>
      <c r="H565" s="89">
        <f t="shared" si="2"/>
        <v>0.2162162162</v>
      </c>
      <c r="I565" s="78" t="s">
        <v>804</v>
      </c>
      <c r="J565" s="78" t="s">
        <v>69</v>
      </c>
      <c r="K565" s="58">
        <f t="shared" si="3"/>
        <v>49</v>
      </c>
      <c r="L565" s="91" t="str">
        <f t="shared" si="4"/>
        <v>Thu</v>
      </c>
      <c r="M565" s="78" t="str">
        <f>IFERROR(VLOOKUP(A565, Entries!A:B,2,false),"")</f>
        <v>Nacon</v>
      </c>
      <c r="N565" s="23" t="str">
        <f>IFERROR(VLOOKUP(A565, Entries!A:K,11,false),"")</f>
        <v/>
      </c>
      <c r="O565" s="23" t="b">
        <f>IFERROR(VLOOKUP(A565, Entries!A:I,8,false),"")</f>
        <v>0</v>
      </c>
    </row>
    <row r="566">
      <c r="A566" s="78" t="s">
        <v>805</v>
      </c>
      <c r="B566" s="78" t="s">
        <v>19</v>
      </c>
      <c r="C566" s="85">
        <v>44168.0</v>
      </c>
      <c r="D566" s="85">
        <v>44171.0</v>
      </c>
      <c r="E566" s="86">
        <v>2.61</v>
      </c>
      <c r="F566" s="87">
        <v>3.6</v>
      </c>
      <c r="G566" s="88">
        <f t="shared" si="1"/>
        <v>0.99</v>
      </c>
      <c r="H566" s="89">
        <f t="shared" si="2"/>
        <v>0.275</v>
      </c>
      <c r="I566" s="78" t="s">
        <v>806</v>
      </c>
      <c r="J566" s="78" t="s">
        <v>69</v>
      </c>
      <c r="K566" s="58">
        <f t="shared" si="3"/>
        <v>3</v>
      </c>
      <c r="L566" s="91" t="str">
        <f t="shared" si="4"/>
        <v>Sun</v>
      </c>
      <c r="M566" s="78" t="str">
        <f>IFERROR(VLOOKUP(A566, Entries!A:B,2,false),"")</f>
        <v>Paradox Interactive</v>
      </c>
      <c r="N566" s="23" t="str">
        <f>IFERROR(VLOOKUP(A566, Entries!A:K,11,false),"")</f>
        <v/>
      </c>
      <c r="O566" s="23" t="b">
        <f>IFERROR(VLOOKUP(A566, Entries!A:I,8,false),"")</f>
        <v>1</v>
      </c>
    </row>
    <row r="567">
      <c r="A567" s="78" t="s">
        <v>624</v>
      </c>
      <c r="B567" s="78" t="s">
        <v>19</v>
      </c>
      <c r="C567" s="85">
        <v>44171.0</v>
      </c>
      <c r="D567" s="85">
        <v>44171.0</v>
      </c>
      <c r="E567" s="86">
        <v>2.86</v>
      </c>
      <c r="F567" s="87">
        <v>4.61</v>
      </c>
      <c r="G567" s="88">
        <f t="shared" si="1"/>
        <v>1.75</v>
      </c>
      <c r="H567" s="89">
        <f t="shared" si="2"/>
        <v>0.3796095445</v>
      </c>
      <c r="I567" s="78" t="s">
        <v>807</v>
      </c>
      <c r="J567" s="78" t="s">
        <v>69</v>
      </c>
      <c r="K567" s="58">
        <f t="shared" si="3"/>
        <v>0</v>
      </c>
      <c r="L567" s="91" t="str">
        <f t="shared" si="4"/>
        <v>Sun</v>
      </c>
      <c r="M567" s="78" t="str">
        <f>IFERROR(VLOOKUP(A567, Entries!A:B,2,false),"")</f>
        <v>NEXT Studios</v>
      </c>
      <c r="N567" s="23" t="str">
        <f>IFERROR(VLOOKUP(A567, Entries!A:K,11,false),"")</f>
        <v/>
      </c>
      <c r="O567" s="23" t="b">
        <f>IFERROR(VLOOKUP(A567, Entries!A:I,8,false),"")</f>
        <v>1</v>
      </c>
    </row>
    <row r="568">
      <c r="A568" s="78" t="s">
        <v>622</v>
      </c>
      <c r="B568" s="78" t="s">
        <v>19</v>
      </c>
      <c r="C568" s="85">
        <v>44171.0</v>
      </c>
      <c r="D568" s="85">
        <v>44171.0</v>
      </c>
      <c r="E568" s="86">
        <v>2.86</v>
      </c>
      <c r="F568" s="87">
        <v>3.73</v>
      </c>
      <c r="G568" s="88">
        <f t="shared" si="1"/>
        <v>0.87</v>
      </c>
      <c r="H568" s="89">
        <f t="shared" si="2"/>
        <v>0.2332439678</v>
      </c>
      <c r="I568" s="78" t="s">
        <v>808</v>
      </c>
      <c r="J568" s="78" t="s">
        <v>69</v>
      </c>
      <c r="K568" s="58">
        <f t="shared" si="3"/>
        <v>0</v>
      </c>
      <c r="L568" s="91" t="str">
        <f t="shared" si="4"/>
        <v>Sun</v>
      </c>
      <c r="M568" s="78" t="str">
        <f>IFERROR(VLOOKUP(A568, Entries!A:B,2,false),"")</f>
        <v>Blue Brain Games</v>
      </c>
      <c r="N568" s="23" t="str">
        <f>IFERROR(VLOOKUP(A568, Entries!A:K,11,false),"")</f>
        <v/>
      </c>
      <c r="O568" s="23" t="b">
        <f>IFERROR(VLOOKUP(A568, Entries!A:I,8,false),"")</f>
        <v>1</v>
      </c>
    </row>
    <row r="569">
      <c r="A569" s="78" t="s">
        <v>809</v>
      </c>
      <c r="B569" s="78" t="s">
        <v>19</v>
      </c>
      <c r="C569" s="85">
        <v>44171.0</v>
      </c>
      <c r="D569" s="85">
        <v>44195.0</v>
      </c>
      <c r="E569" s="86">
        <v>2.87</v>
      </c>
      <c r="F569" s="87">
        <v>4.24</v>
      </c>
      <c r="G569" s="88">
        <f t="shared" si="1"/>
        <v>1.37</v>
      </c>
      <c r="H569" s="89">
        <f t="shared" si="2"/>
        <v>0.3231132075</v>
      </c>
      <c r="I569" s="78" t="s">
        <v>810</v>
      </c>
      <c r="J569" s="78" t="s">
        <v>69</v>
      </c>
      <c r="K569" s="58">
        <f t="shared" si="3"/>
        <v>24</v>
      </c>
      <c r="L569" s="91" t="str">
        <f t="shared" si="4"/>
        <v>Wed</v>
      </c>
      <c r="M569" s="78" t="str">
        <f>IFERROR(VLOOKUP(A569, Entries!A:B,2,false),"")</f>
        <v>Modus Games</v>
      </c>
      <c r="N569" s="23" t="str">
        <f>IFERROR(VLOOKUP(A569, Entries!A:K,11,false),"")</f>
        <v/>
      </c>
      <c r="O569" s="23" t="b">
        <f>IFERROR(VLOOKUP(A569, Entries!A:I,8,false),"")</f>
        <v>0</v>
      </c>
    </row>
    <row r="570">
      <c r="A570" s="78" t="s">
        <v>805</v>
      </c>
      <c r="B570" s="78" t="s">
        <v>19</v>
      </c>
      <c r="C570" s="85">
        <v>44173.0</v>
      </c>
      <c r="D570" s="85">
        <v>44182.0</v>
      </c>
      <c r="E570" s="86">
        <v>2.87</v>
      </c>
      <c r="F570" s="87">
        <v>3.57</v>
      </c>
      <c r="G570" s="88">
        <f t="shared" si="1"/>
        <v>0.7</v>
      </c>
      <c r="H570" s="89">
        <f t="shared" si="2"/>
        <v>0.1960784314</v>
      </c>
      <c r="I570" s="78" t="s">
        <v>811</v>
      </c>
      <c r="J570" s="78" t="s">
        <v>69</v>
      </c>
      <c r="K570" s="58">
        <f t="shared" si="3"/>
        <v>9</v>
      </c>
      <c r="L570" s="91" t="str">
        <f t="shared" si="4"/>
        <v>Thu</v>
      </c>
      <c r="M570" s="78" t="str">
        <f>IFERROR(VLOOKUP(A570, Entries!A:B,2,false),"")</f>
        <v>Paradox Interactive</v>
      </c>
      <c r="N570" s="23" t="str">
        <f>IFERROR(VLOOKUP(A570, Entries!A:K,11,false),"")</f>
        <v/>
      </c>
      <c r="O570" s="23" t="b">
        <f>IFERROR(VLOOKUP(A570, Entries!A:I,8,false),"")</f>
        <v>1</v>
      </c>
    </row>
    <row r="571">
      <c r="A571" s="78" t="s">
        <v>624</v>
      </c>
      <c r="B571" s="78" t="s">
        <v>19</v>
      </c>
      <c r="C571" s="85">
        <v>44173.0</v>
      </c>
      <c r="D571" s="85">
        <v>44177.0</v>
      </c>
      <c r="E571" s="86">
        <v>2.87</v>
      </c>
      <c r="F571" s="87">
        <v>4.69</v>
      </c>
      <c r="G571" s="88">
        <f t="shared" si="1"/>
        <v>1.82</v>
      </c>
      <c r="H571" s="89">
        <f t="shared" si="2"/>
        <v>0.3880597015</v>
      </c>
      <c r="I571" s="78" t="s">
        <v>812</v>
      </c>
      <c r="J571" s="78" t="s">
        <v>69</v>
      </c>
      <c r="K571" s="58">
        <f t="shared" si="3"/>
        <v>4</v>
      </c>
      <c r="L571" s="91" t="str">
        <f t="shared" si="4"/>
        <v>Sat</v>
      </c>
      <c r="M571" s="78" t="str">
        <f>IFERROR(VLOOKUP(A571, Entries!A:B,2,false),"")</f>
        <v>NEXT Studios</v>
      </c>
      <c r="N571" s="23" t="str">
        <f>IFERROR(VLOOKUP(A571, Entries!A:K,11,false),"")</f>
        <v/>
      </c>
      <c r="O571" s="23" t="b">
        <f>IFERROR(VLOOKUP(A571, Entries!A:I,8,false),"")</f>
        <v>1</v>
      </c>
    </row>
    <row r="572">
      <c r="A572" s="78" t="s">
        <v>622</v>
      </c>
      <c r="B572" s="78" t="s">
        <v>19</v>
      </c>
      <c r="C572" s="85">
        <v>44173.0</v>
      </c>
      <c r="D572" s="85">
        <v>44173.0</v>
      </c>
      <c r="E572" s="86">
        <v>2.88</v>
      </c>
      <c r="F572" s="87">
        <v>3.96</v>
      </c>
      <c r="G572" s="88">
        <f t="shared" si="1"/>
        <v>1.08</v>
      </c>
      <c r="H572" s="89">
        <f t="shared" si="2"/>
        <v>0.2727272727</v>
      </c>
      <c r="I572" s="78" t="s">
        <v>813</v>
      </c>
      <c r="J572" s="78" t="s">
        <v>69</v>
      </c>
      <c r="K572" s="58">
        <f t="shared" si="3"/>
        <v>0</v>
      </c>
      <c r="L572" s="91" t="str">
        <f t="shared" si="4"/>
        <v>Tue</v>
      </c>
      <c r="M572" s="78" t="str">
        <f>IFERROR(VLOOKUP(A572, Entries!A:B,2,false),"")</f>
        <v>Blue Brain Games</v>
      </c>
      <c r="N572" s="23" t="str">
        <f>IFERROR(VLOOKUP(A572, Entries!A:K,11,false),"")</f>
        <v/>
      </c>
      <c r="O572" s="23" t="b">
        <f>IFERROR(VLOOKUP(A572, Entries!A:I,8,false),"")</f>
        <v>1</v>
      </c>
    </row>
    <row r="573">
      <c r="A573" s="78" t="s">
        <v>773</v>
      </c>
      <c r="B573" s="78" t="s">
        <v>23</v>
      </c>
      <c r="C573" s="85">
        <v>44173.0</v>
      </c>
      <c r="D573" s="85">
        <v>44178.0</v>
      </c>
      <c r="E573" s="86">
        <v>5.82</v>
      </c>
      <c r="F573" s="87">
        <v>6.89</v>
      </c>
      <c r="G573" s="88">
        <f t="shared" si="1"/>
        <v>1.07</v>
      </c>
      <c r="H573" s="89">
        <f t="shared" si="2"/>
        <v>0.1552975327</v>
      </c>
      <c r="I573" s="78" t="s">
        <v>814</v>
      </c>
      <c r="J573" s="78" t="s">
        <v>69</v>
      </c>
      <c r="K573" s="58">
        <f t="shared" si="3"/>
        <v>5</v>
      </c>
      <c r="L573" s="91" t="str">
        <f t="shared" si="4"/>
        <v>Sun</v>
      </c>
      <c r="M573" s="78" t="str">
        <f>IFERROR(VLOOKUP(A573, Entries!A:B,2,false),"")</f>
        <v>Focus Home Interactive</v>
      </c>
      <c r="N573" s="23" t="str">
        <f>IFERROR(VLOOKUP(A573, Entries!A:K,11,false),"")</f>
        <v/>
      </c>
      <c r="O573" s="23" t="b">
        <f>IFERROR(VLOOKUP(A573, Entries!A:I,8,false),"")</f>
        <v>0</v>
      </c>
    </row>
    <row r="574">
      <c r="A574" s="78" t="s">
        <v>805</v>
      </c>
      <c r="B574" s="78" t="s">
        <v>19</v>
      </c>
      <c r="C574" s="85">
        <v>44174.0</v>
      </c>
      <c r="D574" s="85">
        <v>44183.0</v>
      </c>
      <c r="E574" s="86">
        <v>2.86</v>
      </c>
      <c r="F574" s="87">
        <v>3.6</v>
      </c>
      <c r="G574" s="88">
        <f t="shared" si="1"/>
        <v>0.74</v>
      </c>
      <c r="H574" s="89">
        <f t="shared" si="2"/>
        <v>0.2055555556</v>
      </c>
      <c r="I574" s="78" t="s">
        <v>815</v>
      </c>
      <c r="J574" s="78" t="s">
        <v>69</v>
      </c>
      <c r="K574" s="58">
        <f t="shared" si="3"/>
        <v>9</v>
      </c>
      <c r="L574" s="91" t="str">
        <f t="shared" si="4"/>
        <v>Fri</v>
      </c>
      <c r="M574" s="78" t="str">
        <f>IFERROR(VLOOKUP(A574, Entries!A:B,2,false),"")</f>
        <v>Paradox Interactive</v>
      </c>
      <c r="N574" s="23" t="str">
        <f>IFERROR(VLOOKUP(A574, Entries!A:K,11,false),"")</f>
        <v/>
      </c>
      <c r="O574" s="23" t="b">
        <f>IFERROR(VLOOKUP(A574, Entries!A:I,8,false),"")</f>
        <v>1</v>
      </c>
    </row>
    <row r="575">
      <c r="A575" s="78" t="s">
        <v>624</v>
      </c>
      <c r="B575" s="78" t="s">
        <v>19</v>
      </c>
      <c r="C575" s="85">
        <v>44174.0</v>
      </c>
      <c r="D575" s="85">
        <v>44177.0</v>
      </c>
      <c r="E575" s="86">
        <v>2.87</v>
      </c>
      <c r="F575" s="87">
        <v>4.69</v>
      </c>
      <c r="G575" s="88">
        <f t="shared" si="1"/>
        <v>1.82</v>
      </c>
      <c r="H575" s="89">
        <f t="shared" si="2"/>
        <v>0.3880597015</v>
      </c>
      <c r="I575" s="78" t="s">
        <v>816</v>
      </c>
      <c r="J575" s="78" t="s">
        <v>69</v>
      </c>
      <c r="K575" s="58">
        <f t="shared" si="3"/>
        <v>3</v>
      </c>
      <c r="L575" s="91" t="str">
        <f t="shared" si="4"/>
        <v>Sat</v>
      </c>
      <c r="M575" s="78" t="str">
        <f>IFERROR(VLOOKUP(A575, Entries!A:B,2,false),"")</f>
        <v>NEXT Studios</v>
      </c>
      <c r="N575" s="23" t="str">
        <f>IFERROR(VLOOKUP(A575, Entries!A:K,11,false),"")</f>
        <v/>
      </c>
      <c r="O575" s="23" t="b">
        <f>IFERROR(VLOOKUP(A575, Entries!A:I,8,false),"")</f>
        <v>1</v>
      </c>
    </row>
    <row r="576">
      <c r="A576" s="78" t="s">
        <v>622</v>
      </c>
      <c r="B576" s="78" t="s">
        <v>19</v>
      </c>
      <c r="C576" s="85">
        <v>44174.0</v>
      </c>
      <c r="D576" s="85">
        <v>44177.0</v>
      </c>
      <c r="E576" s="86">
        <v>2.87</v>
      </c>
      <c r="F576" s="87">
        <v>3.96</v>
      </c>
      <c r="G576" s="88">
        <f t="shared" si="1"/>
        <v>1.09</v>
      </c>
      <c r="H576" s="89">
        <f t="shared" si="2"/>
        <v>0.2752525253</v>
      </c>
      <c r="I576" s="78" t="s">
        <v>817</v>
      </c>
      <c r="J576" s="78" t="s">
        <v>69</v>
      </c>
      <c r="K576" s="58">
        <f t="shared" si="3"/>
        <v>3</v>
      </c>
      <c r="L576" s="91" t="str">
        <f t="shared" si="4"/>
        <v>Sat</v>
      </c>
      <c r="M576" s="78" t="str">
        <f>IFERROR(VLOOKUP(A576, Entries!A:B,2,false),"")</f>
        <v>Blue Brain Games</v>
      </c>
      <c r="N576" s="23" t="str">
        <f>IFERROR(VLOOKUP(A576, Entries!A:K,11,false),"")</f>
        <v/>
      </c>
      <c r="O576" s="23" t="b">
        <f>IFERROR(VLOOKUP(A576, Entries!A:I,8,false),"")</f>
        <v>1</v>
      </c>
    </row>
    <row r="577">
      <c r="A577" s="78" t="s">
        <v>818</v>
      </c>
      <c r="B577" s="78" t="s">
        <v>19</v>
      </c>
      <c r="C577" s="85">
        <v>44175.0</v>
      </c>
      <c r="D577" s="85">
        <v>44176.0</v>
      </c>
      <c r="E577" s="86">
        <v>0.86</v>
      </c>
      <c r="F577" s="87">
        <v>2.27</v>
      </c>
      <c r="G577" s="88">
        <f t="shared" si="1"/>
        <v>1.41</v>
      </c>
      <c r="H577" s="89">
        <f t="shared" si="2"/>
        <v>0.6211453744</v>
      </c>
      <c r="I577" s="78" t="s">
        <v>819</v>
      </c>
      <c r="J577" s="78" t="s">
        <v>69</v>
      </c>
      <c r="K577" s="58">
        <f t="shared" si="3"/>
        <v>1</v>
      </c>
      <c r="L577" s="91" t="str">
        <f t="shared" si="4"/>
        <v>Fri</v>
      </c>
      <c r="M577" s="78" t="str">
        <f>IFERROR(VLOOKUP(A577, Entries!A:B,2,false),"")</f>
        <v>Frogwares</v>
      </c>
      <c r="N577" s="23" t="str">
        <f>IFERROR(VLOOKUP(A577, Entries!A:K,11,false),"")</f>
        <v/>
      </c>
      <c r="O577" s="23" t="b">
        <f>IFERROR(VLOOKUP(A577, Entries!A:I,8,false),"")</f>
        <v>0</v>
      </c>
    </row>
    <row r="578">
      <c r="A578" s="78" t="s">
        <v>163</v>
      </c>
      <c r="B578" s="78" t="s">
        <v>22</v>
      </c>
      <c r="C578" s="85">
        <v>44175.0</v>
      </c>
      <c r="D578" s="85">
        <v>44177.0</v>
      </c>
      <c r="E578" s="86">
        <v>2.17</v>
      </c>
      <c r="F578" s="87">
        <v>3.39</v>
      </c>
      <c r="G578" s="88">
        <f t="shared" si="1"/>
        <v>1.22</v>
      </c>
      <c r="H578" s="89">
        <f t="shared" si="2"/>
        <v>0.3598820059</v>
      </c>
      <c r="I578" s="78" t="s">
        <v>820</v>
      </c>
      <c r="J578" s="78" t="s">
        <v>69</v>
      </c>
      <c r="K578" s="58">
        <f t="shared" si="3"/>
        <v>2</v>
      </c>
      <c r="L578" s="91" t="str">
        <f t="shared" si="4"/>
        <v>Sat</v>
      </c>
      <c r="M578" s="78" t="str">
        <f>IFERROR(VLOOKUP(A578, Entries!A:B,2,false),"")</f>
        <v>Square Enix</v>
      </c>
      <c r="N578" s="23" t="str">
        <f>IFERROR(VLOOKUP(A578, Entries!A:K,11,false),"")</f>
        <v/>
      </c>
      <c r="O578" s="23" t="b">
        <f>IFERROR(VLOOKUP(A578, Entries!A:I,8,false),"")</f>
        <v>0</v>
      </c>
    </row>
    <row r="579">
      <c r="A579" s="78" t="s">
        <v>163</v>
      </c>
      <c r="B579" s="78" t="s">
        <v>22</v>
      </c>
      <c r="C579" s="85">
        <v>44175.0</v>
      </c>
      <c r="D579" s="85">
        <v>44177.0</v>
      </c>
      <c r="E579" s="86">
        <v>2.18</v>
      </c>
      <c r="F579" s="87">
        <v>3.39</v>
      </c>
      <c r="G579" s="88">
        <f t="shared" si="1"/>
        <v>1.21</v>
      </c>
      <c r="H579" s="89">
        <f t="shared" si="2"/>
        <v>0.3569321534</v>
      </c>
      <c r="I579" s="78" t="s">
        <v>821</v>
      </c>
      <c r="J579" s="78" t="s">
        <v>69</v>
      </c>
      <c r="K579" s="58">
        <f t="shared" si="3"/>
        <v>2</v>
      </c>
      <c r="L579" s="91" t="str">
        <f t="shared" si="4"/>
        <v>Sat</v>
      </c>
      <c r="M579" s="78" t="str">
        <f>IFERROR(VLOOKUP(A579, Entries!A:B,2,false),"")</f>
        <v>Square Enix</v>
      </c>
      <c r="N579" s="23" t="str">
        <f>IFERROR(VLOOKUP(A579, Entries!A:K,11,false),"")</f>
        <v/>
      </c>
      <c r="O579" s="23" t="b">
        <f>IFERROR(VLOOKUP(A579, Entries!A:I,8,false),"")</f>
        <v>0</v>
      </c>
    </row>
    <row r="580">
      <c r="A580" s="97" t="s">
        <v>207</v>
      </c>
      <c r="B580" s="78" t="s">
        <v>19</v>
      </c>
      <c r="C580" s="85">
        <v>44176.0</v>
      </c>
      <c r="D580" s="85">
        <v>44176.0</v>
      </c>
      <c r="E580" s="86">
        <v>5.16</v>
      </c>
      <c r="F580" s="87">
        <v>6.61</v>
      </c>
      <c r="G580" s="88">
        <f t="shared" si="1"/>
        <v>1.45</v>
      </c>
      <c r="H580" s="89">
        <f t="shared" si="2"/>
        <v>0.2193645991</v>
      </c>
      <c r="I580" s="78" t="s">
        <v>822</v>
      </c>
      <c r="J580" s="78" t="s">
        <v>69</v>
      </c>
      <c r="K580" s="58">
        <f t="shared" si="3"/>
        <v>0</v>
      </c>
      <c r="L580" s="91" t="str">
        <f t="shared" si="4"/>
        <v>Fri</v>
      </c>
      <c r="M580" s="78" t="str">
        <f>IFERROR(VLOOKUP(A580, Entries!A:B,2,false),"")</f>
        <v>Square Enix</v>
      </c>
      <c r="N580" s="23" t="str">
        <f>IFERROR(VLOOKUP(A580, Entries!A:K,11,false),"")</f>
        <v/>
      </c>
      <c r="O580" s="23" t="b">
        <f>IFERROR(VLOOKUP(A580, Entries!A:I,8,false),"")</f>
        <v>0</v>
      </c>
    </row>
    <row r="581">
      <c r="A581" s="78" t="s">
        <v>823</v>
      </c>
      <c r="B581" s="78" t="s">
        <v>19</v>
      </c>
      <c r="C581" s="85">
        <v>44176.0</v>
      </c>
      <c r="D581" s="85">
        <v>44184.0</v>
      </c>
      <c r="E581" s="86">
        <v>4.09</v>
      </c>
      <c r="F581" s="87">
        <v>5.69</v>
      </c>
      <c r="G581" s="88">
        <f t="shared" si="1"/>
        <v>1.6</v>
      </c>
      <c r="H581" s="89">
        <f t="shared" si="2"/>
        <v>0.2811950791</v>
      </c>
      <c r="I581" s="78" t="s">
        <v>824</v>
      </c>
      <c r="J581" s="78" t="s">
        <v>69</v>
      </c>
      <c r="K581" s="58">
        <f t="shared" si="3"/>
        <v>8</v>
      </c>
      <c r="L581" s="91" t="str">
        <f t="shared" si="4"/>
        <v>Sat</v>
      </c>
      <c r="M581" s="78" t="str">
        <f>IFERROR(VLOOKUP(A581, Entries!A:B,2,false),"")</f>
        <v>Beamdog</v>
      </c>
      <c r="N581" s="23" t="str">
        <f>IFERROR(VLOOKUP(A581, Entries!A:K,11,false),"")</f>
        <v/>
      </c>
      <c r="O581" s="23" t="b">
        <f>IFERROR(VLOOKUP(A581, Entries!A:I,8,false),"")</f>
        <v>0</v>
      </c>
    </row>
    <row r="582">
      <c r="A582" s="78" t="s">
        <v>818</v>
      </c>
      <c r="B582" s="78" t="s">
        <v>19</v>
      </c>
      <c r="C582" s="85">
        <v>44176.0</v>
      </c>
      <c r="D582" s="85">
        <v>44178.0</v>
      </c>
      <c r="E582" s="86">
        <v>0.86</v>
      </c>
      <c r="F582" s="87">
        <v>1.37</v>
      </c>
      <c r="G582" s="88">
        <f t="shared" si="1"/>
        <v>0.51</v>
      </c>
      <c r="H582" s="89">
        <f t="shared" si="2"/>
        <v>0.3722627737</v>
      </c>
      <c r="I582" s="78" t="s">
        <v>825</v>
      </c>
      <c r="J582" s="78" t="s">
        <v>69</v>
      </c>
      <c r="K582" s="58">
        <f t="shared" si="3"/>
        <v>2</v>
      </c>
      <c r="L582" s="91" t="str">
        <f t="shared" si="4"/>
        <v>Sun</v>
      </c>
      <c r="M582" s="78" t="str">
        <f>IFERROR(VLOOKUP(A582, Entries!A:B,2,false),"")</f>
        <v>Frogwares</v>
      </c>
      <c r="N582" s="23" t="str">
        <f>IFERROR(VLOOKUP(A582, Entries!A:K,11,false),"")</f>
        <v/>
      </c>
      <c r="O582" s="23" t="b">
        <f>IFERROR(VLOOKUP(A582, Entries!A:I,8,false),"")</f>
        <v>0</v>
      </c>
    </row>
    <row r="583">
      <c r="A583" s="78" t="s">
        <v>826</v>
      </c>
      <c r="B583" s="78" t="s">
        <v>19</v>
      </c>
      <c r="C583" s="85">
        <v>44176.0</v>
      </c>
      <c r="D583" s="85">
        <v>44184.0</v>
      </c>
      <c r="E583" s="86">
        <v>9.91</v>
      </c>
      <c r="F583" s="87">
        <v>14.24</v>
      </c>
      <c r="G583" s="88">
        <f t="shared" si="1"/>
        <v>4.33</v>
      </c>
      <c r="H583" s="89">
        <f t="shared" si="2"/>
        <v>0.3040730337</v>
      </c>
      <c r="I583" s="78" t="s">
        <v>827</v>
      </c>
      <c r="J583" s="78" t="s">
        <v>69</v>
      </c>
      <c r="K583" s="58">
        <f t="shared" si="3"/>
        <v>8</v>
      </c>
      <c r="L583" s="91" t="str">
        <f t="shared" si="4"/>
        <v>Sat</v>
      </c>
      <c r="M583" s="78" t="str">
        <f>IFERROR(VLOOKUP(A583, Entries!A:B,2,false),"")</f>
        <v>Oxymoron Games</v>
      </c>
      <c r="N583" s="23" t="str">
        <f>IFERROR(VLOOKUP(A583, Entries!A:K,11,false),"")</f>
        <v/>
      </c>
      <c r="O583" s="23" t="b">
        <f>IFERROR(VLOOKUP(A583, Entries!A:I,8,false),"")</f>
        <v>0</v>
      </c>
    </row>
    <row r="584">
      <c r="A584" s="97" t="s">
        <v>207</v>
      </c>
      <c r="B584" s="78" t="s">
        <v>19</v>
      </c>
      <c r="C584" s="85">
        <v>44176.0</v>
      </c>
      <c r="D584" s="85">
        <v>44176.0</v>
      </c>
      <c r="E584" s="86">
        <v>4.56</v>
      </c>
      <c r="F584" s="87">
        <v>6.61</v>
      </c>
      <c r="G584" s="88">
        <f t="shared" si="1"/>
        <v>2.05</v>
      </c>
      <c r="H584" s="89">
        <f t="shared" si="2"/>
        <v>0.3101361573</v>
      </c>
      <c r="I584" s="78" t="s">
        <v>828</v>
      </c>
      <c r="J584" s="78" t="s">
        <v>69</v>
      </c>
      <c r="K584" s="58">
        <f t="shared" si="3"/>
        <v>0</v>
      </c>
      <c r="L584" s="91" t="str">
        <f t="shared" si="4"/>
        <v>Fri</v>
      </c>
      <c r="M584" s="78" t="str">
        <f>IFERROR(VLOOKUP(A584, Entries!A:B,2,false),"")</f>
        <v>Square Enix</v>
      </c>
      <c r="N584" s="23" t="str">
        <f>IFERROR(VLOOKUP(A584, Entries!A:K,11,false),"")</f>
        <v/>
      </c>
      <c r="O584" s="23" t="b">
        <f>IFERROR(VLOOKUP(A584, Entries!A:I,8,false),"")</f>
        <v>0</v>
      </c>
    </row>
    <row r="585">
      <c r="A585" s="78" t="s">
        <v>829</v>
      </c>
      <c r="B585" s="78" t="s">
        <v>19</v>
      </c>
      <c r="C585" s="85">
        <v>44176.0</v>
      </c>
      <c r="D585" s="85">
        <v>44177.0</v>
      </c>
      <c r="E585" s="86">
        <v>8.79</v>
      </c>
      <c r="F585" s="87">
        <v>10.81</v>
      </c>
      <c r="G585" s="88">
        <f t="shared" si="1"/>
        <v>2.02</v>
      </c>
      <c r="H585" s="89">
        <f t="shared" si="2"/>
        <v>0.1868640148</v>
      </c>
      <c r="I585" s="78" t="s">
        <v>830</v>
      </c>
      <c r="J585" s="78" t="s">
        <v>69</v>
      </c>
      <c r="K585" s="58">
        <f t="shared" si="3"/>
        <v>1</v>
      </c>
      <c r="L585" s="91" t="str">
        <f t="shared" si="4"/>
        <v>Sat</v>
      </c>
      <c r="M585" s="78" t="str">
        <f>IFERROR(VLOOKUP(A585, Entries!A:B,2,false),"")</f>
        <v>Jackbox Games</v>
      </c>
      <c r="N585" s="23" t="str">
        <f>IFERROR(VLOOKUP(A585, Entries!A:K,11,false),"")</f>
        <v/>
      </c>
      <c r="O585" s="23" t="b">
        <f>IFERROR(VLOOKUP(A585, Entries!A:I,8,false),"")</f>
        <v>0</v>
      </c>
    </row>
    <row r="586">
      <c r="A586" s="97" t="s">
        <v>207</v>
      </c>
      <c r="B586" s="78" t="s">
        <v>19</v>
      </c>
      <c r="C586" s="85">
        <v>44177.0</v>
      </c>
      <c r="D586" s="85">
        <v>44178.0</v>
      </c>
      <c r="E586" s="86">
        <v>4.56</v>
      </c>
      <c r="F586" s="87">
        <v>7.47</v>
      </c>
      <c r="G586" s="88">
        <f t="shared" si="1"/>
        <v>2.91</v>
      </c>
      <c r="H586" s="89">
        <f t="shared" si="2"/>
        <v>0.3895582329</v>
      </c>
      <c r="I586" s="78" t="s">
        <v>831</v>
      </c>
      <c r="J586" s="78" t="s">
        <v>69</v>
      </c>
      <c r="K586" s="58">
        <f t="shared" si="3"/>
        <v>1</v>
      </c>
      <c r="L586" s="91" t="str">
        <f t="shared" si="4"/>
        <v>Sun</v>
      </c>
      <c r="M586" s="78" t="str">
        <f>IFERROR(VLOOKUP(A586, Entries!A:B,2,false),"")</f>
        <v>Square Enix</v>
      </c>
      <c r="N586" s="23" t="str">
        <f>IFERROR(VLOOKUP(A586, Entries!A:K,11,false),"")</f>
        <v/>
      </c>
      <c r="O586" s="23" t="b">
        <f>IFERROR(VLOOKUP(A586, Entries!A:I,8,false),"")</f>
        <v>0</v>
      </c>
    </row>
    <row r="587">
      <c r="A587" s="78" t="s">
        <v>762</v>
      </c>
      <c r="B587" s="78" t="s">
        <v>19</v>
      </c>
      <c r="C587" s="85">
        <v>44177.0</v>
      </c>
      <c r="D587" s="85">
        <v>44177.0</v>
      </c>
      <c r="E587" s="86">
        <v>5.92</v>
      </c>
      <c r="F587" s="87">
        <v>6.22</v>
      </c>
      <c r="G587" s="88">
        <f t="shared" si="1"/>
        <v>0.3</v>
      </c>
      <c r="H587" s="89">
        <f t="shared" si="2"/>
        <v>0.04823151125</v>
      </c>
      <c r="I587" s="78" t="s">
        <v>832</v>
      </c>
      <c r="J587" s="78" t="s">
        <v>69</v>
      </c>
      <c r="K587" s="58">
        <f t="shared" si="3"/>
        <v>0</v>
      </c>
      <c r="L587" s="91" t="str">
        <f t="shared" si="4"/>
        <v>Sat</v>
      </c>
      <c r="M587" s="78" t="str">
        <f>IFERROR(VLOOKUP(A587, Entries!A:B,2,false),"")</f>
        <v>Modus Games</v>
      </c>
      <c r="N587" s="23" t="str">
        <f>IFERROR(VLOOKUP(A587, Entries!A:K,11,false),"")</f>
        <v/>
      </c>
      <c r="O587" s="23" t="b">
        <f>IFERROR(VLOOKUP(A587, Entries!A:I,8,false),"")</f>
        <v>0</v>
      </c>
    </row>
    <row r="588">
      <c r="A588" s="78" t="s">
        <v>829</v>
      </c>
      <c r="B588" s="78" t="s">
        <v>19</v>
      </c>
      <c r="C588" s="85">
        <v>44178.0</v>
      </c>
      <c r="D588" s="85">
        <v>44178.0</v>
      </c>
      <c r="E588" s="86">
        <v>8.79</v>
      </c>
      <c r="F588" s="87">
        <v>10.02</v>
      </c>
      <c r="G588" s="88">
        <f t="shared" si="1"/>
        <v>1.23</v>
      </c>
      <c r="H588" s="89">
        <f t="shared" si="2"/>
        <v>0.122754491</v>
      </c>
      <c r="I588" s="78" t="s">
        <v>833</v>
      </c>
      <c r="J588" s="78" t="s">
        <v>69</v>
      </c>
      <c r="K588" s="58">
        <f t="shared" si="3"/>
        <v>0</v>
      </c>
      <c r="L588" s="91" t="str">
        <f t="shared" si="4"/>
        <v>Sun</v>
      </c>
      <c r="M588" s="78" t="str">
        <f>IFERROR(VLOOKUP(A588, Entries!A:B,2,false),"")</f>
        <v>Jackbox Games</v>
      </c>
      <c r="N588" s="23" t="str">
        <f>IFERROR(VLOOKUP(A588, Entries!A:K,11,false),"")</f>
        <v/>
      </c>
      <c r="O588" s="23" t="b">
        <f>IFERROR(VLOOKUP(A588, Entries!A:I,8,false),"")</f>
        <v>0</v>
      </c>
    </row>
    <row r="589">
      <c r="A589" s="78" t="s">
        <v>622</v>
      </c>
      <c r="B589" s="78" t="s">
        <v>19</v>
      </c>
      <c r="C589" s="85">
        <v>44178.0</v>
      </c>
      <c r="D589" s="85">
        <v>44179.0</v>
      </c>
      <c r="E589" s="86">
        <v>3.0</v>
      </c>
      <c r="F589" s="87">
        <v>3.96</v>
      </c>
      <c r="G589" s="88">
        <f t="shared" si="1"/>
        <v>0.96</v>
      </c>
      <c r="H589" s="89">
        <f t="shared" si="2"/>
        <v>0.2424242424</v>
      </c>
      <c r="I589" s="78" t="s">
        <v>834</v>
      </c>
      <c r="J589" s="78" t="s">
        <v>69</v>
      </c>
      <c r="K589" s="58">
        <f t="shared" si="3"/>
        <v>1</v>
      </c>
      <c r="L589" s="91" t="str">
        <f t="shared" si="4"/>
        <v>Mon</v>
      </c>
      <c r="M589" s="78" t="str">
        <f>IFERROR(VLOOKUP(A589, Entries!A:B,2,false),"")</f>
        <v>Blue Brain Games</v>
      </c>
      <c r="N589" s="23" t="str">
        <f>IFERROR(VLOOKUP(A589, Entries!A:K,11,false),"")</f>
        <v/>
      </c>
      <c r="O589" s="23" t="b">
        <f>IFERROR(VLOOKUP(A589, Entries!A:I,8,false),"")</f>
        <v>1</v>
      </c>
    </row>
    <row r="590">
      <c r="A590" s="78" t="s">
        <v>624</v>
      </c>
      <c r="B590" s="78" t="s">
        <v>19</v>
      </c>
      <c r="C590" s="85">
        <v>44178.0</v>
      </c>
      <c r="D590" s="85">
        <v>44178.0</v>
      </c>
      <c r="E590" s="86">
        <v>3.0</v>
      </c>
      <c r="F590" s="87">
        <v>4.69</v>
      </c>
      <c r="G590" s="88">
        <f t="shared" si="1"/>
        <v>1.69</v>
      </c>
      <c r="H590" s="89">
        <f t="shared" si="2"/>
        <v>0.3603411514</v>
      </c>
      <c r="I590" s="78" t="s">
        <v>835</v>
      </c>
      <c r="J590" s="78" t="s">
        <v>69</v>
      </c>
      <c r="K590" s="58">
        <f t="shared" si="3"/>
        <v>0</v>
      </c>
      <c r="L590" s="91" t="str">
        <f t="shared" si="4"/>
        <v>Sun</v>
      </c>
      <c r="M590" s="78" t="str">
        <f>IFERROR(VLOOKUP(A590, Entries!A:B,2,false),"")</f>
        <v>NEXT Studios</v>
      </c>
      <c r="N590" s="23" t="str">
        <f>IFERROR(VLOOKUP(A590, Entries!A:K,11,false),"")</f>
        <v/>
      </c>
      <c r="O590" s="23" t="b">
        <f>IFERROR(VLOOKUP(A590, Entries!A:I,8,false),"")</f>
        <v>1</v>
      </c>
    </row>
    <row r="591">
      <c r="A591" s="78" t="s">
        <v>836</v>
      </c>
      <c r="B591" s="78" t="s">
        <v>19</v>
      </c>
      <c r="C591" s="85">
        <v>44178.0</v>
      </c>
      <c r="D591" s="85">
        <v>44234.0</v>
      </c>
      <c r="E591" s="86">
        <v>10.83</v>
      </c>
      <c r="F591" s="87">
        <v>12.11</v>
      </c>
      <c r="G591" s="88">
        <f t="shared" si="1"/>
        <v>1.28</v>
      </c>
      <c r="H591" s="89">
        <f t="shared" si="2"/>
        <v>0.1056977704</v>
      </c>
      <c r="I591" s="78" t="s">
        <v>837</v>
      </c>
      <c r="J591" s="78" t="s">
        <v>69</v>
      </c>
      <c r="K591" s="58">
        <f t="shared" si="3"/>
        <v>56</v>
      </c>
      <c r="L591" s="91" t="str">
        <f t="shared" si="4"/>
        <v>Sun</v>
      </c>
      <c r="M591" s="78" t="str">
        <f>IFERROR(VLOOKUP(A591, Entries!A:B,2,false),"")</f>
        <v>The Irregular Corporation</v>
      </c>
      <c r="N591" s="23" t="str">
        <f>IFERROR(VLOOKUP(A591, Entries!A:K,11,false),"")</f>
        <v/>
      </c>
      <c r="O591" s="23" t="b">
        <f>IFERROR(VLOOKUP(A591, Entries!A:I,8,false),"")</f>
        <v>0</v>
      </c>
    </row>
    <row r="592">
      <c r="A592" s="78" t="s">
        <v>829</v>
      </c>
      <c r="B592" s="78" t="s">
        <v>19</v>
      </c>
      <c r="C592" s="85">
        <v>44178.0</v>
      </c>
      <c r="D592" s="85">
        <v>44179.0</v>
      </c>
      <c r="E592" s="86">
        <v>8.76</v>
      </c>
      <c r="F592" s="87">
        <v>10.02</v>
      </c>
      <c r="G592" s="88">
        <f t="shared" si="1"/>
        <v>1.26</v>
      </c>
      <c r="H592" s="89">
        <f t="shared" si="2"/>
        <v>0.125748503</v>
      </c>
      <c r="I592" s="78" t="s">
        <v>838</v>
      </c>
      <c r="J592" s="78" t="s">
        <v>69</v>
      </c>
      <c r="K592" s="58">
        <f t="shared" si="3"/>
        <v>1</v>
      </c>
      <c r="L592" s="91" t="str">
        <f t="shared" si="4"/>
        <v>Mon</v>
      </c>
      <c r="M592" s="78" t="str">
        <f>IFERROR(VLOOKUP(A592, Entries!A:B,2,false),"")</f>
        <v>Jackbox Games</v>
      </c>
      <c r="N592" s="23" t="str">
        <f>IFERROR(VLOOKUP(A592, Entries!A:K,11,false),"")</f>
        <v/>
      </c>
      <c r="O592" s="23" t="b">
        <f>IFERROR(VLOOKUP(A592, Entries!A:I,8,false),"")</f>
        <v>0</v>
      </c>
    </row>
    <row r="593">
      <c r="A593" s="97" t="s">
        <v>207</v>
      </c>
      <c r="B593" s="78" t="s">
        <v>19</v>
      </c>
      <c r="C593" s="85">
        <v>44178.0</v>
      </c>
      <c r="D593" s="85">
        <v>44178.0</v>
      </c>
      <c r="E593" s="86">
        <v>4.56</v>
      </c>
      <c r="F593" s="87">
        <v>7.47</v>
      </c>
      <c r="G593" s="88">
        <f t="shared" si="1"/>
        <v>2.91</v>
      </c>
      <c r="H593" s="89">
        <f t="shared" si="2"/>
        <v>0.3895582329</v>
      </c>
      <c r="I593" s="78" t="s">
        <v>839</v>
      </c>
      <c r="J593" s="78" t="s">
        <v>69</v>
      </c>
      <c r="K593" s="58">
        <f t="shared" si="3"/>
        <v>0</v>
      </c>
      <c r="L593" s="91" t="str">
        <f t="shared" si="4"/>
        <v>Sun</v>
      </c>
      <c r="M593" s="78" t="str">
        <f>IFERROR(VLOOKUP(A593, Entries!A:B,2,false),"")</f>
        <v>Square Enix</v>
      </c>
      <c r="N593" s="23" t="str">
        <f>IFERROR(VLOOKUP(A593, Entries!A:K,11,false),"")</f>
        <v/>
      </c>
      <c r="O593" s="23" t="b">
        <f>IFERROR(VLOOKUP(A593, Entries!A:I,8,false),"")</f>
        <v>0</v>
      </c>
    </row>
    <row r="594">
      <c r="A594" s="78" t="s">
        <v>840</v>
      </c>
      <c r="B594" s="78" t="s">
        <v>19</v>
      </c>
      <c r="C594" s="85">
        <v>44178.0</v>
      </c>
      <c r="D594" s="85">
        <v>44186.0</v>
      </c>
      <c r="E594" s="86">
        <v>3.0</v>
      </c>
      <c r="F594" s="87">
        <v>3.6</v>
      </c>
      <c r="G594" s="88">
        <f t="shared" si="1"/>
        <v>0.6</v>
      </c>
      <c r="H594" s="89">
        <f t="shared" si="2"/>
        <v>0.1666666667</v>
      </c>
      <c r="I594" s="78" t="s">
        <v>841</v>
      </c>
      <c r="J594" s="78" t="s">
        <v>69</v>
      </c>
      <c r="K594" s="58">
        <f t="shared" si="3"/>
        <v>8</v>
      </c>
      <c r="L594" s="91" t="str">
        <f t="shared" si="4"/>
        <v>Mon</v>
      </c>
      <c r="M594" s="78" t="str">
        <f>IFERROR(VLOOKUP(A594, Entries!A:B,2,false),"")</f>
        <v>Square Enix</v>
      </c>
      <c r="N594" s="23" t="str">
        <f>IFERROR(VLOOKUP(A594, Entries!A:K,11,false),"")</f>
        <v/>
      </c>
      <c r="O594" s="23" t="b">
        <f>IFERROR(VLOOKUP(A594, Entries!A:I,8,false),"")</f>
        <v>0</v>
      </c>
    </row>
    <row r="595">
      <c r="A595" s="97" t="s">
        <v>207</v>
      </c>
      <c r="B595" s="78" t="s">
        <v>19</v>
      </c>
      <c r="C595" s="85">
        <v>44178.0</v>
      </c>
      <c r="D595" s="85">
        <v>44178.0</v>
      </c>
      <c r="E595" s="86">
        <v>4.56</v>
      </c>
      <c r="F595" s="87">
        <v>7.47</v>
      </c>
      <c r="G595" s="88">
        <f t="shared" si="1"/>
        <v>2.91</v>
      </c>
      <c r="H595" s="89">
        <f t="shared" si="2"/>
        <v>0.3895582329</v>
      </c>
      <c r="I595" s="78" t="s">
        <v>842</v>
      </c>
      <c r="J595" s="78" t="s">
        <v>69</v>
      </c>
      <c r="K595" s="58">
        <f t="shared" si="3"/>
        <v>0</v>
      </c>
      <c r="L595" s="91" t="str">
        <f t="shared" si="4"/>
        <v>Sun</v>
      </c>
      <c r="M595" s="78" t="str">
        <f>IFERROR(VLOOKUP(A595, Entries!A:B,2,false),"")</f>
        <v>Square Enix</v>
      </c>
      <c r="N595" s="23" t="str">
        <f>IFERROR(VLOOKUP(A595, Entries!A:K,11,false),"")</f>
        <v/>
      </c>
      <c r="O595" s="23" t="b">
        <f>IFERROR(VLOOKUP(A595, Entries!A:I,8,false),"")</f>
        <v>0</v>
      </c>
    </row>
    <row r="596">
      <c r="A596" s="78" t="s">
        <v>624</v>
      </c>
      <c r="B596" s="78" t="s">
        <v>19</v>
      </c>
      <c r="C596" s="85">
        <v>44178.0</v>
      </c>
      <c r="D596" s="85">
        <v>44183.0</v>
      </c>
      <c r="E596" s="86">
        <v>3.01</v>
      </c>
      <c r="F596" s="87">
        <v>4.68</v>
      </c>
      <c r="G596" s="88">
        <f t="shared" si="1"/>
        <v>1.67</v>
      </c>
      <c r="H596" s="89">
        <f t="shared" si="2"/>
        <v>0.3568376068</v>
      </c>
      <c r="I596" s="78" t="s">
        <v>843</v>
      </c>
      <c r="J596" s="78" t="s">
        <v>69</v>
      </c>
      <c r="K596" s="58">
        <f t="shared" si="3"/>
        <v>5</v>
      </c>
      <c r="L596" s="91" t="str">
        <f t="shared" si="4"/>
        <v>Fri</v>
      </c>
      <c r="M596" s="78" t="str">
        <f>IFERROR(VLOOKUP(A596, Entries!A:B,2,false),"")</f>
        <v>NEXT Studios</v>
      </c>
      <c r="N596" s="23" t="str">
        <f>IFERROR(VLOOKUP(A596, Entries!A:K,11,false),"")</f>
        <v/>
      </c>
      <c r="O596" s="23" t="b">
        <f>IFERROR(VLOOKUP(A596, Entries!A:I,8,false),"")</f>
        <v>1</v>
      </c>
    </row>
    <row r="597">
      <c r="A597" s="78" t="s">
        <v>227</v>
      </c>
      <c r="B597" s="78" t="s">
        <v>19</v>
      </c>
      <c r="C597" s="85">
        <v>44179.0</v>
      </c>
      <c r="D597" s="85">
        <v>44213.0</v>
      </c>
      <c r="E597" s="86">
        <v>2.06</v>
      </c>
      <c r="F597" s="87">
        <v>4.09</v>
      </c>
      <c r="G597" s="88">
        <f t="shared" si="1"/>
        <v>2.03</v>
      </c>
      <c r="H597" s="89">
        <f t="shared" si="2"/>
        <v>0.4963325183</v>
      </c>
      <c r="I597" s="78" t="s">
        <v>844</v>
      </c>
      <c r="J597" s="78" t="s">
        <v>69</v>
      </c>
      <c r="K597" s="58">
        <f t="shared" si="3"/>
        <v>34</v>
      </c>
      <c r="L597" s="91" t="str">
        <f t="shared" si="4"/>
        <v>Sun</v>
      </c>
      <c r="M597" s="78" t="str">
        <f>IFERROR(VLOOKUP(A597, Entries!A:B,2,false),"")</f>
        <v>Frogwares</v>
      </c>
      <c r="N597" s="23" t="str">
        <f>IFERROR(VLOOKUP(A597, Entries!A:K,11,false),"")</f>
        <v/>
      </c>
      <c r="O597" s="23" t="b">
        <f>IFERROR(VLOOKUP(A597, Entries!A:I,8,false),"")</f>
        <v>0</v>
      </c>
    </row>
    <row r="598">
      <c r="A598" s="78" t="s">
        <v>227</v>
      </c>
      <c r="B598" s="78" t="s">
        <v>19</v>
      </c>
      <c r="C598" s="85">
        <v>44179.0</v>
      </c>
      <c r="D598" s="85">
        <v>44241.0</v>
      </c>
      <c r="E598" s="86">
        <v>2.06</v>
      </c>
      <c r="F598" s="87">
        <v>4.8</v>
      </c>
      <c r="G598" s="88">
        <f t="shared" si="1"/>
        <v>2.74</v>
      </c>
      <c r="H598" s="89">
        <f t="shared" si="2"/>
        <v>0.5708333333</v>
      </c>
      <c r="I598" s="78" t="s">
        <v>845</v>
      </c>
      <c r="J598" s="78" t="s">
        <v>69</v>
      </c>
      <c r="K598" s="58">
        <f t="shared" si="3"/>
        <v>62</v>
      </c>
      <c r="L598" s="91" t="str">
        <f t="shared" si="4"/>
        <v>Sun</v>
      </c>
      <c r="M598" s="78" t="str">
        <f>IFERROR(VLOOKUP(A598, Entries!A:B,2,false),"")</f>
        <v>Frogwares</v>
      </c>
      <c r="N598" s="23" t="str">
        <f>IFERROR(VLOOKUP(A598, Entries!A:K,11,false),"")</f>
        <v/>
      </c>
      <c r="O598" s="23" t="b">
        <f>IFERROR(VLOOKUP(A598, Entries!A:I,8,false),"")</f>
        <v>0</v>
      </c>
    </row>
    <row r="599">
      <c r="A599" s="78" t="s">
        <v>846</v>
      </c>
      <c r="B599" s="78" t="s">
        <v>26</v>
      </c>
      <c r="C599" s="85">
        <v>44180.0</v>
      </c>
      <c r="D599" s="85">
        <v>44181.0</v>
      </c>
      <c r="E599" s="86">
        <v>11.6</v>
      </c>
      <c r="F599" s="87">
        <v>15.23</v>
      </c>
      <c r="G599" s="88">
        <f t="shared" si="1"/>
        <v>3.63</v>
      </c>
      <c r="H599" s="89">
        <f t="shared" si="2"/>
        <v>0.238345371</v>
      </c>
      <c r="I599" s="78" t="s">
        <v>847</v>
      </c>
      <c r="J599" s="78" t="s">
        <v>69</v>
      </c>
      <c r="K599" s="58">
        <f t="shared" si="3"/>
        <v>1</v>
      </c>
      <c r="L599" s="91" t="str">
        <f t="shared" si="4"/>
        <v>Wed</v>
      </c>
      <c r="M599" s="78" t="str">
        <f>IFERROR(VLOOKUP(A599, Entries!A:B,2,false),"")</f>
        <v>Paradox Interactive</v>
      </c>
      <c r="N599" s="23" t="str">
        <f>IFERROR(VLOOKUP(A599, Entries!A:K,11,false),"")</f>
        <v/>
      </c>
      <c r="O599" s="23" t="b">
        <f>IFERROR(VLOOKUP(A599, Entries!A:I,8,false),"")</f>
        <v>0</v>
      </c>
    </row>
    <row r="600">
      <c r="A600" s="78" t="s">
        <v>848</v>
      </c>
      <c r="B600" s="78" t="s">
        <v>26</v>
      </c>
      <c r="C600" s="85">
        <v>44180.0</v>
      </c>
      <c r="D600" s="85">
        <v>44231.0</v>
      </c>
      <c r="E600" s="86">
        <v>0.0</v>
      </c>
      <c r="F600" s="87">
        <v>0.76</v>
      </c>
      <c r="G600" s="88">
        <f t="shared" si="1"/>
        <v>0.76</v>
      </c>
      <c r="H600" s="89">
        <f t="shared" si="2"/>
        <v>1</v>
      </c>
      <c r="I600" s="78" t="s">
        <v>849</v>
      </c>
      <c r="J600" s="78" t="s">
        <v>69</v>
      </c>
      <c r="K600" s="58">
        <f t="shared" si="3"/>
        <v>51</v>
      </c>
      <c r="L600" s="91" t="str">
        <f t="shared" si="4"/>
        <v>Thu</v>
      </c>
      <c r="M600" s="78" t="str">
        <f>IFERROR(VLOOKUP(A600, Entries!A:B,2,false),"")</f>
        <v>1C Entertainment</v>
      </c>
      <c r="N600" s="23" t="str">
        <f>IFERROR(VLOOKUP(A600, Entries!A:K,11,false),"")</f>
        <v/>
      </c>
      <c r="O600" s="23" t="b">
        <f>IFERROR(VLOOKUP(A600, Entries!A:I,8,false),"")</f>
        <v>0</v>
      </c>
    </row>
    <row r="601">
      <c r="A601" s="78" t="s">
        <v>850</v>
      </c>
      <c r="B601" s="78" t="s">
        <v>19</v>
      </c>
      <c r="C601" s="85">
        <v>44181.0</v>
      </c>
      <c r="D601" s="85">
        <v>44250.0</v>
      </c>
      <c r="E601" s="86">
        <v>20.39</v>
      </c>
      <c r="F601" s="87">
        <v>25.61</v>
      </c>
      <c r="G601" s="88">
        <f t="shared" si="1"/>
        <v>5.22</v>
      </c>
      <c r="H601" s="89">
        <f t="shared" si="2"/>
        <v>0.2038266302</v>
      </c>
      <c r="I601" s="78" t="s">
        <v>851</v>
      </c>
      <c r="J601" s="78" t="s">
        <v>69</v>
      </c>
      <c r="K601" s="58">
        <f t="shared" si="3"/>
        <v>69</v>
      </c>
      <c r="L601" s="91" t="str">
        <f t="shared" si="4"/>
        <v>Tue</v>
      </c>
      <c r="M601" s="78" t="str">
        <f>IFERROR(VLOOKUP(A601, Entries!A:B,2,false),"")</f>
        <v>THQ Nordic</v>
      </c>
      <c r="N601" s="23" t="str">
        <f>IFERROR(VLOOKUP(A601, Entries!A:K,11,false),"")</f>
        <v/>
      </c>
      <c r="O601" s="23" t="b">
        <f>IFERROR(VLOOKUP(A601, Entries!A:I,8,false),"")</f>
        <v>0</v>
      </c>
    </row>
    <row r="602">
      <c r="A602" s="97" t="s">
        <v>207</v>
      </c>
      <c r="B602" s="78" t="s">
        <v>19</v>
      </c>
      <c r="C602" s="85">
        <v>44182.0</v>
      </c>
      <c r="D602" s="85">
        <v>44315.0</v>
      </c>
      <c r="E602" s="86">
        <v>4.56</v>
      </c>
      <c r="F602" s="87">
        <v>5.27</v>
      </c>
      <c r="G602" s="88">
        <f t="shared" si="1"/>
        <v>0.71</v>
      </c>
      <c r="H602" s="89">
        <f t="shared" si="2"/>
        <v>0.1347248577</v>
      </c>
      <c r="I602" s="78" t="s">
        <v>852</v>
      </c>
      <c r="J602" s="78" t="s">
        <v>69</v>
      </c>
      <c r="K602" s="58">
        <f t="shared" si="3"/>
        <v>133</v>
      </c>
      <c r="L602" s="91" t="str">
        <f t="shared" si="4"/>
        <v>Thu</v>
      </c>
      <c r="M602" s="78" t="str">
        <f>IFERROR(VLOOKUP(A602, Entries!A:B,2,false),"")</f>
        <v>Square Enix</v>
      </c>
      <c r="N602" s="23" t="str">
        <f>IFERROR(VLOOKUP(A602, Entries!A:K,11,false),"")</f>
        <v/>
      </c>
      <c r="O602" s="23" t="b">
        <f>IFERROR(VLOOKUP(A602, Entries!A:I,8,false),"")</f>
        <v>0</v>
      </c>
    </row>
    <row r="603">
      <c r="A603" s="78" t="s">
        <v>818</v>
      </c>
      <c r="B603" s="78" t="s">
        <v>19</v>
      </c>
      <c r="C603" s="85">
        <v>44182.0</v>
      </c>
      <c r="D603" s="85">
        <v>44184.0</v>
      </c>
      <c r="E603" s="86">
        <v>0.85</v>
      </c>
      <c r="F603" s="87">
        <v>1.37</v>
      </c>
      <c r="G603" s="88">
        <f t="shared" si="1"/>
        <v>0.52</v>
      </c>
      <c r="H603" s="89">
        <f t="shared" si="2"/>
        <v>0.3795620438</v>
      </c>
      <c r="I603" s="78" t="s">
        <v>853</v>
      </c>
      <c r="J603" s="78" t="s">
        <v>69</v>
      </c>
      <c r="K603" s="58">
        <f t="shared" si="3"/>
        <v>2</v>
      </c>
      <c r="L603" s="91" t="str">
        <f t="shared" si="4"/>
        <v>Sat</v>
      </c>
      <c r="M603" s="78" t="str">
        <f>IFERROR(VLOOKUP(A603, Entries!A:B,2,false),"")</f>
        <v>Frogwares</v>
      </c>
      <c r="N603" s="23" t="str">
        <f>IFERROR(VLOOKUP(A603, Entries!A:K,11,false),"")</f>
        <v/>
      </c>
      <c r="O603" s="23" t="b">
        <f>IFERROR(VLOOKUP(A603, Entries!A:I,8,false),"")</f>
        <v>0</v>
      </c>
    </row>
    <row r="604">
      <c r="A604" s="78" t="s">
        <v>117</v>
      </c>
      <c r="B604" s="78" t="s">
        <v>19</v>
      </c>
      <c r="C604" s="85">
        <v>44182.0</v>
      </c>
      <c r="D604" s="85">
        <v>44183.0</v>
      </c>
      <c r="E604" s="86">
        <v>0.85</v>
      </c>
      <c r="F604" s="87">
        <v>1.27</v>
      </c>
      <c r="G604" s="88">
        <f t="shared" si="1"/>
        <v>0.42</v>
      </c>
      <c r="H604" s="89">
        <f t="shared" si="2"/>
        <v>0.3307086614</v>
      </c>
      <c r="I604" s="78" t="s">
        <v>854</v>
      </c>
      <c r="J604" s="78" t="s">
        <v>69</v>
      </c>
      <c r="K604" s="58">
        <f t="shared" si="3"/>
        <v>1</v>
      </c>
      <c r="L604" s="91" t="str">
        <f t="shared" si="4"/>
        <v>Fri</v>
      </c>
      <c r="M604" s="78" t="str">
        <f>IFERROR(VLOOKUP(A604, Entries!A:B,2,false),"")</f>
        <v>Starbreeze Publishing</v>
      </c>
      <c r="N604" s="23" t="str">
        <f>IFERROR(VLOOKUP(A604, Entries!A:K,11,false),"")</f>
        <v/>
      </c>
      <c r="O604" s="23" t="b">
        <f>IFERROR(VLOOKUP(A604, Entries!A:I,8,false),"")</f>
        <v>1</v>
      </c>
    </row>
    <row r="605">
      <c r="A605" s="78" t="s">
        <v>117</v>
      </c>
      <c r="B605" s="78" t="s">
        <v>19</v>
      </c>
      <c r="C605" s="85">
        <v>44182.0</v>
      </c>
      <c r="D605" s="85">
        <v>44185.0</v>
      </c>
      <c r="E605" s="86">
        <v>0.85</v>
      </c>
      <c r="F605" s="87">
        <v>1.27</v>
      </c>
      <c r="G605" s="88">
        <f t="shared" si="1"/>
        <v>0.42</v>
      </c>
      <c r="H605" s="89">
        <f t="shared" si="2"/>
        <v>0.3307086614</v>
      </c>
      <c r="I605" s="78" t="s">
        <v>855</v>
      </c>
      <c r="J605" s="78" t="s">
        <v>69</v>
      </c>
      <c r="K605" s="58">
        <f t="shared" si="3"/>
        <v>3</v>
      </c>
      <c r="L605" s="91" t="str">
        <f t="shared" si="4"/>
        <v>Sun</v>
      </c>
      <c r="M605" s="78" t="str">
        <f>IFERROR(VLOOKUP(A605, Entries!A:B,2,false),"")</f>
        <v>Starbreeze Publishing</v>
      </c>
      <c r="N605" s="23" t="str">
        <f>IFERROR(VLOOKUP(A605, Entries!A:K,11,false),"")</f>
        <v/>
      </c>
      <c r="O605" s="23" t="b">
        <f>IFERROR(VLOOKUP(A605, Entries!A:I,8,false),"")</f>
        <v>1</v>
      </c>
    </row>
    <row r="606">
      <c r="A606" s="78" t="s">
        <v>117</v>
      </c>
      <c r="B606" s="78" t="s">
        <v>19</v>
      </c>
      <c r="C606" s="85">
        <v>44182.0</v>
      </c>
      <c r="D606" s="85">
        <v>44185.0</v>
      </c>
      <c r="E606" s="86">
        <v>0.85</v>
      </c>
      <c r="F606" s="87">
        <v>1.27</v>
      </c>
      <c r="G606" s="88">
        <f t="shared" si="1"/>
        <v>0.42</v>
      </c>
      <c r="H606" s="89">
        <f t="shared" si="2"/>
        <v>0.3307086614</v>
      </c>
      <c r="I606" s="78" t="s">
        <v>856</v>
      </c>
      <c r="J606" s="78" t="s">
        <v>69</v>
      </c>
      <c r="K606" s="58">
        <f t="shared" si="3"/>
        <v>3</v>
      </c>
      <c r="L606" s="91" t="str">
        <f t="shared" si="4"/>
        <v>Sun</v>
      </c>
      <c r="M606" s="78" t="str">
        <f>IFERROR(VLOOKUP(A606, Entries!A:B,2,false),"")</f>
        <v>Starbreeze Publishing</v>
      </c>
      <c r="N606" s="23" t="str">
        <f>IFERROR(VLOOKUP(A606, Entries!A:K,11,false),"")</f>
        <v/>
      </c>
      <c r="O606" s="23" t="b">
        <f>IFERROR(VLOOKUP(A606, Entries!A:I,8,false),"")</f>
        <v>1</v>
      </c>
    </row>
    <row r="607">
      <c r="A607" s="78" t="s">
        <v>117</v>
      </c>
      <c r="B607" s="78" t="s">
        <v>19</v>
      </c>
      <c r="C607" s="85">
        <v>44182.0</v>
      </c>
      <c r="D607" s="85">
        <v>44185.0</v>
      </c>
      <c r="E607" s="86">
        <v>0.85</v>
      </c>
      <c r="F607" s="87">
        <v>1.27</v>
      </c>
      <c r="G607" s="88">
        <f t="shared" si="1"/>
        <v>0.42</v>
      </c>
      <c r="H607" s="89">
        <f t="shared" si="2"/>
        <v>0.3307086614</v>
      </c>
      <c r="I607" s="78" t="s">
        <v>857</v>
      </c>
      <c r="J607" s="78" t="s">
        <v>69</v>
      </c>
      <c r="K607" s="58">
        <f t="shared" si="3"/>
        <v>3</v>
      </c>
      <c r="L607" s="91" t="str">
        <f t="shared" si="4"/>
        <v>Sun</v>
      </c>
      <c r="M607" s="78" t="str">
        <f>IFERROR(VLOOKUP(A607, Entries!A:B,2,false),"")</f>
        <v>Starbreeze Publishing</v>
      </c>
      <c r="N607" s="23" t="str">
        <f>IFERROR(VLOOKUP(A607, Entries!A:K,11,false),"")</f>
        <v/>
      </c>
      <c r="O607" s="23" t="b">
        <f>IFERROR(VLOOKUP(A607, Entries!A:I,8,false),"")</f>
        <v>1</v>
      </c>
    </row>
    <row r="608">
      <c r="A608" s="78" t="s">
        <v>624</v>
      </c>
      <c r="B608" s="78" t="s">
        <v>19</v>
      </c>
      <c r="C608" s="85">
        <v>44183.0</v>
      </c>
      <c r="D608" s="85">
        <v>44184.0</v>
      </c>
      <c r="E608" s="86">
        <v>2.86</v>
      </c>
      <c r="F608" s="87">
        <v>4.68</v>
      </c>
      <c r="G608" s="88">
        <f t="shared" si="1"/>
        <v>1.82</v>
      </c>
      <c r="H608" s="89">
        <f t="shared" si="2"/>
        <v>0.3888888889</v>
      </c>
      <c r="I608" s="78" t="s">
        <v>858</v>
      </c>
      <c r="J608" s="78" t="s">
        <v>69</v>
      </c>
      <c r="K608" s="58">
        <f t="shared" si="3"/>
        <v>1</v>
      </c>
      <c r="L608" s="91" t="str">
        <f t="shared" si="4"/>
        <v>Sat</v>
      </c>
      <c r="M608" s="78" t="str">
        <f>IFERROR(VLOOKUP(A608, Entries!A:B,2,false),"")</f>
        <v>NEXT Studios</v>
      </c>
      <c r="N608" s="23" t="str">
        <f>IFERROR(VLOOKUP(A608, Entries!A:K,11,false),"")</f>
        <v/>
      </c>
      <c r="O608" s="23" t="b">
        <f>IFERROR(VLOOKUP(A608, Entries!A:I,8,false),"")</f>
        <v>1</v>
      </c>
    </row>
    <row r="609">
      <c r="A609" s="78" t="s">
        <v>622</v>
      </c>
      <c r="B609" s="78" t="s">
        <v>19</v>
      </c>
      <c r="C609" s="85">
        <v>44183.0</v>
      </c>
      <c r="D609" s="85">
        <v>44194.0</v>
      </c>
      <c r="E609" s="86">
        <v>2.86</v>
      </c>
      <c r="F609" s="87">
        <v>3.89</v>
      </c>
      <c r="G609" s="88">
        <f t="shared" si="1"/>
        <v>1.03</v>
      </c>
      <c r="H609" s="89">
        <f t="shared" si="2"/>
        <v>0.264781491</v>
      </c>
      <c r="I609" s="78" t="s">
        <v>859</v>
      </c>
      <c r="J609" s="78" t="s">
        <v>69</v>
      </c>
      <c r="K609" s="58">
        <f t="shared" si="3"/>
        <v>11</v>
      </c>
      <c r="L609" s="91" t="str">
        <f t="shared" si="4"/>
        <v>Tue</v>
      </c>
      <c r="M609" s="78" t="str">
        <f>IFERROR(VLOOKUP(A609, Entries!A:B,2,false),"")</f>
        <v>Blue Brain Games</v>
      </c>
      <c r="N609" s="23" t="str">
        <f>IFERROR(VLOOKUP(A609, Entries!A:K,11,false),"")</f>
        <v/>
      </c>
      <c r="O609" s="23" t="b">
        <f>IFERROR(VLOOKUP(A609, Entries!A:I,8,false),"")</f>
        <v>1</v>
      </c>
    </row>
    <row r="610">
      <c r="A610" s="78" t="s">
        <v>805</v>
      </c>
      <c r="B610" s="78" t="s">
        <v>19</v>
      </c>
      <c r="C610" s="85">
        <v>44183.0</v>
      </c>
      <c r="D610" s="85">
        <v>44188.0</v>
      </c>
      <c r="E610" s="86">
        <v>2.86</v>
      </c>
      <c r="F610" s="87">
        <v>2.39</v>
      </c>
      <c r="G610" s="88">
        <f t="shared" si="1"/>
        <v>-0.47</v>
      </c>
      <c r="H610" s="89">
        <f t="shared" si="2"/>
        <v>-0.1966527197</v>
      </c>
      <c r="I610" s="78" t="s">
        <v>860</v>
      </c>
      <c r="J610" s="78" t="s">
        <v>69</v>
      </c>
      <c r="K610" s="58">
        <f t="shared" si="3"/>
        <v>5</v>
      </c>
      <c r="L610" s="91" t="str">
        <f t="shared" si="4"/>
        <v>Wed</v>
      </c>
      <c r="M610" s="78" t="str">
        <f>IFERROR(VLOOKUP(A610, Entries!A:B,2,false),"")</f>
        <v>Paradox Interactive</v>
      </c>
      <c r="N610" s="23" t="str">
        <f>IFERROR(VLOOKUP(A610, Entries!A:K,11,false),"")</f>
        <v/>
      </c>
      <c r="O610" s="23" t="b">
        <f>IFERROR(VLOOKUP(A610, Entries!A:I,8,false),"")</f>
        <v>1</v>
      </c>
    </row>
    <row r="611">
      <c r="A611" s="78" t="s">
        <v>861</v>
      </c>
      <c r="B611" s="78" t="s">
        <v>19</v>
      </c>
      <c r="C611" s="85">
        <v>44183.0</v>
      </c>
      <c r="D611" s="85">
        <v>44237.0</v>
      </c>
      <c r="E611" s="86">
        <v>0.6</v>
      </c>
      <c r="F611" s="87">
        <v>1.11</v>
      </c>
      <c r="G611" s="88">
        <f t="shared" si="1"/>
        <v>0.51</v>
      </c>
      <c r="H611" s="89">
        <f t="shared" si="2"/>
        <v>0.4594594595</v>
      </c>
      <c r="I611" s="78" t="s">
        <v>862</v>
      </c>
      <c r="J611" s="78" t="s">
        <v>69</v>
      </c>
      <c r="K611" s="58">
        <f t="shared" si="3"/>
        <v>54</v>
      </c>
      <c r="L611" s="91" t="str">
        <f t="shared" si="4"/>
        <v>Wed</v>
      </c>
      <c r="M611" s="78" t="str">
        <f>IFERROR(VLOOKUP(A611, Entries!A:B,2,false),"")</f>
        <v>Nacon</v>
      </c>
      <c r="N611" s="23" t="str">
        <f>IFERROR(VLOOKUP(A611, Entries!A:K,11,false),"")</f>
        <v/>
      </c>
      <c r="O611" s="23" t="b">
        <f>IFERROR(VLOOKUP(A611, Entries!A:I,8,false),"")</f>
        <v>0</v>
      </c>
    </row>
    <row r="612">
      <c r="A612" s="78" t="s">
        <v>863</v>
      </c>
      <c r="B612" s="78" t="s">
        <v>19</v>
      </c>
      <c r="C612" s="85">
        <v>44183.0</v>
      </c>
      <c r="D612" s="85">
        <v>44191.0</v>
      </c>
      <c r="E612" s="86">
        <v>0.6</v>
      </c>
      <c r="F612" s="87">
        <v>1.29</v>
      </c>
      <c r="G612" s="88">
        <f t="shared" si="1"/>
        <v>0.69</v>
      </c>
      <c r="H612" s="89">
        <f t="shared" si="2"/>
        <v>0.5348837209</v>
      </c>
      <c r="I612" s="78" t="s">
        <v>864</v>
      </c>
      <c r="J612" s="78" t="s">
        <v>69</v>
      </c>
      <c r="K612" s="58">
        <f t="shared" si="3"/>
        <v>8</v>
      </c>
      <c r="L612" s="91" t="str">
        <f t="shared" si="4"/>
        <v>Sat</v>
      </c>
      <c r="M612" s="78" t="str">
        <f>IFERROR(VLOOKUP(A612, Entries!A:B,2,false),"")</f>
        <v>Codemasters</v>
      </c>
      <c r="N612" s="23" t="str">
        <f>IFERROR(VLOOKUP(A612, Entries!A:K,11,false),"")</f>
        <v/>
      </c>
      <c r="O612" s="23" t="b">
        <f>IFERROR(VLOOKUP(A612, Entries!A:I,8,false),"")</f>
        <v>0</v>
      </c>
    </row>
    <row r="613">
      <c r="A613" s="78" t="s">
        <v>865</v>
      </c>
      <c r="B613" s="78" t="s">
        <v>19</v>
      </c>
      <c r="C613" s="85">
        <v>44183.0</v>
      </c>
      <c r="D613" s="85">
        <v>44186.0</v>
      </c>
      <c r="E613" s="86">
        <v>0.6</v>
      </c>
      <c r="F613" s="87">
        <v>1.29</v>
      </c>
      <c r="G613" s="88">
        <f t="shared" si="1"/>
        <v>0.69</v>
      </c>
      <c r="H613" s="89">
        <f t="shared" si="2"/>
        <v>0.5348837209</v>
      </c>
      <c r="I613" s="78" t="s">
        <v>866</v>
      </c>
      <c r="J613" s="78" t="s">
        <v>69</v>
      </c>
      <c r="K613" s="58">
        <f t="shared" si="3"/>
        <v>3</v>
      </c>
      <c r="L613" s="91" t="str">
        <f t="shared" si="4"/>
        <v>Mon</v>
      </c>
      <c r="M613" s="78" t="str">
        <f>IFERROR(VLOOKUP(A613, Entries!A:B,2,false),"")</f>
        <v>Nacon</v>
      </c>
      <c r="N613" s="23" t="str">
        <f>IFERROR(VLOOKUP(A613, Entries!A:K,11,false),"")</f>
        <v/>
      </c>
      <c r="O613" s="23" t="b">
        <f>IFERROR(VLOOKUP(A613, Entries!A:I,8,false),"")</f>
        <v>0</v>
      </c>
    </row>
    <row r="614">
      <c r="A614" s="78" t="s">
        <v>867</v>
      </c>
      <c r="B614" s="78" t="s">
        <v>19</v>
      </c>
      <c r="C614" s="85">
        <v>44183.0</v>
      </c>
      <c r="D614" s="85">
        <v>44192.0</v>
      </c>
      <c r="E614" s="86">
        <v>0.6</v>
      </c>
      <c r="F614" s="87">
        <v>1.03</v>
      </c>
      <c r="G614" s="88">
        <f t="shared" si="1"/>
        <v>0.43</v>
      </c>
      <c r="H614" s="89">
        <f t="shared" si="2"/>
        <v>0.4174757282</v>
      </c>
      <c r="I614" s="78" t="s">
        <v>868</v>
      </c>
      <c r="J614" s="78" t="s">
        <v>69</v>
      </c>
      <c r="K614" s="58">
        <f t="shared" si="3"/>
        <v>9</v>
      </c>
      <c r="L614" s="91" t="str">
        <f t="shared" si="4"/>
        <v>Sun</v>
      </c>
      <c r="M614" s="78" t="str">
        <f>IFERROR(VLOOKUP(A614, Entries!A:B,2,false),"")</f>
        <v>Codemasters</v>
      </c>
      <c r="N614" s="23" t="str">
        <f>IFERROR(VLOOKUP(A614, Entries!A:K,11,false),"")</f>
        <v/>
      </c>
      <c r="O614" s="23" t="b">
        <f>IFERROR(VLOOKUP(A614, Entries!A:I,8,false),"")</f>
        <v>0</v>
      </c>
    </row>
    <row r="615">
      <c r="A615" s="78" t="s">
        <v>869</v>
      </c>
      <c r="B615" s="78" t="s">
        <v>19</v>
      </c>
      <c r="C615" s="85">
        <v>44184.0</v>
      </c>
      <c r="D615" s="85">
        <v>44197.0</v>
      </c>
      <c r="E615" s="86">
        <v>0.47</v>
      </c>
      <c r="F615" s="87">
        <v>0.72</v>
      </c>
      <c r="G615" s="88">
        <f t="shared" si="1"/>
        <v>0.25</v>
      </c>
      <c r="H615" s="89">
        <f t="shared" si="2"/>
        <v>0.3472222222</v>
      </c>
      <c r="I615" s="78" t="s">
        <v>65</v>
      </c>
      <c r="J615" s="78" t="s">
        <v>69</v>
      </c>
      <c r="K615" s="58">
        <f t="shared" si="3"/>
        <v>13</v>
      </c>
      <c r="L615" s="91" t="str">
        <f t="shared" si="4"/>
        <v>Fri</v>
      </c>
      <c r="M615" s="78" t="str">
        <f>IFERROR(VLOOKUP(A615, Entries!A:B,2,false),"")</f>
        <v>Wired Productions</v>
      </c>
      <c r="N615" s="23" t="str">
        <f>IFERROR(VLOOKUP(A615, Entries!A:K,11,false),"")</f>
        <v/>
      </c>
      <c r="O615" s="23" t="b">
        <f>IFERROR(VLOOKUP(A615, Entries!A:I,8,false),"")</f>
        <v>0</v>
      </c>
    </row>
    <row r="616">
      <c r="A616" s="78" t="s">
        <v>826</v>
      </c>
      <c r="B616" s="78" t="s">
        <v>19</v>
      </c>
      <c r="C616" s="85">
        <v>44184.0</v>
      </c>
      <c r="D616" s="85">
        <v>44185.0</v>
      </c>
      <c r="E616" s="86">
        <v>9.79</v>
      </c>
      <c r="F616" s="87">
        <v>14.24</v>
      </c>
      <c r="G616" s="88">
        <f t="shared" si="1"/>
        <v>4.45</v>
      </c>
      <c r="H616" s="89">
        <f t="shared" si="2"/>
        <v>0.3125</v>
      </c>
      <c r="I616" s="78" t="s">
        <v>870</v>
      </c>
      <c r="J616" s="78" t="s">
        <v>69</v>
      </c>
      <c r="K616" s="58">
        <f t="shared" si="3"/>
        <v>1</v>
      </c>
      <c r="L616" s="91" t="str">
        <f t="shared" si="4"/>
        <v>Sun</v>
      </c>
      <c r="M616" s="78" t="str">
        <f>IFERROR(VLOOKUP(A616, Entries!A:B,2,false),"")</f>
        <v>Oxymoron Games</v>
      </c>
      <c r="N616" s="23" t="str">
        <f>IFERROR(VLOOKUP(A616, Entries!A:K,11,false),"")</f>
        <v/>
      </c>
      <c r="O616" s="23" t="b">
        <f>IFERROR(VLOOKUP(A616, Entries!A:I,8,false),"")</f>
        <v>0</v>
      </c>
    </row>
    <row r="617">
      <c r="A617" s="78" t="s">
        <v>871</v>
      </c>
      <c r="B617" s="78" t="s">
        <v>19</v>
      </c>
      <c r="C617" s="85">
        <v>44185.0</v>
      </c>
      <c r="D617" s="85">
        <v>44185.0</v>
      </c>
      <c r="E617" s="86">
        <v>0.5</v>
      </c>
      <c r="F617" s="87">
        <v>4.39</v>
      </c>
      <c r="G617" s="88">
        <f t="shared" si="1"/>
        <v>3.89</v>
      </c>
      <c r="H617" s="89">
        <f t="shared" si="2"/>
        <v>0.8861047836</v>
      </c>
      <c r="I617" s="78" t="s">
        <v>65</v>
      </c>
      <c r="J617" s="78" t="s">
        <v>69</v>
      </c>
      <c r="K617" s="58">
        <f t="shared" si="3"/>
        <v>0</v>
      </c>
      <c r="L617" s="91" t="str">
        <f t="shared" si="4"/>
        <v>Sun</v>
      </c>
      <c r="M617" s="78" t="str">
        <f>IFERROR(VLOOKUP(A617, Entries!A:B,2,false),"")</f>
        <v>34BigThings</v>
      </c>
      <c r="N617" s="23" t="str">
        <f>IFERROR(VLOOKUP(A617, Entries!A:K,11,false),"")</f>
        <v/>
      </c>
      <c r="O617" s="23" t="b">
        <f>IFERROR(VLOOKUP(A617, Entries!A:I,8,false),"")</f>
        <v>0</v>
      </c>
    </row>
    <row r="618">
      <c r="A618" s="78" t="s">
        <v>826</v>
      </c>
      <c r="B618" s="78" t="s">
        <v>19</v>
      </c>
      <c r="C618" s="85">
        <v>44185.0</v>
      </c>
      <c r="D618" s="85">
        <v>44186.0</v>
      </c>
      <c r="E618" s="86">
        <v>9.79</v>
      </c>
      <c r="F618" s="87">
        <v>14.24</v>
      </c>
      <c r="G618" s="88">
        <f t="shared" si="1"/>
        <v>4.45</v>
      </c>
      <c r="H618" s="89">
        <f t="shared" si="2"/>
        <v>0.3125</v>
      </c>
      <c r="I618" s="78" t="s">
        <v>872</v>
      </c>
      <c r="J618" s="78" t="s">
        <v>69</v>
      </c>
      <c r="K618" s="58">
        <f t="shared" si="3"/>
        <v>1</v>
      </c>
      <c r="L618" s="91" t="str">
        <f t="shared" si="4"/>
        <v>Mon</v>
      </c>
      <c r="M618" s="78" t="str">
        <f>IFERROR(VLOOKUP(A618, Entries!A:B,2,false),"")</f>
        <v>Oxymoron Games</v>
      </c>
      <c r="N618" s="23" t="str">
        <f>IFERROR(VLOOKUP(A618, Entries!A:K,11,false),"")</f>
        <v/>
      </c>
      <c r="O618" s="23" t="b">
        <f>IFERROR(VLOOKUP(A618, Entries!A:I,8,false),"")</f>
        <v>0</v>
      </c>
    </row>
    <row r="619">
      <c r="A619" s="78" t="s">
        <v>826</v>
      </c>
      <c r="B619" s="78" t="s">
        <v>19</v>
      </c>
      <c r="C619" s="85">
        <v>44186.0</v>
      </c>
      <c r="D619" s="85">
        <v>44202.0</v>
      </c>
      <c r="E619" s="86">
        <v>9.79</v>
      </c>
      <c r="F619" s="87">
        <v>15.18</v>
      </c>
      <c r="G619" s="88">
        <f t="shared" si="1"/>
        <v>5.39</v>
      </c>
      <c r="H619" s="89">
        <f t="shared" si="2"/>
        <v>0.3550724638</v>
      </c>
      <c r="I619" s="78" t="s">
        <v>873</v>
      </c>
      <c r="J619" s="78" t="s">
        <v>69</v>
      </c>
      <c r="K619" s="58">
        <f t="shared" si="3"/>
        <v>16</v>
      </c>
      <c r="L619" s="91" t="str">
        <f t="shared" si="4"/>
        <v>Wed</v>
      </c>
      <c r="M619" s="78" t="str">
        <f>IFERROR(VLOOKUP(A619, Entries!A:B,2,false),"")</f>
        <v>Oxymoron Games</v>
      </c>
      <c r="N619" s="23" t="str">
        <f>IFERROR(VLOOKUP(A619, Entries!A:K,11,false),"")</f>
        <v/>
      </c>
      <c r="O619" s="23" t="b">
        <f>IFERROR(VLOOKUP(A619, Entries!A:I,8,false),"")</f>
        <v>0</v>
      </c>
    </row>
    <row r="620">
      <c r="A620" s="78" t="s">
        <v>874</v>
      </c>
      <c r="B620" s="78" t="s">
        <v>19</v>
      </c>
      <c r="C620" s="85">
        <v>44187.0</v>
      </c>
      <c r="D620" s="85">
        <v>44226.0</v>
      </c>
      <c r="E620" s="86">
        <v>24.47</v>
      </c>
      <c r="F620" s="87">
        <v>37.08</v>
      </c>
      <c r="G620" s="88">
        <f t="shared" si="1"/>
        <v>12.61</v>
      </c>
      <c r="H620" s="89">
        <f t="shared" si="2"/>
        <v>0.3400755124</v>
      </c>
      <c r="I620" s="78" t="s">
        <v>875</v>
      </c>
      <c r="J620" s="78" t="s">
        <v>69</v>
      </c>
      <c r="K620" s="58">
        <f t="shared" si="3"/>
        <v>39</v>
      </c>
      <c r="L620" s="91" t="str">
        <f t="shared" si="4"/>
        <v>Sat</v>
      </c>
      <c r="M620" s="78" t="str">
        <f>IFERROR(VLOOKUP(A620, Entries!A:B,2,false),"")</f>
        <v>Berserk Games</v>
      </c>
      <c r="N620" s="23" t="str">
        <f>IFERROR(VLOOKUP(A620, Entries!A:K,11,false),"")</f>
        <v/>
      </c>
      <c r="O620" s="23" t="b">
        <f>IFERROR(VLOOKUP(A620, Entries!A:I,8,false),"")</f>
        <v>0</v>
      </c>
    </row>
    <row r="621">
      <c r="A621" s="78" t="s">
        <v>876</v>
      </c>
      <c r="B621" s="78" t="s">
        <v>19</v>
      </c>
      <c r="C621" s="85">
        <v>44187.0</v>
      </c>
      <c r="D621" s="85">
        <v>44195.0</v>
      </c>
      <c r="E621" s="86">
        <v>7.72</v>
      </c>
      <c r="F621" s="87">
        <v>7.94</v>
      </c>
      <c r="G621" s="88">
        <f t="shared" si="1"/>
        <v>0.22</v>
      </c>
      <c r="H621" s="89">
        <f t="shared" si="2"/>
        <v>0.02770780856</v>
      </c>
      <c r="I621" s="78" t="s">
        <v>877</v>
      </c>
      <c r="J621" s="78" t="s">
        <v>69</v>
      </c>
      <c r="K621" s="58">
        <f t="shared" si="3"/>
        <v>8</v>
      </c>
      <c r="L621" s="91" t="str">
        <f t="shared" si="4"/>
        <v>Wed</v>
      </c>
      <c r="M621" s="78" t="str">
        <f>IFERROR(VLOOKUP(A621, Entries!A:B,2,false),"")</f>
        <v>Berserk Games</v>
      </c>
      <c r="N621" s="23" t="str">
        <f>IFERROR(VLOOKUP(A621, Entries!A:K,11,false),"")</f>
        <v/>
      </c>
      <c r="O621" s="23" t="b">
        <f>IFERROR(VLOOKUP(A621, Entries!A:I,8,false),"")</f>
        <v>0</v>
      </c>
    </row>
    <row r="622">
      <c r="A622" s="78" t="s">
        <v>823</v>
      </c>
      <c r="B622" s="78" t="s">
        <v>19</v>
      </c>
      <c r="C622" s="85">
        <v>44188.0</v>
      </c>
      <c r="D622" s="85">
        <v>44210.0</v>
      </c>
      <c r="E622" s="86">
        <v>4.1</v>
      </c>
      <c r="F622" s="87">
        <v>5.11</v>
      </c>
      <c r="G622" s="88">
        <f t="shared" si="1"/>
        <v>1.01</v>
      </c>
      <c r="H622" s="89">
        <f t="shared" si="2"/>
        <v>0.1976516634</v>
      </c>
      <c r="I622" s="78" t="s">
        <v>878</v>
      </c>
      <c r="J622" s="78" t="s">
        <v>69</v>
      </c>
      <c r="K622" s="58">
        <f t="shared" si="3"/>
        <v>22</v>
      </c>
      <c r="L622" s="91" t="str">
        <f t="shared" si="4"/>
        <v>Thu</v>
      </c>
      <c r="M622" s="78" t="str">
        <f>IFERROR(VLOOKUP(A622, Entries!A:B,2,false),"")</f>
        <v>Beamdog</v>
      </c>
      <c r="N622" s="23" t="str">
        <f>IFERROR(VLOOKUP(A622, Entries!A:K,11,false),"")</f>
        <v/>
      </c>
      <c r="O622" s="23" t="b">
        <f>IFERROR(VLOOKUP(A622, Entries!A:I,8,false),"")</f>
        <v>0</v>
      </c>
    </row>
    <row r="623">
      <c r="A623" s="78" t="s">
        <v>879</v>
      </c>
      <c r="B623" s="78" t="s">
        <v>19</v>
      </c>
      <c r="C623" s="85">
        <v>44188.0</v>
      </c>
      <c r="D623" s="85">
        <v>44203.0</v>
      </c>
      <c r="E623" s="86">
        <v>7.8</v>
      </c>
      <c r="F623" s="87">
        <v>8.29</v>
      </c>
      <c r="G623" s="88">
        <f t="shared" si="1"/>
        <v>0.49</v>
      </c>
      <c r="H623" s="89">
        <f t="shared" si="2"/>
        <v>0.05910735826</v>
      </c>
      <c r="I623" s="78" t="s">
        <v>880</v>
      </c>
      <c r="J623" s="78" t="s">
        <v>69</v>
      </c>
      <c r="K623" s="58">
        <f t="shared" si="3"/>
        <v>15</v>
      </c>
      <c r="L623" s="91" t="str">
        <f t="shared" si="4"/>
        <v>Thu</v>
      </c>
      <c r="M623" s="78" t="str">
        <f>IFERROR(VLOOKUP(A623, Entries!A:B,2,false),"")</f>
        <v>Aspyr</v>
      </c>
      <c r="N623" s="23" t="str">
        <f>IFERROR(VLOOKUP(A623, Entries!A:K,11,false),"")</f>
        <v/>
      </c>
      <c r="O623" s="23" t="b">
        <f>IFERROR(VLOOKUP(A623, Entries!A:I,8,false),"")</f>
        <v>0</v>
      </c>
    </row>
    <row r="624">
      <c r="A624" s="78" t="s">
        <v>881</v>
      </c>
      <c r="B624" s="78" t="s">
        <v>19</v>
      </c>
      <c r="C624" s="85">
        <v>44188.0</v>
      </c>
      <c r="D624" s="85">
        <v>44199.0</v>
      </c>
      <c r="E624" s="86">
        <v>11.48</v>
      </c>
      <c r="F624" s="87">
        <v>15.29</v>
      </c>
      <c r="G624" s="88">
        <f t="shared" si="1"/>
        <v>3.81</v>
      </c>
      <c r="H624" s="89">
        <f t="shared" si="2"/>
        <v>0.2491824722</v>
      </c>
      <c r="I624" s="78" t="s">
        <v>882</v>
      </c>
      <c r="J624" s="78" t="s">
        <v>69</v>
      </c>
      <c r="K624" s="58">
        <f t="shared" si="3"/>
        <v>11</v>
      </c>
      <c r="L624" s="91" t="str">
        <f t="shared" si="4"/>
        <v>Sun</v>
      </c>
      <c r="M624" s="78" t="str">
        <f>IFERROR(VLOOKUP(A624, Entries!A:B,2,false),"")</f>
        <v>Rebellion</v>
      </c>
      <c r="N624" s="23" t="str">
        <f>IFERROR(VLOOKUP(A624, Entries!A:K,11,false),"")</f>
        <v/>
      </c>
      <c r="O624" s="23" t="b">
        <f>IFERROR(VLOOKUP(A624, Entries!A:I,8,false),"")</f>
        <v>0</v>
      </c>
    </row>
    <row r="625">
      <c r="A625" s="78" t="s">
        <v>883</v>
      </c>
      <c r="B625" s="78" t="s">
        <v>21</v>
      </c>
      <c r="C625" s="85">
        <v>44191.0</v>
      </c>
      <c r="D625" s="85">
        <v>44945.0</v>
      </c>
      <c r="E625" s="86">
        <v>12.99</v>
      </c>
      <c r="F625" s="87">
        <v>13.27</v>
      </c>
      <c r="G625" s="88">
        <f t="shared" si="1"/>
        <v>0.28</v>
      </c>
      <c r="H625" s="89">
        <f t="shared" si="2"/>
        <v>0.02110022607</v>
      </c>
      <c r="I625" s="78" t="s">
        <v>884</v>
      </c>
      <c r="J625" s="78" t="s">
        <v>69</v>
      </c>
      <c r="K625" s="58">
        <f t="shared" si="3"/>
        <v>754</v>
      </c>
      <c r="L625" s="91" t="str">
        <f t="shared" si="4"/>
        <v>Thu</v>
      </c>
      <c r="M625" s="78" t="str">
        <f>IFERROR(VLOOKUP(A625, Entries!A:B,2,false),"")</f>
        <v>Private Division</v>
      </c>
      <c r="N625" s="23" t="str">
        <f>IFERROR(VLOOKUP(A625, Entries!A:K,11,false),"")</f>
        <v/>
      </c>
      <c r="O625" s="23" t="b">
        <f>IFERROR(VLOOKUP(A625, Entries!A:I,8,false),"")</f>
        <v>0</v>
      </c>
    </row>
    <row r="626">
      <c r="A626" s="78" t="s">
        <v>117</v>
      </c>
      <c r="B626" s="78" t="s">
        <v>19</v>
      </c>
      <c r="C626" s="85">
        <v>44191.0</v>
      </c>
      <c r="D626" s="85">
        <v>44208.0</v>
      </c>
      <c r="E626" s="86">
        <v>0.0</v>
      </c>
      <c r="F626" s="87">
        <v>1.27</v>
      </c>
      <c r="G626" s="88">
        <f t="shared" si="1"/>
        <v>1.27</v>
      </c>
      <c r="H626" s="89">
        <f t="shared" si="2"/>
        <v>1</v>
      </c>
      <c r="I626" s="78" t="s">
        <v>885</v>
      </c>
      <c r="J626" s="78" t="s">
        <v>69</v>
      </c>
      <c r="K626" s="58">
        <f t="shared" si="3"/>
        <v>17</v>
      </c>
      <c r="L626" s="91" t="str">
        <f t="shared" si="4"/>
        <v>Tue</v>
      </c>
      <c r="M626" s="78" t="str">
        <f>IFERROR(VLOOKUP(A626, Entries!A:B,2,false),"")</f>
        <v>Starbreeze Publishing</v>
      </c>
      <c r="N626" s="23" t="str">
        <f>IFERROR(VLOOKUP(A626, Entries!A:K,11,false),"")</f>
        <v/>
      </c>
      <c r="O626" s="23" t="b">
        <f>IFERROR(VLOOKUP(A626, Entries!A:I,8,false),"")</f>
        <v>1</v>
      </c>
    </row>
    <row r="627">
      <c r="A627" s="78" t="s">
        <v>624</v>
      </c>
      <c r="B627" s="78" t="s">
        <v>19</v>
      </c>
      <c r="C627" s="85">
        <v>44191.0</v>
      </c>
      <c r="D627" s="85">
        <v>44192.0</v>
      </c>
      <c r="E627" s="86">
        <v>2.99</v>
      </c>
      <c r="F627" s="87">
        <v>4.96</v>
      </c>
      <c r="G627" s="88">
        <f t="shared" si="1"/>
        <v>1.97</v>
      </c>
      <c r="H627" s="89">
        <f t="shared" si="2"/>
        <v>0.3971774194</v>
      </c>
      <c r="I627" s="78" t="s">
        <v>886</v>
      </c>
      <c r="J627" s="78" t="s">
        <v>69</v>
      </c>
      <c r="K627" s="58">
        <f t="shared" si="3"/>
        <v>1</v>
      </c>
      <c r="L627" s="91" t="str">
        <f t="shared" si="4"/>
        <v>Sun</v>
      </c>
      <c r="M627" s="78" t="str">
        <f>IFERROR(VLOOKUP(A627, Entries!A:B,2,false),"")</f>
        <v>NEXT Studios</v>
      </c>
      <c r="N627" s="23" t="str">
        <f>IFERROR(VLOOKUP(A627, Entries!A:K,11,false),"")</f>
        <v/>
      </c>
      <c r="O627" s="23" t="b">
        <f>IFERROR(VLOOKUP(A627, Entries!A:I,8,false),"")</f>
        <v>1</v>
      </c>
    </row>
    <row r="628">
      <c r="A628" s="78" t="s">
        <v>805</v>
      </c>
      <c r="B628" s="78" t="s">
        <v>19</v>
      </c>
      <c r="C628" s="85">
        <v>44191.0</v>
      </c>
      <c r="D628" s="85">
        <v>44202.0</v>
      </c>
      <c r="E628" s="86">
        <v>2.99</v>
      </c>
      <c r="F628" s="87">
        <v>3.61</v>
      </c>
      <c r="G628" s="88">
        <f t="shared" si="1"/>
        <v>0.62</v>
      </c>
      <c r="H628" s="89">
        <f t="shared" si="2"/>
        <v>0.1717451524</v>
      </c>
      <c r="I628" s="78" t="s">
        <v>887</v>
      </c>
      <c r="J628" s="78" t="s">
        <v>69</v>
      </c>
      <c r="K628" s="58">
        <f t="shared" si="3"/>
        <v>11</v>
      </c>
      <c r="L628" s="91" t="str">
        <f t="shared" si="4"/>
        <v>Wed</v>
      </c>
      <c r="M628" s="78" t="str">
        <f>IFERROR(VLOOKUP(A628, Entries!A:B,2,false),"")</f>
        <v>Paradox Interactive</v>
      </c>
      <c r="N628" s="23" t="str">
        <f>IFERROR(VLOOKUP(A628, Entries!A:K,11,false),"")</f>
        <v/>
      </c>
      <c r="O628" s="23" t="b">
        <f>IFERROR(VLOOKUP(A628, Entries!A:I,8,false),"")</f>
        <v>1</v>
      </c>
    </row>
    <row r="629">
      <c r="A629" s="78" t="s">
        <v>624</v>
      </c>
      <c r="B629" s="78" t="s">
        <v>19</v>
      </c>
      <c r="C629" s="85">
        <v>44192.0</v>
      </c>
      <c r="D629" s="85">
        <v>44192.0</v>
      </c>
      <c r="E629" s="86">
        <v>2.99</v>
      </c>
      <c r="F629" s="87">
        <v>4.96</v>
      </c>
      <c r="G629" s="88">
        <f t="shared" si="1"/>
        <v>1.97</v>
      </c>
      <c r="H629" s="89">
        <f t="shared" si="2"/>
        <v>0.3971774194</v>
      </c>
      <c r="I629" s="78" t="s">
        <v>888</v>
      </c>
      <c r="J629" s="78" t="s">
        <v>69</v>
      </c>
      <c r="K629" s="58">
        <f t="shared" si="3"/>
        <v>0</v>
      </c>
      <c r="L629" s="91" t="str">
        <f t="shared" si="4"/>
        <v>Sun</v>
      </c>
      <c r="M629" s="78" t="str">
        <f>IFERROR(VLOOKUP(A629, Entries!A:B,2,false),"")</f>
        <v>NEXT Studios</v>
      </c>
      <c r="N629" s="23" t="str">
        <f>IFERROR(VLOOKUP(A629, Entries!A:K,11,false),"")</f>
        <v/>
      </c>
      <c r="O629" s="23" t="b">
        <f>IFERROR(VLOOKUP(A629, Entries!A:I,8,false),"")</f>
        <v>1</v>
      </c>
    </row>
    <row r="630">
      <c r="A630" s="78" t="s">
        <v>805</v>
      </c>
      <c r="B630" s="78" t="s">
        <v>19</v>
      </c>
      <c r="C630" s="85">
        <v>44192.0</v>
      </c>
      <c r="D630" s="85">
        <v>44212.0</v>
      </c>
      <c r="E630" s="86">
        <v>2.99</v>
      </c>
      <c r="F630" s="87">
        <v>3.61</v>
      </c>
      <c r="G630" s="88">
        <f t="shared" si="1"/>
        <v>0.62</v>
      </c>
      <c r="H630" s="89">
        <f t="shared" si="2"/>
        <v>0.1717451524</v>
      </c>
      <c r="I630" s="78" t="s">
        <v>889</v>
      </c>
      <c r="J630" s="78" t="s">
        <v>69</v>
      </c>
      <c r="K630" s="58">
        <f t="shared" si="3"/>
        <v>20</v>
      </c>
      <c r="L630" s="91" t="str">
        <f t="shared" si="4"/>
        <v>Sat</v>
      </c>
      <c r="M630" s="78" t="str">
        <f>IFERROR(VLOOKUP(A630, Entries!A:B,2,false),"")</f>
        <v>Paradox Interactive</v>
      </c>
      <c r="N630" s="23" t="str">
        <f>IFERROR(VLOOKUP(A630, Entries!A:K,11,false),"")</f>
        <v/>
      </c>
      <c r="O630" s="23" t="b">
        <f>IFERROR(VLOOKUP(A630, Entries!A:I,8,false),"")</f>
        <v>1</v>
      </c>
    </row>
    <row r="631">
      <c r="A631" s="78" t="s">
        <v>719</v>
      </c>
      <c r="B631" s="78" t="s">
        <v>19</v>
      </c>
      <c r="C631" s="85">
        <v>44192.0</v>
      </c>
      <c r="D631" s="85">
        <v>44215.0</v>
      </c>
      <c r="E631" s="86">
        <v>4.23</v>
      </c>
      <c r="F631" s="87">
        <v>5.96</v>
      </c>
      <c r="G631" s="88">
        <f t="shared" si="1"/>
        <v>1.73</v>
      </c>
      <c r="H631" s="89">
        <f t="shared" si="2"/>
        <v>0.2902684564</v>
      </c>
      <c r="I631" s="78" t="s">
        <v>890</v>
      </c>
      <c r="J631" s="78" t="s">
        <v>69</v>
      </c>
      <c r="K631" s="58">
        <f t="shared" si="3"/>
        <v>23</v>
      </c>
      <c r="L631" s="91" t="str">
        <f t="shared" si="4"/>
        <v>Tue</v>
      </c>
      <c r="M631" s="78" t="str">
        <f>IFERROR(VLOOKUP(A631, Entries!A:B,2,false),"")</f>
        <v>Lukas Rustemeyer</v>
      </c>
      <c r="N631" s="23" t="str">
        <f>IFERROR(VLOOKUP(A631, Entries!A:K,11,false),"")</f>
        <v/>
      </c>
      <c r="O631" s="23" t="b">
        <f>IFERROR(VLOOKUP(A631, Entries!A:I,8,false),"")</f>
        <v>1</v>
      </c>
    </row>
    <row r="632">
      <c r="A632" s="78" t="s">
        <v>719</v>
      </c>
      <c r="B632" s="78" t="s">
        <v>19</v>
      </c>
      <c r="C632" s="85">
        <v>44192.0</v>
      </c>
      <c r="D632" s="85">
        <v>44215.0</v>
      </c>
      <c r="E632" s="86">
        <v>3.37</v>
      </c>
      <c r="F632" s="87">
        <v>5.96</v>
      </c>
      <c r="G632" s="88">
        <f t="shared" si="1"/>
        <v>2.59</v>
      </c>
      <c r="H632" s="89">
        <f t="shared" si="2"/>
        <v>0.4345637584</v>
      </c>
      <c r="I632" s="78" t="s">
        <v>891</v>
      </c>
      <c r="J632" s="78" t="s">
        <v>69</v>
      </c>
      <c r="K632" s="58">
        <f t="shared" si="3"/>
        <v>23</v>
      </c>
      <c r="L632" s="91" t="str">
        <f t="shared" si="4"/>
        <v>Tue</v>
      </c>
      <c r="M632" s="78" t="str">
        <f>IFERROR(VLOOKUP(A632, Entries!A:B,2,false),"")</f>
        <v>Lukas Rustemeyer</v>
      </c>
      <c r="N632" s="23" t="str">
        <f>IFERROR(VLOOKUP(A632, Entries!A:K,11,false),"")</f>
        <v/>
      </c>
      <c r="O632" s="23" t="b">
        <f>IFERROR(VLOOKUP(A632, Entries!A:I,8,false),"")</f>
        <v>1</v>
      </c>
    </row>
    <row r="633">
      <c r="A633" s="78" t="s">
        <v>892</v>
      </c>
      <c r="B633" s="78" t="s">
        <v>22</v>
      </c>
      <c r="C633" s="85">
        <v>44193.0</v>
      </c>
      <c r="D633" s="85">
        <v>44203.0</v>
      </c>
      <c r="E633" s="86">
        <v>14.37</v>
      </c>
      <c r="F633" s="87">
        <v>18.29</v>
      </c>
      <c r="G633" s="88">
        <f t="shared" si="1"/>
        <v>3.92</v>
      </c>
      <c r="H633" s="89">
        <f t="shared" si="2"/>
        <v>0.2143247676</v>
      </c>
      <c r="I633" s="78" t="s">
        <v>893</v>
      </c>
      <c r="J633" s="78" t="s">
        <v>69</v>
      </c>
      <c r="K633" s="58">
        <f t="shared" si="3"/>
        <v>10</v>
      </c>
      <c r="L633" s="91" t="str">
        <f t="shared" si="4"/>
        <v>Thu</v>
      </c>
      <c r="M633" s="78" t="str">
        <f>IFERROR(VLOOKUP(A633, Entries!A:B,2,false),"")</f>
        <v>Square Enix</v>
      </c>
      <c r="N633" s="23" t="str">
        <f>IFERROR(VLOOKUP(A633, Entries!A:K,11,false),"")</f>
        <v/>
      </c>
      <c r="O633" s="23" t="b">
        <f>IFERROR(VLOOKUP(A633, Entries!A:I,8,false),"")</f>
        <v>1</v>
      </c>
    </row>
    <row r="634">
      <c r="A634" s="78" t="s">
        <v>622</v>
      </c>
      <c r="B634" s="78" t="s">
        <v>19</v>
      </c>
      <c r="C634" s="85">
        <v>44194.0</v>
      </c>
      <c r="D634" s="85">
        <v>44202.0</v>
      </c>
      <c r="E634" s="86">
        <v>2.98</v>
      </c>
      <c r="F634" s="87">
        <v>3.69</v>
      </c>
      <c r="G634" s="88">
        <f t="shared" si="1"/>
        <v>0.71</v>
      </c>
      <c r="H634" s="89">
        <f t="shared" si="2"/>
        <v>0.1924119241</v>
      </c>
      <c r="I634" s="78" t="s">
        <v>894</v>
      </c>
      <c r="J634" s="78" t="s">
        <v>69</v>
      </c>
      <c r="K634" s="58">
        <f t="shared" si="3"/>
        <v>8</v>
      </c>
      <c r="L634" s="91" t="str">
        <f t="shared" si="4"/>
        <v>Wed</v>
      </c>
      <c r="M634" s="78" t="str">
        <f>IFERROR(VLOOKUP(A634, Entries!A:B,2,false),"")</f>
        <v>Blue Brain Games</v>
      </c>
      <c r="N634" s="23" t="str">
        <f>IFERROR(VLOOKUP(A634, Entries!A:K,11,false),"")</f>
        <v/>
      </c>
      <c r="O634" s="23" t="b">
        <f>IFERROR(VLOOKUP(A634, Entries!A:I,8,false),"")</f>
        <v>1</v>
      </c>
    </row>
    <row r="635">
      <c r="A635" s="78" t="s">
        <v>624</v>
      </c>
      <c r="B635" s="78" t="s">
        <v>19</v>
      </c>
      <c r="C635" s="85">
        <v>44194.0</v>
      </c>
      <c r="D635" s="85">
        <v>44195.0</v>
      </c>
      <c r="E635" s="86">
        <v>2.98</v>
      </c>
      <c r="F635" s="87">
        <v>4.96</v>
      </c>
      <c r="G635" s="88">
        <f t="shared" si="1"/>
        <v>1.98</v>
      </c>
      <c r="H635" s="89">
        <f t="shared" si="2"/>
        <v>0.3991935484</v>
      </c>
      <c r="I635" s="78" t="s">
        <v>895</v>
      </c>
      <c r="J635" s="78" t="s">
        <v>69</v>
      </c>
      <c r="K635" s="58">
        <f t="shared" si="3"/>
        <v>1</v>
      </c>
      <c r="L635" s="91" t="str">
        <f t="shared" si="4"/>
        <v>Wed</v>
      </c>
      <c r="M635" s="78" t="str">
        <f>IFERROR(VLOOKUP(A635, Entries!A:B,2,false),"")</f>
        <v>NEXT Studios</v>
      </c>
      <c r="N635" s="23" t="str">
        <f>IFERROR(VLOOKUP(A635, Entries!A:K,11,false),"")</f>
        <v/>
      </c>
      <c r="O635" s="23" t="b">
        <f>IFERROR(VLOOKUP(A635, Entries!A:I,8,false),"")</f>
        <v>1</v>
      </c>
    </row>
    <row r="636">
      <c r="A636" s="78" t="s">
        <v>896</v>
      </c>
      <c r="B636" s="78" t="s">
        <v>23</v>
      </c>
      <c r="C636" s="85">
        <v>44195.0</v>
      </c>
      <c r="D636" s="85">
        <v>44210.0</v>
      </c>
      <c r="E636" s="86">
        <v>19.18</v>
      </c>
      <c r="F636" s="87">
        <v>24.77</v>
      </c>
      <c r="G636" s="88">
        <f t="shared" si="1"/>
        <v>5.59</v>
      </c>
      <c r="H636" s="89">
        <f t="shared" si="2"/>
        <v>0.2256762212</v>
      </c>
      <c r="I636" s="78" t="s">
        <v>561</v>
      </c>
      <c r="J636" s="78" t="s">
        <v>69</v>
      </c>
      <c r="K636" s="58">
        <f t="shared" si="3"/>
        <v>15</v>
      </c>
      <c r="L636" s="91" t="str">
        <f t="shared" si="4"/>
        <v>Thu</v>
      </c>
      <c r="M636" s="78" t="str">
        <f>IFERROR(VLOOKUP(A636, Entries!A:B,2,false),"")</f>
        <v>SEGA</v>
      </c>
      <c r="N636" s="23" t="str">
        <f>IFERROR(VLOOKUP(A636, Entries!A:K,11,false),"")</f>
        <v/>
      </c>
      <c r="O636" s="23" t="b">
        <f>IFERROR(VLOOKUP(A636, Entries!A:I,8,false),"")</f>
        <v>0</v>
      </c>
    </row>
    <row r="637">
      <c r="A637" s="78" t="s">
        <v>411</v>
      </c>
      <c r="B637" s="78" t="s">
        <v>19</v>
      </c>
      <c r="C637" s="85">
        <v>44195.0</v>
      </c>
      <c r="D637" s="85">
        <v>44202.0</v>
      </c>
      <c r="E637" s="86">
        <v>4.53</v>
      </c>
      <c r="F637" s="87">
        <v>7.28</v>
      </c>
      <c r="G637" s="88">
        <f t="shared" si="1"/>
        <v>2.75</v>
      </c>
      <c r="H637" s="89">
        <f t="shared" si="2"/>
        <v>0.3777472527</v>
      </c>
      <c r="I637" s="78" t="s">
        <v>65</v>
      </c>
      <c r="J637" s="78" t="s">
        <v>69</v>
      </c>
      <c r="K637" s="58">
        <f t="shared" si="3"/>
        <v>7</v>
      </c>
      <c r="L637" s="91" t="str">
        <f t="shared" si="4"/>
        <v>Wed</v>
      </c>
      <c r="M637" s="78" t="str">
        <f>IFERROR(VLOOKUP(A637, Entries!A:B,2,false),"")</f>
        <v>ROCKFISH Games</v>
      </c>
      <c r="N637" s="23" t="str">
        <f>IFERROR(VLOOKUP(A637, Entries!A:K,11,false),"")</f>
        <v/>
      </c>
      <c r="O637" s="23" t="b">
        <f>IFERROR(VLOOKUP(A637, Entries!A:I,8,false),"")</f>
        <v>0</v>
      </c>
    </row>
    <row r="638">
      <c r="A638" s="78" t="s">
        <v>411</v>
      </c>
      <c r="B638" s="78" t="s">
        <v>19</v>
      </c>
      <c r="C638" s="85">
        <v>44195.0</v>
      </c>
      <c r="D638" s="85">
        <v>44208.0</v>
      </c>
      <c r="E638" s="86">
        <v>4.53</v>
      </c>
      <c r="F638" s="87">
        <v>7.3</v>
      </c>
      <c r="G638" s="88">
        <f t="shared" si="1"/>
        <v>2.77</v>
      </c>
      <c r="H638" s="89">
        <f t="shared" si="2"/>
        <v>0.3794520548</v>
      </c>
      <c r="I638" s="78" t="s">
        <v>65</v>
      </c>
      <c r="J638" s="78" t="s">
        <v>69</v>
      </c>
      <c r="K638" s="58">
        <f t="shared" si="3"/>
        <v>13</v>
      </c>
      <c r="L638" s="91" t="str">
        <f t="shared" si="4"/>
        <v>Tue</v>
      </c>
      <c r="M638" s="78" t="str">
        <f>IFERROR(VLOOKUP(A638, Entries!A:B,2,false),"")</f>
        <v>ROCKFISH Games</v>
      </c>
      <c r="N638" s="23" t="str">
        <f>IFERROR(VLOOKUP(A638, Entries!A:K,11,false),"")</f>
        <v/>
      </c>
      <c r="O638" s="23" t="b">
        <f>IFERROR(VLOOKUP(A638, Entries!A:I,8,false),"")</f>
        <v>0</v>
      </c>
    </row>
    <row r="639">
      <c r="A639" s="78" t="s">
        <v>881</v>
      </c>
      <c r="B639" s="78" t="s">
        <v>19</v>
      </c>
      <c r="C639" s="85">
        <v>44199.0</v>
      </c>
      <c r="D639" s="85">
        <v>44201.0</v>
      </c>
      <c r="E639" s="86">
        <v>11.43</v>
      </c>
      <c r="F639" s="87">
        <v>15.21</v>
      </c>
      <c r="G639" s="88">
        <f t="shared" si="1"/>
        <v>3.78</v>
      </c>
      <c r="H639" s="89">
        <f t="shared" si="2"/>
        <v>0.2485207101</v>
      </c>
      <c r="I639" s="78" t="s">
        <v>897</v>
      </c>
      <c r="J639" s="78" t="s">
        <v>69</v>
      </c>
      <c r="K639" s="58">
        <f t="shared" si="3"/>
        <v>2</v>
      </c>
      <c r="L639" s="91" t="str">
        <f t="shared" si="4"/>
        <v>Tue</v>
      </c>
      <c r="M639" s="78" t="str">
        <f>IFERROR(VLOOKUP(A639, Entries!A:B,2,false),"")</f>
        <v>Rebellion</v>
      </c>
      <c r="N639" s="23" t="str">
        <f>IFERROR(VLOOKUP(A639, Entries!A:K,11,false),"")</f>
        <v/>
      </c>
      <c r="O639" s="23" t="b">
        <f>IFERROR(VLOOKUP(A639, Entries!A:I,8,false),"")</f>
        <v>0</v>
      </c>
    </row>
    <row r="640">
      <c r="A640" s="78" t="s">
        <v>281</v>
      </c>
      <c r="B640" s="78" t="s">
        <v>21</v>
      </c>
      <c r="C640" s="85">
        <v>44201.0</v>
      </c>
      <c r="D640" s="85">
        <v>44201.0</v>
      </c>
      <c r="E640" s="86">
        <v>2.2</v>
      </c>
      <c r="F640" s="87">
        <v>3.03</v>
      </c>
      <c r="G640" s="88">
        <f t="shared" si="1"/>
        <v>0.83</v>
      </c>
      <c r="H640" s="89">
        <f t="shared" si="2"/>
        <v>0.2739273927</v>
      </c>
      <c r="I640" s="78" t="s">
        <v>898</v>
      </c>
      <c r="J640" s="78" t="s">
        <v>69</v>
      </c>
      <c r="K640" s="58">
        <f t="shared" si="3"/>
        <v>0</v>
      </c>
      <c r="L640" s="91" t="str">
        <f t="shared" si="4"/>
        <v>Tue</v>
      </c>
      <c r="M640" s="78" t="str">
        <f>IFERROR(VLOOKUP(A640, Entries!A:B,2,false),"")</f>
        <v>Red Barrels</v>
      </c>
      <c r="N640" s="23" t="str">
        <f>IFERROR(VLOOKUP(A640, Entries!A:K,11,false),"")</f>
        <v/>
      </c>
      <c r="O640" s="23" t="b">
        <f>IFERROR(VLOOKUP(A640, Entries!A:I,8,false),"")</f>
        <v>0</v>
      </c>
    </row>
    <row r="641">
      <c r="A641" s="78" t="s">
        <v>899</v>
      </c>
      <c r="B641" s="78" t="s">
        <v>19</v>
      </c>
      <c r="C641" s="85">
        <v>44202.0</v>
      </c>
      <c r="D641" s="85">
        <v>44205.0</v>
      </c>
      <c r="E641" s="86">
        <v>3.82</v>
      </c>
      <c r="F641" s="87">
        <v>5.02</v>
      </c>
      <c r="G641" s="88">
        <f t="shared" si="1"/>
        <v>1.2</v>
      </c>
      <c r="H641" s="89">
        <f t="shared" si="2"/>
        <v>0.2390438247</v>
      </c>
      <c r="I641" s="78" t="s">
        <v>900</v>
      </c>
      <c r="J641" s="78" t="s">
        <v>69</v>
      </c>
      <c r="K641" s="58">
        <f t="shared" si="3"/>
        <v>3</v>
      </c>
      <c r="L641" s="91" t="str">
        <f t="shared" si="4"/>
        <v>Sat</v>
      </c>
      <c r="M641" s="78" t="str">
        <f>IFERROR(VLOOKUP(A641, Entries!A:B,2,false),"")</f>
        <v>Codemasters</v>
      </c>
      <c r="N641" s="23" t="str">
        <f>IFERROR(VLOOKUP(A641, Entries!A:K,11,false),"")</f>
        <v/>
      </c>
      <c r="O641" s="23" t="b">
        <f>IFERROR(VLOOKUP(A641, Entries!A:I,8,false),"")</f>
        <v>0</v>
      </c>
    </row>
    <row r="642">
      <c r="A642" s="78" t="s">
        <v>899</v>
      </c>
      <c r="B642" s="78" t="s">
        <v>19</v>
      </c>
      <c r="C642" s="85">
        <v>44202.0</v>
      </c>
      <c r="D642" s="85">
        <v>44210.0</v>
      </c>
      <c r="E642" s="86">
        <v>2.97</v>
      </c>
      <c r="F642" s="87">
        <v>5.02</v>
      </c>
      <c r="G642" s="88">
        <f t="shared" si="1"/>
        <v>2.05</v>
      </c>
      <c r="H642" s="89">
        <f t="shared" si="2"/>
        <v>0.4083665339</v>
      </c>
      <c r="I642" s="78" t="s">
        <v>901</v>
      </c>
      <c r="J642" s="78" t="s">
        <v>69</v>
      </c>
      <c r="K642" s="58">
        <f t="shared" si="3"/>
        <v>8</v>
      </c>
      <c r="L642" s="91" t="str">
        <f t="shared" si="4"/>
        <v>Thu</v>
      </c>
      <c r="M642" s="78" t="str">
        <f>IFERROR(VLOOKUP(A642, Entries!A:B,2,false),"")</f>
        <v>Codemasters</v>
      </c>
      <c r="N642" s="23" t="str">
        <f>IFERROR(VLOOKUP(A642, Entries!A:K,11,false),"")</f>
        <v/>
      </c>
      <c r="O642" s="23" t="b">
        <f>IFERROR(VLOOKUP(A642, Entries!A:I,8,false),"")</f>
        <v>0</v>
      </c>
    </row>
    <row r="643">
      <c r="A643" s="78" t="s">
        <v>902</v>
      </c>
      <c r="B643" s="78" t="s">
        <v>26</v>
      </c>
      <c r="C643" s="85">
        <v>44208.0</v>
      </c>
      <c r="D643" s="85">
        <v>44217.0</v>
      </c>
      <c r="E643" s="86">
        <v>2.57</v>
      </c>
      <c r="F643" s="87">
        <v>3.42</v>
      </c>
      <c r="G643" s="88">
        <f t="shared" si="1"/>
        <v>0.85</v>
      </c>
      <c r="H643" s="89">
        <f t="shared" si="2"/>
        <v>0.2485380117</v>
      </c>
      <c r="I643" s="78" t="s">
        <v>903</v>
      </c>
      <c r="J643" s="78" t="s">
        <v>69</v>
      </c>
      <c r="K643" s="58">
        <f t="shared" si="3"/>
        <v>9</v>
      </c>
      <c r="L643" s="91" t="str">
        <f t="shared" si="4"/>
        <v>Thu</v>
      </c>
      <c r="M643" s="78" t="str">
        <f>IFERROR(VLOOKUP(A643, Entries!A:B,2,false),"")</f>
        <v>Evil Twin Artworks</v>
      </c>
      <c r="N643" s="23" t="str">
        <f>IFERROR(VLOOKUP(A643, Entries!A:K,11,false),"")</f>
        <v/>
      </c>
      <c r="O643" s="23" t="b">
        <f>IFERROR(VLOOKUP(A643, Entries!A:I,8,false),"")</f>
        <v>0</v>
      </c>
    </row>
    <row r="644">
      <c r="A644" s="78" t="s">
        <v>291</v>
      </c>
      <c r="B644" s="78" t="s">
        <v>19</v>
      </c>
      <c r="C644" s="85">
        <v>44209.0</v>
      </c>
      <c r="D644" s="85">
        <v>44210.0</v>
      </c>
      <c r="E644" s="86">
        <v>2.81</v>
      </c>
      <c r="F644" s="87">
        <v>3.91</v>
      </c>
      <c r="G644" s="88">
        <f t="shared" si="1"/>
        <v>1.1</v>
      </c>
      <c r="H644" s="89">
        <f t="shared" si="2"/>
        <v>0.2813299233</v>
      </c>
      <c r="I644" s="78" t="s">
        <v>904</v>
      </c>
      <c r="J644" s="78" t="s">
        <v>69</v>
      </c>
      <c r="K644" s="58">
        <f t="shared" si="3"/>
        <v>1</v>
      </c>
      <c r="L644" s="91" t="str">
        <f t="shared" si="4"/>
        <v>Thu</v>
      </c>
      <c r="M644" s="78" t="str">
        <f>IFERROR(VLOOKUP(A644, Entries!A:B,2,false),"")</f>
        <v>Square Enix</v>
      </c>
      <c r="N644" s="23" t="str">
        <f>IFERROR(VLOOKUP(A644, Entries!A:K,11,false),"")</f>
        <v/>
      </c>
      <c r="O644" s="23" t="b">
        <f>IFERROR(VLOOKUP(A644, Entries!A:I,8,false),"")</f>
        <v>0</v>
      </c>
    </row>
    <row r="645">
      <c r="A645" s="78" t="s">
        <v>291</v>
      </c>
      <c r="B645" s="78" t="s">
        <v>19</v>
      </c>
      <c r="C645" s="85">
        <v>44209.0</v>
      </c>
      <c r="D645" s="85">
        <v>44216.0</v>
      </c>
      <c r="E645" s="86">
        <v>2.81</v>
      </c>
      <c r="F645" s="87">
        <v>3.91</v>
      </c>
      <c r="G645" s="88">
        <f t="shared" si="1"/>
        <v>1.1</v>
      </c>
      <c r="H645" s="89">
        <f t="shared" si="2"/>
        <v>0.2813299233</v>
      </c>
      <c r="I645" s="78" t="s">
        <v>905</v>
      </c>
      <c r="J645" s="78" t="s">
        <v>69</v>
      </c>
      <c r="K645" s="58">
        <f t="shared" si="3"/>
        <v>7</v>
      </c>
      <c r="L645" s="91" t="str">
        <f t="shared" si="4"/>
        <v>Wed</v>
      </c>
      <c r="M645" s="78" t="str">
        <f>IFERROR(VLOOKUP(A645, Entries!A:B,2,false),"")</f>
        <v>Square Enix</v>
      </c>
      <c r="N645" s="23" t="str">
        <f>IFERROR(VLOOKUP(A645, Entries!A:K,11,false),"")</f>
        <v/>
      </c>
      <c r="O645" s="23" t="b">
        <f>IFERROR(VLOOKUP(A645, Entries!A:I,8,false),"")</f>
        <v>0</v>
      </c>
    </row>
    <row r="646">
      <c r="A646" s="78" t="s">
        <v>906</v>
      </c>
      <c r="B646" s="78" t="s">
        <v>19</v>
      </c>
      <c r="C646" s="85">
        <v>44210.0</v>
      </c>
      <c r="D646" s="85">
        <v>44229.0</v>
      </c>
      <c r="E646" s="86">
        <v>2.45</v>
      </c>
      <c r="F646" s="87">
        <v>6.69</v>
      </c>
      <c r="G646" s="88">
        <f t="shared" si="1"/>
        <v>4.24</v>
      </c>
      <c r="H646" s="89">
        <f t="shared" si="2"/>
        <v>0.6337817638</v>
      </c>
      <c r="I646" s="78" t="s">
        <v>907</v>
      </c>
      <c r="J646" s="78" t="s">
        <v>69</v>
      </c>
      <c r="K646" s="58">
        <f t="shared" si="3"/>
        <v>19</v>
      </c>
      <c r="L646" s="91" t="str">
        <f t="shared" si="4"/>
        <v>Tue</v>
      </c>
      <c r="M646" s="78" t="str">
        <f>IFERROR(VLOOKUP(A646, Entries!A:B,2,false),"")</f>
        <v>Klabater</v>
      </c>
      <c r="N646" s="23" t="str">
        <f>IFERROR(VLOOKUP(A646, Entries!A:K,11,false),"")</f>
        <v/>
      </c>
      <c r="O646" s="23" t="b">
        <f>IFERROR(VLOOKUP(A646, Entries!A:I,8,false),"")</f>
        <v>0</v>
      </c>
    </row>
    <row r="647">
      <c r="A647" s="78" t="s">
        <v>899</v>
      </c>
      <c r="B647" s="78" t="s">
        <v>19</v>
      </c>
      <c r="C647" s="85">
        <v>44210.0</v>
      </c>
      <c r="D647" s="85">
        <v>44218.0</v>
      </c>
      <c r="E647" s="86">
        <v>2.45</v>
      </c>
      <c r="F647" s="87">
        <v>4.72</v>
      </c>
      <c r="G647" s="88">
        <f t="shared" si="1"/>
        <v>2.27</v>
      </c>
      <c r="H647" s="89">
        <f t="shared" si="2"/>
        <v>0.4809322034</v>
      </c>
      <c r="I647" s="78" t="s">
        <v>908</v>
      </c>
      <c r="J647" s="78" t="s">
        <v>69</v>
      </c>
      <c r="K647" s="58">
        <f t="shared" si="3"/>
        <v>8</v>
      </c>
      <c r="L647" s="91" t="str">
        <f t="shared" si="4"/>
        <v>Fri</v>
      </c>
      <c r="M647" s="78" t="str">
        <f>IFERROR(VLOOKUP(A647, Entries!A:B,2,false),"")</f>
        <v>Codemasters</v>
      </c>
      <c r="N647" s="23" t="str">
        <f>IFERROR(VLOOKUP(A647, Entries!A:K,11,false),"")</f>
        <v/>
      </c>
      <c r="O647" s="23" t="b">
        <f>IFERROR(VLOOKUP(A647, Entries!A:I,8,false),"")</f>
        <v>0</v>
      </c>
    </row>
    <row r="648">
      <c r="A648" s="78" t="s">
        <v>909</v>
      </c>
      <c r="B648" s="78" t="s">
        <v>19</v>
      </c>
      <c r="C648" s="85">
        <v>44210.0</v>
      </c>
      <c r="D648" s="85">
        <v>45121.0</v>
      </c>
      <c r="E648" s="86">
        <v>2.45</v>
      </c>
      <c r="F648" s="87">
        <v>2.11</v>
      </c>
      <c r="G648" s="88">
        <f t="shared" si="1"/>
        <v>-0.34</v>
      </c>
      <c r="H648" s="89">
        <f t="shared" si="2"/>
        <v>-0.1611374408</v>
      </c>
      <c r="I648" s="78" t="s">
        <v>910</v>
      </c>
      <c r="J648" s="78" t="s">
        <v>69</v>
      </c>
      <c r="K648" s="58">
        <f t="shared" si="3"/>
        <v>911</v>
      </c>
      <c r="L648" s="91" t="str">
        <f t="shared" si="4"/>
        <v>Fri</v>
      </c>
      <c r="M648" s="98" t="str">
        <f>IFERROR(VLOOKUP(A648, Entries!A:B,2,false),"")</f>
        <v>IMGN.PRO</v>
      </c>
      <c r="N648" s="23" t="str">
        <f>IFERROR(VLOOKUP(A648, Entries!A:K,11,false),"")</f>
        <v/>
      </c>
      <c r="O648" s="23" t="b">
        <f>IFERROR(VLOOKUP(A648, Entries!A:I,8,false),"")</f>
        <v>0</v>
      </c>
    </row>
    <row r="649">
      <c r="A649" s="78" t="s">
        <v>911</v>
      </c>
      <c r="B649" s="78" t="s">
        <v>19</v>
      </c>
      <c r="C649" s="85">
        <v>44210.0</v>
      </c>
      <c r="D649" s="85">
        <v>44215.0</v>
      </c>
      <c r="E649" s="86">
        <v>2.45</v>
      </c>
      <c r="F649" s="87">
        <v>4.71</v>
      </c>
      <c r="G649" s="88">
        <f t="shared" si="1"/>
        <v>2.26</v>
      </c>
      <c r="H649" s="89">
        <f t="shared" si="2"/>
        <v>0.4798301486</v>
      </c>
      <c r="I649" s="78" t="s">
        <v>912</v>
      </c>
      <c r="J649" s="78" t="s">
        <v>69</v>
      </c>
      <c r="K649" s="58">
        <f t="shared" si="3"/>
        <v>5</v>
      </c>
      <c r="L649" s="91" t="str">
        <f t="shared" si="4"/>
        <v>Tue</v>
      </c>
      <c r="M649" s="78" t="str">
        <f>IFERROR(VLOOKUP(A649, Entries!A:B,2,false),"")</f>
        <v>Assemble Entertainment</v>
      </c>
      <c r="N649" s="23" t="str">
        <f>IFERROR(VLOOKUP(A649, Entries!A:K,11,false),"")</f>
        <v/>
      </c>
      <c r="O649" s="23" t="b">
        <f>IFERROR(VLOOKUP(A649, Entries!A:I,8,false),"")</f>
        <v>0</v>
      </c>
    </row>
    <row r="650">
      <c r="A650" s="78" t="s">
        <v>913</v>
      </c>
      <c r="B650" s="78" t="s">
        <v>19</v>
      </c>
      <c r="C650" s="85">
        <v>44210.0</v>
      </c>
      <c r="D650" s="85">
        <v>44227.0</v>
      </c>
      <c r="E650" s="86">
        <v>2.45</v>
      </c>
      <c r="F650" s="87">
        <v>5.37</v>
      </c>
      <c r="G650" s="88">
        <f t="shared" si="1"/>
        <v>2.92</v>
      </c>
      <c r="H650" s="89">
        <f t="shared" si="2"/>
        <v>0.5437616387</v>
      </c>
      <c r="I650" s="78" t="s">
        <v>914</v>
      </c>
      <c r="J650" s="78" t="s">
        <v>69</v>
      </c>
      <c r="K650" s="58">
        <f t="shared" si="3"/>
        <v>17</v>
      </c>
      <c r="L650" s="91" t="str">
        <f t="shared" si="4"/>
        <v>Sun</v>
      </c>
      <c r="M650" s="78" t="str">
        <f>IFERROR(VLOOKUP(A650, Entries!A:B,2,false),"")</f>
        <v>Reverie World Studios</v>
      </c>
      <c r="N650" s="23" t="str">
        <f>IFERROR(VLOOKUP(A650, Entries!A:K,11,false),"")</f>
        <v/>
      </c>
      <c r="O650" s="23" t="b">
        <f>IFERROR(VLOOKUP(A650, Entries!A:I,8,false),"")</f>
        <v>0</v>
      </c>
    </row>
    <row r="651">
      <c r="A651" s="78" t="s">
        <v>915</v>
      </c>
      <c r="B651" s="78" t="s">
        <v>19</v>
      </c>
      <c r="C651" s="85">
        <v>44210.0</v>
      </c>
      <c r="D651" s="85">
        <v>44257.0</v>
      </c>
      <c r="E651" s="86">
        <v>2.45</v>
      </c>
      <c r="F651" s="87">
        <v>5.18</v>
      </c>
      <c r="G651" s="88">
        <f t="shared" si="1"/>
        <v>2.73</v>
      </c>
      <c r="H651" s="89">
        <f t="shared" si="2"/>
        <v>0.527027027</v>
      </c>
      <c r="I651" s="78" t="s">
        <v>916</v>
      </c>
      <c r="J651" s="78" t="s">
        <v>69</v>
      </c>
      <c r="K651" s="58">
        <f t="shared" si="3"/>
        <v>47</v>
      </c>
      <c r="L651" s="91" t="str">
        <f t="shared" si="4"/>
        <v>Tue</v>
      </c>
      <c r="M651" s="78" t="str">
        <f>IFERROR(VLOOKUP(A651, Entries!A:B,2,false),"")</f>
        <v>META Publishing</v>
      </c>
      <c r="N651" s="23" t="str">
        <f>IFERROR(VLOOKUP(A651, Entries!A:K,11,false),"")</f>
        <v/>
      </c>
      <c r="O651" s="23" t="b">
        <f>IFERROR(VLOOKUP(A651, Entries!A:I,8,false),"")</f>
        <v>0</v>
      </c>
    </row>
    <row r="652">
      <c r="A652" s="78" t="s">
        <v>917</v>
      </c>
      <c r="B652" s="78" t="s">
        <v>19</v>
      </c>
      <c r="C652" s="85">
        <v>44210.0</v>
      </c>
      <c r="D652" s="85">
        <v>44214.0</v>
      </c>
      <c r="E652" s="86">
        <v>2.45</v>
      </c>
      <c r="F652" s="87">
        <v>3.76</v>
      </c>
      <c r="G652" s="88">
        <f t="shared" si="1"/>
        <v>1.31</v>
      </c>
      <c r="H652" s="89">
        <f t="shared" si="2"/>
        <v>0.3484042553</v>
      </c>
      <c r="I652" s="78" t="s">
        <v>918</v>
      </c>
      <c r="J652" s="78" t="s">
        <v>69</v>
      </c>
      <c r="K652" s="58">
        <f t="shared" si="3"/>
        <v>4</v>
      </c>
      <c r="L652" s="91" t="str">
        <f t="shared" si="4"/>
        <v>Mon</v>
      </c>
      <c r="M652" s="78" t="str">
        <f>IFERROR(VLOOKUP(A652, Entries!A:B,2,false),"")</f>
        <v>ROCKFISH Games</v>
      </c>
      <c r="N652" s="23" t="str">
        <f>IFERROR(VLOOKUP(A652, Entries!A:K,11,false),"")</f>
        <v/>
      </c>
      <c r="O652" s="23" t="b">
        <f>IFERROR(VLOOKUP(A652, Entries!A:I,8,false),"")</f>
        <v>0</v>
      </c>
    </row>
    <row r="653">
      <c r="A653" s="78" t="s">
        <v>291</v>
      </c>
      <c r="B653" s="78" t="s">
        <v>19</v>
      </c>
      <c r="C653" s="85">
        <v>44211.0</v>
      </c>
      <c r="D653" s="85">
        <v>44224.0</v>
      </c>
      <c r="E653" s="86">
        <v>2.81</v>
      </c>
      <c r="F653" s="87">
        <v>3.9</v>
      </c>
      <c r="G653" s="88">
        <f t="shared" si="1"/>
        <v>1.09</v>
      </c>
      <c r="H653" s="89">
        <f t="shared" si="2"/>
        <v>0.2794871795</v>
      </c>
      <c r="I653" s="78" t="s">
        <v>919</v>
      </c>
      <c r="J653" s="78" t="s">
        <v>69</v>
      </c>
      <c r="K653" s="58">
        <f t="shared" si="3"/>
        <v>13</v>
      </c>
      <c r="L653" s="91" t="str">
        <f t="shared" si="4"/>
        <v>Thu</v>
      </c>
      <c r="M653" s="78" t="str">
        <f>IFERROR(VLOOKUP(A653, Entries!A:B,2,false),"")</f>
        <v>Square Enix</v>
      </c>
      <c r="N653" s="23" t="str">
        <f>IFERROR(VLOOKUP(A653, Entries!A:K,11,false),"")</f>
        <v/>
      </c>
      <c r="O653" s="23" t="b">
        <f>IFERROR(VLOOKUP(A653, Entries!A:I,8,false),"")</f>
        <v>0</v>
      </c>
    </row>
    <row r="654">
      <c r="A654" s="78" t="s">
        <v>823</v>
      </c>
      <c r="B654" s="78" t="s">
        <v>19</v>
      </c>
      <c r="C654" s="85">
        <v>44211.0</v>
      </c>
      <c r="D654" s="85">
        <v>44215.0</v>
      </c>
      <c r="E654" s="86">
        <v>4.08</v>
      </c>
      <c r="F654" s="87">
        <v>5.1</v>
      </c>
      <c r="G654" s="88">
        <f t="shared" si="1"/>
        <v>1.02</v>
      </c>
      <c r="H654" s="89">
        <f t="shared" si="2"/>
        <v>0.2</v>
      </c>
      <c r="I654" s="78" t="s">
        <v>920</v>
      </c>
      <c r="J654" s="78" t="s">
        <v>69</v>
      </c>
      <c r="K654" s="58">
        <f t="shared" si="3"/>
        <v>4</v>
      </c>
      <c r="L654" s="91" t="str">
        <f t="shared" si="4"/>
        <v>Tue</v>
      </c>
      <c r="M654" s="78" t="str">
        <f>IFERROR(VLOOKUP(A654, Entries!A:B,2,false),"")</f>
        <v>Beamdog</v>
      </c>
      <c r="N654" s="23" t="str">
        <f>IFERROR(VLOOKUP(A654, Entries!A:K,11,false),"")</f>
        <v/>
      </c>
      <c r="O654" s="23" t="b">
        <f>IFERROR(VLOOKUP(A654, Entries!A:I,8,false),"")</f>
        <v>0</v>
      </c>
    </row>
    <row r="655">
      <c r="A655" s="78" t="s">
        <v>921</v>
      </c>
      <c r="B655" s="78" t="s">
        <v>23</v>
      </c>
      <c r="C655" s="85">
        <v>44215.0</v>
      </c>
      <c r="D655" s="85">
        <v>44219.0</v>
      </c>
      <c r="E655" s="86">
        <v>12.96</v>
      </c>
      <c r="F655" s="87">
        <v>15.54</v>
      </c>
      <c r="G655" s="88">
        <f t="shared" si="1"/>
        <v>2.58</v>
      </c>
      <c r="H655" s="89">
        <f t="shared" si="2"/>
        <v>0.166023166</v>
      </c>
      <c r="I655" s="78" t="s">
        <v>922</v>
      </c>
      <c r="J655" s="78" t="s">
        <v>69</v>
      </c>
      <c r="K655" s="58">
        <f t="shared" si="3"/>
        <v>4</v>
      </c>
      <c r="L655" s="91" t="str">
        <f t="shared" si="4"/>
        <v>Sat</v>
      </c>
      <c r="M655" s="78" t="str">
        <f>IFERROR(VLOOKUP(A655, Entries!A:B,2,false),"")</f>
        <v>CAPCOM</v>
      </c>
      <c r="N655" s="23" t="str">
        <f>IFERROR(VLOOKUP(A655, Entries!A:K,11,false),"")</f>
        <v/>
      </c>
      <c r="O655" s="23" t="b">
        <f>IFERROR(VLOOKUP(A655, Entries!A:I,8,false),"")</f>
        <v>0</v>
      </c>
    </row>
    <row r="656">
      <c r="A656" s="78" t="s">
        <v>923</v>
      </c>
      <c r="B656" s="78" t="s">
        <v>26</v>
      </c>
      <c r="C656" s="85">
        <v>44216.0</v>
      </c>
      <c r="D656" s="85">
        <v>44233.0</v>
      </c>
      <c r="E656" s="86">
        <v>9.41</v>
      </c>
      <c r="F656" s="87">
        <v>9.67</v>
      </c>
      <c r="G656" s="88">
        <f t="shared" si="1"/>
        <v>0.26</v>
      </c>
      <c r="H656" s="89">
        <f t="shared" si="2"/>
        <v>0.02688728025</v>
      </c>
      <c r="I656" s="78" t="s">
        <v>924</v>
      </c>
      <c r="J656" s="78" t="s">
        <v>69</v>
      </c>
      <c r="K656" s="58">
        <f t="shared" si="3"/>
        <v>17</v>
      </c>
      <c r="L656" s="91" t="str">
        <f t="shared" si="4"/>
        <v>Sat</v>
      </c>
      <c r="M656" s="78" t="str">
        <f>IFERROR(VLOOKUP(A656, Entries!A:B,2,false),"")</f>
        <v>BANDAI NAMCO</v>
      </c>
      <c r="N656" s="23" t="str">
        <f>IFERROR(VLOOKUP(A656, Entries!A:K,11,false),"")</f>
        <v/>
      </c>
      <c r="O656" s="23" t="b">
        <f>IFERROR(VLOOKUP(A656, Entries!A:I,8,false),"")</f>
        <v>0</v>
      </c>
    </row>
    <row r="657">
      <c r="A657" s="78" t="s">
        <v>925</v>
      </c>
      <c r="B657" s="78" t="s">
        <v>26</v>
      </c>
      <c r="C657" s="85">
        <v>44216.0</v>
      </c>
      <c r="D657" s="85">
        <v>44493.0</v>
      </c>
      <c r="E657" s="86">
        <v>0.0</v>
      </c>
      <c r="F657" s="87">
        <v>0.08</v>
      </c>
      <c r="G657" s="88">
        <f t="shared" si="1"/>
        <v>0.08</v>
      </c>
      <c r="H657" s="89">
        <f t="shared" si="2"/>
        <v>1</v>
      </c>
      <c r="I657" s="78" t="s">
        <v>926</v>
      </c>
      <c r="J657" s="78" t="s">
        <v>69</v>
      </c>
      <c r="K657" s="58">
        <f t="shared" si="3"/>
        <v>277</v>
      </c>
      <c r="L657" s="91" t="str">
        <f t="shared" si="4"/>
        <v>Sun</v>
      </c>
      <c r="M657" s="78" t="str">
        <f>IFERROR(VLOOKUP(A657, Entries!A:B,2,false),"")</f>
        <v>Frozenbyte</v>
      </c>
      <c r="N657" s="23" t="str">
        <f>IFERROR(VLOOKUP(A657, Entries!A:K,11,false),"")</f>
        <v/>
      </c>
      <c r="O657" s="23" t="b">
        <f>IFERROR(VLOOKUP(A657, Entries!A:I,8,false),"")</f>
        <v>0</v>
      </c>
    </row>
    <row r="658">
      <c r="A658" s="78" t="s">
        <v>291</v>
      </c>
      <c r="B658" s="78" t="s">
        <v>19</v>
      </c>
      <c r="C658" s="85">
        <v>44216.0</v>
      </c>
      <c r="D658" s="85">
        <v>44235.0</v>
      </c>
      <c r="E658" s="86">
        <v>2.82</v>
      </c>
      <c r="F658" s="87">
        <v>3.9</v>
      </c>
      <c r="G658" s="88">
        <f t="shared" si="1"/>
        <v>1.08</v>
      </c>
      <c r="H658" s="89">
        <f t="shared" si="2"/>
        <v>0.2769230769</v>
      </c>
      <c r="I658" s="78" t="s">
        <v>927</v>
      </c>
      <c r="J658" s="78" t="s">
        <v>69</v>
      </c>
      <c r="K658" s="58">
        <f t="shared" si="3"/>
        <v>19</v>
      </c>
      <c r="L658" s="91" t="str">
        <f t="shared" si="4"/>
        <v>Mon</v>
      </c>
      <c r="M658" s="78" t="str">
        <f>IFERROR(VLOOKUP(A658, Entries!A:B,2,false),"")</f>
        <v>Square Enix</v>
      </c>
      <c r="N658" s="23" t="str">
        <f>IFERROR(VLOOKUP(A658, Entries!A:K,11,false),"")</f>
        <v/>
      </c>
      <c r="O658" s="23" t="b">
        <f>IFERROR(VLOOKUP(A658, Entries!A:I,8,false),"")</f>
        <v>0</v>
      </c>
    </row>
    <row r="659">
      <c r="A659" s="95" t="s">
        <v>906</v>
      </c>
      <c r="B659" s="78" t="s">
        <v>19</v>
      </c>
      <c r="C659" s="85">
        <v>44218.0</v>
      </c>
      <c r="D659" s="85">
        <v>44273.0</v>
      </c>
      <c r="E659" s="86">
        <v>2.76</v>
      </c>
      <c r="F659" s="87">
        <v>5.04</v>
      </c>
      <c r="G659" s="88">
        <f t="shared" si="1"/>
        <v>2.28</v>
      </c>
      <c r="H659" s="89">
        <f t="shared" si="2"/>
        <v>0.4523809524</v>
      </c>
      <c r="I659" s="78" t="s">
        <v>928</v>
      </c>
      <c r="J659" s="78" t="s">
        <v>69</v>
      </c>
      <c r="K659" s="58">
        <f t="shared" si="3"/>
        <v>55</v>
      </c>
      <c r="L659" s="91" t="str">
        <f t="shared" si="4"/>
        <v>Thu</v>
      </c>
      <c r="M659" s="78" t="str">
        <f>IFERROR(VLOOKUP(A659, Entries!A:B,2,false),"")</f>
        <v>Klabater</v>
      </c>
      <c r="N659" s="23" t="str">
        <f>IFERROR(VLOOKUP(A659, Entries!A:K,11,false),"")</f>
        <v/>
      </c>
      <c r="O659" s="23" t="b">
        <f>IFERROR(VLOOKUP(A659, Entries!A:I,8,false),"")</f>
        <v>0</v>
      </c>
    </row>
    <row r="660">
      <c r="A660" s="95" t="s">
        <v>899</v>
      </c>
      <c r="B660" s="78" t="s">
        <v>19</v>
      </c>
      <c r="C660" s="85">
        <v>44218.0</v>
      </c>
      <c r="D660" s="85">
        <v>44255.0</v>
      </c>
      <c r="E660" s="86">
        <v>2.75</v>
      </c>
      <c r="F660" s="87">
        <v>4.51</v>
      </c>
      <c r="G660" s="88">
        <f t="shared" si="1"/>
        <v>1.76</v>
      </c>
      <c r="H660" s="89">
        <f t="shared" si="2"/>
        <v>0.3902439024</v>
      </c>
      <c r="I660" s="78" t="s">
        <v>929</v>
      </c>
      <c r="J660" s="78" t="s">
        <v>69</v>
      </c>
      <c r="K660" s="58">
        <f t="shared" si="3"/>
        <v>37</v>
      </c>
      <c r="L660" s="91" t="str">
        <f t="shared" si="4"/>
        <v>Sun</v>
      </c>
      <c r="M660" s="78" t="str">
        <f>IFERROR(VLOOKUP(A660, Entries!A:B,2,false),"")</f>
        <v>Codemasters</v>
      </c>
      <c r="N660" s="23" t="str">
        <f>IFERROR(VLOOKUP(A660, Entries!A:K,11,false),"")</f>
        <v/>
      </c>
      <c r="O660" s="23" t="b">
        <f>IFERROR(VLOOKUP(A660, Entries!A:I,8,false),"")</f>
        <v>0</v>
      </c>
    </row>
    <row r="661">
      <c r="A661" s="78" t="s">
        <v>917</v>
      </c>
      <c r="B661" s="78" t="s">
        <v>19</v>
      </c>
      <c r="C661" s="85">
        <v>44218.0</v>
      </c>
      <c r="D661" s="85">
        <v>44225.0</v>
      </c>
      <c r="E661" s="86">
        <v>2.75</v>
      </c>
      <c r="F661" s="87">
        <v>4.23</v>
      </c>
      <c r="G661" s="88">
        <f t="shared" si="1"/>
        <v>1.48</v>
      </c>
      <c r="H661" s="89">
        <f t="shared" si="2"/>
        <v>0.3498817967</v>
      </c>
      <c r="I661" s="78" t="s">
        <v>930</v>
      </c>
      <c r="J661" s="78" t="s">
        <v>69</v>
      </c>
      <c r="K661" s="58">
        <f t="shared" si="3"/>
        <v>7</v>
      </c>
      <c r="L661" s="91" t="str">
        <f t="shared" si="4"/>
        <v>Fri</v>
      </c>
      <c r="M661" s="78" t="str">
        <f>IFERROR(VLOOKUP(A661, Entries!A:B,2,false),"")</f>
        <v>ROCKFISH Games</v>
      </c>
      <c r="N661" s="23" t="str">
        <f>IFERROR(VLOOKUP(A661, Entries!A:K,11,false),"")</f>
        <v/>
      </c>
      <c r="O661" s="23" t="b">
        <f>IFERROR(VLOOKUP(A661, Entries!A:I,8,false),"")</f>
        <v>0</v>
      </c>
    </row>
    <row r="662">
      <c r="A662" s="78" t="s">
        <v>911</v>
      </c>
      <c r="B662" s="78" t="s">
        <v>19</v>
      </c>
      <c r="C662" s="85">
        <v>44218.0</v>
      </c>
      <c r="D662" s="85">
        <v>44220.0</v>
      </c>
      <c r="E662" s="86">
        <v>2.75</v>
      </c>
      <c r="F662" s="87">
        <v>4.22</v>
      </c>
      <c r="G662" s="88">
        <f t="shared" si="1"/>
        <v>1.47</v>
      </c>
      <c r="H662" s="89">
        <f t="shared" si="2"/>
        <v>0.3483412322</v>
      </c>
      <c r="I662" s="78" t="s">
        <v>931</v>
      </c>
      <c r="J662" s="78" t="s">
        <v>69</v>
      </c>
      <c r="K662" s="58">
        <f t="shared" si="3"/>
        <v>2</v>
      </c>
      <c r="L662" s="91" t="str">
        <f t="shared" si="4"/>
        <v>Sun</v>
      </c>
      <c r="M662" s="78" t="str">
        <f>IFERROR(VLOOKUP(A662, Entries!A:B,2,false),"")</f>
        <v>Assemble Entertainment</v>
      </c>
      <c r="N662" s="23" t="str">
        <f>IFERROR(VLOOKUP(A662, Entries!A:K,11,false),"")</f>
        <v/>
      </c>
      <c r="O662" s="23" t="b">
        <f>IFERROR(VLOOKUP(A662, Entries!A:I,8,false),"")</f>
        <v>0</v>
      </c>
    </row>
    <row r="663">
      <c r="A663" s="78" t="s">
        <v>932</v>
      </c>
      <c r="B663" s="78" t="s">
        <v>19</v>
      </c>
      <c r="C663" s="85">
        <v>44218.0</v>
      </c>
      <c r="D663" s="85">
        <v>44258.0</v>
      </c>
      <c r="E663" s="86">
        <v>2.75</v>
      </c>
      <c r="F663" s="87">
        <v>4.21</v>
      </c>
      <c r="G663" s="88">
        <f t="shared" si="1"/>
        <v>1.46</v>
      </c>
      <c r="H663" s="89">
        <f t="shared" si="2"/>
        <v>0.3467933492</v>
      </c>
      <c r="I663" s="78" t="s">
        <v>933</v>
      </c>
      <c r="J663" s="78" t="s">
        <v>69</v>
      </c>
      <c r="K663" s="58">
        <f t="shared" si="3"/>
        <v>40</v>
      </c>
      <c r="L663" s="91" t="str">
        <f t="shared" si="4"/>
        <v>Wed</v>
      </c>
      <c r="M663" s="78" t="str">
        <f>IFERROR(VLOOKUP(A663, Entries!A:B,2,false),"")</f>
        <v>Excalibur Games</v>
      </c>
      <c r="N663" s="23" t="str">
        <f>IFERROR(VLOOKUP(A663, Entries!A:K,11,false),"")</f>
        <v/>
      </c>
      <c r="O663" s="23" t="b">
        <f>IFERROR(VLOOKUP(A663, Entries!A:I,8,false),"")</f>
        <v>0</v>
      </c>
    </row>
    <row r="664">
      <c r="A664" s="78" t="s">
        <v>669</v>
      </c>
      <c r="B664" s="78" t="s">
        <v>19</v>
      </c>
      <c r="C664" s="85">
        <v>44218.0</v>
      </c>
      <c r="D664" s="85">
        <v>44250.0</v>
      </c>
      <c r="E664" s="86">
        <v>1.28</v>
      </c>
      <c r="F664" s="87">
        <v>1.99</v>
      </c>
      <c r="G664" s="88">
        <f t="shared" si="1"/>
        <v>0.71</v>
      </c>
      <c r="H664" s="89">
        <f t="shared" si="2"/>
        <v>0.3567839196</v>
      </c>
      <c r="I664" s="78" t="s">
        <v>934</v>
      </c>
      <c r="J664" s="78" t="s">
        <v>69</v>
      </c>
      <c r="K664" s="58">
        <f t="shared" si="3"/>
        <v>32</v>
      </c>
      <c r="L664" s="91" t="str">
        <f t="shared" si="4"/>
        <v>Tue</v>
      </c>
      <c r="M664" s="78" t="str">
        <f>IFERROR(VLOOKUP(A664, Entries!A:B,2,false),"")</f>
        <v>Atari</v>
      </c>
      <c r="N664" s="23" t="str">
        <f>IFERROR(VLOOKUP(A664, Entries!A:K,11,false),"")</f>
        <v/>
      </c>
      <c r="O664" s="23" t="b">
        <f>IFERROR(VLOOKUP(A664, Entries!A:I,8,false),"")</f>
        <v>0</v>
      </c>
    </row>
    <row r="665">
      <c r="A665" s="78" t="s">
        <v>935</v>
      </c>
      <c r="B665" s="78" t="s">
        <v>19</v>
      </c>
      <c r="C665" s="85">
        <v>44240.0</v>
      </c>
      <c r="D665" s="85">
        <v>44492.0</v>
      </c>
      <c r="E665" s="86">
        <v>0.0</v>
      </c>
      <c r="F665" s="87">
        <v>0.21</v>
      </c>
      <c r="G665" s="88">
        <f t="shared" si="1"/>
        <v>0.21</v>
      </c>
      <c r="H665" s="89">
        <f t="shared" si="2"/>
        <v>1</v>
      </c>
      <c r="I665" s="78" t="s">
        <v>936</v>
      </c>
      <c r="J665" s="78" t="s">
        <v>69</v>
      </c>
      <c r="K665" s="58">
        <f t="shared" si="3"/>
        <v>252</v>
      </c>
      <c r="L665" s="91" t="str">
        <f t="shared" si="4"/>
        <v>Sat</v>
      </c>
      <c r="M665" s="78" t="str">
        <f>IFERROR(VLOOKUP(A665, Entries!A:B,2,false),"")</f>
        <v>Curve Digital</v>
      </c>
      <c r="N665" s="23" t="str">
        <f>IFERROR(VLOOKUP(A665, Entries!A:K,11,false),"")</f>
        <v/>
      </c>
      <c r="O665" s="23" t="b">
        <f>IFERROR(VLOOKUP(A665, Entries!A:I,8,false),"")</f>
        <v>0</v>
      </c>
    </row>
    <row r="666">
      <c r="A666" s="95" t="s">
        <v>906</v>
      </c>
      <c r="B666" s="78" t="s">
        <v>19</v>
      </c>
      <c r="C666" s="85">
        <v>44240.0</v>
      </c>
      <c r="D666" s="85">
        <v>44312.0</v>
      </c>
      <c r="E666" s="86">
        <v>2.76</v>
      </c>
      <c r="F666" s="87">
        <v>6.14</v>
      </c>
      <c r="G666" s="88">
        <f t="shared" si="1"/>
        <v>3.38</v>
      </c>
      <c r="H666" s="89">
        <f t="shared" si="2"/>
        <v>0.5504885993</v>
      </c>
      <c r="I666" s="78" t="s">
        <v>937</v>
      </c>
      <c r="J666" s="78" t="s">
        <v>69</v>
      </c>
      <c r="K666" s="58">
        <f t="shared" si="3"/>
        <v>72</v>
      </c>
      <c r="L666" s="91" t="str">
        <f t="shared" si="4"/>
        <v>Mon</v>
      </c>
      <c r="M666" s="78" t="str">
        <f>IFERROR(VLOOKUP(A666, Entries!A:B,2,false),"")</f>
        <v>Klabater</v>
      </c>
      <c r="N666" s="23" t="str">
        <f>IFERROR(VLOOKUP(A666, Entries!A:K,11,false),"")</f>
        <v/>
      </c>
      <c r="O666" s="23" t="b">
        <f>IFERROR(VLOOKUP(A666, Entries!A:I,8,false),"")</f>
        <v>0</v>
      </c>
    </row>
    <row r="667">
      <c r="A667" s="95" t="s">
        <v>899</v>
      </c>
      <c r="B667" s="78" t="s">
        <v>19</v>
      </c>
      <c r="C667" s="85">
        <v>44240.0</v>
      </c>
      <c r="D667" s="85">
        <v>44261.0</v>
      </c>
      <c r="E667" s="86">
        <v>2.76</v>
      </c>
      <c r="F667" s="87">
        <v>4.9</v>
      </c>
      <c r="G667" s="88">
        <f t="shared" si="1"/>
        <v>2.14</v>
      </c>
      <c r="H667" s="89">
        <f t="shared" si="2"/>
        <v>0.4367346939</v>
      </c>
      <c r="I667" s="78" t="s">
        <v>938</v>
      </c>
      <c r="J667" s="78" t="s">
        <v>69</v>
      </c>
      <c r="K667" s="58">
        <f t="shared" si="3"/>
        <v>21</v>
      </c>
      <c r="L667" s="91" t="str">
        <f t="shared" si="4"/>
        <v>Sat</v>
      </c>
      <c r="M667" s="78" t="str">
        <f>IFERROR(VLOOKUP(A667, Entries!A:B,2,false),"")</f>
        <v>Codemasters</v>
      </c>
      <c r="N667" s="23" t="str">
        <f>IFERROR(VLOOKUP(A667, Entries!A:K,11,false),"")</f>
        <v/>
      </c>
      <c r="O667" s="23" t="b">
        <f>IFERROR(VLOOKUP(A667, Entries!A:I,8,false),"")</f>
        <v>0</v>
      </c>
    </row>
    <row r="668">
      <c r="A668" s="95" t="s">
        <v>917</v>
      </c>
      <c r="B668" s="78" t="s">
        <v>19</v>
      </c>
      <c r="C668" s="85">
        <v>44240.0</v>
      </c>
      <c r="D668" s="85">
        <v>44267.0</v>
      </c>
      <c r="E668" s="86">
        <v>2.75</v>
      </c>
      <c r="F668" s="87">
        <v>4.59</v>
      </c>
      <c r="G668" s="88">
        <f t="shared" si="1"/>
        <v>1.84</v>
      </c>
      <c r="H668" s="89">
        <f t="shared" si="2"/>
        <v>0.4008714597</v>
      </c>
      <c r="I668" s="78" t="s">
        <v>939</v>
      </c>
      <c r="J668" s="78" t="s">
        <v>69</v>
      </c>
      <c r="K668" s="58">
        <f t="shared" si="3"/>
        <v>27</v>
      </c>
      <c r="L668" s="91" t="str">
        <f t="shared" si="4"/>
        <v>Fri</v>
      </c>
      <c r="M668" s="78" t="str">
        <f>IFERROR(VLOOKUP(A668, Entries!A:B,2,false),"")</f>
        <v>ROCKFISH Games</v>
      </c>
      <c r="N668" s="23" t="str">
        <f>IFERROR(VLOOKUP(A668, Entries!A:K,11,false),"")</f>
        <v/>
      </c>
      <c r="O668" s="23" t="b">
        <f>IFERROR(VLOOKUP(A668, Entries!A:I,8,false),"")</f>
        <v>0</v>
      </c>
    </row>
    <row r="669">
      <c r="A669" s="95" t="s">
        <v>911</v>
      </c>
      <c r="B669" s="78" t="s">
        <v>19</v>
      </c>
      <c r="C669" s="85">
        <v>44240.0</v>
      </c>
      <c r="D669" s="85">
        <v>44276.0</v>
      </c>
      <c r="E669" s="86">
        <v>2.76</v>
      </c>
      <c r="F669" s="87">
        <v>4.75</v>
      </c>
      <c r="G669" s="88">
        <f t="shared" si="1"/>
        <v>1.99</v>
      </c>
      <c r="H669" s="89">
        <f t="shared" si="2"/>
        <v>0.4189473684</v>
      </c>
      <c r="I669" s="78" t="s">
        <v>940</v>
      </c>
      <c r="J669" s="78" t="s">
        <v>69</v>
      </c>
      <c r="K669" s="58">
        <f t="shared" si="3"/>
        <v>36</v>
      </c>
      <c r="L669" s="91" t="str">
        <f t="shared" si="4"/>
        <v>Sun</v>
      </c>
      <c r="M669" s="78" t="str">
        <f>IFERROR(VLOOKUP(A669, Entries!A:B,2,false),"")</f>
        <v>Assemble Entertainment</v>
      </c>
      <c r="N669" s="23" t="str">
        <f>IFERROR(VLOOKUP(A669, Entries!A:K,11,false),"")</f>
        <v/>
      </c>
      <c r="O669" s="23" t="b">
        <f>IFERROR(VLOOKUP(A669, Entries!A:I,8,false),"")</f>
        <v>0</v>
      </c>
    </row>
    <row r="670">
      <c r="A670" s="96" t="s">
        <v>913</v>
      </c>
      <c r="B670" s="78" t="s">
        <v>19</v>
      </c>
      <c r="C670" s="85">
        <v>44240.0</v>
      </c>
      <c r="D670" s="85">
        <v>44247.0</v>
      </c>
      <c r="E670" s="86">
        <v>2.76</v>
      </c>
      <c r="F670" s="87">
        <v>5.37</v>
      </c>
      <c r="G670" s="88">
        <f t="shared" si="1"/>
        <v>2.61</v>
      </c>
      <c r="H670" s="89">
        <f t="shared" si="2"/>
        <v>0.4860335196</v>
      </c>
      <c r="I670" s="78" t="s">
        <v>941</v>
      </c>
      <c r="J670" s="78" t="s">
        <v>69</v>
      </c>
      <c r="K670" s="58">
        <f t="shared" si="3"/>
        <v>7</v>
      </c>
      <c r="L670" s="91" t="str">
        <f t="shared" si="4"/>
        <v>Sat</v>
      </c>
      <c r="M670" s="78" t="str">
        <f>IFERROR(VLOOKUP(A670, Entries!A:B,2,false),"")</f>
        <v>Reverie World Studios</v>
      </c>
      <c r="N670" s="23" t="str">
        <f>IFERROR(VLOOKUP(A670, Entries!A:K,11,false),"")</f>
        <v/>
      </c>
      <c r="O670" s="23" t="b">
        <f>IFERROR(VLOOKUP(A670, Entries!A:I,8,false),"")</f>
        <v>0</v>
      </c>
    </row>
    <row r="671">
      <c r="A671" s="78" t="s">
        <v>942</v>
      </c>
      <c r="B671" s="78" t="s">
        <v>22</v>
      </c>
      <c r="C671" s="85">
        <v>44240.0</v>
      </c>
      <c r="D671" s="85">
        <v>44303.0</v>
      </c>
      <c r="E671" s="86">
        <v>7.28</v>
      </c>
      <c r="F671" s="87">
        <v>8.25</v>
      </c>
      <c r="G671" s="88">
        <f t="shared" si="1"/>
        <v>0.97</v>
      </c>
      <c r="H671" s="89">
        <f t="shared" si="2"/>
        <v>0.1175757576</v>
      </c>
      <c r="I671" s="78" t="s">
        <v>943</v>
      </c>
      <c r="J671" s="78" t="s">
        <v>69</v>
      </c>
      <c r="K671" s="58">
        <f t="shared" si="3"/>
        <v>63</v>
      </c>
      <c r="L671" s="91" t="str">
        <f t="shared" si="4"/>
        <v>Sat</v>
      </c>
      <c r="M671" s="78" t="str">
        <f>IFERROR(VLOOKUP(A671, Entries!A:B,2,false),"")</f>
        <v>Codemasters</v>
      </c>
      <c r="N671" s="23" t="str">
        <f>IFERROR(VLOOKUP(A671, Entries!A:K,11,false),"")</f>
        <v/>
      </c>
      <c r="O671" s="23" t="b">
        <f>IFERROR(VLOOKUP(A671, Entries!A:I,8,false),"")</f>
        <v>0</v>
      </c>
    </row>
    <row r="672">
      <c r="A672" s="78" t="s">
        <v>942</v>
      </c>
      <c r="B672" s="78" t="s">
        <v>22</v>
      </c>
      <c r="C672" s="85">
        <v>44240.0</v>
      </c>
      <c r="D672" s="85">
        <v>44316.0</v>
      </c>
      <c r="E672" s="86">
        <v>7.28</v>
      </c>
      <c r="F672" s="87">
        <v>8.23</v>
      </c>
      <c r="G672" s="88">
        <f t="shared" si="1"/>
        <v>0.95</v>
      </c>
      <c r="H672" s="89">
        <f t="shared" si="2"/>
        <v>0.1154313487</v>
      </c>
      <c r="I672" s="78" t="s">
        <v>944</v>
      </c>
      <c r="J672" s="78" t="s">
        <v>69</v>
      </c>
      <c r="K672" s="58">
        <f t="shared" si="3"/>
        <v>76</v>
      </c>
      <c r="L672" s="91" t="str">
        <f t="shared" si="4"/>
        <v>Fri</v>
      </c>
      <c r="M672" s="78" t="str">
        <f>IFERROR(VLOOKUP(A672, Entries!A:B,2,false),"")</f>
        <v>Codemasters</v>
      </c>
      <c r="N672" s="23" t="str">
        <f>IFERROR(VLOOKUP(A672, Entries!A:K,11,false),"")</f>
        <v/>
      </c>
      <c r="O672" s="23" t="b">
        <f>IFERROR(VLOOKUP(A672, Entries!A:I,8,false),"")</f>
        <v>0</v>
      </c>
    </row>
    <row r="673">
      <c r="A673" s="78" t="s">
        <v>136</v>
      </c>
      <c r="B673" s="78" t="s">
        <v>19</v>
      </c>
      <c r="C673" s="85">
        <v>44240.0</v>
      </c>
      <c r="D673" s="85">
        <v>44261.0</v>
      </c>
      <c r="E673" s="86">
        <v>3.13</v>
      </c>
      <c r="F673" s="87">
        <v>5.07</v>
      </c>
      <c r="G673" s="88">
        <f t="shared" si="1"/>
        <v>1.94</v>
      </c>
      <c r="H673" s="89">
        <f t="shared" si="2"/>
        <v>0.382642998</v>
      </c>
      <c r="I673" s="78" t="s">
        <v>945</v>
      </c>
      <c r="J673" s="78" t="s">
        <v>69</v>
      </c>
      <c r="K673" s="58">
        <f t="shared" si="3"/>
        <v>21</v>
      </c>
      <c r="L673" s="91" t="str">
        <f t="shared" si="4"/>
        <v>Sat</v>
      </c>
      <c r="M673" s="78" t="str">
        <f>IFERROR(VLOOKUP(A673, Entries!A:B,2,false),"")</f>
        <v>Microids</v>
      </c>
      <c r="N673" s="23" t="str">
        <f>IFERROR(VLOOKUP(A673, Entries!A:K,11,false),"")</f>
        <v/>
      </c>
      <c r="O673" s="23" t="b">
        <f>IFERROR(VLOOKUP(A673, Entries!A:I,8,false),"")</f>
        <v>0</v>
      </c>
    </row>
    <row r="674">
      <c r="A674" s="78" t="s">
        <v>823</v>
      </c>
      <c r="B674" s="78" t="s">
        <v>19</v>
      </c>
      <c r="C674" s="85">
        <v>44242.0</v>
      </c>
      <c r="D674" s="85">
        <v>44320.0</v>
      </c>
      <c r="E674" s="86">
        <v>4.09</v>
      </c>
      <c r="F674" s="87">
        <v>4.1</v>
      </c>
      <c r="G674" s="88">
        <f t="shared" si="1"/>
        <v>0.01</v>
      </c>
      <c r="H674" s="89">
        <f t="shared" si="2"/>
        <v>0.00243902439</v>
      </c>
      <c r="I674" s="78" t="s">
        <v>946</v>
      </c>
      <c r="J674" s="78" t="s">
        <v>69</v>
      </c>
      <c r="K674" s="58">
        <f t="shared" si="3"/>
        <v>78</v>
      </c>
      <c r="L674" s="91" t="str">
        <f t="shared" si="4"/>
        <v>Tue</v>
      </c>
      <c r="M674" s="78" t="str">
        <f>IFERROR(VLOOKUP(A674, Entries!A:B,2,false),"")</f>
        <v>Beamdog</v>
      </c>
      <c r="N674" s="23" t="str">
        <f>IFERROR(VLOOKUP(A674, Entries!A:K,11,false),"")</f>
        <v/>
      </c>
      <c r="O674" s="23" t="b">
        <f>IFERROR(VLOOKUP(A674, Entries!A:I,8,false),"")</f>
        <v>0</v>
      </c>
    </row>
    <row r="675">
      <c r="A675" s="78" t="s">
        <v>823</v>
      </c>
      <c r="B675" s="78" t="s">
        <v>19</v>
      </c>
      <c r="C675" s="85">
        <v>44242.0</v>
      </c>
      <c r="D675" s="85">
        <v>44334.0</v>
      </c>
      <c r="E675" s="86">
        <v>4.09</v>
      </c>
      <c r="F675" s="87">
        <v>4.06</v>
      </c>
      <c r="G675" s="88">
        <f t="shared" si="1"/>
        <v>-0.03</v>
      </c>
      <c r="H675" s="89">
        <f t="shared" si="2"/>
        <v>-0.007389162562</v>
      </c>
      <c r="I675" s="78" t="s">
        <v>947</v>
      </c>
      <c r="J675" s="78" t="s">
        <v>69</v>
      </c>
      <c r="K675" s="58">
        <f t="shared" si="3"/>
        <v>92</v>
      </c>
      <c r="L675" s="91" t="str">
        <f t="shared" si="4"/>
        <v>Tue</v>
      </c>
      <c r="M675" s="78" t="str">
        <f>IFERROR(VLOOKUP(A675, Entries!A:B,2,false),"")</f>
        <v>Beamdog</v>
      </c>
      <c r="N675" s="23" t="str">
        <f>IFERROR(VLOOKUP(A675, Entries!A:K,11,false),"")</f>
        <v/>
      </c>
      <c r="O675" s="23" t="b">
        <f>IFERROR(VLOOKUP(A675, Entries!A:I,8,false),"")</f>
        <v>0</v>
      </c>
    </row>
    <row r="676">
      <c r="A676" s="78" t="s">
        <v>948</v>
      </c>
      <c r="B676" s="78" t="s">
        <v>19</v>
      </c>
      <c r="C676" s="85">
        <v>44243.0</v>
      </c>
      <c r="D676" s="85">
        <v>44290.0</v>
      </c>
      <c r="E676" s="86">
        <v>0.86</v>
      </c>
      <c r="F676" s="87">
        <v>1.52</v>
      </c>
      <c r="G676" s="88">
        <f t="shared" si="1"/>
        <v>0.66</v>
      </c>
      <c r="H676" s="89">
        <f t="shared" si="2"/>
        <v>0.4342105263</v>
      </c>
      <c r="I676" s="78" t="s">
        <v>949</v>
      </c>
      <c r="J676" s="78" t="s">
        <v>69</v>
      </c>
      <c r="K676" s="58">
        <f t="shared" si="3"/>
        <v>47</v>
      </c>
      <c r="L676" s="91" t="str">
        <f t="shared" si="4"/>
        <v>Sun</v>
      </c>
      <c r="M676" s="78" t="str">
        <f>IFERROR(VLOOKUP(A676, Entries!A:B,2,false),"")</f>
        <v>Kalypso Media</v>
      </c>
      <c r="N676" s="23" t="str">
        <f>IFERROR(VLOOKUP(A676, Entries!A:K,11,false),"")</f>
        <v/>
      </c>
      <c r="O676" s="23" t="b">
        <f>IFERROR(VLOOKUP(A676, Entries!A:I,8,false),"")</f>
        <v>0</v>
      </c>
    </row>
    <row r="677">
      <c r="A677" s="78" t="s">
        <v>950</v>
      </c>
      <c r="B677" s="78" t="s">
        <v>19</v>
      </c>
      <c r="C677" s="85">
        <v>44256.0</v>
      </c>
      <c r="D677" s="85">
        <v>44290.0</v>
      </c>
      <c r="E677" s="86">
        <v>0.82</v>
      </c>
      <c r="F677" s="87">
        <v>1.35</v>
      </c>
      <c r="G677" s="88">
        <f t="shared" si="1"/>
        <v>0.53</v>
      </c>
      <c r="H677" s="89">
        <f t="shared" si="2"/>
        <v>0.3925925926</v>
      </c>
      <c r="I677" s="78" t="s">
        <v>951</v>
      </c>
      <c r="J677" s="78" t="s">
        <v>69</v>
      </c>
      <c r="K677" s="58">
        <f t="shared" si="3"/>
        <v>34</v>
      </c>
      <c r="L677" s="91" t="str">
        <f t="shared" si="4"/>
        <v>Sun</v>
      </c>
      <c r="M677" s="78" t="str">
        <f>IFERROR(VLOOKUP(A677, Entries!A:B,2,false),"")</f>
        <v>Codemasters</v>
      </c>
      <c r="N677" s="23" t="str">
        <f>IFERROR(VLOOKUP(A677, Entries!A:K,11,false),"")</f>
        <v/>
      </c>
      <c r="O677" s="23" t="b">
        <f>IFERROR(VLOOKUP(A677, Entries!A:I,8,false),"")</f>
        <v>0</v>
      </c>
    </row>
    <row r="678">
      <c r="A678" s="78" t="s">
        <v>950</v>
      </c>
      <c r="B678" s="78" t="s">
        <v>19</v>
      </c>
      <c r="C678" s="85">
        <v>44257.0</v>
      </c>
      <c r="D678" s="85">
        <v>44290.0</v>
      </c>
      <c r="E678" s="86">
        <v>0.82</v>
      </c>
      <c r="F678" s="87">
        <v>1.35</v>
      </c>
      <c r="G678" s="88">
        <f t="shared" si="1"/>
        <v>0.53</v>
      </c>
      <c r="H678" s="89">
        <f t="shared" si="2"/>
        <v>0.3925925926</v>
      </c>
      <c r="I678" s="78" t="s">
        <v>952</v>
      </c>
      <c r="J678" s="78" t="s">
        <v>69</v>
      </c>
      <c r="K678" s="58">
        <f t="shared" si="3"/>
        <v>33</v>
      </c>
      <c r="L678" s="91" t="str">
        <f t="shared" si="4"/>
        <v>Sun</v>
      </c>
      <c r="M678" s="78" t="str">
        <f>IFERROR(VLOOKUP(A678, Entries!A:B,2,false),"")</f>
        <v>Codemasters</v>
      </c>
      <c r="N678" s="23" t="str">
        <f>IFERROR(VLOOKUP(A678, Entries!A:K,11,false),"")</f>
        <v/>
      </c>
      <c r="O678" s="23" t="b">
        <f>IFERROR(VLOOKUP(A678, Entries!A:I,8,false),"")</f>
        <v>0</v>
      </c>
    </row>
    <row r="679">
      <c r="A679" s="78" t="s">
        <v>709</v>
      </c>
      <c r="B679" s="78" t="s">
        <v>19</v>
      </c>
      <c r="C679" s="85">
        <v>44256.0</v>
      </c>
      <c r="D679" s="85">
        <v>44305.0</v>
      </c>
      <c r="E679" s="86">
        <v>3.27</v>
      </c>
      <c r="F679" s="87">
        <v>5.93</v>
      </c>
      <c r="G679" s="88">
        <f t="shared" si="1"/>
        <v>2.66</v>
      </c>
      <c r="H679" s="89">
        <f t="shared" si="2"/>
        <v>0.4485666105</v>
      </c>
      <c r="I679" s="78" t="s">
        <v>953</v>
      </c>
      <c r="J679" s="78" t="s">
        <v>69</v>
      </c>
      <c r="K679" s="58">
        <f t="shared" si="3"/>
        <v>49</v>
      </c>
      <c r="L679" s="91" t="str">
        <f t="shared" si="4"/>
        <v>Mon</v>
      </c>
      <c r="M679" s="78" t="str">
        <f>IFERROR(VLOOKUP(A679, Entries!A:B,2,false),"")</f>
        <v>Beamdog</v>
      </c>
      <c r="N679" s="23" t="str">
        <f>IFERROR(VLOOKUP(A679, Entries!A:K,11,false),"")</f>
        <v/>
      </c>
      <c r="O679" s="23" t="b">
        <f>IFERROR(VLOOKUP(A679, Entries!A:I,8,false),"")</f>
        <v>0</v>
      </c>
    </row>
    <row r="680">
      <c r="A680" s="78" t="s">
        <v>709</v>
      </c>
      <c r="B680" s="78" t="s">
        <v>19</v>
      </c>
      <c r="C680" s="85">
        <v>44257.0</v>
      </c>
      <c r="D680" s="85">
        <v>44306.0</v>
      </c>
      <c r="E680" s="86">
        <v>3.28</v>
      </c>
      <c r="F680" s="87">
        <v>5.93</v>
      </c>
      <c r="G680" s="88">
        <f t="shared" si="1"/>
        <v>2.65</v>
      </c>
      <c r="H680" s="89">
        <f t="shared" si="2"/>
        <v>0.4468802698</v>
      </c>
      <c r="I680" s="78" t="s">
        <v>954</v>
      </c>
      <c r="J680" s="78" t="s">
        <v>69</v>
      </c>
      <c r="K680" s="58">
        <f t="shared" si="3"/>
        <v>49</v>
      </c>
      <c r="L680" s="91" t="str">
        <f t="shared" si="4"/>
        <v>Tue</v>
      </c>
      <c r="M680" s="78" t="str">
        <f>IFERROR(VLOOKUP(A680, Entries!A:B,2,false),"")</f>
        <v>Beamdog</v>
      </c>
      <c r="N680" s="23" t="str">
        <f>IFERROR(VLOOKUP(A680, Entries!A:K,11,false),"")</f>
        <v/>
      </c>
      <c r="O680" s="23" t="b">
        <f>IFERROR(VLOOKUP(A680, Entries!A:I,8,false),"")</f>
        <v>0</v>
      </c>
    </row>
    <row r="681">
      <c r="A681" s="78" t="s">
        <v>955</v>
      </c>
      <c r="B681" s="78" t="s">
        <v>26</v>
      </c>
      <c r="C681" s="85">
        <v>44257.0</v>
      </c>
      <c r="D681" s="85">
        <v>44323.0</v>
      </c>
      <c r="E681" s="86">
        <v>4.32</v>
      </c>
      <c r="F681" s="87">
        <v>5.07</v>
      </c>
      <c r="G681" s="88">
        <f t="shared" si="1"/>
        <v>0.75</v>
      </c>
      <c r="H681" s="89">
        <f t="shared" si="2"/>
        <v>0.1479289941</v>
      </c>
      <c r="I681" s="78" t="s">
        <v>956</v>
      </c>
      <c r="J681" s="78" t="s">
        <v>69</v>
      </c>
      <c r="K681" s="58">
        <f t="shared" si="3"/>
        <v>66</v>
      </c>
      <c r="L681" s="91" t="str">
        <f t="shared" si="4"/>
        <v>Fri</v>
      </c>
      <c r="M681" s="78" t="str">
        <f>IFERROR(VLOOKUP(A681, Entries!A:B,2,false),"")</f>
        <v>Konami</v>
      </c>
      <c r="N681" s="23" t="str">
        <f>IFERROR(VLOOKUP(A681, Entries!A:K,11,false),"")</f>
        <v/>
      </c>
      <c r="O681" s="23" t="b">
        <f>IFERROR(VLOOKUP(A681, Entries!A:I,8,false),"")</f>
        <v>0</v>
      </c>
    </row>
    <row r="682">
      <c r="A682" s="78" t="s">
        <v>829</v>
      </c>
      <c r="B682" s="78" t="s">
        <v>19</v>
      </c>
      <c r="C682" s="85">
        <v>44259.0</v>
      </c>
      <c r="D682" s="85">
        <v>44288.0</v>
      </c>
      <c r="E682" s="86">
        <v>8.37</v>
      </c>
      <c r="F682" s="87">
        <v>12.41</v>
      </c>
      <c r="G682" s="88">
        <f t="shared" si="1"/>
        <v>4.04</v>
      </c>
      <c r="H682" s="89">
        <f t="shared" si="2"/>
        <v>0.3255439162</v>
      </c>
      <c r="I682" s="78" t="s">
        <v>957</v>
      </c>
      <c r="J682" s="78" t="s">
        <v>69</v>
      </c>
      <c r="K682" s="58">
        <f t="shared" si="3"/>
        <v>29</v>
      </c>
      <c r="L682" s="91" t="str">
        <f t="shared" si="4"/>
        <v>Fri</v>
      </c>
      <c r="M682" s="78" t="str">
        <f>IFERROR(VLOOKUP(A682, Entries!A:B,2,false),"")</f>
        <v>Jackbox Games</v>
      </c>
      <c r="N682" s="23" t="str">
        <f>IFERROR(VLOOKUP(A682, Entries!A:K,11,false),"")</f>
        <v/>
      </c>
      <c r="O682" s="23" t="b">
        <f>IFERROR(VLOOKUP(A682, Entries!A:I,8,false),"")</f>
        <v>0</v>
      </c>
    </row>
    <row r="683">
      <c r="A683" s="78" t="s">
        <v>829</v>
      </c>
      <c r="B683" s="78" t="s">
        <v>19</v>
      </c>
      <c r="C683" s="85">
        <v>44259.0</v>
      </c>
      <c r="D683" s="85">
        <v>44289.0</v>
      </c>
      <c r="E683" s="86">
        <v>8.38</v>
      </c>
      <c r="F683" s="87">
        <v>12.41</v>
      </c>
      <c r="G683" s="88">
        <f t="shared" si="1"/>
        <v>4.03</v>
      </c>
      <c r="H683" s="89">
        <f t="shared" si="2"/>
        <v>0.3247381144</v>
      </c>
      <c r="I683" s="78" t="s">
        <v>958</v>
      </c>
      <c r="J683" s="78" t="s">
        <v>69</v>
      </c>
      <c r="K683" s="58">
        <f t="shared" si="3"/>
        <v>30</v>
      </c>
      <c r="L683" s="91" t="str">
        <f t="shared" si="4"/>
        <v>Sat</v>
      </c>
      <c r="M683" s="78" t="str">
        <f>IFERROR(VLOOKUP(A683, Entries!A:B,2,false),"")</f>
        <v>Jackbox Games</v>
      </c>
      <c r="N683" s="23" t="str">
        <f>IFERROR(VLOOKUP(A683, Entries!A:K,11,false),"")</f>
        <v/>
      </c>
      <c r="O683" s="23" t="b">
        <f>IFERROR(VLOOKUP(A683, Entries!A:I,8,false),"")</f>
        <v>0</v>
      </c>
    </row>
    <row r="684">
      <c r="A684" s="78" t="s">
        <v>657</v>
      </c>
      <c r="B684" s="78" t="s">
        <v>23</v>
      </c>
      <c r="C684" s="85">
        <v>44260.0</v>
      </c>
      <c r="D684" s="85">
        <v>44261.0</v>
      </c>
      <c r="E684" s="86">
        <v>13.05</v>
      </c>
      <c r="F684" s="87">
        <v>15.34</v>
      </c>
      <c r="G684" s="88">
        <f t="shared" si="1"/>
        <v>2.29</v>
      </c>
      <c r="H684" s="89">
        <f t="shared" si="2"/>
        <v>0.1492829205</v>
      </c>
      <c r="I684" s="78" t="s">
        <v>959</v>
      </c>
      <c r="J684" s="78" t="s">
        <v>69</v>
      </c>
      <c r="K684" s="58">
        <f t="shared" si="3"/>
        <v>1</v>
      </c>
      <c r="L684" s="91" t="str">
        <f t="shared" si="4"/>
        <v>Sat</v>
      </c>
      <c r="M684" s="78" t="str">
        <f>IFERROR(VLOOKUP(A684, Entries!A:B,2,false),"")</f>
        <v>Nacon</v>
      </c>
      <c r="N684" s="23" t="str">
        <f>IFERROR(VLOOKUP(A684, Entries!A:K,11,false),"")</f>
        <v/>
      </c>
      <c r="O684" s="23" t="b">
        <f>IFERROR(VLOOKUP(A684, Entries!A:I,8,false),"")</f>
        <v>0</v>
      </c>
    </row>
    <row r="685">
      <c r="A685" s="78" t="s">
        <v>657</v>
      </c>
      <c r="B685" s="78" t="s">
        <v>22</v>
      </c>
      <c r="C685" s="85">
        <v>44264.0</v>
      </c>
      <c r="D685" s="85">
        <v>44264.0</v>
      </c>
      <c r="E685" s="86">
        <v>11.72</v>
      </c>
      <c r="F685" s="87">
        <v>15.3</v>
      </c>
      <c r="G685" s="88">
        <f t="shared" si="1"/>
        <v>3.58</v>
      </c>
      <c r="H685" s="89">
        <f t="shared" si="2"/>
        <v>0.2339869281</v>
      </c>
      <c r="I685" s="78" t="s">
        <v>960</v>
      </c>
      <c r="J685" s="78" t="s">
        <v>69</v>
      </c>
      <c r="K685" s="58">
        <f t="shared" si="3"/>
        <v>0</v>
      </c>
      <c r="L685" s="91" t="str">
        <f t="shared" si="4"/>
        <v>Tue</v>
      </c>
      <c r="M685" s="78" t="str">
        <f>IFERROR(VLOOKUP(A685, Entries!A:B,2,false),"")</f>
        <v>Nacon</v>
      </c>
      <c r="N685" s="23" t="str">
        <f>IFERROR(VLOOKUP(A685, Entries!A:K,11,false),"")</f>
        <v/>
      </c>
      <c r="O685" s="23" t="b">
        <f>IFERROR(VLOOKUP(A685, Entries!A:I,8,false),"")</f>
        <v>0</v>
      </c>
    </row>
    <row r="686">
      <c r="A686" s="78" t="s">
        <v>657</v>
      </c>
      <c r="B686" s="78" t="s">
        <v>22</v>
      </c>
      <c r="C686" s="85">
        <v>44264.0</v>
      </c>
      <c r="D686" s="85">
        <v>44267.0</v>
      </c>
      <c r="E686" s="86">
        <v>11.72</v>
      </c>
      <c r="F686" s="87">
        <v>14.82</v>
      </c>
      <c r="G686" s="88">
        <f t="shared" si="1"/>
        <v>3.1</v>
      </c>
      <c r="H686" s="89">
        <f t="shared" si="2"/>
        <v>0.2091767881</v>
      </c>
      <c r="I686" s="78" t="s">
        <v>961</v>
      </c>
      <c r="J686" s="78" t="s">
        <v>69</v>
      </c>
      <c r="K686" s="58">
        <f t="shared" si="3"/>
        <v>3</v>
      </c>
      <c r="L686" s="91" t="str">
        <f t="shared" si="4"/>
        <v>Fri</v>
      </c>
      <c r="M686" s="78" t="str">
        <f>IFERROR(VLOOKUP(A686, Entries!A:B,2,false),"")</f>
        <v>Nacon</v>
      </c>
      <c r="N686" s="23" t="str">
        <f>IFERROR(VLOOKUP(A686, Entries!A:K,11,false),"")</f>
        <v/>
      </c>
      <c r="O686" s="23" t="b">
        <f>IFERROR(VLOOKUP(A686, Entries!A:I,8,false),"")</f>
        <v>0</v>
      </c>
    </row>
    <row r="687">
      <c r="A687" s="78" t="s">
        <v>962</v>
      </c>
      <c r="B687" s="78" t="s">
        <v>22</v>
      </c>
      <c r="C687" s="85">
        <v>44264.0</v>
      </c>
      <c r="D687" s="85">
        <v>44332.0</v>
      </c>
      <c r="E687" s="86">
        <v>0.0</v>
      </c>
      <c r="F687" s="87">
        <v>0.45</v>
      </c>
      <c r="G687" s="88">
        <f t="shared" si="1"/>
        <v>0.45</v>
      </c>
      <c r="H687" s="89">
        <f t="shared" si="2"/>
        <v>1</v>
      </c>
      <c r="I687" s="78" t="s">
        <v>963</v>
      </c>
      <c r="J687" s="78" t="s">
        <v>69</v>
      </c>
      <c r="K687" s="58">
        <f t="shared" si="3"/>
        <v>68</v>
      </c>
      <c r="L687" s="91" t="str">
        <f t="shared" si="4"/>
        <v>Sun</v>
      </c>
      <c r="M687" s="78" t="str">
        <f>IFERROR(VLOOKUP(A687, Entries!A:B,2,false),"")</f>
        <v>Aspyr</v>
      </c>
      <c r="N687" s="23" t="str">
        <f>IFERROR(VLOOKUP(A687, Entries!A:K,11,false),"")</f>
        <v/>
      </c>
      <c r="O687" s="23" t="b">
        <f>IFERROR(VLOOKUP(A687, Entries!A:I,8,false),"")</f>
        <v>0</v>
      </c>
    </row>
    <row r="688">
      <c r="A688" s="78" t="s">
        <v>964</v>
      </c>
      <c r="B688" s="78" t="s">
        <v>22</v>
      </c>
      <c r="C688" s="85">
        <v>44265.0</v>
      </c>
      <c r="D688" s="85">
        <v>44601.0</v>
      </c>
      <c r="E688" s="86">
        <v>0.0</v>
      </c>
      <c r="F688" s="87">
        <v>1.18</v>
      </c>
      <c r="G688" s="88">
        <f t="shared" si="1"/>
        <v>1.18</v>
      </c>
      <c r="H688" s="89">
        <f t="shared" si="2"/>
        <v>1</v>
      </c>
      <c r="I688" s="78" t="s">
        <v>965</v>
      </c>
      <c r="J688" s="78" t="s">
        <v>69</v>
      </c>
      <c r="K688" s="58">
        <f t="shared" si="3"/>
        <v>336</v>
      </c>
      <c r="L688" s="91" t="str">
        <f t="shared" si="4"/>
        <v>Wed</v>
      </c>
      <c r="M688" s="78" t="str">
        <f>IFERROR(VLOOKUP(A688, Entries!A:B,2,false),"")</f>
        <v>LW Games</v>
      </c>
      <c r="N688" s="23" t="str">
        <f>IFERROR(VLOOKUP(A688, Entries!A:K,11,false),"")</f>
        <v/>
      </c>
      <c r="O688" s="23" t="b">
        <f>IFERROR(VLOOKUP(A688, Entries!A:I,8,false),"")</f>
        <v>0</v>
      </c>
    </row>
    <row r="689">
      <c r="A689" s="78" t="s">
        <v>966</v>
      </c>
      <c r="B689" s="78" t="s">
        <v>19</v>
      </c>
      <c r="C689" s="85">
        <v>44267.0</v>
      </c>
      <c r="D689" s="85">
        <v>44268.0</v>
      </c>
      <c r="E689" s="86">
        <v>13.46</v>
      </c>
      <c r="F689" s="87">
        <v>14.83</v>
      </c>
      <c r="G689" s="88">
        <f t="shared" si="1"/>
        <v>1.37</v>
      </c>
      <c r="H689" s="89">
        <f t="shared" si="2"/>
        <v>0.09238031018</v>
      </c>
      <c r="I689" s="78" t="s">
        <v>967</v>
      </c>
      <c r="J689" s="78" t="s">
        <v>69</v>
      </c>
      <c r="K689" s="58">
        <f t="shared" si="3"/>
        <v>1</v>
      </c>
      <c r="L689" s="91" t="str">
        <f t="shared" si="4"/>
        <v>Sat</v>
      </c>
      <c r="M689" s="78" t="str">
        <f>IFERROR(VLOOKUP(A689, Entries!A:B,2,false),"")</f>
        <v>Nacon</v>
      </c>
      <c r="N689" s="23" t="str">
        <f>IFERROR(VLOOKUP(A689, Entries!A:K,11,false),"")</f>
        <v/>
      </c>
      <c r="O689" s="23" t="b">
        <f>IFERROR(VLOOKUP(A689, Entries!A:I,8,false),"")</f>
        <v>0</v>
      </c>
    </row>
    <row r="690">
      <c r="A690" s="78" t="s">
        <v>966</v>
      </c>
      <c r="B690" s="78" t="s">
        <v>19</v>
      </c>
      <c r="C690" s="85">
        <v>44270.0</v>
      </c>
      <c r="D690" s="85">
        <v>44271.0</v>
      </c>
      <c r="E690" s="86">
        <v>13.46</v>
      </c>
      <c r="F690" s="87">
        <v>15.72</v>
      </c>
      <c r="G690" s="88">
        <f t="shared" si="1"/>
        <v>2.26</v>
      </c>
      <c r="H690" s="89">
        <f t="shared" si="2"/>
        <v>0.1437659033</v>
      </c>
      <c r="I690" s="78" t="s">
        <v>561</v>
      </c>
      <c r="J690" s="78" t="s">
        <v>69</v>
      </c>
      <c r="K690" s="58">
        <f t="shared" si="3"/>
        <v>1</v>
      </c>
      <c r="L690" s="91" t="str">
        <f t="shared" si="4"/>
        <v>Tue</v>
      </c>
      <c r="M690" s="78" t="str">
        <f>IFERROR(VLOOKUP(A690, Entries!A:B,2,false),"")</f>
        <v>Nacon</v>
      </c>
      <c r="N690" s="23" t="str">
        <f>IFERROR(VLOOKUP(A690, Entries!A:K,11,false),"")</f>
        <v/>
      </c>
      <c r="O690" s="23" t="b">
        <f>IFERROR(VLOOKUP(A690, Entries!A:I,8,false),"")</f>
        <v>0</v>
      </c>
    </row>
    <row r="691">
      <c r="A691" s="78" t="s">
        <v>968</v>
      </c>
      <c r="B691" s="78" t="s">
        <v>23</v>
      </c>
      <c r="C691" s="85">
        <v>44271.0</v>
      </c>
      <c r="D691" s="85">
        <v>44320.0</v>
      </c>
      <c r="E691" s="86">
        <v>7.86</v>
      </c>
      <c r="F691" s="87">
        <v>8.78</v>
      </c>
      <c r="G691" s="88">
        <f t="shared" si="1"/>
        <v>0.92</v>
      </c>
      <c r="H691" s="89">
        <f t="shared" si="2"/>
        <v>0.1047835991</v>
      </c>
      <c r="I691" s="78" t="s">
        <v>969</v>
      </c>
      <c r="J691" s="78" t="s">
        <v>69</v>
      </c>
      <c r="K691" s="58">
        <f t="shared" si="3"/>
        <v>49</v>
      </c>
      <c r="L691" s="91" t="str">
        <f t="shared" si="4"/>
        <v>Tue</v>
      </c>
      <c r="M691" s="78" t="str">
        <f>IFERROR(VLOOKUP(A691, Entries!A:B,2,false),"")</f>
        <v>Motorsport Games</v>
      </c>
      <c r="N691" s="23" t="str">
        <f>IFERROR(VLOOKUP(A691, Entries!A:K,11,false),"")</f>
        <v/>
      </c>
      <c r="O691" s="23" t="b">
        <f>IFERROR(VLOOKUP(A691, Entries!A:I,8,false),"")</f>
        <v>0</v>
      </c>
    </row>
    <row r="692">
      <c r="A692" s="78" t="s">
        <v>966</v>
      </c>
      <c r="B692" s="78" t="s">
        <v>19</v>
      </c>
      <c r="C692" s="85">
        <v>44271.0</v>
      </c>
      <c r="D692" s="85">
        <v>44299.0</v>
      </c>
      <c r="E692" s="86">
        <v>13.46</v>
      </c>
      <c r="F692" s="87">
        <v>15.67</v>
      </c>
      <c r="G692" s="88">
        <f t="shared" si="1"/>
        <v>2.21</v>
      </c>
      <c r="H692" s="89">
        <f t="shared" si="2"/>
        <v>0.1410338226</v>
      </c>
      <c r="I692" s="78" t="s">
        <v>970</v>
      </c>
      <c r="J692" s="78" t="s">
        <v>69</v>
      </c>
      <c r="K692" s="58">
        <f t="shared" si="3"/>
        <v>28</v>
      </c>
      <c r="L692" s="91" t="str">
        <f t="shared" si="4"/>
        <v>Tue</v>
      </c>
      <c r="M692" s="78" t="str">
        <f>IFERROR(VLOOKUP(A692, Entries!A:B,2,false),"")</f>
        <v>Nacon</v>
      </c>
      <c r="N692" s="23" t="str">
        <f>IFERROR(VLOOKUP(A692, Entries!A:K,11,false),"")</f>
        <v/>
      </c>
      <c r="O692" s="23" t="b">
        <f>IFERROR(VLOOKUP(A692, Entries!A:I,8,false),"")</f>
        <v>0</v>
      </c>
    </row>
    <row r="693">
      <c r="A693" s="78" t="s">
        <v>149</v>
      </c>
      <c r="B693" s="78" t="s">
        <v>23</v>
      </c>
      <c r="C693" s="85">
        <v>44274.0</v>
      </c>
      <c r="D693" s="85">
        <v>44291.0</v>
      </c>
      <c r="E693" s="86">
        <v>3.06</v>
      </c>
      <c r="F693" s="87">
        <v>6.85</v>
      </c>
      <c r="G693" s="88">
        <f t="shared" si="1"/>
        <v>3.79</v>
      </c>
      <c r="H693" s="89">
        <f t="shared" si="2"/>
        <v>0.5532846715</v>
      </c>
      <c r="I693" s="78" t="s">
        <v>971</v>
      </c>
      <c r="J693" s="78" t="s">
        <v>69</v>
      </c>
      <c r="K693" s="58">
        <f t="shared" si="3"/>
        <v>17</v>
      </c>
      <c r="L693" s="91" t="str">
        <f t="shared" si="4"/>
        <v>Mon</v>
      </c>
      <c r="M693" s="78" t="str">
        <f>IFERROR(VLOOKUP(A693, Entries!A:B,2,false),"")</f>
        <v>Focus Home Interactive</v>
      </c>
      <c r="N693" s="23" t="str">
        <f>IFERROR(VLOOKUP(A693, Entries!A:K,11,false),"")</f>
        <v/>
      </c>
      <c r="O693" s="23" t="b">
        <f>IFERROR(VLOOKUP(A693, Entries!A:I,8,false),"")</f>
        <v>0</v>
      </c>
    </row>
    <row r="694">
      <c r="A694" s="78" t="s">
        <v>149</v>
      </c>
      <c r="B694" s="78" t="s">
        <v>23</v>
      </c>
      <c r="C694" s="85">
        <v>44274.0</v>
      </c>
      <c r="D694" s="85">
        <v>44375.0</v>
      </c>
      <c r="E694" s="86">
        <v>3.06</v>
      </c>
      <c r="F694" s="87">
        <v>5.82</v>
      </c>
      <c r="G694" s="88">
        <f t="shared" si="1"/>
        <v>2.76</v>
      </c>
      <c r="H694" s="89">
        <f t="shared" si="2"/>
        <v>0.4742268041</v>
      </c>
      <c r="I694" s="78" t="s">
        <v>972</v>
      </c>
      <c r="J694" s="78" t="s">
        <v>69</v>
      </c>
      <c r="K694" s="58">
        <f t="shared" si="3"/>
        <v>101</v>
      </c>
      <c r="L694" s="91" t="str">
        <f t="shared" si="4"/>
        <v>Mon</v>
      </c>
      <c r="M694" s="78" t="str">
        <f>IFERROR(VLOOKUP(A694, Entries!A:B,2,false),"")</f>
        <v>Focus Home Interactive</v>
      </c>
      <c r="N694" s="23" t="str">
        <f>IFERROR(VLOOKUP(A694, Entries!A:K,11,false),"")</f>
        <v/>
      </c>
      <c r="O694" s="23" t="b">
        <f>IFERROR(VLOOKUP(A694, Entries!A:I,8,false),"")</f>
        <v>0</v>
      </c>
    </row>
    <row r="695">
      <c r="A695" s="78" t="s">
        <v>227</v>
      </c>
      <c r="B695" s="78" t="s">
        <v>23</v>
      </c>
      <c r="C695" s="85">
        <v>44274.0</v>
      </c>
      <c r="D695" s="85">
        <v>44311.0</v>
      </c>
      <c r="E695" s="86">
        <v>2.4</v>
      </c>
      <c r="F695" s="87">
        <v>3.91</v>
      </c>
      <c r="G695" s="88">
        <f t="shared" si="1"/>
        <v>1.51</v>
      </c>
      <c r="H695" s="89">
        <f t="shared" si="2"/>
        <v>0.3861892583</v>
      </c>
      <c r="I695" s="78" t="s">
        <v>973</v>
      </c>
      <c r="J695" s="78" t="s">
        <v>69</v>
      </c>
      <c r="K695" s="58">
        <f t="shared" si="3"/>
        <v>37</v>
      </c>
      <c r="L695" s="91" t="str">
        <f t="shared" si="4"/>
        <v>Sun</v>
      </c>
      <c r="M695" s="78" t="str">
        <f>IFERROR(VLOOKUP(A695, Entries!A:B,2,false),"")</f>
        <v>Frogwares</v>
      </c>
      <c r="N695" s="23" t="str">
        <f>IFERROR(VLOOKUP(A695, Entries!A:K,11,false),"")</f>
        <v/>
      </c>
      <c r="O695" s="23" t="b">
        <f>IFERROR(VLOOKUP(A695, Entries!A:I,8,false),"")</f>
        <v>0</v>
      </c>
    </row>
    <row r="696">
      <c r="A696" s="78" t="s">
        <v>974</v>
      </c>
      <c r="B696" s="78" t="s">
        <v>22</v>
      </c>
      <c r="C696" s="85">
        <v>44274.0</v>
      </c>
      <c r="D696" s="85">
        <v>44274.0</v>
      </c>
      <c r="E696" s="86">
        <v>8.92</v>
      </c>
      <c r="F696" s="87">
        <v>12.41</v>
      </c>
      <c r="G696" s="88">
        <f t="shared" si="1"/>
        <v>3.49</v>
      </c>
      <c r="H696" s="89">
        <f t="shared" si="2"/>
        <v>0.2812248187</v>
      </c>
      <c r="I696" s="78" t="s">
        <v>975</v>
      </c>
      <c r="J696" s="78" t="s">
        <v>69</v>
      </c>
      <c r="K696" s="58">
        <f t="shared" si="3"/>
        <v>0</v>
      </c>
      <c r="L696" s="91" t="str">
        <f t="shared" si="4"/>
        <v>Fri</v>
      </c>
      <c r="M696" s="78" t="str">
        <f>IFERROR(VLOOKUP(A696, Entries!A:B,2,false),"")</f>
        <v>Anvil Game Studios</v>
      </c>
      <c r="N696" s="23" t="str">
        <f>IFERROR(VLOOKUP(A696, Entries!A:K,11,false),"")</f>
        <v/>
      </c>
      <c r="O696" s="23" t="b">
        <f>IFERROR(VLOOKUP(A696, Entries!A:I,8,false),"")</f>
        <v>1</v>
      </c>
    </row>
    <row r="697">
      <c r="A697" s="78" t="s">
        <v>976</v>
      </c>
      <c r="B697" s="78" t="s">
        <v>22</v>
      </c>
      <c r="C697" s="85">
        <v>44274.0</v>
      </c>
      <c r="D697" s="85">
        <v>44399.0</v>
      </c>
      <c r="E697" s="86">
        <v>0.0</v>
      </c>
      <c r="F697" s="87">
        <v>0.44</v>
      </c>
      <c r="G697" s="88">
        <f t="shared" si="1"/>
        <v>0.44</v>
      </c>
      <c r="H697" s="89">
        <f t="shared" si="2"/>
        <v>1</v>
      </c>
      <c r="I697" s="78" t="s">
        <v>977</v>
      </c>
      <c r="J697" s="78" t="s">
        <v>69</v>
      </c>
      <c r="K697" s="58">
        <f t="shared" si="3"/>
        <v>125</v>
      </c>
      <c r="L697" s="91" t="str">
        <f t="shared" si="4"/>
        <v>Thu</v>
      </c>
      <c r="M697" s="78" t="str">
        <f>IFERROR(VLOOKUP(A697, Entries!A:B,2,false),"")</f>
        <v>Codalyn</v>
      </c>
      <c r="N697" s="23" t="str">
        <f>IFERROR(VLOOKUP(A697, Entries!A:K,11,false),"")</f>
        <v/>
      </c>
      <c r="O697" s="23" t="b">
        <f>IFERROR(VLOOKUP(A697, Entries!A:I,8,false),"")</f>
        <v>0</v>
      </c>
    </row>
    <row r="698">
      <c r="A698" s="78" t="s">
        <v>974</v>
      </c>
      <c r="B698" s="78" t="s">
        <v>22</v>
      </c>
      <c r="C698" s="85">
        <v>44274.0</v>
      </c>
      <c r="D698" s="85">
        <v>44277.0</v>
      </c>
      <c r="E698" s="86">
        <v>8.92</v>
      </c>
      <c r="F698" s="87">
        <v>12.4</v>
      </c>
      <c r="G698" s="88">
        <f t="shared" si="1"/>
        <v>3.48</v>
      </c>
      <c r="H698" s="89">
        <f t="shared" si="2"/>
        <v>0.2806451613</v>
      </c>
      <c r="I698" s="78" t="s">
        <v>978</v>
      </c>
      <c r="J698" s="78" t="s">
        <v>69</v>
      </c>
      <c r="K698" s="58">
        <f t="shared" si="3"/>
        <v>3</v>
      </c>
      <c r="L698" s="91" t="str">
        <f t="shared" si="4"/>
        <v>Mon</v>
      </c>
      <c r="M698" s="78" t="str">
        <f>IFERROR(VLOOKUP(A698, Entries!A:B,2,false),"")</f>
        <v>Anvil Game Studios</v>
      </c>
      <c r="N698" s="23" t="str">
        <f>IFERROR(VLOOKUP(A698, Entries!A:K,11,false),"")</f>
        <v/>
      </c>
      <c r="O698" s="23" t="b">
        <f>IFERROR(VLOOKUP(A698, Entries!A:I,8,false),"")</f>
        <v>1</v>
      </c>
    </row>
    <row r="699">
      <c r="A699" s="78" t="s">
        <v>962</v>
      </c>
      <c r="B699" s="78" t="s">
        <v>22</v>
      </c>
      <c r="C699" s="85">
        <v>44274.0</v>
      </c>
      <c r="D699" s="85">
        <v>44334.0</v>
      </c>
      <c r="E699" s="86">
        <v>0.0</v>
      </c>
      <c r="F699" s="87">
        <v>0.45</v>
      </c>
      <c r="G699" s="88">
        <f t="shared" si="1"/>
        <v>0.45</v>
      </c>
      <c r="H699" s="89">
        <f t="shared" si="2"/>
        <v>1</v>
      </c>
      <c r="I699" s="78" t="s">
        <v>979</v>
      </c>
      <c r="J699" s="78" t="s">
        <v>69</v>
      </c>
      <c r="K699" s="58">
        <f t="shared" si="3"/>
        <v>60</v>
      </c>
      <c r="L699" s="91" t="str">
        <f t="shared" si="4"/>
        <v>Tue</v>
      </c>
      <c r="M699" s="78" t="str">
        <f>IFERROR(VLOOKUP(A699, Entries!A:B,2,false),"")</f>
        <v>Aspyr</v>
      </c>
      <c r="N699" s="23" t="str">
        <f>IFERROR(VLOOKUP(A699, Entries!A:K,11,false),"")</f>
        <v/>
      </c>
      <c r="O699" s="23" t="b">
        <f>IFERROR(VLOOKUP(A699, Entries!A:I,8,false),"")</f>
        <v>0</v>
      </c>
    </row>
    <row r="700">
      <c r="A700" s="78" t="s">
        <v>136</v>
      </c>
      <c r="B700" s="78" t="s">
        <v>19</v>
      </c>
      <c r="C700" s="85">
        <v>44277.0</v>
      </c>
      <c r="D700" s="85">
        <v>44302.0</v>
      </c>
      <c r="E700" s="86">
        <v>2.65</v>
      </c>
      <c r="F700" s="87">
        <v>5.28</v>
      </c>
      <c r="G700" s="88">
        <f t="shared" si="1"/>
        <v>2.63</v>
      </c>
      <c r="H700" s="89">
        <f t="shared" si="2"/>
        <v>0.4981060606</v>
      </c>
      <c r="I700" s="78" t="s">
        <v>980</v>
      </c>
      <c r="J700" s="78" t="s">
        <v>69</v>
      </c>
      <c r="K700" s="58">
        <f t="shared" si="3"/>
        <v>25</v>
      </c>
      <c r="L700" s="91" t="str">
        <f t="shared" si="4"/>
        <v>Fri</v>
      </c>
      <c r="M700" s="78" t="str">
        <f>IFERROR(VLOOKUP(A700, Entries!A:B,2,false),"")</f>
        <v>Microids</v>
      </c>
      <c r="N700" s="23" t="str">
        <f>IFERROR(VLOOKUP(A700, Entries!A:K,11,false),"")</f>
        <v/>
      </c>
      <c r="O700" s="23" t="b">
        <f>IFERROR(VLOOKUP(A700, Entries!A:I,8,false),"")</f>
        <v>0</v>
      </c>
    </row>
    <row r="701">
      <c r="A701" s="78" t="s">
        <v>314</v>
      </c>
      <c r="B701" s="78" t="s">
        <v>19</v>
      </c>
      <c r="C701" s="85">
        <v>44277.0</v>
      </c>
      <c r="D701" s="85">
        <v>44287.0</v>
      </c>
      <c r="E701" s="86">
        <v>1.5</v>
      </c>
      <c r="F701" s="87">
        <v>3.28</v>
      </c>
      <c r="G701" s="88">
        <f t="shared" si="1"/>
        <v>1.78</v>
      </c>
      <c r="H701" s="89">
        <f t="shared" si="2"/>
        <v>0.5426829268</v>
      </c>
      <c r="I701" s="78" t="s">
        <v>981</v>
      </c>
      <c r="J701" s="78" t="s">
        <v>69</v>
      </c>
      <c r="K701" s="58">
        <f t="shared" si="3"/>
        <v>10</v>
      </c>
      <c r="L701" s="91" t="str">
        <f t="shared" si="4"/>
        <v>Thu</v>
      </c>
      <c r="M701" s="78" t="str">
        <f>IFERROR(VLOOKUP(A701, Entries!A:B,2,false),"")</f>
        <v>Nacon</v>
      </c>
      <c r="N701" s="23" t="str">
        <f>IFERROR(VLOOKUP(A701, Entries!A:K,11,false),"")</f>
        <v/>
      </c>
      <c r="O701" s="23" t="b">
        <f>IFERROR(VLOOKUP(A701, Entries!A:I,8,false),"")</f>
        <v>0</v>
      </c>
    </row>
    <row r="702">
      <c r="A702" s="78" t="s">
        <v>314</v>
      </c>
      <c r="B702" s="78" t="s">
        <v>19</v>
      </c>
      <c r="C702" s="85">
        <v>44277.0</v>
      </c>
      <c r="D702" s="85">
        <v>44456.0</v>
      </c>
      <c r="E702" s="86">
        <v>1.5</v>
      </c>
      <c r="F702" s="87">
        <v>1.86</v>
      </c>
      <c r="G702" s="88">
        <f t="shared" si="1"/>
        <v>0.36</v>
      </c>
      <c r="H702" s="89">
        <f t="shared" si="2"/>
        <v>0.1935483871</v>
      </c>
      <c r="I702" s="78" t="s">
        <v>982</v>
      </c>
      <c r="J702" s="78" t="s">
        <v>69</v>
      </c>
      <c r="K702" s="58">
        <f t="shared" si="3"/>
        <v>179</v>
      </c>
      <c r="L702" s="91" t="str">
        <f t="shared" si="4"/>
        <v>Fri</v>
      </c>
      <c r="M702" s="78" t="str">
        <f>IFERROR(VLOOKUP(A702, Entries!A:B,2,false),"")</f>
        <v>Nacon</v>
      </c>
      <c r="N702" s="23" t="str">
        <f>IFERROR(VLOOKUP(A702, Entries!A:K,11,false),"")</f>
        <v/>
      </c>
      <c r="O702" s="23" t="b">
        <f>IFERROR(VLOOKUP(A702, Entries!A:I,8,false),"")</f>
        <v>0</v>
      </c>
    </row>
    <row r="703">
      <c r="A703" s="78" t="s">
        <v>950</v>
      </c>
      <c r="B703" s="78" t="s">
        <v>19</v>
      </c>
      <c r="C703" s="85">
        <v>44277.0</v>
      </c>
      <c r="D703" s="85">
        <v>44290.0</v>
      </c>
      <c r="E703" s="86">
        <v>0.5</v>
      </c>
      <c r="F703" s="87">
        <v>1.35</v>
      </c>
      <c r="G703" s="88">
        <f t="shared" si="1"/>
        <v>0.85</v>
      </c>
      <c r="H703" s="89">
        <f t="shared" si="2"/>
        <v>0.6296296296</v>
      </c>
      <c r="I703" s="78" t="s">
        <v>983</v>
      </c>
      <c r="J703" s="78" t="s">
        <v>69</v>
      </c>
      <c r="K703" s="58">
        <f t="shared" si="3"/>
        <v>13</v>
      </c>
      <c r="L703" s="91" t="str">
        <f t="shared" si="4"/>
        <v>Sun</v>
      </c>
      <c r="M703" s="78" t="str">
        <f>IFERROR(VLOOKUP(A703, Entries!A:B,2,false),"")</f>
        <v>Codemasters</v>
      </c>
      <c r="N703" s="23" t="str">
        <f>IFERROR(VLOOKUP(A703, Entries!A:K,11,false),"")</f>
        <v/>
      </c>
      <c r="O703" s="23" t="b">
        <f>IFERROR(VLOOKUP(A703, Entries!A:I,8,false),"")</f>
        <v>0</v>
      </c>
    </row>
    <row r="704">
      <c r="A704" s="78" t="s">
        <v>950</v>
      </c>
      <c r="B704" s="78" t="s">
        <v>19</v>
      </c>
      <c r="C704" s="85">
        <v>44277.0</v>
      </c>
      <c r="D704" s="85">
        <v>44293.0</v>
      </c>
      <c r="E704" s="86">
        <v>0.5</v>
      </c>
      <c r="F704" s="87">
        <v>1.35</v>
      </c>
      <c r="G704" s="88">
        <f t="shared" si="1"/>
        <v>0.85</v>
      </c>
      <c r="H704" s="89">
        <f t="shared" si="2"/>
        <v>0.6296296296</v>
      </c>
      <c r="I704" s="78" t="s">
        <v>984</v>
      </c>
      <c r="J704" s="78" t="s">
        <v>69</v>
      </c>
      <c r="K704" s="58">
        <f t="shared" si="3"/>
        <v>16</v>
      </c>
      <c r="L704" s="91" t="str">
        <f t="shared" si="4"/>
        <v>Wed</v>
      </c>
      <c r="M704" s="78" t="str">
        <f>IFERROR(VLOOKUP(A704, Entries!A:B,2,false),"")</f>
        <v>Codemasters</v>
      </c>
      <c r="N704" s="23" t="str">
        <f>IFERROR(VLOOKUP(A704, Entries!A:K,11,false),"")</f>
        <v/>
      </c>
      <c r="O704" s="23" t="b">
        <f>IFERROR(VLOOKUP(A704, Entries!A:I,8,false),"")</f>
        <v>0</v>
      </c>
    </row>
    <row r="705">
      <c r="A705" s="78" t="s">
        <v>985</v>
      </c>
      <c r="B705" s="78" t="s">
        <v>19</v>
      </c>
      <c r="C705" s="85">
        <v>44277.0</v>
      </c>
      <c r="D705" s="85">
        <v>44282.0</v>
      </c>
      <c r="E705" s="86">
        <v>0.0</v>
      </c>
      <c r="F705" s="87">
        <v>0.5</v>
      </c>
      <c r="G705" s="88">
        <f t="shared" si="1"/>
        <v>0.5</v>
      </c>
      <c r="H705" s="89">
        <f t="shared" si="2"/>
        <v>1</v>
      </c>
      <c r="I705" s="78" t="s">
        <v>986</v>
      </c>
      <c r="J705" s="78" t="s">
        <v>69</v>
      </c>
      <c r="K705" s="58">
        <f t="shared" si="3"/>
        <v>5</v>
      </c>
      <c r="L705" s="91" t="str">
        <f t="shared" si="4"/>
        <v>Sat</v>
      </c>
      <c r="M705" s="78" t="str">
        <f>IFERROR(VLOOKUP(A705, Entries!A:B,2,false),"")</f>
        <v>Codemasters</v>
      </c>
      <c r="N705" s="23" t="str">
        <f>IFERROR(VLOOKUP(A705, Entries!A:K,11,false),"")</f>
        <v/>
      </c>
      <c r="O705" s="23" t="b">
        <f>IFERROR(VLOOKUP(A705, Entries!A:I,8,false),"")</f>
        <v>0</v>
      </c>
    </row>
    <row r="706">
      <c r="A706" s="78" t="s">
        <v>985</v>
      </c>
      <c r="B706" s="78" t="s">
        <v>19</v>
      </c>
      <c r="C706" s="85">
        <v>44277.0</v>
      </c>
      <c r="D706" s="85">
        <v>44317.0</v>
      </c>
      <c r="E706" s="86">
        <v>0.0</v>
      </c>
      <c r="F706" s="87">
        <v>0.65</v>
      </c>
      <c r="G706" s="88">
        <f t="shared" si="1"/>
        <v>0.65</v>
      </c>
      <c r="H706" s="89">
        <f t="shared" si="2"/>
        <v>1</v>
      </c>
      <c r="I706" s="78" t="s">
        <v>987</v>
      </c>
      <c r="J706" s="78" t="s">
        <v>69</v>
      </c>
      <c r="K706" s="58">
        <f t="shared" si="3"/>
        <v>40</v>
      </c>
      <c r="L706" s="91" t="str">
        <f t="shared" si="4"/>
        <v>Sat</v>
      </c>
      <c r="M706" s="78" t="str">
        <f>IFERROR(VLOOKUP(A706, Entries!A:B,2,false),"")</f>
        <v>Codemasters</v>
      </c>
      <c r="N706" s="23" t="str">
        <f>IFERROR(VLOOKUP(A706, Entries!A:K,11,false),"")</f>
        <v/>
      </c>
      <c r="O706" s="23" t="b">
        <f>IFERROR(VLOOKUP(A706, Entries!A:I,8,false),"")</f>
        <v>0</v>
      </c>
    </row>
    <row r="707">
      <c r="A707" s="78" t="s">
        <v>899</v>
      </c>
      <c r="B707" s="78" t="s">
        <v>19</v>
      </c>
      <c r="C707" s="85">
        <v>44277.0</v>
      </c>
      <c r="D707" s="85">
        <v>44283.0</v>
      </c>
      <c r="E707" s="86">
        <v>0.5</v>
      </c>
      <c r="F707" s="87">
        <v>2.98</v>
      </c>
      <c r="G707" s="88">
        <f t="shared" si="1"/>
        <v>2.48</v>
      </c>
      <c r="H707" s="89">
        <f t="shared" si="2"/>
        <v>0.8322147651</v>
      </c>
      <c r="I707" s="78" t="s">
        <v>988</v>
      </c>
      <c r="J707" s="78" t="s">
        <v>69</v>
      </c>
      <c r="K707" s="58">
        <f t="shared" si="3"/>
        <v>6</v>
      </c>
      <c r="L707" s="91" t="str">
        <f t="shared" si="4"/>
        <v>Sun</v>
      </c>
      <c r="M707" s="78" t="str">
        <f>IFERROR(VLOOKUP(A707, Entries!A:B,2,false),"")</f>
        <v>Codemasters</v>
      </c>
      <c r="N707" s="23" t="str">
        <f>IFERROR(VLOOKUP(A707, Entries!A:K,11,false),"")</f>
        <v/>
      </c>
      <c r="O707" s="23" t="b">
        <f>IFERROR(VLOOKUP(A707, Entries!A:I,8,false),"")</f>
        <v>0</v>
      </c>
    </row>
    <row r="708">
      <c r="A708" s="78" t="s">
        <v>899</v>
      </c>
      <c r="B708" s="78" t="s">
        <v>19</v>
      </c>
      <c r="C708" s="85">
        <v>44277.0</v>
      </c>
      <c r="D708" s="85">
        <v>44342.0</v>
      </c>
      <c r="E708" s="86">
        <v>0.5</v>
      </c>
      <c r="F708" s="87">
        <v>2.72</v>
      </c>
      <c r="G708" s="88">
        <f t="shared" si="1"/>
        <v>2.22</v>
      </c>
      <c r="H708" s="89">
        <f t="shared" si="2"/>
        <v>0.8161764706</v>
      </c>
      <c r="I708" s="78" t="s">
        <v>989</v>
      </c>
      <c r="J708" s="78" t="s">
        <v>69</v>
      </c>
      <c r="K708" s="58">
        <f t="shared" si="3"/>
        <v>65</v>
      </c>
      <c r="L708" s="91" t="str">
        <f t="shared" si="4"/>
        <v>Wed</v>
      </c>
      <c r="M708" s="78" t="str">
        <f>IFERROR(VLOOKUP(A708, Entries!A:B,2,false),"")</f>
        <v>Codemasters</v>
      </c>
      <c r="N708" s="23" t="str">
        <f>IFERROR(VLOOKUP(A708, Entries!A:K,11,false),"")</f>
        <v/>
      </c>
      <c r="O708" s="23" t="b">
        <f>IFERROR(VLOOKUP(A708, Entries!A:I,8,false),"")</f>
        <v>0</v>
      </c>
    </row>
    <row r="709">
      <c r="A709" s="78" t="s">
        <v>990</v>
      </c>
      <c r="B709" s="78" t="s">
        <v>19</v>
      </c>
      <c r="C709" s="85">
        <v>44277.0</v>
      </c>
      <c r="D709" s="85">
        <v>44322.0</v>
      </c>
      <c r="E709" s="86">
        <v>0.5</v>
      </c>
      <c r="F709" s="87">
        <v>0.9</v>
      </c>
      <c r="G709" s="88">
        <f t="shared" si="1"/>
        <v>0.4</v>
      </c>
      <c r="H709" s="89">
        <f t="shared" si="2"/>
        <v>0.4444444444</v>
      </c>
      <c r="I709" s="78" t="s">
        <v>991</v>
      </c>
      <c r="J709" s="78" t="s">
        <v>69</v>
      </c>
      <c r="K709" s="58">
        <f t="shared" si="3"/>
        <v>45</v>
      </c>
      <c r="L709" s="91" t="str">
        <f t="shared" si="4"/>
        <v>Thu</v>
      </c>
      <c r="M709" s="78" t="str">
        <f>IFERROR(VLOOKUP(A709, Entries!A:B,2,false),"")</f>
        <v>Nacon</v>
      </c>
      <c r="N709" s="23" t="str">
        <f>IFERROR(VLOOKUP(A709, Entries!A:K,11,false),"")</f>
        <v/>
      </c>
      <c r="O709" s="23" t="b">
        <f>IFERROR(VLOOKUP(A709, Entries!A:I,8,false),"")</f>
        <v>0</v>
      </c>
    </row>
    <row r="710">
      <c r="A710" s="78" t="s">
        <v>990</v>
      </c>
      <c r="B710" s="78" t="s">
        <v>19</v>
      </c>
      <c r="C710" s="85">
        <v>44277.0</v>
      </c>
      <c r="D710" s="85">
        <v>44322.0</v>
      </c>
      <c r="E710" s="86">
        <v>0.5</v>
      </c>
      <c r="F710" s="87">
        <v>0.9</v>
      </c>
      <c r="G710" s="88">
        <f t="shared" si="1"/>
        <v>0.4</v>
      </c>
      <c r="H710" s="89">
        <f t="shared" si="2"/>
        <v>0.4444444444</v>
      </c>
      <c r="I710" s="78" t="s">
        <v>992</v>
      </c>
      <c r="J710" s="78" t="s">
        <v>69</v>
      </c>
      <c r="K710" s="58">
        <f t="shared" si="3"/>
        <v>45</v>
      </c>
      <c r="L710" s="91" t="str">
        <f t="shared" si="4"/>
        <v>Thu</v>
      </c>
      <c r="M710" s="78" t="str">
        <f>IFERROR(VLOOKUP(A710, Entries!A:B,2,false),"")</f>
        <v>Nacon</v>
      </c>
      <c r="N710" s="23" t="str">
        <f>IFERROR(VLOOKUP(A710, Entries!A:K,11,false),"")</f>
        <v/>
      </c>
      <c r="O710" s="23" t="b">
        <f>IFERROR(VLOOKUP(A710, Entries!A:I,8,false),"")</f>
        <v>0</v>
      </c>
    </row>
    <row r="711">
      <c r="A711" s="78" t="s">
        <v>993</v>
      </c>
      <c r="B711" s="78" t="s">
        <v>19</v>
      </c>
      <c r="C711" s="85">
        <v>44277.0</v>
      </c>
      <c r="D711" s="85">
        <v>44654.0</v>
      </c>
      <c r="E711" s="86">
        <v>0.5</v>
      </c>
      <c r="F711" s="87">
        <v>0.42</v>
      </c>
      <c r="G711" s="88">
        <f t="shared" si="1"/>
        <v>-0.08</v>
      </c>
      <c r="H711" s="89">
        <f t="shared" si="2"/>
        <v>-0.1904761905</v>
      </c>
      <c r="I711" s="78" t="s">
        <v>994</v>
      </c>
      <c r="J711" s="78" t="s">
        <v>69</v>
      </c>
      <c r="K711" s="58">
        <f t="shared" si="3"/>
        <v>377</v>
      </c>
      <c r="L711" s="91" t="str">
        <f t="shared" si="4"/>
        <v>Sun</v>
      </c>
      <c r="M711" s="78" t="str">
        <f>IFERROR(VLOOKUP(A711, Entries!A:B,2,false),"")</f>
        <v>Gamepires</v>
      </c>
      <c r="N711" s="23" t="str">
        <f>IFERROR(VLOOKUP(A711, Entries!A:K,11,false),"")</f>
        <v/>
      </c>
      <c r="O711" s="23" t="b">
        <f>IFERROR(VLOOKUP(A711, Entries!A:I,8,false),"")</f>
        <v>0</v>
      </c>
    </row>
    <row r="712">
      <c r="A712" s="78" t="s">
        <v>993</v>
      </c>
      <c r="B712" s="78" t="s">
        <v>19</v>
      </c>
      <c r="C712" s="85">
        <v>44277.0</v>
      </c>
      <c r="D712" s="85">
        <v>44654.0</v>
      </c>
      <c r="E712" s="86">
        <v>0.5</v>
      </c>
      <c r="F712" s="87">
        <v>0.42</v>
      </c>
      <c r="G712" s="88">
        <f t="shared" si="1"/>
        <v>-0.08</v>
      </c>
      <c r="H712" s="89">
        <f t="shared" si="2"/>
        <v>-0.1904761905</v>
      </c>
      <c r="I712" s="78" t="s">
        <v>995</v>
      </c>
      <c r="J712" s="78" t="s">
        <v>69</v>
      </c>
      <c r="K712" s="58">
        <f t="shared" si="3"/>
        <v>377</v>
      </c>
      <c r="L712" s="91" t="str">
        <f t="shared" si="4"/>
        <v>Sun</v>
      </c>
      <c r="M712" s="78" t="str">
        <f>IFERROR(VLOOKUP(A712, Entries!A:B,2,false),"")</f>
        <v>Gamepires</v>
      </c>
      <c r="N712" s="23" t="str">
        <f>IFERROR(VLOOKUP(A712, Entries!A:K,11,false),"")</f>
        <v/>
      </c>
      <c r="O712" s="23" t="b">
        <f>IFERROR(VLOOKUP(A712, Entries!A:I,8,false),"")</f>
        <v>0</v>
      </c>
    </row>
    <row r="713">
      <c r="A713" s="78" t="s">
        <v>996</v>
      </c>
      <c r="B713" s="78" t="s">
        <v>19</v>
      </c>
      <c r="C713" s="85">
        <v>44278.0</v>
      </c>
      <c r="D713" s="85">
        <v>44695.0</v>
      </c>
      <c r="E713" s="86">
        <v>0.44</v>
      </c>
      <c r="F713" s="87">
        <v>0.17</v>
      </c>
      <c r="G713" s="88">
        <f t="shared" si="1"/>
        <v>-0.27</v>
      </c>
      <c r="H713" s="89">
        <f t="shared" si="2"/>
        <v>-1.588235294</v>
      </c>
      <c r="I713" s="78" t="s">
        <v>997</v>
      </c>
      <c r="J713" s="78" t="s">
        <v>69</v>
      </c>
      <c r="K713" s="58">
        <f t="shared" si="3"/>
        <v>417</v>
      </c>
      <c r="L713" s="91" t="str">
        <f t="shared" si="4"/>
        <v>Sat</v>
      </c>
      <c r="M713" s="78" t="str">
        <f>IFERROR(VLOOKUP(A713, Entries!A:B,2,false),"")</f>
        <v>Copybugpaste</v>
      </c>
      <c r="N713" s="23" t="str">
        <f>IFERROR(VLOOKUP(A713, Entries!A:K,11,false),"")</f>
        <v/>
      </c>
      <c r="O713" s="23" t="b">
        <f>IFERROR(VLOOKUP(A713, Entries!A:I,8,false),"")</f>
        <v>0</v>
      </c>
    </row>
    <row r="714">
      <c r="A714" s="78" t="s">
        <v>996</v>
      </c>
      <c r="B714" s="78" t="s">
        <v>19</v>
      </c>
      <c r="C714" s="85">
        <v>44278.0</v>
      </c>
      <c r="D714" s="85">
        <v>44695.0</v>
      </c>
      <c r="E714" s="86">
        <v>0.44</v>
      </c>
      <c r="F714" s="87">
        <v>0.17</v>
      </c>
      <c r="G714" s="88">
        <f t="shared" si="1"/>
        <v>-0.27</v>
      </c>
      <c r="H714" s="89">
        <f t="shared" si="2"/>
        <v>-1.588235294</v>
      </c>
      <c r="I714" s="78" t="s">
        <v>998</v>
      </c>
      <c r="J714" s="78" t="s">
        <v>69</v>
      </c>
      <c r="K714" s="58">
        <f t="shared" si="3"/>
        <v>417</v>
      </c>
      <c r="L714" s="91" t="str">
        <f t="shared" si="4"/>
        <v>Sat</v>
      </c>
      <c r="M714" s="78" t="str">
        <f>IFERROR(VLOOKUP(A714, Entries!A:B,2,false),"")</f>
        <v>Copybugpaste</v>
      </c>
      <c r="N714" s="23" t="str">
        <f>IFERROR(VLOOKUP(A714, Entries!A:K,11,false),"")</f>
        <v/>
      </c>
      <c r="O714" s="23" t="b">
        <f>IFERROR(VLOOKUP(A714, Entries!A:I,8,false),"")</f>
        <v>0</v>
      </c>
    </row>
    <row r="715">
      <c r="A715" s="78" t="s">
        <v>999</v>
      </c>
      <c r="B715" s="78" t="s">
        <v>23</v>
      </c>
      <c r="C715" s="85">
        <v>44279.0</v>
      </c>
      <c r="D715" s="85">
        <v>44280.0</v>
      </c>
      <c r="E715" s="86">
        <v>11.43</v>
      </c>
      <c r="F715" s="87">
        <v>14.31</v>
      </c>
      <c r="G715" s="88">
        <f t="shared" si="1"/>
        <v>2.88</v>
      </c>
      <c r="H715" s="89">
        <f t="shared" si="2"/>
        <v>0.2012578616</v>
      </c>
      <c r="I715" s="78" t="s">
        <v>1000</v>
      </c>
      <c r="J715" s="78" t="s">
        <v>69</v>
      </c>
      <c r="K715" s="58">
        <f t="shared" si="3"/>
        <v>1</v>
      </c>
      <c r="L715" s="91" t="str">
        <f t="shared" si="4"/>
        <v>Thu</v>
      </c>
      <c r="M715" s="78" t="str">
        <f>IFERROR(VLOOKUP(A715, Entries!A:B,2,false),"")</f>
        <v>Focus Home Interactive</v>
      </c>
      <c r="N715" s="23" t="str">
        <f>IFERROR(VLOOKUP(A715, Entries!A:K,11,false),"")</f>
        <v/>
      </c>
      <c r="O715" s="23" t="b">
        <f>IFERROR(VLOOKUP(A715, Entries!A:I,8,false),"")</f>
        <v>0</v>
      </c>
    </row>
    <row r="716">
      <c r="A716" s="78" t="s">
        <v>1001</v>
      </c>
      <c r="B716" s="78" t="s">
        <v>21</v>
      </c>
      <c r="C716" s="85">
        <v>44279.0</v>
      </c>
      <c r="D716" s="85">
        <v>44300.0</v>
      </c>
      <c r="E716" s="86">
        <v>4.12</v>
      </c>
      <c r="F716" s="87">
        <v>4.69</v>
      </c>
      <c r="G716" s="88">
        <f t="shared" si="1"/>
        <v>0.57</v>
      </c>
      <c r="H716" s="89">
        <f t="shared" si="2"/>
        <v>0.1215351812</v>
      </c>
      <c r="I716" s="78" t="s">
        <v>1002</v>
      </c>
      <c r="J716" s="78" t="s">
        <v>69</v>
      </c>
      <c r="K716" s="58">
        <f t="shared" si="3"/>
        <v>21</v>
      </c>
      <c r="L716" s="91" t="str">
        <f t="shared" si="4"/>
        <v>Wed</v>
      </c>
      <c r="M716" s="78" t="str">
        <f>IFERROR(VLOOKUP(A716, Entries!A:B,2,false),"")</f>
        <v>Headup</v>
      </c>
      <c r="N716" s="23" t="str">
        <f>IFERROR(VLOOKUP(A716, Entries!A:K,11,false),"")</f>
        <v/>
      </c>
      <c r="O716" s="23" t="b">
        <f>IFERROR(VLOOKUP(A716, Entries!A:I,8,false),"")</f>
        <v>0</v>
      </c>
    </row>
    <row r="717">
      <c r="A717" s="78" t="s">
        <v>1001</v>
      </c>
      <c r="B717" s="78" t="s">
        <v>21</v>
      </c>
      <c r="C717" s="85">
        <v>44279.0</v>
      </c>
      <c r="D717" s="85">
        <v>44302.0</v>
      </c>
      <c r="E717" s="86">
        <v>4.13</v>
      </c>
      <c r="F717" s="87">
        <v>4.7</v>
      </c>
      <c r="G717" s="88">
        <f t="shared" si="1"/>
        <v>0.57</v>
      </c>
      <c r="H717" s="89">
        <f t="shared" si="2"/>
        <v>0.1212765957</v>
      </c>
      <c r="I717" s="78" t="s">
        <v>1003</v>
      </c>
      <c r="J717" s="78" t="s">
        <v>69</v>
      </c>
      <c r="K717" s="58">
        <f t="shared" si="3"/>
        <v>23</v>
      </c>
      <c r="L717" s="91" t="str">
        <f t="shared" si="4"/>
        <v>Fri</v>
      </c>
      <c r="M717" s="78" t="str">
        <f>IFERROR(VLOOKUP(A717, Entries!A:B,2,false),"")</f>
        <v>Headup</v>
      </c>
      <c r="N717" s="23" t="str">
        <f>IFERROR(VLOOKUP(A717, Entries!A:K,11,false),"")</f>
        <v/>
      </c>
      <c r="O717" s="23" t="b">
        <f>IFERROR(VLOOKUP(A717, Entries!A:I,8,false),"")</f>
        <v>0</v>
      </c>
    </row>
    <row r="718">
      <c r="A718" s="78" t="s">
        <v>999</v>
      </c>
      <c r="B718" s="78" t="s">
        <v>23</v>
      </c>
      <c r="C718" s="85">
        <v>44280.0</v>
      </c>
      <c r="D718" s="85">
        <v>44283.0</v>
      </c>
      <c r="E718" s="86">
        <v>11.46</v>
      </c>
      <c r="F718" s="87">
        <v>14.0</v>
      </c>
      <c r="G718" s="88">
        <f t="shared" si="1"/>
        <v>2.54</v>
      </c>
      <c r="H718" s="89">
        <f t="shared" si="2"/>
        <v>0.1814285714</v>
      </c>
      <c r="I718" s="78" t="s">
        <v>1004</v>
      </c>
      <c r="J718" s="78" t="s">
        <v>69</v>
      </c>
      <c r="K718" s="58">
        <f t="shared" si="3"/>
        <v>3</v>
      </c>
      <c r="L718" s="91" t="str">
        <f t="shared" si="4"/>
        <v>Sun</v>
      </c>
      <c r="M718" s="78" t="str">
        <f>IFERROR(VLOOKUP(A718, Entries!A:B,2,false),"")</f>
        <v>Focus Home Interactive</v>
      </c>
      <c r="N718" s="23" t="str">
        <f>IFERROR(VLOOKUP(A718, Entries!A:K,11,false),"")</f>
        <v/>
      </c>
      <c r="O718" s="23" t="b">
        <f>IFERROR(VLOOKUP(A718, Entries!A:I,8,false),"")</f>
        <v>0</v>
      </c>
    </row>
    <row r="719">
      <c r="A719" s="78" t="s">
        <v>166</v>
      </c>
      <c r="B719" s="78" t="s">
        <v>21</v>
      </c>
      <c r="C719" s="85">
        <v>44282.0</v>
      </c>
      <c r="D719" s="85">
        <v>44286.0</v>
      </c>
      <c r="E719" s="86">
        <v>0.3</v>
      </c>
      <c r="F719" s="87">
        <v>0.83</v>
      </c>
      <c r="G719" s="88">
        <f t="shared" si="1"/>
        <v>0.53</v>
      </c>
      <c r="H719" s="89">
        <f t="shared" si="2"/>
        <v>0.6385542169</v>
      </c>
      <c r="I719" s="78" t="s">
        <v>1005</v>
      </c>
      <c r="J719" s="78" t="s">
        <v>69</v>
      </c>
      <c r="K719" s="58">
        <f t="shared" si="3"/>
        <v>4</v>
      </c>
      <c r="L719" s="91" t="str">
        <f t="shared" si="4"/>
        <v>Wed</v>
      </c>
      <c r="M719" s="78" t="str">
        <f>IFERROR(VLOOKUP(A719, Entries!A:B,2,false),"")</f>
        <v>Revival Productions</v>
      </c>
      <c r="N719" s="23" t="str">
        <f>IFERROR(VLOOKUP(A719, Entries!A:K,11,false),"")</f>
        <v/>
      </c>
      <c r="O719" s="23" t="b">
        <f>IFERROR(VLOOKUP(A719, Entries!A:I,8,false),"")</f>
        <v>0</v>
      </c>
    </row>
    <row r="720">
      <c r="A720" s="78" t="s">
        <v>166</v>
      </c>
      <c r="B720" s="78" t="s">
        <v>21</v>
      </c>
      <c r="C720" s="85">
        <v>44282.0</v>
      </c>
      <c r="D720" s="85">
        <v>44287.0</v>
      </c>
      <c r="E720" s="86">
        <v>0.3</v>
      </c>
      <c r="F720" s="87">
        <v>0.83</v>
      </c>
      <c r="G720" s="88">
        <f t="shared" si="1"/>
        <v>0.53</v>
      </c>
      <c r="H720" s="89">
        <f t="shared" si="2"/>
        <v>0.6385542169</v>
      </c>
      <c r="I720" s="78" t="s">
        <v>1006</v>
      </c>
      <c r="J720" s="78" t="s">
        <v>69</v>
      </c>
      <c r="K720" s="58">
        <f t="shared" si="3"/>
        <v>5</v>
      </c>
      <c r="L720" s="91" t="str">
        <f t="shared" si="4"/>
        <v>Thu</v>
      </c>
      <c r="M720" s="78" t="str">
        <f>IFERROR(VLOOKUP(A720, Entries!A:B,2,false),"")</f>
        <v>Revival Productions</v>
      </c>
      <c r="N720" s="23" t="str">
        <f>IFERROR(VLOOKUP(A720, Entries!A:K,11,false),"")</f>
        <v/>
      </c>
      <c r="O720" s="23" t="b">
        <f>IFERROR(VLOOKUP(A720, Entries!A:I,8,false),"")</f>
        <v>0</v>
      </c>
    </row>
    <row r="721">
      <c r="A721" s="78" t="s">
        <v>166</v>
      </c>
      <c r="B721" s="78" t="s">
        <v>21</v>
      </c>
      <c r="C721" s="85">
        <v>44282.0</v>
      </c>
      <c r="D721" s="85">
        <v>44287.0</v>
      </c>
      <c r="E721" s="86">
        <v>0.3</v>
      </c>
      <c r="F721" s="87">
        <v>0.83</v>
      </c>
      <c r="G721" s="88">
        <f t="shared" si="1"/>
        <v>0.53</v>
      </c>
      <c r="H721" s="89">
        <f t="shared" si="2"/>
        <v>0.6385542169</v>
      </c>
      <c r="I721" s="78" t="s">
        <v>1007</v>
      </c>
      <c r="J721" s="78" t="s">
        <v>69</v>
      </c>
      <c r="K721" s="58">
        <f t="shared" si="3"/>
        <v>5</v>
      </c>
      <c r="L721" s="91" t="str">
        <f t="shared" si="4"/>
        <v>Thu</v>
      </c>
      <c r="M721" s="78" t="str">
        <f>IFERROR(VLOOKUP(A721, Entries!A:B,2,false),"")</f>
        <v>Revival Productions</v>
      </c>
      <c r="N721" s="23" t="str">
        <f>IFERROR(VLOOKUP(A721, Entries!A:K,11,false),"")</f>
        <v/>
      </c>
      <c r="O721" s="23" t="b">
        <f>IFERROR(VLOOKUP(A721, Entries!A:I,8,false),"")</f>
        <v>0</v>
      </c>
    </row>
    <row r="722">
      <c r="A722" s="78" t="s">
        <v>1008</v>
      </c>
      <c r="B722" s="78" t="s">
        <v>23</v>
      </c>
      <c r="C722" s="85">
        <v>44282.0</v>
      </c>
      <c r="D722" s="85">
        <v>44305.0</v>
      </c>
      <c r="E722" s="86">
        <v>11.5</v>
      </c>
      <c r="F722" s="87">
        <v>11.71</v>
      </c>
      <c r="G722" s="88">
        <f t="shared" si="1"/>
        <v>0.21</v>
      </c>
      <c r="H722" s="89">
        <f t="shared" si="2"/>
        <v>0.01793339026</v>
      </c>
      <c r="I722" s="78" t="s">
        <v>1009</v>
      </c>
      <c r="J722" s="78" t="s">
        <v>69</v>
      </c>
      <c r="K722" s="58">
        <f t="shared" si="3"/>
        <v>23</v>
      </c>
      <c r="L722" s="91" t="str">
        <f t="shared" si="4"/>
        <v>Mon</v>
      </c>
      <c r="M722" s="78" t="str">
        <f>IFERROR(VLOOKUP(A722, Entries!A:B,2,false),"")</f>
        <v>Dovetail Games</v>
      </c>
      <c r="N722" s="23" t="str">
        <f>IFERROR(VLOOKUP(A722, Entries!A:K,11,false),"")</f>
        <v/>
      </c>
      <c r="O722" s="23" t="b">
        <f>IFERROR(VLOOKUP(A722, Entries!A:I,8,false),"")</f>
        <v>0</v>
      </c>
    </row>
    <row r="723">
      <c r="A723" s="78" t="s">
        <v>1010</v>
      </c>
      <c r="B723" s="78" t="s">
        <v>23</v>
      </c>
      <c r="C723" s="85">
        <v>44286.0</v>
      </c>
      <c r="D723" s="85">
        <v>44287.0</v>
      </c>
      <c r="E723" s="86">
        <v>7.11</v>
      </c>
      <c r="F723" s="87">
        <v>9.7</v>
      </c>
      <c r="G723" s="88">
        <f t="shared" si="1"/>
        <v>2.59</v>
      </c>
      <c r="H723" s="89">
        <f t="shared" si="2"/>
        <v>0.2670103093</v>
      </c>
      <c r="I723" s="78" t="s">
        <v>1011</v>
      </c>
      <c r="J723" s="78" t="s">
        <v>69</v>
      </c>
      <c r="K723" s="58">
        <f t="shared" si="3"/>
        <v>1</v>
      </c>
      <c r="L723" s="91" t="str">
        <f t="shared" si="4"/>
        <v>Thu</v>
      </c>
      <c r="M723" s="78" t="str">
        <f>IFERROR(VLOOKUP(A723, Entries!A:B,2,false),"")</f>
        <v>Konami</v>
      </c>
      <c r="N723" s="23" t="str">
        <f>IFERROR(VLOOKUP(A723, Entries!A:K,11,false),"")</f>
        <v/>
      </c>
      <c r="O723" s="23" t="b">
        <f>IFERROR(VLOOKUP(A723, Entries!A:I,8,false),"")</f>
        <v>1</v>
      </c>
    </row>
    <row r="724">
      <c r="A724" s="78" t="s">
        <v>1010</v>
      </c>
      <c r="B724" s="78" t="s">
        <v>23</v>
      </c>
      <c r="C724" s="85">
        <v>44287.0</v>
      </c>
      <c r="D724" s="85">
        <v>44288.0</v>
      </c>
      <c r="E724" s="86">
        <v>7.11</v>
      </c>
      <c r="F724" s="87">
        <v>9.05</v>
      </c>
      <c r="G724" s="88">
        <f t="shared" si="1"/>
        <v>1.94</v>
      </c>
      <c r="H724" s="89">
        <f t="shared" si="2"/>
        <v>0.2143646409</v>
      </c>
      <c r="I724" s="78" t="s">
        <v>1012</v>
      </c>
      <c r="J724" s="78" t="s">
        <v>69</v>
      </c>
      <c r="K724" s="58">
        <f t="shared" si="3"/>
        <v>1</v>
      </c>
      <c r="L724" s="91" t="str">
        <f t="shared" si="4"/>
        <v>Fri</v>
      </c>
      <c r="M724" s="78" t="str">
        <f>IFERROR(VLOOKUP(A724, Entries!A:B,2,false),"")</f>
        <v>Konami</v>
      </c>
      <c r="N724" s="23" t="str">
        <f>IFERROR(VLOOKUP(A724, Entries!A:K,11,false),"")</f>
        <v/>
      </c>
      <c r="O724" s="23" t="b">
        <f>IFERROR(VLOOKUP(A724, Entries!A:I,8,false),"")</f>
        <v>1</v>
      </c>
    </row>
    <row r="725">
      <c r="A725" s="78" t="s">
        <v>166</v>
      </c>
      <c r="B725" s="78" t="s">
        <v>21</v>
      </c>
      <c r="C725" s="85">
        <v>44287.0</v>
      </c>
      <c r="D725" s="85">
        <v>44295.0</v>
      </c>
      <c r="E725" s="86">
        <v>0.41</v>
      </c>
      <c r="F725" s="87">
        <v>0.84</v>
      </c>
      <c r="G725" s="88">
        <f t="shared" si="1"/>
        <v>0.43</v>
      </c>
      <c r="H725" s="89">
        <f t="shared" si="2"/>
        <v>0.5119047619</v>
      </c>
      <c r="I725" s="78" t="s">
        <v>1013</v>
      </c>
      <c r="J725" s="78" t="s">
        <v>69</v>
      </c>
      <c r="K725" s="58">
        <f t="shared" si="3"/>
        <v>8</v>
      </c>
      <c r="L725" s="91" t="str">
        <f t="shared" si="4"/>
        <v>Fri</v>
      </c>
      <c r="M725" s="78" t="str">
        <f>IFERROR(VLOOKUP(A725, Entries!A:B,2,false),"")</f>
        <v>Revival Productions</v>
      </c>
      <c r="N725" s="23" t="str">
        <f>IFERROR(VLOOKUP(A725, Entries!A:K,11,false),"")</f>
        <v/>
      </c>
      <c r="O725" s="23" t="b">
        <f>IFERROR(VLOOKUP(A725, Entries!A:I,8,false),"")</f>
        <v>0</v>
      </c>
    </row>
    <row r="726">
      <c r="A726" s="78" t="s">
        <v>166</v>
      </c>
      <c r="B726" s="78" t="s">
        <v>21</v>
      </c>
      <c r="C726" s="85">
        <v>44287.0</v>
      </c>
      <c r="D726" s="85">
        <v>44297.0</v>
      </c>
      <c r="E726" s="86">
        <v>0.41</v>
      </c>
      <c r="F726" s="87">
        <v>0.83</v>
      </c>
      <c r="G726" s="88">
        <f t="shared" si="1"/>
        <v>0.42</v>
      </c>
      <c r="H726" s="89">
        <f t="shared" si="2"/>
        <v>0.5060240964</v>
      </c>
      <c r="I726" s="78" t="s">
        <v>1014</v>
      </c>
      <c r="J726" s="78" t="s">
        <v>69</v>
      </c>
      <c r="K726" s="58">
        <f t="shared" si="3"/>
        <v>10</v>
      </c>
      <c r="L726" s="91" t="str">
        <f t="shared" si="4"/>
        <v>Sun</v>
      </c>
      <c r="M726" s="78" t="str">
        <f>IFERROR(VLOOKUP(A726, Entries!A:B,2,false),"")</f>
        <v>Revival Productions</v>
      </c>
      <c r="N726" s="23" t="str">
        <f>IFERROR(VLOOKUP(A726, Entries!A:K,11,false),"")</f>
        <v/>
      </c>
      <c r="O726" s="23" t="b">
        <f>IFERROR(VLOOKUP(A726, Entries!A:I,8,false),"")</f>
        <v>0</v>
      </c>
    </row>
    <row r="727">
      <c r="A727" s="78" t="s">
        <v>166</v>
      </c>
      <c r="B727" s="78" t="s">
        <v>21</v>
      </c>
      <c r="C727" s="85">
        <v>44287.0</v>
      </c>
      <c r="D727" s="85">
        <v>44304.0</v>
      </c>
      <c r="E727" s="86">
        <v>0.41</v>
      </c>
      <c r="F727" s="87">
        <v>0.83</v>
      </c>
      <c r="G727" s="88">
        <f t="shared" si="1"/>
        <v>0.42</v>
      </c>
      <c r="H727" s="89">
        <f t="shared" si="2"/>
        <v>0.5060240964</v>
      </c>
      <c r="I727" s="78" t="s">
        <v>1015</v>
      </c>
      <c r="J727" s="78" t="s">
        <v>69</v>
      </c>
      <c r="K727" s="58">
        <f t="shared" si="3"/>
        <v>17</v>
      </c>
      <c r="L727" s="91" t="str">
        <f t="shared" si="4"/>
        <v>Sun</v>
      </c>
      <c r="M727" s="78" t="str">
        <f>IFERROR(VLOOKUP(A727, Entries!A:B,2,false),"")</f>
        <v>Revival Productions</v>
      </c>
      <c r="N727" s="23" t="str">
        <f>IFERROR(VLOOKUP(A727, Entries!A:K,11,false),"")</f>
        <v/>
      </c>
      <c r="O727" s="23" t="b">
        <f>IFERROR(VLOOKUP(A727, Entries!A:I,8,false),"")</f>
        <v>0</v>
      </c>
    </row>
    <row r="728">
      <c r="A728" s="78" t="s">
        <v>1016</v>
      </c>
      <c r="B728" s="78" t="s">
        <v>26</v>
      </c>
      <c r="C728" s="85">
        <v>44287.0</v>
      </c>
      <c r="D728" s="85">
        <v>44322.0</v>
      </c>
      <c r="E728" s="86">
        <v>15.12</v>
      </c>
      <c r="F728" s="87">
        <v>17.02</v>
      </c>
      <c r="G728" s="88">
        <f t="shared" si="1"/>
        <v>1.9</v>
      </c>
      <c r="H728" s="89">
        <f t="shared" si="2"/>
        <v>0.1116333725</v>
      </c>
      <c r="I728" s="78" t="s">
        <v>1017</v>
      </c>
      <c r="J728" s="78" t="s">
        <v>69</v>
      </c>
      <c r="K728" s="58">
        <f t="shared" si="3"/>
        <v>35</v>
      </c>
      <c r="L728" s="91" t="str">
        <f t="shared" si="4"/>
        <v>Thu</v>
      </c>
      <c r="M728" s="78" t="str">
        <f>IFERROR(VLOOKUP(A728, Entries!A:B,2,false),"")</f>
        <v>Kalypso Media</v>
      </c>
      <c r="N728" s="23" t="str">
        <f>IFERROR(VLOOKUP(A728, Entries!A:K,11,false),"")</f>
        <v/>
      </c>
      <c r="O728" s="23" t="b">
        <f>IFERROR(VLOOKUP(A728, Entries!A:I,8,false),"")</f>
        <v>0</v>
      </c>
    </row>
    <row r="729">
      <c r="A729" s="78" t="s">
        <v>1018</v>
      </c>
      <c r="B729" s="78" t="s">
        <v>26</v>
      </c>
      <c r="C729" s="85">
        <v>44287.0</v>
      </c>
      <c r="D729" s="85">
        <v>44288.0</v>
      </c>
      <c r="E729" s="86">
        <v>0.0</v>
      </c>
      <c r="F729" s="87">
        <v>1.56</v>
      </c>
      <c r="G729" s="88">
        <f t="shared" si="1"/>
        <v>1.56</v>
      </c>
      <c r="H729" s="89">
        <f t="shared" si="2"/>
        <v>1</v>
      </c>
      <c r="I729" s="78" t="s">
        <v>1019</v>
      </c>
      <c r="J729" s="78" t="s">
        <v>69</v>
      </c>
      <c r="K729" s="58">
        <f t="shared" si="3"/>
        <v>1</v>
      </c>
      <c r="L729" s="91" t="str">
        <f t="shared" si="4"/>
        <v>Fri</v>
      </c>
      <c r="M729" s="78" t="str">
        <f>IFERROR(VLOOKUP(A729, Entries!A:B,2,false),"")</f>
        <v>ACE Team</v>
      </c>
      <c r="N729" s="23" t="str">
        <f>IFERROR(VLOOKUP(A729, Entries!A:K,11,false),"")</f>
        <v/>
      </c>
      <c r="O729" s="23" t="b">
        <f>IFERROR(VLOOKUP(A729, Entries!A:I,8,false),"")</f>
        <v>0</v>
      </c>
    </row>
    <row r="730">
      <c r="A730" s="78" t="s">
        <v>753</v>
      </c>
      <c r="B730" s="78" t="s">
        <v>19</v>
      </c>
      <c r="C730" s="85">
        <v>44289.0</v>
      </c>
      <c r="D730" s="85">
        <v>44290.0</v>
      </c>
      <c r="E730" s="86">
        <v>4.4</v>
      </c>
      <c r="F730" s="87">
        <v>5.21</v>
      </c>
      <c r="G730" s="88">
        <f t="shared" si="1"/>
        <v>0.81</v>
      </c>
      <c r="H730" s="89">
        <f t="shared" si="2"/>
        <v>0.1554702495</v>
      </c>
      <c r="I730" s="78" t="s">
        <v>1020</v>
      </c>
      <c r="J730" s="78" t="s">
        <v>69</v>
      </c>
      <c r="K730" s="58">
        <f t="shared" si="3"/>
        <v>1</v>
      </c>
      <c r="L730" s="91" t="str">
        <f t="shared" si="4"/>
        <v>Sun</v>
      </c>
      <c r="M730" s="78" t="str">
        <f>IFERROR(VLOOKUP(A730, Entries!A:B,2,false),"")</f>
        <v>Codemasters</v>
      </c>
      <c r="N730" s="23" t="str">
        <f>IFERROR(VLOOKUP(A730, Entries!A:K,11,false),"")</f>
        <v/>
      </c>
      <c r="O730" s="23" t="b">
        <f>IFERROR(VLOOKUP(A730, Entries!A:I,8,false),"")</f>
        <v>0</v>
      </c>
    </row>
    <row r="731">
      <c r="A731" s="78" t="s">
        <v>753</v>
      </c>
      <c r="B731" s="78" t="s">
        <v>19</v>
      </c>
      <c r="C731" s="85">
        <v>44290.0</v>
      </c>
      <c r="D731" s="85">
        <v>44290.0</v>
      </c>
      <c r="E731" s="86">
        <v>4.4</v>
      </c>
      <c r="F731" s="87">
        <v>5.2</v>
      </c>
      <c r="G731" s="88">
        <f t="shared" si="1"/>
        <v>0.8</v>
      </c>
      <c r="H731" s="89">
        <f t="shared" si="2"/>
        <v>0.1538461538</v>
      </c>
      <c r="I731" s="78" t="s">
        <v>561</v>
      </c>
      <c r="J731" s="78" t="s">
        <v>69</v>
      </c>
      <c r="K731" s="58">
        <f t="shared" si="3"/>
        <v>0</v>
      </c>
      <c r="L731" s="91" t="str">
        <f t="shared" si="4"/>
        <v>Sun</v>
      </c>
      <c r="M731" s="78" t="str">
        <f>IFERROR(VLOOKUP(A731, Entries!A:B,2,false),"")</f>
        <v>Codemasters</v>
      </c>
      <c r="N731" s="23" t="str">
        <f>IFERROR(VLOOKUP(A731, Entries!A:K,11,false),"")</f>
        <v/>
      </c>
      <c r="O731" s="23" t="b">
        <f>IFERROR(VLOOKUP(A731, Entries!A:I,8,false),"")</f>
        <v>0</v>
      </c>
    </row>
    <row r="732">
      <c r="A732" s="78" t="s">
        <v>753</v>
      </c>
      <c r="B732" s="78" t="s">
        <v>19</v>
      </c>
      <c r="C732" s="85">
        <v>44290.0</v>
      </c>
      <c r="D732" s="85">
        <v>44292.0</v>
      </c>
      <c r="E732" s="86">
        <v>4.4</v>
      </c>
      <c r="F732" s="87">
        <v>5.28</v>
      </c>
      <c r="G732" s="88">
        <f t="shared" si="1"/>
        <v>0.88</v>
      </c>
      <c r="H732" s="89">
        <f t="shared" si="2"/>
        <v>0.1666666667</v>
      </c>
      <c r="I732" s="78" t="s">
        <v>561</v>
      </c>
      <c r="J732" s="78" t="s">
        <v>69</v>
      </c>
      <c r="K732" s="58">
        <f t="shared" si="3"/>
        <v>2</v>
      </c>
      <c r="L732" s="91" t="str">
        <f t="shared" si="4"/>
        <v>Tue</v>
      </c>
      <c r="M732" s="78" t="str">
        <f>IFERROR(VLOOKUP(A732, Entries!A:B,2,false),"")</f>
        <v>Codemasters</v>
      </c>
      <c r="N732" s="23" t="str">
        <f>IFERROR(VLOOKUP(A732, Entries!A:K,11,false),"")</f>
        <v/>
      </c>
      <c r="O732" s="23" t="b">
        <f>IFERROR(VLOOKUP(A732, Entries!A:I,8,false),"")</f>
        <v>0</v>
      </c>
    </row>
    <row r="733">
      <c r="A733" s="78" t="s">
        <v>753</v>
      </c>
      <c r="B733" s="78" t="s">
        <v>19</v>
      </c>
      <c r="C733" s="85">
        <v>44290.0</v>
      </c>
      <c r="D733" s="85">
        <v>44292.0</v>
      </c>
      <c r="E733" s="86">
        <v>4.41</v>
      </c>
      <c r="F733" s="87">
        <v>5.3</v>
      </c>
      <c r="G733" s="88">
        <f t="shared" si="1"/>
        <v>0.89</v>
      </c>
      <c r="H733" s="89">
        <f t="shared" si="2"/>
        <v>0.1679245283</v>
      </c>
      <c r="I733" s="78" t="s">
        <v>561</v>
      </c>
      <c r="J733" s="78" t="s">
        <v>69</v>
      </c>
      <c r="K733" s="58">
        <f t="shared" si="3"/>
        <v>2</v>
      </c>
      <c r="L733" s="91" t="str">
        <f t="shared" si="4"/>
        <v>Tue</v>
      </c>
      <c r="M733" s="78" t="str">
        <f>IFERROR(VLOOKUP(A733, Entries!A:B,2,false),"")</f>
        <v>Codemasters</v>
      </c>
      <c r="N733" s="23" t="str">
        <f>IFERROR(VLOOKUP(A733, Entries!A:K,11,false),"")</f>
        <v/>
      </c>
      <c r="O733" s="23" t="b">
        <f>IFERROR(VLOOKUP(A733, Entries!A:I,8,false),"")</f>
        <v>0</v>
      </c>
    </row>
    <row r="734">
      <c r="A734" s="78" t="s">
        <v>517</v>
      </c>
      <c r="B734" s="78" t="s">
        <v>19</v>
      </c>
      <c r="C734" s="85">
        <v>44291.0</v>
      </c>
      <c r="D734" s="85">
        <v>44296.0</v>
      </c>
      <c r="E734" s="86">
        <v>6.61</v>
      </c>
      <c r="F734" s="87">
        <v>10.8</v>
      </c>
      <c r="G734" s="88">
        <f t="shared" si="1"/>
        <v>4.19</v>
      </c>
      <c r="H734" s="89">
        <f t="shared" si="2"/>
        <v>0.387962963</v>
      </c>
      <c r="I734" s="78" t="s">
        <v>1021</v>
      </c>
      <c r="J734" s="78" t="s">
        <v>69</v>
      </c>
      <c r="K734" s="58">
        <f t="shared" si="3"/>
        <v>5</v>
      </c>
      <c r="L734" s="91" t="str">
        <f t="shared" si="4"/>
        <v>Sat</v>
      </c>
      <c r="M734" s="78" t="str">
        <f>IFERROR(VLOOKUP(A734, Entries!A:B,2,false),"")</f>
        <v>Devolver Digital</v>
      </c>
      <c r="N734" s="23" t="str">
        <f>IFERROR(VLOOKUP(A734, Entries!A:K,11,false),"")</f>
        <v/>
      </c>
      <c r="O734" s="23" t="b">
        <f>IFERROR(VLOOKUP(A734, Entries!A:I,8,false),"")</f>
        <v>0</v>
      </c>
    </row>
    <row r="735">
      <c r="A735" s="78" t="s">
        <v>166</v>
      </c>
      <c r="B735" s="78" t="s">
        <v>21</v>
      </c>
      <c r="C735" s="85">
        <v>44292.0</v>
      </c>
      <c r="D735" s="85">
        <v>44304.0</v>
      </c>
      <c r="E735" s="86">
        <v>0.41</v>
      </c>
      <c r="F735" s="87">
        <v>0.83</v>
      </c>
      <c r="G735" s="88">
        <f t="shared" si="1"/>
        <v>0.42</v>
      </c>
      <c r="H735" s="89">
        <f t="shared" si="2"/>
        <v>0.5060240964</v>
      </c>
      <c r="I735" s="78" t="s">
        <v>1022</v>
      </c>
      <c r="J735" s="78" t="s">
        <v>69</v>
      </c>
      <c r="K735" s="58">
        <f t="shared" si="3"/>
        <v>12</v>
      </c>
      <c r="L735" s="91" t="str">
        <f t="shared" si="4"/>
        <v>Sun</v>
      </c>
      <c r="M735" s="78" t="str">
        <f>IFERROR(VLOOKUP(A735, Entries!A:B,2,false),"")</f>
        <v>Revival Productions</v>
      </c>
      <c r="N735" s="23" t="str">
        <f>IFERROR(VLOOKUP(A735, Entries!A:K,11,false),"")</f>
        <v/>
      </c>
      <c r="O735" s="23" t="b">
        <f>IFERROR(VLOOKUP(A735, Entries!A:I,8,false),"")</f>
        <v>0</v>
      </c>
    </row>
    <row r="736">
      <c r="A736" s="78" t="s">
        <v>1023</v>
      </c>
      <c r="B736" s="78" t="s">
        <v>19</v>
      </c>
      <c r="C736" s="85">
        <v>44295.0</v>
      </c>
      <c r="D736" s="85">
        <v>44296.0</v>
      </c>
      <c r="E736" s="86">
        <v>4.08</v>
      </c>
      <c r="F736" s="87">
        <v>5.13</v>
      </c>
      <c r="G736" s="88">
        <f t="shared" si="1"/>
        <v>1.05</v>
      </c>
      <c r="H736" s="89">
        <f t="shared" si="2"/>
        <v>0.2046783626</v>
      </c>
      <c r="I736" s="78" t="s">
        <v>1024</v>
      </c>
      <c r="J736" s="78" t="s">
        <v>69</v>
      </c>
      <c r="K736" s="58">
        <f t="shared" si="3"/>
        <v>1</v>
      </c>
      <c r="L736" s="91" t="str">
        <f t="shared" si="4"/>
        <v>Sat</v>
      </c>
      <c r="M736" s="78" t="str">
        <f>IFERROR(VLOOKUP(A736, Entries!A:B,2,false),"")</f>
        <v>Square Enix</v>
      </c>
      <c r="N736" s="23" t="str">
        <f>IFERROR(VLOOKUP(A736, Entries!A:K,11,false),"")</f>
        <v/>
      </c>
      <c r="O736" s="23" t="b">
        <f>IFERROR(VLOOKUP(A736, Entries!A:I,8,false),"")</f>
        <v>0</v>
      </c>
    </row>
    <row r="737">
      <c r="A737" s="78" t="s">
        <v>517</v>
      </c>
      <c r="B737" s="78" t="s">
        <v>19</v>
      </c>
      <c r="C737" s="85">
        <v>44296.0</v>
      </c>
      <c r="D737" s="85">
        <v>44304.0</v>
      </c>
      <c r="E737" s="86">
        <v>6.52</v>
      </c>
      <c r="F737" s="87">
        <v>10.8</v>
      </c>
      <c r="G737" s="88">
        <f t="shared" si="1"/>
        <v>4.28</v>
      </c>
      <c r="H737" s="89">
        <f t="shared" si="2"/>
        <v>0.3962962963</v>
      </c>
      <c r="I737" s="78" t="s">
        <v>1025</v>
      </c>
      <c r="J737" s="78" t="s">
        <v>69</v>
      </c>
      <c r="K737" s="58">
        <f t="shared" si="3"/>
        <v>8</v>
      </c>
      <c r="L737" s="91" t="str">
        <f t="shared" si="4"/>
        <v>Sun</v>
      </c>
      <c r="M737" s="78" t="str">
        <f>IFERROR(VLOOKUP(A737, Entries!A:B,2,false),"")</f>
        <v>Devolver Digital</v>
      </c>
      <c r="N737" s="23" t="str">
        <f>IFERROR(VLOOKUP(A737, Entries!A:K,11,false),"")</f>
        <v/>
      </c>
      <c r="O737" s="23" t="b">
        <f>IFERROR(VLOOKUP(A737, Entries!A:I,8,false),"")</f>
        <v>0</v>
      </c>
    </row>
    <row r="738">
      <c r="A738" s="78" t="s">
        <v>1026</v>
      </c>
      <c r="B738" s="78" t="s">
        <v>23</v>
      </c>
      <c r="C738" s="85">
        <v>44300.0</v>
      </c>
      <c r="D738" s="85">
        <v>44303.0</v>
      </c>
      <c r="E738" s="86">
        <v>2.19</v>
      </c>
      <c r="F738" s="87">
        <v>2.9</v>
      </c>
      <c r="G738" s="88">
        <f t="shared" si="1"/>
        <v>0.71</v>
      </c>
      <c r="H738" s="89">
        <f t="shared" si="2"/>
        <v>0.2448275862</v>
      </c>
      <c r="I738" s="78" t="s">
        <v>1027</v>
      </c>
      <c r="J738" s="78" t="s">
        <v>69</v>
      </c>
      <c r="K738" s="58">
        <f t="shared" si="3"/>
        <v>3</v>
      </c>
      <c r="L738" s="91" t="str">
        <f t="shared" si="4"/>
        <v>Sat</v>
      </c>
      <c r="M738" s="78" t="str">
        <f>IFERROR(VLOOKUP(A738, Entries!A:B,2,false),"")</f>
        <v>CI Games</v>
      </c>
      <c r="N738" s="23" t="str">
        <f>IFERROR(VLOOKUP(A738, Entries!A:K,11,false),"")</f>
        <v/>
      </c>
      <c r="O738" s="23" t="b">
        <f>IFERROR(VLOOKUP(A738, Entries!A:I,8,false),"")</f>
        <v>0</v>
      </c>
    </row>
    <row r="739">
      <c r="A739" s="78" t="s">
        <v>1028</v>
      </c>
      <c r="B739" s="78" t="s">
        <v>21</v>
      </c>
      <c r="C739" s="85">
        <v>44302.0</v>
      </c>
      <c r="D739" s="85">
        <v>44302.0</v>
      </c>
      <c r="E739" s="86">
        <v>10.56</v>
      </c>
      <c r="F739" s="87">
        <v>12.63</v>
      </c>
      <c r="G739" s="88">
        <f t="shared" si="1"/>
        <v>2.07</v>
      </c>
      <c r="H739" s="89">
        <f t="shared" si="2"/>
        <v>0.1638954869</v>
      </c>
      <c r="I739" s="78" t="s">
        <v>1029</v>
      </c>
      <c r="J739" s="78" t="s">
        <v>69</v>
      </c>
      <c r="K739" s="58">
        <f t="shared" si="3"/>
        <v>0</v>
      </c>
      <c r="L739" s="91" t="str">
        <f t="shared" si="4"/>
        <v>Fri</v>
      </c>
      <c r="M739" s="78" t="str">
        <f>IFERROR(VLOOKUP(A739, Entries!A:B,2,false),"")</f>
        <v>SUPERHOT Team</v>
      </c>
      <c r="N739" s="23" t="str">
        <f>IFERROR(VLOOKUP(A739, Entries!A:K,11,false),"")</f>
        <v/>
      </c>
      <c r="O739" s="23" t="b">
        <f>IFERROR(VLOOKUP(A739, Entries!A:I,8,false),"")</f>
        <v>0</v>
      </c>
    </row>
    <row r="740">
      <c r="A740" s="78" t="s">
        <v>1028</v>
      </c>
      <c r="B740" s="78" t="s">
        <v>21</v>
      </c>
      <c r="C740" s="85">
        <v>44302.0</v>
      </c>
      <c r="D740" s="85">
        <v>44305.0</v>
      </c>
      <c r="E740" s="86">
        <v>10.62</v>
      </c>
      <c r="F740" s="87">
        <v>12.55</v>
      </c>
      <c r="G740" s="88">
        <f t="shared" si="1"/>
        <v>1.93</v>
      </c>
      <c r="H740" s="89">
        <f t="shared" si="2"/>
        <v>0.1537848606</v>
      </c>
      <c r="I740" s="78" t="s">
        <v>1030</v>
      </c>
      <c r="J740" s="78" t="s">
        <v>69</v>
      </c>
      <c r="K740" s="58">
        <f t="shared" si="3"/>
        <v>3</v>
      </c>
      <c r="L740" s="91" t="str">
        <f t="shared" si="4"/>
        <v>Mon</v>
      </c>
      <c r="M740" s="78" t="str">
        <f>IFERROR(VLOOKUP(A740, Entries!A:B,2,false),"")</f>
        <v>SUPERHOT Team</v>
      </c>
      <c r="N740" s="23" t="str">
        <f>IFERROR(VLOOKUP(A740, Entries!A:K,11,false),"")</f>
        <v/>
      </c>
      <c r="O740" s="23" t="b">
        <f>IFERROR(VLOOKUP(A740, Entries!A:I,8,false),"")</f>
        <v>0</v>
      </c>
    </row>
    <row r="741">
      <c r="A741" s="78" t="s">
        <v>1031</v>
      </c>
      <c r="B741" s="78" t="s">
        <v>23</v>
      </c>
      <c r="C741" s="85">
        <v>44302.0</v>
      </c>
      <c r="D741" s="85">
        <v>44305.0</v>
      </c>
      <c r="E741" s="86">
        <v>11.32</v>
      </c>
      <c r="F741" s="87">
        <v>13.54</v>
      </c>
      <c r="G741" s="88">
        <f t="shared" si="1"/>
        <v>2.22</v>
      </c>
      <c r="H741" s="89">
        <f t="shared" si="2"/>
        <v>0.1639586411</v>
      </c>
      <c r="I741" s="78" t="s">
        <v>1032</v>
      </c>
      <c r="J741" s="78" t="s">
        <v>69</v>
      </c>
      <c r="K741" s="58">
        <f t="shared" si="3"/>
        <v>3</v>
      </c>
      <c r="L741" s="91" t="str">
        <f t="shared" si="4"/>
        <v>Mon</v>
      </c>
      <c r="M741" s="78" t="str">
        <f>IFERROR(VLOOKUP(A741, Entries!A:B,2,false),"")</f>
        <v>505 Games</v>
      </c>
      <c r="N741" s="23" t="str">
        <f>IFERROR(VLOOKUP(A741, Entries!A:K,11,false),"")</f>
        <v/>
      </c>
      <c r="O741" s="23" t="b">
        <f>IFERROR(VLOOKUP(A741, Entries!A:I,8,false),"")</f>
        <v>1</v>
      </c>
    </row>
    <row r="742">
      <c r="A742" s="78" t="s">
        <v>406</v>
      </c>
      <c r="B742" s="78" t="s">
        <v>23</v>
      </c>
      <c r="C742" s="85">
        <v>44302.0</v>
      </c>
      <c r="D742" s="85">
        <v>44308.0</v>
      </c>
      <c r="E742" s="86">
        <v>9.59</v>
      </c>
      <c r="F742" s="87">
        <v>11.63</v>
      </c>
      <c r="G742" s="88">
        <f t="shared" si="1"/>
        <v>2.04</v>
      </c>
      <c r="H742" s="89">
        <f t="shared" si="2"/>
        <v>0.1754084265</v>
      </c>
      <c r="I742" s="78" t="s">
        <v>1033</v>
      </c>
      <c r="J742" s="78" t="s">
        <v>69</v>
      </c>
      <c r="K742" s="58">
        <f t="shared" si="3"/>
        <v>6</v>
      </c>
      <c r="L742" s="91" t="str">
        <f t="shared" si="4"/>
        <v>Thu</v>
      </c>
      <c r="M742" s="78" t="str">
        <f>IFERROR(VLOOKUP(A742, Entries!A:B,2,false),"")</f>
        <v>Focus Home Interactive</v>
      </c>
      <c r="N742" s="23" t="str">
        <f>IFERROR(VLOOKUP(A742, Entries!A:K,11,false),"")</f>
        <v/>
      </c>
      <c r="O742" s="23" t="b">
        <f>IFERROR(VLOOKUP(A742, Entries!A:I,8,false),"")</f>
        <v>0</v>
      </c>
    </row>
    <row r="743">
      <c r="A743" s="78" t="s">
        <v>1034</v>
      </c>
      <c r="B743" s="78" t="s">
        <v>23</v>
      </c>
      <c r="C743" s="85">
        <v>44304.0</v>
      </c>
      <c r="D743" s="85">
        <v>44305.0</v>
      </c>
      <c r="E743" s="86">
        <v>5.22</v>
      </c>
      <c r="F743" s="87">
        <v>10.54</v>
      </c>
      <c r="G743" s="88">
        <f t="shared" si="1"/>
        <v>5.32</v>
      </c>
      <c r="H743" s="89">
        <f t="shared" si="2"/>
        <v>0.504743833</v>
      </c>
      <c r="I743" s="78" t="s">
        <v>1035</v>
      </c>
      <c r="J743" s="78" t="s">
        <v>69</v>
      </c>
      <c r="K743" s="58">
        <f t="shared" si="3"/>
        <v>1</v>
      </c>
      <c r="L743" s="91" t="str">
        <f t="shared" si="4"/>
        <v>Mon</v>
      </c>
      <c r="M743" s="78" t="str">
        <f>IFERROR(VLOOKUP(A743, Entries!A:B,2,false),"")</f>
        <v>Eugen Systems</v>
      </c>
      <c r="N743" s="23" t="str">
        <f>IFERROR(VLOOKUP(A743, Entries!A:K,11,false),"")</f>
        <v/>
      </c>
      <c r="O743" s="23" t="b">
        <f>IFERROR(VLOOKUP(A743, Entries!A:I,8,false),"")</f>
        <v>1</v>
      </c>
    </row>
    <row r="744">
      <c r="A744" s="78" t="s">
        <v>166</v>
      </c>
      <c r="B744" s="78" t="s">
        <v>21</v>
      </c>
      <c r="C744" s="85">
        <v>44304.0</v>
      </c>
      <c r="D744" s="85">
        <v>44308.0</v>
      </c>
      <c r="E744" s="86">
        <v>0.39</v>
      </c>
      <c r="F744" s="87">
        <v>0.62</v>
      </c>
      <c r="G744" s="88">
        <f t="shared" si="1"/>
        <v>0.23</v>
      </c>
      <c r="H744" s="89">
        <f t="shared" si="2"/>
        <v>0.3709677419</v>
      </c>
      <c r="I744" s="78" t="s">
        <v>1036</v>
      </c>
      <c r="J744" s="78" t="s">
        <v>69</v>
      </c>
      <c r="K744" s="58">
        <f t="shared" si="3"/>
        <v>4</v>
      </c>
      <c r="L744" s="91" t="str">
        <f t="shared" si="4"/>
        <v>Thu</v>
      </c>
      <c r="M744" s="78" t="str">
        <f>IFERROR(VLOOKUP(A744, Entries!A:B,2,false),"")</f>
        <v>Revival Productions</v>
      </c>
      <c r="N744" s="23" t="str">
        <f>IFERROR(VLOOKUP(A744, Entries!A:K,11,false),"")</f>
        <v/>
      </c>
      <c r="O744" s="23" t="b">
        <f>IFERROR(VLOOKUP(A744, Entries!A:I,8,false),"")</f>
        <v>0</v>
      </c>
    </row>
    <row r="745">
      <c r="A745" s="78" t="s">
        <v>1037</v>
      </c>
      <c r="B745" s="78" t="s">
        <v>26</v>
      </c>
      <c r="C745" s="85">
        <v>44305.0</v>
      </c>
      <c r="D745" s="85">
        <v>44319.0</v>
      </c>
      <c r="E745" s="86">
        <v>5.92</v>
      </c>
      <c r="F745" s="87">
        <v>6.18</v>
      </c>
      <c r="G745" s="88">
        <f t="shared" si="1"/>
        <v>0.26</v>
      </c>
      <c r="H745" s="89">
        <f t="shared" si="2"/>
        <v>0.04207119741</v>
      </c>
      <c r="I745" s="78" t="s">
        <v>1038</v>
      </c>
      <c r="J745" s="78" t="s">
        <v>69</v>
      </c>
      <c r="K745" s="58">
        <f t="shared" si="3"/>
        <v>14</v>
      </c>
      <c r="L745" s="91" t="str">
        <f t="shared" si="4"/>
        <v>Mon</v>
      </c>
      <c r="M745" s="78" t="str">
        <f>IFERROR(VLOOKUP(A745, Entries!A:B,2,false),"")</f>
        <v>Black Eye Games</v>
      </c>
      <c r="N745" s="23" t="str">
        <f>IFERROR(VLOOKUP(A745, Entries!A:K,11,false),"")</f>
        <v/>
      </c>
      <c r="O745" s="23" t="b">
        <f>IFERROR(VLOOKUP(A745, Entries!A:I,8,false),"")</f>
        <v>0</v>
      </c>
    </row>
    <row r="746">
      <c r="A746" s="78" t="s">
        <v>1039</v>
      </c>
      <c r="B746" s="78" t="s">
        <v>19</v>
      </c>
      <c r="C746" s="85">
        <v>44305.0</v>
      </c>
      <c r="D746" s="85">
        <v>44311.0</v>
      </c>
      <c r="E746" s="86">
        <v>4.39</v>
      </c>
      <c r="F746" s="87">
        <v>5.69</v>
      </c>
      <c r="G746" s="88">
        <f t="shared" si="1"/>
        <v>1.3</v>
      </c>
      <c r="H746" s="89">
        <f t="shared" si="2"/>
        <v>0.2284710018</v>
      </c>
      <c r="I746" s="78" t="s">
        <v>1040</v>
      </c>
      <c r="J746" s="78" t="s">
        <v>69</v>
      </c>
      <c r="K746" s="58">
        <f t="shared" si="3"/>
        <v>6</v>
      </c>
      <c r="L746" s="91" t="str">
        <f t="shared" si="4"/>
        <v>Sun</v>
      </c>
      <c r="M746" s="78" t="str">
        <f>IFERROR(VLOOKUP(A746, Entries!A:B,2,false),"")</f>
        <v>BANDAI NAMCO</v>
      </c>
      <c r="N746" s="23" t="str">
        <f>IFERROR(VLOOKUP(A746, Entries!A:K,11,false),"")</f>
        <v/>
      </c>
      <c r="O746" s="23" t="b">
        <f>IFERROR(VLOOKUP(A746, Entries!A:I,8,false),"")</f>
        <v>0</v>
      </c>
    </row>
    <row r="747">
      <c r="A747" s="78" t="s">
        <v>1034</v>
      </c>
      <c r="B747" s="78" t="s">
        <v>23</v>
      </c>
      <c r="C747" s="85">
        <v>44305.0</v>
      </c>
      <c r="D747" s="85">
        <v>44306.0</v>
      </c>
      <c r="E747" s="86">
        <v>5.22</v>
      </c>
      <c r="F747" s="87">
        <v>10.5</v>
      </c>
      <c r="G747" s="88">
        <f t="shared" si="1"/>
        <v>5.28</v>
      </c>
      <c r="H747" s="89">
        <f t="shared" si="2"/>
        <v>0.5028571429</v>
      </c>
      <c r="I747" s="78" t="s">
        <v>1041</v>
      </c>
      <c r="J747" s="78" t="s">
        <v>69</v>
      </c>
      <c r="K747" s="58">
        <f t="shared" si="3"/>
        <v>1</v>
      </c>
      <c r="L747" s="91" t="str">
        <f t="shared" si="4"/>
        <v>Tue</v>
      </c>
      <c r="M747" s="78" t="str">
        <f>IFERROR(VLOOKUP(A747, Entries!A:B,2,false),"")</f>
        <v>Eugen Systems</v>
      </c>
      <c r="N747" s="23" t="str">
        <f>IFERROR(VLOOKUP(A747, Entries!A:K,11,false),"")</f>
        <v/>
      </c>
      <c r="O747" s="23" t="b">
        <f>IFERROR(VLOOKUP(A747, Entries!A:I,8,false),"")</f>
        <v>1</v>
      </c>
    </row>
    <row r="748">
      <c r="A748" s="78" t="s">
        <v>1034</v>
      </c>
      <c r="B748" s="78" t="s">
        <v>23</v>
      </c>
      <c r="C748" s="85">
        <v>44306.0</v>
      </c>
      <c r="D748" s="85">
        <v>44313.0</v>
      </c>
      <c r="E748" s="86">
        <v>4.35</v>
      </c>
      <c r="F748" s="87">
        <v>7.57</v>
      </c>
      <c r="G748" s="88">
        <f t="shared" si="1"/>
        <v>3.22</v>
      </c>
      <c r="H748" s="89">
        <f t="shared" si="2"/>
        <v>0.4253632761</v>
      </c>
      <c r="I748" s="78" t="s">
        <v>1042</v>
      </c>
      <c r="J748" s="78" t="s">
        <v>69</v>
      </c>
      <c r="K748" s="58">
        <f t="shared" si="3"/>
        <v>7</v>
      </c>
      <c r="L748" s="91" t="str">
        <f t="shared" si="4"/>
        <v>Tue</v>
      </c>
      <c r="M748" s="78" t="str">
        <f>IFERROR(VLOOKUP(A748, Entries!A:B,2,false),"")</f>
        <v>Eugen Systems</v>
      </c>
      <c r="N748" s="23" t="str">
        <f>IFERROR(VLOOKUP(A748, Entries!A:K,11,false),"")</f>
        <v/>
      </c>
      <c r="O748" s="23" t="b">
        <f>IFERROR(VLOOKUP(A748, Entries!A:I,8,false),"")</f>
        <v>1</v>
      </c>
    </row>
    <row r="749">
      <c r="A749" s="78" t="s">
        <v>709</v>
      </c>
      <c r="B749" s="78" t="s">
        <v>19</v>
      </c>
      <c r="C749" s="85">
        <v>44306.0</v>
      </c>
      <c r="D749" s="85">
        <v>44981.0</v>
      </c>
      <c r="E749" s="86">
        <v>1.0</v>
      </c>
      <c r="F749" s="87">
        <v>0.77</v>
      </c>
      <c r="G749" s="88">
        <f t="shared" si="1"/>
        <v>-0.23</v>
      </c>
      <c r="H749" s="89">
        <f t="shared" si="2"/>
        <v>-0.2987012987</v>
      </c>
      <c r="I749" s="78" t="s">
        <v>1043</v>
      </c>
      <c r="J749" s="78" t="s">
        <v>69</v>
      </c>
      <c r="K749" s="58">
        <f t="shared" si="3"/>
        <v>675</v>
      </c>
      <c r="L749" s="91" t="str">
        <f t="shared" si="4"/>
        <v>Fri</v>
      </c>
      <c r="M749" s="78" t="str">
        <f>IFERROR(VLOOKUP(A749, Entries!A:B,2,false),"")</f>
        <v>Beamdog</v>
      </c>
      <c r="N749" s="23" t="str">
        <f>IFERROR(VLOOKUP(A749, Entries!A:K,11,false),"")</f>
        <v/>
      </c>
      <c r="O749" s="23" t="b">
        <f>IFERROR(VLOOKUP(A749, Entries!A:I,8,false),"")</f>
        <v>0</v>
      </c>
    </row>
    <row r="750">
      <c r="A750" s="78" t="s">
        <v>709</v>
      </c>
      <c r="B750" s="78" t="s">
        <v>19</v>
      </c>
      <c r="C750" s="85">
        <v>44306.0</v>
      </c>
      <c r="D750" s="85">
        <v>44981.0</v>
      </c>
      <c r="E750" s="86">
        <v>1.0</v>
      </c>
      <c r="F750" s="87">
        <v>0.77</v>
      </c>
      <c r="G750" s="88">
        <f t="shared" si="1"/>
        <v>-0.23</v>
      </c>
      <c r="H750" s="89">
        <f t="shared" si="2"/>
        <v>-0.2987012987</v>
      </c>
      <c r="I750" s="78" t="s">
        <v>1044</v>
      </c>
      <c r="J750" s="78" t="s">
        <v>69</v>
      </c>
      <c r="K750" s="58">
        <f t="shared" si="3"/>
        <v>675</v>
      </c>
      <c r="L750" s="91" t="str">
        <f t="shared" si="4"/>
        <v>Fri</v>
      </c>
      <c r="M750" s="78" t="str">
        <f>IFERROR(VLOOKUP(A750, Entries!A:B,2,false),"")</f>
        <v>Beamdog</v>
      </c>
      <c r="N750" s="23" t="str">
        <f>IFERROR(VLOOKUP(A750, Entries!A:K,11,false),"")</f>
        <v/>
      </c>
      <c r="O750" s="23" t="b">
        <f>IFERROR(VLOOKUP(A750, Entries!A:I,8,false),"")</f>
        <v>0</v>
      </c>
    </row>
    <row r="751">
      <c r="A751" s="78" t="s">
        <v>620</v>
      </c>
      <c r="B751" s="78" t="s">
        <v>19</v>
      </c>
      <c r="C751" s="85">
        <v>44306.0</v>
      </c>
      <c r="D751" s="85">
        <v>44445.0</v>
      </c>
      <c r="E751" s="86">
        <v>1.0</v>
      </c>
      <c r="F751" s="87">
        <v>2.67</v>
      </c>
      <c r="G751" s="88">
        <f t="shared" si="1"/>
        <v>1.67</v>
      </c>
      <c r="H751" s="89">
        <f t="shared" si="2"/>
        <v>0.6254681648</v>
      </c>
      <c r="I751" s="78" t="s">
        <v>1045</v>
      </c>
      <c r="J751" s="78" t="s">
        <v>69</v>
      </c>
      <c r="K751" s="58">
        <f t="shared" si="3"/>
        <v>139</v>
      </c>
      <c r="L751" s="91" t="str">
        <f t="shared" si="4"/>
        <v>Mon</v>
      </c>
      <c r="M751" s="78" t="str">
        <f>IFERROR(VLOOKUP(A751, Entries!A:B,2,false),"")</f>
        <v>Skybound Games</v>
      </c>
      <c r="N751" s="23" t="str">
        <f>IFERROR(VLOOKUP(A751, Entries!A:K,11,false),"")</f>
        <v/>
      </c>
      <c r="O751" s="23" t="b">
        <f>IFERROR(VLOOKUP(A751, Entries!A:I,8,false),"")</f>
        <v>0</v>
      </c>
    </row>
    <row r="752">
      <c r="A752" s="78" t="s">
        <v>620</v>
      </c>
      <c r="B752" s="78" t="s">
        <v>19</v>
      </c>
      <c r="C752" s="85">
        <v>44306.0</v>
      </c>
      <c r="D752" s="85">
        <v>44445.0</v>
      </c>
      <c r="E752" s="86">
        <v>1.0</v>
      </c>
      <c r="F752" s="87">
        <v>2.67</v>
      </c>
      <c r="G752" s="88">
        <f t="shared" si="1"/>
        <v>1.67</v>
      </c>
      <c r="H752" s="89">
        <f t="shared" si="2"/>
        <v>0.6254681648</v>
      </c>
      <c r="I752" s="78" t="s">
        <v>1046</v>
      </c>
      <c r="J752" s="78" t="s">
        <v>69</v>
      </c>
      <c r="K752" s="58">
        <f t="shared" si="3"/>
        <v>139</v>
      </c>
      <c r="L752" s="91" t="str">
        <f t="shared" si="4"/>
        <v>Mon</v>
      </c>
      <c r="M752" s="78" t="str">
        <f>IFERROR(VLOOKUP(A752, Entries!A:B,2,false),"")</f>
        <v>Skybound Games</v>
      </c>
      <c r="N752" s="23" t="str">
        <f>IFERROR(VLOOKUP(A752, Entries!A:K,11,false),"")</f>
        <v/>
      </c>
      <c r="O752" s="23" t="b">
        <f>IFERROR(VLOOKUP(A752, Entries!A:I,8,false),"")</f>
        <v>0</v>
      </c>
    </row>
    <row r="753">
      <c r="A753" s="78" t="s">
        <v>1047</v>
      </c>
      <c r="B753" s="78" t="s">
        <v>19</v>
      </c>
      <c r="C753" s="85">
        <v>44306.0</v>
      </c>
      <c r="D753" s="85">
        <v>44310.0</v>
      </c>
      <c r="E753" s="86">
        <v>0.5</v>
      </c>
      <c r="F753" s="87">
        <v>1.99</v>
      </c>
      <c r="G753" s="88">
        <f t="shared" si="1"/>
        <v>1.49</v>
      </c>
      <c r="H753" s="89">
        <f t="shared" si="2"/>
        <v>0.7487437186</v>
      </c>
      <c r="I753" s="78" t="s">
        <v>1048</v>
      </c>
      <c r="J753" s="78" t="s">
        <v>69</v>
      </c>
      <c r="K753" s="58">
        <f t="shared" si="3"/>
        <v>4</v>
      </c>
      <c r="L753" s="91" t="str">
        <f t="shared" si="4"/>
        <v>Sat</v>
      </c>
      <c r="M753" s="78" t="str">
        <f>IFERROR(VLOOKUP(A753, Entries!A:B,2,false),"")</f>
        <v>Kalypso Media</v>
      </c>
      <c r="N753" s="23" t="str">
        <f>IFERROR(VLOOKUP(A753, Entries!A:K,11,false),"")</f>
        <v/>
      </c>
      <c r="O753" s="23" t="b">
        <f>IFERROR(VLOOKUP(A753, Entries!A:I,8,false),"")</f>
        <v>0</v>
      </c>
    </row>
    <row r="754">
      <c r="A754" s="78" t="s">
        <v>1047</v>
      </c>
      <c r="B754" s="78" t="s">
        <v>19</v>
      </c>
      <c r="C754" s="85">
        <v>44306.0</v>
      </c>
      <c r="D754" s="85">
        <v>44310.0</v>
      </c>
      <c r="E754" s="86">
        <v>0.5</v>
      </c>
      <c r="F754" s="87">
        <v>1.99</v>
      </c>
      <c r="G754" s="88">
        <f t="shared" si="1"/>
        <v>1.49</v>
      </c>
      <c r="H754" s="89">
        <f t="shared" si="2"/>
        <v>0.7487437186</v>
      </c>
      <c r="I754" s="78" t="s">
        <v>1049</v>
      </c>
      <c r="J754" s="78" t="s">
        <v>69</v>
      </c>
      <c r="K754" s="58">
        <f t="shared" si="3"/>
        <v>4</v>
      </c>
      <c r="L754" s="91" t="str">
        <f t="shared" si="4"/>
        <v>Sat</v>
      </c>
      <c r="M754" s="78" t="str">
        <f>IFERROR(VLOOKUP(A754, Entries!A:B,2,false),"")</f>
        <v>Kalypso Media</v>
      </c>
      <c r="N754" s="23" t="str">
        <f>IFERROR(VLOOKUP(A754, Entries!A:K,11,false),"")</f>
        <v/>
      </c>
      <c r="O754" s="23" t="b">
        <f>IFERROR(VLOOKUP(A754, Entries!A:I,8,false),"")</f>
        <v>0</v>
      </c>
    </row>
    <row r="755">
      <c r="A755" s="78" t="s">
        <v>1050</v>
      </c>
      <c r="B755" s="78" t="s">
        <v>19</v>
      </c>
      <c r="C755" s="85">
        <v>44306.0</v>
      </c>
      <c r="D755" s="85">
        <v>44341.0</v>
      </c>
      <c r="E755" s="86">
        <v>0.5</v>
      </c>
      <c r="F755" s="87">
        <v>0.56</v>
      </c>
      <c r="G755" s="88">
        <f t="shared" si="1"/>
        <v>0.06</v>
      </c>
      <c r="H755" s="89">
        <f t="shared" si="2"/>
        <v>0.1071428571</v>
      </c>
      <c r="I755" s="78" t="s">
        <v>1051</v>
      </c>
      <c r="J755" s="78" t="s">
        <v>69</v>
      </c>
      <c r="K755" s="58">
        <f t="shared" si="3"/>
        <v>35</v>
      </c>
      <c r="L755" s="91" t="str">
        <f t="shared" si="4"/>
        <v>Tue</v>
      </c>
      <c r="M755" s="78" t="str">
        <f>IFERROR(VLOOKUP(A755, Entries!A:B,2,false),"")</f>
        <v>Applava</v>
      </c>
      <c r="N755" s="23" t="str">
        <f>IFERROR(VLOOKUP(A755, Entries!A:K,11,false),"")</f>
        <v/>
      </c>
      <c r="O755" s="23" t="b">
        <f>IFERROR(VLOOKUP(A755, Entries!A:I,8,false),"")</f>
        <v>0</v>
      </c>
    </row>
    <row r="756">
      <c r="A756" s="78" t="s">
        <v>1050</v>
      </c>
      <c r="B756" s="78" t="s">
        <v>19</v>
      </c>
      <c r="C756" s="85">
        <v>44306.0</v>
      </c>
      <c r="D756" s="85">
        <v>44341.0</v>
      </c>
      <c r="E756" s="86">
        <v>0.5</v>
      </c>
      <c r="F756" s="87">
        <v>0.56</v>
      </c>
      <c r="G756" s="88">
        <f t="shared" si="1"/>
        <v>0.06</v>
      </c>
      <c r="H756" s="89">
        <f t="shared" si="2"/>
        <v>0.1071428571</v>
      </c>
      <c r="I756" s="78" t="s">
        <v>1052</v>
      </c>
      <c r="J756" s="78" t="s">
        <v>69</v>
      </c>
      <c r="K756" s="58">
        <f t="shared" si="3"/>
        <v>35</v>
      </c>
      <c r="L756" s="91" t="str">
        <f t="shared" si="4"/>
        <v>Tue</v>
      </c>
      <c r="M756" s="78" t="str">
        <f>IFERROR(VLOOKUP(A756, Entries!A:B,2,false),"")</f>
        <v>Applava</v>
      </c>
      <c r="N756" s="23" t="str">
        <f>IFERROR(VLOOKUP(A756, Entries!A:K,11,false),"")</f>
        <v/>
      </c>
      <c r="O756" s="23" t="b">
        <f>IFERROR(VLOOKUP(A756, Entries!A:I,8,false),"")</f>
        <v>0</v>
      </c>
    </row>
    <row r="757">
      <c r="A757" s="78" t="s">
        <v>1053</v>
      </c>
      <c r="B757" s="78" t="s">
        <v>19</v>
      </c>
      <c r="C757" s="85">
        <v>44306.0</v>
      </c>
      <c r="D757" s="85">
        <v>44306.0</v>
      </c>
      <c r="E757" s="86">
        <v>0.23</v>
      </c>
      <c r="F757" s="87">
        <v>1.65</v>
      </c>
      <c r="G757" s="88">
        <f t="shared" si="1"/>
        <v>1.42</v>
      </c>
      <c r="H757" s="89">
        <f t="shared" si="2"/>
        <v>0.8606060606</v>
      </c>
      <c r="I757" s="78" t="s">
        <v>1054</v>
      </c>
      <c r="J757" s="78" t="s">
        <v>69</v>
      </c>
      <c r="K757" s="58">
        <f t="shared" si="3"/>
        <v>0</v>
      </c>
      <c r="L757" s="91" t="str">
        <f t="shared" si="4"/>
        <v>Tue</v>
      </c>
      <c r="M757" s="78" t="str">
        <f>IFERROR(VLOOKUP(A757, Entries!A:B,2,false),"")</f>
        <v>Techland Publishing</v>
      </c>
      <c r="N757" s="23" t="str">
        <f>IFERROR(VLOOKUP(A757, Entries!A:K,11,false),"")</f>
        <v/>
      </c>
      <c r="O757" s="23" t="b">
        <f>IFERROR(VLOOKUP(A757, Entries!A:I,8,false),"")</f>
        <v>0</v>
      </c>
    </row>
    <row r="758">
      <c r="A758" s="78" t="s">
        <v>1053</v>
      </c>
      <c r="B758" s="78" t="s">
        <v>19</v>
      </c>
      <c r="C758" s="85">
        <v>44306.0</v>
      </c>
      <c r="D758" s="85">
        <v>44340.0</v>
      </c>
      <c r="E758" s="86">
        <v>0.24</v>
      </c>
      <c r="F758" s="87">
        <v>0.55</v>
      </c>
      <c r="G758" s="88">
        <f t="shared" si="1"/>
        <v>0.31</v>
      </c>
      <c r="H758" s="89">
        <f t="shared" si="2"/>
        <v>0.5636363636</v>
      </c>
      <c r="I758" s="78" t="s">
        <v>1055</v>
      </c>
      <c r="J758" s="78" t="s">
        <v>69</v>
      </c>
      <c r="K758" s="58">
        <f t="shared" si="3"/>
        <v>34</v>
      </c>
      <c r="L758" s="91" t="str">
        <f t="shared" si="4"/>
        <v>Mon</v>
      </c>
      <c r="M758" s="78" t="str">
        <f>IFERROR(VLOOKUP(A758, Entries!A:B,2,false),"")</f>
        <v>Techland Publishing</v>
      </c>
      <c r="N758" s="23" t="str">
        <f>IFERROR(VLOOKUP(A758, Entries!A:K,11,false),"")</f>
        <v/>
      </c>
      <c r="O758" s="23" t="b">
        <f>IFERROR(VLOOKUP(A758, Entries!A:I,8,false),"")</f>
        <v>0</v>
      </c>
    </row>
    <row r="759">
      <c r="A759" s="78" t="s">
        <v>1056</v>
      </c>
      <c r="B759" s="78" t="s">
        <v>19</v>
      </c>
      <c r="C759" s="85">
        <v>44306.0</v>
      </c>
      <c r="D759" s="85">
        <v>44446.0</v>
      </c>
      <c r="E759" s="86">
        <v>0.0</v>
      </c>
      <c r="F759" s="87">
        <v>0.36</v>
      </c>
      <c r="G759" s="88">
        <f t="shared" si="1"/>
        <v>0.36</v>
      </c>
      <c r="H759" s="89">
        <f t="shared" si="2"/>
        <v>1</v>
      </c>
      <c r="I759" s="78" t="s">
        <v>1057</v>
      </c>
      <c r="J759" s="78" t="s">
        <v>69</v>
      </c>
      <c r="K759" s="58">
        <f t="shared" si="3"/>
        <v>140</v>
      </c>
      <c r="L759" s="91" t="str">
        <f t="shared" si="4"/>
        <v>Tue</v>
      </c>
      <c r="M759" s="78" t="str">
        <f>IFERROR(VLOOKUP(A759, Entries!A:B,2,false),"")</f>
        <v>Team17 Digital</v>
      </c>
      <c r="N759" s="23" t="str">
        <f>IFERROR(VLOOKUP(A759, Entries!A:K,11,false),"")</f>
        <v/>
      </c>
      <c r="O759" s="23" t="b">
        <f>IFERROR(VLOOKUP(A759, Entries!A:I,8,false),"")</f>
        <v>0</v>
      </c>
    </row>
    <row r="760">
      <c r="A760" s="78" t="s">
        <v>1056</v>
      </c>
      <c r="B760" s="78" t="s">
        <v>19</v>
      </c>
      <c r="C760" s="85">
        <v>44306.0</v>
      </c>
      <c r="D760" s="85">
        <v>44446.0</v>
      </c>
      <c r="E760" s="86">
        <v>0.0</v>
      </c>
      <c r="F760" s="87">
        <v>0.36</v>
      </c>
      <c r="G760" s="88">
        <f t="shared" si="1"/>
        <v>0.36</v>
      </c>
      <c r="H760" s="89">
        <f t="shared" si="2"/>
        <v>1</v>
      </c>
      <c r="I760" s="78" t="s">
        <v>1058</v>
      </c>
      <c r="J760" s="78" t="s">
        <v>69</v>
      </c>
      <c r="K760" s="58">
        <f t="shared" si="3"/>
        <v>140</v>
      </c>
      <c r="L760" s="91" t="str">
        <f t="shared" si="4"/>
        <v>Tue</v>
      </c>
      <c r="M760" s="78" t="str">
        <f>IFERROR(VLOOKUP(A760, Entries!A:B,2,false),"")</f>
        <v>Team17 Digital</v>
      </c>
      <c r="N760" s="23" t="str">
        <f>IFERROR(VLOOKUP(A760, Entries!A:K,11,false),"")</f>
        <v/>
      </c>
      <c r="O760" s="23" t="b">
        <f>IFERROR(VLOOKUP(A760, Entries!A:I,8,false),"")</f>
        <v>0</v>
      </c>
    </row>
    <row r="761">
      <c r="A761" s="78" t="s">
        <v>1059</v>
      </c>
      <c r="B761" s="78" t="s">
        <v>19</v>
      </c>
      <c r="C761" s="85">
        <v>44306.0</v>
      </c>
      <c r="D761" s="85">
        <v>44446.0</v>
      </c>
      <c r="E761" s="86">
        <v>0.0</v>
      </c>
      <c r="F761" s="87">
        <v>0.29</v>
      </c>
      <c r="G761" s="88">
        <f t="shared" si="1"/>
        <v>0.29</v>
      </c>
      <c r="H761" s="89">
        <f t="shared" si="2"/>
        <v>1</v>
      </c>
      <c r="I761" s="78" t="s">
        <v>1060</v>
      </c>
      <c r="J761" s="78" t="s">
        <v>69</v>
      </c>
      <c r="K761" s="58">
        <f t="shared" si="3"/>
        <v>140</v>
      </c>
      <c r="L761" s="91" t="str">
        <f t="shared" si="4"/>
        <v>Tue</v>
      </c>
      <c r="M761" s="78" t="str">
        <f>IFERROR(VLOOKUP(A761, Entries!A:B,2,false),"")</f>
        <v>Team17 Digital</v>
      </c>
      <c r="N761" s="23" t="str">
        <f>IFERROR(VLOOKUP(A761, Entries!A:K,11,false),"")</f>
        <v/>
      </c>
      <c r="O761" s="23" t="b">
        <f>IFERROR(VLOOKUP(A761, Entries!A:I,8,false),"")</f>
        <v>0</v>
      </c>
    </row>
    <row r="762">
      <c r="A762" s="78" t="s">
        <v>1059</v>
      </c>
      <c r="B762" s="78" t="s">
        <v>19</v>
      </c>
      <c r="C762" s="85">
        <v>44306.0</v>
      </c>
      <c r="D762" s="85">
        <v>44446.0</v>
      </c>
      <c r="E762" s="86">
        <v>0.0</v>
      </c>
      <c r="F762" s="87">
        <v>0.29</v>
      </c>
      <c r="G762" s="88">
        <f t="shared" si="1"/>
        <v>0.29</v>
      </c>
      <c r="H762" s="89">
        <f t="shared" si="2"/>
        <v>1</v>
      </c>
      <c r="I762" s="78" t="s">
        <v>1061</v>
      </c>
      <c r="J762" s="78" t="s">
        <v>69</v>
      </c>
      <c r="K762" s="58">
        <f t="shared" si="3"/>
        <v>140</v>
      </c>
      <c r="L762" s="91" t="str">
        <f t="shared" si="4"/>
        <v>Tue</v>
      </c>
      <c r="M762" s="78" t="str">
        <f>IFERROR(VLOOKUP(A762, Entries!A:B,2,false),"")</f>
        <v>Team17 Digital</v>
      </c>
      <c r="N762" s="23" t="str">
        <f>IFERROR(VLOOKUP(A762, Entries!A:K,11,false),"")</f>
        <v/>
      </c>
      <c r="O762" s="23" t="b">
        <f>IFERROR(VLOOKUP(A762, Entries!A:I,8,false),"")</f>
        <v>0</v>
      </c>
    </row>
    <row r="763">
      <c r="A763" s="78" t="s">
        <v>863</v>
      </c>
      <c r="B763" s="78" t="s">
        <v>19</v>
      </c>
      <c r="C763" s="85">
        <v>44308.0</v>
      </c>
      <c r="D763" s="85">
        <v>44309.0</v>
      </c>
      <c r="E763" s="86">
        <v>0.0</v>
      </c>
      <c r="F763" s="87">
        <v>1.7</v>
      </c>
      <c r="G763" s="88">
        <f t="shared" si="1"/>
        <v>1.7</v>
      </c>
      <c r="H763" s="89">
        <f t="shared" si="2"/>
        <v>1</v>
      </c>
      <c r="I763" s="78" t="s">
        <v>1062</v>
      </c>
      <c r="J763" s="78" t="s">
        <v>69</v>
      </c>
      <c r="K763" s="58">
        <f t="shared" si="3"/>
        <v>1</v>
      </c>
      <c r="L763" s="91" t="str">
        <f t="shared" si="4"/>
        <v>Fri</v>
      </c>
      <c r="M763" s="78" t="str">
        <f>IFERROR(VLOOKUP(A763, Entries!A:B,2,false),"")</f>
        <v>Codemasters</v>
      </c>
      <c r="N763" s="23" t="str">
        <f>IFERROR(VLOOKUP(A763, Entries!A:K,11,false),"")</f>
        <v/>
      </c>
      <c r="O763" s="23" t="b">
        <f>IFERROR(VLOOKUP(A763, Entries!A:I,8,false),"")</f>
        <v>0</v>
      </c>
    </row>
    <row r="764">
      <c r="A764" s="78" t="s">
        <v>411</v>
      </c>
      <c r="B764" s="78" t="s">
        <v>19</v>
      </c>
      <c r="C764" s="85">
        <v>44308.0</v>
      </c>
      <c r="D764" s="85">
        <v>44315.0</v>
      </c>
      <c r="E764" s="86">
        <v>6.17</v>
      </c>
      <c r="F764" s="87">
        <v>9.32</v>
      </c>
      <c r="G764" s="88">
        <f t="shared" si="1"/>
        <v>3.15</v>
      </c>
      <c r="H764" s="89">
        <f t="shared" si="2"/>
        <v>0.3379828326</v>
      </c>
      <c r="I764" s="78" t="s">
        <v>561</v>
      </c>
      <c r="J764" s="78" t="s">
        <v>69</v>
      </c>
      <c r="K764" s="58">
        <f t="shared" si="3"/>
        <v>7</v>
      </c>
      <c r="L764" s="91" t="str">
        <f t="shared" si="4"/>
        <v>Thu</v>
      </c>
      <c r="M764" s="78" t="str">
        <f>IFERROR(VLOOKUP(A764, Entries!A:B,2,false),"")</f>
        <v>ROCKFISH Games</v>
      </c>
      <c r="N764" s="23" t="str">
        <f>IFERROR(VLOOKUP(A764, Entries!A:K,11,false),"")</f>
        <v/>
      </c>
      <c r="O764" s="23" t="b">
        <f>IFERROR(VLOOKUP(A764, Entries!A:I,8,false),"")</f>
        <v>0</v>
      </c>
    </row>
    <row r="765">
      <c r="A765" s="78" t="s">
        <v>411</v>
      </c>
      <c r="B765" s="78" t="s">
        <v>19</v>
      </c>
      <c r="C765" s="85">
        <v>44308.0</v>
      </c>
      <c r="D765" s="85">
        <v>44317.0</v>
      </c>
      <c r="E765" s="86">
        <v>6.17</v>
      </c>
      <c r="F765" s="87">
        <v>9.83</v>
      </c>
      <c r="G765" s="88">
        <f t="shared" si="1"/>
        <v>3.66</v>
      </c>
      <c r="H765" s="89">
        <f t="shared" si="2"/>
        <v>0.3723296033</v>
      </c>
      <c r="I765" s="78" t="s">
        <v>561</v>
      </c>
      <c r="J765" s="78" t="s">
        <v>69</v>
      </c>
      <c r="K765" s="58">
        <f t="shared" si="3"/>
        <v>9</v>
      </c>
      <c r="L765" s="91" t="str">
        <f t="shared" si="4"/>
        <v>Sat</v>
      </c>
      <c r="M765" s="78" t="str">
        <f>IFERROR(VLOOKUP(A765, Entries!A:B,2,false),"")</f>
        <v>ROCKFISH Games</v>
      </c>
      <c r="N765" s="23" t="str">
        <f>IFERROR(VLOOKUP(A765, Entries!A:K,11,false),"")</f>
        <v/>
      </c>
      <c r="O765" s="23" t="b">
        <f>IFERROR(VLOOKUP(A765, Entries!A:I,8,false),"")</f>
        <v>0</v>
      </c>
    </row>
    <row r="766">
      <c r="A766" s="78" t="s">
        <v>411</v>
      </c>
      <c r="B766" s="78" t="s">
        <v>19</v>
      </c>
      <c r="C766" s="85">
        <v>44308.0</v>
      </c>
      <c r="D766" s="85">
        <v>44355.0</v>
      </c>
      <c r="E766" s="86">
        <v>6.17</v>
      </c>
      <c r="F766" s="87">
        <v>9.36</v>
      </c>
      <c r="G766" s="88">
        <f t="shared" si="1"/>
        <v>3.19</v>
      </c>
      <c r="H766" s="89">
        <f t="shared" si="2"/>
        <v>0.3408119658</v>
      </c>
      <c r="I766" s="78" t="s">
        <v>561</v>
      </c>
      <c r="J766" s="78" t="s">
        <v>69</v>
      </c>
      <c r="K766" s="58">
        <f t="shared" si="3"/>
        <v>47</v>
      </c>
      <c r="L766" s="91" t="str">
        <f t="shared" si="4"/>
        <v>Tue</v>
      </c>
      <c r="M766" s="78" t="str">
        <f>IFERROR(VLOOKUP(A766, Entries!A:B,2,false),"")</f>
        <v>ROCKFISH Games</v>
      </c>
      <c r="N766" s="23" t="str">
        <f>IFERROR(VLOOKUP(A766, Entries!A:K,11,false),"")</f>
        <v/>
      </c>
      <c r="O766" s="23" t="b">
        <f>IFERROR(VLOOKUP(A766, Entries!A:I,8,false),"")</f>
        <v>0</v>
      </c>
    </row>
    <row r="767">
      <c r="A767" s="78" t="s">
        <v>1063</v>
      </c>
      <c r="B767" s="78" t="s">
        <v>19</v>
      </c>
      <c r="C767" s="85">
        <v>44308.0</v>
      </c>
      <c r="D767" s="85">
        <v>44309.0</v>
      </c>
      <c r="E767" s="86">
        <v>0.0</v>
      </c>
      <c r="F767" s="87">
        <v>0.98</v>
      </c>
      <c r="G767" s="88">
        <f t="shared" si="1"/>
        <v>0.98</v>
      </c>
      <c r="H767" s="89">
        <f t="shared" si="2"/>
        <v>1</v>
      </c>
      <c r="I767" s="78" t="s">
        <v>1064</v>
      </c>
      <c r="J767" s="78" t="s">
        <v>69</v>
      </c>
      <c r="K767" s="58">
        <f t="shared" si="3"/>
        <v>1</v>
      </c>
      <c r="L767" s="91" t="str">
        <f t="shared" si="4"/>
        <v>Fri</v>
      </c>
      <c r="M767" s="78" t="str">
        <f>IFERROR(VLOOKUP(A767, Entries!A:B,2,false),"")</f>
        <v>1C Entertainment</v>
      </c>
      <c r="N767" s="23" t="str">
        <f>IFERROR(VLOOKUP(A767, Entries!A:K,11,false),"")</f>
        <v/>
      </c>
      <c r="O767" s="23" t="b">
        <f>IFERROR(VLOOKUP(A767, Entries!A:I,8,false),"")</f>
        <v>0</v>
      </c>
    </row>
    <row r="768">
      <c r="A768" s="78" t="s">
        <v>230</v>
      </c>
      <c r="B768" s="78" t="s">
        <v>19</v>
      </c>
      <c r="C768" s="85">
        <v>44309.0</v>
      </c>
      <c r="D768" s="85">
        <v>44310.0</v>
      </c>
      <c r="E768" s="86">
        <v>2.06</v>
      </c>
      <c r="F768" s="87">
        <v>3.03</v>
      </c>
      <c r="G768" s="88">
        <f t="shared" si="1"/>
        <v>0.97</v>
      </c>
      <c r="H768" s="89">
        <f t="shared" si="2"/>
        <v>0.3201320132</v>
      </c>
      <c r="I768" s="78" t="s">
        <v>1065</v>
      </c>
      <c r="J768" s="78" t="s">
        <v>69</v>
      </c>
      <c r="K768" s="58">
        <f t="shared" si="3"/>
        <v>1</v>
      </c>
      <c r="L768" s="91" t="str">
        <f t="shared" si="4"/>
        <v>Sat</v>
      </c>
      <c r="M768" s="78" t="str">
        <f>IFERROR(VLOOKUP(A768, Entries!A:B,2,false),"")</f>
        <v>Codemasters</v>
      </c>
      <c r="N768" s="23" t="str">
        <f>IFERROR(VLOOKUP(A768, Entries!A:K,11,false),"")</f>
        <v/>
      </c>
      <c r="O768" s="23" t="b">
        <f>IFERROR(VLOOKUP(A768, Entries!A:I,8,false),"")</f>
        <v>1</v>
      </c>
    </row>
    <row r="769">
      <c r="A769" s="78" t="s">
        <v>230</v>
      </c>
      <c r="B769" s="78" t="s">
        <v>19</v>
      </c>
      <c r="C769" s="85">
        <v>44309.0</v>
      </c>
      <c r="D769" s="85">
        <v>44315.0</v>
      </c>
      <c r="E769" s="86">
        <v>2.06</v>
      </c>
      <c r="F769" s="87">
        <v>3.0</v>
      </c>
      <c r="G769" s="88">
        <f t="shared" si="1"/>
        <v>0.94</v>
      </c>
      <c r="H769" s="89">
        <f t="shared" si="2"/>
        <v>0.3133333333</v>
      </c>
      <c r="I769" s="78" t="s">
        <v>1066</v>
      </c>
      <c r="J769" s="78" t="s">
        <v>69</v>
      </c>
      <c r="K769" s="58">
        <f t="shared" si="3"/>
        <v>6</v>
      </c>
      <c r="L769" s="91" t="str">
        <f t="shared" si="4"/>
        <v>Thu</v>
      </c>
      <c r="M769" s="78" t="str">
        <f>IFERROR(VLOOKUP(A769, Entries!A:B,2,false),"")</f>
        <v>Codemasters</v>
      </c>
      <c r="N769" s="23" t="str">
        <f>IFERROR(VLOOKUP(A769, Entries!A:K,11,false),"")</f>
        <v/>
      </c>
      <c r="O769" s="23" t="b">
        <f>IFERROR(VLOOKUP(A769, Entries!A:I,8,false),"")</f>
        <v>1</v>
      </c>
    </row>
    <row r="770">
      <c r="A770" s="78" t="s">
        <v>665</v>
      </c>
      <c r="B770" s="78" t="s">
        <v>19</v>
      </c>
      <c r="C770" s="85">
        <v>44309.0</v>
      </c>
      <c r="D770" s="85">
        <v>44503.0</v>
      </c>
      <c r="E770" s="86">
        <v>0.48</v>
      </c>
      <c r="F770" s="87">
        <v>2.17</v>
      </c>
      <c r="G770" s="88">
        <f t="shared" si="1"/>
        <v>1.69</v>
      </c>
      <c r="H770" s="89">
        <f t="shared" si="2"/>
        <v>0.7788018433</v>
      </c>
      <c r="I770" s="78" t="s">
        <v>1067</v>
      </c>
      <c r="J770" s="78" t="s">
        <v>69</v>
      </c>
      <c r="K770" s="58">
        <f t="shared" si="3"/>
        <v>194</v>
      </c>
      <c r="L770" s="91" t="str">
        <f t="shared" si="4"/>
        <v>Wed</v>
      </c>
      <c r="M770" s="78" t="str">
        <f>IFERROR(VLOOKUP(A770, Entries!A:B,2,false),"")</f>
        <v>Codemasters</v>
      </c>
      <c r="N770" s="23" t="str">
        <f>IFERROR(VLOOKUP(A770, Entries!A:K,11,false),"")</f>
        <v/>
      </c>
      <c r="O770" s="23" t="b">
        <f>IFERROR(VLOOKUP(A770, Entries!A:I,8,false),"")</f>
        <v>0</v>
      </c>
    </row>
    <row r="771">
      <c r="A771" s="78" t="s">
        <v>1068</v>
      </c>
      <c r="B771" s="78" t="s">
        <v>23</v>
      </c>
      <c r="C771" s="85">
        <v>44310.0</v>
      </c>
      <c r="D771" s="85">
        <v>44322.0</v>
      </c>
      <c r="E771" s="86">
        <v>7.42</v>
      </c>
      <c r="F771" s="87">
        <v>11.47</v>
      </c>
      <c r="G771" s="88">
        <f t="shared" si="1"/>
        <v>4.05</v>
      </c>
      <c r="H771" s="89">
        <f t="shared" si="2"/>
        <v>0.3530950305</v>
      </c>
      <c r="I771" s="78" t="s">
        <v>1069</v>
      </c>
      <c r="J771" s="78" t="s">
        <v>69</v>
      </c>
      <c r="K771" s="58">
        <f t="shared" si="3"/>
        <v>12</v>
      </c>
      <c r="L771" s="91" t="str">
        <f t="shared" si="4"/>
        <v>Thu</v>
      </c>
      <c r="M771" s="78" t="str">
        <f>IFERROR(VLOOKUP(A771, Entries!A:B,2,false),"")</f>
        <v>Frogwares</v>
      </c>
      <c r="N771" s="23" t="str">
        <f>IFERROR(VLOOKUP(A771, Entries!A:K,11,false),"")</f>
        <v/>
      </c>
      <c r="O771" s="23" t="b">
        <f>IFERROR(VLOOKUP(A771, Entries!A:I,8,false),"")</f>
        <v>0</v>
      </c>
    </row>
    <row r="772">
      <c r="A772" s="78" t="s">
        <v>678</v>
      </c>
      <c r="B772" s="78" t="s">
        <v>19</v>
      </c>
      <c r="C772" s="85">
        <v>44310.0</v>
      </c>
      <c r="D772" s="85">
        <v>44311.0</v>
      </c>
      <c r="E772" s="86">
        <v>4.33</v>
      </c>
      <c r="F772" s="87">
        <v>7.87</v>
      </c>
      <c r="G772" s="88">
        <f t="shared" si="1"/>
        <v>3.54</v>
      </c>
      <c r="H772" s="89">
        <f t="shared" si="2"/>
        <v>0.4498094028</v>
      </c>
      <c r="I772" s="78" t="s">
        <v>1070</v>
      </c>
      <c r="J772" s="78" t="s">
        <v>69</v>
      </c>
      <c r="K772" s="58">
        <f t="shared" si="3"/>
        <v>1</v>
      </c>
      <c r="L772" s="91" t="str">
        <f t="shared" si="4"/>
        <v>Sun</v>
      </c>
      <c r="M772" s="78" t="str">
        <f>IFERROR(VLOOKUP(A772, Entries!A:B,2,false),"")</f>
        <v>FireFly Studios</v>
      </c>
      <c r="N772" s="23" t="str">
        <f>IFERROR(VLOOKUP(A772, Entries!A:K,11,false),"")</f>
        <v/>
      </c>
      <c r="O772" s="23" t="b">
        <f>IFERROR(VLOOKUP(A772, Entries!A:I,8,false),"")</f>
        <v>0</v>
      </c>
    </row>
    <row r="773">
      <c r="A773" s="78" t="s">
        <v>678</v>
      </c>
      <c r="B773" s="78" t="s">
        <v>19</v>
      </c>
      <c r="C773" s="85">
        <v>44310.0</v>
      </c>
      <c r="D773" s="85">
        <v>44335.0</v>
      </c>
      <c r="E773" s="86">
        <v>4.33</v>
      </c>
      <c r="F773" s="87">
        <v>8.07</v>
      </c>
      <c r="G773" s="88">
        <f t="shared" si="1"/>
        <v>3.74</v>
      </c>
      <c r="H773" s="89">
        <f t="shared" si="2"/>
        <v>0.4634448575</v>
      </c>
      <c r="I773" s="78" t="s">
        <v>561</v>
      </c>
      <c r="J773" s="78" t="s">
        <v>69</v>
      </c>
      <c r="K773" s="58">
        <f t="shared" si="3"/>
        <v>25</v>
      </c>
      <c r="L773" s="91" t="str">
        <f t="shared" si="4"/>
        <v>Wed</v>
      </c>
      <c r="M773" s="78" t="str">
        <f>IFERROR(VLOOKUP(A773, Entries!A:B,2,false),"")</f>
        <v>FireFly Studios</v>
      </c>
      <c r="N773" s="23" t="str">
        <f>IFERROR(VLOOKUP(A773, Entries!A:K,11,false),"")</f>
        <v/>
      </c>
      <c r="O773" s="23" t="b">
        <f>IFERROR(VLOOKUP(A773, Entries!A:I,8,false),"")</f>
        <v>0</v>
      </c>
    </row>
    <row r="774">
      <c r="A774" s="78" t="s">
        <v>67</v>
      </c>
      <c r="B774" s="78" t="s">
        <v>19</v>
      </c>
      <c r="C774" s="85">
        <v>44311.0</v>
      </c>
      <c r="D774" s="85">
        <v>44349.0</v>
      </c>
      <c r="E774" s="86">
        <v>3.62</v>
      </c>
      <c r="F774" s="87">
        <v>5.74</v>
      </c>
      <c r="G774" s="88">
        <f t="shared" si="1"/>
        <v>2.12</v>
      </c>
      <c r="H774" s="89">
        <f t="shared" si="2"/>
        <v>0.3693379791</v>
      </c>
      <c r="I774" s="78" t="s">
        <v>1071</v>
      </c>
      <c r="J774" s="78" t="s">
        <v>69</v>
      </c>
      <c r="K774" s="58">
        <f t="shared" si="3"/>
        <v>38</v>
      </c>
      <c r="L774" s="91" t="str">
        <f t="shared" si="4"/>
        <v>Wed</v>
      </c>
      <c r="M774" s="78" t="str">
        <f>IFERROR(VLOOKUP(A774, Entries!A:B,2,false),"")</f>
        <v>SEGA</v>
      </c>
      <c r="N774" s="23" t="str">
        <f>IFERROR(VLOOKUP(A774, Entries!A:K,11,false),"")</f>
        <v/>
      </c>
      <c r="O774" s="23" t="b">
        <f>IFERROR(VLOOKUP(A774, Entries!A:I,8,false),"")</f>
        <v>0</v>
      </c>
    </row>
    <row r="775">
      <c r="A775" s="78" t="s">
        <v>840</v>
      </c>
      <c r="B775" s="78" t="s">
        <v>19</v>
      </c>
      <c r="C775" s="85">
        <v>44316.0</v>
      </c>
      <c r="D775" s="85">
        <v>44316.0</v>
      </c>
      <c r="E775" s="86">
        <v>2.87</v>
      </c>
      <c r="F775" s="87">
        <v>4.03</v>
      </c>
      <c r="G775" s="88">
        <f t="shared" si="1"/>
        <v>1.16</v>
      </c>
      <c r="H775" s="89">
        <f t="shared" si="2"/>
        <v>0.2878411911</v>
      </c>
      <c r="I775" s="78" t="s">
        <v>1072</v>
      </c>
      <c r="J775" s="78" t="s">
        <v>69</v>
      </c>
      <c r="K775" s="58">
        <f t="shared" si="3"/>
        <v>0</v>
      </c>
      <c r="L775" s="91" t="str">
        <f t="shared" si="4"/>
        <v>Fri</v>
      </c>
      <c r="M775" s="78" t="str">
        <f>IFERROR(VLOOKUP(A775, Entries!A:B,2,false),"")</f>
        <v>Square Enix</v>
      </c>
      <c r="N775" s="23" t="str">
        <f>IFERROR(VLOOKUP(A775, Entries!A:K,11,false),"")</f>
        <v/>
      </c>
      <c r="O775" s="23" t="b">
        <f>IFERROR(VLOOKUP(A775, Entries!A:I,8,false),"")</f>
        <v>0</v>
      </c>
    </row>
    <row r="776">
      <c r="A776" s="78" t="s">
        <v>618</v>
      </c>
      <c r="B776" s="78" t="s">
        <v>19</v>
      </c>
      <c r="C776" s="85">
        <v>44316.0</v>
      </c>
      <c r="D776" s="85">
        <v>44316.0</v>
      </c>
      <c r="E776" s="86">
        <v>2.88</v>
      </c>
      <c r="F776" s="87">
        <v>4.93</v>
      </c>
      <c r="G776" s="88">
        <f t="shared" si="1"/>
        <v>2.05</v>
      </c>
      <c r="H776" s="89">
        <f t="shared" si="2"/>
        <v>0.415821501</v>
      </c>
      <c r="I776" s="78" t="s">
        <v>1073</v>
      </c>
      <c r="J776" s="78" t="s">
        <v>69</v>
      </c>
      <c r="K776" s="58">
        <f t="shared" si="3"/>
        <v>0</v>
      </c>
      <c r="L776" s="91" t="str">
        <f t="shared" si="4"/>
        <v>Fri</v>
      </c>
      <c r="M776" s="78" t="str">
        <f>IFERROR(VLOOKUP(A776, Entries!A:B,2,false),"")</f>
        <v>M2H</v>
      </c>
      <c r="N776" s="23" t="str">
        <f>IFERROR(VLOOKUP(A776, Entries!A:K,11,false),"")</f>
        <v/>
      </c>
      <c r="O776" s="23" t="b">
        <f>IFERROR(VLOOKUP(A776, Entries!A:I,8,false),"")</f>
        <v>1</v>
      </c>
    </row>
    <row r="777">
      <c r="A777" s="78" t="s">
        <v>753</v>
      </c>
      <c r="B777" s="78" t="s">
        <v>19</v>
      </c>
      <c r="C777" s="85">
        <v>44316.0</v>
      </c>
      <c r="D777" s="85">
        <v>44316.0</v>
      </c>
      <c r="E777" s="86">
        <v>2.88</v>
      </c>
      <c r="F777" s="87">
        <v>4.12</v>
      </c>
      <c r="G777" s="88">
        <f t="shared" si="1"/>
        <v>1.24</v>
      </c>
      <c r="H777" s="89">
        <f t="shared" si="2"/>
        <v>0.3009708738</v>
      </c>
      <c r="I777" s="78" t="s">
        <v>1074</v>
      </c>
      <c r="J777" s="78" t="s">
        <v>69</v>
      </c>
      <c r="K777" s="58">
        <f t="shared" si="3"/>
        <v>0</v>
      </c>
      <c r="L777" s="91" t="str">
        <f t="shared" si="4"/>
        <v>Fri</v>
      </c>
      <c r="M777" s="78" t="str">
        <f>IFERROR(VLOOKUP(A777, Entries!A:B,2,false),"")</f>
        <v>Codemasters</v>
      </c>
      <c r="N777" s="23" t="str">
        <f>IFERROR(VLOOKUP(A777, Entries!A:K,11,false),"")</f>
        <v/>
      </c>
      <c r="O777" s="23" t="b">
        <f>IFERROR(VLOOKUP(A777, Entries!A:I,8,false),"")</f>
        <v>0</v>
      </c>
    </row>
    <row r="778">
      <c r="A778" s="78" t="s">
        <v>840</v>
      </c>
      <c r="B778" s="78" t="s">
        <v>19</v>
      </c>
      <c r="C778" s="85">
        <v>44316.0</v>
      </c>
      <c r="D778" s="85">
        <v>44318.0</v>
      </c>
      <c r="E778" s="86">
        <v>2.86</v>
      </c>
      <c r="F778" s="87">
        <v>4.83</v>
      </c>
      <c r="G778" s="88">
        <f t="shared" si="1"/>
        <v>1.97</v>
      </c>
      <c r="H778" s="89">
        <f t="shared" si="2"/>
        <v>0.4078674948</v>
      </c>
      <c r="I778" s="78" t="s">
        <v>1075</v>
      </c>
      <c r="J778" s="78" t="s">
        <v>69</v>
      </c>
      <c r="K778" s="58">
        <f t="shared" si="3"/>
        <v>2</v>
      </c>
      <c r="L778" s="91" t="str">
        <f t="shared" si="4"/>
        <v>Sun</v>
      </c>
      <c r="M778" s="78" t="str">
        <f>IFERROR(VLOOKUP(A778, Entries!A:B,2,false),"")</f>
        <v>Square Enix</v>
      </c>
      <c r="N778" s="23" t="str">
        <f>IFERROR(VLOOKUP(A778, Entries!A:K,11,false),"")</f>
        <v/>
      </c>
      <c r="O778" s="23" t="b">
        <f>IFERROR(VLOOKUP(A778, Entries!A:I,8,false),"")</f>
        <v>0</v>
      </c>
    </row>
    <row r="779">
      <c r="A779" s="96" t="s">
        <v>753</v>
      </c>
      <c r="B779" s="78" t="s">
        <v>19</v>
      </c>
      <c r="C779" s="85">
        <v>44316.0</v>
      </c>
      <c r="D779" s="85">
        <v>44316.0</v>
      </c>
      <c r="E779" s="86">
        <v>2.87</v>
      </c>
      <c r="F779" s="87">
        <v>4.28</v>
      </c>
      <c r="G779" s="88">
        <f t="shared" si="1"/>
        <v>1.41</v>
      </c>
      <c r="H779" s="89">
        <f t="shared" si="2"/>
        <v>0.3294392523</v>
      </c>
      <c r="I779" s="78" t="s">
        <v>1076</v>
      </c>
      <c r="J779" s="78" t="s">
        <v>69</v>
      </c>
      <c r="K779" s="58">
        <f t="shared" si="3"/>
        <v>0</v>
      </c>
      <c r="L779" s="91" t="str">
        <f t="shared" si="4"/>
        <v>Fri</v>
      </c>
      <c r="M779" s="78" t="str">
        <f>IFERROR(VLOOKUP(A779, Entries!A:B,2,false),"")</f>
        <v>Codemasters</v>
      </c>
      <c r="N779" s="23" t="str">
        <f>IFERROR(VLOOKUP(A779, Entries!A:K,11,false),"")</f>
        <v/>
      </c>
      <c r="O779" s="23" t="b">
        <f>IFERROR(VLOOKUP(A779, Entries!A:I,8,false),"")</f>
        <v>0</v>
      </c>
    </row>
    <row r="780">
      <c r="A780" s="78" t="s">
        <v>1077</v>
      </c>
      <c r="B780" s="78" t="s">
        <v>19</v>
      </c>
      <c r="C780" s="85">
        <v>44316.0</v>
      </c>
      <c r="D780" s="85">
        <v>44317.0</v>
      </c>
      <c r="E780" s="86">
        <v>2.87</v>
      </c>
      <c r="F780" s="87">
        <v>3.96</v>
      </c>
      <c r="G780" s="88">
        <f t="shared" si="1"/>
        <v>1.09</v>
      </c>
      <c r="H780" s="89">
        <f t="shared" si="2"/>
        <v>0.2752525253</v>
      </c>
      <c r="I780" s="78" t="s">
        <v>1078</v>
      </c>
      <c r="J780" s="78" t="s">
        <v>69</v>
      </c>
      <c r="K780" s="58">
        <f t="shared" si="3"/>
        <v>1</v>
      </c>
      <c r="L780" s="91" t="str">
        <f t="shared" si="4"/>
        <v>Sat</v>
      </c>
      <c r="M780" s="78" t="str">
        <f>IFERROR(VLOOKUP(A780, Entries!A:B,2,false),"")</f>
        <v>Weather Factory</v>
      </c>
      <c r="N780" s="23" t="str">
        <f>IFERROR(VLOOKUP(A780, Entries!A:K,11,false),"")</f>
        <v/>
      </c>
      <c r="O780" s="23" t="b">
        <f>IFERROR(VLOOKUP(A780, Entries!A:I,8,false),"")</f>
        <v>0</v>
      </c>
    </row>
    <row r="781">
      <c r="A781" s="78" t="s">
        <v>840</v>
      </c>
      <c r="B781" s="78" t="s">
        <v>19</v>
      </c>
      <c r="C781" s="85">
        <v>44316.0</v>
      </c>
      <c r="D781" s="85">
        <v>44320.0</v>
      </c>
      <c r="E781" s="86">
        <v>2.86</v>
      </c>
      <c r="F781" s="87">
        <v>4.81</v>
      </c>
      <c r="G781" s="88">
        <f t="shared" si="1"/>
        <v>1.95</v>
      </c>
      <c r="H781" s="89">
        <f t="shared" si="2"/>
        <v>0.4054054054</v>
      </c>
      <c r="I781" s="78" t="s">
        <v>1079</v>
      </c>
      <c r="J781" s="78" t="s">
        <v>69</v>
      </c>
      <c r="K781" s="58">
        <f t="shared" si="3"/>
        <v>4</v>
      </c>
      <c r="L781" s="91" t="str">
        <f t="shared" si="4"/>
        <v>Tue</v>
      </c>
      <c r="M781" s="78" t="str">
        <f>IFERROR(VLOOKUP(A781, Entries!A:B,2,false),"")</f>
        <v>Square Enix</v>
      </c>
      <c r="N781" s="23" t="str">
        <f>IFERROR(VLOOKUP(A781, Entries!A:K,11,false),"")</f>
        <v/>
      </c>
      <c r="O781" s="23" t="b">
        <f>IFERROR(VLOOKUP(A781, Entries!A:I,8,false),"")</f>
        <v>0</v>
      </c>
    </row>
    <row r="782">
      <c r="A782" s="78" t="s">
        <v>618</v>
      </c>
      <c r="B782" s="78" t="s">
        <v>19</v>
      </c>
      <c r="C782" s="85">
        <v>44316.0</v>
      </c>
      <c r="D782" s="85">
        <v>44319.0</v>
      </c>
      <c r="E782" s="86">
        <v>2.87</v>
      </c>
      <c r="F782" s="87">
        <v>3.74</v>
      </c>
      <c r="G782" s="88">
        <f t="shared" si="1"/>
        <v>0.87</v>
      </c>
      <c r="H782" s="89">
        <f t="shared" si="2"/>
        <v>0.2326203209</v>
      </c>
      <c r="I782" s="78" t="s">
        <v>1080</v>
      </c>
      <c r="J782" s="78" t="s">
        <v>69</v>
      </c>
      <c r="K782" s="58">
        <f t="shared" si="3"/>
        <v>3</v>
      </c>
      <c r="L782" s="91" t="str">
        <f t="shared" si="4"/>
        <v>Mon</v>
      </c>
      <c r="M782" s="78" t="str">
        <f>IFERROR(VLOOKUP(A782, Entries!A:B,2,false),"")</f>
        <v>M2H</v>
      </c>
      <c r="N782" s="23" t="str">
        <f>IFERROR(VLOOKUP(A782, Entries!A:K,11,false),"")</f>
        <v/>
      </c>
      <c r="O782" s="23" t="b">
        <f>IFERROR(VLOOKUP(A782, Entries!A:I,8,false),"")</f>
        <v>1</v>
      </c>
    </row>
    <row r="783">
      <c r="A783" s="78" t="s">
        <v>753</v>
      </c>
      <c r="B783" s="78" t="s">
        <v>19</v>
      </c>
      <c r="C783" s="85">
        <v>44316.0</v>
      </c>
      <c r="D783" s="85">
        <v>44316.0</v>
      </c>
      <c r="E783" s="86">
        <v>2.87</v>
      </c>
      <c r="F783" s="87">
        <v>4.28</v>
      </c>
      <c r="G783" s="88">
        <f t="shared" si="1"/>
        <v>1.41</v>
      </c>
      <c r="H783" s="89">
        <f t="shared" si="2"/>
        <v>0.3294392523</v>
      </c>
      <c r="I783" s="78" t="s">
        <v>1081</v>
      </c>
      <c r="J783" s="78" t="s">
        <v>69</v>
      </c>
      <c r="K783" s="58">
        <f t="shared" si="3"/>
        <v>0</v>
      </c>
      <c r="L783" s="91" t="str">
        <f t="shared" si="4"/>
        <v>Fri</v>
      </c>
      <c r="M783" s="78" t="str">
        <f>IFERROR(VLOOKUP(A783, Entries!A:B,2,false),"")</f>
        <v>Codemasters</v>
      </c>
      <c r="N783" s="23" t="str">
        <f>IFERROR(VLOOKUP(A783, Entries!A:K,11,false),"")</f>
        <v/>
      </c>
      <c r="O783" s="23" t="b">
        <f>IFERROR(VLOOKUP(A783, Entries!A:I,8,false),"")</f>
        <v>0</v>
      </c>
    </row>
    <row r="784">
      <c r="A784" s="78" t="s">
        <v>1082</v>
      </c>
      <c r="B784" s="78" t="s">
        <v>19</v>
      </c>
      <c r="C784" s="85">
        <v>44316.0</v>
      </c>
      <c r="D784" s="85">
        <v>44320.0</v>
      </c>
      <c r="E784" s="86">
        <v>4.08</v>
      </c>
      <c r="F784" s="87">
        <v>5.61</v>
      </c>
      <c r="G784" s="88">
        <f t="shared" si="1"/>
        <v>1.53</v>
      </c>
      <c r="H784" s="89">
        <f t="shared" si="2"/>
        <v>0.2727272727</v>
      </c>
      <c r="I784" s="78" t="s">
        <v>561</v>
      </c>
      <c r="J784" s="78" t="s">
        <v>69</v>
      </c>
      <c r="K784" s="58">
        <f t="shared" si="3"/>
        <v>4</v>
      </c>
      <c r="L784" s="91" t="str">
        <f t="shared" si="4"/>
        <v>Tue</v>
      </c>
      <c r="M784" s="78" t="str">
        <f>IFERROR(VLOOKUP(A784, Entries!A:B,2,false),"")</f>
        <v>Kalypso Media</v>
      </c>
      <c r="N784" s="23" t="str">
        <f>IFERROR(VLOOKUP(A784, Entries!A:K,11,false),"")</f>
        <v/>
      </c>
      <c r="O784" s="23" t="b">
        <f>IFERROR(VLOOKUP(A784, Entries!A:I,8,false),"")</f>
        <v>0</v>
      </c>
    </row>
    <row r="785">
      <c r="A785" s="78" t="s">
        <v>136</v>
      </c>
      <c r="B785" s="78" t="s">
        <v>26</v>
      </c>
      <c r="C785" s="85">
        <v>44317.0</v>
      </c>
      <c r="D785" s="85">
        <v>44318.0</v>
      </c>
      <c r="E785" s="86">
        <v>3.22</v>
      </c>
      <c r="F785" s="87">
        <v>4.33</v>
      </c>
      <c r="G785" s="88">
        <f t="shared" si="1"/>
        <v>1.11</v>
      </c>
      <c r="H785" s="89">
        <f t="shared" si="2"/>
        <v>0.2563510393</v>
      </c>
      <c r="I785" s="78" t="s">
        <v>1083</v>
      </c>
      <c r="J785" s="78" t="s">
        <v>69</v>
      </c>
      <c r="K785" s="58">
        <f t="shared" si="3"/>
        <v>1</v>
      </c>
      <c r="L785" s="91" t="str">
        <f t="shared" si="4"/>
        <v>Sun</v>
      </c>
      <c r="M785" s="78" t="str">
        <f>IFERROR(VLOOKUP(A785, Entries!A:B,2,false),"")</f>
        <v>Microids</v>
      </c>
      <c r="N785" s="23" t="str">
        <f>IFERROR(VLOOKUP(A785, Entries!A:K,11,false),"")</f>
        <v/>
      </c>
      <c r="O785" s="23" t="b">
        <f>IFERROR(VLOOKUP(A785, Entries!A:I,8,false),"")</f>
        <v>0</v>
      </c>
    </row>
    <row r="786">
      <c r="A786" s="78" t="s">
        <v>1084</v>
      </c>
      <c r="B786" s="78" t="s">
        <v>18</v>
      </c>
      <c r="C786" s="85">
        <v>44318.0</v>
      </c>
      <c r="D786" s="85">
        <v>44327.0</v>
      </c>
      <c r="E786" s="86">
        <v>8.53</v>
      </c>
      <c r="F786" s="87">
        <v>11.74</v>
      </c>
      <c r="G786" s="88">
        <f t="shared" si="1"/>
        <v>3.21</v>
      </c>
      <c r="H786" s="89">
        <f t="shared" si="2"/>
        <v>0.2734241908</v>
      </c>
      <c r="I786" s="78" t="s">
        <v>1085</v>
      </c>
      <c r="J786" s="78" t="s">
        <v>69</v>
      </c>
      <c r="K786" s="58">
        <f t="shared" si="3"/>
        <v>9</v>
      </c>
      <c r="L786" s="91" t="str">
        <f t="shared" si="4"/>
        <v>Tue</v>
      </c>
      <c r="M786" s="78" t="str">
        <f>IFERROR(VLOOKUP(A786, Entries!A:B,2,false),"")</f>
        <v>Milestone</v>
      </c>
      <c r="N786" s="23" t="str">
        <f>IFERROR(VLOOKUP(A786, Entries!A:K,11,false),"")</f>
        <v/>
      </c>
      <c r="O786" s="23" t="b">
        <f>IFERROR(VLOOKUP(A786, Entries!A:I,8,false),"")</f>
        <v>0</v>
      </c>
    </row>
    <row r="787">
      <c r="A787" s="78" t="s">
        <v>136</v>
      </c>
      <c r="B787" s="78" t="s">
        <v>26</v>
      </c>
      <c r="C787" s="85">
        <v>44318.0</v>
      </c>
      <c r="D787" s="85">
        <v>44325.0</v>
      </c>
      <c r="E787" s="86">
        <v>3.24</v>
      </c>
      <c r="F787" s="87">
        <v>4.34</v>
      </c>
      <c r="G787" s="88">
        <f t="shared" si="1"/>
        <v>1.1</v>
      </c>
      <c r="H787" s="89">
        <f t="shared" si="2"/>
        <v>0.2534562212</v>
      </c>
      <c r="I787" s="78" t="s">
        <v>1086</v>
      </c>
      <c r="J787" s="78" t="s">
        <v>69</v>
      </c>
      <c r="K787" s="58">
        <f t="shared" si="3"/>
        <v>7</v>
      </c>
      <c r="L787" s="91" t="str">
        <f t="shared" si="4"/>
        <v>Sun</v>
      </c>
      <c r="M787" s="78" t="str">
        <f>IFERROR(VLOOKUP(A787, Entries!A:B,2,false),"")</f>
        <v>Microids</v>
      </c>
      <c r="N787" s="23" t="str">
        <f>IFERROR(VLOOKUP(A787, Entries!A:K,11,false),"")</f>
        <v/>
      </c>
      <c r="O787" s="23" t="b">
        <f>IFERROR(VLOOKUP(A787, Entries!A:I,8,false),"")</f>
        <v>0</v>
      </c>
    </row>
    <row r="788">
      <c r="A788" s="78" t="s">
        <v>1077</v>
      </c>
      <c r="B788" s="78" t="s">
        <v>19</v>
      </c>
      <c r="C788" s="85">
        <v>44318.0</v>
      </c>
      <c r="D788" s="85">
        <v>44327.0</v>
      </c>
      <c r="E788" s="86">
        <v>2.88</v>
      </c>
      <c r="F788" s="87">
        <v>3.67</v>
      </c>
      <c r="G788" s="88">
        <f t="shared" si="1"/>
        <v>0.79</v>
      </c>
      <c r="H788" s="89">
        <f t="shared" si="2"/>
        <v>0.2152588556</v>
      </c>
      <c r="I788" s="78" t="s">
        <v>1087</v>
      </c>
      <c r="J788" s="78" t="s">
        <v>69</v>
      </c>
      <c r="K788" s="58">
        <f t="shared" si="3"/>
        <v>9</v>
      </c>
      <c r="L788" s="91" t="str">
        <f t="shared" si="4"/>
        <v>Tue</v>
      </c>
      <c r="M788" s="78" t="str">
        <f>IFERROR(VLOOKUP(A788, Entries!A:B,2,false),"")</f>
        <v>Weather Factory</v>
      </c>
      <c r="N788" s="23" t="str">
        <f>IFERROR(VLOOKUP(A788, Entries!A:K,11,false),"")</f>
        <v/>
      </c>
      <c r="O788" s="23" t="b">
        <f>IFERROR(VLOOKUP(A788, Entries!A:I,8,false),"")</f>
        <v>0</v>
      </c>
    </row>
    <row r="789">
      <c r="A789" s="78" t="s">
        <v>840</v>
      </c>
      <c r="B789" s="78" t="s">
        <v>19</v>
      </c>
      <c r="C789" s="85">
        <v>44318.0</v>
      </c>
      <c r="D789" s="85">
        <v>44378.0</v>
      </c>
      <c r="E789" s="86">
        <v>2.89</v>
      </c>
      <c r="F789" s="87">
        <v>3.93</v>
      </c>
      <c r="G789" s="88">
        <f t="shared" si="1"/>
        <v>1.04</v>
      </c>
      <c r="H789" s="89">
        <f t="shared" si="2"/>
        <v>0.2646310433</v>
      </c>
      <c r="I789" s="78" t="s">
        <v>1088</v>
      </c>
      <c r="J789" s="78" t="s">
        <v>69</v>
      </c>
      <c r="K789" s="58">
        <f t="shared" si="3"/>
        <v>60</v>
      </c>
      <c r="L789" s="91" t="str">
        <f t="shared" si="4"/>
        <v>Thu</v>
      </c>
      <c r="M789" s="78" t="str">
        <f>IFERROR(VLOOKUP(A789, Entries!A:B,2,false),"")</f>
        <v>Square Enix</v>
      </c>
      <c r="N789" s="23" t="str">
        <f>IFERROR(VLOOKUP(A789, Entries!A:K,11,false),"")</f>
        <v/>
      </c>
      <c r="O789" s="23" t="b">
        <f>IFERROR(VLOOKUP(A789, Entries!A:I,8,false),"")</f>
        <v>0</v>
      </c>
    </row>
    <row r="790">
      <c r="A790" s="78" t="s">
        <v>1089</v>
      </c>
      <c r="B790" s="78" t="s">
        <v>19</v>
      </c>
      <c r="C790" s="85">
        <v>44318.0</v>
      </c>
      <c r="D790" s="85">
        <v>44324.0</v>
      </c>
      <c r="E790" s="86">
        <v>2.89</v>
      </c>
      <c r="F790" s="87">
        <v>4.09</v>
      </c>
      <c r="G790" s="88">
        <f t="shared" si="1"/>
        <v>1.2</v>
      </c>
      <c r="H790" s="89">
        <f t="shared" si="2"/>
        <v>0.293398533</v>
      </c>
      <c r="I790" s="78" t="s">
        <v>1090</v>
      </c>
      <c r="J790" s="78" t="s">
        <v>69</v>
      </c>
      <c r="K790" s="58">
        <f t="shared" si="3"/>
        <v>6</v>
      </c>
      <c r="L790" s="91" t="str">
        <f t="shared" si="4"/>
        <v>Sat</v>
      </c>
      <c r="M790" s="78" t="str">
        <f>IFERROR(VLOOKUP(A790, Entries!A:B,2,false),"")</f>
        <v>Kalypso Media</v>
      </c>
      <c r="N790" s="23" t="str">
        <f>IFERROR(VLOOKUP(A790, Entries!A:K,11,false),"")</f>
        <v/>
      </c>
      <c r="O790" s="23" t="b">
        <f>IFERROR(VLOOKUP(A790, Entries!A:I,8,false),"")</f>
        <v>0</v>
      </c>
    </row>
    <row r="791">
      <c r="A791" s="78" t="s">
        <v>1082</v>
      </c>
      <c r="B791" s="78" t="s">
        <v>19</v>
      </c>
      <c r="C791" s="85">
        <v>44320.0</v>
      </c>
      <c r="D791" s="85">
        <v>45125.0</v>
      </c>
      <c r="E791" s="86">
        <v>4.11</v>
      </c>
      <c r="F791" s="87">
        <v>2.69</v>
      </c>
      <c r="G791" s="88">
        <f t="shared" si="1"/>
        <v>-1.42</v>
      </c>
      <c r="H791" s="89">
        <f t="shared" si="2"/>
        <v>-0.5278810409</v>
      </c>
      <c r="I791" s="78" t="s">
        <v>1091</v>
      </c>
      <c r="J791" s="78" t="s">
        <v>69</v>
      </c>
      <c r="K791" s="58">
        <f t="shared" si="3"/>
        <v>805</v>
      </c>
      <c r="L791" s="91" t="str">
        <f t="shared" si="4"/>
        <v>Tue</v>
      </c>
      <c r="M791" s="78" t="str">
        <f>IFERROR(VLOOKUP(A791, Entries!A:B,2,false),"")</f>
        <v>Kalypso Media</v>
      </c>
      <c r="N791" s="23" t="str">
        <f>IFERROR(VLOOKUP(A791, Entries!A:K,11,false),"")</f>
        <v/>
      </c>
      <c r="O791" s="23" t="b">
        <f>IFERROR(VLOOKUP(A791, Entries!A:I,8,false),"")</f>
        <v>0</v>
      </c>
    </row>
    <row r="792">
      <c r="A792" s="78" t="s">
        <v>166</v>
      </c>
      <c r="B792" s="78" t="s">
        <v>21</v>
      </c>
      <c r="C792" s="85">
        <v>44322.0</v>
      </c>
      <c r="D792" s="85">
        <v>44375.0</v>
      </c>
      <c r="E792" s="86">
        <v>0.35</v>
      </c>
      <c r="F792" s="87">
        <v>0.42</v>
      </c>
      <c r="G792" s="88">
        <f t="shared" si="1"/>
        <v>0.07</v>
      </c>
      <c r="H792" s="89">
        <f t="shared" si="2"/>
        <v>0.1666666667</v>
      </c>
      <c r="I792" s="78" t="s">
        <v>1092</v>
      </c>
      <c r="J792" s="78" t="s">
        <v>69</v>
      </c>
      <c r="K792" s="58">
        <f t="shared" si="3"/>
        <v>53</v>
      </c>
      <c r="L792" s="91" t="str">
        <f t="shared" si="4"/>
        <v>Mon</v>
      </c>
      <c r="M792" s="78" t="str">
        <f>IFERROR(VLOOKUP(A792, Entries!A:B,2,false),"")</f>
        <v>Revival Productions</v>
      </c>
      <c r="N792" s="23" t="str">
        <f>IFERROR(VLOOKUP(A792, Entries!A:K,11,false),"")</f>
        <v/>
      </c>
      <c r="O792" s="23" t="b">
        <f>IFERROR(VLOOKUP(A792, Entries!A:I,8,false),"")</f>
        <v>0</v>
      </c>
    </row>
    <row r="793">
      <c r="A793" s="78" t="s">
        <v>166</v>
      </c>
      <c r="B793" s="78" t="s">
        <v>21</v>
      </c>
      <c r="C793" s="85">
        <v>44322.0</v>
      </c>
      <c r="D793" s="25"/>
      <c r="E793" s="86">
        <v>0.35</v>
      </c>
      <c r="F793" s="88"/>
      <c r="G793" s="88">
        <f t="shared" si="1"/>
        <v>-0.35</v>
      </c>
      <c r="H793" s="89" t="str">
        <f t="shared" si="2"/>
        <v/>
      </c>
      <c r="J793" s="78" t="s">
        <v>1093</v>
      </c>
      <c r="K793" s="58" t="str">
        <f t="shared" si="3"/>
        <v/>
      </c>
      <c r="L793" s="91" t="str">
        <f>IF(D793="","",TEXT(D793,"DDDD"))</f>
        <v/>
      </c>
      <c r="M793" s="78" t="str">
        <f>IFERROR(VLOOKUP(A793, Unique!A:E,5,false),"")</f>
        <v/>
      </c>
    </row>
    <row r="794">
      <c r="A794" s="78" t="s">
        <v>75</v>
      </c>
      <c r="B794" s="78" t="s">
        <v>19</v>
      </c>
      <c r="C794" s="85">
        <v>44323.0</v>
      </c>
      <c r="D794" s="85">
        <v>44324.0</v>
      </c>
      <c r="E794" s="86">
        <v>11.38</v>
      </c>
      <c r="F794" s="87">
        <v>13.92</v>
      </c>
      <c r="G794" s="88">
        <f t="shared" si="1"/>
        <v>2.54</v>
      </c>
      <c r="H794" s="89">
        <f t="shared" si="2"/>
        <v>0.1824712644</v>
      </c>
      <c r="I794" s="78" t="s">
        <v>1094</v>
      </c>
      <c r="J794" s="78" t="s">
        <v>69</v>
      </c>
      <c r="K794" s="58">
        <f t="shared" si="3"/>
        <v>1</v>
      </c>
      <c r="L794" s="91" t="str">
        <f t="shared" ref="L794:L820" si="5">IF(D794="","",TEXT(D794,"DDD"))</f>
        <v>Sat</v>
      </c>
      <c r="M794" s="78" t="str">
        <f>IFERROR(VLOOKUP(A794, Entries!A:B,2,false),"")</f>
        <v>Square Enix</v>
      </c>
      <c r="N794" s="23" t="str">
        <f>IFERROR(VLOOKUP(A794, Entries!A:K,11,false),"")</f>
        <v/>
      </c>
      <c r="O794" s="23" t="b">
        <f>IFERROR(VLOOKUP(A794, Entries!A:I,8,false),"")</f>
        <v>1</v>
      </c>
    </row>
    <row r="795">
      <c r="A795" s="78" t="s">
        <v>75</v>
      </c>
      <c r="B795" s="78" t="s">
        <v>19</v>
      </c>
      <c r="C795" s="85">
        <v>44323.0</v>
      </c>
      <c r="D795" s="85">
        <v>44326.0</v>
      </c>
      <c r="E795" s="86">
        <v>11.38</v>
      </c>
      <c r="F795" s="87">
        <v>13.93</v>
      </c>
      <c r="G795" s="88">
        <f t="shared" si="1"/>
        <v>2.55</v>
      </c>
      <c r="H795" s="89">
        <f t="shared" si="2"/>
        <v>0.1830581479</v>
      </c>
      <c r="I795" s="78" t="s">
        <v>1095</v>
      </c>
      <c r="J795" s="78" t="s">
        <v>69</v>
      </c>
      <c r="K795" s="58">
        <f t="shared" si="3"/>
        <v>3</v>
      </c>
      <c r="L795" s="91" t="str">
        <f t="shared" si="5"/>
        <v>Mon</v>
      </c>
      <c r="M795" s="78" t="str">
        <f>IFERROR(VLOOKUP(A795, Entries!A:B,2,false),"")</f>
        <v>Square Enix</v>
      </c>
      <c r="N795" s="23" t="str">
        <f>IFERROR(VLOOKUP(A795, Entries!A:K,11,false),"")</f>
        <v/>
      </c>
      <c r="O795" s="23" t="b">
        <f>IFERROR(VLOOKUP(A795, Entries!A:I,8,false),"")</f>
        <v>1</v>
      </c>
    </row>
    <row r="796">
      <c r="A796" s="78" t="s">
        <v>1096</v>
      </c>
      <c r="B796" s="78" t="s">
        <v>23</v>
      </c>
      <c r="C796" s="85">
        <v>44324.0</v>
      </c>
      <c r="D796" s="85">
        <v>44324.0</v>
      </c>
      <c r="E796" s="86">
        <v>18.24</v>
      </c>
      <c r="F796" s="87">
        <v>23.01</v>
      </c>
      <c r="G796" s="88">
        <f t="shared" si="1"/>
        <v>4.77</v>
      </c>
      <c r="H796" s="89">
        <f t="shared" si="2"/>
        <v>0.2073011734</v>
      </c>
      <c r="I796" s="78" t="s">
        <v>1097</v>
      </c>
      <c r="J796" s="78" t="s">
        <v>69</v>
      </c>
      <c r="K796" s="58">
        <f t="shared" si="3"/>
        <v>0</v>
      </c>
      <c r="L796" s="91" t="str">
        <f t="shared" si="5"/>
        <v>Sat</v>
      </c>
      <c r="M796" s="78" t="str">
        <f>IFERROR(VLOOKUP(A796, Entries!A:B,2,false),"")</f>
        <v>Good Shepherd Entertainment</v>
      </c>
      <c r="N796" s="23" t="str">
        <f>IFERROR(VLOOKUP(A796, Entries!A:K,11,false),"")</f>
        <v/>
      </c>
      <c r="O796" s="23" t="b">
        <f>IFERROR(VLOOKUP(A796, Entries!A:I,8,false),"")</f>
        <v>0</v>
      </c>
    </row>
    <row r="797">
      <c r="A797" s="78" t="s">
        <v>1096</v>
      </c>
      <c r="B797" s="78" t="s">
        <v>23</v>
      </c>
      <c r="C797" s="85">
        <v>44324.0</v>
      </c>
      <c r="D797" s="85">
        <v>44327.0</v>
      </c>
      <c r="E797" s="86">
        <v>18.24</v>
      </c>
      <c r="F797" s="87">
        <v>22.24</v>
      </c>
      <c r="G797" s="88">
        <f t="shared" si="1"/>
        <v>4</v>
      </c>
      <c r="H797" s="89">
        <f t="shared" si="2"/>
        <v>0.1798561151</v>
      </c>
      <c r="I797" s="78" t="s">
        <v>1098</v>
      </c>
      <c r="J797" s="78" t="s">
        <v>69</v>
      </c>
      <c r="K797" s="58">
        <f t="shared" si="3"/>
        <v>3</v>
      </c>
      <c r="L797" s="91" t="str">
        <f t="shared" si="5"/>
        <v>Tue</v>
      </c>
      <c r="M797" s="78" t="str">
        <f>IFERROR(VLOOKUP(A797, Entries!A:B,2,false),"")</f>
        <v>Good Shepherd Entertainment</v>
      </c>
      <c r="N797" s="23" t="str">
        <f>IFERROR(VLOOKUP(A797, Entries!A:K,11,false),"")</f>
        <v/>
      </c>
      <c r="O797" s="23" t="b">
        <f>IFERROR(VLOOKUP(A797, Entries!A:I,8,false),"")</f>
        <v>0</v>
      </c>
    </row>
    <row r="798">
      <c r="A798" s="78" t="s">
        <v>75</v>
      </c>
      <c r="B798" s="78" t="s">
        <v>19</v>
      </c>
      <c r="C798" s="85">
        <v>44324.0</v>
      </c>
      <c r="D798" s="85">
        <v>44329.0</v>
      </c>
      <c r="E798" s="86">
        <v>11.32</v>
      </c>
      <c r="F798" s="87">
        <v>15.85</v>
      </c>
      <c r="G798" s="88">
        <f t="shared" si="1"/>
        <v>4.53</v>
      </c>
      <c r="H798" s="89">
        <f t="shared" si="2"/>
        <v>0.2858044164</v>
      </c>
      <c r="I798" s="78" t="s">
        <v>1099</v>
      </c>
      <c r="J798" s="78" t="s">
        <v>69</v>
      </c>
      <c r="K798" s="58">
        <f t="shared" si="3"/>
        <v>5</v>
      </c>
      <c r="L798" s="91" t="str">
        <f t="shared" si="5"/>
        <v>Thu</v>
      </c>
      <c r="M798" s="78" t="str">
        <f>IFERROR(VLOOKUP(A798, Entries!A:B,2,false),"")</f>
        <v>Square Enix</v>
      </c>
      <c r="N798" s="23" t="str">
        <f>IFERROR(VLOOKUP(A798, Entries!A:K,11,false),"")</f>
        <v/>
      </c>
      <c r="O798" s="23" t="b">
        <f>IFERROR(VLOOKUP(A798, Entries!A:I,8,false),"")</f>
        <v>1</v>
      </c>
    </row>
    <row r="799">
      <c r="A799" s="78" t="s">
        <v>1089</v>
      </c>
      <c r="B799" s="78" t="s">
        <v>19</v>
      </c>
      <c r="C799" s="85">
        <v>44324.0</v>
      </c>
      <c r="D799" s="85">
        <v>44326.0</v>
      </c>
      <c r="E799" s="86">
        <v>2.88</v>
      </c>
      <c r="F799" s="87">
        <v>3.76</v>
      </c>
      <c r="G799" s="88">
        <f t="shared" si="1"/>
        <v>0.88</v>
      </c>
      <c r="H799" s="89">
        <f t="shared" si="2"/>
        <v>0.2340425532</v>
      </c>
      <c r="I799" s="78" t="s">
        <v>1100</v>
      </c>
      <c r="J799" s="78" t="s">
        <v>69</v>
      </c>
      <c r="K799" s="58">
        <f t="shared" si="3"/>
        <v>2</v>
      </c>
      <c r="L799" s="91" t="str">
        <f t="shared" si="5"/>
        <v>Mon</v>
      </c>
      <c r="M799" s="78" t="str">
        <f>IFERROR(VLOOKUP(A799, Entries!A:B,2,false),"")</f>
        <v>Kalypso Media</v>
      </c>
      <c r="N799" s="23" t="str">
        <f>IFERROR(VLOOKUP(A799, Entries!A:K,11,false),"")</f>
        <v/>
      </c>
      <c r="O799" s="23" t="b">
        <f>IFERROR(VLOOKUP(A799, Entries!A:I,8,false),"")</f>
        <v>0</v>
      </c>
    </row>
    <row r="800">
      <c r="A800" s="96" t="s">
        <v>753</v>
      </c>
      <c r="B800" s="78" t="s">
        <v>19</v>
      </c>
      <c r="C800" s="85">
        <v>44324.0</v>
      </c>
      <c r="D800" s="85">
        <v>44324.0</v>
      </c>
      <c r="E800" s="86">
        <v>2.88</v>
      </c>
      <c r="F800" s="87">
        <v>4.28</v>
      </c>
      <c r="G800" s="88">
        <f t="shared" si="1"/>
        <v>1.4</v>
      </c>
      <c r="H800" s="89">
        <f t="shared" si="2"/>
        <v>0.3271028037</v>
      </c>
      <c r="I800" s="78" t="s">
        <v>65</v>
      </c>
      <c r="J800" s="78" t="s">
        <v>69</v>
      </c>
      <c r="K800" s="58">
        <f t="shared" si="3"/>
        <v>0</v>
      </c>
      <c r="L800" s="91" t="str">
        <f t="shared" si="5"/>
        <v>Sat</v>
      </c>
      <c r="M800" s="78" t="str">
        <f>IFERROR(VLOOKUP(A800, Entries!A:B,2,false),"")</f>
        <v>Codemasters</v>
      </c>
      <c r="N800" s="23" t="str">
        <f>IFERROR(VLOOKUP(A800, Entries!A:K,11,false),"")</f>
        <v/>
      </c>
      <c r="O800" s="23" t="b">
        <f>IFERROR(VLOOKUP(A800, Entries!A:I,8,false),"")</f>
        <v>0</v>
      </c>
    </row>
    <row r="801">
      <c r="A801" s="78" t="s">
        <v>618</v>
      </c>
      <c r="B801" s="78" t="s">
        <v>19</v>
      </c>
      <c r="C801" s="85">
        <v>44324.0</v>
      </c>
      <c r="D801" s="85">
        <v>44326.0</v>
      </c>
      <c r="E801" s="86">
        <v>2.87</v>
      </c>
      <c r="F801" s="87">
        <v>3.72</v>
      </c>
      <c r="G801" s="88">
        <f t="shared" si="1"/>
        <v>0.85</v>
      </c>
      <c r="H801" s="89">
        <f t="shared" si="2"/>
        <v>0.2284946237</v>
      </c>
      <c r="I801" s="78" t="s">
        <v>1101</v>
      </c>
      <c r="J801" s="78" t="s">
        <v>69</v>
      </c>
      <c r="K801" s="58">
        <f t="shared" si="3"/>
        <v>2</v>
      </c>
      <c r="L801" s="91" t="str">
        <f t="shared" si="5"/>
        <v>Mon</v>
      </c>
      <c r="M801" s="78" t="str">
        <f>IFERROR(VLOOKUP(A801, Entries!A:B,2,false),"")</f>
        <v>M2H</v>
      </c>
      <c r="N801" s="23" t="str">
        <f>IFERROR(VLOOKUP(A801, Entries!A:K,11,false),"")</f>
        <v/>
      </c>
      <c r="O801" s="23" t="b">
        <f>IFERROR(VLOOKUP(A801, Entries!A:I,8,false),"")</f>
        <v>1</v>
      </c>
    </row>
    <row r="802">
      <c r="A802" s="78" t="s">
        <v>892</v>
      </c>
      <c r="B802" s="78" t="s">
        <v>22</v>
      </c>
      <c r="C802" s="85">
        <v>44324.0</v>
      </c>
      <c r="D802" s="85">
        <v>44325.0</v>
      </c>
      <c r="E802" s="86">
        <v>17.29</v>
      </c>
      <c r="F802" s="87">
        <v>24.04</v>
      </c>
      <c r="G802" s="88">
        <f t="shared" si="1"/>
        <v>6.75</v>
      </c>
      <c r="H802" s="89">
        <f t="shared" si="2"/>
        <v>0.28078203</v>
      </c>
      <c r="I802" s="78" t="s">
        <v>1102</v>
      </c>
      <c r="J802" s="78" t="s">
        <v>69</v>
      </c>
      <c r="K802" s="58">
        <f t="shared" si="3"/>
        <v>1</v>
      </c>
      <c r="L802" s="91" t="str">
        <f t="shared" si="5"/>
        <v>Sun</v>
      </c>
      <c r="M802" s="78" t="str">
        <f>IFERROR(VLOOKUP(A802, Entries!A:B,2,false),"")</f>
        <v>Square Enix</v>
      </c>
      <c r="N802" s="23" t="str">
        <f>IFERROR(VLOOKUP(A802, Entries!A:K,11,false),"")</f>
        <v/>
      </c>
      <c r="O802" s="23" t="b">
        <f>IFERROR(VLOOKUP(A802, Entries!A:I,8,false),"")</f>
        <v>1</v>
      </c>
    </row>
    <row r="803">
      <c r="A803" s="78" t="s">
        <v>610</v>
      </c>
      <c r="B803" s="78" t="s">
        <v>22</v>
      </c>
      <c r="C803" s="85">
        <v>44324.0</v>
      </c>
      <c r="D803" s="85">
        <v>44353.0</v>
      </c>
      <c r="E803" s="86">
        <v>3.54</v>
      </c>
      <c r="F803" s="87">
        <v>4.49</v>
      </c>
      <c r="G803" s="88">
        <f t="shared" si="1"/>
        <v>0.95</v>
      </c>
      <c r="H803" s="89">
        <f t="shared" si="2"/>
        <v>0.2115812918</v>
      </c>
      <c r="I803" s="78" t="s">
        <v>1103</v>
      </c>
      <c r="J803" s="78" t="s">
        <v>69</v>
      </c>
      <c r="K803" s="58">
        <f t="shared" si="3"/>
        <v>29</v>
      </c>
      <c r="L803" s="91" t="str">
        <f t="shared" si="5"/>
        <v>Sun</v>
      </c>
      <c r="M803" s="78" t="str">
        <f>IFERROR(VLOOKUP(A803, Entries!A:B,2,false),"")</f>
        <v>Square Enix</v>
      </c>
      <c r="N803" s="23" t="str">
        <f>IFERROR(VLOOKUP(A803, Entries!A:K,11,false),"")</f>
        <v/>
      </c>
      <c r="O803" s="23" t="b">
        <f>IFERROR(VLOOKUP(A803, Entries!A:I,8,false),"")</f>
        <v>0</v>
      </c>
    </row>
    <row r="804">
      <c r="A804" s="78" t="s">
        <v>1104</v>
      </c>
      <c r="B804" s="78" t="s">
        <v>19</v>
      </c>
      <c r="C804" s="85">
        <v>44326.0</v>
      </c>
      <c r="D804" s="85">
        <v>44326.0</v>
      </c>
      <c r="E804" s="86">
        <v>7.38</v>
      </c>
      <c r="F804" s="87">
        <v>12.36</v>
      </c>
      <c r="G804" s="88">
        <f t="shared" si="1"/>
        <v>4.98</v>
      </c>
      <c r="H804" s="89">
        <f t="shared" si="2"/>
        <v>0.4029126214</v>
      </c>
      <c r="I804" s="78" t="s">
        <v>1105</v>
      </c>
      <c r="J804" s="78" t="s">
        <v>69</v>
      </c>
      <c r="K804" s="58">
        <f t="shared" si="3"/>
        <v>0</v>
      </c>
      <c r="L804" s="91" t="str">
        <f t="shared" si="5"/>
        <v>Mon</v>
      </c>
      <c r="M804" s="78" t="str">
        <f>IFERROR(VLOOKUP(A804, Entries!A:B,2,false),"")</f>
        <v>CAPCOM</v>
      </c>
      <c r="N804" s="23" t="str">
        <f>IFERROR(VLOOKUP(A804, Entries!A:K,11,false),"")</f>
        <v/>
      </c>
      <c r="O804" s="23" t="b">
        <f>IFERROR(VLOOKUP(A804, Entries!A:I,8,false),"")</f>
        <v>0</v>
      </c>
    </row>
    <row r="805">
      <c r="A805" s="78" t="s">
        <v>1104</v>
      </c>
      <c r="B805" s="78" t="s">
        <v>19</v>
      </c>
      <c r="C805" s="85">
        <v>44326.0</v>
      </c>
      <c r="D805" s="85">
        <v>44327.0</v>
      </c>
      <c r="E805" s="86">
        <v>7.38</v>
      </c>
      <c r="F805" s="87">
        <v>12.31</v>
      </c>
      <c r="G805" s="88">
        <f t="shared" si="1"/>
        <v>4.93</v>
      </c>
      <c r="H805" s="89">
        <f t="shared" si="2"/>
        <v>0.4004874086</v>
      </c>
      <c r="I805" s="78" t="s">
        <v>1106</v>
      </c>
      <c r="J805" s="78" t="s">
        <v>69</v>
      </c>
      <c r="K805" s="58">
        <f t="shared" si="3"/>
        <v>1</v>
      </c>
      <c r="L805" s="91" t="str">
        <f t="shared" si="5"/>
        <v>Tue</v>
      </c>
      <c r="M805" s="78" t="str">
        <f>IFERROR(VLOOKUP(A805, Entries!A:B,2,false),"")</f>
        <v>CAPCOM</v>
      </c>
      <c r="N805" s="23" t="str">
        <f>IFERROR(VLOOKUP(A805, Entries!A:K,11,false),"")</f>
        <v/>
      </c>
      <c r="O805" s="23" t="b">
        <f>IFERROR(VLOOKUP(A805, Entries!A:I,8,false),"")</f>
        <v>0</v>
      </c>
    </row>
    <row r="806">
      <c r="A806" s="78" t="s">
        <v>1107</v>
      </c>
      <c r="B806" s="78" t="s">
        <v>19</v>
      </c>
      <c r="C806" s="85">
        <v>44326.0</v>
      </c>
      <c r="D806" s="85">
        <v>44330.0</v>
      </c>
      <c r="E806" s="86">
        <v>20.73</v>
      </c>
      <c r="F806" s="87">
        <v>28.29</v>
      </c>
      <c r="G806" s="88">
        <f t="shared" si="1"/>
        <v>7.56</v>
      </c>
      <c r="H806" s="89">
        <f t="shared" si="2"/>
        <v>0.2672322375</v>
      </c>
      <c r="I806" s="78" t="s">
        <v>1108</v>
      </c>
      <c r="J806" s="78" t="s">
        <v>69</v>
      </c>
      <c r="K806" s="58">
        <f t="shared" si="3"/>
        <v>4</v>
      </c>
      <c r="L806" s="91" t="str">
        <f t="shared" si="5"/>
        <v>Fri</v>
      </c>
      <c r="M806" s="78" t="str">
        <f>IFERROR(VLOOKUP(A806, Entries!A:B,2,false),"")</f>
        <v>inXile Entertainment</v>
      </c>
      <c r="N806" s="23" t="str">
        <f>IFERROR(VLOOKUP(A806, Entries!A:K,11,false),"")</f>
        <v/>
      </c>
      <c r="O806" s="23" t="b">
        <f>IFERROR(VLOOKUP(A806, Entries!A:I,8,false),"")</f>
        <v>0</v>
      </c>
    </row>
    <row r="807">
      <c r="A807" s="78" t="s">
        <v>1107</v>
      </c>
      <c r="B807" s="78" t="s">
        <v>19</v>
      </c>
      <c r="C807" s="85">
        <v>44326.0</v>
      </c>
      <c r="D807" s="85">
        <v>44330.0</v>
      </c>
      <c r="E807" s="86">
        <v>20.73</v>
      </c>
      <c r="F807" s="87">
        <v>28.29</v>
      </c>
      <c r="G807" s="88">
        <f t="shared" si="1"/>
        <v>7.56</v>
      </c>
      <c r="H807" s="89">
        <f t="shared" si="2"/>
        <v>0.2672322375</v>
      </c>
      <c r="I807" s="78" t="s">
        <v>1109</v>
      </c>
      <c r="J807" s="78" t="s">
        <v>69</v>
      </c>
      <c r="K807" s="58">
        <f t="shared" si="3"/>
        <v>4</v>
      </c>
      <c r="L807" s="91" t="str">
        <f t="shared" si="5"/>
        <v>Fri</v>
      </c>
      <c r="M807" s="78" t="str">
        <f>IFERROR(VLOOKUP(A807, Entries!A:B,2,false),"")</f>
        <v>inXile Entertainment</v>
      </c>
      <c r="N807" s="23" t="str">
        <f>IFERROR(VLOOKUP(A807, Entries!A:K,11,false),"")</f>
        <v/>
      </c>
      <c r="O807" s="23" t="b">
        <f>IFERROR(VLOOKUP(A807, Entries!A:I,8,false),"")</f>
        <v>0</v>
      </c>
    </row>
    <row r="808">
      <c r="A808" s="78" t="s">
        <v>950</v>
      </c>
      <c r="B808" s="78" t="s">
        <v>19</v>
      </c>
      <c r="C808" s="85">
        <v>44326.0</v>
      </c>
      <c r="D808" s="85">
        <v>44429.0</v>
      </c>
      <c r="E808" s="86">
        <v>0.0</v>
      </c>
      <c r="F808" s="87">
        <v>1.07</v>
      </c>
      <c r="G808" s="88">
        <f t="shared" si="1"/>
        <v>1.07</v>
      </c>
      <c r="H808" s="89">
        <f t="shared" si="2"/>
        <v>1</v>
      </c>
      <c r="I808" s="78" t="s">
        <v>1110</v>
      </c>
      <c r="J808" s="78" t="s">
        <v>69</v>
      </c>
      <c r="K808" s="58">
        <f t="shared" si="3"/>
        <v>103</v>
      </c>
      <c r="L808" s="91" t="str">
        <f t="shared" si="5"/>
        <v>Sat</v>
      </c>
      <c r="M808" s="78" t="str">
        <f>IFERROR(VLOOKUP(A808, Entries!A:B,2,false),"")</f>
        <v>Codemasters</v>
      </c>
      <c r="N808" s="23" t="str">
        <f>IFERROR(VLOOKUP(A808, Entries!A:K,11,false),"")</f>
        <v/>
      </c>
      <c r="O808" s="23" t="b">
        <f>IFERROR(VLOOKUP(A808, Entries!A:I,8,false),"")</f>
        <v>0</v>
      </c>
    </row>
    <row r="809">
      <c r="A809" s="78" t="s">
        <v>75</v>
      </c>
      <c r="B809" s="78" t="s">
        <v>19</v>
      </c>
      <c r="C809" s="85">
        <v>44326.0</v>
      </c>
      <c r="D809" s="85">
        <v>44330.0</v>
      </c>
      <c r="E809" s="86">
        <v>11.05</v>
      </c>
      <c r="F809" s="87">
        <v>15.85</v>
      </c>
      <c r="G809" s="88">
        <f t="shared" si="1"/>
        <v>4.8</v>
      </c>
      <c r="H809" s="89">
        <f t="shared" si="2"/>
        <v>0.3028391167</v>
      </c>
      <c r="I809" s="78" t="s">
        <v>1111</v>
      </c>
      <c r="J809" s="78" t="s">
        <v>69</v>
      </c>
      <c r="K809" s="58">
        <f t="shared" si="3"/>
        <v>4</v>
      </c>
      <c r="L809" s="91" t="str">
        <f t="shared" si="5"/>
        <v>Fri</v>
      </c>
      <c r="M809" s="78" t="str">
        <f>IFERROR(VLOOKUP(A809, Entries!A:B,2,false),"")</f>
        <v>Square Enix</v>
      </c>
      <c r="N809" s="23" t="str">
        <f>IFERROR(VLOOKUP(A809, Entries!A:K,11,false),"")</f>
        <v/>
      </c>
      <c r="O809" s="23" t="b">
        <f>IFERROR(VLOOKUP(A809, Entries!A:I,8,false),"")</f>
        <v>1</v>
      </c>
    </row>
    <row r="810">
      <c r="A810" s="78" t="s">
        <v>950</v>
      </c>
      <c r="B810" s="78" t="s">
        <v>19</v>
      </c>
      <c r="C810" s="85">
        <v>44326.0</v>
      </c>
      <c r="D810" s="85">
        <v>44429.0</v>
      </c>
      <c r="E810" s="86">
        <v>0.0</v>
      </c>
      <c r="F810" s="87">
        <v>1.07</v>
      </c>
      <c r="G810" s="88">
        <f t="shared" si="1"/>
        <v>1.07</v>
      </c>
      <c r="H810" s="89">
        <f t="shared" si="2"/>
        <v>1</v>
      </c>
      <c r="I810" s="78" t="s">
        <v>1112</v>
      </c>
      <c r="J810" s="78" t="s">
        <v>69</v>
      </c>
      <c r="K810" s="58">
        <f t="shared" si="3"/>
        <v>103</v>
      </c>
      <c r="L810" s="91" t="str">
        <f t="shared" si="5"/>
        <v>Sat</v>
      </c>
      <c r="M810" s="78" t="str">
        <f>IFERROR(VLOOKUP(A810, Entries!A:B,2,false),"")</f>
        <v>Codemasters</v>
      </c>
      <c r="N810" s="23" t="str">
        <f>IFERROR(VLOOKUP(A810, Entries!A:K,11,false),"")</f>
        <v/>
      </c>
      <c r="O810" s="23" t="b">
        <f>IFERROR(VLOOKUP(A810, Entries!A:I,8,false),"")</f>
        <v>0</v>
      </c>
    </row>
    <row r="811">
      <c r="A811" s="78" t="s">
        <v>1107</v>
      </c>
      <c r="B811" s="78" t="s">
        <v>19</v>
      </c>
      <c r="C811" s="85">
        <v>44326.0</v>
      </c>
      <c r="D811" s="85">
        <v>44369.0</v>
      </c>
      <c r="E811" s="86">
        <v>16.59</v>
      </c>
      <c r="F811" s="87">
        <v>22.44</v>
      </c>
      <c r="G811" s="88">
        <f t="shared" si="1"/>
        <v>5.85</v>
      </c>
      <c r="H811" s="89">
        <f t="shared" si="2"/>
        <v>0.2606951872</v>
      </c>
      <c r="I811" s="78" t="s">
        <v>1113</v>
      </c>
      <c r="J811" s="78" t="s">
        <v>69</v>
      </c>
      <c r="K811" s="58">
        <f t="shared" si="3"/>
        <v>43</v>
      </c>
      <c r="L811" s="91" t="str">
        <f t="shared" si="5"/>
        <v>Tue</v>
      </c>
      <c r="M811" s="78" t="str">
        <f>IFERROR(VLOOKUP(A811, Entries!A:B,2,false),"")</f>
        <v>inXile Entertainment</v>
      </c>
      <c r="N811" s="23" t="str">
        <f>IFERROR(VLOOKUP(A811, Entries!A:K,11,false),"")</f>
        <v/>
      </c>
      <c r="O811" s="23" t="b">
        <f>IFERROR(VLOOKUP(A811, Entries!A:I,8,false),"")</f>
        <v>0</v>
      </c>
    </row>
    <row r="812">
      <c r="A812" s="78" t="s">
        <v>1114</v>
      </c>
      <c r="B812" s="78" t="s">
        <v>19</v>
      </c>
      <c r="C812" s="85">
        <v>44326.0</v>
      </c>
      <c r="D812" s="85">
        <v>44331.0</v>
      </c>
      <c r="E812" s="86">
        <v>0.0</v>
      </c>
      <c r="F812" s="87">
        <v>0.46</v>
      </c>
      <c r="G812" s="88">
        <f t="shared" si="1"/>
        <v>0.46</v>
      </c>
      <c r="H812" s="89">
        <f t="shared" si="2"/>
        <v>1</v>
      </c>
      <c r="I812" s="78" t="s">
        <v>1115</v>
      </c>
      <c r="J812" s="78" t="s">
        <v>69</v>
      </c>
      <c r="K812" s="58">
        <f t="shared" si="3"/>
        <v>5</v>
      </c>
      <c r="L812" s="91" t="str">
        <f t="shared" si="5"/>
        <v>Sat</v>
      </c>
      <c r="M812" s="78" t="str">
        <f>IFERROR(VLOOKUP(A812, Entries!A:B,2,false),"")</f>
        <v>Daedalic Entertainment</v>
      </c>
      <c r="N812" s="23" t="str">
        <f>IFERROR(VLOOKUP(A812, Entries!A:K,11,false),"")</f>
        <v/>
      </c>
      <c r="O812" s="23" t="b">
        <f>IFERROR(VLOOKUP(A812, Entries!A:I,8,false),"")</f>
        <v>0</v>
      </c>
    </row>
    <row r="813">
      <c r="A813" s="78" t="s">
        <v>1023</v>
      </c>
      <c r="B813" s="78" t="s">
        <v>19</v>
      </c>
      <c r="C813" s="85">
        <v>44328.0</v>
      </c>
      <c r="D813" s="85">
        <v>44328.0</v>
      </c>
      <c r="E813" s="86">
        <v>4.29</v>
      </c>
      <c r="F813" s="87">
        <v>5.41</v>
      </c>
      <c r="G813" s="88">
        <f t="shared" si="1"/>
        <v>1.12</v>
      </c>
      <c r="H813" s="89">
        <f t="shared" si="2"/>
        <v>0.2070240296</v>
      </c>
      <c r="I813" s="78" t="s">
        <v>1116</v>
      </c>
      <c r="J813" s="78" t="s">
        <v>69</v>
      </c>
      <c r="K813" s="58">
        <f t="shared" si="3"/>
        <v>0</v>
      </c>
      <c r="L813" s="91" t="str">
        <f t="shared" si="5"/>
        <v>Wed</v>
      </c>
      <c r="M813" s="78" t="str">
        <f>IFERROR(VLOOKUP(A813, Entries!A:B,2,false),"")</f>
        <v>Square Enix</v>
      </c>
      <c r="N813" s="23" t="str">
        <f>IFERROR(VLOOKUP(A813, Entries!A:K,11,false),"")</f>
        <v/>
      </c>
      <c r="O813" s="23" t="b">
        <f>IFERROR(VLOOKUP(A813, Entries!A:I,8,false),"")</f>
        <v>0</v>
      </c>
    </row>
    <row r="814">
      <c r="A814" s="78" t="s">
        <v>1023</v>
      </c>
      <c r="B814" s="78" t="s">
        <v>19</v>
      </c>
      <c r="C814" s="85">
        <v>44328.0</v>
      </c>
      <c r="D814" s="85">
        <v>44352.0</v>
      </c>
      <c r="E814" s="86">
        <v>4.29</v>
      </c>
      <c r="F814" s="87">
        <v>5.07</v>
      </c>
      <c r="G814" s="88">
        <f t="shared" si="1"/>
        <v>0.78</v>
      </c>
      <c r="H814" s="89">
        <f t="shared" si="2"/>
        <v>0.1538461538</v>
      </c>
      <c r="I814" s="78" t="s">
        <v>1117</v>
      </c>
      <c r="J814" s="78" t="s">
        <v>69</v>
      </c>
      <c r="K814" s="58">
        <f t="shared" si="3"/>
        <v>24</v>
      </c>
      <c r="L814" s="91" t="str">
        <f t="shared" si="5"/>
        <v>Sat</v>
      </c>
      <c r="M814" s="78" t="str">
        <f>IFERROR(VLOOKUP(A814, Entries!A:B,2,false),"")</f>
        <v>Square Enix</v>
      </c>
      <c r="N814" s="23" t="str">
        <f>IFERROR(VLOOKUP(A814, Entries!A:K,11,false),"")</f>
        <v/>
      </c>
      <c r="O814" s="23" t="b">
        <f>IFERROR(VLOOKUP(A814, Entries!A:I,8,false),"")</f>
        <v>0</v>
      </c>
    </row>
    <row r="815">
      <c r="A815" s="78" t="s">
        <v>553</v>
      </c>
      <c r="B815" s="78" t="s">
        <v>19</v>
      </c>
      <c r="C815" s="85">
        <v>44328.0</v>
      </c>
      <c r="D815" s="85">
        <v>44341.0</v>
      </c>
      <c r="E815" s="86">
        <v>8.15</v>
      </c>
      <c r="F815" s="87">
        <v>12.74</v>
      </c>
      <c r="G815" s="88">
        <f t="shared" si="1"/>
        <v>4.59</v>
      </c>
      <c r="H815" s="89">
        <f t="shared" si="2"/>
        <v>0.3602825746</v>
      </c>
      <c r="I815" s="78" t="s">
        <v>1118</v>
      </c>
      <c r="J815" s="78" t="s">
        <v>69</v>
      </c>
      <c r="K815" s="58">
        <f t="shared" si="3"/>
        <v>13</v>
      </c>
      <c r="L815" s="91" t="str">
        <f t="shared" si="5"/>
        <v>Tue</v>
      </c>
      <c r="M815" s="78" t="str">
        <f>IFERROR(VLOOKUP(A815, Entries!A:B,2,false),"")</f>
        <v>Beamdog</v>
      </c>
      <c r="N815" s="23" t="str">
        <f>IFERROR(VLOOKUP(A815, Entries!A:K,11,false),"")</f>
        <v/>
      </c>
      <c r="O815" s="23" t="b">
        <f>IFERROR(VLOOKUP(A815, Entries!A:I,8,false),"")</f>
        <v>0</v>
      </c>
    </row>
    <row r="816">
      <c r="A816" s="78" t="s">
        <v>1119</v>
      </c>
      <c r="B816" s="78" t="s">
        <v>19</v>
      </c>
      <c r="C816" s="85">
        <v>44328.0</v>
      </c>
      <c r="D816" s="85">
        <v>44349.0</v>
      </c>
      <c r="E816" s="86">
        <v>0.0</v>
      </c>
      <c r="F816" s="87">
        <v>0.7</v>
      </c>
      <c r="G816" s="88">
        <f t="shared" si="1"/>
        <v>0.7</v>
      </c>
      <c r="H816" s="89">
        <f t="shared" si="2"/>
        <v>1</v>
      </c>
      <c r="I816" s="78" t="s">
        <v>1120</v>
      </c>
      <c r="J816" s="78" t="s">
        <v>69</v>
      </c>
      <c r="K816" s="58">
        <f t="shared" si="3"/>
        <v>21</v>
      </c>
      <c r="L816" s="91" t="str">
        <f t="shared" si="5"/>
        <v>Wed</v>
      </c>
      <c r="M816" s="78" t="str">
        <f>IFERROR(VLOOKUP(A816, Entries!A:B,2,false),"")</f>
        <v>CI Games</v>
      </c>
      <c r="N816" s="23" t="str">
        <f>IFERROR(VLOOKUP(A816, Entries!A:K,11,false),"")</f>
        <v/>
      </c>
      <c r="O816" s="23" t="b">
        <f>IFERROR(VLOOKUP(A816, Entries!A:I,8,false),"")</f>
        <v>0</v>
      </c>
    </row>
    <row r="817">
      <c r="A817" s="78" t="s">
        <v>166</v>
      </c>
      <c r="B817" s="78" t="s">
        <v>25</v>
      </c>
      <c r="C817" s="85">
        <v>44328.0</v>
      </c>
      <c r="D817" s="85">
        <v>44377.0</v>
      </c>
      <c r="E817" s="86">
        <v>0.15</v>
      </c>
      <c r="F817" s="87">
        <v>0.41</v>
      </c>
      <c r="G817" s="88">
        <f t="shared" si="1"/>
        <v>0.26</v>
      </c>
      <c r="H817" s="89">
        <f t="shared" si="2"/>
        <v>0.6341463415</v>
      </c>
      <c r="I817" s="78" t="s">
        <v>1121</v>
      </c>
      <c r="J817" s="78" t="s">
        <v>69</v>
      </c>
      <c r="K817" s="58">
        <f t="shared" si="3"/>
        <v>49</v>
      </c>
      <c r="L817" s="91" t="str">
        <f t="shared" si="5"/>
        <v>Wed</v>
      </c>
      <c r="M817" s="78" t="str">
        <f>IFERROR(VLOOKUP(A817, Entries!A:B,2,false),"")</f>
        <v>Revival Productions</v>
      </c>
      <c r="N817" s="23" t="str">
        <f>IFERROR(VLOOKUP(A817, Entries!A:K,11,false),"")</f>
        <v/>
      </c>
      <c r="O817" s="23" t="b">
        <f>IFERROR(VLOOKUP(A817, Entries!A:I,8,false),"")</f>
        <v>0</v>
      </c>
    </row>
    <row r="818">
      <c r="A818" s="78" t="s">
        <v>166</v>
      </c>
      <c r="B818" s="78" t="s">
        <v>25</v>
      </c>
      <c r="C818" s="85">
        <v>44328.0</v>
      </c>
      <c r="D818" s="85">
        <v>44382.0</v>
      </c>
      <c r="E818" s="86">
        <v>0.15</v>
      </c>
      <c r="F818" s="87">
        <v>0.41</v>
      </c>
      <c r="G818" s="88">
        <f t="shared" si="1"/>
        <v>0.26</v>
      </c>
      <c r="H818" s="89">
        <f t="shared" si="2"/>
        <v>0.6341463415</v>
      </c>
      <c r="I818" s="78" t="s">
        <v>1122</v>
      </c>
      <c r="J818" s="78" t="s">
        <v>69</v>
      </c>
      <c r="K818" s="58">
        <f t="shared" si="3"/>
        <v>54</v>
      </c>
      <c r="L818" s="91" t="str">
        <f t="shared" si="5"/>
        <v>Mon</v>
      </c>
      <c r="M818" s="78" t="str">
        <f>IFERROR(VLOOKUP(A818, Entries!A:B,2,false),"")</f>
        <v>Revival Productions</v>
      </c>
      <c r="N818" s="23" t="str">
        <f>IFERROR(VLOOKUP(A818, Entries!A:K,11,false),"")</f>
        <v/>
      </c>
      <c r="O818" s="23" t="b">
        <f>IFERROR(VLOOKUP(A818, Entries!A:I,8,false),"")</f>
        <v>0</v>
      </c>
    </row>
    <row r="819">
      <c r="A819" s="78" t="s">
        <v>166</v>
      </c>
      <c r="B819" s="78" t="s">
        <v>25</v>
      </c>
      <c r="C819" s="85">
        <v>44328.0</v>
      </c>
      <c r="D819" s="85">
        <v>44386.0</v>
      </c>
      <c r="E819" s="86">
        <v>0.15</v>
      </c>
      <c r="F819" s="87">
        <v>0.41</v>
      </c>
      <c r="G819" s="88">
        <f t="shared" si="1"/>
        <v>0.26</v>
      </c>
      <c r="H819" s="89">
        <f t="shared" si="2"/>
        <v>0.6341463415</v>
      </c>
      <c r="I819" s="78" t="s">
        <v>1123</v>
      </c>
      <c r="J819" s="78" t="s">
        <v>69</v>
      </c>
      <c r="K819" s="58">
        <f t="shared" si="3"/>
        <v>58</v>
      </c>
      <c r="L819" s="91" t="str">
        <f t="shared" si="5"/>
        <v>Fri</v>
      </c>
      <c r="M819" s="78" t="str">
        <f>IFERROR(VLOOKUP(A819, Entries!A:B,2,false),"")</f>
        <v>Revival Productions</v>
      </c>
      <c r="N819" s="23" t="str">
        <f>IFERROR(VLOOKUP(A819, Entries!A:K,11,false),"")</f>
        <v/>
      </c>
      <c r="O819" s="23" t="b">
        <f>IFERROR(VLOOKUP(A819, Entries!A:I,8,false),"")</f>
        <v>0</v>
      </c>
    </row>
    <row r="820">
      <c r="A820" s="78" t="s">
        <v>166</v>
      </c>
      <c r="B820" s="78" t="s">
        <v>25</v>
      </c>
      <c r="C820" s="85">
        <v>44328.0</v>
      </c>
      <c r="D820" s="85">
        <v>44498.0</v>
      </c>
      <c r="E820" s="86">
        <v>0.15</v>
      </c>
      <c r="F820" s="87">
        <v>0.41</v>
      </c>
      <c r="G820" s="88">
        <f t="shared" si="1"/>
        <v>0.26</v>
      </c>
      <c r="H820" s="89">
        <f t="shared" si="2"/>
        <v>0.6341463415</v>
      </c>
      <c r="I820" s="78" t="s">
        <v>1124</v>
      </c>
      <c r="J820" s="78" t="s">
        <v>69</v>
      </c>
      <c r="K820" s="58">
        <f t="shared" si="3"/>
        <v>170</v>
      </c>
      <c r="L820" s="91" t="str">
        <f t="shared" si="5"/>
        <v>Fri</v>
      </c>
      <c r="M820" s="78" t="str">
        <f>IFERROR(VLOOKUP(A820, Entries!A:B,2,false),"")</f>
        <v>Revival Productions</v>
      </c>
      <c r="N820" s="23" t="str">
        <f>IFERROR(VLOOKUP(A820, Entries!A:K,11,false),"")</f>
        <v/>
      </c>
      <c r="O820" s="23" t="b">
        <f>IFERROR(VLOOKUP(A820, Entries!A:I,8,false),"")</f>
        <v>0</v>
      </c>
    </row>
    <row r="821">
      <c r="A821" s="78" t="s">
        <v>166</v>
      </c>
      <c r="B821" s="78" t="s">
        <v>25</v>
      </c>
      <c r="C821" s="85">
        <v>44328.0</v>
      </c>
      <c r="D821" s="85">
        <v>44501.0</v>
      </c>
      <c r="E821" s="86">
        <v>0.15</v>
      </c>
      <c r="F821" s="87">
        <v>0.0</v>
      </c>
      <c r="G821" s="88">
        <f t="shared" si="1"/>
        <v>-0.15</v>
      </c>
      <c r="H821" s="89" t="str">
        <f t="shared" si="2"/>
        <v/>
      </c>
      <c r="I821" s="96" t="s">
        <v>1125</v>
      </c>
      <c r="J821" s="78" t="s">
        <v>1093</v>
      </c>
      <c r="K821" s="58">
        <f t="shared" si="3"/>
        <v>173</v>
      </c>
      <c r="L821" s="91" t="str">
        <f>IF(D821="","",TEXT(D821,"DDDD"))</f>
        <v>Monday</v>
      </c>
      <c r="M821" s="78" t="str">
        <f>IFERROR(VLOOKUP(A821, Unique!A:E,5,false),"")</f>
        <v/>
      </c>
    </row>
    <row r="822">
      <c r="A822" s="78" t="s">
        <v>1068</v>
      </c>
      <c r="B822" s="78" t="s">
        <v>19</v>
      </c>
      <c r="C822" s="85">
        <v>44328.0</v>
      </c>
      <c r="D822" s="85">
        <v>44329.0</v>
      </c>
      <c r="E822" s="86">
        <v>7.18</v>
      </c>
      <c r="F822" s="87">
        <v>11.47</v>
      </c>
      <c r="G822" s="88">
        <f t="shared" si="1"/>
        <v>4.29</v>
      </c>
      <c r="H822" s="89">
        <f t="shared" si="2"/>
        <v>0.3740191805</v>
      </c>
      <c r="I822" s="78" t="s">
        <v>1126</v>
      </c>
      <c r="J822" s="78" t="s">
        <v>69</v>
      </c>
      <c r="K822" s="58">
        <f t="shared" si="3"/>
        <v>1</v>
      </c>
      <c r="L822" s="91" t="str">
        <f t="shared" ref="L822:L1463" si="6">IF(D822="","",TEXT(D822,"DDD"))</f>
        <v>Thu</v>
      </c>
      <c r="M822" s="78" t="str">
        <f>IFERROR(VLOOKUP(A822, Entries!A:B,2,false),"")</f>
        <v>Frogwares</v>
      </c>
      <c r="N822" s="23" t="str">
        <f>IFERROR(VLOOKUP(A822, Entries!A:K,11,false),"")</f>
        <v/>
      </c>
      <c r="O822" s="23" t="b">
        <f>IFERROR(VLOOKUP(A822, Entries!A:I,8,false),"")</f>
        <v>0</v>
      </c>
    </row>
    <row r="823">
      <c r="A823" s="78" t="s">
        <v>136</v>
      </c>
      <c r="B823" s="78" t="s">
        <v>19</v>
      </c>
      <c r="C823" s="85">
        <v>44329.0</v>
      </c>
      <c r="D823" s="85">
        <v>44362.0</v>
      </c>
      <c r="E823" s="86">
        <v>2.61</v>
      </c>
      <c r="F823" s="87">
        <v>3.78</v>
      </c>
      <c r="G823" s="88">
        <f t="shared" si="1"/>
        <v>1.17</v>
      </c>
      <c r="H823" s="89">
        <f t="shared" si="2"/>
        <v>0.3095238095</v>
      </c>
      <c r="I823" s="78" t="s">
        <v>561</v>
      </c>
      <c r="J823" s="78" t="s">
        <v>69</v>
      </c>
      <c r="K823" s="58">
        <f t="shared" si="3"/>
        <v>33</v>
      </c>
      <c r="L823" s="91" t="str">
        <f t="shared" si="6"/>
        <v>Tue</v>
      </c>
      <c r="M823" s="78" t="str">
        <f>IFERROR(VLOOKUP(A823, Entries!A:B,2,false),"")</f>
        <v>Microids</v>
      </c>
      <c r="N823" s="23" t="str">
        <f>IFERROR(VLOOKUP(A823, Entries!A:K,11,false),"")</f>
        <v/>
      </c>
      <c r="O823" s="23" t="b">
        <f>IFERROR(VLOOKUP(A823, Entries!A:I,8,false),"")</f>
        <v>0</v>
      </c>
    </row>
    <row r="824">
      <c r="A824" s="78" t="s">
        <v>809</v>
      </c>
      <c r="B824" s="78" t="s">
        <v>19</v>
      </c>
      <c r="C824" s="85">
        <v>44329.0</v>
      </c>
      <c r="D824" s="85">
        <v>44352.0</v>
      </c>
      <c r="E824" s="86">
        <v>4.91</v>
      </c>
      <c r="F824" s="87">
        <v>7.64</v>
      </c>
      <c r="G824" s="88">
        <f t="shared" si="1"/>
        <v>2.73</v>
      </c>
      <c r="H824" s="89">
        <f t="shared" si="2"/>
        <v>0.3573298429</v>
      </c>
      <c r="I824" s="78" t="s">
        <v>1127</v>
      </c>
      <c r="J824" s="78" t="s">
        <v>69</v>
      </c>
      <c r="K824" s="58">
        <f t="shared" si="3"/>
        <v>23</v>
      </c>
      <c r="L824" s="91" t="str">
        <f t="shared" si="6"/>
        <v>Sat</v>
      </c>
      <c r="M824" s="78" t="str">
        <f>IFERROR(VLOOKUP(A824, Entries!A:B,2,false),"")</f>
        <v>Modus Games</v>
      </c>
      <c r="N824" s="23" t="str">
        <f>IFERROR(VLOOKUP(A824, Entries!A:K,11,false),"")</f>
        <v/>
      </c>
      <c r="O824" s="23" t="b">
        <f>IFERROR(VLOOKUP(A824, Entries!A:I,8,false),"")</f>
        <v>0</v>
      </c>
    </row>
    <row r="825">
      <c r="A825" s="78" t="s">
        <v>1068</v>
      </c>
      <c r="B825" s="78" t="s">
        <v>19</v>
      </c>
      <c r="C825" s="85">
        <v>44329.0</v>
      </c>
      <c r="D825" s="25"/>
      <c r="E825" s="86">
        <v>7.21</v>
      </c>
      <c r="F825" s="88"/>
      <c r="G825" s="88">
        <f t="shared" si="1"/>
        <v>-7.21</v>
      </c>
      <c r="H825" s="89" t="str">
        <f t="shared" si="2"/>
        <v/>
      </c>
      <c r="I825" s="78" t="s">
        <v>1128</v>
      </c>
      <c r="J825" s="78" t="s">
        <v>1129</v>
      </c>
      <c r="K825" s="58" t="str">
        <f t="shared" si="3"/>
        <v/>
      </c>
      <c r="L825" s="91" t="str">
        <f t="shared" si="6"/>
        <v/>
      </c>
      <c r="M825" s="78" t="str">
        <f>IFERROR(VLOOKUP(A825, Entries!A:B,2,false),"")</f>
        <v>Frogwares</v>
      </c>
      <c r="O825" s="23" t="b">
        <f>IFERROR(VLOOKUP(A825, Entries!A:I,8,false),"")</f>
        <v>0</v>
      </c>
    </row>
    <row r="826">
      <c r="A826" s="78" t="s">
        <v>1089</v>
      </c>
      <c r="B826" s="78" t="s">
        <v>19</v>
      </c>
      <c r="C826" s="85">
        <v>44329.0</v>
      </c>
      <c r="D826" s="85">
        <v>44359.0</v>
      </c>
      <c r="E826" s="86">
        <v>2.88</v>
      </c>
      <c r="F826" s="87">
        <v>4.64</v>
      </c>
      <c r="G826" s="88">
        <f t="shared" si="1"/>
        <v>1.76</v>
      </c>
      <c r="H826" s="89">
        <f t="shared" si="2"/>
        <v>0.3793103448</v>
      </c>
      <c r="I826" s="78" t="s">
        <v>1130</v>
      </c>
      <c r="J826" s="78" t="s">
        <v>69</v>
      </c>
      <c r="K826" s="58">
        <f t="shared" si="3"/>
        <v>30</v>
      </c>
      <c r="L826" s="91" t="str">
        <f t="shared" si="6"/>
        <v>Sat</v>
      </c>
      <c r="M826" s="78" t="str">
        <f>IFERROR(VLOOKUP(A826, Entries!A:B,2,false),"")</f>
        <v>Kalypso Media</v>
      </c>
      <c r="N826" s="23" t="str">
        <f>IFERROR(VLOOKUP(A826, Entries!A:K,11,false),"")</f>
        <v/>
      </c>
      <c r="O826" s="23" t="b">
        <f>IFERROR(VLOOKUP(A826, Entries!A:I,8,false),"")</f>
        <v>0</v>
      </c>
    </row>
    <row r="827">
      <c r="A827" s="78" t="s">
        <v>1077</v>
      </c>
      <c r="B827" s="78" t="s">
        <v>19</v>
      </c>
      <c r="C827" s="85">
        <v>44329.0</v>
      </c>
      <c r="D827" s="85">
        <v>44368.0</v>
      </c>
      <c r="E827" s="86">
        <v>2.87</v>
      </c>
      <c r="F827" s="87">
        <v>3.39</v>
      </c>
      <c r="G827" s="88">
        <f t="shared" si="1"/>
        <v>0.52</v>
      </c>
      <c r="H827" s="89">
        <f t="shared" si="2"/>
        <v>0.1533923304</v>
      </c>
      <c r="I827" s="78" t="s">
        <v>1131</v>
      </c>
      <c r="J827" s="78" t="s">
        <v>69</v>
      </c>
      <c r="K827" s="58">
        <f t="shared" si="3"/>
        <v>39</v>
      </c>
      <c r="L827" s="91" t="str">
        <f t="shared" si="6"/>
        <v>Mon</v>
      </c>
      <c r="M827" s="78" t="str">
        <f>IFERROR(VLOOKUP(A827, Entries!A:B,2,false),"")</f>
        <v>Weather Factory</v>
      </c>
      <c r="N827" s="23" t="str">
        <f>IFERROR(VLOOKUP(A827, Entries!A:K,11,false),"")</f>
        <v/>
      </c>
      <c r="O827" s="23" t="b">
        <f>IFERROR(VLOOKUP(A827, Entries!A:I,8,false),"")</f>
        <v>0</v>
      </c>
    </row>
    <row r="828">
      <c r="A828" s="78" t="s">
        <v>753</v>
      </c>
      <c r="B828" s="78" t="s">
        <v>19</v>
      </c>
      <c r="C828" s="85">
        <v>44329.0</v>
      </c>
      <c r="D828" s="85">
        <v>44361.0</v>
      </c>
      <c r="E828" s="86">
        <v>2.88</v>
      </c>
      <c r="F828" s="87">
        <v>4.47</v>
      </c>
      <c r="G828" s="88">
        <f t="shared" si="1"/>
        <v>1.59</v>
      </c>
      <c r="H828" s="89">
        <f t="shared" si="2"/>
        <v>0.355704698</v>
      </c>
      <c r="I828" s="78" t="s">
        <v>1132</v>
      </c>
      <c r="J828" s="78" t="s">
        <v>69</v>
      </c>
      <c r="K828" s="58">
        <f t="shared" si="3"/>
        <v>32</v>
      </c>
      <c r="L828" s="91" t="str">
        <f t="shared" si="6"/>
        <v>Mon</v>
      </c>
      <c r="M828" s="78" t="str">
        <f>IFERROR(VLOOKUP(A828, Entries!A:B,2,false),"")</f>
        <v>Codemasters</v>
      </c>
      <c r="N828" s="23" t="str">
        <f>IFERROR(VLOOKUP(A828, Entries!A:K,11,false),"")</f>
        <v/>
      </c>
      <c r="O828" s="23" t="b">
        <f>IFERROR(VLOOKUP(A828, Entries!A:I,8,false),"")</f>
        <v>0</v>
      </c>
    </row>
    <row r="829">
      <c r="A829" s="78" t="s">
        <v>1133</v>
      </c>
      <c r="B829" s="78" t="s">
        <v>25</v>
      </c>
      <c r="C829" s="85">
        <v>44330.0</v>
      </c>
      <c r="D829" s="85">
        <v>44331.0</v>
      </c>
      <c r="E829" s="86">
        <v>6.71</v>
      </c>
      <c r="F829" s="87">
        <v>8.29</v>
      </c>
      <c r="G829" s="88">
        <f t="shared" si="1"/>
        <v>1.58</v>
      </c>
      <c r="H829" s="89">
        <f t="shared" si="2"/>
        <v>0.1905910736</v>
      </c>
      <c r="I829" s="78" t="s">
        <v>1134</v>
      </c>
      <c r="J829" s="78" t="s">
        <v>69</v>
      </c>
      <c r="K829" s="58">
        <f t="shared" si="3"/>
        <v>1</v>
      </c>
      <c r="L829" s="91" t="str">
        <f t="shared" si="6"/>
        <v>Sat</v>
      </c>
      <c r="M829" s="78" t="str">
        <f>IFERROR(VLOOKUP(A829, Entries!A:B,2,false),"")</f>
        <v>Daedalic Entertainment</v>
      </c>
      <c r="N829" s="23" t="str">
        <f>IFERROR(VLOOKUP(A829, Entries!A:K,11,false),"")</f>
        <v/>
      </c>
      <c r="O829" s="23" t="b">
        <f>IFERROR(VLOOKUP(A829, Entries!A:I,8,false),"")</f>
        <v>0</v>
      </c>
    </row>
    <row r="830">
      <c r="A830" s="78" t="s">
        <v>1133</v>
      </c>
      <c r="B830" s="78" t="s">
        <v>22</v>
      </c>
      <c r="C830" s="85">
        <v>44331.0</v>
      </c>
      <c r="D830" s="85">
        <v>44337.0</v>
      </c>
      <c r="E830" s="86">
        <v>6.62</v>
      </c>
      <c r="F830" s="87">
        <v>7.25</v>
      </c>
      <c r="G830" s="88">
        <f t="shared" si="1"/>
        <v>0.63</v>
      </c>
      <c r="H830" s="89">
        <f t="shared" si="2"/>
        <v>0.08689655172</v>
      </c>
      <c r="I830" s="78" t="s">
        <v>1135</v>
      </c>
      <c r="J830" s="78" t="s">
        <v>69</v>
      </c>
      <c r="K830" s="58">
        <f t="shared" si="3"/>
        <v>6</v>
      </c>
      <c r="L830" s="91" t="str">
        <f t="shared" si="6"/>
        <v>Fri</v>
      </c>
      <c r="M830" s="78" t="str">
        <f>IFERROR(VLOOKUP(A830, Entries!A:B,2,false),"")</f>
        <v>Daedalic Entertainment</v>
      </c>
      <c r="N830" s="23" t="str">
        <f>IFERROR(VLOOKUP(A830, Entries!A:K,11,false),"")</f>
        <v/>
      </c>
      <c r="O830" s="23" t="b">
        <f>IFERROR(VLOOKUP(A830, Entries!A:I,8,false),"")</f>
        <v>0</v>
      </c>
    </row>
    <row r="831">
      <c r="A831" s="78" t="s">
        <v>1133</v>
      </c>
      <c r="B831" s="78" t="s">
        <v>25</v>
      </c>
      <c r="C831" s="85">
        <v>44331.0</v>
      </c>
      <c r="D831" s="85">
        <v>44347.0</v>
      </c>
      <c r="E831" s="86">
        <v>6.67</v>
      </c>
      <c r="F831" s="87">
        <v>7.99</v>
      </c>
      <c r="G831" s="88">
        <f t="shared" si="1"/>
        <v>1.32</v>
      </c>
      <c r="H831" s="89">
        <f t="shared" si="2"/>
        <v>0.1652065081</v>
      </c>
      <c r="I831" s="78" t="s">
        <v>1136</v>
      </c>
      <c r="J831" s="78" t="s">
        <v>69</v>
      </c>
      <c r="K831" s="58">
        <f t="shared" si="3"/>
        <v>16</v>
      </c>
      <c r="L831" s="91" t="str">
        <f t="shared" si="6"/>
        <v>Mon</v>
      </c>
      <c r="M831" s="78" t="str">
        <f>IFERROR(VLOOKUP(A831, Entries!A:B,2,false),"")</f>
        <v>Daedalic Entertainment</v>
      </c>
      <c r="N831" s="23" t="str">
        <f>IFERROR(VLOOKUP(A831, Entries!A:K,11,false),"")</f>
        <v/>
      </c>
      <c r="O831" s="23" t="b">
        <f>IFERROR(VLOOKUP(A831, Entries!A:I,8,false),"")</f>
        <v>0</v>
      </c>
    </row>
    <row r="832">
      <c r="A832" s="78" t="s">
        <v>1133</v>
      </c>
      <c r="B832" s="78" t="s">
        <v>25</v>
      </c>
      <c r="C832" s="85">
        <v>44331.0</v>
      </c>
      <c r="D832" s="85">
        <v>44368.0</v>
      </c>
      <c r="E832" s="86">
        <v>6.67</v>
      </c>
      <c r="F832" s="87">
        <v>8.13</v>
      </c>
      <c r="G832" s="88">
        <f t="shared" si="1"/>
        <v>1.46</v>
      </c>
      <c r="H832" s="89">
        <f t="shared" si="2"/>
        <v>0.1795817958</v>
      </c>
      <c r="I832" s="78" t="s">
        <v>1137</v>
      </c>
      <c r="J832" s="78" t="s">
        <v>69</v>
      </c>
      <c r="K832" s="58">
        <f t="shared" si="3"/>
        <v>37</v>
      </c>
      <c r="L832" s="91" t="str">
        <f t="shared" si="6"/>
        <v>Mon</v>
      </c>
      <c r="M832" s="78" t="str">
        <f>IFERROR(VLOOKUP(A832, Entries!A:B,2,false),"")</f>
        <v>Daedalic Entertainment</v>
      </c>
      <c r="N832" s="23" t="str">
        <f>IFERROR(VLOOKUP(A832, Entries!A:K,11,false),"")</f>
        <v/>
      </c>
      <c r="O832" s="23" t="b">
        <f>IFERROR(VLOOKUP(A832, Entries!A:I,8,false),"")</f>
        <v>0</v>
      </c>
    </row>
    <row r="833">
      <c r="A833" s="78" t="s">
        <v>1133</v>
      </c>
      <c r="B833" s="78" t="s">
        <v>25</v>
      </c>
      <c r="C833" s="85">
        <v>44331.0</v>
      </c>
      <c r="D833" s="85">
        <v>44843.0</v>
      </c>
      <c r="E833" s="86">
        <v>6.67</v>
      </c>
      <c r="F833" s="87">
        <v>0.98</v>
      </c>
      <c r="G833" s="88">
        <f t="shared" si="1"/>
        <v>-5.69</v>
      </c>
      <c r="H833" s="89">
        <f t="shared" si="2"/>
        <v>-5.806122449</v>
      </c>
      <c r="I833" s="78" t="s">
        <v>1138</v>
      </c>
      <c r="J833" s="78" t="s">
        <v>69</v>
      </c>
      <c r="K833" s="58">
        <f t="shared" si="3"/>
        <v>512</v>
      </c>
      <c r="L833" s="91" t="str">
        <f t="shared" si="6"/>
        <v>Sun</v>
      </c>
      <c r="M833" s="78" t="str">
        <f>IFERROR(VLOOKUP(A833, Entries!A:B,2,false),"")</f>
        <v>Daedalic Entertainment</v>
      </c>
      <c r="N833" s="23" t="str">
        <f>IFERROR(VLOOKUP(A833, Entries!A:K,11,false),"")</f>
        <v/>
      </c>
      <c r="O833" s="23" t="b">
        <f>IFERROR(VLOOKUP(A833, Entries!A:I,8,false),"")</f>
        <v>0</v>
      </c>
    </row>
    <row r="834">
      <c r="A834" s="78" t="s">
        <v>1139</v>
      </c>
      <c r="B834" s="78" t="s">
        <v>21</v>
      </c>
      <c r="C834" s="85">
        <v>44336.0</v>
      </c>
      <c r="D834" s="85">
        <v>44337.0</v>
      </c>
      <c r="E834" s="86">
        <v>9.53</v>
      </c>
      <c r="F834" s="87">
        <v>10.83</v>
      </c>
      <c r="G834" s="88">
        <f t="shared" si="1"/>
        <v>1.3</v>
      </c>
      <c r="H834" s="89">
        <f t="shared" si="2"/>
        <v>0.1200369344</v>
      </c>
      <c r="I834" s="78" t="s">
        <v>1140</v>
      </c>
      <c r="J834" s="78" t="s">
        <v>69</v>
      </c>
      <c r="K834" s="58">
        <f t="shared" si="3"/>
        <v>1</v>
      </c>
      <c r="L834" s="91" t="str">
        <f t="shared" si="6"/>
        <v>Fri</v>
      </c>
      <c r="M834" s="78" t="str">
        <f>IFERROR(VLOOKUP(A834, Entries!A:B,2,false),"")</f>
        <v>Team17 Digital</v>
      </c>
      <c r="N834" s="23" t="str">
        <f>IFERROR(VLOOKUP(A834, Entries!A:K,11,false),"")</f>
        <v/>
      </c>
      <c r="O834" s="23" t="b">
        <f>IFERROR(VLOOKUP(A834, Entries!A:I,8,false),"")</f>
        <v>0</v>
      </c>
    </row>
    <row r="835">
      <c r="A835" s="78" t="s">
        <v>1141</v>
      </c>
      <c r="B835" s="78" t="s">
        <v>19</v>
      </c>
      <c r="C835" s="85">
        <v>44337.0</v>
      </c>
      <c r="D835" s="85">
        <v>44388.0</v>
      </c>
      <c r="E835" s="86">
        <v>6.1</v>
      </c>
      <c r="F835" s="78">
        <v>8.08</v>
      </c>
      <c r="G835" s="88">
        <f t="shared" si="1"/>
        <v>1.98</v>
      </c>
      <c r="H835" s="89">
        <f t="shared" si="2"/>
        <v>0.245049505</v>
      </c>
      <c r="I835" s="78" t="s">
        <v>1142</v>
      </c>
      <c r="J835" s="78" t="s">
        <v>69</v>
      </c>
      <c r="K835" s="58">
        <f t="shared" si="3"/>
        <v>51</v>
      </c>
      <c r="L835" s="91" t="str">
        <f t="shared" si="6"/>
        <v>Sun</v>
      </c>
      <c r="M835" s="78" t="str">
        <f>IFERROR(VLOOKUP(A835, Entries!A:B,2,false),"")</f>
        <v>Devolver Digital</v>
      </c>
      <c r="N835" s="23" t="str">
        <f>IFERROR(VLOOKUP(A835, Entries!A:K,11,false),"")</f>
        <v/>
      </c>
      <c r="O835" s="23" t="b">
        <f>IFERROR(VLOOKUP(A835, Entries!A:I,8,false),"")</f>
        <v>0</v>
      </c>
    </row>
    <row r="836">
      <c r="A836" s="78" t="s">
        <v>1139</v>
      </c>
      <c r="B836" s="78" t="s">
        <v>21</v>
      </c>
      <c r="C836" s="85">
        <v>44337.0</v>
      </c>
      <c r="D836" s="85">
        <v>44339.0</v>
      </c>
      <c r="E836" s="86">
        <v>9.16</v>
      </c>
      <c r="F836" s="87">
        <v>10.09</v>
      </c>
      <c r="G836" s="88">
        <f t="shared" si="1"/>
        <v>0.93</v>
      </c>
      <c r="H836" s="89">
        <f t="shared" si="2"/>
        <v>0.09217046581</v>
      </c>
      <c r="I836" s="78" t="s">
        <v>1143</v>
      </c>
      <c r="J836" s="78" t="s">
        <v>69</v>
      </c>
      <c r="K836" s="58">
        <f t="shared" si="3"/>
        <v>2</v>
      </c>
      <c r="L836" s="91" t="str">
        <f t="shared" si="6"/>
        <v>Sun</v>
      </c>
      <c r="M836" s="78" t="str">
        <f>IFERROR(VLOOKUP(A836, Entries!A:B,2,false),"")</f>
        <v>Team17 Digital</v>
      </c>
      <c r="N836" s="23" t="str">
        <f>IFERROR(VLOOKUP(A836, Entries!A:K,11,false),"")</f>
        <v/>
      </c>
      <c r="O836" s="23" t="b">
        <f>IFERROR(VLOOKUP(A836, Entries!A:I,8,false),"")</f>
        <v>0</v>
      </c>
    </row>
    <row r="837">
      <c r="A837" s="78" t="s">
        <v>1139</v>
      </c>
      <c r="B837" s="78" t="s">
        <v>21</v>
      </c>
      <c r="C837" s="85">
        <v>44337.0</v>
      </c>
      <c r="D837" s="85">
        <v>44353.0</v>
      </c>
      <c r="E837" s="86">
        <v>9.16</v>
      </c>
      <c r="F837" s="87">
        <v>10.05</v>
      </c>
      <c r="G837" s="88">
        <f t="shared" si="1"/>
        <v>0.89</v>
      </c>
      <c r="H837" s="89">
        <f t="shared" si="2"/>
        <v>0.08855721393</v>
      </c>
      <c r="I837" s="78" t="s">
        <v>1144</v>
      </c>
      <c r="J837" s="78" t="s">
        <v>69</v>
      </c>
      <c r="K837" s="58">
        <f t="shared" si="3"/>
        <v>16</v>
      </c>
      <c r="L837" s="91" t="str">
        <f t="shared" si="6"/>
        <v>Sun</v>
      </c>
      <c r="M837" s="78" t="str">
        <f>IFERROR(VLOOKUP(A837, Entries!A:B,2,false),"")</f>
        <v>Team17 Digital</v>
      </c>
      <c r="N837" s="23" t="str">
        <f>IFERROR(VLOOKUP(A837, Entries!A:K,11,false),"")</f>
        <v/>
      </c>
      <c r="O837" s="23" t="b">
        <f>IFERROR(VLOOKUP(A837, Entries!A:I,8,false),"")</f>
        <v>0</v>
      </c>
    </row>
    <row r="838">
      <c r="A838" s="78" t="s">
        <v>517</v>
      </c>
      <c r="B838" s="78" t="s">
        <v>23</v>
      </c>
      <c r="C838" s="85">
        <v>44338.0</v>
      </c>
      <c r="D838" s="85">
        <v>44360.0</v>
      </c>
      <c r="E838" s="86">
        <v>6.17</v>
      </c>
      <c r="F838" s="87">
        <v>7.39</v>
      </c>
      <c r="G838" s="88">
        <f t="shared" si="1"/>
        <v>1.22</v>
      </c>
      <c r="H838" s="89">
        <f t="shared" si="2"/>
        <v>0.1650879567</v>
      </c>
      <c r="I838" s="78" t="s">
        <v>1145</v>
      </c>
      <c r="J838" s="78" t="s">
        <v>69</v>
      </c>
      <c r="K838" s="58">
        <f t="shared" si="3"/>
        <v>22</v>
      </c>
      <c r="L838" s="91" t="str">
        <f t="shared" si="6"/>
        <v>Sun</v>
      </c>
      <c r="M838" s="78" t="str">
        <f>IFERROR(VLOOKUP(A838, Entries!A:B,2,false),"")</f>
        <v>Devolver Digital</v>
      </c>
      <c r="N838" s="23" t="str">
        <f>IFERROR(VLOOKUP(A838, Entries!A:K,11,false),"")</f>
        <v/>
      </c>
      <c r="O838" s="23" t="b">
        <f>IFERROR(VLOOKUP(A838, Entries!A:I,8,false),"")</f>
        <v>0</v>
      </c>
    </row>
    <row r="839">
      <c r="A839" s="78" t="s">
        <v>517</v>
      </c>
      <c r="B839" s="78" t="s">
        <v>23</v>
      </c>
      <c r="C839" s="85">
        <v>44338.0</v>
      </c>
      <c r="D839" s="85">
        <v>44368.0</v>
      </c>
      <c r="E839" s="86">
        <v>6.17</v>
      </c>
      <c r="F839" s="87">
        <v>7.39</v>
      </c>
      <c r="G839" s="88">
        <f t="shared" si="1"/>
        <v>1.22</v>
      </c>
      <c r="H839" s="89">
        <f t="shared" si="2"/>
        <v>0.1650879567</v>
      </c>
      <c r="I839" s="78" t="s">
        <v>1146</v>
      </c>
      <c r="J839" s="78" t="s">
        <v>69</v>
      </c>
      <c r="K839" s="58">
        <f t="shared" si="3"/>
        <v>30</v>
      </c>
      <c r="L839" s="91" t="str">
        <f t="shared" si="6"/>
        <v>Mon</v>
      </c>
      <c r="M839" s="78" t="str">
        <f>IFERROR(VLOOKUP(A839, Entries!A:B,2,false),"")</f>
        <v>Devolver Digital</v>
      </c>
      <c r="N839" s="23" t="str">
        <f>IFERROR(VLOOKUP(A839, Entries!A:K,11,false),"")</f>
        <v/>
      </c>
      <c r="O839" s="23" t="b">
        <f>IFERROR(VLOOKUP(A839, Entries!A:I,8,false),"")</f>
        <v>0</v>
      </c>
    </row>
    <row r="840">
      <c r="A840" s="78" t="s">
        <v>1053</v>
      </c>
      <c r="B840" s="78" t="s">
        <v>23</v>
      </c>
      <c r="C840" s="85">
        <v>44338.0</v>
      </c>
      <c r="D840" s="85">
        <v>44340.0</v>
      </c>
      <c r="E840" s="86">
        <v>0.0</v>
      </c>
      <c r="F840" s="87">
        <v>0.55</v>
      </c>
      <c r="G840" s="88">
        <f t="shared" si="1"/>
        <v>0.55</v>
      </c>
      <c r="H840" s="89">
        <f t="shared" si="2"/>
        <v>1</v>
      </c>
      <c r="I840" s="78" t="s">
        <v>1147</v>
      </c>
      <c r="J840" s="78" t="s">
        <v>69</v>
      </c>
      <c r="K840" s="58">
        <f t="shared" si="3"/>
        <v>2</v>
      </c>
      <c r="L840" s="91" t="str">
        <f t="shared" si="6"/>
        <v>Mon</v>
      </c>
      <c r="M840" s="78" t="str">
        <f>IFERROR(VLOOKUP(A840, Entries!A:B,2,false),"")</f>
        <v>Techland Publishing</v>
      </c>
      <c r="N840" s="23" t="str">
        <f>IFERROR(VLOOKUP(A840, Entries!A:K,11,false),"")</f>
        <v/>
      </c>
      <c r="O840" s="23" t="b">
        <f>IFERROR(VLOOKUP(A840, Entries!A:I,8,false),"")</f>
        <v>0</v>
      </c>
    </row>
    <row r="841">
      <c r="A841" s="78" t="s">
        <v>1148</v>
      </c>
      <c r="B841" s="78" t="s">
        <v>22</v>
      </c>
      <c r="C841" s="85">
        <v>44338.0</v>
      </c>
      <c r="D841" s="85">
        <v>44352.0</v>
      </c>
      <c r="E841" s="86">
        <v>4.22</v>
      </c>
      <c r="F841" s="87">
        <v>5.06</v>
      </c>
      <c r="G841" s="88">
        <f t="shared" si="1"/>
        <v>0.84</v>
      </c>
      <c r="H841" s="89">
        <f t="shared" si="2"/>
        <v>0.1660079051</v>
      </c>
      <c r="I841" s="78" t="s">
        <v>1149</v>
      </c>
      <c r="J841" s="78" t="s">
        <v>69</v>
      </c>
      <c r="K841" s="58">
        <f t="shared" si="3"/>
        <v>14</v>
      </c>
      <c r="L841" s="91" t="str">
        <f t="shared" si="6"/>
        <v>Sat</v>
      </c>
      <c r="M841" s="78" t="str">
        <f>IFERROR(VLOOKUP(A841, Entries!A:B,2,false),"")</f>
        <v>Square Enix</v>
      </c>
      <c r="N841" s="23" t="str">
        <f>IFERROR(VLOOKUP(A841, Entries!A:K,11,false),"")</f>
        <v/>
      </c>
      <c r="O841" s="23" t="b">
        <f>IFERROR(VLOOKUP(A841, Entries!A:I,8,false),"")</f>
        <v>0</v>
      </c>
    </row>
    <row r="842">
      <c r="A842" s="78" t="s">
        <v>1150</v>
      </c>
      <c r="B842" s="78" t="s">
        <v>23</v>
      </c>
      <c r="C842" s="85">
        <v>44339.0</v>
      </c>
      <c r="D842" s="85">
        <v>44340.0</v>
      </c>
      <c r="E842" s="86">
        <v>3.42</v>
      </c>
      <c r="F842" s="87">
        <v>5.26</v>
      </c>
      <c r="G842" s="88">
        <f t="shared" si="1"/>
        <v>1.84</v>
      </c>
      <c r="H842" s="89">
        <f t="shared" si="2"/>
        <v>0.3498098859</v>
      </c>
      <c r="I842" s="78" t="s">
        <v>1151</v>
      </c>
      <c r="J842" s="78" t="s">
        <v>69</v>
      </c>
      <c r="K842" s="58">
        <f t="shared" si="3"/>
        <v>1</v>
      </c>
      <c r="L842" s="91" t="str">
        <f t="shared" si="6"/>
        <v>Mon</v>
      </c>
      <c r="M842" s="78" t="str">
        <f>IFERROR(VLOOKUP(A842, Entries!A:B,2,false),"")</f>
        <v>CAPCOM</v>
      </c>
      <c r="N842" s="23" t="str">
        <f>IFERROR(VLOOKUP(A842, Entries!A:K,11,false),"")</f>
        <v/>
      </c>
      <c r="O842" s="23" t="b">
        <f>IFERROR(VLOOKUP(A842, Entries!A:I,8,false),"")</f>
        <v>0</v>
      </c>
    </row>
    <row r="843">
      <c r="A843" s="78" t="s">
        <v>1150</v>
      </c>
      <c r="B843" s="78" t="s">
        <v>23</v>
      </c>
      <c r="C843" s="85">
        <v>44339.0</v>
      </c>
      <c r="D843" s="85">
        <v>44342.0</v>
      </c>
      <c r="E843" s="86">
        <v>3.42</v>
      </c>
      <c r="F843" s="87">
        <v>5.71</v>
      </c>
      <c r="G843" s="88">
        <f t="shared" si="1"/>
        <v>2.29</v>
      </c>
      <c r="H843" s="89">
        <f t="shared" si="2"/>
        <v>0.4010507881</v>
      </c>
      <c r="I843" s="78" t="s">
        <v>1152</v>
      </c>
      <c r="J843" s="78" t="s">
        <v>69</v>
      </c>
      <c r="K843" s="58">
        <f t="shared" si="3"/>
        <v>3</v>
      </c>
      <c r="L843" s="91" t="str">
        <f t="shared" si="6"/>
        <v>Wed</v>
      </c>
      <c r="M843" s="78" t="str">
        <f>IFERROR(VLOOKUP(A843, Entries!A:B,2,false),"")</f>
        <v>CAPCOM</v>
      </c>
      <c r="N843" s="23" t="str">
        <f>IFERROR(VLOOKUP(A843, Entries!A:K,11,false),"")</f>
        <v/>
      </c>
      <c r="O843" s="23" t="b">
        <f>IFERROR(VLOOKUP(A843, Entries!A:I,8,false),"")</f>
        <v>0</v>
      </c>
    </row>
    <row r="844">
      <c r="A844" s="78" t="s">
        <v>403</v>
      </c>
      <c r="B844" s="78" t="s">
        <v>23</v>
      </c>
      <c r="C844" s="85">
        <v>44340.0</v>
      </c>
      <c r="D844" s="85">
        <v>44341.0</v>
      </c>
      <c r="E844" s="86">
        <v>11.99</v>
      </c>
      <c r="F844" s="87">
        <v>16.17</v>
      </c>
      <c r="G844" s="88">
        <f t="shared" si="1"/>
        <v>4.18</v>
      </c>
      <c r="H844" s="89">
        <f t="shared" si="2"/>
        <v>0.2585034014</v>
      </c>
      <c r="I844" s="78" t="s">
        <v>1153</v>
      </c>
      <c r="J844" s="78" t="s">
        <v>69</v>
      </c>
      <c r="K844" s="58">
        <f t="shared" si="3"/>
        <v>1</v>
      </c>
      <c r="L844" s="91" t="str">
        <f t="shared" si="6"/>
        <v>Tue</v>
      </c>
      <c r="M844" s="78" t="str">
        <f>IFERROR(VLOOKUP(A844, Entries!A:B,2,false),"")</f>
        <v>Motion Twin</v>
      </c>
      <c r="N844" s="23" t="str">
        <f>IFERROR(VLOOKUP(A844, Entries!A:K,11,false),"")</f>
        <v/>
      </c>
      <c r="O844" s="23" t="b">
        <f>IFERROR(VLOOKUP(A844, Entries!A:I,8,false),"")</f>
        <v>0</v>
      </c>
    </row>
    <row r="845">
      <c r="A845" s="78" t="s">
        <v>1154</v>
      </c>
      <c r="B845" s="78" t="s">
        <v>19</v>
      </c>
      <c r="C845" s="85">
        <v>44340.0</v>
      </c>
      <c r="D845" s="85">
        <v>44350.0</v>
      </c>
      <c r="E845" s="86">
        <v>9.76</v>
      </c>
      <c r="F845" s="87">
        <v>16.37</v>
      </c>
      <c r="G845" s="88">
        <f t="shared" si="1"/>
        <v>6.61</v>
      </c>
      <c r="H845" s="89">
        <f t="shared" si="2"/>
        <v>0.403787416</v>
      </c>
      <c r="I845" s="78" t="s">
        <v>1155</v>
      </c>
      <c r="J845" s="78" t="s">
        <v>69</v>
      </c>
      <c r="K845" s="58">
        <f t="shared" si="3"/>
        <v>10</v>
      </c>
      <c r="L845" s="91" t="str">
        <f t="shared" si="6"/>
        <v>Thu</v>
      </c>
      <c r="M845" s="78" t="str">
        <f>IFERROR(VLOOKUP(A845, Entries!A:B,2,false),"")</f>
        <v>Aksys Games</v>
      </c>
      <c r="N845" s="23" t="str">
        <f>IFERROR(VLOOKUP(A845, Entries!A:K,11,false),"")</f>
        <v/>
      </c>
      <c r="O845" s="23" t="b">
        <f>IFERROR(VLOOKUP(A845, Entries!A:I,8,false),"")</f>
        <v>0</v>
      </c>
    </row>
    <row r="846">
      <c r="A846" s="78" t="s">
        <v>403</v>
      </c>
      <c r="B846" s="78" t="s">
        <v>23</v>
      </c>
      <c r="C846" s="85">
        <v>44341.0</v>
      </c>
      <c r="D846" s="85">
        <v>44343.0</v>
      </c>
      <c r="E846" s="86">
        <v>11.97</v>
      </c>
      <c r="F846" s="87">
        <v>15.73</v>
      </c>
      <c r="G846" s="88">
        <f t="shared" si="1"/>
        <v>3.76</v>
      </c>
      <c r="H846" s="89">
        <f t="shared" si="2"/>
        <v>0.2390336936</v>
      </c>
      <c r="I846" s="78" t="s">
        <v>1156</v>
      </c>
      <c r="J846" s="78" t="s">
        <v>69</v>
      </c>
      <c r="K846" s="58">
        <f t="shared" si="3"/>
        <v>2</v>
      </c>
      <c r="L846" s="91" t="str">
        <f t="shared" si="6"/>
        <v>Thu</v>
      </c>
      <c r="M846" s="78" t="str">
        <f>IFERROR(VLOOKUP(A846, Entries!A:B,2,false),"")</f>
        <v>Motion Twin</v>
      </c>
      <c r="N846" s="23" t="str">
        <f>IFERROR(VLOOKUP(A846, Entries!A:K,11,false),"")</f>
        <v/>
      </c>
      <c r="O846" s="23" t="b">
        <f>IFERROR(VLOOKUP(A846, Entries!A:I,8,false),"")</f>
        <v>0</v>
      </c>
    </row>
    <row r="847">
      <c r="A847" s="78" t="s">
        <v>553</v>
      </c>
      <c r="B847" s="78" t="s">
        <v>19</v>
      </c>
      <c r="C847" s="85">
        <v>44341.0</v>
      </c>
      <c r="D847" s="85">
        <v>44394.0</v>
      </c>
      <c r="E847" s="86">
        <v>8.12</v>
      </c>
      <c r="F847" s="87">
        <v>10.03</v>
      </c>
      <c r="G847" s="88">
        <f t="shared" si="1"/>
        <v>1.91</v>
      </c>
      <c r="H847" s="89">
        <f t="shared" si="2"/>
        <v>0.1904287139</v>
      </c>
      <c r="I847" s="78" t="s">
        <v>1157</v>
      </c>
      <c r="J847" s="78" t="s">
        <v>69</v>
      </c>
      <c r="K847" s="58">
        <f t="shared" si="3"/>
        <v>53</v>
      </c>
      <c r="L847" s="91" t="str">
        <f t="shared" si="6"/>
        <v>Sat</v>
      </c>
      <c r="M847" s="78" t="str">
        <f>IFERROR(VLOOKUP(A847, Entries!A:B,2,false),"")</f>
        <v>Beamdog</v>
      </c>
      <c r="N847" s="23" t="str">
        <f>IFERROR(VLOOKUP(A847, Entries!A:K,11,false),"")</f>
        <v/>
      </c>
      <c r="O847" s="23" t="b">
        <f>IFERROR(VLOOKUP(A847, Entries!A:I,8,false),"")</f>
        <v>0</v>
      </c>
    </row>
    <row r="848">
      <c r="A848" s="78" t="s">
        <v>1158</v>
      </c>
      <c r="B848" s="78" t="s">
        <v>23</v>
      </c>
      <c r="C848" s="85">
        <v>44342.0</v>
      </c>
      <c r="D848" s="85">
        <v>45215.0</v>
      </c>
      <c r="E848" s="86">
        <v>6.82</v>
      </c>
      <c r="F848" s="87">
        <v>3.82</v>
      </c>
      <c r="G848" s="88">
        <f t="shared" si="1"/>
        <v>-3</v>
      </c>
      <c r="H848" s="89">
        <f t="shared" si="2"/>
        <v>-0.7853403141</v>
      </c>
      <c r="I848" s="78" t="s">
        <v>1159</v>
      </c>
      <c r="J848" s="78" t="s">
        <v>69</v>
      </c>
      <c r="K848" s="58">
        <f t="shared" si="3"/>
        <v>873</v>
      </c>
      <c r="L848" s="91" t="str">
        <f t="shared" si="6"/>
        <v>Mon</v>
      </c>
      <c r="M848" s="78" t="str">
        <f>IFERROR(VLOOKUP(A848, Entries!A:B,2,false),"")</f>
        <v>CAPCOM</v>
      </c>
      <c r="N848" s="23" t="str">
        <f>IFERROR(VLOOKUP(A848, Entries!A:K,11,false),"")</f>
        <v/>
      </c>
      <c r="O848" s="23" t="b">
        <f>IFERROR(VLOOKUP(A848, Entries!A:I,8,false),"")</f>
        <v>0</v>
      </c>
    </row>
    <row r="849">
      <c r="A849" s="78" t="s">
        <v>1158</v>
      </c>
      <c r="B849" s="78" t="s">
        <v>23</v>
      </c>
      <c r="C849" s="85">
        <v>44343.0</v>
      </c>
      <c r="D849" s="85">
        <v>45215.0</v>
      </c>
      <c r="E849" s="86">
        <v>6.83</v>
      </c>
      <c r="F849" s="87">
        <v>3.82</v>
      </c>
      <c r="G849" s="88">
        <f t="shared" si="1"/>
        <v>-3.01</v>
      </c>
      <c r="H849" s="89">
        <f t="shared" si="2"/>
        <v>-0.7879581152</v>
      </c>
      <c r="I849" s="78" t="s">
        <v>1160</v>
      </c>
      <c r="J849" s="78" t="s">
        <v>69</v>
      </c>
      <c r="K849" s="58">
        <f t="shared" si="3"/>
        <v>872</v>
      </c>
      <c r="L849" s="91" t="str">
        <f t="shared" si="6"/>
        <v>Mon</v>
      </c>
      <c r="M849" s="78" t="str">
        <f>IFERROR(VLOOKUP(A849, Entries!A:B,2,false),"")</f>
        <v>CAPCOM</v>
      </c>
      <c r="N849" s="23" t="str">
        <f>IFERROR(VLOOKUP(A849, Entries!A:K,11,false),"")</f>
        <v/>
      </c>
      <c r="O849" s="23" t="b">
        <f>IFERROR(VLOOKUP(A849, Entries!A:I,8,false),"")</f>
        <v>0</v>
      </c>
    </row>
    <row r="850">
      <c r="A850" s="78" t="s">
        <v>403</v>
      </c>
      <c r="B850" s="78" t="s">
        <v>23</v>
      </c>
      <c r="C850" s="85">
        <v>44343.0</v>
      </c>
      <c r="D850" s="85">
        <v>44348.0</v>
      </c>
      <c r="E850" s="86">
        <v>11.96</v>
      </c>
      <c r="F850" s="87">
        <v>15.55</v>
      </c>
      <c r="G850" s="88">
        <f t="shared" si="1"/>
        <v>3.59</v>
      </c>
      <c r="H850" s="89">
        <f t="shared" si="2"/>
        <v>0.2308681672</v>
      </c>
      <c r="I850" s="78" t="s">
        <v>1161</v>
      </c>
      <c r="J850" s="78" t="s">
        <v>69</v>
      </c>
      <c r="K850" s="58">
        <f t="shared" si="3"/>
        <v>5</v>
      </c>
      <c r="L850" s="91" t="str">
        <f t="shared" si="6"/>
        <v>Tue</v>
      </c>
      <c r="M850" s="78" t="str">
        <f>IFERROR(VLOOKUP(A850, Entries!A:B,2,false),"")</f>
        <v>Motion Twin</v>
      </c>
      <c r="N850" s="23" t="str">
        <f>IFERROR(VLOOKUP(A850, Entries!A:K,11,false),"")</f>
        <v/>
      </c>
      <c r="O850" s="23" t="b">
        <f>IFERROR(VLOOKUP(A850, Entries!A:I,8,false),"")</f>
        <v>0</v>
      </c>
    </row>
    <row r="851">
      <c r="A851" s="78" t="s">
        <v>1068</v>
      </c>
      <c r="B851" s="78" t="s">
        <v>19</v>
      </c>
      <c r="C851" s="85">
        <v>44344.0</v>
      </c>
      <c r="D851" s="25"/>
      <c r="E851" s="86">
        <v>7.09</v>
      </c>
      <c r="F851" s="88"/>
      <c r="G851" s="88">
        <f t="shared" si="1"/>
        <v>-7.09</v>
      </c>
      <c r="H851" s="89" t="str">
        <f t="shared" si="2"/>
        <v/>
      </c>
      <c r="I851" s="78" t="s">
        <v>1162</v>
      </c>
      <c r="J851" s="78" t="s">
        <v>1129</v>
      </c>
      <c r="K851" s="58" t="str">
        <f t="shared" si="3"/>
        <v/>
      </c>
      <c r="L851" s="91" t="str">
        <f t="shared" si="6"/>
        <v/>
      </c>
      <c r="M851" s="78" t="str">
        <f>IFERROR(VLOOKUP(A851, Entries!A:B,2,false),"")</f>
        <v>Frogwares</v>
      </c>
      <c r="O851" s="23" t="b">
        <f>IFERROR(VLOOKUP(A851, Entries!A:I,8,false),"")</f>
        <v>0</v>
      </c>
      <c r="S851" s="23" t="str">
        <f>IF(AND(TODAY()-ROW(A27)+1 &lt;= 30, J27="Closed"), TEXT(TODAY()-ROW(A27)+1, "dd-mm-yyyy"), "")
</f>
        <v/>
      </c>
    </row>
    <row r="852">
      <c r="A852" s="78" t="s">
        <v>1163</v>
      </c>
      <c r="B852" s="78" t="s">
        <v>19</v>
      </c>
      <c r="C852" s="85">
        <v>44344.0</v>
      </c>
      <c r="D852" s="85">
        <v>44348.0</v>
      </c>
      <c r="E852" s="86">
        <v>11.37</v>
      </c>
      <c r="F852" s="87">
        <v>14.69</v>
      </c>
      <c r="G852" s="88">
        <f t="shared" si="1"/>
        <v>3.32</v>
      </c>
      <c r="H852" s="89">
        <f t="shared" si="2"/>
        <v>0.2260040844</v>
      </c>
      <c r="I852" s="78" t="s">
        <v>1164</v>
      </c>
      <c r="J852" s="78" t="s">
        <v>69</v>
      </c>
      <c r="K852" s="58">
        <f t="shared" si="3"/>
        <v>4</v>
      </c>
      <c r="L852" s="91" t="str">
        <f t="shared" si="6"/>
        <v>Tue</v>
      </c>
      <c r="M852" s="78" t="str">
        <f>IFERROR(VLOOKUP(A852, Entries!A:B,2,false),"")</f>
        <v>Codemasters</v>
      </c>
      <c r="N852" s="23" t="str">
        <f>IFERROR(VLOOKUP(A852, Entries!A:K,11,false),"")</f>
        <v/>
      </c>
      <c r="O852" s="23" t="b">
        <f>IFERROR(VLOOKUP(A852, Entries!A:I,8,false),"")</f>
        <v>0</v>
      </c>
    </row>
    <row r="853">
      <c r="A853" s="78" t="s">
        <v>385</v>
      </c>
      <c r="B853" s="78" t="s">
        <v>19</v>
      </c>
      <c r="C853" s="85">
        <v>44346.0</v>
      </c>
      <c r="D853" s="85">
        <v>44366.0</v>
      </c>
      <c r="E853" s="86">
        <v>0.86</v>
      </c>
      <c r="F853" s="87">
        <v>0.9</v>
      </c>
      <c r="G853" s="88">
        <f t="shared" si="1"/>
        <v>0.04</v>
      </c>
      <c r="H853" s="89">
        <f t="shared" si="2"/>
        <v>0.04444444444</v>
      </c>
      <c r="I853" s="78" t="s">
        <v>1165</v>
      </c>
      <c r="J853" s="78" t="s">
        <v>69</v>
      </c>
      <c r="K853" s="58">
        <f t="shared" si="3"/>
        <v>20</v>
      </c>
      <c r="L853" s="91" t="str">
        <f t="shared" si="6"/>
        <v>Sat</v>
      </c>
      <c r="M853" s="78" t="str">
        <f>IFERROR(VLOOKUP(A853, Entries!A:B,2,false),"")</f>
        <v>Cheesecake Dev</v>
      </c>
      <c r="N853" s="23" t="str">
        <f>IFERROR(VLOOKUP(A853, Entries!A:K,11,false),"")</f>
        <v/>
      </c>
      <c r="O853" s="23" t="b">
        <f>IFERROR(VLOOKUP(A853, Entries!A:I,8,false),"")</f>
        <v>1</v>
      </c>
    </row>
    <row r="854">
      <c r="A854" s="78" t="s">
        <v>502</v>
      </c>
      <c r="B854" s="78" t="s">
        <v>19</v>
      </c>
      <c r="C854" s="85">
        <v>44346.0</v>
      </c>
      <c r="D854" s="85">
        <v>44348.0</v>
      </c>
      <c r="E854" s="86">
        <v>0.86</v>
      </c>
      <c r="F854" s="87">
        <v>1.45</v>
      </c>
      <c r="G854" s="88">
        <f t="shared" si="1"/>
        <v>0.59</v>
      </c>
      <c r="H854" s="89">
        <f t="shared" si="2"/>
        <v>0.4068965517</v>
      </c>
      <c r="I854" s="78" t="s">
        <v>1166</v>
      </c>
      <c r="J854" s="78" t="s">
        <v>69</v>
      </c>
      <c r="K854" s="58">
        <f t="shared" si="3"/>
        <v>2</v>
      </c>
      <c r="L854" s="91" t="str">
        <f t="shared" si="6"/>
        <v>Tue</v>
      </c>
      <c r="M854" s="78" t="str">
        <f>IFERROR(VLOOKUP(A854, Entries!A:B,2,false),"")</f>
        <v>Krillbite Studio</v>
      </c>
      <c r="N854" s="23" t="str">
        <f>IFERROR(VLOOKUP(A854, Entries!A:K,11,false),"")</f>
        <v/>
      </c>
      <c r="O854" s="23" t="b">
        <f>IFERROR(VLOOKUP(A854, Entries!A:I,8,false),"")</f>
        <v>0</v>
      </c>
    </row>
    <row r="855">
      <c r="A855" s="78" t="s">
        <v>1167</v>
      </c>
      <c r="B855" s="78" t="s">
        <v>23</v>
      </c>
      <c r="C855" s="85">
        <v>44347.0</v>
      </c>
      <c r="D855" s="85">
        <v>44357.0</v>
      </c>
      <c r="E855" s="86">
        <v>14.59</v>
      </c>
      <c r="F855" s="87">
        <v>16.36</v>
      </c>
      <c r="G855" s="88">
        <f t="shared" si="1"/>
        <v>1.77</v>
      </c>
      <c r="H855" s="89">
        <f t="shared" si="2"/>
        <v>0.108190709</v>
      </c>
      <c r="I855" s="78" t="s">
        <v>1168</v>
      </c>
      <c r="J855" s="78" t="s">
        <v>69</v>
      </c>
      <c r="K855" s="58">
        <f t="shared" si="3"/>
        <v>10</v>
      </c>
      <c r="L855" s="91" t="str">
        <f t="shared" si="6"/>
        <v>Thu</v>
      </c>
      <c r="M855" s="78" t="str">
        <f>IFERROR(VLOOKUP(A855, Entries!A:B,2,false),"")</f>
        <v>BANDAI NAMCO</v>
      </c>
      <c r="N855" s="23" t="str">
        <f>IFERROR(VLOOKUP(A855, Entries!A:K,11,false),"")</f>
        <v/>
      </c>
      <c r="O855" s="23" t="b">
        <f>IFERROR(VLOOKUP(A855, Entries!A:I,8,false),"")</f>
        <v>0</v>
      </c>
    </row>
    <row r="856">
      <c r="A856" s="78" t="s">
        <v>1084</v>
      </c>
      <c r="B856" s="78" t="s">
        <v>18</v>
      </c>
      <c r="C856" s="85">
        <v>44347.0</v>
      </c>
      <c r="D856" s="85">
        <v>44409.0</v>
      </c>
      <c r="E856" s="86">
        <v>6.35</v>
      </c>
      <c r="F856" s="87">
        <v>10.28</v>
      </c>
      <c r="G856" s="88">
        <f t="shared" si="1"/>
        <v>3.93</v>
      </c>
      <c r="H856" s="89">
        <f t="shared" si="2"/>
        <v>0.3822957198</v>
      </c>
      <c r="I856" s="78" t="s">
        <v>1169</v>
      </c>
      <c r="J856" s="78" t="s">
        <v>69</v>
      </c>
      <c r="K856" s="58">
        <f t="shared" si="3"/>
        <v>62</v>
      </c>
      <c r="L856" s="91" t="str">
        <f t="shared" si="6"/>
        <v>Sun</v>
      </c>
      <c r="M856" s="78" t="str">
        <f>IFERROR(VLOOKUP(A856, Entries!A:B,2,false),"")</f>
        <v>Milestone</v>
      </c>
      <c r="N856" s="23" t="str">
        <f>IFERROR(VLOOKUP(A856, Entries!A:K,11,false),"")</f>
        <v/>
      </c>
      <c r="O856" s="23" t="b">
        <f>IFERROR(VLOOKUP(A856, Entries!A:I,8,false),"")</f>
        <v>0</v>
      </c>
    </row>
    <row r="857">
      <c r="A857" s="78" t="s">
        <v>373</v>
      </c>
      <c r="B857" s="78" t="s">
        <v>19</v>
      </c>
      <c r="C857" s="85">
        <v>44350.0</v>
      </c>
      <c r="D857" s="85">
        <v>44366.0</v>
      </c>
      <c r="E857" s="86">
        <v>4.06</v>
      </c>
      <c r="F857" s="87">
        <v>7.36</v>
      </c>
      <c r="G857" s="88">
        <f t="shared" si="1"/>
        <v>3.3</v>
      </c>
      <c r="H857" s="89">
        <f t="shared" si="2"/>
        <v>0.4483695652</v>
      </c>
      <c r="I857" s="78" t="s">
        <v>1170</v>
      </c>
      <c r="J857" s="78" t="s">
        <v>69</v>
      </c>
      <c r="K857" s="58">
        <f t="shared" si="3"/>
        <v>16</v>
      </c>
      <c r="L857" s="91" t="str">
        <f t="shared" si="6"/>
        <v>Sat</v>
      </c>
      <c r="M857" s="78" t="str">
        <f>IFERROR(VLOOKUP(A857, Entries!A:B,2,false),"")</f>
        <v>Beamdog</v>
      </c>
      <c r="N857" s="23" t="str">
        <f>IFERROR(VLOOKUP(A857, Entries!A:K,11,false),"")</f>
        <v/>
      </c>
      <c r="O857" s="23" t="b">
        <f>IFERROR(VLOOKUP(A857, Entries!A:I,8,false),"")</f>
        <v>1</v>
      </c>
    </row>
    <row r="858">
      <c r="A858" s="78" t="s">
        <v>373</v>
      </c>
      <c r="B858" s="78" t="s">
        <v>19</v>
      </c>
      <c r="C858" s="85">
        <v>44350.0</v>
      </c>
      <c r="D858" s="85">
        <v>44368.0</v>
      </c>
      <c r="E858" s="86">
        <v>4.06</v>
      </c>
      <c r="F858" s="87">
        <v>7.2</v>
      </c>
      <c r="G858" s="88">
        <f t="shared" si="1"/>
        <v>3.14</v>
      </c>
      <c r="H858" s="89">
        <f t="shared" si="2"/>
        <v>0.4361111111</v>
      </c>
      <c r="I858" s="78" t="s">
        <v>1171</v>
      </c>
      <c r="J858" s="78" t="s">
        <v>69</v>
      </c>
      <c r="K858" s="58">
        <f t="shared" si="3"/>
        <v>18</v>
      </c>
      <c r="L858" s="91" t="str">
        <f t="shared" si="6"/>
        <v>Mon</v>
      </c>
      <c r="M858" s="78" t="str">
        <f>IFERROR(VLOOKUP(A858, Entries!A:B,2,false),"")</f>
        <v>Beamdog</v>
      </c>
      <c r="N858" s="23" t="str">
        <f>IFERROR(VLOOKUP(A858, Entries!A:K,11,false),"")</f>
        <v/>
      </c>
      <c r="O858" s="23" t="b">
        <f>IFERROR(VLOOKUP(A858, Entries!A:I,8,false),"")</f>
        <v>1</v>
      </c>
    </row>
    <row r="859">
      <c r="A859" s="78" t="s">
        <v>1172</v>
      </c>
      <c r="B859" s="78" t="s">
        <v>23</v>
      </c>
      <c r="C859" s="85">
        <v>44351.0</v>
      </c>
      <c r="D859" s="85">
        <v>44369.0</v>
      </c>
      <c r="E859" s="86">
        <v>6.68</v>
      </c>
      <c r="F859" s="87">
        <v>7.99</v>
      </c>
      <c r="G859" s="88">
        <f t="shared" si="1"/>
        <v>1.31</v>
      </c>
      <c r="H859" s="89">
        <f t="shared" si="2"/>
        <v>0.1639549437</v>
      </c>
      <c r="I859" s="78" t="s">
        <v>1173</v>
      </c>
      <c r="J859" s="78" t="s">
        <v>69</v>
      </c>
      <c r="K859" s="58">
        <f t="shared" si="3"/>
        <v>18</v>
      </c>
      <c r="L859" s="91" t="str">
        <f t="shared" si="6"/>
        <v>Tue</v>
      </c>
      <c r="M859" s="78" t="str">
        <f>IFERROR(VLOOKUP(A859, Entries!A:B,2,false),"")</f>
        <v>CAPCOM</v>
      </c>
      <c r="N859" s="23" t="str">
        <f>IFERROR(VLOOKUP(A859, Entries!A:K,11,false),"")</f>
        <v/>
      </c>
      <c r="O859" s="23" t="b">
        <f>IFERROR(VLOOKUP(A859, Entries!A:I,8,false),"")</f>
        <v>0</v>
      </c>
    </row>
    <row r="860">
      <c r="A860" s="78" t="s">
        <v>840</v>
      </c>
      <c r="B860" s="78" t="s">
        <v>19</v>
      </c>
      <c r="C860" s="85">
        <v>44352.0</v>
      </c>
      <c r="D860" s="85">
        <v>44386.0</v>
      </c>
      <c r="E860" s="86">
        <v>2.86</v>
      </c>
      <c r="F860" s="87">
        <v>3.93</v>
      </c>
      <c r="G860" s="88">
        <f t="shared" si="1"/>
        <v>1.07</v>
      </c>
      <c r="H860" s="89">
        <f t="shared" si="2"/>
        <v>0.272264631</v>
      </c>
      <c r="I860" s="78" t="s">
        <v>1174</v>
      </c>
      <c r="J860" s="78" t="s">
        <v>69</v>
      </c>
      <c r="K860" s="58">
        <f t="shared" si="3"/>
        <v>34</v>
      </c>
      <c r="L860" s="91" t="str">
        <f t="shared" si="6"/>
        <v>Fri</v>
      </c>
      <c r="M860" s="78" t="str">
        <f>IFERROR(VLOOKUP(A860, Entries!A:B,2,false),"")</f>
        <v>Square Enix</v>
      </c>
      <c r="N860" s="23" t="str">
        <f>IFERROR(VLOOKUP(A860, Entries!A:K,11,false),"")</f>
        <v/>
      </c>
      <c r="O860" s="23" t="b">
        <f>IFERROR(VLOOKUP(A860, Entries!A:I,8,false),"")</f>
        <v>0</v>
      </c>
    </row>
    <row r="861">
      <c r="A861" s="78" t="s">
        <v>1175</v>
      </c>
      <c r="B861" s="78" t="s">
        <v>19</v>
      </c>
      <c r="C861" s="85">
        <v>44352.0</v>
      </c>
      <c r="D861" s="85">
        <v>44362.0</v>
      </c>
      <c r="E861" s="86">
        <v>2.87</v>
      </c>
      <c r="F861" s="87">
        <v>3.85</v>
      </c>
      <c r="G861" s="88">
        <f t="shared" si="1"/>
        <v>0.98</v>
      </c>
      <c r="H861" s="89">
        <f t="shared" si="2"/>
        <v>0.2545454545</v>
      </c>
      <c r="I861" s="78" t="s">
        <v>1176</v>
      </c>
      <c r="J861" s="78" t="s">
        <v>69</v>
      </c>
      <c r="K861" s="58">
        <f t="shared" si="3"/>
        <v>10</v>
      </c>
      <c r="L861" s="91" t="str">
        <f t="shared" si="6"/>
        <v>Tue</v>
      </c>
      <c r="M861" s="78" t="str">
        <f>IFERROR(VLOOKUP(A861, Entries!A:B,2,false),"")</f>
        <v>10tons Ltd</v>
      </c>
      <c r="N861" s="23" t="str">
        <f>IFERROR(VLOOKUP(A861, Entries!A:K,11,false),"")</f>
        <v/>
      </c>
      <c r="O861" s="23" t="b">
        <f>IFERROR(VLOOKUP(A861, Entries!A:I,8,false),"")</f>
        <v>0</v>
      </c>
    </row>
    <row r="862">
      <c r="A862" s="78" t="s">
        <v>1177</v>
      </c>
      <c r="B862" s="78" t="s">
        <v>19</v>
      </c>
      <c r="C862" s="85">
        <v>44352.0</v>
      </c>
      <c r="D862" s="85">
        <v>44352.0</v>
      </c>
      <c r="E862" s="86">
        <v>2.87</v>
      </c>
      <c r="F862" s="87">
        <v>3.41</v>
      </c>
      <c r="G862" s="88">
        <f t="shared" si="1"/>
        <v>0.54</v>
      </c>
      <c r="H862" s="89">
        <f t="shared" si="2"/>
        <v>0.1583577713</v>
      </c>
      <c r="I862" s="78" t="s">
        <v>1178</v>
      </c>
      <c r="J862" s="78" t="s">
        <v>69</v>
      </c>
      <c r="K862" s="58">
        <f t="shared" si="3"/>
        <v>0</v>
      </c>
      <c r="L862" s="91" t="str">
        <f t="shared" si="6"/>
        <v>Sat</v>
      </c>
      <c r="M862" s="78" t="str">
        <f>IFERROR(VLOOKUP(A862, Entries!A:B,2,false),"")</f>
        <v>Kalypso Media</v>
      </c>
      <c r="N862" s="23" t="str">
        <f>IFERROR(VLOOKUP(A862, Entries!A:K,11,false),"")</f>
        <v/>
      </c>
      <c r="O862" s="23" t="b">
        <f>IFERROR(VLOOKUP(A862, Entries!A:I,8,false),"")</f>
        <v>0</v>
      </c>
    </row>
    <row r="863">
      <c r="A863" s="78" t="s">
        <v>75</v>
      </c>
      <c r="B863" s="78" t="s">
        <v>19</v>
      </c>
      <c r="C863" s="85">
        <v>44361.0</v>
      </c>
      <c r="D863" s="85">
        <v>44361.0</v>
      </c>
      <c r="E863" s="86">
        <v>11.29</v>
      </c>
      <c r="F863" s="87">
        <v>17.84</v>
      </c>
      <c r="G863" s="88">
        <f t="shared" si="1"/>
        <v>6.55</v>
      </c>
      <c r="H863" s="89">
        <f t="shared" si="2"/>
        <v>0.3671524664</v>
      </c>
      <c r="I863" s="78" t="s">
        <v>1179</v>
      </c>
      <c r="J863" s="78" t="s">
        <v>69</v>
      </c>
      <c r="K863" s="58">
        <f t="shared" si="3"/>
        <v>0</v>
      </c>
      <c r="L863" s="91" t="str">
        <f t="shared" si="6"/>
        <v>Mon</v>
      </c>
      <c r="M863" s="78" t="str">
        <f>IFERROR(VLOOKUP(A863, Entries!A:B,2,false),"")</f>
        <v>Square Enix</v>
      </c>
      <c r="N863" s="23" t="str">
        <f>IFERROR(VLOOKUP(A863, Entries!A:K,11,false),"")</f>
        <v/>
      </c>
      <c r="O863" s="23" t="b">
        <f>IFERROR(VLOOKUP(A863, Entries!A:I,8,false),"")</f>
        <v>1</v>
      </c>
    </row>
    <row r="864">
      <c r="A864" s="78" t="s">
        <v>75</v>
      </c>
      <c r="B864" s="78" t="s">
        <v>19</v>
      </c>
      <c r="C864" s="85">
        <v>44361.0</v>
      </c>
      <c r="D864" s="85">
        <v>44365.0</v>
      </c>
      <c r="E864" s="86">
        <v>11.02</v>
      </c>
      <c r="F864" s="87">
        <v>17.37</v>
      </c>
      <c r="G864" s="88">
        <f t="shared" si="1"/>
        <v>6.35</v>
      </c>
      <c r="H864" s="89">
        <f t="shared" si="2"/>
        <v>0.3655728267</v>
      </c>
      <c r="I864" s="78" t="s">
        <v>1180</v>
      </c>
      <c r="J864" s="78" t="s">
        <v>69</v>
      </c>
      <c r="K864" s="58">
        <f t="shared" si="3"/>
        <v>4</v>
      </c>
      <c r="L864" s="91" t="str">
        <f t="shared" si="6"/>
        <v>Fri</v>
      </c>
      <c r="M864" s="78" t="str">
        <f>IFERROR(VLOOKUP(A864, Entries!A:B,2,false),"")</f>
        <v>Square Enix</v>
      </c>
      <c r="N864" s="23" t="str">
        <f>IFERROR(VLOOKUP(A864, Entries!A:K,11,false),"")</f>
        <v/>
      </c>
      <c r="O864" s="23" t="b">
        <f>IFERROR(VLOOKUP(A864, Entries!A:I,8,false),"")</f>
        <v>1</v>
      </c>
    </row>
    <row r="865">
      <c r="A865" s="78" t="s">
        <v>75</v>
      </c>
      <c r="B865" s="78" t="s">
        <v>19</v>
      </c>
      <c r="C865" s="85">
        <v>44361.0</v>
      </c>
      <c r="D865" s="85">
        <v>44460.0</v>
      </c>
      <c r="E865" s="86">
        <v>11.02</v>
      </c>
      <c r="F865" s="87">
        <v>11.57</v>
      </c>
      <c r="G865" s="88">
        <f t="shared" si="1"/>
        <v>0.55</v>
      </c>
      <c r="H865" s="89">
        <f t="shared" si="2"/>
        <v>0.04753673293</v>
      </c>
      <c r="I865" s="78" t="s">
        <v>1181</v>
      </c>
      <c r="J865" s="78" t="s">
        <v>69</v>
      </c>
      <c r="K865" s="58">
        <f t="shared" si="3"/>
        <v>99</v>
      </c>
      <c r="L865" s="91" t="str">
        <f t="shared" si="6"/>
        <v>Tue</v>
      </c>
      <c r="M865" s="78" t="str">
        <f>IFERROR(VLOOKUP(A865, Entries!A:B,2,false),"")</f>
        <v>Square Enix</v>
      </c>
      <c r="N865" s="23" t="str">
        <f>IFERROR(VLOOKUP(A865, Entries!A:K,11,false),"")</f>
        <v/>
      </c>
      <c r="O865" s="23" t="b">
        <f>IFERROR(VLOOKUP(A865, Entries!A:I,8,false),"")</f>
        <v>1</v>
      </c>
    </row>
    <row r="866">
      <c r="A866" s="78" t="s">
        <v>836</v>
      </c>
      <c r="B866" s="78" t="s">
        <v>21</v>
      </c>
      <c r="C866" s="85">
        <v>44362.0</v>
      </c>
      <c r="D866" s="85">
        <v>44495.0</v>
      </c>
      <c r="E866" s="86">
        <v>12.64</v>
      </c>
      <c r="F866" s="87">
        <v>12.79</v>
      </c>
      <c r="G866" s="88">
        <f t="shared" si="1"/>
        <v>0.15</v>
      </c>
      <c r="H866" s="89">
        <f t="shared" si="2"/>
        <v>0.01172791243</v>
      </c>
      <c r="I866" s="78" t="s">
        <v>1182</v>
      </c>
      <c r="J866" s="78" t="s">
        <v>69</v>
      </c>
      <c r="K866" s="58">
        <f t="shared" si="3"/>
        <v>133</v>
      </c>
      <c r="L866" s="91" t="str">
        <f t="shared" si="6"/>
        <v>Tue</v>
      </c>
      <c r="M866" s="78" t="str">
        <f>IFERROR(VLOOKUP(A866, Entries!A:B,2,false),"")</f>
        <v>The Irregular Corporation</v>
      </c>
      <c r="N866" s="23" t="str">
        <f>IFERROR(VLOOKUP(A866, Entries!A:K,11,false),"")</f>
        <v/>
      </c>
      <c r="O866" s="23" t="b">
        <f>IFERROR(VLOOKUP(A866, Entries!A:I,8,false),"")</f>
        <v>0</v>
      </c>
    </row>
    <row r="867">
      <c r="A867" s="78" t="s">
        <v>731</v>
      </c>
      <c r="B867" s="78" t="s">
        <v>19</v>
      </c>
      <c r="C867" s="85">
        <v>44364.0</v>
      </c>
      <c r="D867" s="85">
        <v>44367.0</v>
      </c>
      <c r="E867" s="86">
        <v>3.4</v>
      </c>
      <c r="F867" s="87">
        <v>4.87</v>
      </c>
      <c r="G867" s="88">
        <f t="shared" si="1"/>
        <v>1.47</v>
      </c>
      <c r="H867" s="89">
        <f t="shared" si="2"/>
        <v>0.3018480493</v>
      </c>
      <c r="I867" s="78" t="s">
        <v>1183</v>
      </c>
      <c r="J867" s="78" t="s">
        <v>69</v>
      </c>
      <c r="K867" s="58">
        <f t="shared" si="3"/>
        <v>3</v>
      </c>
      <c r="L867" s="91" t="str">
        <f t="shared" si="6"/>
        <v>Sun</v>
      </c>
      <c r="M867" s="78" t="str">
        <f>IFERROR(VLOOKUP(A867, Entries!A:B,2,false),"")</f>
        <v>Square Enix</v>
      </c>
      <c r="N867" s="23" t="str">
        <f>IFERROR(VLOOKUP(A867, Entries!A:K,11,false),"")</f>
        <v/>
      </c>
      <c r="O867" s="23" t="b">
        <f>IFERROR(VLOOKUP(A867, Entries!A:I,8,false),"")</f>
        <v>1</v>
      </c>
    </row>
    <row r="868">
      <c r="A868" s="78" t="s">
        <v>731</v>
      </c>
      <c r="B868" s="78" t="s">
        <v>19</v>
      </c>
      <c r="C868" s="85">
        <v>44364.0</v>
      </c>
      <c r="D868" s="85">
        <v>44367.0</v>
      </c>
      <c r="E868" s="86">
        <v>3.33</v>
      </c>
      <c r="F868" s="87">
        <v>5.12</v>
      </c>
      <c r="G868" s="88">
        <f t="shared" si="1"/>
        <v>1.79</v>
      </c>
      <c r="H868" s="89">
        <f t="shared" si="2"/>
        <v>0.349609375</v>
      </c>
      <c r="I868" s="78" t="s">
        <v>1184</v>
      </c>
      <c r="J868" s="78" t="s">
        <v>69</v>
      </c>
      <c r="K868" s="58">
        <f t="shared" si="3"/>
        <v>3</v>
      </c>
      <c r="L868" s="91" t="str">
        <f t="shared" si="6"/>
        <v>Sun</v>
      </c>
      <c r="M868" s="78" t="str">
        <f>IFERROR(VLOOKUP(A868, Entries!A:B,2,false),"")</f>
        <v>Square Enix</v>
      </c>
      <c r="N868" s="23" t="str">
        <f>IFERROR(VLOOKUP(A868, Entries!A:K,11,false),"")</f>
        <v/>
      </c>
      <c r="O868" s="23" t="b">
        <f>IFERROR(VLOOKUP(A868, Entries!A:I,8,false),"")</f>
        <v>1</v>
      </c>
    </row>
    <row r="869">
      <c r="A869" s="78" t="s">
        <v>1154</v>
      </c>
      <c r="B869" s="78" t="s">
        <v>19</v>
      </c>
      <c r="C869" s="85">
        <v>44365.0</v>
      </c>
      <c r="D869" s="85">
        <v>44630.0</v>
      </c>
      <c r="E869" s="86">
        <v>2.5</v>
      </c>
      <c r="F869" s="87">
        <v>3.15</v>
      </c>
      <c r="G869" s="88">
        <f t="shared" si="1"/>
        <v>0.65</v>
      </c>
      <c r="H869" s="89">
        <f t="shared" si="2"/>
        <v>0.2063492063</v>
      </c>
      <c r="I869" s="78" t="s">
        <v>1185</v>
      </c>
      <c r="J869" s="78" t="s">
        <v>69</v>
      </c>
      <c r="K869" s="58">
        <f t="shared" si="3"/>
        <v>265</v>
      </c>
      <c r="L869" s="91" t="str">
        <f t="shared" si="6"/>
        <v>Thu</v>
      </c>
      <c r="M869" s="78" t="str">
        <f>IFERROR(VLOOKUP(A869, Entries!A:B,2,false),"")</f>
        <v>Aksys Games</v>
      </c>
      <c r="N869" s="23" t="str">
        <f>IFERROR(VLOOKUP(A869, Entries!A:K,11,false),"")</f>
        <v/>
      </c>
      <c r="O869" s="23" t="b">
        <f>IFERROR(VLOOKUP(A869, Entries!A:I,8,false),"")</f>
        <v>0</v>
      </c>
    </row>
    <row r="870">
      <c r="A870" s="78" t="s">
        <v>1154</v>
      </c>
      <c r="B870" s="78" t="s">
        <v>19</v>
      </c>
      <c r="C870" s="85">
        <v>44365.0</v>
      </c>
      <c r="D870" s="85">
        <v>44630.0</v>
      </c>
      <c r="E870" s="86">
        <v>2.5</v>
      </c>
      <c r="F870" s="87">
        <v>3.14</v>
      </c>
      <c r="G870" s="88">
        <f t="shared" si="1"/>
        <v>0.64</v>
      </c>
      <c r="H870" s="89">
        <f t="shared" si="2"/>
        <v>0.2038216561</v>
      </c>
      <c r="I870" s="78" t="s">
        <v>1186</v>
      </c>
      <c r="J870" s="78" t="s">
        <v>69</v>
      </c>
      <c r="K870" s="58">
        <f t="shared" si="3"/>
        <v>265</v>
      </c>
      <c r="L870" s="91" t="str">
        <f t="shared" si="6"/>
        <v>Thu</v>
      </c>
      <c r="M870" s="78" t="str">
        <f>IFERROR(VLOOKUP(A870, Entries!A:B,2,false),"")</f>
        <v>Aksys Games</v>
      </c>
      <c r="N870" s="23" t="str">
        <f>IFERROR(VLOOKUP(A870, Entries!A:K,11,false),"")</f>
        <v/>
      </c>
      <c r="O870" s="23" t="b">
        <f>IFERROR(VLOOKUP(A870, Entries!A:I,8,false),"")</f>
        <v>0</v>
      </c>
    </row>
    <row r="871">
      <c r="A871" s="78" t="s">
        <v>1187</v>
      </c>
      <c r="B871" s="78" t="s">
        <v>19</v>
      </c>
      <c r="C871" s="85">
        <v>44365.0</v>
      </c>
      <c r="D871" s="85">
        <v>44453.0</v>
      </c>
      <c r="E871" s="86">
        <v>0.5</v>
      </c>
      <c r="F871" s="87">
        <v>0.69</v>
      </c>
      <c r="G871" s="88">
        <f t="shared" si="1"/>
        <v>0.19</v>
      </c>
      <c r="H871" s="89">
        <f t="shared" si="2"/>
        <v>0.2753623188</v>
      </c>
      <c r="I871" s="78" t="s">
        <v>1188</v>
      </c>
      <c r="J871" s="78" t="s">
        <v>69</v>
      </c>
      <c r="K871" s="58">
        <f t="shared" si="3"/>
        <v>88</v>
      </c>
      <c r="L871" s="91" t="str">
        <f t="shared" si="6"/>
        <v>Tue</v>
      </c>
      <c r="M871" s="78" t="str">
        <f>IFERROR(VLOOKUP(A871, Entries!A:B,2,false),"")</f>
        <v>Top Hat Studios</v>
      </c>
      <c r="N871" s="23" t="str">
        <f>IFERROR(VLOOKUP(A871, Entries!A:K,11,false),"")</f>
        <v/>
      </c>
      <c r="O871" s="23" t="b">
        <f>IFERROR(VLOOKUP(A871, Entries!A:I,8,false),"")</f>
        <v>0</v>
      </c>
    </row>
    <row r="872">
      <c r="A872" s="78" t="s">
        <v>1187</v>
      </c>
      <c r="B872" s="78" t="s">
        <v>19</v>
      </c>
      <c r="C872" s="85">
        <v>44365.0</v>
      </c>
      <c r="D872" s="85">
        <v>44463.0</v>
      </c>
      <c r="E872" s="86">
        <v>0.5</v>
      </c>
      <c r="F872" s="87">
        <v>0.63</v>
      </c>
      <c r="G872" s="88">
        <f t="shared" si="1"/>
        <v>0.13</v>
      </c>
      <c r="H872" s="89">
        <f t="shared" si="2"/>
        <v>0.2063492063</v>
      </c>
      <c r="I872" s="78" t="s">
        <v>1189</v>
      </c>
      <c r="J872" s="78" t="s">
        <v>69</v>
      </c>
      <c r="K872" s="58">
        <f t="shared" si="3"/>
        <v>98</v>
      </c>
      <c r="L872" s="91" t="str">
        <f t="shared" si="6"/>
        <v>Fri</v>
      </c>
      <c r="M872" s="78" t="str">
        <f>IFERROR(VLOOKUP(A872, Entries!A:B,2,false),"")</f>
        <v>Top Hat Studios</v>
      </c>
      <c r="N872" s="23" t="str">
        <f>IFERROR(VLOOKUP(A872, Entries!A:K,11,false),"")</f>
        <v/>
      </c>
      <c r="O872" s="23" t="b">
        <f>IFERROR(VLOOKUP(A872, Entries!A:I,8,false),"")</f>
        <v>0</v>
      </c>
    </row>
    <row r="873">
      <c r="A873" s="78" t="s">
        <v>1190</v>
      </c>
      <c r="B873" s="78" t="s">
        <v>19</v>
      </c>
      <c r="C873" s="85">
        <v>44365.0</v>
      </c>
      <c r="D873" s="85">
        <v>44366.0</v>
      </c>
      <c r="E873" s="86">
        <v>0.5</v>
      </c>
      <c r="F873" s="87">
        <v>2.5</v>
      </c>
      <c r="G873" s="88">
        <f t="shared" si="1"/>
        <v>2</v>
      </c>
      <c r="H873" s="89">
        <f t="shared" si="2"/>
        <v>0.8</v>
      </c>
      <c r="I873" s="78" t="s">
        <v>1191</v>
      </c>
      <c r="J873" s="78" t="s">
        <v>69</v>
      </c>
      <c r="K873" s="58">
        <f t="shared" si="3"/>
        <v>1</v>
      </c>
      <c r="L873" s="91" t="str">
        <f t="shared" si="6"/>
        <v>Sat</v>
      </c>
      <c r="M873" s="78" t="str">
        <f>IFERROR(VLOOKUP(A873, Entries!A:B,2,false),"")</f>
        <v>PQube Limited</v>
      </c>
      <c r="N873" s="23" t="str">
        <f>IFERROR(VLOOKUP(A873, Entries!A:K,11,false),"")</f>
        <v/>
      </c>
      <c r="O873" s="23" t="b">
        <f>IFERROR(VLOOKUP(A873, Entries!A:I,8,false),"")</f>
        <v>0</v>
      </c>
    </row>
    <row r="874">
      <c r="A874" s="78" t="s">
        <v>1190</v>
      </c>
      <c r="B874" s="78" t="s">
        <v>19</v>
      </c>
      <c r="C874" s="85">
        <v>44365.0</v>
      </c>
      <c r="D874" s="85">
        <v>44388.0</v>
      </c>
      <c r="E874" s="86">
        <v>0.5</v>
      </c>
      <c r="F874" s="87">
        <v>2.29</v>
      </c>
      <c r="G874" s="88">
        <f t="shared" si="1"/>
        <v>1.79</v>
      </c>
      <c r="H874" s="89">
        <f t="shared" si="2"/>
        <v>0.7816593886</v>
      </c>
      <c r="I874" s="78" t="s">
        <v>1192</v>
      </c>
      <c r="J874" s="78" t="s">
        <v>69</v>
      </c>
      <c r="K874" s="58">
        <f t="shared" si="3"/>
        <v>23</v>
      </c>
      <c r="L874" s="91" t="str">
        <f t="shared" si="6"/>
        <v>Sun</v>
      </c>
      <c r="M874" s="78" t="str">
        <f>IFERROR(VLOOKUP(A874, Entries!A:B,2,false),"")</f>
        <v>PQube Limited</v>
      </c>
      <c r="N874" s="23" t="str">
        <f>IFERROR(VLOOKUP(A874, Entries!A:K,11,false),"")</f>
        <v/>
      </c>
      <c r="O874" s="23" t="b">
        <f>IFERROR(VLOOKUP(A874, Entries!A:I,8,false),"")</f>
        <v>0</v>
      </c>
    </row>
    <row r="875">
      <c r="A875" s="78" t="s">
        <v>1193</v>
      </c>
      <c r="B875" s="78" t="s">
        <v>19</v>
      </c>
      <c r="C875" s="85">
        <v>44365.0</v>
      </c>
      <c r="D875" s="85">
        <v>44382.0</v>
      </c>
      <c r="E875" s="86">
        <v>0.5</v>
      </c>
      <c r="F875" s="87">
        <v>1.97</v>
      </c>
      <c r="G875" s="88">
        <f t="shared" si="1"/>
        <v>1.47</v>
      </c>
      <c r="H875" s="89">
        <f t="shared" si="2"/>
        <v>0.7461928934</v>
      </c>
      <c r="I875" s="78" t="s">
        <v>1194</v>
      </c>
      <c r="J875" s="78" t="s">
        <v>69</v>
      </c>
      <c r="K875" s="58">
        <f t="shared" si="3"/>
        <v>17</v>
      </c>
      <c r="L875" s="91" t="str">
        <f t="shared" si="6"/>
        <v>Mon</v>
      </c>
      <c r="M875" s="78" t="str">
        <f>IFERROR(VLOOKUP(A875, Entries!A:B,2,false),"")</f>
        <v>Aksys Games</v>
      </c>
      <c r="N875" s="23" t="str">
        <f>IFERROR(VLOOKUP(A875, Entries!A:K,11,false),"")</f>
        <v/>
      </c>
      <c r="O875" s="23" t="b">
        <f>IFERROR(VLOOKUP(A875, Entries!A:I,8,false),"")</f>
        <v>0</v>
      </c>
    </row>
    <row r="876">
      <c r="A876" s="78" t="s">
        <v>1193</v>
      </c>
      <c r="B876" s="78" t="s">
        <v>19</v>
      </c>
      <c r="C876" s="85">
        <v>44365.0</v>
      </c>
      <c r="D876" s="85">
        <v>44382.0</v>
      </c>
      <c r="E876" s="86">
        <v>0.5</v>
      </c>
      <c r="F876" s="87">
        <v>1.97</v>
      </c>
      <c r="G876" s="88">
        <f t="shared" si="1"/>
        <v>1.47</v>
      </c>
      <c r="H876" s="89">
        <f t="shared" si="2"/>
        <v>0.7461928934</v>
      </c>
      <c r="I876" s="78" t="s">
        <v>1195</v>
      </c>
      <c r="J876" s="78" t="s">
        <v>69</v>
      </c>
      <c r="K876" s="58">
        <f t="shared" si="3"/>
        <v>17</v>
      </c>
      <c r="L876" s="91" t="str">
        <f t="shared" si="6"/>
        <v>Mon</v>
      </c>
      <c r="M876" s="78" t="str">
        <f>IFERROR(VLOOKUP(A876, Entries!A:B,2,false),"")</f>
        <v>Aksys Games</v>
      </c>
      <c r="N876" s="23" t="str">
        <f>IFERROR(VLOOKUP(A876, Entries!A:K,11,false),"")</f>
        <v/>
      </c>
      <c r="O876" s="23" t="b">
        <f>IFERROR(VLOOKUP(A876, Entries!A:I,8,false),"")</f>
        <v>0</v>
      </c>
    </row>
    <row r="877">
      <c r="A877" s="78" t="s">
        <v>1196</v>
      </c>
      <c r="B877" s="78" t="s">
        <v>19</v>
      </c>
      <c r="C877" s="85">
        <v>44365.0</v>
      </c>
      <c r="D877" s="85">
        <v>44387.0</v>
      </c>
      <c r="E877" s="86">
        <v>0.5</v>
      </c>
      <c r="F877" s="87">
        <v>2.58</v>
      </c>
      <c r="G877" s="88">
        <f t="shared" si="1"/>
        <v>2.08</v>
      </c>
      <c r="H877" s="89">
        <f t="shared" si="2"/>
        <v>0.8062015504</v>
      </c>
      <c r="I877" s="78" t="s">
        <v>1197</v>
      </c>
      <c r="J877" s="78" t="s">
        <v>69</v>
      </c>
      <c r="K877" s="58">
        <f t="shared" si="3"/>
        <v>22</v>
      </c>
      <c r="L877" s="91" t="str">
        <f t="shared" si="6"/>
        <v>Sat</v>
      </c>
      <c r="M877" s="78" t="str">
        <f>IFERROR(VLOOKUP(A877, Entries!A:B,2,false),"")</f>
        <v>Nyu Media</v>
      </c>
      <c r="N877" s="23" t="str">
        <f>IFERROR(VLOOKUP(A877, Entries!A:K,11,false),"")</f>
        <v/>
      </c>
      <c r="O877" s="23" t="b">
        <f>IFERROR(VLOOKUP(A877, Entries!A:I,8,false),"")</f>
        <v>0</v>
      </c>
    </row>
    <row r="878">
      <c r="A878" s="78" t="s">
        <v>1196</v>
      </c>
      <c r="B878" s="78" t="s">
        <v>19</v>
      </c>
      <c r="C878" s="85">
        <v>44365.0</v>
      </c>
      <c r="D878" s="85">
        <v>44727.0</v>
      </c>
      <c r="E878" s="86">
        <v>0.5</v>
      </c>
      <c r="F878" s="87">
        <v>1.88</v>
      </c>
      <c r="G878" s="88">
        <f t="shared" si="1"/>
        <v>1.38</v>
      </c>
      <c r="H878" s="89">
        <f t="shared" si="2"/>
        <v>0.7340425532</v>
      </c>
      <c r="I878" s="78" t="s">
        <v>1198</v>
      </c>
      <c r="J878" s="78" t="s">
        <v>69</v>
      </c>
      <c r="K878" s="58">
        <f t="shared" si="3"/>
        <v>362</v>
      </c>
      <c r="L878" s="91" t="str">
        <f t="shared" si="6"/>
        <v>Wed</v>
      </c>
      <c r="M878" s="78" t="str">
        <f>IFERROR(VLOOKUP(A878, Entries!A:B,2,false),"")</f>
        <v>Nyu Media</v>
      </c>
      <c r="N878" s="23" t="str">
        <f>IFERROR(VLOOKUP(A878, Entries!A:K,11,false),"")</f>
        <v/>
      </c>
      <c r="O878" s="23" t="b">
        <f>IFERROR(VLOOKUP(A878, Entries!A:I,8,false),"")</f>
        <v>0</v>
      </c>
    </row>
    <row r="879">
      <c r="A879" s="78" t="s">
        <v>1199</v>
      </c>
      <c r="B879" s="78" t="s">
        <v>19</v>
      </c>
      <c r="C879" s="85">
        <v>44365.0</v>
      </c>
      <c r="D879" s="85">
        <v>44387.0</v>
      </c>
      <c r="E879" s="86">
        <v>0.31</v>
      </c>
      <c r="F879" s="87">
        <v>2.29</v>
      </c>
      <c r="G879" s="88">
        <f t="shared" si="1"/>
        <v>1.98</v>
      </c>
      <c r="H879" s="89">
        <f t="shared" si="2"/>
        <v>0.864628821</v>
      </c>
      <c r="I879" s="78" t="s">
        <v>1200</v>
      </c>
      <c r="J879" s="78" t="s">
        <v>69</v>
      </c>
      <c r="K879" s="58">
        <f t="shared" si="3"/>
        <v>22</v>
      </c>
      <c r="L879" s="91" t="str">
        <f t="shared" si="6"/>
        <v>Sat</v>
      </c>
      <c r="M879" s="78" t="str">
        <f>IFERROR(VLOOKUP(A879, Entries!A:B,2,false),"")</f>
        <v>RIVER CROW STUDIO</v>
      </c>
      <c r="N879" s="23" t="str">
        <f>IFERROR(VLOOKUP(A879, Entries!A:K,11,false),"")</f>
        <v/>
      </c>
      <c r="O879" s="23" t="b">
        <f>IFERROR(VLOOKUP(A879, Entries!A:I,8,false),"")</f>
        <v>0</v>
      </c>
    </row>
    <row r="880">
      <c r="A880" s="78" t="s">
        <v>1199</v>
      </c>
      <c r="B880" s="78" t="s">
        <v>19</v>
      </c>
      <c r="C880" s="85">
        <v>44365.0</v>
      </c>
      <c r="D880" s="85">
        <v>44432.0</v>
      </c>
      <c r="E880" s="86">
        <v>0.31</v>
      </c>
      <c r="F880" s="87">
        <v>4.69</v>
      </c>
      <c r="G880" s="88">
        <f t="shared" si="1"/>
        <v>4.38</v>
      </c>
      <c r="H880" s="89">
        <f t="shared" si="2"/>
        <v>0.933901919</v>
      </c>
      <c r="I880" s="78" t="s">
        <v>1201</v>
      </c>
      <c r="J880" s="78" t="s">
        <v>69</v>
      </c>
      <c r="K880" s="58">
        <f t="shared" si="3"/>
        <v>67</v>
      </c>
      <c r="L880" s="91" t="str">
        <f t="shared" si="6"/>
        <v>Tue</v>
      </c>
      <c r="M880" s="78" t="str">
        <f>IFERROR(VLOOKUP(A880, Entries!A:B,2,false),"")</f>
        <v>RIVER CROW STUDIO</v>
      </c>
      <c r="N880" s="23" t="str">
        <f>IFERROR(VLOOKUP(A880, Entries!A:K,11,false),"")</f>
        <v/>
      </c>
      <c r="O880" s="23" t="b">
        <f>IFERROR(VLOOKUP(A880, Entries!A:I,8,false),"")</f>
        <v>0</v>
      </c>
    </row>
    <row r="881">
      <c r="A881" s="78" t="s">
        <v>117</v>
      </c>
      <c r="B881" s="78" t="s">
        <v>19</v>
      </c>
      <c r="C881" s="85">
        <v>44368.0</v>
      </c>
      <c r="D881" s="85">
        <v>44368.0</v>
      </c>
      <c r="E881" s="86">
        <v>0.85</v>
      </c>
      <c r="F881" s="87">
        <v>1.81</v>
      </c>
      <c r="G881" s="88">
        <f t="shared" si="1"/>
        <v>0.96</v>
      </c>
      <c r="H881" s="89">
        <f t="shared" si="2"/>
        <v>0.5303867403</v>
      </c>
      <c r="I881" s="78" t="s">
        <v>1202</v>
      </c>
      <c r="J881" s="78" t="s">
        <v>69</v>
      </c>
      <c r="K881" s="58">
        <f t="shared" si="3"/>
        <v>0</v>
      </c>
      <c r="L881" s="91" t="str">
        <f t="shared" si="6"/>
        <v>Mon</v>
      </c>
      <c r="M881" s="78" t="str">
        <f>IFERROR(VLOOKUP(A881, Entries!A:B,2,false),"")</f>
        <v>Starbreeze Publishing</v>
      </c>
      <c r="N881" s="23" t="str">
        <f>IFERROR(VLOOKUP(A881, Entries!A:K,11,false),"")</f>
        <v/>
      </c>
      <c r="O881" s="23" t="b">
        <f>IFERROR(VLOOKUP(A881, Entries!A:I,8,false),"")</f>
        <v>1</v>
      </c>
    </row>
    <row r="882">
      <c r="A882" s="78" t="s">
        <v>117</v>
      </c>
      <c r="B882" s="78" t="s">
        <v>19</v>
      </c>
      <c r="C882" s="85">
        <v>44368.0</v>
      </c>
      <c r="D882" s="85">
        <v>44368.0</v>
      </c>
      <c r="E882" s="86">
        <v>0.85</v>
      </c>
      <c r="F882" s="87">
        <v>1.81</v>
      </c>
      <c r="G882" s="88">
        <f t="shared" si="1"/>
        <v>0.96</v>
      </c>
      <c r="H882" s="89">
        <f t="shared" si="2"/>
        <v>0.5303867403</v>
      </c>
      <c r="I882" s="78" t="s">
        <v>1203</v>
      </c>
      <c r="J882" s="78" t="s">
        <v>69</v>
      </c>
      <c r="K882" s="58">
        <f t="shared" si="3"/>
        <v>0</v>
      </c>
      <c r="L882" s="91" t="str">
        <f t="shared" si="6"/>
        <v>Mon</v>
      </c>
      <c r="M882" s="78" t="str">
        <f>IFERROR(VLOOKUP(A882, Entries!A:B,2,false),"")</f>
        <v>Starbreeze Publishing</v>
      </c>
      <c r="N882" s="23" t="str">
        <f>IFERROR(VLOOKUP(A882, Entries!A:K,11,false),"")</f>
        <v/>
      </c>
      <c r="O882" s="23" t="b">
        <f>IFERROR(VLOOKUP(A882, Entries!A:I,8,false),"")</f>
        <v>1</v>
      </c>
    </row>
    <row r="883">
      <c r="A883" s="78" t="s">
        <v>117</v>
      </c>
      <c r="B883" s="78" t="s">
        <v>19</v>
      </c>
      <c r="C883" s="85">
        <v>44368.0</v>
      </c>
      <c r="D883" s="85">
        <v>44368.0</v>
      </c>
      <c r="E883" s="86">
        <v>0.85</v>
      </c>
      <c r="F883" s="87">
        <v>1.81</v>
      </c>
      <c r="G883" s="88">
        <f t="shared" si="1"/>
        <v>0.96</v>
      </c>
      <c r="H883" s="89">
        <f t="shared" si="2"/>
        <v>0.5303867403</v>
      </c>
      <c r="I883" s="78" t="s">
        <v>1204</v>
      </c>
      <c r="J883" s="78" t="s">
        <v>69</v>
      </c>
      <c r="K883" s="58">
        <f t="shared" si="3"/>
        <v>0</v>
      </c>
      <c r="L883" s="91" t="str">
        <f t="shared" si="6"/>
        <v>Mon</v>
      </c>
      <c r="M883" s="78" t="str">
        <f>IFERROR(VLOOKUP(A883, Entries!A:B,2,false),"")</f>
        <v>Starbreeze Publishing</v>
      </c>
      <c r="N883" s="23" t="str">
        <f>IFERROR(VLOOKUP(A883, Entries!A:K,11,false),"")</f>
        <v/>
      </c>
      <c r="O883" s="23" t="b">
        <f>IFERROR(VLOOKUP(A883, Entries!A:I,8,false),"")</f>
        <v>1</v>
      </c>
    </row>
    <row r="884">
      <c r="A884" s="78" t="s">
        <v>117</v>
      </c>
      <c r="B884" s="78" t="s">
        <v>19</v>
      </c>
      <c r="C884" s="85">
        <v>44368.0</v>
      </c>
      <c r="D884" s="85">
        <v>44368.0</v>
      </c>
      <c r="E884" s="86">
        <v>0.85</v>
      </c>
      <c r="F884" s="87">
        <v>1.81</v>
      </c>
      <c r="G884" s="88">
        <f t="shared" si="1"/>
        <v>0.96</v>
      </c>
      <c r="H884" s="89">
        <f t="shared" si="2"/>
        <v>0.5303867403</v>
      </c>
      <c r="I884" s="78" t="s">
        <v>1205</v>
      </c>
      <c r="J884" s="78" t="s">
        <v>69</v>
      </c>
      <c r="K884" s="58">
        <f t="shared" si="3"/>
        <v>0</v>
      </c>
      <c r="L884" s="91" t="str">
        <f t="shared" si="6"/>
        <v>Mon</v>
      </c>
      <c r="M884" s="78" t="str">
        <f>IFERROR(VLOOKUP(A884, Entries!A:B,2,false),"")</f>
        <v>Starbreeze Publishing</v>
      </c>
      <c r="N884" s="23" t="str">
        <f>IFERROR(VLOOKUP(A884, Entries!A:K,11,false),"")</f>
        <v/>
      </c>
      <c r="O884" s="23" t="b">
        <f>IFERROR(VLOOKUP(A884, Entries!A:I,8,false),"")</f>
        <v>1</v>
      </c>
    </row>
    <row r="885">
      <c r="A885" s="78" t="s">
        <v>1206</v>
      </c>
      <c r="B885" s="78" t="s">
        <v>19</v>
      </c>
      <c r="C885" s="85">
        <v>44368.0</v>
      </c>
      <c r="D885" s="85">
        <v>44398.0</v>
      </c>
      <c r="E885" s="86">
        <v>7.99</v>
      </c>
      <c r="F885" s="87">
        <v>9.72</v>
      </c>
      <c r="G885" s="88">
        <f t="shared" si="1"/>
        <v>1.73</v>
      </c>
      <c r="H885" s="89">
        <f t="shared" si="2"/>
        <v>0.1779835391</v>
      </c>
      <c r="I885" s="78" t="s">
        <v>1207</v>
      </c>
      <c r="J885" s="78" t="s">
        <v>69</v>
      </c>
      <c r="K885" s="58">
        <f t="shared" si="3"/>
        <v>30</v>
      </c>
      <c r="L885" s="91" t="str">
        <f t="shared" si="6"/>
        <v>Wed</v>
      </c>
      <c r="M885" s="78" t="str">
        <f>IFERROR(VLOOKUP(A885, Entries!A:B,2,false),"")</f>
        <v>Devolver Digital</v>
      </c>
      <c r="N885" s="23" t="str">
        <f>IFERROR(VLOOKUP(A885, Entries!A:K,11,false),"")</f>
        <v/>
      </c>
      <c r="O885" s="23" t="b">
        <f>IFERROR(VLOOKUP(A885, Entries!A:I,8,false),"")</f>
        <v>0</v>
      </c>
    </row>
    <row r="886">
      <c r="A886" s="78" t="s">
        <v>1206</v>
      </c>
      <c r="B886" s="78" t="s">
        <v>19</v>
      </c>
      <c r="C886" s="85">
        <v>44368.0</v>
      </c>
      <c r="D886" s="85">
        <v>44404.0</v>
      </c>
      <c r="E886" s="86">
        <v>7.99</v>
      </c>
      <c r="F886" s="87">
        <v>9.63</v>
      </c>
      <c r="G886" s="88">
        <f t="shared" si="1"/>
        <v>1.64</v>
      </c>
      <c r="H886" s="89">
        <f t="shared" si="2"/>
        <v>0.1703011423</v>
      </c>
      <c r="I886" s="78" t="s">
        <v>1208</v>
      </c>
      <c r="J886" s="78" t="s">
        <v>69</v>
      </c>
      <c r="K886" s="58">
        <f t="shared" si="3"/>
        <v>36</v>
      </c>
      <c r="L886" s="91" t="str">
        <f t="shared" si="6"/>
        <v>Tue</v>
      </c>
      <c r="M886" s="78" t="str">
        <f>IFERROR(VLOOKUP(A886, Entries!A:B,2,false),"")</f>
        <v>Devolver Digital</v>
      </c>
      <c r="N886" s="23" t="str">
        <f>IFERROR(VLOOKUP(A886, Entries!A:K,11,false),"")</f>
        <v/>
      </c>
      <c r="O886" s="23" t="b">
        <f>IFERROR(VLOOKUP(A886, Entries!A:I,8,false),"")</f>
        <v>0</v>
      </c>
    </row>
    <row r="887">
      <c r="A887" s="78" t="s">
        <v>117</v>
      </c>
      <c r="B887" s="78" t="s">
        <v>19</v>
      </c>
      <c r="C887" s="85">
        <v>44369.0</v>
      </c>
      <c r="D887" s="85">
        <v>44369.0</v>
      </c>
      <c r="E887" s="86">
        <v>0.85</v>
      </c>
      <c r="F887" s="87">
        <v>1.8</v>
      </c>
      <c r="G887" s="88">
        <f t="shared" si="1"/>
        <v>0.95</v>
      </c>
      <c r="H887" s="89">
        <f t="shared" si="2"/>
        <v>0.5277777778</v>
      </c>
      <c r="I887" s="78" t="s">
        <v>1209</v>
      </c>
      <c r="J887" s="78" t="s">
        <v>69</v>
      </c>
      <c r="K887" s="58">
        <f t="shared" si="3"/>
        <v>0</v>
      </c>
      <c r="L887" s="91" t="str">
        <f t="shared" si="6"/>
        <v>Tue</v>
      </c>
      <c r="M887" s="78" t="str">
        <f>IFERROR(VLOOKUP(A887, Entries!A:B,2,false),"")</f>
        <v>Starbreeze Publishing</v>
      </c>
      <c r="N887" s="23" t="str">
        <f>IFERROR(VLOOKUP(A887, Entries!A:K,11,false),"")</f>
        <v/>
      </c>
      <c r="O887" s="23" t="b">
        <f>IFERROR(VLOOKUP(A887, Entries!A:I,8,false),"")</f>
        <v>1</v>
      </c>
    </row>
    <row r="888">
      <c r="A888" s="78" t="s">
        <v>731</v>
      </c>
      <c r="B888" s="78" t="s">
        <v>19</v>
      </c>
      <c r="C888" s="85">
        <v>44369.0</v>
      </c>
      <c r="D888" s="85">
        <v>44369.0</v>
      </c>
      <c r="E888" s="86">
        <v>3.42</v>
      </c>
      <c r="F888" s="87">
        <v>6.21</v>
      </c>
      <c r="G888" s="88">
        <f t="shared" si="1"/>
        <v>2.79</v>
      </c>
      <c r="H888" s="89">
        <f t="shared" si="2"/>
        <v>0.4492753623</v>
      </c>
      <c r="I888" s="78" t="s">
        <v>1210</v>
      </c>
      <c r="J888" s="78" t="s">
        <v>69</v>
      </c>
      <c r="K888" s="58">
        <f t="shared" si="3"/>
        <v>0</v>
      </c>
      <c r="L888" s="91" t="str">
        <f t="shared" si="6"/>
        <v>Tue</v>
      </c>
      <c r="M888" s="78" t="str">
        <f>IFERROR(VLOOKUP(A888, Entries!A:B,2,false),"")</f>
        <v>Square Enix</v>
      </c>
      <c r="N888" s="23" t="str">
        <f>IFERROR(VLOOKUP(A888, Entries!A:K,11,false),"")</f>
        <v/>
      </c>
      <c r="O888" s="23" t="b">
        <f>IFERROR(VLOOKUP(A888, Entries!A:I,8,false),"")</f>
        <v>1</v>
      </c>
    </row>
    <row r="889">
      <c r="A889" s="78" t="s">
        <v>731</v>
      </c>
      <c r="B889" s="78" t="s">
        <v>19</v>
      </c>
      <c r="C889" s="85">
        <v>44369.0</v>
      </c>
      <c r="D889" s="85">
        <v>44369.0</v>
      </c>
      <c r="E889" s="86">
        <v>3.44</v>
      </c>
      <c r="F889" s="87">
        <v>6.16</v>
      </c>
      <c r="G889" s="88">
        <f t="shared" si="1"/>
        <v>2.72</v>
      </c>
      <c r="H889" s="89">
        <f t="shared" si="2"/>
        <v>0.4415584416</v>
      </c>
      <c r="I889" s="78" t="s">
        <v>1211</v>
      </c>
      <c r="J889" s="78" t="s">
        <v>69</v>
      </c>
      <c r="K889" s="58">
        <f t="shared" si="3"/>
        <v>0</v>
      </c>
      <c r="L889" s="91" t="str">
        <f t="shared" si="6"/>
        <v>Tue</v>
      </c>
      <c r="M889" s="78" t="str">
        <f>IFERROR(VLOOKUP(A889, Entries!A:B,2,false),"")</f>
        <v>Square Enix</v>
      </c>
      <c r="N889" s="23" t="str">
        <f>IFERROR(VLOOKUP(A889, Entries!A:K,11,false),"")</f>
        <v/>
      </c>
      <c r="O889" s="23" t="b">
        <f>IFERROR(VLOOKUP(A889, Entries!A:I,8,false),"")</f>
        <v>1</v>
      </c>
    </row>
    <row r="890">
      <c r="A890" s="78" t="s">
        <v>731</v>
      </c>
      <c r="B890" s="78" t="s">
        <v>19</v>
      </c>
      <c r="C890" s="85">
        <v>44369.0</v>
      </c>
      <c r="D890" s="85">
        <v>44370.0</v>
      </c>
      <c r="E890" s="86">
        <v>3.44</v>
      </c>
      <c r="F890" s="87">
        <v>6.16</v>
      </c>
      <c r="G890" s="88">
        <f t="shared" si="1"/>
        <v>2.72</v>
      </c>
      <c r="H890" s="89">
        <f t="shared" si="2"/>
        <v>0.4415584416</v>
      </c>
      <c r="I890" s="78" t="s">
        <v>1212</v>
      </c>
      <c r="J890" s="78" t="s">
        <v>69</v>
      </c>
      <c r="K890" s="58">
        <f t="shared" si="3"/>
        <v>1</v>
      </c>
      <c r="L890" s="91" t="str">
        <f t="shared" si="6"/>
        <v>Wed</v>
      </c>
      <c r="M890" s="78" t="str">
        <f>IFERROR(VLOOKUP(A890, Entries!A:B,2,false),"")</f>
        <v>Square Enix</v>
      </c>
      <c r="N890" s="23" t="str">
        <f>IFERROR(VLOOKUP(A890, Entries!A:K,11,false),"")</f>
        <v/>
      </c>
      <c r="O890" s="23" t="b">
        <f>IFERROR(VLOOKUP(A890, Entries!A:I,8,false),"")</f>
        <v>1</v>
      </c>
    </row>
    <row r="891">
      <c r="A891" s="78" t="s">
        <v>1213</v>
      </c>
      <c r="B891" s="78" t="s">
        <v>21</v>
      </c>
      <c r="C891" s="85">
        <v>44369.0</v>
      </c>
      <c r="D891" s="85">
        <v>44370.0</v>
      </c>
      <c r="E891" s="86">
        <v>14.65</v>
      </c>
      <c r="F891" s="87">
        <v>18.87</v>
      </c>
      <c r="G891" s="88">
        <f t="shared" si="1"/>
        <v>4.22</v>
      </c>
      <c r="H891" s="89">
        <f t="shared" si="2"/>
        <v>0.2236354001</v>
      </c>
      <c r="I891" s="78" t="s">
        <v>1214</v>
      </c>
      <c r="J891" s="78" t="s">
        <v>69</v>
      </c>
      <c r="K891" s="58">
        <f t="shared" si="3"/>
        <v>1</v>
      </c>
      <c r="L891" s="91" t="str">
        <f t="shared" si="6"/>
        <v>Wed</v>
      </c>
      <c r="M891" s="78" t="str">
        <f>IFERROR(VLOOKUP(A891, Entries!A:B,2,false),"")</f>
        <v>SadSquare Studio</v>
      </c>
      <c r="N891" s="23" t="str">
        <f>IFERROR(VLOOKUP(A891, Entries!A:K,11,false),"")</f>
        <v/>
      </c>
      <c r="O891" s="23" t="b">
        <f>IFERROR(VLOOKUP(A891, Entries!A:I,8,false),"")</f>
        <v>1</v>
      </c>
    </row>
    <row r="892">
      <c r="A892" s="78" t="s">
        <v>731</v>
      </c>
      <c r="B892" s="78" t="s">
        <v>19</v>
      </c>
      <c r="C892" s="85">
        <v>44370.0</v>
      </c>
      <c r="D892" s="85">
        <v>44370.0</v>
      </c>
      <c r="E892" s="86">
        <v>3.44</v>
      </c>
      <c r="F892" s="87">
        <v>6.16</v>
      </c>
      <c r="G892" s="88">
        <f t="shared" si="1"/>
        <v>2.72</v>
      </c>
      <c r="H892" s="89">
        <f t="shared" si="2"/>
        <v>0.4415584416</v>
      </c>
      <c r="I892" s="78" t="s">
        <v>1215</v>
      </c>
      <c r="J892" s="78" t="s">
        <v>69</v>
      </c>
      <c r="K892" s="58">
        <f t="shared" si="3"/>
        <v>0</v>
      </c>
      <c r="L892" s="91" t="str">
        <f t="shared" si="6"/>
        <v>Wed</v>
      </c>
      <c r="M892" s="78" t="str">
        <f>IFERROR(VLOOKUP(A892, Entries!A:B,2,false),"")</f>
        <v>Square Enix</v>
      </c>
      <c r="N892" s="23" t="str">
        <f>IFERROR(VLOOKUP(A892, Entries!A:K,11,false),"")</f>
        <v/>
      </c>
      <c r="O892" s="23" t="b">
        <f>IFERROR(VLOOKUP(A892, Entries!A:I,8,false),"")</f>
        <v>1</v>
      </c>
    </row>
    <row r="893">
      <c r="A893" s="78" t="s">
        <v>218</v>
      </c>
      <c r="B893" s="78" t="s">
        <v>19</v>
      </c>
      <c r="C893" s="85">
        <v>44370.0</v>
      </c>
      <c r="D893" s="85">
        <v>44370.0</v>
      </c>
      <c r="E893" s="86">
        <v>2.3</v>
      </c>
      <c r="F893" s="87">
        <v>2.68</v>
      </c>
      <c r="G893" s="88">
        <f t="shared" si="1"/>
        <v>0.38</v>
      </c>
      <c r="H893" s="89">
        <f t="shared" si="2"/>
        <v>0.1417910448</v>
      </c>
      <c r="I893" s="78" t="s">
        <v>1216</v>
      </c>
      <c r="J893" s="78" t="s">
        <v>69</v>
      </c>
      <c r="K893" s="58">
        <f t="shared" si="3"/>
        <v>0</v>
      </c>
      <c r="L893" s="91" t="str">
        <f t="shared" si="6"/>
        <v>Wed</v>
      </c>
      <c r="M893" s="78" t="str">
        <f>IFERROR(VLOOKUP(A893, Entries!A:B,2,false),"")</f>
        <v>Square Enix</v>
      </c>
      <c r="N893" s="23" t="str">
        <f>IFERROR(VLOOKUP(A893, Entries!A:K,11,false),"")</f>
        <v/>
      </c>
      <c r="O893" s="23" t="b">
        <f>IFERROR(VLOOKUP(A893, Entries!A:I,8,false),"")</f>
        <v>1</v>
      </c>
    </row>
    <row r="894">
      <c r="A894" s="78" t="s">
        <v>1217</v>
      </c>
      <c r="B894" s="78" t="s">
        <v>19</v>
      </c>
      <c r="C894" s="85">
        <v>44370.0</v>
      </c>
      <c r="D894" s="85">
        <v>44371.0</v>
      </c>
      <c r="E894" s="86">
        <v>2.43</v>
      </c>
      <c r="F894" s="87">
        <v>3.29</v>
      </c>
      <c r="G894" s="88">
        <f t="shared" si="1"/>
        <v>0.86</v>
      </c>
      <c r="H894" s="89">
        <f t="shared" si="2"/>
        <v>0.2613981763</v>
      </c>
      <c r="I894" s="78" t="s">
        <v>1218</v>
      </c>
      <c r="J894" s="78" t="s">
        <v>69</v>
      </c>
      <c r="K894" s="58">
        <f t="shared" si="3"/>
        <v>1</v>
      </c>
      <c r="L894" s="91" t="str">
        <f t="shared" si="6"/>
        <v>Thu</v>
      </c>
      <c r="M894" s="78" t="str">
        <f>IFERROR(VLOOKUP(A894, Entries!A:B,2,false),"")</f>
        <v>Square Enix</v>
      </c>
      <c r="N894" s="23" t="str">
        <f>IFERROR(VLOOKUP(A894, Entries!A:K,11,false),"")</f>
        <v/>
      </c>
      <c r="O894" s="23" t="b">
        <f>IFERROR(VLOOKUP(A894, Entries!A:I,8,false),"")</f>
        <v>0</v>
      </c>
    </row>
    <row r="895">
      <c r="A895" s="78" t="s">
        <v>731</v>
      </c>
      <c r="B895" s="78" t="s">
        <v>19</v>
      </c>
      <c r="C895" s="85">
        <v>44370.0</v>
      </c>
      <c r="D895" s="85">
        <v>44371.0</v>
      </c>
      <c r="E895" s="86">
        <v>3.86</v>
      </c>
      <c r="F895" s="87">
        <v>5.88</v>
      </c>
      <c r="G895" s="88">
        <f t="shared" si="1"/>
        <v>2.02</v>
      </c>
      <c r="H895" s="89">
        <f t="shared" si="2"/>
        <v>0.343537415</v>
      </c>
      <c r="I895" s="78" t="s">
        <v>1219</v>
      </c>
      <c r="J895" s="78" t="s">
        <v>69</v>
      </c>
      <c r="K895" s="58">
        <f t="shared" si="3"/>
        <v>1</v>
      </c>
      <c r="L895" s="91" t="str">
        <f t="shared" si="6"/>
        <v>Thu</v>
      </c>
      <c r="M895" s="78" t="str">
        <f>IFERROR(VLOOKUP(A895, Entries!A:B,2,false),"")</f>
        <v>Square Enix</v>
      </c>
      <c r="N895" s="23" t="str">
        <f>IFERROR(VLOOKUP(A895, Entries!A:K,11,false),"")</f>
        <v/>
      </c>
      <c r="O895" s="23" t="b">
        <f>IFERROR(VLOOKUP(A895, Entries!A:I,8,false),"")</f>
        <v>1</v>
      </c>
    </row>
    <row r="896">
      <c r="A896" s="78" t="s">
        <v>218</v>
      </c>
      <c r="B896" s="78" t="s">
        <v>19</v>
      </c>
      <c r="C896" s="85">
        <v>44370.0</v>
      </c>
      <c r="D896" s="85">
        <v>44370.0</v>
      </c>
      <c r="E896" s="86">
        <v>2.3</v>
      </c>
      <c r="F896" s="87">
        <v>2.68</v>
      </c>
      <c r="G896" s="88">
        <f t="shared" si="1"/>
        <v>0.38</v>
      </c>
      <c r="H896" s="89">
        <f t="shared" si="2"/>
        <v>0.1417910448</v>
      </c>
      <c r="I896" s="78" t="s">
        <v>1220</v>
      </c>
      <c r="J896" s="78" t="s">
        <v>69</v>
      </c>
      <c r="K896" s="58">
        <f t="shared" si="3"/>
        <v>0</v>
      </c>
      <c r="L896" s="91" t="str">
        <f t="shared" si="6"/>
        <v>Wed</v>
      </c>
      <c r="M896" s="78" t="str">
        <f>IFERROR(VLOOKUP(A896, Entries!A:B,2,false),"")</f>
        <v>Square Enix</v>
      </c>
      <c r="N896" s="23" t="str">
        <f>IFERROR(VLOOKUP(A896, Entries!A:K,11,false),"")</f>
        <v/>
      </c>
      <c r="O896" s="23" t="b">
        <f>IFERROR(VLOOKUP(A896, Entries!A:I,8,false),"")</f>
        <v>1</v>
      </c>
    </row>
    <row r="897">
      <c r="A897" s="78" t="s">
        <v>1217</v>
      </c>
      <c r="B897" s="78" t="s">
        <v>19</v>
      </c>
      <c r="C897" s="85">
        <v>44370.0</v>
      </c>
      <c r="D897" s="85">
        <v>44379.0</v>
      </c>
      <c r="E897" s="86">
        <v>2.43</v>
      </c>
      <c r="F897" s="87">
        <v>3.29</v>
      </c>
      <c r="G897" s="88">
        <f t="shared" si="1"/>
        <v>0.86</v>
      </c>
      <c r="H897" s="89">
        <f t="shared" si="2"/>
        <v>0.2613981763</v>
      </c>
      <c r="I897" s="78" t="s">
        <v>1221</v>
      </c>
      <c r="J897" s="78" t="s">
        <v>69</v>
      </c>
      <c r="K897" s="58">
        <f t="shared" si="3"/>
        <v>9</v>
      </c>
      <c r="L897" s="91" t="str">
        <f t="shared" si="6"/>
        <v>Fri</v>
      </c>
      <c r="M897" s="78" t="str">
        <f>IFERROR(VLOOKUP(A897, Entries!A:B,2,false),"")</f>
        <v>Square Enix</v>
      </c>
      <c r="N897" s="23" t="str">
        <f>IFERROR(VLOOKUP(A897, Entries!A:K,11,false),"")</f>
        <v/>
      </c>
      <c r="O897" s="23" t="b">
        <f>IFERROR(VLOOKUP(A897, Entries!A:I,8,false),"")</f>
        <v>0</v>
      </c>
    </row>
    <row r="898">
      <c r="A898" s="78" t="s">
        <v>218</v>
      </c>
      <c r="B898" s="78" t="s">
        <v>19</v>
      </c>
      <c r="C898" s="85">
        <v>44370.0</v>
      </c>
      <c r="D898" s="85">
        <v>44371.0</v>
      </c>
      <c r="E898" s="86">
        <v>2.32</v>
      </c>
      <c r="F898" s="87">
        <v>2.68</v>
      </c>
      <c r="G898" s="88">
        <f t="shared" si="1"/>
        <v>0.36</v>
      </c>
      <c r="H898" s="89">
        <f t="shared" si="2"/>
        <v>0.1343283582</v>
      </c>
      <c r="I898" s="78" t="s">
        <v>1222</v>
      </c>
      <c r="J898" s="78" t="s">
        <v>69</v>
      </c>
      <c r="K898" s="58">
        <f t="shared" si="3"/>
        <v>1</v>
      </c>
      <c r="L898" s="91" t="str">
        <f t="shared" si="6"/>
        <v>Thu</v>
      </c>
      <c r="M898" s="78" t="str">
        <f>IFERROR(VLOOKUP(A898, Entries!A:B,2,false),"")</f>
        <v>Square Enix</v>
      </c>
      <c r="N898" s="23" t="str">
        <f>IFERROR(VLOOKUP(A898, Entries!A:K,11,false),"")</f>
        <v/>
      </c>
      <c r="O898" s="23" t="b">
        <f>IFERROR(VLOOKUP(A898, Entries!A:I,8,false),"")</f>
        <v>1</v>
      </c>
    </row>
    <row r="899">
      <c r="A899" s="78" t="s">
        <v>731</v>
      </c>
      <c r="B899" s="78" t="s">
        <v>19</v>
      </c>
      <c r="C899" s="85">
        <v>44371.0</v>
      </c>
      <c r="D899" s="85">
        <v>44382.0</v>
      </c>
      <c r="E899" s="86">
        <v>3.86</v>
      </c>
      <c r="F899" s="87">
        <v>5.54</v>
      </c>
      <c r="G899" s="88">
        <f t="shared" si="1"/>
        <v>1.68</v>
      </c>
      <c r="H899" s="89">
        <f t="shared" si="2"/>
        <v>0.3032490975</v>
      </c>
      <c r="I899" s="78" t="s">
        <v>1223</v>
      </c>
      <c r="J899" s="78" t="s">
        <v>69</v>
      </c>
      <c r="K899" s="58">
        <f t="shared" si="3"/>
        <v>11</v>
      </c>
      <c r="L899" s="91" t="str">
        <f t="shared" si="6"/>
        <v>Mon</v>
      </c>
      <c r="M899" s="78" t="str">
        <f>IFERROR(VLOOKUP(A899, Entries!A:B,2,false),"")</f>
        <v>Square Enix</v>
      </c>
      <c r="N899" s="23" t="str">
        <f>IFERROR(VLOOKUP(A899, Entries!A:K,11,false),"")</f>
        <v/>
      </c>
      <c r="O899" s="23" t="b">
        <f>IFERROR(VLOOKUP(A899, Entries!A:I,8,false),"")</f>
        <v>1</v>
      </c>
    </row>
    <row r="900">
      <c r="A900" s="78" t="s">
        <v>218</v>
      </c>
      <c r="B900" s="78" t="s">
        <v>19</v>
      </c>
      <c r="C900" s="85">
        <v>44371.0</v>
      </c>
      <c r="D900" s="85">
        <v>44374.0</v>
      </c>
      <c r="E900" s="86">
        <v>2.3</v>
      </c>
      <c r="F900" s="87">
        <v>2.68</v>
      </c>
      <c r="G900" s="88">
        <f t="shared" si="1"/>
        <v>0.38</v>
      </c>
      <c r="H900" s="89">
        <f t="shared" si="2"/>
        <v>0.1417910448</v>
      </c>
      <c r="I900" s="78" t="s">
        <v>1224</v>
      </c>
      <c r="J900" s="78" t="s">
        <v>69</v>
      </c>
      <c r="K900" s="58">
        <f t="shared" si="3"/>
        <v>3</v>
      </c>
      <c r="L900" s="91" t="str">
        <f t="shared" si="6"/>
        <v>Sun</v>
      </c>
      <c r="M900" s="78" t="str">
        <f>IFERROR(VLOOKUP(A900, Entries!A:B,2,false),"")</f>
        <v>Square Enix</v>
      </c>
      <c r="N900" s="23" t="str">
        <f>IFERROR(VLOOKUP(A900, Entries!A:K,11,false),"")</f>
        <v/>
      </c>
      <c r="O900" s="23" t="b">
        <f>IFERROR(VLOOKUP(A900, Entries!A:I,8,false),"")</f>
        <v>1</v>
      </c>
    </row>
    <row r="901">
      <c r="A901" s="78" t="s">
        <v>1217</v>
      </c>
      <c r="B901" s="78" t="s">
        <v>19</v>
      </c>
      <c r="C901" s="85">
        <v>44371.0</v>
      </c>
      <c r="D901" s="85">
        <v>44446.0</v>
      </c>
      <c r="E901" s="86">
        <v>2.43</v>
      </c>
      <c r="F901" s="87">
        <v>3.22</v>
      </c>
      <c r="G901" s="88">
        <f t="shared" si="1"/>
        <v>0.79</v>
      </c>
      <c r="H901" s="89">
        <f t="shared" si="2"/>
        <v>0.2453416149</v>
      </c>
      <c r="I901" s="78" t="s">
        <v>1225</v>
      </c>
      <c r="J901" s="78" t="s">
        <v>69</v>
      </c>
      <c r="K901" s="58">
        <f t="shared" si="3"/>
        <v>75</v>
      </c>
      <c r="L901" s="91" t="str">
        <f t="shared" si="6"/>
        <v>Tue</v>
      </c>
      <c r="M901" s="78" t="str">
        <f>IFERROR(VLOOKUP(A901, Entries!A:B,2,false),"")</f>
        <v>Square Enix</v>
      </c>
      <c r="N901" s="23" t="str">
        <f>IFERROR(VLOOKUP(A901, Entries!A:K,11,false),"")</f>
        <v/>
      </c>
      <c r="O901" s="23" t="b">
        <f>IFERROR(VLOOKUP(A901, Entries!A:I,8,false),"")</f>
        <v>0</v>
      </c>
    </row>
    <row r="902">
      <c r="A902" s="78" t="s">
        <v>218</v>
      </c>
      <c r="B902" s="78" t="s">
        <v>19</v>
      </c>
      <c r="C902" s="85">
        <v>44371.0</v>
      </c>
      <c r="D902" s="85">
        <v>44381.0</v>
      </c>
      <c r="E902" s="86">
        <v>2.3</v>
      </c>
      <c r="F902" s="87">
        <v>2.68</v>
      </c>
      <c r="G902" s="88">
        <f t="shared" si="1"/>
        <v>0.38</v>
      </c>
      <c r="H902" s="89">
        <f t="shared" si="2"/>
        <v>0.1417910448</v>
      </c>
      <c r="I902" s="78" t="s">
        <v>1226</v>
      </c>
      <c r="J902" s="78" t="s">
        <v>69</v>
      </c>
      <c r="K902" s="58">
        <f t="shared" si="3"/>
        <v>10</v>
      </c>
      <c r="L902" s="91" t="str">
        <f t="shared" si="6"/>
        <v>Sun</v>
      </c>
      <c r="M902" s="78" t="str">
        <f>IFERROR(VLOOKUP(A902, Entries!A:B,2,false),"")</f>
        <v>Square Enix</v>
      </c>
      <c r="N902" s="23" t="str">
        <f>IFERROR(VLOOKUP(A902, Entries!A:K,11,false),"")</f>
        <v/>
      </c>
      <c r="O902" s="23" t="b">
        <f>IFERROR(VLOOKUP(A902, Entries!A:I,8,false),"")</f>
        <v>1</v>
      </c>
    </row>
    <row r="903">
      <c r="A903" s="78" t="s">
        <v>742</v>
      </c>
      <c r="B903" s="78" t="s">
        <v>23</v>
      </c>
      <c r="C903" s="85">
        <v>44372.0</v>
      </c>
      <c r="D903" s="85">
        <v>44427.0</v>
      </c>
      <c r="E903" s="86">
        <v>15.73</v>
      </c>
      <c r="F903" s="87">
        <v>16.0</v>
      </c>
      <c r="G903" s="88">
        <f t="shared" si="1"/>
        <v>0.27</v>
      </c>
      <c r="H903" s="89">
        <f t="shared" si="2"/>
        <v>0.016875</v>
      </c>
      <c r="I903" s="78" t="s">
        <v>1227</v>
      </c>
      <c r="J903" s="78" t="s">
        <v>69</v>
      </c>
      <c r="K903" s="58">
        <f t="shared" si="3"/>
        <v>55</v>
      </c>
      <c r="L903" s="91" t="str">
        <f t="shared" si="6"/>
        <v>Thu</v>
      </c>
      <c r="M903" s="78" t="str">
        <f>IFERROR(VLOOKUP(A903, Entries!A:B,2,false),"")</f>
        <v>Quantic Dream</v>
      </c>
      <c r="N903" s="23" t="str">
        <f>IFERROR(VLOOKUP(A903, Entries!A:K,11,false),"")</f>
        <v/>
      </c>
      <c r="O903" s="23" t="b">
        <f>IFERROR(VLOOKUP(A903, Entries!A:I,8,false),"")</f>
        <v>0</v>
      </c>
    </row>
    <row r="904">
      <c r="A904" s="78" t="s">
        <v>1228</v>
      </c>
      <c r="B904" s="78" t="s">
        <v>22</v>
      </c>
      <c r="C904" s="85">
        <v>44372.0</v>
      </c>
      <c r="D904" s="85">
        <v>44373.0</v>
      </c>
      <c r="E904" s="86">
        <v>14.54</v>
      </c>
      <c r="F904" s="87">
        <v>18.56</v>
      </c>
      <c r="G904" s="88">
        <f t="shared" si="1"/>
        <v>4.02</v>
      </c>
      <c r="H904" s="89">
        <f t="shared" si="2"/>
        <v>0.2165948276</v>
      </c>
      <c r="I904" s="78" t="s">
        <v>1229</v>
      </c>
      <c r="J904" s="78" t="s">
        <v>69</v>
      </c>
      <c r="K904" s="58">
        <f t="shared" si="3"/>
        <v>1</v>
      </c>
      <c r="L904" s="91" t="str">
        <f t="shared" si="6"/>
        <v>Sat</v>
      </c>
      <c r="M904" s="78" t="str">
        <f>IFERROR(VLOOKUP(A904, Entries!A:B,2,false),"")</f>
        <v>Private Division</v>
      </c>
      <c r="N904" s="23" t="str">
        <f>IFERROR(VLOOKUP(A904, Entries!A:K,11,false),"")</f>
        <v/>
      </c>
      <c r="O904" s="23" t="b">
        <f>IFERROR(VLOOKUP(A904, Entries!A:I,8,false),"")</f>
        <v>0</v>
      </c>
    </row>
    <row r="905">
      <c r="A905" s="78" t="s">
        <v>400</v>
      </c>
      <c r="B905" s="78" t="s">
        <v>23</v>
      </c>
      <c r="C905" s="85">
        <v>44372.0</v>
      </c>
      <c r="D905" s="85">
        <v>44373.0</v>
      </c>
      <c r="E905" s="86">
        <v>13.98</v>
      </c>
      <c r="F905" s="87">
        <v>19.23</v>
      </c>
      <c r="G905" s="88">
        <f t="shared" si="1"/>
        <v>5.25</v>
      </c>
      <c r="H905" s="89">
        <f t="shared" si="2"/>
        <v>0.2730109204</v>
      </c>
      <c r="I905" s="78" t="s">
        <v>1230</v>
      </c>
      <c r="J905" s="78" t="s">
        <v>69</v>
      </c>
      <c r="K905" s="58">
        <f t="shared" si="3"/>
        <v>1</v>
      </c>
      <c r="L905" s="91" t="str">
        <f t="shared" si="6"/>
        <v>Sat</v>
      </c>
      <c r="M905" s="78" t="str">
        <f>IFERROR(VLOOKUP(A905, Entries!A:B,2,false),"")</f>
        <v>CAPCOM</v>
      </c>
      <c r="N905" s="23" t="str">
        <f>IFERROR(VLOOKUP(A905, Entries!A:K,11,false),"")</f>
        <v/>
      </c>
      <c r="O905" s="23" t="b">
        <f>IFERROR(VLOOKUP(A905, Entries!A:I,8,false),"")</f>
        <v>0</v>
      </c>
    </row>
    <row r="906">
      <c r="A906" s="78" t="s">
        <v>400</v>
      </c>
      <c r="B906" s="78" t="s">
        <v>23</v>
      </c>
      <c r="C906" s="85">
        <v>44373.0</v>
      </c>
      <c r="D906" s="85">
        <v>44373.0</v>
      </c>
      <c r="E906" s="86">
        <v>13.97</v>
      </c>
      <c r="F906" s="87">
        <v>19.29</v>
      </c>
      <c r="G906" s="88">
        <f t="shared" si="1"/>
        <v>5.32</v>
      </c>
      <c r="H906" s="89">
        <f t="shared" si="2"/>
        <v>0.2757905651</v>
      </c>
      <c r="I906" s="78" t="s">
        <v>1231</v>
      </c>
      <c r="J906" s="78" t="s">
        <v>69</v>
      </c>
      <c r="K906" s="58">
        <f t="shared" si="3"/>
        <v>0</v>
      </c>
      <c r="L906" s="91" t="str">
        <f t="shared" si="6"/>
        <v>Sat</v>
      </c>
      <c r="M906" s="78" t="str">
        <f>IFERROR(VLOOKUP(A906, Entries!A:B,2,false),"")</f>
        <v>CAPCOM</v>
      </c>
      <c r="N906" s="23" t="str">
        <f>IFERROR(VLOOKUP(A906, Entries!A:K,11,false),"")</f>
        <v/>
      </c>
      <c r="O906" s="23" t="b">
        <f>IFERROR(VLOOKUP(A906, Entries!A:I,8,false),"")</f>
        <v>0</v>
      </c>
    </row>
    <row r="907">
      <c r="A907" s="78" t="s">
        <v>400</v>
      </c>
      <c r="B907" s="78" t="s">
        <v>23</v>
      </c>
      <c r="C907" s="85">
        <v>44373.0</v>
      </c>
      <c r="D907" s="85">
        <v>44373.0</v>
      </c>
      <c r="E907" s="86">
        <v>13.97</v>
      </c>
      <c r="F907" s="87">
        <v>19.29</v>
      </c>
      <c r="G907" s="88">
        <f t="shared" si="1"/>
        <v>5.32</v>
      </c>
      <c r="H907" s="89">
        <f t="shared" si="2"/>
        <v>0.2757905651</v>
      </c>
      <c r="I907" s="78" t="s">
        <v>1232</v>
      </c>
      <c r="J907" s="78" t="s">
        <v>69</v>
      </c>
      <c r="K907" s="58">
        <f t="shared" si="3"/>
        <v>0</v>
      </c>
      <c r="L907" s="91" t="str">
        <f t="shared" si="6"/>
        <v>Sat</v>
      </c>
      <c r="M907" s="78" t="str">
        <f>IFERROR(VLOOKUP(A907, Entries!A:B,2,false),"")</f>
        <v>CAPCOM</v>
      </c>
      <c r="N907" s="23" t="str">
        <f>IFERROR(VLOOKUP(A907, Entries!A:K,11,false),"")</f>
        <v/>
      </c>
      <c r="O907" s="23" t="b">
        <f>IFERROR(VLOOKUP(A907, Entries!A:I,8,false),"")</f>
        <v>0</v>
      </c>
    </row>
    <row r="908">
      <c r="A908" s="78" t="s">
        <v>1228</v>
      </c>
      <c r="B908" s="78" t="s">
        <v>22</v>
      </c>
      <c r="C908" s="85">
        <v>44373.0</v>
      </c>
      <c r="D908" s="85">
        <v>44375.0</v>
      </c>
      <c r="E908" s="86">
        <v>14.53</v>
      </c>
      <c r="F908" s="87">
        <v>18.24</v>
      </c>
      <c r="G908" s="88">
        <f t="shared" si="1"/>
        <v>3.71</v>
      </c>
      <c r="H908" s="89">
        <f t="shared" si="2"/>
        <v>0.2033991228</v>
      </c>
      <c r="I908" s="78" t="s">
        <v>1233</v>
      </c>
      <c r="J908" s="78" t="s">
        <v>69</v>
      </c>
      <c r="K908" s="58">
        <f t="shared" si="3"/>
        <v>2</v>
      </c>
      <c r="L908" s="91" t="str">
        <f t="shared" si="6"/>
        <v>Mon</v>
      </c>
      <c r="M908" s="78" t="str">
        <f>IFERROR(VLOOKUP(A908, Entries!A:B,2,false),"")</f>
        <v>Private Division</v>
      </c>
      <c r="N908" s="23" t="str">
        <f>IFERROR(VLOOKUP(A908, Entries!A:K,11,false),"")</f>
        <v/>
      </c>
      <c r="O908" s="23" t="b">
        <f>IFERROR(VLOOKUP(A908, Entries!A:I,8,false),"")</f>
        <v>0</v>
      </c>
    </row>
    <row r="909">
      <c r="A909" s="78" t="s">
        <v>400</v>
      </c>
      <c r="B909" s="78" t="s">
        <v>23</v>
      </c>
      <c r="C909" s="85">
        <v>44374.0</v>
      </c>
      <c r="D909" s="85">
        <v>44377.0</v>
      </c>
      <c r="E909" s="86">
        <v>13.97</v>
      </c>
      <c r="F909" s="87">
        <v>18.45</v>
      </c>
      <c r="G909" s="88">
        <f t="shared" si="1"/>
        <v>4.48</v>
      </c>
      <c r="H909" s="89">
        <f t="shared" si="2"/>
        <v>0.2428184282</v>
      </c>
      <c r="I909" s="78" t="s">
        <v>1234</v>
      </c>
      <c r="J909" s="78" t="s">
        <v>69</v>
      </c>
      <c r="K909" s="58">
        <f t="shared" si="3"/>
        <v>3</v>
      </c>
      <c r="L909" s="91" t="str">
        <f t="shared" si="6"/>
        <v>Wed</v>
      </c>
      <c r="M909" s="78" t="str">
        <f>IFERROR(VLOOKUP(A909, Entries!A:B,2,false),"")</f>
        <v>CAPCOM</v>
      </c>
      <c r="N909" s="23" t="str">
        <f>IFERROR(VLOOKUP(A909, Entries!A:K,11,false),"")</f>
        <v/>
      </c>
      <c r="O909" s="23" t="b">
        <f>IFERROR(VLOOKUP(A909, Entries!A:I,8,false),"")</f>
        <v>0</v>
      </c>
    </row>
    <row r="910">
      <c r="A910" s="78" t="s">
        <v>1228</v>
      </c>
      <c r="B910" s="78" t="s">
        <v>22</v>
      </c>
      <c r="C910" s="85">
        <v>44375.0</v>
      </c>
      <c r="D910" s="85">
        <v>44375.0</v>
      </c>
      <c r="E910" s="86">
        <v>14.53</v>
      </c>
      <c r="F910" s="87">
        <v>18.12</v>
      </c>
      <c r="G910" s="88">
        <f t="shared" si="1"/>
        <v>3.59</v>
      </c>
      <c r="H910" s="89">
        <f t="shared" si="2"/>
        <v>0.1981236203</v>
      </c>
      <c r="I910" s="78" t="s">
        <v>1235</v>
      </c>
      <c r="J910" s="78" t="s">
        <v>69</v>
      </c>
      <c r="K910" s="58">
        <f t="shared" si="3"/>
        <v>0</v>
      </c>
      <c r="L910" s="91" t="str">
        <f t="shared" si="6"/>
        <v>Mon</v>
      </c>
      <c r="M910" s="78" t="str">
        <f>IFERROR(VLOOKUP(A910, Entries!A:B,2,false),"")</f>
        <v>Private Division</v>
      </c>
      <c r="N910" s="23" t="str">
        <f>IFERROR(VLOOKUP(A910, Entries!A:K,11,false),"")</f>
        <v/>
      </c>
      <c r="O910" s="23" t="b">
        <f>IFERROR(VLOOKUP(A910, Entries!A:I,8,false),"")</f>
        <v>0</v>
      </c>
    </row>
    <row r="911">
      <c r="A911" s="78" t="s">
        <v>876</v>
      </c>
      <c r="B911" s="78" t="s">
        <v>19</v>
      </c>
      <c r="C911" s="85">
        <v>44375.0</v>
      </c>
      <c r="D911" s="85">
        <v>44386.0</v>
      </c>
      <c r="E911" s="86">
        <v>8.29</v>
      </c>
      <c r="F911" s="87">
        <v>9.49</v>
      </c>
      <c r="G911" s="88">
        <f t="shared" si="1"/>
        <v>1.2</v>
      </c>
      <c r="H911" s="89">
        <f t="shared" si="2"/>
        <v>0.1264488936</v>
      </c>
      <c r="I911" s="78" t="s">
        <v>1236</v>
      </c>
      <c r="J911" s="78" t="s">
        <v>69</v>
      </c>
      <c r="K911" s="58">
        <f t="shared" si="3"/>
        <v>11</v>
      </c>
      <c r="L911" s="91" t="str">
        <f t="shared" si="6"/>
        <v>Fri</v>
      </c>
      <c r="M911" s="78" t="str">
        <f>IFERROR(VLOOKUP(A911, Entries!A:B,2,false),"")</f>
        <v>Berserk Games</v>
      </c>
      <c r="N911" s="23" t="str">
        <f>IFERROR(VLOOKUP(A911, Entries!A:K,11,false),"")</f>
        <v/>
      </c>
      <c r="O911" s="23" t="b">
        <f>IFERROR(VLOOKUP(A911, Entries!A:I,8,false),"")</f>
        <v>0</v>
      </c>
    </row>
    <row r="912">
      <c r="A912" s="78" t="s">
        <v>136</v>
      </c>
      <c r="B912" s="78" t="s">
        <v>19</v>
      </c>
      <c r="C912" s="85">
        <v>44375.0</v>
      </c>
      <c r="D912" s="85">
        <v>44385.0</v>
      </c>
      <c r="E912" s="86">
        <v>2.36</v>
      </c>
      <c r="F912" s="87">
        <v>3.83</v>
      </c>
      <c r="G912" s="88">
        <f t="shared" si="1"/>
        <v>1.47</v>
      </c>
      <c r="H912" s="89">
        <f t="shared" si="2"/>
        <v>0.3838120104</v>
      </c>
      <c r="I912" s="78" t="s">
        <v>1237</v>
      </c>
      <c r="J912" s="78" t="s">
        <v>69</v>
      </c>
      <c r="K912" s="58">
        <f t="shared" si="3"/>
        <v>10</v>
      </c>
      <c r="L912" s="91" t="str">
        <f t="shared" si="6"/>
        <v>Thu</v>
      </c>
      <c r="M912" s="78" t="str">
        <f>IFERROR(VLOOKUP(A912, Entries!A:B,2,false),"")</f>
        <v>Microids</v>
      </c>
      <c r="N912" s="23" t="str">
        <f>IFERROR(VLOOKUP(A912, Entries!A:K,11,false),"")</f>
        <v/>
      </c>
      <c r="O912" s="23" t="b">
        <f>IFERROR(VLOOKUP(A912, Entries!A:I,8,false),"")</f>
        <v>0</v>
      </c>
    </row>
    <row r="913">
      <c r="A913" s="78" t="s">
        <v>1238</v>
      </c>
      <c r="B913" s="78" t="s">
        <v>23</v>
      </c>
      <c r="C913" s="85">
        <v>44375.0</v>
      </c>
      <c r="D913" s="85">
        <v>44435.0</v>
      </c>
      <c r="E913" s="86">
        <v>20.08</v>
      </c>
      <c r="F913" s="87">
        <v>21.79</v>
      </c>
      <c r="G913" s="88">
        <f t="shared" si="1"/>
        <v>1.71</v>
      </c>
      <c r="H913" s="89">
        <f t="shared" si="2"/>
        <v>0.07847636531</v>
      </c>
      <c r="I913" s="78" t="s">
        <v>1239</v>
      </c>
      <c r="J913" s="78" t="s">
        <v>69</v>
      </c>
      <c r="K913" s="58">
        <f t="shared" si="3"/>
        <v>60</v>
      </c>
      <c r="L913" s="91" t="str">
        <f t="shared" si="6"/>
        <v>Fri</v>
      </c>
      <c r="M913" s="78" t="str">
        <f>IFERROR(VLOOKUP(A913, Entries!A:B,2,false),"")</f>
        <v>SEGA</v>
      </c>
      <c r="N913" s="23" t="str">
        <f>IFERROR(VLOOKUP(A913, Entries!A:K,11,false),"")</f>
        <v/>
      </c>
      <c r="O913" s="23" t="b">
        <f>IFERROR(VLOOKUP(A913, Entries!A:I,8,false),"")</f>
        <v>0</v>
      </c>
    </row>
    <row r="914">
      <c r="A914" s="78" t="s">
        <v>1228</v>
      </c>
      <c r="B914" s="78" t="s">
        <v>22</v>
      </c>
      <c r="C914" s="85">
        <v>44375.0</v>
      </c>
      <c r="D914" s="85">
        <v>44375.0</v>
      </c>
      <c r="E914" s="86">
        <v>14.53</v>
      </c>
      <c r="F914" s="87">
        <v>18.12</v>
      </c>
      <c r="G914" s="88">
        <f t="shared" si="1"/>
        <v>3.59</v>
      </c>
      <c r="H914" s="89">
        <f t="shared" si="2"/>
        <v>0.1981236203</v>
      </c>
      <c r="I914" s="78" t="s">
        <v>1240</v>
      </c>
      <c r="J914" s="78" t="s">
        <v>69</v>
      </c>
      <c r="K914" s="58">
        <f t="shared" si="3"/>
        <v>0</v>
      </c>
      <c r="L914" s="91" t="str">
        <f t="shared" si="6"/>
        <v>Mon</v>
      </c>
      <c r="M914" s="78" t="str">
        <f>IFERROR(VLOOKUP(A914, Entries!A:B,2,false),"")</f>
        <v>Private Division</v>
      </c>
      <c r="N914" s="23" t="str">
        <f>IFERROR(VLOOKUP(A914, Entries!A:K,11,false),"")</f>
        <v/>
      </c>
      <c r="O914" s="23" t="b">
        <f>IFERROR(VLOOKUP(A914, Entries!A:I,8,false),"")</f>
        <v>0</v>
      </c>
    </row>
    <row r="915">
      <c r="A915" s="78" t="s">
        <v>1228</v>
      </c>
      <c r="B915" s="78" t="s">
        <v>22</v>
      </c>
      <c r="C915" s="85">
        <v>44376.0</v>
      </c>
      <c r="D915" s="85">
        <v>44376.0</v>
      </c>
      <c r="E915" s="86">
        <v>14.53</v>
      </c>
      <c r="F915" s="87">
        <v>18.09</v>
      </c>
      <c r="G915" s="88">
        <f t="shared" si="1"/>
        <v>3.56</v>
      </c>
      <c r="H915" s="89">
        <f t="shared" si="2"/>
        <v>0.1967938087</v>
      </c>
      <c r="I915" s="78" t="s">
        <v>1241</v>
      </c>
      <c r="J915" s="78" t="s">
        <v>69</v>
      </c>
      <c r="K915" s="58">
        <f t="shared" si="3"/>
        <v>0</v>
      </c>
      <c r="L915" s="91" t="str">
        <f t="shared" si="6"/>
        <v>Tue</v>
      </c>
      <c r="M915" s="78" t="str">
        <f>IFERROR(VLOOKUP(A915, Entries!A:B,2,false),"")</f>
        <v>Private Division</v>
      </c>
      <c r="N915" s="23" t="str">
        <f>IFERROR(VLOOKUP(A915, Entries!A:K,11,false),"")</f>
        <v/>
      </c>
      <c r="O915" s="23" t="b">
        <f>IFERROR(VLOOKUP(A915, Entries!A:I,8,false),"")</f>
        <v>0</v>
      </c>
    </row>
    <row r="916">
      <c r="A916" s="78" t="s">
        <v>1242</v>
      </c>
      <c r="B916" s="78" t="s">
        <v>19</v>
      </c>
      <c r="C916" s="85">
        <v>44376.0</v>
      </c>
      <c r="D916" s="85">
        <v>44377.0</v>
      </c>
      <c r="E916" s="86">
        <v>2.62</v>
      </c>
      <c r="F916" s="87">
        <v>4.11</v>
      </c>
      <c r="G916" s="88">
        <f t="shared" si="1"/>
        <v>1.49</v>
      </c>
      <c r="H916" s="89">
        <f t="shared" si="2"/>
        <v>0.3625304136</v>
      </c>
      <c r="I916" s="78" t="s">
        <v>1243</v>
      </c>
      <c r="J916" s="78" t="s">
        <v>69</v>
      </c>
      <c r="K916" s="58">
        <f t="shared" si="3"/>
        <v>1</v>
      </c>
      <c r="L916" s="91" t="str">
        <f t="shared" si="6"/>
        <v>Wed</v>
      </c>
      <c r="M916" s="78" t="str">
        <f>IFERROR(VLOOKUP(A916, Entries!A:B,2,false),"")</f>
        <v>Warhorse Studios</v>
      </c>
      <c r="N916" s="23" t="str">
        <f>IFERROR(VLOOKUP(A916, Entries!A:K,11,false),"")</f>
        <v/>
      </c>
      <c r="O916" s="23" t="b">
        <f>IFERROR(VLOOKUP(A916, Entries!A:I,8,false),"")</f>
        <v>0</v>
      </c>
    </row>
    <row r="917">
      <c r="A917" s="78" t="s">
        <v>1244</v>
      </c>
      <c r="B917" s="78" t="s">
        <v>19</v>
      </c>
      <c r="C917" s="85">
        <v>44376.0</v>
      </c>
      <c r="D917" s="85">
        <v>44376.0</v>
      </c>
      <c r="E917" s="86">
        <v>0.0</v>
      </c>
      <c r="F917" s="87">
        <v>0.46</v>
      </c>
      <c r="G917" s="88">
        <f t="shared" si="1"/>
        <v>0.46</v>
      </c>
      <c r="H917" s="89">
        <f t="shared" si="2"/>
        <v>1</v>
      </c>
      <c r="I917" s="78" t="s">
        <v>1245</v>
      </c>
      <c r="J917" s="78" t="s">
        <v>69</v>
      </c>
      <c r="K917" s="58">
        <f t="shared" si="3"/>
        <v>0</v>
      </c>
      <c r="L917" s="91" t="str">
        <f t="shared" si="6"/>
        <v>Tue</v>
      </c>
      <c r="M917" s="78" t="str">
        <f>IFERROR(VLOOKUP(A917, Entries!A:B,2,false),"")</f>
        <v>Warhorse Studios</v>
      </c>
      <c r="N917" s="23" t="str">
        <f>IFERROR(VLOOKUP(A917, Entries!A:K,11,false),"")</f>
        <v/>
      </c>
      <c r="O917" s="23" t="b">
        <f>IFERROR(VLOOKUP(A917, Entries!A:I,8,false),"")</f>
        <v>0</v>
      </c>
    </row>
    <row r="918">
      <c r="A918" s="78" t="s">
        <v>1246</v>
      </c>
      <c r="B918" s="78" t="s">
        <v>19</v>
      </c>
      <c r="C918" s="85">
        <v>44376.0</v>
      </c>
      <c r="D918" s="85">
        <v>44376.0</v>
      </c>
      <c r="E918" s="86">
        <v>0.0</v>
      </c>
      <c r="F918" s="87">
        <v>0.46</v>
      </c>
      <c r="G918" s="88">
        <f t="shared" si="1"/>
        <v>0.46</v>
      </c>
      <c r="H918" s="89">
        <f t="shared" si="2"/>
        <v>1</v>
      </c>
      <c r="I918" s="78" t="s">
        <v>1247</v>
      </c>
      <c r="J918" s="78" t="s">
        <v>69</v>
      </c>
      <c r="K918" s="58">
        <f t="shared" si="3"/>
        <v>0</v>
      </c>
      <c r="L918" s="91" t="str">
        <f t="shared" si="6"/>
        <v>Tue</v>
      </c>
      <c r="M918" s="78" t="str">
        <f>IFERROR(VLOOKUP(A918, Entries!A:B,2,false),"")</f>
        <v>Warhorse Studios</v>
      </c>
      <c r="N918" s="23" t="str">
        <f>IFERROR(VLOOKUP(A918, Entries!A:K,11,false),"")</f>
        <v/>
      </c>
      <c r="O918" s="23" t="b">
        <f>IFERROR(VLOOKUP(A918, Entries!A:I,8,false),"")</f>
        <v>0</v>
      </c>
    </row>
    <row r="919">
      <c r="A919" s="78" t="s">
        <v>1248</v>
      </c>
      <c r="B919" s="78" t="s">
        <v>19</v>
      </c>
      <c r="C919" s="85">
        <v>44376.0</v>
      </c>
      <c r="D919" s="85">
        <v>44581.0</v>
      </c>
      <c r="E919" s="86">
        <v>0.0</v>
      </c>
      <c r="F919" s="87">
        <v>0.1</v>
      </c>
      <c r="G919" s="88">
        <f t="shared" si="1"/>
        <v>0.1</v>
      </c>
      <c r="H919" s="89">
        <f t="shared" si="2"/>
        <v>1</v>
      </c>
      <c r="I919" s="78" t="s">
        <v>1249</v>
      </c>
      <c r="J919" s="78" t="s">
        <v>69</v>
      </c>
      <c r="K919" s="58">
        <f t="shared" si="3"/>
        <v>205</v>
      </c>
      <c r="L919" s="91" t="str">
        <f t="shared" si="6"/>
        <v>Thu</v>
      </c>
      <c r="M919" s="78" t="str">
        <f>IFERROR(VLOOKUP(A919, Entries!A:B,2,false),"")</f>
        <v>Curve Digital</v>
      </c>
      <c r="N919" s="23" t="str">
        <f>IFERROR(VLOOKUP(A919, Entries!A:K,11,false),"")</f>
        <v/>
      </c>
      <c r="O919" s="23" t="b">
        <f>IFERROR(VLOOKUP(A919, Entries!A:I,8,false),"")</f>
        <v>0</v>
      </c>
    </row>
    <row r="920">
      <c r="A920" s="78" t="s">
        <v>1250</v>
      </c>
      <c r="B920" s="78" t="s">
        <v>19</v>
      </c>
      <c r="C920" s="85">
        <v>44376.0</v>
      </c>
      <c r="D920" s="85">
        <v>45109.0</v>
      </c>
      <c r="E920" s="86">
        <v>1.0</v>
      </c>
      <c r="F920" s="87">
        <v>0.44</v>
      </c>
      <c r="G920" s="88">
        <f t="shared" si="1"/>
        <v>-0.56</v>
      </c>
      <c r="H920" s="89">
        <f t="shared" si="2"/>
        <v>-1.272727273</v>
      </c>
      <c r="I920" s="78" t="s">
        <v>1251</v>
      </c>
      <c r="J920" s="78" t="s">
        <v>69</v>
      </c>
      <c r="K920" s="58">
        <f t="shared" si="3"/>
        <v>733</v>
      </c>
      <c r="L920" s="91" t="str">
        <f t="shared" si="6"/>
        <v>Sun</v>
      </c>
      <c r="M920" s="78" t="str">
        <f>IFERROR(VLOOKUP(A920, Entries!A:B,2,false),"")</f>
        <v>Klabater</v>
      </c>
      <c r="N920" s="23" t="str">
        <f>IFERROR(VLOOKUP(A920, Entries!A:K,11,false),"")</f>
        <v/>
      </c>
      <c r="O920" s="23" t="b">
        <f>IFERROR(VLOOKUP(A920, Entries!A:I,8,false),"")</f>
        <v>0</v>
      </c>
    </row>
    <row r="921">
      <c r="A921" s="78" t="s">
        <v>1252</v>
      </c>
      <c r="B921" s="78" t="s">
        <v>19</v>
      </c>
      <c r="C921" s="85">
        <v>44376.0</v>
      </c>
      <c r="D921" s="85">
        <v>44381.0</v>
      </c>
      <c r="E921" s="86">
        <v>1.0</v>
      </c>
      <c r="F921" s="87">
        <v>1.59</v>
      </c>
      <c r="G921" s="88">
        <f t="shared" si="1"/>
        <v>0.59</v>
      </c>
      <c r="H921" s="89">
        <f t="shared" si="2"/>
        <v>0.3710691824</v>
      </c>
      <c r="I921" s="78" t="s">
        <v>1253</v>
      </c>
      <c r="J921" s="78" t="s">
        <v>69</v>
      </c>
      <c r="K921" s="58">
        <f t="shared" si="3"/>
        <v>5</v>
      </c>
      <c r="L921" s="91" t="str">
        <f t="shared" si="6"/>
        <v>Sun</v>
      </c>
      <c r="M921" s="78" t="str">
        <f>IFERROR(VLOOKUP(A921, Entries!A:B,2,false),"")</f>
        <v>Daedalic Entertainment</v>
      </c>
      <c r="N921" s="23" t="str">
        <f>IFERROR(VLOOKUP(A921, Entries!A:K,11,false),"")</f>
        <v/>
      </c>
      <c r="O921" s="23" t="b">
        <f>IFERROR(VLOOKUP(A921, Entries!A:I,8,false),"")</f>
        <v>0</v>
      </c>
    </row>
    <row r="922">
      <c r="A922" s="78" t="s">
        <v>1254</v>
      </c>
      <c r="B922" s="78" t="s">
        <v>19</v>
      </c>
      <c r="C922" s="85">
        <v>44376.0</v>
      </c>
      <c r="D922" s="85">
        <v>44457.0</v>
      </c>
      <c r="E922" s="86">
        <v>0.0</v>
      </c>
      <c r="F922" s="87">
        <v>0.19</v>
      </c>
      <c r="G922" s="88">
        <f t="shared" si="1"/>
        <v>0.19</v>
      </c>
      <c r="H922" s="89">
        <f t="shared" si="2"/>
        <v>1</v>
      </c>
      <c r="I922" s="78" t="s">
        <v>1255</v>
      </c>
      <c r="J922" s="78" t="s">
        <v>69</v>
      </c>
      <c r="K922" s="58">
        <f t="shared" si="3"/>
        <v>81</v>
      </c>
      <c r="L922" s="91" t="str">
        <f t="shared" si="6"/>
        <v>Sat</v>
      </c>
      <c r="M922" s="78" t="str">
        <f>IFERROR(VLOOKUP(A922, Entries!A:B,2,false),"")</f>
        <v>Thunder Lotus Games</v>
      </c>
      <c r="N922" s="23" t="str">
        <f>IFERROR(VLOOKUP(A922, Entries!A:K,11,false),"")</f>
        <v/>
      </c>
      <c r="O922" s="23" t="b">
        <f>IFERROR(VLOOKUP(A922, Entries!A:I,8,false),"")</f>
        <v>0</v>
      </c>
    </row>
    <row r="923">
      <c r="A923" s="78" t="s">
        <v>1256</v>
      </c>
      <c r="B923" s="78" t="s">
        <v>19</v>
      </c>
      <c r="C923" s="85">
        <v>44376.0</v>
      </c>
      <c r="D923" s="85">
        <v>44446.0</v>
      </c>
      <c r="E923" s="86">
        <v>1.0</v>
      </c>
      <c r="F923" s="87">
        <v>1.41</v>
      </c>
      <c r="G923" s="88">
        <f t="shared" si="1"/>
        <v>0.41</v>
      </c>
      <c r="H923" s="89">
        <f t="shared" si="2"/>
        <v>0.2907801418</v>
      </c>
      <c r="I923" s="78" t="s">
        <v>1257</v>
      </c>
      <c r="J923" s="78" t="s">
        <v>69</v>
      </c>
      <c r="K923" s="58">
        <f t="shared" si="3"/>
        <v>70</v>
      </c>
      <c r="L923" s="91" t="str">
        <f t="shared" si="6"/>
        <v>Tue</v>
      </c>
      <c r="M923" s="78" t="str">
        <f>IFERROR(VLOOKUP(A923, Entries!A:B,2,false),"")</f>
        <v>Slitherine Ltd</v>
      </c>
      <c r="N923" s="23" t="str">
        <f>IFERROR(VLOOKUP(A923, Entries!A:K,11,false),"")</f>
        <v/>
      </c>
      <c r="O923" s="23" t="b">
        <f>IFERROR(VLOOKUP(A923, Entries!A:I,8,false),"")</f>
        <v>0</v>
      </c>
    </row>
    <row r="924">
      <c r="A924" s="78" t="s">
        <v>1258</v>
      </c>
      <c r="B924" s="78" t="s">
        <v>19</v>
      </c>
      <c r="C924" s="85">
        <v>44391.0</v>
      </c>
      <c r="D924" s="85">
        <v>44395.0</v>
      </c>
      <c r="E924" s="86">
        <v>1.0</v>
      </c>
      <c r="F924" s="87">
        <v>1.42</v>
      </c>
      <c r="G924" s="88">
        <f t="shared" si="1"/>
        <v>0.42</v>
      </c>
      <c r="H924" s="89">
        <f t="shared" si="2"/>
        <v>0.2957746479</v>
      </c>
      <c r="I924" s="78" t="s">
        <v>1259</v>
      </c>
      <c r="J924" s="78" t="s">
        <v>69</v>
      </c>
      <c r="K924" s="58">
        <f t="shared" si="3"/>
        <v>4</v>
      </c>
      <c r="L924" s="91" t="str">
        <f t="shared" si="6"/>
        <v>Sun</v>
      </c>
      <c r="M924" s="78" t="str">
        <f>IFERROR(VLOOKUP(A924, Entries!A:B,2,false),"")</f>
        <v>Nacon</v>
      </c>
      <c r="N924" s="23" t="str">
        <f>IFERROR(VLOOKUP(A924, Entries!A:K,11,false),"")</f>
        <v/>
      </c>
      <c r="O924" s="23" t="b">
        <f>IFERROR(VLOOKUP(A924, Entries!A:I,8,false),"")</f>
        <v>0</v>
      </c>
    </row>
    <row r="925">
      <c r="A925" s="78" t="s">
        <v>1260</v>
      </c>
      <c r="B925" s="78" t="s">
        <v>19</v>
      </c>
      <c r="C925" s="85">
        <v>44379.0</v>
      </c>
      <c r="D925" s="85">
        <v>44477.0</v>
      </c>
      <c r="E925" s="86">
        <v>0.37</v>
      </c>
      <c r="F925" s="87">
        <v>0.47</v>
      </c>
      <c r="G925" s="88">
        <f t="shared" si="1"/>
        <v>0.1</v>
      </c>
      <c r="H925" s="89">
        <f t="shared" si="2"/>
        <v>0.2127659574</v>
      </c>
      <c r="I925" s="78" t="s">
        <v>1261</v>
      </c>
      <c r="J925" s="78" t="s">
        <v>69</v>
      </c>
      <c r="K925" s="58">
        <f t="shared" si="3"/>
        <v>98</v>
      </c>
      <c r="L925" s="91" t="str">
        <f t="shared" si="6"/>
        <v>Fri</v>
      </c>
      <c r="M925" s="78" t="str">
        <f>IFERROR(VLOOKUP(A925, Entries!A:B,2,false),"")</f>
        <v>Kasedo Games</v>
      </c>
      <c r="N925" s="23" t="str">
        <f>IFERROR(VLOOKUP(A925, Entries!A:K,11,false),"")</f>
        <v/>
      </c>
      <c r="O925" s="23" t="b">
        <f>IFERROR(VLOOKUP(A925, Entries!A:I,8,false),"")</f>
        <v>0</v>
      </c>
    </row>
    <row r="926">
      <c r="A926" s="78" t="s">
        <v>1262</v>
      </c>
      <c r="B926" s="78" t="s">
        <v>19</v>
      </c>
      <c r="C926" s="85">
        <v>44379.0</v>
      </c>
      <c r="D926" s="85">
        <v>44645.0</v>
      </c>
      <c r="E926" s="86">
        <v>0.0</v>
      </c>
      <c r="F926" s="87">
        <v>0.1</v>
      </c>
      <c r="G926" s="88">
        <f t="shared" si="1"/>
        <v>0.1</v>
      </c>
      <c r="H926" s="89">
        <f t="shared" si="2"/>
        <v>1</v>
      </c>
      <c r="I926" s="78" t="s">
        <v>1263</v>
      </c>
      <c r="J926" s="78" t="s">
        <v>69</v>
      </c>
      <c r="K926" s="58">
        <f t="shared" si="3"/>
        <v>266</v>
      </c>
      <c r="L926" s="91" t="str">
        <f t="shared" si="6"/>
        <v>Fri</v>
      </c>
      <c r="M926" s="78" t="str">
        <f>IFERROR(VLOOKUP(A926, Entries!A:B,2,false),"")</f>
        <v>Kasedo Games</v>
      </c>
      <c r="N926" s="23" t="str">
        <f>IFERROR(VLOOKUP(A926, Entries!A:K,11,false),"")</f>
        <v/>
      </c>
      <c r="O926" s="23" t="b">
        <f>IFERROR(VLOOKUP(A926, Entries!A:I,8,false),"")</f>
        <v>0</v>
      </c>
    </row>
    <row r="927">
      <c r="A927" s="78" t="s">
        <v>1228</v>
      </c>
      <c r="B927" s="78" t="s">
        <v>22</v>
      </c>
      <c r="C927" s="85">
        <v>44376.0</v>
      </c>
      <c r="D927" s="85">
        <v>44379.0</v>
      </c>
      <c r="E927" s="86">
        <v>14.56</v>
      </c>
      <c r="F927" s="87">
        <v>18.09</v>
      </c>
      <c r="G927" s="88">
        <f t="shared" si="1"/>
        <v>3.53</v>
      </c>
      <c r="H927" s="89">
        <f t="shared" si="2"/>
        <v>0.1951354339</v>
      </c>
      <c r="I927" s="78" t="s">
        <v>1264</v>
      </c>
      <c r="J927" s="78" t="s">
        <v>69</v>
      </c>
      <c r="K927" s="58">
        <f t="shared" si="3"/>
        <v>3</v>
      </c>
      <c r="L927" s="91" t="str">
        <f t="shared" si="6"/>
        <v>Fri</v>
      </c>
      <c r="M927" s="78" t="str">
        <f>IFERROR(VLOOKUP(A927, Entries!A:B,2,false),"")</f>
        <v>Private Division</v>
      </c>
      <c r="N927" s="23" t="str">
        <f>IFERROR(VLOOKUP(A927, Entries!A:K,11,false),"")</f>
        <v/>
      </c>
      <c r="O927" s="23" t="b">
        <f>IFERROR(VLOOKUP(A927, Entries!A:I,8,false),"")</f>
        <v>0</v>
      </c>
    </row>
    <row r="928">
      <c r="A928" s="78" t="s">
        <v>1265</v>
      </c>
      <c r="B928" s="78" t="s">
        <v>19</v>
      </c>
      <c r="C928" s="85">
        <v>44378.0</v>
      </c>
      <c r="D928" s="85">
        <v>44425.0</v>
      </c>
      <c r="E928" s="86">
        <v>3.51</v>
      </c>
      <c r="F928" s="87">
        <v>3.73</v>
      </c>
      <c r="G928" s="88">
        <f t="shared" si="1"/>
        <v>0.22</v>
      </c>
      <c r="H928" s="89">
        <f t="shared" si="2"/>
        <v>0.05898123324</v>
      </c>
      <c r="I928" s="78" t="s">
        <v>1266</v>
      </c>
      <c r="J928" s="78" t="s">
        <v>69</v>
      </c>
      <c r="K928" s="58">
        <f t="shared" si="3"/>
        <v>47</v>
      </c>
      <c r="L928" s="91" t="str">
        <f t="shared" si="6"/>
        <v>Tue</v>
      </c>
      <c r="M928" s="78" t="str">
        <f>IFERROR(VLOOKUP(A928, Entries!A:B,2,false),"")</f>
        <v>Image &amp; Form Games</v>
      </c>
      <c r="N928" s="23" t="str">
        <f>IFERROR(VLOOKUP(A928, Entries!A:K,11,false),"")</f>
        <v/>
      </c>
      <c r="O928" s="23" t="b">
        <f>IFERROR(VLOOKUP(A928, Entries!A:I,8,false),"")</f>
        <v>0</v>
      </c>
    </row>
    <row r="929">
      <c r="A929" s="78" t="s">
        <v>1228</v>
      </c>
      <c r="B929" s="78" t="s">
        <v>22</v>
      </c>
      <c r="C929" s="85">
        <v>44379.0</v>
      </c>
      <c r="D929" s="85">
        <v>44379.0</v>
      </c>
      <c r="E929" s="86">
        <v>14.63</v>
      </c>
      <c r="F929" s="87">
        <v>18.09</v>
      </c>
      <c r="G929" s="88">
        <f t="shared" si="1"/>
        <v>3.46</v>
      </c>
      <c r="H929" s="89">
        <f t="shared" si="2"/>
        <v>0.1912658928</v>
      </c>
      <c r="I929" s="78" t="s">
        <v>1267</v>
      </c>
      <c r="J929" s="78" t="s">
        <v>69</v>
      </c>
      <c r="K929" s="58">
        <f t="shared" si="3"/>
        <v>0</v>
      </c>
      <c r="L929" s="91" t="str">
        <f t="shared" si="6"/>
        <v>Fri</v>
      </c>
      <c r="M929" s="78" t="str">
        <f>IFERROR(VLOOKUP(A929, Entries!A:B,2,false),"")</f>
        <v>Private Division</v>
      </c>
      <c r="N929" s="23" t="str">
        <f>IFERROR(VLOOKUP(A929, Entries!A:K,11,false),"")</f>
        <v/>
      </c>
      <c r="O929" s="23" t="b">
        <f>IFERROR(VLOOKUP(A929, Entries!A:I,8,false),"")</f>
        <v>0</v>
      </c>
    </row>
    <row r="930">
      <c r="A930" s="78" t="s">
        <v>809</v>
      </c>
      <c r="B930" s="78" t="s">
        <v>19</v>
      </c>
      <c r="C930" s="85">
        <v>44379.0</v>
      </c>
      <c r="D930" s="85">
        <v>44424.0</v>
      </c>
      <c r="E930" s="86">
        <v>2.87</v>
      </c>
      <c r="F930" s="87">
        <v>6.39</v>
      </c>
      <c r="G930" s="88">
        <f t="shared" si="1"/>
        <v>3.52</v>
      </c>
      <c r="H930" s="89">
        <f t="shared" si="2"/>
        <v>0.5508607199</v>
      </c>
      <c r="I930" s="78" t="s">
        <v>1268</v>
      </c>
      <c r="J930" s="78" t="s">
        <v>69</v>
      </c>
      <c r="K930" s="58">
        <f t="shared" si="3"/>
        <v>45</v>
      </c>
      <c r="L930" s="91" t="str">
        <f t="shared" si="6"/>
        <v>Mon</v>
      </c>
      <c r="M930" s="78" t="str">
        <f>IFERROR(VLOOKUP(A930, Entries!A:B,2,false),"")</f>
        <v>Modus Games</v>
      </c>
      <c r="N930" s="23" t="str">
        <f>IFERROR(VLOOKUP(A930, Entries!A:K,11,false),"")</f>
        <v/>
      </c>
      <c r="O930" s="23" t="b">
        <f>IFERROR(VLOOKUP(A930, Entries!A:I,8,false),"")</f>
        <v>0</v>
      </c>
    </row>
    <row r="931">
      <c r="A931" s="78" t="s">
        <v>1269</v>
      </c>
      <c r="B931" s="78" t="s">
        <v>19</v>
      </c>
      <c r="C931" s="85">
        <v>44379.0</v>
      </c>
      <c r="D931" s="85">
        <v>44418.0</v>
      </c>
      <c r="E931" s="86">
        <v>2.8</v>
      </c>
      <c r="F931" s="87">
        <v>3.28</v>
      </c>
      <c r="G931" s="88">
        <f t="shared" si="1"/>
        <v>0.48</v>
      </c>
      <c r="H931" s="89">
        <f t="shared" si="2"/>
        <v>0.1463414634</v>
      </c>
      <c r="I931" s="78" t="s">
        <v>1270</v>
      </c>
      <c r="J931" s="78" t="s">
        <v>69</v>
      </c>
      <c r="K931" s="58">
        <f t="shared" si="3"/>
        <v>39</v>
      </c>
      <c r="L931" s="91" t="str">
        <f t="shared" si="6"/>
        <v>Tue</v>
      </c>
      <c r="M931" s="78" t="str">
        <f>IFERROR(VLOOKUP(A931, Entries!A:B,2,false),"")</f>
        <v/>
      </c>
      <c r="N931" s="23" t="str">
        <f>IFERROR(VLOOKUP(A931, Entries!A:K,11,false),"")</f>
        <v/>
      </c>
      <c r="O931" s="23" t="str">
        <f>IFERROR(VLOOKUP(A931, Entries!A:I,8,false),"")</f>
        <v/>
      </c>
    </row>
    <row r="932">
      <c r="A932" s="78" t="s">
        <v>1271</v>
      </c>
      <c r="B932" s="78" t="s">
        <v>19</v>
      </c>
      <c r="C932" s="85">
        <v>44379.0</v>
      </c>
      <c r="D932" s="85">
        <v>44399.0</v>
      </c>
      <c r="E932" s="86">
        <v>2.8</v>
      </c>
      <c r="F932" s="87">
        <v>3.39</v>
      </c>
      <c r="G932" s="88">
        <f t="shared" si="1"/>
        <v>0.59</v>
      </c>
      <c r="H932" s="89">
        <f t="shared" si="2"/>
        <v>0.1740412979</v>
      </c>
      <c r="I932" s="78" t="s">
        <v>1272</v>
      </c>
      <c r="J932" s="78" t="s">
        <v>69</v>
      </c>
      <c r="K932" s="58">
        <f t="shared" si="3"/>
        <v>20</v>
      </c>
      <c r="L932" s="91" t="str">
        <f t="shared" si="6"/>
        <v>Thu</v>
      </c>
      <c r="M932" s="78" t="str">
        <f>IFERROR(VLOOKUP(A932, Entries!A:B,2,false),"")</f>
        <v>Wired Productions</v>
      </c>
      <c r="N932" s="23" t="str">
        <f>IFERROR(VLOOKUP(A932, Entries!A:K,11,false),"")</f>
        <v/>
      </c>
      <c r="O932" s="23" t="b">
        <f>IFERROR(VLOOKUP(A932, Entries!A:I,8,false),"")</f>
        <v>0</v>
      </c>
    </row>
    <row r="933">
      <c r="A933" s="78" t="s">
        <v>1273</v>
      </c>
      <c r="B933" s="78" t="s">
        <v>19</v>
      </c>
      <c r="C933" s="85">
        <v>44379.0</v>
      </c>
      <c r="D933" s="85">
        <v>44381.0</v>
      </c>
      <c r="E933" s="86">
        <v>2.8</v>
      </c>
      <c r="F933" s="87">
        <v>3.75</v>
      </c>
      <c r="G933" s="88">
        <f t="shared" si="1"/>
        <v>0.95</v>
      </c>
      <c r="H933" s="89">
        <f t="shared" si="2"/>
        <v>0.2533333333</v>
      </c>
      <c r="I933" s="78" t="s">
        <v>1274</v>
      </c>
      <c r="J933" s="78" t="s">
        <v>69</v>
      </c>
      <c r="K933" s="58">
        <f t="shared" si="3"/>
        <v>2</v>
      </c>
      <c r="L933" s="91" t="str">
        <f t="shared" si="6"/>
        <v>Sun</v>
      </c>
      <c r="M933" s="78" t="str">
        <f>IFERROR(VLOOKUP(A933, Entries!A:B,2,false),"")</f>
        <v>Konami</v>
      </c>
      <c r="N933" s="23" t="str">
        <f>IFERROR(VLOOKUP(A933, Entries!A:K,11,false),"")</f>
        <v/>
      </c>
      <c r="O933" s="23" t="b">
        <f>IFERROR(VLOOKUP(A933, Entries!A:I,8,false),"")</f>
        <v>1</v>
      </c>
    </row>
    <row r="934">
      <c r="A934" s="78" t="s">
        <v>1275</v>
      </c>
      <c r="B934" s="78" t="s">
        <v>19</v>
      </c>
      <c r="C934" s="85">
        <v>44379.0</v>
      </c>
      <c r="D934" s="85">
        <v>44382.0</v>
      </c>
      <c r="E934" s="86">
        <v>2.8</v>
      </c>
      <c r="F934" s="87">
        <v>3.4</v>
      </c>
      <c r="G934" s="88">
        <f t="shared" si="1"/>
        <v>0.6</v>
      </c>
      <c r="H934" s="89">
        <f t="shared" si="2"/>
        <v>0.1764705882</v>
      </c>
      <c r="I934" s="78" t="s">
        <v>1276</v>
      </c>
      <c r="J934" s="78" t="s">
        <v>69</v>
      </c>
      <c r="K934" s="58">
        <f t="shared" si="3"/>
        <v>3</v>
      </c>
      <c r="L934" s="91" t="str">
        <f t="shared" si="6"/>
        <v>Mon</v>
      </c>
      <c r="M934" s="78" t="str">
        <f>IFERROR(VLOOKUP(A934, Entries!A:B,2,false),"")</f>
        <v>Konami</v>
      </c>
      <c r="N934" s="23" t="str">
        <f>IFERROR(VLOOKUP(A934, Entries!A:K,11,false),"")</f>
        <v/>
      </c>
      <c r="O934" s="23" t="b">
        <f>IFERROR(VLOOKUP(A934, Entries!A:I,8,false),"")</f>
        <v>0</v>
      </c>
    </row>
    <row r="935">
      <c r="A935" s="78" t="s">
        <v>1228</v>
      </c>
      <c r="B935" s="78" t="s">
        <v>22</v>
      </c>
      <c r="C935" s="85">
        <v>44379.0</v>
      </c>
      <c r="D935" s="85">
        <v>44379.0</v>
      </c>
      <c r="E935" s="86">
        <v>14.63</v>
      </c>
      <c r="F935" s="87">
        <v>18.03</v>
      </c>
      <c r="G935" s="88">
        <f t="shared" si="1"/>
        <v>3.4</v>
      </c>
      <c r="H935" s="89">
        <f t="shared" si="2"/>
        <v>0.1885745979</v>
      </c>
      <c r="I935" s="78" t="s">
        <v>1277</v>
      </c>
      <c r="J935" s="78" t="s">
        <v>69</v>
      </c>
      <c r="K935" s="58">
        <f t="shared" si="3"/>
        <v>0</v>
      </c>
      <c r="L935" s="91" t="str">
        <f t="shared" si="6"/>
        <v>Fri</v>
      </c>
      <c r="M935" s="78" t="str">
        <f>IFERROR(VLOOKUP(A935, Entries!A:B,2,false),"")</f>
        <v>Private Division</v>
      </c>
      <c r="N935" s="23" t="str">
        <f>IFERROR(VLOOKUP(A935, Entries!A:K,11,false),"")</f>
        <v/>
      </c>
      <c r="O935" s="23" t="b">
        <f>IFERROR(VLOOKUP(A935, Entries!A:I,8,false),"")</f>
        <v>0</v>
      </c>
    </row>
    <row r="936">
      <c r="A936" s="78" t="s">
        <v>1228</v>
      </c>
      <c r="B936" s="78" t="s">
        <v>22</v>
      </c>
      <c r="C936" s="85">
        <v>44379.0</v>
      </c>
      <c r="D936" s="85">
        <v>44381.0</v>
      </c>
      <c r="E936" s="86">
        <v>14.63</v>
      </c>
      <c r="F936" s="87">
        <v>17.94</v>
      </c>
      <c r="G936" s="88">
        <f t="shared" si="1"/>
        <v>3.31</v>
      </c>
      <c r="H936" s="89">
        <f t="shared" si="2"/>
        <v>0.1845039019</v>
      </c>
      <c r="I936" s="78" t="s">
        <v>1278</v>
      </c>
      <c r="J936" s="78" t="s">
        <v>69</v>
      </c>
      <c r="K936" s="58">
        <f t="shared" si="3"/>
        <v>2</v>
      </c>
      <c r="L936" s="91" t="str">
        <f t="shared" si="6"/>
        <v>Sun</v>
      </c>
      <c r="M936" s="78" t="str">
        <f>IFERROR(VLOOKUP(A936, Entries!A:B,2,false),"")</f>
        <v>Private Division</v>
      </c>
      <c r="N936" s="23" t="str">
        <f>IFERROR(VLOOKUP(A936, Entries!A:K,11,false),"")</f>
        <v/>
      </c>
      <c r="O936" s="23" t="b">
        <f>IFERROR(VLOOKUP(A936, Entries!A:I,8,false),"")</f>
        <v>0</v>
      </c>
    </row>
    <row r="937">
      <c r="A937" s="78" t="s">
        <v>731</v>
      </c>
      <c r="B937" s="78" t="s">
        <v>19</v>
      </c>
      <c r="C937" s="85">
        <v>44383.0</v>
      </c>
      <c r="D937" s="85">
        <v>44386.0</v>
      </c>
      <c r="E937" s="86">
        <v>3.21</v>
      </c>
      <c r="F937" s="87">
        <v>4.24</v>
      </c>
      <c r="G937" s="88">
        <f t="shared" si="1"/>
        <v>1.03</v>
      </c>
      <c r="H937" s="89">
        <f t="shared" si="2"/>
        <v>0.2429245283</v>
      </c>
      <c r="I937" s="78" t="s">
        <v>1279</v>
      </c>
      <c r="J937" s="78" t="s">
        <v>69</v>
      </c>
      <c r="K937" s="58">
        <f t="shared" si="3"/>
        <v>3</v>
      </c>
      <c r="L937" s="91" t="str">
        <f t="shared" si="6"/>
        <v>Fri</v>
      </c>
      <c r="M937" s="78" t="str">
        <f>IFERROR(VLOOKUP(A937, Entries!A:B,2,false),"")</f>
        <v>Square Enix</v>
      </c>
      <c r="N937" s="23" t="str">
        <f>IFERROR(VLOOKUP(A937, Entries!A:K,11,false),"")</f>
        <v/>
      </c>
      <c r="O937" s="23" t="b">
        <f>IFERROR(VLOOKUP(A937, Entries!A:I,8,false),"")</f>
        <v>1</v>
      </c>
    </row>
    <row r="938">
      <c r="A938" s="78" t="s">
        <v>624</v>
      </c>
      <c r="B938" s="78" t="s">
        <v>19</v>
      </c>
      <c r="C938" s="85">
        <v>44383.0</v>
      </c>
      <c r="D938" s="85">
        <v>44385.0</v>
      </c>
      <c r="E938" s="86">
        <v>3.21</v>
      </c>
      <c r="F938" s="87">
        <v>3.82</v>
      </c>
      <c r="G938" s="88">
        <f t="shared" si="1"/>
        <v>0.61</v>
      </c>
      <c r="H938" s="89">
        <f t="shared" si="2"/>
        <v>0.1596858639</v>
      </c>
      <c r="I938" s="78" t="s">
        <v>1280</v>
      </c>
      <c r="J938" s="78" t="s">
        <v>69</v>
      </c>
      <c r="K938" s="58">
        <f t="shared" si="3"/>
        <v>2</v>
      </c>
      <c r="L938" s="91" t="str">
        <f t="shared" si="6"/>
        <v>Thu</v>
      </c>
      <c r="M938" s="78" t="str">
        <f>IFERROR(VLOOKUP(A938, Entries!A:B,2,false),"")</f>
        <v>NEXT Studios</v>
      </c>
      <c r="N938" s="23" t="str">
        <f>IFERROR(VLOOKUP(A938, Entries!A:K,11,false),"")</f>
        <v/>
      </c>
      <c r="O938" s="23" t="b">
        <f>IFERROR(VLOOKUP(A938, Entries!A:I,8,false),"")</f>
        <v>1</v>
      </c>
    </row>
    <row r="939">
      <c r="A939" s="78" t="s">
        <v>1281</v>
      </c>
      <c r="B939" s="78" t="s">
        <v>19</v>
      </c>
      <c r="C939" s="85">
        <v>44383.0</v>
      </c>
      <c r="D939" s="85">
        <v>44384.0</v>
      </c>
      <c r="E939" s="86">
        <v>3.21</v>
      </c>
      <c r="F939" s="87">
        <v>4.45</v>
      </c>
      <c r="G939" s="88">
        <f t="shared" si="1"/>
        <v>1.24</v>
      </c>
      <c r="H939" s="89">
        <f t="shared" si="2"/>
        <v>0.2786516854</v>
      </c>
      <c r="I939" s="78" t="s">
        <v>1282</v>
      </c>
      <c r="J939" s="78" t="s">
        <v>69</v>
      </c>
      <c r="K939" s="58">
        <f t="shared" si="3"/>
        <v>1</v>
      </c>
      <c r="L939" s="91" t="str">
        <f t="shared" si="6"/>
        <v>Wed</v>
      </c>
      <c r="M939" s="78" t="str">
        <f>IFERROR(VLOOKUP(A939, Entries!A:B,2,false),"")</f>
        <v>Konami</v>
      </c>
      <c r="N939" s="23" t="str">
        <f>IFERROR(VLOOKUP(A939, Entries!A:K,11,false),"")</f>
        <v/>
      </c>
      <c r="O939" s="23" t="b">
        <f>IFERROR(VLOOKUP(A939, Entries!A:I,8,false),"")</f>
        <v>0</v>
      </c>
    </row>
    <row r="940">
      <c r="A940" s="78" t="s">
        <v>863</v>
      </c>
      <c r="B940" s="78" t="s">
        <v>19</v>
      </c>
      <c r="C940" s="85">
        <v>44383.0</v>
      </c>
      <c r="D940" s="85">
        <v>44391.0</v>
      </c>
      <c r="E940" s="86">
        <v>0.85</v>
      </c>
      <c r="F940" s="87">
        <v>2.37</v>
      </c>
      <c r="G940" s="88">
        <f t="shared" si="1"/>
        <v>1.52</v>
      </c>
      <c r="H940" s="89">
        <f t="shared" si="2"/>
        <v>0.641350211</v>
      </c>
      <c r="I940" s="78" t="s">
        <v>1283</v>
      </c>
      <c r="J940" s="78" t="s">
        <v>69</v>
      </c>
      <c r="K940" s="58">
        <f t="shared" si="3"/>
        <v>8</v>
      </c>
      <c r="L940" s="91" t="str">
        <f t="shared" si="6"/>
        <v>Wed</v>
      </c>
      <c r="M940" s="78" t="str">
        <f>IFERROR(VLOOKUP(A940, Entries!A:B,2,false),"")</f>
        <v>Codemasters</v>
      </c>
      <c r="N940" s="23" t="str">
        <f>IFERROR(VLOOKUP(A940, Entries!A:K,11,false),"")</f>
        <v/>
      </c>
      <c r="O940" s="23" t="b">
        <f>IFERROR(VLOOKUP(A940, Entries!A:I,8,false),"")</f>
        <v>0</v>
      </c>
    </row>
    <row r="941">
      <c r="A941" s="78" t="s">
        <v>1228</v>
      </c>
      <c r="B941" s="78" t="s">
        <v>22</v>
      </c>
      <c r="C941" s="85">
        <v>44384.0</v>
      </c>
      <c r="D941" s="85">
        <v>44491.0</v>
      </c>
      <c r="E941" s="86">
        <v>14.67</v>
      </c>
      <c r="F941" s="87">
        <v>15.33</v>
      </c>
      <c r="G941" s="88">
        <f t="shared" si="1"/>
        <v>0.66</v>
      </c>
      <c r="H941" s="89">
        <f t="shared" si="2"/>
        <v>0.04305283757</v>
      </c>
      <c r="I941" s="78" t="s">
        <v>1284</v>
      </c>
      <c r="J941" s="78" t="s">
        <v>69</v>
      </c>
      <c r="K941" s="58">
        <f t="shared" si="3"/>
        <v>107</v>
      </c>
      <c r="L941" s="91" t="str">
        <f t="shared" si="6"/>
        <v>Fri</v>
      </c>
      <c r="M941" s="78" t="str">
        <f>IFERROR(VLOOKUP(A941, Entries!A:B,2,false),"")</f>
        <v>Private Division</v>
      </c>
      <c r="N941" s="23" t="str">
        <f>IFERROR(VLOOKUP(A941, Entries!A:K,11,false),"")</f>
        <v/>
      </c>
      <c r="O941" s="23" t="b">
        <f>IFERROR(VLOOKUP(A941, Entries!A:I,8,false),"")</f>
        <v>0</v>
      </c>
    </row>
    <row r="942">
      <c r="A942" s="78" t="s">
        <v>1228</v>
      </c>
      <c r="B942" s="78" t="s">
        <v>22</v>
      </c>
      <c r="C942" s="85">
        <v>44384.0</v>
      </c>
      <c r="D942" s="85">
        <v>44491.0</v>
      </c>
      <c r="E942" s="86">
        <v>14.67</v>
      </c>
      <c r="F942" s="87">
        <v>15.33</v>
      </c>
      <c r="G942" s="88">
        <f t="shared" si="1"/>
        <v>0.66</v>
      </c>
      <c r="H942" s="89">
        <f t="shared" si="2"/>
        <v>0.04305283757</v>
      </c>
      <c r="I942" s="78" t="s">
        <v>1285</v>
      </c>
      <c r="J942" s="78" t="s">
        <v>69</v>
      </c>
      <c r="K942" s="58">
        <f t="shared" si="3"/>
        <v>107</v>
      </c>
      <c r="L942" s="91" t="str">
        <f t="shared" si="6"/>
        <v>Fri</v>
      </c>
      <c r="M942" s="78" t="str">
        <f>IFERROR(VLOOKUP(A942, Entries!A:B,2,false),"")</f>
        <v>Private Division</v>
      </c>
      <c r="N942" s="23" t="str">
        <f>IFERROR(VLOOKUP(A942, Entries!A:K,11,false),"")</f>
        <v/>
      </c>
      <c r="O942" s="23" t="b">
        <f>IFERROR(VLOOKUP(A942, Entries!A:I,8,false),"")</f>
        <v>0</v>
      </c>
    </row>
    <row r="943">
      <c r="A943" s="78" t="s">
        <v>400</v>
      </c>
      <c r="B943" s="78" t="s">
        <v>21</v>
      </c>
      <c r="C943" s="85">
        <v>44389.0</v>
      </c>
      <c r="D943" s="85">
        <v>45373.0</v>
      </c>
      <c r="E943" s="86">
        <v>16.95</v>
      </c>
      <c r="F943" s="87">
        <v>6.34</v>
      </c>
      <c r="G943" s="88">
        <f t="shared" si="1"/>
        <v>-10.61</v>
      </c>
      <c r="H943" s="89">
        <f t="shared" si="2"/>
        <v>-1.673501577</v>
      </c>
      <c r="I943" s="78" t="s">
        <v>1286</v>
      </c>
      <c r="J943" s="78" t="s">
        <v>69</v>
      </c>
      <c r="K943" s="58">
        <f t="shared" si="3"/>
        <v>984</v>
      </c>
      <c r="L943" s="91" t="str">
        <f t="shared" si="6"/>
        <v>Fri</v>
      </c>
      <c r="M943" s="78" t="str">
        <f>IFERROR(VLOOKUP(A943, Entries!A:B,2,false),"")</f>
        <v>CAPCOM</v>
      </c>
      <c r="N943" s="23" t="str">
        <f>IFERROR(VLOOKUP(A943, Entries!A:K,11,false),"")</f>
        <v/>
      </c>
      <c r="O943" s="23" t="b">
        <f>IFERROR(VLOOKUP(A943, Entries!A:I,8,false),"")</f>
        <v>0</v>
      </c>
    </row>
    <row r="944">
      <c r="A944" s="78" t="s">
        <v>1287</v>
      </c>
      <c r="B944" s="78" t="s">
        <v>22</v>
      </c>
      <c r="C944" s="85">
        <v>44392.0</v>
      </c>
      <c r="D944" s="85">
        <v>44398.0</v>
      </c>
      <c r="E944" s="86">
        <v>14.14</v>
      </c>
      <c r="F944" s="87">
        <v>16.1</v>
      </c>
      <c r="G944" s="88">
        <f t="shared" si="1"/>
        <v>1.96</v>
      </c>
      <c r="H944" s="89">
        <f t="shared" si="2"/>
        <v>0.1217391304</v>
      </c>
      <c r="I944" s="78" t="s">
        <v>1288</v>
      </c>
      <c r="J944" s="78" t="s">
        <v>69</v>
      </c>
      <c r="K944" s="58">
        <f t="shared" si="3"/>
        <v>6</v>
      </c>
      <c r="L944" s="91" t="str">
        <f t="shared" si="6"/>
        <v>Wed</v>
      </c>
      <c r="M944" s="78" t="str">
        <f>IFERROR(VLOOKUP(A944, Entries!A:B,2,false),"")</f>
        <v>2K</v>
      </c>
      <c r="N944" s="23" t="str">
        <f>IFERROR(VLOOKUP(A944, Entries!A:K,11,false),"")</f>
        <v/>
      </c>
      <c r="O944" s="23" t="b">
        <f>IFERROR(VLOOKUP(A944, Entries!A:I,8,false),"")</f>
        <v>0</v>
      </c>
    </row>
    <row r="945">
      <c r="A945" s="78" t="s">
        <v>1289</v>
      </c>
      <c r="B945" s="78" t="s">
        <v>22</v>
      </c>
      <c r="C945" s="85">
        <v>44392.0</v>
      </c>
      <c r="D945" s="85">
        <v>44395.0</v>
      </c>
      <c r="E945" s="86">
        <v>3.82</v>
      </c>
      <c r="F945" s="87">
        <v>5.45</v>
      </c>
      <c r="G945" s="88">
        <f t="shared" si="1"/>
        <v>1.63</v>
      </c>
      <c r="H945" s="89">
        <f t="shared" si="2"/>
        <v>0.2990825688</v>
      </c>
      <c r="I945" s="78" t="s">
        <v>1290</v>
      </c>
      <c r="J945" s="78" t="s">
        <v>69</v>
      </c>
      <c r="K945" s="58">
        <f t="shared" si="3"/>
        <v>3</v>
      </c>
      <c r="L945" s="91" t="str">
        <f t="shared" si="6"/>
        <v>Sun</v>
      </c>
      <c r="M945" s="78" t="str">
        <f>IFERROR(VLOOKUP(A945, Entries!A:B,2,false),"")</f>
        <v>Expansive Worlds</v>
      </c>
      <c r="N945" s="23" t="str">
        <f>IFERROR(VLOOKUP(A945, Entries!A:K,11,false),"")</f>
        <v/>
      </c>
      <c r="O945" s="23" t="b">
        <f>IFERROR(VLOOKUP(A945, Entries!A:I,8,false),"")</f>
        <v>0</v>
      </c>
    </row>
    <row r="946">
      <c r="A946" s="78" t="s">
        <v>1291</v>
      </c>
      <c r="B946" s="78" t="s">
        <v>22</v>
      </c>
      <c r="C946" s="85">
        <v>44397.0</v>
      </c>
      <c r="D946" s="85">
        <v>44397.0</v>
      </c>
      <c r="E946" s="86">
        <v>9.62</v>
      </c>
      <c r="F946" s="87">
        <v>12.5</v>
      </c>
      <c r="G946" s="88">
        <f t="shared" si="1"/>
        <v>2.88</v>
      </c>
      <c r="H946" s="89">
        <f t="shared" si="2"/>
        <v>0.2304</v>
      </c>
      <c r="I946" s="78" t="s">
        <v>1292</v>
      </c>
      <c r="J946" s="78" t="s">
        <v>69</v>
      </c>
      <c r="K946" s="58">
        <f t="shared" si="3"/>
        <v>0</v>
      </c>
      <c r="L946" s="91" t="str">
        <f t="shared" si="6"/>
        <v>Tue</v>
      </c>
      <c r="M946" s="78" t="str">
        <f>IFERROR(VLOOKUP(A946, Entries!A:B,2,false),"")</f>
        <v>Triternion</v>
      </c>
      <c r="N946" s="23" t="str">
        <f>IFERROR(VLOOKUP(A946, Entries!A:K,11,false),"")</f>
        <v/>
      </c>
      <c r="O946" s="23" t="b">
        <f>IFERROR(VLOOKUP(A946, Entries!A:I,8,false),"")</f>
        <v>1</v>
      </c>
    </row>
    <row r="947">
      <c r="A947" s="78" t="s">
        <v>1293</v>
      </c>
      <c r="B947" s="78" t="s">
        <v>22</v>
      </c>
      <c r="C947" s="85">
        <v>44397.0</v>
      </c>
      <c r="D947" s="85">
        <v>44451.0</v>
      </c>
      <c r="E947" s="86">
        <v>8.64</v>
      </c>
      <c r="F947" s="87">
        <v>8.64</v>
      </c>
      <c r="G947" s="88">
        <f t="shared" si="1"/>
        <v>0</v>
      </c>
      <c r="H947" s="89">
        <f t="shared" si="2"/>
        <v>0</v>
      </c>
      <c r="I947" s="78" t="s">
        <v>1294</v>
      </c>
      <c r="J947" s="78" t="s">
        <v>69</v>
      </c>
      <c r="K947" s="58">
        <f t="shared" si="3"/>
        <v>54</v>
      </c>
      <c r="L947" s="91" t="str">
        <f t="shared" si="6"/>
        <v>Sun</v>
      </c>
      <c r="M947" s="78" t="str">
        <f>IFERROR(VLOOKUP(A947, Entries!A:B,2,false),"")</f>
        <v>Dovetail Games</v>
      </c>
      <c r="N947" s="23" t="str">
        <f>IFERROR(VLOOKUP(A947, Entries!A:K,11,false),"")</f>
        <v/>
      </c>
      <c r="O947" s="23" t="b">
        <f>IFERROR(VLOOKUP(A947, Entries!A:I,8,false),"")</f>
        <v>0</v>
      </c>
    </row>
    <row r="948">
      <c r="A948" s="78" t="s">
        <v>1291</v>
      </c>
      <c r="B948" s="78" t="s">
        <v>22</v>
      </c>
      <c r="C948" s="85">
        <v>44397.0</v>
      </c>
      <c r="D948" s="85">
        <v>44398.0</v>
      </c>
      <c r="E948" s="86">
        <v>9.62</v>
      </c>
      <c r="F948" s="87">
        <v>12.41</v>
      </c>
      <c r="G948" s="88">
        <f t="shared" si="1"/>
        <v>2.79</v>
      </c>
      <c r="H948" s="89">
        <f t="shared" si="2"/>
        <v>0.2248186946</v>
      </c>
      <c r="I948" s="78" t="s">
        <v>1295</v>
      </c>
      <c r="J948" s="78" t="s">
        <v>69</v>
      </c>
      <c r="K948" s="58">
        <f t="shared" si="3"/>
        <v>1</v>
      </c>
      <c r="L948" s="91" t="str">
        <f t="shared" si="6"/>
        <v>Wed</v>
      </c>
      <c r="M948" s="78" t="str">
        <f>IFERROR(VLOOKUP(A948, Entries!A:B,2,false),"")</f>
        <v>Triternion</v>
      </c>
      <c r="N948" s="23" t="str">
        <f>IFERROR(VLOOKUP(A948, Entries!A:K,11,false),"")</f>
        <v/>
      </c>
      <c r="O948" s="23" t="b">
        <f>IFERROR(VLOOKUP(A948, Entries!A:I,8,false),"")</f>
        <v>1</v>
      </c>
    </row>
    <row r="949">
      <c r="A949" s="78" t="s">
        <v>1291</v>
      </c>
      <c r="B949" s="78" t="s">
        <v>22</v>
      </c>
      <c r="C949" s="85">
        <v>44397.0</v>
      </c>
      <c r="D949" s="85">
        <v>44398.0</v>
      </c>
      <c r="E949" s="86">
        <v>9.62</v>
      </c>
      <c r="F949" s="87">
        <v>12.41</v>
      </c>
      <c r="G949" s="88">
        <f t="shared" si="1"/>
        <v>2.79</v>
      </c>
      <c r="H949" s="89">
        <f t="shared" si="2"/>
        <v>0.2248186946</v>
      </c>
      <c r="I949" s="78" t="s">
        <v>1296</v>
      </c>
      <c r="J949" s="78" t="s">
        <v>69</v>
      </c>
      <c r="K949" s="58">
        <f t="shared" si="3"/>
        <v>1</v>
      </c>
      <c r="L949" s="91" t="str">
        <f t="shared" si="6"/>
        <v>Wed</v>
      </c>
      <c r="M949" s="78" t="str">
        <f>IFERROR(VLOOKUP(A949, Entries!A:B,2,false),"")</f>
        <v>Triternion</v>
      </c>
      <c r="N949" s="23" t="str">
        <f>IFERROR(VLOOKUP(A949, Entries!A:K,11,false),"")</f>
        <v/>
      </c>
      <c r="O949" s="23" t="b">
        <f>IFERROR(VLOOKUP(A949, Entries!A:I,8,false),"")</f>
        <v>1</v>
      </c>
    </row>
    <row r="950">
      <c r="A950" s="78" t="s">
        <v>1291</v>
      </c>
      <c r="B950" s="78" t="s">
        <v>22</v>
      </c>
      <c r="C950" s="85">
        <v>44398.0</v>
      </c>
      <c r="D950" s="85">
        <v>44402.0</v>
      </c>
      <c r="E950" s="86">
        <v>9.62</v>
      </c>
      <c r="F950" s="87">
        <v>12.5</v>
      </c>
      <c r="G950" s="88">
        <f t="shared" si="1"/>
        <v>2.88</v>
      </c>
      <c r="H950" s="89">
        <f t="shared" si="2"/>
        <v>0.2304</v>
      </c>
      <c r="I950" s="78" t="s">
        <v>1297</v>
      </c>
      <c r="J950" s="78" t="s">
        <v>69</v>
      </c>
      <c r="K950" s="58">
        <f t="shared" si="3"/>
        <v>4</v>
      </c>
      <c r="L950" s="91" t="str">
        <f t="shared" si="6"/>
        <v>Sun</v>
      </c>
      <c r="M950" s="78" t="str">
        <f>IFERROR(VLOOKUP(A950, Entries!A:B,2,false),"")</f>
        <v>Triternion</v>
      </c>
      <c r="N950" s="23" t="str">
        <f>IFERROR(VLOOKUP(A950, Entries!A:K,11,false),"")</f>
        <v/>
      </c>
      <c r="O950" s="23" t="b">
        <f>IFERROR(VLOOKUP(A950, Entries!A:I,8,false),"")</f>
        <v>1</v>
      </c>
    </row>
    <row r="951">
      <c r="A951" s="78" t="s">
        <v>1291</v>
      </c>
      <c r="B951" s="78" t="s">
        <v>22</v>
      </c>
      <c r="C951" s="85">
        <v>44398.0</v>
      </c>
      <c r="D951" s="85">
        <v>44402.0</v>
      </c>
      <c r="E951" s="86">
        <v>9.62</v>
      </c>
      <c r="F951" s="87">
        <v>12.5</v>
      </c>
      <c r="G951" s="88">
        <f t="shared" si="1"/>
        <v>2.88</v>
      </c>
      <c r="H951" s="89">
        <f t="shared" si="2"/>
        <v>0.2304</v>
      </c>
      <c r="I951" s="78" t="s">
        <v>1298</v>
      </c>
      <c r="J951" s="78" t="s">
        <v>69</v>
      </c>
      <c r="K951" s="58">
        <f t="shared" si="3"/>
        <v>4</v>
      </c>
      <c r="L951" s="91" t="str">
        <f t="shared" si="6"/>
        <v>Sun</v>
      </c>
      <c r="M951" s="78" t="str">
        <f>IFERROR(VLOOKUP(A951, Entries!A:B,2,false),"")</f>
        <v>Triternion</v>
      </c>
      <c r="N951" s="23" t="str">
        <f>IFERROR(VLOOKUP(A951, Entries!A:K,11,false),"")</f>
        <v/>
      </c>
      <c r="O951" s="23" t="b">
        <f>IFERROR(VLOOKUP(A951, Entries!A:I,8,false),"")</f>
        <v>1</v>
      </c>
    </row>
    <row r="952">
      <c r="A952" s="78" t="s">
        <v>1291</v>
      </c>
      <c r="B952" s="78" t="s">
        <v>22</v>
      </c>
      <c r="C952" s="85">
        <v>44398.0</v>
      </c>
      <c r="D952" s="85">
        <v>44403.0</v>
      </c>
      <c r="E952" s="86">
        <v>9.62</v>
      </c>
      <c r="F952" s="87">
        <v>12.5</v>
      </c>
      <c r="G952" s="88">
        <f t="shared" si="1"/>
        <v>2.88</v>
      </c>
      <c r="H952" s="89">
        <f t="shared" si="2"/>
        <v>0.2304</v>
      </c>
      <c r="I952" s="78" t="s">
        <v>1299</v>
      </c>
      <c r="J952" s="78" t="s">
        <v>69</v>
      </c>
      <c r="K952" s="58">
        <f t="shared" si="3"/>
        <v>5</v>
      </c>
      <c r="L952" s="91" t="str">
        <f t="shared" si="6"/>
        <v>Mon</v>
      </c>
      <c r="M952" s="78" t="str">
        <f>IFERROR(VLOOKUP(A952, Entries!A:B,2,false),"")</f>
        <v>Triternion</v>
      </c>
      <c r="N952" s="23" t="str">
        <f>IFERROR(VLOOKUP(A952, Entries!A:K,11,false),"")</f>
        <v/>
      </c>
      <c r="O952" s="23" t="b">
        <f>IFERROR(VLOOKUP(A952, Entries!A:I,8,false),"")</f>
        <v>1</v>
      </c>
    </row>
    <row r="953">
      <c r="A953" s="78" t="s">
        <v>1291</v>
      </c>
      <c r="B953" s="78" t="s">
        <v>22</v>
      </c>
      <c r="C953" s="85">
        <v>44403.0</v>
      </c>
      <c r="D953" s="85">
        <v>44403.0</v>
      </c>
      <c r="E953" s="86">
        <v>9.62</v>
      </c>
      <c r="F953" s="87">
        <v>12.29</v>
      </c>
      <c r="G953" s="88">
        <f t="shared" si="1"/>
        <v>2.67</v>
      </c>
      <c r="H953" s="89">
        <f t="shared" si="2"/>
        <v>0.2172497966</v>
      </c>
      <c r="I953" s="78" t="s">
        <v>1300</v>
      </c>
      <c r="J953" s="78" t="s">
        <v>69</v>
      </c>
      <c r="K953" s="58">
        <f t="shared" si="3"/>
        <v>0</v>
      </c>
      <c r="L953" s="91" t="str">
        <f t="shared" si="6"/>
        <v>Mon</v>
      </c>
      <c r="M953" s="78" t="str">
        <f>IFERROR(VLOOKUP(A953, Entries!A:B,2,false),"")</f>
        <v>Triternion</v>
      </c>
      <c r="N953" s="23" t="str">
        <f>IFERROR(VLOOKUP(A953, Entries!A:K,11,false),"")</f>
        <v/>
      </c>
      <c r="O953" s="23" t="b">
        <f>IFERROR(VLOOKUP(A953, Entries!A:I,8,false),"")</f>
        <v>1</v>
      </c>
    </row>
    <row r="954">
      <c r="A954" s="78" t="s">
        <v>1291</v>
      </c>
      <c r="B954" s="78" t="s">
        <v>22</v>
      </c>
      <c r="C954" s="85">
        <v>44403.0</v>
      </c>
      <c r="D954" s="85">
        <v>44403.0</v>
      </c>
      <c r="E954" s="86">
        <v>9.62</v>
      </c>
      <c r="F954" s="87">
        <v>12.29</v>
      </c>
      <c r="G954" s="88">
        <f t="shared" si="1"/>
        <v>2.67</v>
      </c>
      <c r="H954" s="89">
        <f t="shared" si="2"/>
        <v>0.2172497966</v>
      </c>
      <c r="I954" s="78" t="s">
        <v>1301</v>
      </c>
      <c r="J954" s="78" t="s">
        <v>69</v>
      </c>
      <c r="K954" s="58">
        <f t="shared" si="3"/>
        <v>0</v>
      </c>
      <c r="L954" s="91" t="str">
        <f t="shared" si="6"/>
        <v>Mon</v>
      </c>
      <c r="M954" s="78" t="str">
        <f>IFERROR(VLOOKUP(A954, Entries!A:B,2,false),"")</f>
        <v>Triternion</v>
      </c>
      <c r="N954" s="23" t="str">
        <f>IFERROR(VLOOKUP(A954, Entries!A:K,11,false),"")</f>
        <v/>
      </c>
      <c r="O954" s="23" t="b">
        <f>IFERROR(VLOOKUP(A954, Entries!A:I,8,false),"")</f>
        <v>1</v>
      </c>
    </row>
    <row r="955">
      <c r="A955" s="78" t="s">
        <v>1291</v>
      </c>
      <c r="B955" s="78" t="s">
        <v>22</v>
      </c>
      <c r="C955" s="85">
        <v>44403.0</v>
      </c>
      <c r="D955" s="85">
        <v>44403.0</v>
      </c>
      <c r="E955" s="86">
        <v>9.62</v>
      </c>
      <c r="F955" s="87">
        <v>12.29</v>
      </c>
      <c r="G955" s="88">
        <f t="shared" si="1"/>
        <v>2.67</v>
      </c>
      <c r="H955" s="89">
        <f t="shared" si="2"/>
        <v>0.2172497966</v>
      </c>
      <c r="I955" s="78" t="s">
        <v>1302</v>
      </c>
      <c r="J955" s="78" t="s">
        <v>69</v>
      </c>
      <c r="K955" s="58">
        <f t="shared" si="3"/>
        <v>0</v>
      </c>
      <c r="L955" s="91" t="str">
        <f t="shared" si="6"/>
        <v>Mon</v>
      </c>
      <c r="M955" s="78" t="str">
        <f>IFERROR(VLOOKUP(A955, Entries!A:B,2,false),"")</f>
        <v>Triternion</v>
      </c>
      <c r="N955" s="23" t="str">
        <f>IFERROR(VLOOKUP(A955, Entries!A:K,11,false),"")</f>
        <v/>
      </c>
      <c r="O955" s="23" t="b">
        <f>IFERROR(VLOOKUP(A955, Entries!A:I,8,false),"")</f>
        <v>1</v>
      </c>
    </row>
    <row r="956">
      <c r="A956" s="78" t="s">
        <v>1291</v>
      </c>
      <c r="B956" s="78" t="s">
        <v>22</v>
      </c>
      <c r="C956" s="85">
        <v>44403.0</v>
      </c>
      <c r="D956" s="85">
        <v>44404.0</v>
      </c>
      <c r="E956" s="86">
        <v>9.62</v>
      </c>
      <c r="F956" s="87">
        <v>12.29</v>
      </c>
      <c r="G956" s="88">
        <f t="shared" si="1"/>
        <v>2.67</v>
      </c>
      <c r="H956" s="89">
        <f t="shared" si="2"/>
        <v>0.2172497966</v>
      </c>
      <c r="I956" s="78" t="s">
        <v>1303</v>
      </c>
      <c r="J956" s="78" t="s">
        <v>69</v>
      </c>
      <c r="K956" s="58">
        <f t="shared" si="3"/>
        <v>1</v>
      </c>
      <c r="L956" s="91" t="str">
        <f t="shared" si="6"/>
        <v>Tue</v>
      </c>
      <c r="M956" s="78" t="str">
        <f>IFERROR(VLOOKUP(A956, Entries!A:B,2,false),"")</f>
        <v>Triternion</v>
      </c>
      <c r="N956" s="23" t="str">
        <f>IFERROR(VLOOKUP(A956, Entries!A:K,11,false),"")</f>
        <v/>
      </c>
      <c r="O956" s="23" t="b">
        <f>IFERROR(VLOOKUP(A956, Entries!A:I,8,false),"")</f>
        <v>1</v>
      </c>
    </row>
    <row r="957">
      <c r="A957" s="78" t="s">
        <v>1304</v>
      </c>
      <c r="B957" s="78" t="s">
        <v>22</v>
      </c>
      <c r="C957" s="85">
        <v>44405.0</v>
      </c>
      <c r="D957" s="85">
        <v>44459.0</v>
      </c>
      <c r="E957" s="86">
        <v>5.98</v>
      </c>
      <c r="F957" s="87">
        <v>7.88</v>
      </c>
      <c r="G957" s="88">
        <f t="shared" si="1"/>
        <v>1.9</v>
      </c>
      <c r="H957" s="89">
        <f t="shared" si="2"/>
        <v>0.2411167513</v>
      </c>
      <c r="I957" s="78" t="s">
        <v>1305</v>
      </c>
      <c r="J957" s="78" t="s">
        <v>69</v>
      </c>
      <c r="K957" s="58">
        <f t="shared" si="3"/>
        <v>54</v>
      </c>
      <c r="L957" s="91" t="str">
        <f t="shared" si="6"/>
        <v>Mon</v>
      </c>
      <c r="M957" s="78" t="str">
        <f>IFERROR(VLOOKUP(A957, Entries!A:B,2,false),"")</f>
        <v>Avalanche Studios</v>
      </c>
      <c r="N957" s="23" t="str">
        <f>IFERROR(VLOOKUP(A957, Entries!A:K,11,false),"")</f>
        <v/>
      </c>
      <c r="O957" s="23" t="b">
        <f>IFERROR(VLOOKUP(A957, Entries!A:I,8,false),"")</f>
        <v>0</v>
      </c>
    </row>
    <row r="958">
      <c r="A958" s="78" t="s">
        <v>863</v>
      </c>
      <c r="B958" s="78" t="s">
        <v>19</v>
      </c>
      <c r="C958" s="85">
        <v>44408.0</v>
      </c>
      <c r="D958" s="85">
        <v>44437.0</v>
      </c>
      <c r="E958" s="86">
        <v>1.87</v>
      </c>
      <c r="F958" s="87">
        <v>2.45</v>
      </c>
      <c r="G958" s="88">
        <f t="shared" si="1"/>
        <v>0.58</v>
      </c>
      <c r="H958" s="89">
        <f t="shared" si="2"/>
        <v>0.2367346939</v>
      </c>
      <c r="I958" s="78" t="s">
        <v>1306</v>
      </c>
      <c r="J958" s="78" t="s">
        <v>69</v>
      </c>
      <c r="K958" s="58">
        <f t="shared" si="3"/>
        <v>29</v>
      </c>
      <c r="L958" s="91" t="str">
        <f t="shared" si="6"/>
        <v>Sun</v>
      </c>
      <c r="M958" s="78" t="str">
        <f>IFERROR(VLOOKUP(A958, Entries!A:B,2,false),"")</f>
        <v>Codemasters</v>
      </c>
      <c r="N958" s="23" t="str">
        <f>IFERROR(VLOOKUP(A958, Entries!A:K,11,false),"")</f>
        <v/>
      </c>
      <c r="O958" s="23" t="b">
        <f>IFERROR(VLOOKUP(A958, Entries!A:I,8,false),"")</f>
        <v>0</v>
      </c>
    </row>
    <row r="959">
      <c r="A959" s="78" t="s">
        <v>1307</v>
      </c>
      <c r="B959" s="78" t="s">
        <v>19</v>
      </c>
      <c r="C959" s="85">
        <v>44408.0</v>
      </c>
      <c r="D959" s="85">
        <v>44446.0</v>
      </c>
      <c r="E959" s="86">
        <v>6.64</v>
      </c>
      <c r="F959" s="87">
        <v>7.63</v>
      </c>
      <c r="G959" s="88">
        <f t="shared" si="1"/>
        <v>0.99</v>
      </c>
      <c r="H959" s="89">
        <f t="shared" si="2"/>
        <v>0.129750983</v>
      </c>
      <c r="I959" s="78" t="s">
        <v>1308</v>
      </c>
      <c r="J959" s="78" t="s">
        <v>69</v>
      </c>
      <c r="K959" s="58">
        <f t="shared" si="3"/>
        <v>38</v>
      </c>
      <c r="L959" s="91" t="str">
        <f t="shared" si="6"/>
        <v>Tue</v>
      </c>
      <c r="M959" s="78" t="str">
        <f>IFERROR(VLOOKUP(A959, Entries!A:B,2,false),"")</f>
        <v>SEGA</v>
      </c>
      <c r="N959" s="23" t="str">
        <f>IFERROR(VLOOKUP(A959, Entries!A:K,11,false),"")</f>
        <v/>
      </c>
      <c r="O959" s="23" t="b">
        <f>IFERROR(VLOOKUP(A959, Entries!A:I,8,false),"")</f>
        <v>0</v>
      </c>
    </row>
    <row r="960">
      <c r="A960" s="78" t="s">
        <v>863</v>
      </c>
      <c r="B960" s="78" t="s">
        <v>19</v>
      </c>
      <c r="C960" s="85">
        <v>44408.0</v>
      </c>
      <c r="D960" s="85">
        <v>44437.0</v>
      </c>
      <c r="E960" s="86">
        <v>1.87</v>
      </c>
      <c r="F960" s="87">
        <v>2.45</v>
      </c>
      <c r="G960" s="88">
        <f t="shared" si="1"/>
        <v>0.58</v>
      </c>
      <c r="H960" s="89">
        <f t="shared" si="2"/>
        <v>0.2367346939</v>
      </c>
      <c r="I960" s="78" t="s">
        <v>1309</v>
      </c>
      <c r="J960" s="78" t="s">
        <v>69</v>
      </c>
      <c r="K960" s="58">
        <f t="shared" si="3"/>
        <v>29</v>
      </c>
      <c r="L960" s="91" t="str">
        <f t="shared" si="6"/>
        <v>Sun</v>
      </c>
      <c r="M960" s="78" t="str">
        <f>IFERROR(VLOOKUP(A960, Entries!A:B,2,false),"")</f>
        <v>Codemasters</v>
      </c>
      <c r="N960" s="23" t="str">
        <f>IFERROR(VLOOKUP(A960, Entries!A:K,11,false),"")</f>
        <v/>
      </c>
      <c r="O960" s="23" t="b">
        <f>IFERROR(VLOOKUP(A960, Entries!A:I,8,false),"")</f>
        <v>0</v>
      </c>
    </row>
    <row r="961">
      <c r="A961" s="78" t="s">
        <v>1307</v>
      </c>
      <c r="B961" s="78" t="s">
        <v>19</v>
      </c>
      <c r="C961" s="85">
        <v>44408.0</v>
      </c>
      <c r="D961" s="85">
        <v>44446.0</v>
      </c>
      <c r="E961" s="86">
        <v>6.64</v>
      </c>
      <c r="F961" s="87">
        <v>7.63</v>
      </c>
      <c r="G961" s="88">
        <f t="shared" si="1"/>
        <v>0.99</v>
      </c>
      <c r="H961" s="89">
        <f t="shared" si="2"/>
        <v>0.129750983</v>
      </c>
      <c r="I961" s="78" t="s">
        <v>1310</v>
      </c>
      <c r="J961" s="78" t="s">
        <v>69</v>
      </c>
      <c r="K961" s="58">
        <f t="shared" si="3"/>
        <v>38</v>
      </c>
      <c r="L961" s="91" t="str">
        <f t="shared" si="6"/>
        <v>Tue</v>
      </c>
      <c r="M961" s="78" t="str">
        <f>IFERROR(VLOOKUP(A961, Entries!A:B,2,false),"")</f>
        <v>SEGA</v>
      </c>
      <c r="N961" s="23" t="str">
        <f>IFERROR(VLOOKUP(A961, Entries!A:K,11,false),"")</f>
        <v/>
      </c>
      <c r="O961" s="23" t="b">
        <f>IFERROR(VLOOKUP(A961, Entries!A:I,8,false),"")</f>
        <v>0</v>
      </c>
    </row>
    <row r="962">
      <c r="A962" s="78" t="s">
        <v>1139</v>
      </c>
      <c r="B962" s="78" t="s">
        <v>23</v>
      </c>
      <c r="C962" s="85">
        <v>44429.0</v>
      </c>
      <c r="D962" s="85">
        <v>44430.0</v>
      </c>
      <c r="E962" s="86">
        <v>3.56</v>
      </c>
      <c r="F962" s="87">
        <v>4.82</v>
      </c>
      <c r="G962" s="88">
        <f t="shared" si="1"/>
        <v>1.26</v>
      </c>
      <c r="H962" s="89">
        <f t="shared" si="2"/>
        <v>0.2614107884</v>
      </c>
      <c r="I962" s="78" t="s">
        <v>1311</v>
      </c>
      <c r="J962" s="78" t="s">
        <v>69</v>
      </c>
      <c r="K962" s="58">
        <f t="shared" si="3"/>
        <v>1</v>
      </c>
      <c r="L962" s="91" t="str">
        <f t="shared" si="6"/>
        <v>Sun</v>
      </c>
      <c r="M962" s="78" t="str">
        <f>IFERROR(VLOOKUP(A962, Entries!A:B,2,false),"")</f>
        <v>Team17 Digital</v>
      </c>
      <c r="N962" s="23" t="str">
        <f>IFERROR(VLOOKUP(A962, Entries!A:K,11,false),"")</f>
        <v/>
      </c>
      <c r="O962" s="23" t="b">
        <f>IFERROR(VLOOKUP(A962, Entries!A:I,8,false),"")</f>
        <v>0</v>
      </c>
    </row>
    <row r="963">
      <c r="A963" s="78" t="s">
        <v>1139</v>
      </c>
      <c r="B963" s="78" t="s">
        <v>23</v>
      </c>
      <c r="C963" s="85">
        <v>44429.0</v>
      </c>
      <c r="D963" s="85">
        <v>44432.0</v>
      </c>
      <c r="E963" s="86">
        <v>3.56</v>
      </c>
      <c r="F963" s="87">
        <v>5.75</v>
      </c>
      <c r="G963" s="88">
        <f t="shared" si="1"/>
        <v>2.19</v>
      </c>
      <c r="H963" s="89">
        <f t="shared" si="2"/>
        <v>0.3808695652</v>
      </c>
      <c r="I963" s="78" t="s">
        <v>1312</v>
      </c>
      <c r="J963" s="78" t="s">
        <v>69</v>
      </c>
      <c r="K963" s="58">
        <f t="shared" si="3"/>
        <v>3</v>
      </c>
      <c r="L963" s="91" t="str">
        <f t="shared" si="6"/>
        <v>Tue</v>
      </c>
      <c r="M963" s="78" t="str">
        <f>IFERROR(VLOOKUP(A963, Entries!A:B,2,false),"")</f>
        <v>Team17 Digital</v>
      </c>
      <c r="N963" s="23" t="str">
        <f>IFERROR(VLOOKUP(A963, Entries!A:K,11,false),"")</f>
        <v/>
      </c>
      <c r="O963" s="23" t="b">
        <f>IFERROR(VLOOKUP(A963, Entries!A:I,8,false),"")</f>
        <v>0</v>
      </c>
    </row>
    <row r="964">
      <c r="A964" s="78" t="s">
        <v>1139</v>
      </c>
      <c r="B964" s="78" t="s">
        <v>23</v>
      </c>
      <c r="C964" s="85">
        <v>44430.0</v>
      </c>
      <c r="D964" s="85">
        <v>44432.0</v>
      </c>
      <c r="E964" s="86">
        <v>3.56</v>
      </c>
      <c r="F964" s="87">
        <v>5.76</v>
      </c>
      <c r="G964" s="88">
        <f t="shared" si="1"/>
        <v>2.2</v>
      </c>
      <c r="H964" s="89">
        <f t="shared" si="2"/>
        <v>0.3819444444</v>
      </c>
      <c r="I964" s="78" t="s">
        <v>1313</v>
      </c>
      <c r="J964" s="78" t="s">
        <v>69</v>
      </c>
      <c r="K964" s="58">
        <f t="shared" si="3"/>
        <v>2</v>
      </c>
      <c r="L964" s="91" t="str">
        <f t="shared" si="6"/>
        <v>Tue</v>
      </c>
      <c r="M964" s="78" t="str">
        <f>IFERROR(VLOOKUP(A964, Entries!A:B,2,false),"")</f>
        <v>Team17 Digital</v>
      </c>
      <c r="N964" s="23" t="str">
        <f>IFERROR(VLOOKUP(A964, Entries!A:K,11,false),"")</f>
        <v/>
      </c>
      <c r="O964" s="23" t="b">
        <f>IFERROR(VLOOKUP(A964, Entries!A:I,8,false),"")</f>
        <v>0</v>
      </c>
    </row>
    <row r="965">
      <c r="A965" s="78" t="s">
        <v>1031</v>
      </c>
      <c r="B965" s="78" t="s">
        <v>23</v>
      </c>
      <c r="C965" s="85">
        <v>44430.0</v>
      </c>
      <c r="D965" s="85">
        <v>44433.0</v>
      </c>
      <c r="E965" s="86">
        <v>11.6</v>
      </c>
      <c r="F965" s="87">
        <v>20.83</v>
      </c>
      <c r="G965" s="88">
        <f t="shared" si="1"/>
        <v>9.23</v>
      </c>
      <c r="H965" s="89">
        <f t="shared" si="2"/>
        <v>0.4431108977</v>
      </c>
      <c r="I965" s="78" t="s">
        <v>1314</v>
      </c>
      <c r="J965" s="78" t="s">
        <v>69</v>
      </c>
      <c r="K965" s="58">
        <f t="shared" si="3"/>
        <v>3</v>
      </c>
      <c r="L965" s="91" t="str">
        <f t="shared" si="6"/>
        <v>Wed</v>
      </c>
      <c r="M965" s="78" t="str">
        <f>IFERROR(VLOOKUP(A965, Entries!A:B,2,false),"")</f>
        <v>505 Games</v>
      </c>
      <c r="N965" s="23" t="str">
        <f>IFERROR(VLOOKUP(A965, Entries!A:K,11,false),"")</f>
        <v/>
      </c>
      <c r="O965" s="23" t="b">
        <f>IFERROR(VLOOKUP(A965, Entries!A:I,8,false),"")</f>
        <v>1</v>
      </c>
    </row>
    <row r="966">
      <c r="A966" s="78" t="s">
        <v>1031</v>
      </c>
      <c r="B966" s="78" t="s">
        <v>23</v>
      </c>
      <c r="C966" s="85">
        <v>44430.0</v>
      </c>
      <c r="D966" s="85">
        <v>44434.0</v>
      </c>
      <c r="E966" s="86">
        <v>11.6</v>
      </c>
      <c r="F966" s="87">
        <v>18.8</v>
      </c>
      <c r="G966" s="88">
        <f t="shared" si="1"/>
        <v>7.2</v>
      </c>
      <c r="H966" s="89">
        <f t="shared" si="2"/>
        <v>0.3829787234</v>
      </c>
      <c r="I966" s="78" t="s">
        <v>1315</v>
      </c>
      <c r="J966" s="78" t="s">
        <v>69</v>
      </c>
      <c r="K966" s="58">
        <f t="shared" si="3"/>
        <v>4</v>
      </c>
      <c r="L966" s="91" t="str">
        <f t="shared" si="6"/>
        <v>Thu</v>
      </c>
      <c r="M966" s="78" t="str">
        <f>IFERROR(VLOOKUP(A966, Entries!A:B,2,false),"")</f>
        <v>505 Games</v>
      </c>
      <c r="N966" s="23" t="str">
        <f>IFERROR(VLOOKUP(A966, Entries!A:K,11,false),"")</f>
        <v/>
      </c>
      <c r="O966" s="23" t="b">
        <f>IFERROR(VLOOKUP(A966, Entries!A:I,8,false),"")</f>
        <v>1</v>
      </c>
    </row>
    <row r="967">
      <c r="A967" s="78" t="s">
        <v>1316</v>
      </c>
      <c r="B967" s="78" t="s">
        <v>21</v>
      </c>
      <c r="C967" s="85">
        <v>44435.0</v>
      </c>
      <c r="D967" s="85">
        <v>44437.0</v>
      </c>
      <c r="E967" s="86">
        <v>8.37</v>
      </c>
      <c r="F967" s="87">
        <v>10.73</v>
      </c>
      <c r="G967" s="88">
        <f t="shared" si="1"/>
        <v>2.36</v>
      </c>
      <c r="H967" s="89">
        <f t="shared" si="2"/>
        <v>0.219944082</v>
      </c>
      <c r="I967" s="78" t="s">
        <v>1317</v>
      </c>
      <c r="J967" s="78" t="s">
        <v>69</v>
      </c>
      <c r="K967" s="58">
        <f t="shared" si="3"/>
        <v>2</v>
      </c>
      <c r="L967" s="91" t="str">
        <f t="shared" si="6"/>
        <v>Sun</v>
      </c>
      <c r="M967" s="78" t="str">
        <f>IFERROR(VLOOKUP(A967, Entries!A:B,2,false),"")</f>
        <v>Schell Games</v>
      </c>
      <c r="N967" s="23" t="str">
        <f>IFERROR(VLOOKUP(A967, Entries!A:K,11,false),"")</f>
        <v/>
      </c>
      <c r="O967" s="23" t="b">
        <f>IFERROR(VLOOKUP(A967, Entries!A:I,8,false),"")</f>
        <v>1</v>
      </c>
    </row>
    <row r="968">
      <c r="A968" s="78" t="s">
        <v>1316</v>
      </c>
      <c r="B968" s="78" t="s">
        <v>21</v>
      </c>
      <c r="C968" s="85">
        <v>44435.0</v>
      </c>
      <c r="D968" s="85">
        <v>44439.0</v>
      </c>
      <c r="E968" s="86">
        <v>8.38</v>
      </c>
      <c r="F968" s="87">
        <v>11.48</v>
      </c>
      <c r="G968" s="88">
        <f t="shared" si="1"/>
        <v>3.1</v>
      </c>
      <c r="H968" s="89">
        <f t="shared" si="2"/>
        <v>0.2700348432</v>
      </c>
      <c r="I968" s="78" t="s">
        <v>1318</v>
      </c>
      <c r="J968" s="78" t="s">
        <v>69</v>
      </c>
      <c r="K968" s="58">
        <f t="shared" si="3"/>
        <v>4</v>
      </c>
      <c r="L968" s="91" t="str">
        <f t="shared" si="6"/>
        <v>Tue</v>
      </c>
      <c r="M968" s="78" t="str">
        <f>IFERROR(VLOOKUP(A968, Entries!A:B,2,false),"")</f>
        <v>Schell Games</v>
      </c>
      <c r="N968" s="23" t="str">
        <f>IFERROR(VLOOKUP(A968, Entries!A:K,11,false),"")</f>
        <v/>
      </c>
      <c r="O968" s="23" t="b">
        <f>IFERROR(VLOOKUP(A968, Entries!A:I,8,false),"")</f>
        <v>1</v>
      </c>
    </row>
    <row r="969">
      <c r="A969" s="78" t="s">
        <v>1319</v>
      </c>
      <c r="B969" s="78" t="s">
        <v>21</v>
      </c>
      <c r="C969" s="85">
        <v>44435.0</v>
      </c>
      <c r="D969" s="85">
        <v>44463.0</v>
      </c>
      <c r="E969" s="86">
        <v>5.77</v>
      </c>
      <c r="F969" s="87">
        <v>10.72</v>
      </c>
      <c r="G969" s="88">
        <f t="shared" si="1"/>
        <v>4.95</v>
      </c>
      <c r="H969" s="89">
        <f t="shared" si="2"/>
        <v>0.4617537313</v>
      </c>
      <c r="I969" s="78" t="s">
        <v>1320</v>
      </c>
      <c r="J969" s="78" t="s">
        <v>69</v>
      </c>
      <c r="K969" s="58">
        <f t="shared" si="3"/>
        <v>28</v>
      </c>
      <c r="L969" s="91" t="str">
        <f t="shared" si="6"/>
        <v>Fri</v>
      </c>
      <c r="M969" s="78" t="str">
        <f>IFERROR(VLOOKUP(A969, Entries!A:B,2,false),"")</f>
        <v>Assemble Entertainment</v>
      </c>
      <c r="N969" s="23" t="str">
        <f>IFERROR(VLOOKUP(A969, Entries!A:K,11,false),"")</f>
        <v/>
      </c>
      <c r="O969" s="23" t="b">
        <f>IFERROR(VLOOKUP(A969, Entries!A:I,8,false),"")</f>
        <v>1</v>
      </c>
    </row>
    <row r="970">
      <c r="A970" s="78" t="s">
        <v>1319</v>
      </c>
      <c r="B970" s="78" t="s">
        <v>21</v>
      </c>
      <c r="C970" s="85">
        <v>44435.0</v>
      </c>
      <c r="D970" s="85">
        <v>44478.0</v>
      </c>
      <c r="E970" s="86">
        <v>5.77</v>
      </c>
      <c r="F970" s="87">
        <v>10.13</v>
      </c>
      <c r="G970" s="88">
        <f t="shared" si="1"/>
        <v>4.36</v>
      </c>
      <c r="H970" s="89">
        <f t="shared" si="2"/>
        <v>0.4304047384</v>
      </c>
      <c r="I970" s="78" t="s">
        <v>1321</v>
      </c>
      <c r="J970" s="78" t="s">
        <v>69</v>
      </c>
      <c r="K970" s="58">
        <f t="shared" si="3"/>
        <v>43</v>
      </c>
      <c r="L970" s="91" t="str">
        <f t="shared" si="6"/>
        <v>Sat</v>
      </c>
      <c r="M970" s="78" t="str">
        <f>IFERROR(VLOOKUP(A970, Entries!A:B,2,false),"")</f>
        <v>Assemble Entertainment</v>
      </c>
      <c r="N970" s="23" t="str">
        <f>IFERROR(VLOOKUP(A970, Entries!A:K,11,false),"")</f>
        <v/>
      </c>
      <c r="O970" s="23" t="b">
        <f>IFERROR(VLOOKUP(A970, Entries!A:I,8,false),"")</f>
        <v>1</v>
      </c>
    </row>
    <row r="971">
      <c r="A971" s="78" t="s">
        <v>1319</v>
      </c>
      <c r="B971" s="78" t="s">
        <v>21</v>
      </c>
      <c r="C971" s="85">
        <v>44435.0</v>
      </c>
      <c r="D971" s="85">
        <v>44491.0</v>
      </c>
      <c r="E971" s="86">
        <v>5.78</v>
      </c>
      <c r="F971" s="87">
        <v>10.99</v>
      </c>
      <c r="G971" s="88">
        <f t="shared" si="1"/>
        <v>5.21</v>
      </c>
      <c r="H971" s="89">
        <f t="shared" si="2"/>
        <v>0.4740673339</v>
      </c>
      <c r="I971" s="78" t="s">
        <v>1322</v>
      </c>
      <c r="J971" s="78" t="s">
        <v>69</v>
      </c>
      <c r="K971" s="58">
        <f t="shared" si="3"/>
        <v>56</v>
      </c>
      <c r="L971" s="91" t="str">
        <f t="shared" si="6"/>
        <v>Fri</v>
      </c>
      <c r="M971" s="78" t="str">
        <f>IFERROR(VLOOKUP(A971, Entries!A:B,2,false),"")</f>
        <v>Assemble Entertainment</v>
      </c>
      <c r="N971" s="23" t="str">
        <f>IFERROR(VLOOKUP(A971, Entries!A:K,11,false),"")</f>
        <v/>
      </c>
      <c r="O971" s="23" t="b">
        <f>IFERROR(VLOOKUP(A971, Entries!A:I,8,false),"")</f>
        <v>1</v>
      </c>
    </row>
    <row r="972">
      <c r="A972" s="78" t="s">
        <v>1316</v>
      </c>
      <c r="B972" s="78" t="s">
        <v>21</v>
      </c>
      <c r="C972" s="85">
        <v>44438.0</v>
      </c>
      <c r="D972" s="85">
        <v>44440.0</v>
      </c>
      <c r="E972" s="86">
        <v>8.04</v>
      </c>
      <c r="F972" s="87">
        <v>11.48</v>
      </c>
      <c r="G972" s="88">
        <f t="shared" si="1"/>
        <v>3.44</v>
      </c>
      <c r="H972" s="89">
        <f t="shared" si="2"/>
        <v>0.2996515679</v>
      </c>
      <c r="I972" s="78" t="s">
        <v>1323</v>
      </c>
      <c r="J972" s="78" t="s">
        <v>69</v>
      </c>
      <c r="K972" s="58">
        <f t="shared" si="3"/>
        <v>2</v>
      </c>
      <c r="L972" s="91" t="str">
        <f t="shared" si="6"/>
        <v>Wed</v>
      </c>
      <c r="M972" s="78" t="str">
        <f>IFERROR(VLOOKUP(A972, Entries!A:B,2,false),"")</f>
        <v>Schell Games</v>
      </c>
      <c r="N972" s="23" t="str">
        <f>IFERROR(VLOOKUP(A972, Entries!A:K,11,false),"")</f>
        <v/>
      </c>
      <c r="O972" s="23" t="b">
        <f>IFERROR(VLOOKUP(A972, Entries!A:I,8,false),"")</f>
        <v>1</v>
      </c>
    </row>
    <row r="973">
      <c r="A973" s="78" t="s">
        <v>1316</v>
      </c>
      <c r="B973" s="78" t="s">
        <v>21</v>
      </c>
      <c r="C973" s="85">
        <v>44438.0</v>
      </c>
      <c r="D973" s="85">
        <v>44440.0</v>
      </c>
      <c r="E973" s="86">
        <v>8.04</v>
      </c>
      <c r="F973" s="87">
        <v>11.51</v>
      </c>
      <c r="G973" s="88">
        <f t="shared" si="1"/>
        <v>3.47</v>
      </c>
      <c r="H973" s="89">
        <f t="shared" si="2"/>
        <v>0.3014769765</v>
      </c>
      <c r="I973" s="78" t="s">
        <v>1324</v>
      </c>
      <c r="J973" s="78" t="s">
        <v>69</v>
      </c>
      <c r="K973" s="58">
        <f t="shared" si="3"/>
        <v>2</v>
      </c>
      <c r="L973" s="91" t="str">
        <f t="shared" si="6"/>
        <v>Wed</v>
      </c>
      <c r="M973" s="78" t="str">
        <f>IFERROR(VLOOKUP(A973, Entries!A:B,2,false),"")</f>
        <v>Schell Games</v>
      </c>
      <c r="N973" s="23" t="str">
        <f>IFERROR(VLOOKUP(A973, Entries!A:K,11,false),"")</f>
        <v/>
      </c>
      <c r="O973" s="23" t="b">
        <f>IFERROR(VLOOKUP(A973, Entries!A:I,8,false),"")</f>
        <v>1</v>
      </c>
    </row>
    <row r="974">
      <c r="A974" s="78" t="s">
        <v>1316</v>
      </c>
      <c r="B974" s="78" t="s">
        <v>21</v>
      </c>
      <c r="C974" s="85">
        <v>44438.0</v>
      </c>
      <c r="D974" s="85">
        <v>44444.0</v>
      </c>
      <c r="E974" s="86">
        <v>8.04</v>
      </c>
      <c r="F974" s="87">
        <v>10.47</v>
      </c>
      <c r="G974" s="88">
        <f t="shared" si="1"/>
        <v>2.43</v>
      </c>
      <c r="H974" s="89">
        <f t="shared" si="2"/>
        <v>0.2320916905</v>
      </c>
      <c r="I974" s="78" t="s">
        <v>1325</v>
      </c>
      <c r="J974" s="78" t="s">
        <v>69</v>
      </c>
      <c r="K974" s="58">
        <f t="shared" si="3"/>
        <v>6</v>
      </c>
      <c r="L974" s="91" t="str">
        <f t="shared" si="6"/>
        <v>Sun</v>
      </c>
      <c r="M974" s="78" t="str">
        <f>IFERROR(VLOOKUP(A974, Entries!A:B,2,false),"")</f>
        <v>Schell Games</v>
      </c>
      <c r="N974" s="23" t="str">
        <f>IFERROR(VLOOKUP(A974, Entries!A:K,11,false),"")</f>
        <v/>
      </c>
      <c r="O974" s="23" t="b">
        <f>IFERROR(VLOOKUP(A974, Entries!A:I,8,false),"")</f>
        <v>1</v>
      </c>
    </row>
    <row r="975">
      <c r="A975" s="78" t="s">
        <v>1326</v>
      </c>
      <c r="B975" s="78" t="s">
        <v>25</v>
      </c>
      <c r="C975" s="85">
        <v>44441.0</v>
      </c>
      <c r="D975" s="85">
        <v>44442.0</v>
      </c>
      <c r="E975" s="86">
        <v>3.72</v>
      </c>
      <c r="F975" s="87">
        <v>4.27</v>
      </c>
      <c r="G975" s="88">
        <f t="shared" si="1"/>
        <v>0.55</v>
      </c>
      <c r="H975" s="89">
        <f t="shared" si="2"/>
        <v>0.1288056206</v>
      </c>
      <c r="I975" s="78" t="s">
        <v>1327</v>
      </c>
      <c r="J975" s="78" t="s">
        <v>69</v>
      </c>
      <c r="K975" s="58">
        <f t="shared" si="3"/>
        <v>1</v>
      </c>
      <c r="L975" s="91" t="str">
        <f t="shared" si="6"/>
        <v>Fri</v>
      </c>
      <c r="M975" s="78" t="str">
        <f>IFERROR(VLOOKUP(A975, Entries!A:B,2,false),"")</f>
        <v>Devolver Digital</v>
      </c>
      <c r="N975" s="23" t="str">
        <f>IFERROR(VLOOKUP(A975, Entries!A:K,11,false),"")</f>
        <v/>
      </c>
      <c r="O975" s="23" t="b">
        <f>IFERROR(VLOOKUP(A975, Entries!A:I,8,false),"")</f>
        <v>0</v>
      </c>
    </row>
    <row r="976">
      <c r="A976" s="78" t="s">
        <v>1031</v>
      </c>
      <c r="B976" s="78" t="s">
        <v>23</v>
      </c>
      <c r="C976" s="85">
        <v>44441.0</v>
      </c>
      <c r="D976" s="85">
        <v>45213.0</v>
      </c>
      <c r="E976" s="86">
        <v>9.71</v>
      </c>
      <c r="F976" s="87">
        <v>5.58</v>
      </c>
      <c r="G976" s="88">
        <f t="shared" si="1"/>
        <v>-4.13</v>
      </c>
      <c r="H976" s="89">
        <f t="shared" si="2"/>
        <v>-0.7401433692</v>
      </c>
      <c r="I976" s="78" t="s">
        <v>1328</v>
      </c>
      <c r="J976" s="78" t="s">
        <v>69</v>
      </c>
      <c r="K976" s="58">
        <f t="shared" si="3"/>
        <v>772</v>
      </c>
      <c r="L976" s="91" t="str">
        <f t="shared" si="6"/>
        <v>Sat</v>
      </c>
      <c r="M976" s="78" t="str">
        <f>IFERROR(VLOOKUP(A976, Entries!A:B,2,false),"")</f>
        <v>505 Games</v>
      </c>
      <c r="N976" s="23" t="str">
        <f>IFERROR(VLOOKUP(A976, Entries!A:K,11,false),"")</f>
        <v/>
      </c>
      <c r="O976" s="23" t="b">
        <f>IFERROR(VLOOKUP(A976, Entries!A:I,8,false),"")</f>
        <v>1</v>
      </c>
    </row>
    <row r="977">
      <c r="A977" s="78" t="s">
        <v>1031</v>
      </c>
      <c r="B977" s="78" t="s">
        <v>23</v>
      </c>
      <c r="C977" s="85">
        <v>44441.0</v>
      </c>
      <c r="D977" s="85">
        <v>45213.0</v>
      </c>
      <c r="E977" s="86">
        <v>9.71</v>
      </c>
      <c r="F977" s="87">
        <v>5.58</v>
      </c>
      <c r="G977" s="88">
        <f t="shared" si="1"/>
        <v>-4.13</v>
      </c>
      <c r="H977" s="89">
        <f t="shared" si="2"/>
        <v>-0.7401433692</v>
      </c>
      <c r="I977" s="78" t="s">
        <v>1329</v>
      </c>
      <c r="J977" s="78" t="s">
        <v>69</v>
      </c>
      <c r="K977" s="58">
        <f t="shared" si="3"/>
        <v>772</v>
      </c>
      <c r="L977" s="91" t="str">
        <f t="shared" si="6"/>
        <v>Sat</v>
      </c>
      <c r="M977" s="78" t="str">
        <f>IFERROR(VLOOKUP(A977, Entries!A:B,2,false),"")</f>
        <v>505 Games</v>
      </c>
      <c r="N977" s="23" t="str">
        <f>IFERROR(VLOOKUP(A977, Entries!A:K,11,false),"")</f>
        <v/>
      </c>
      <c r="O977" s="23" t="b">
        <f>IFERROR(VLOOKUP(A977, Entries!A:I,8,false),"")</f>
        <v>1</v>
      </c>
    </row>
    <row r="978">
      <c r="A978" s="99" t="s">
        <v>1330</v>
      </c>
      <c r="B978" s="78" t="s">
        <v>22</v>
      </c>
      <c r="C978" s="85">
        <v>44446.0</v>
      </c>
      <c r="D978" s="85">
        <v>44455.0</v>
      </c>
      <c r="E978" s="86">
        <v>8.69</v>
      </c>
      <c r="F978" s="87">
        <v>10.52</v>
      </c>
      <c r="G978" s="88">
        <f t="shared" si="1"/>
        <v>1.83</v>
      </c>
      <c r="H978" s="89">
        <f t="shared" si="2"/>
        <v>0.1739543726</v>
      </c>
      <c r="I978" s="99" t="s">
        <v>1331</v>
      </c>
      <c r="J978" s="78" t="s">
        <v>69</v>
      </c>
      <c r="K978" s="58">
        <f t="shared" si="3"/>
        <v>9</v>
      </c>
      <c r="L978" s="91" t="str">
        <f t="shared" si="6"/>
        <v>Thu</v>
      </c>
      <c r="M978" s="78" t="str">
        <f>IFERROR(VLOOKUP(A978, Entries!A:B,2,false),"")</f>
        <v>505 Games</v>
      </c>
      <c r="N978" s="23" t="str">
        <f>IFERROR(VLOOKUP(A978, Entries!A:K,11,false),"")</f>
        <v/>
      </c>
      <c r="O978" s="23" t="b">
        <f>IFERROR(VLOOKUP(A978, Entries!A:I,8,false),"")</f>
        <v>0</v>
      </c>
    </row>
    <row r="979">
      <c r="A979" s="99" t="s">
        <v>1330</v>
      </c>
      <c r="B979" s="78" t="s">
        <v>22</v>
      </c>
      <c r="C979" s="85">
        <v>44446.0</v>
      </c>
      <c r="D979" s="85">
        <v>44615.0</v>
      </c>
      <c r="E979" s="86">
        <v>8.69</v>
      </c>
      <c r="F979" s="87">
        <v>8.83</v>
      </c>
      <c r="G979" s="88">
        <f t="shared" si="1"/>
        <v>0.14</v>
      </c>
      <c r="H979" s="89">
        <f t="shared" si="2"/>
        <v>0.01585503964</v>
      </c>
      <c r="I979" s="99" t="s">
        <v>1332</v>
      </c>
      <c r="J979" s="78" t="s">
        <v>69</v>
      </c>
      <c r="K979" s="58">
        <f t="shared" si="3"/>
        <v>169</v>
      </c>
      <c r="L979" s="91" t="str">
        <f t="shared" si="6"/>
        <v>Wed</v>
      </c>
      <c r="M979" s="78" t="str">
        <f>IFERROR(VLOOKUP(A979, Entries!A:B,2,false),"")</f>
        <v>505 Games</v>
      </c>
      <c r="N979" s="23" t="str">
        <f>IFERROR(VLOOKUP(A979, Entries!A:K,11,false),"")</f>
        <v/>
      </c>
      <c r="O979" s="23" t="b">
        <f>IFERROR(VLOOKUP(A979, Entries!A:I,8,false),"")</f>
        <v>0</v>
      </c>
    </row>
    <row r="980">
      <c r="A980" s="78" t="s">
        <v>1333</v>
      </c>
      <c r="B980" s="78" t="s">
        <v>22</v>
      </c>
      <c r="C980" s="85">
        <v>44442.0</v>
      </c>
      <c r="D980" s="85">
        <v>44476.0</v>
      </c>
      <c r="E980" s="86">
        <v>17.32</v>
      </c>
      <c r="F980" s="87">
        <v>18.34</v>
      </c>
      <c r="G980" s="88">
        <f t="shared" si="1"/>
        <v>1.02</v>
      </c>
      <c r="H980" s="89">
        <f t="shared" si="2"/>
        <v>0.05561613959</v>
      </c>
      <c r="I980" s="78" t="s">
        <v>1334</v>
      </c>
      <c r="J980" s="78" t="s">
        <v>69</v>
      </c>
      <c r="K980" s="58">
        <f t="shared" si="3"/>
        <v>34</v>
      </c>
      <c r="L980" s="91" t="str">
        <f t="shared" si="6"/>
        <v>Thu</v>
      </c>
      <c r="M980" s="78" t="str">
        <f>IFERROR(VLOOKUP(A980, Entries!A:B,2,false),"")</f>
        <v>505 Games</v>
      </c>
      <c r="N980" s="23" t="str">
        <f>IFERROR(VLOOKUP(A980, Entries!A:K,11,false),"")</f>
        <v/>
      </c>
      <c r="O980" s="23" t="b">
        <f>IFERROR(VLOOKUP(A980, Entries!A:I,8,false),"")</f>
        <v>0</v>
      </c>
    </row>
    <row r="981">
      <c r="A981" s="78" t="s">
        <v>1333</v>
      </c>
      <c r="B981" s="78" t="s">
        <v>22</v>
      </c>
      <c r="C981" s="85">
        <v>44442.0</v>
      </c>
      <c r="D981" s="85">
        <v>44480.0</v>
      </c>
      <c r="E981" s="86">
        <v>17.32</v>
      </c>
      <c r="F981" s="87">
        <v>18.34</v>
      </c>
      <c r="G981" s="88">
        <f t="shared" si="1"/>
        <v>1.02</v>
      </c>
      <c r="H981" s="89">
        <f t="shared" si="2"/>
        <v>0.05561613959</v>
      </c>
      <c r="I981" s="78" t="s">
        <v>1335</v>
      </c>
      <c r="J981" s="78" t="s">
        <v>69</v>
      </c>
      <c r="K981" s="58">
        <f t="shared" si="3"/>
        <v>38</v>
      </c>
      <c r="L981" s="91" t="str">
        <f t="shared" si="6"/>
        <v>Mon</v>
      </c>
      <c r="M981" s="78" t="str">
        <f>IFERROR(VLOOKUP(A981, Entries!A:B,2,false),"")</f>
        <v>505 Games</v>
      </c>
      <c r="N981" s="23" t="str">
        <f>IFERROR(VLOOKUP(A981, Entries!A:K,11,false),"")</f>
        <v/>
      </c>
      <c r="O981" s="23" t="b">
        <f>IFERROR(VLOOKUP(A981, Entries!A:I,8,false),"")</f>
        <v>0</v>
      </c>
    </row>
    <row r="982">
      <c r="A982" s="78" t="s">
        <v>1336</v>
      </c>
      <c r="B982" s="78" t="s">
        <v>21</v>
      </c>
      <c r="C982" s="85">
        <v>44443.0</v>
      </c>
      <c r="D982" s="85">
        <v>44474.0</v>
      </c>
      <c r="E982" s="86">
        <v>20.24</v>
      </c>
      <c r="F982" s="87">
        <v>20.58</v>
      </c>
      <c r="G982" s="88">
        <f t="shared" si="1"/>
        <v>0.34</v>
      </c>
      <c r="H982" s="89">
        <f t="shared" si="2"/>
        <v>0.01652089407</v>
      </c>
      <c r="I982" s="78" t="s">
        <v>1337</v>
      </c>
      <c r="J982" s="78" t="s">
        <v>69</v>
      </c>
      <c r="K982" s="58">
        <f t="shared" si="3"/>
        <v>31</v>
      </c>
      <c r="L982" s="91" t="str">
        <f t="shared" si="6"/>
        <v>Tue</v>
      </c>
      <c r="M982" s="78" t="str">
        <f>IFERROR(VLOOKUP(A982, Entries!A:B,2,false),"")</f>
        <v>Team17 Digital</v>
      </c>
      <c r="N982" s="23" t="str">
        <f>IFERROR(VLOOKUP(A982, Entries!A:K,11,false),"")</f>
        <v/>
      </c>
      <c r="O982" s="23" t="b">
        <f>IFERROR(VLOOKUP(A982, Entries!A:I,8,false),"")</f>
        <v>0</v>
      </c>
    </row>
    <row r="983">
      <c r="A983" s="78" t="s">
        <v>1338</v>
      </c>
      <c r="B983" s="78" t="s">
        <v>21</v>
      </c>
      <c r="C983" s="85">
        <v>44443.0</v>
      </c>
      <c r="D983" s="85">
        <v>44444.0</v>
      </c>
      <c r="E983" s="86">
        <v>4.07</v>
      </c>
      <c r="F983" s="87">
        <v>5.51</v>
      </c>
      <c r="G983" s="88">
        <f t="shared" si="1"/>
        <v>1.44</v>
      </c>
      <c r="H983" s="89">
        <f t="shared" si="2"/>
        <v>0.2613430127</v>
      </c>
      <c r="I983" s="78" t="s">
        <v>1339</v>
      </c>
      <c r="J983" s="78" t="s">
        <v>69</v>
      </c>
      <c r="K983" s="58">
        <f t="shared" si="3"/>
        <v>1</v>
      </c>
      <c r="L983" s="91" t="str">
        <f t="shared" si="6"/>
        <v>Sun</v>
      </c>
      <c r="M983" s="78" t="str">
        <f>IFERROR(VLOOKUP(A983, Entries!A:B,2,false),"")</f>
        <v>SEGA</v>
      </c>
      <c r="N983" s="23" t="str">
        <f>IFERROR(VLOOKUP(A983, Entries!A:K,11,false),"")</f>
        <v/>
      </c>
      <c r="O983" s="23" t="b">
        <f>IFERROR(VLOOKUP(A983, Entries!A:I,8,false),"")</f>
        <v>0</v>
      </c>
    </row>
    <row r="984">
      <c r="A984" s="78" t="s">
        <v>1338</v>
      </c>
      <c r="B984" s="78" t="s">
        <v>21</v>
      </c>
      <c r="C984" s="85">
        <v>44443.0</v>
      </c>
      <c r="D984" s="85">
        <v>44446.0</v>
      </c>
      <c r="E984" s="86">
        <v>4.07</v>
      </c>
      <c r="F984" s="87">
        <v>5.59</v>
      </c>
      <c r="G984" s="88">
        <f t="shared" si="1"/>
        <v>1.52</v>
      </c>
      <c r="H984" s="89">
        <f t="shared" si="2"/>
        <v>0.2719141324</v>
      </c>
      <c r="I984" s="78" t="s">
        <v>1340</v>
      </c>
      <c r="J984" s="78" t="s">
        <v>69</v>
      </c>
      <c r="K984" s="58">
        <f t="shared" si="3"/>
        <v>3</v>
      </c>
      <c r="L984" s="91" t="str">
        <f t="shared" si="6"/>
        <v>Tue</v>
      </c>
      <c r="M984" s="78" t="str">
        <f>IFERROR(VLOOKUP(A984, Entries!A:B,2,false),"")</f>
        <v>SEGA</v>
      </c>
      <c r="N984" s="23" t="str">
        <f>IFERROR(VLOOKUP(A984, Entries!A:K,11,false),"")</f>
        <v/>
      </c>
      <c r="O984" s="23" t="b">
        <f>IFERROR(VLOOKUP(A984, Entries!A:I,8,false),"")</f>
        <v>0</v>
      </c>
    </row>
    <row r="985">
      <c r="A985" s="78" t="s">
        <v>1341</v>
      </c>
      <c r="B985" s="78" t="s">
        <v>19</v>
      </c>
      <c r="C985" s="85">
        <v>44444.0</v>
      </c>
      <c r="D985" s="85">
        <v>44445.0</v>
      </c>
      <c r="E985" s="86">
        <v>7.45</v>
      </c>
      <c r="F985" s="87">
        <v>11.77</v>
      </c>
      <c r="G985" s="88">
        <f t="shared" si="1"/>
        <v>4.32</v>
      </c>
      <c r="H985" s="89">
        <f t="shared" si="2"/>
        <v>0.3670348343</v>
      </c>
      <c r="I985" s="78" t="s">
        <v>1342</v>
      </c>
      <c r="J985" s="78" t="s">
        <v>69</v>
      </c>
      <c r="K985" s="58">
        <f t="shared" si="3"/>
        <v>1</v>
      </c>
      <c r="L985" s="91" t="str">
        <f t="shared" si="6"/>
        <v>Mon</v>
      </c>
      <c r="M985" s="78" t="str">
        <f>IFERROR(VLOOKUP(A985, Entries!A:B,2,false),"")</f>
        <v>Team17 Digital</v>
      </c>
      <c r="N985" s="23" t="str">
        <f>IFERROR(VLOOKUP(A985, Entries!A:K,11,false),"")</f>
        <v/>
      </c>
      <c r="O985" s="23" t="b">
        <f>IFERROR(VLOOKUP(A985, Entries!A:I,8,false),"")</f>
        <v>0</v>
      </c>
    </row>
    <row r="986">
      <c r="A986" s="78" t="s">
        <v>1338</v>
      </c>
      <c r="B986" s="78" t="s">
        <v>18</v>
      </c>
      <c r="C986" s="85">
        <v>44444.0</v>
      </c>
      <c r="D986" s="85">
        <v>44447.0</v>
      </c>
      <c r="E986" s="86">
        <v>4.04</v>
      </c>
      <c r="F986" s="87">
        <v>5.58</v>
      </c>
      <c r="G986" s="88">
        <f t="shared" si="1"/>
        <v>1.54</v>
      </c>
      <c r="H986" s="89">
        <f t="shared" si="2"/>
        <v>0.2759856631</v>
      </c>
      <c r="I986" s="78" t="s">
        <v>1343</v>
      </c>
      <c r="J986" s="78" t="s">
        <v>69</v>
      </c>
      <c r="K986" s="58">
        <f t="shared" si="3"/>
        <v>3</v>
      </c>
      <c r="L986" s="91" t="str">
        <f t="shared" si="6"/>
        <v>Wed</v>
      </c>
      <c r="M986" s="78" t="str">
        <f>IFERROR(VLOOKUP(A986, Entries!A:B,2,false),"")</f>
        <v>SEGA</v>
      </c>
      <c r="N986" s="23" t="str">
        <f>IFERROR(VLOOKUP(A986, Entries!A:K,11,false),"")</f>
        <v/>
      </c>
      <c r="O986" s="23" t="b">
        <f>IFERROR(VLOOKUP(A986, Entries!A:I,8,false),"")</f>
        <v>0</v>
      </c>
    </row>
    <row r="987">
      <c r="A987" s="78" t="s">
        <v>1338</v>
      </c>
      <c r="B987" s="78" t="s">
        <v>18</v>
      </c>
      <c r="C987" s="85">
        <v>44444.0</v>
      </c>
      <c r="D987" s="85">
        <v>44447.0</v>
      </c>
      <c r="E987" s="86">
        <v>4.04</v>
      </c>
      <c r="F987" s="87">
        <v>5.58</v>
      </c>
      <c r="G987" s="88">
        <f t="shared" si="1"/>
        <v>1.54</v>
      </c>
      <c r="H987" s="89">
        <f t="shared" si="2"/>
        <v>0.2759856631</v>
      </c>
      <c r="I987" s="78" t="s">
        <v>1344</v>
      </c>
      <c r="J987" s="78" t="s">
        <v>69</v>
      </c>
      <c r="K987" s="58">
        <f t="shared" si="3"/>
        <v>3</v>
      </c>
      <c r="L987" s="91" t="str">
        <f t="shared" si="6"/>
        <v>Wed</v>
      </c>
      <c r="M987" s="78" t="str">
        <f>IFERROR(VLOOKUP(A987, Entries!A:B,2,false),"")</f>
        <v>SEGA</v>
      </c>
      <c r="N987" s="23" t="str">
        <f>IFERROR(VLOOKUP(A987, Entries!A:K,11,false),"")</f>
        <v/>
      </c>
      <c r="O987" s="23" t="b">
        <f>IFERROR(VLOOKUP(A987, Entries!A:I,8,false),"")</f>
        <v>0</v>
      </c>
    </row>
    <row r="988">
      <c r="A988" s="78" t="s">
        <v>1338</v>
      </c>
      <c r="B988" s="78" t="s">
        <v>18</v>
      </c>
      <c r="C988" s="85">
        <v>44444.0</v>
      </c>
      <c r="D988" s="85">
        <v>44449.0</v>
      </c>
      <c r="E988" s="86">
        <v>4.04</v>
      </c>
      <c r="F988" s="87">
        <v>4.92</v>
      </c>
      <c r="G988" s="88">
        <f t="shared" si="1"/>
        <v>0.88</v>
      </c>
      <c r="H988" s="89">
        <f t="shared" si="2"/>
        <v>0.1788617886</v>
      </c>
      <c r="I988" s="78" t="s">
        <v>1345</v>
      </c>
      <c r="J988" s="78" t="s">
        <v>69</v>
      </c>
      <c r="K988" s="58">
        <f t="shared" si="3"/>
        <v>5</v>
      </c>
      <c r="L988" s="91" t="str">
        <f t="shared" si="6"/>
        <v>Fri</v>
      </c>
      <c r="M988" s="78" t="str">
        <f>IFERROR(VLOOKUP(A988, Entries!A:B,2,false),"")</f>
        <v>SEGA</v>
      </c>
      <c r="N988" s="23" t="str">
        <f>IFERROR(VLOOKUP(A988, Entries!A:K,11,false),"")</f>
        <v/>
      </c>
      <c r="O988" s="23" t="b">
        <f>IFERROR(VLOOKUP(A988, Entries!A:I,8,false),"")</f>
        <v>0</v>
      </c>
    </row>
    <row r="989">
      <c r="A989" s="78" t="s">
        <v>1338</v>
      </c>
      <c r="B989" s="78" t="s">
        <v>18</v>
      </c>
      <c r="C989" s="85">
        <v>44444.0</v>
      </c>
      <c r="D989" s="85">
        <v>44455.0</v>
      </c>
      <c r="E989" s="86">
        <v>4.05</v>
      </c>
      <c r="F989" s="87">
        <v>4.81</v>
      </c>
      <c r="G989" s="88">
        <f t="shared" si="1"/>
        <v>0.76</v>
      </c>
      <c r="H989" s="89">
        <f t="shared" si="2"/>
        <v>0.158004158</v>
      </c>
      <c r="I989" s="78" t="s">
        <v>1346</v>
      </c>
      <c r="J989" s="78" t="s">
        <v>69</v>
      </c>
      <c r="K989" s="58">
        <f t="shared" si="3"/>
        <v>11</v>
      </c>
      <c r="L989" s="91" t="str">
        <f t="shared" si="6"/>
        <v>Thu</v>
      </c>
      <c r="M989" s="78" t="str">
        <f>IFERROR(VLOOKUP(A989, Entries!A:B,2,false),"")</f>
        <v>SEGA</v>
      </c>
      <c r="N989" s="23" t="str">
        <f>IFERROR(VLOOKUP(A989, Entries!A:K,11,false),"")</f>
        <v/>
      </c>
      <c r="O989" s="23" t="b">
        <f>IFERROR(VLOOKUP(A989, Entries!A:I,8,false),"")</f>
        <v>0</v>
      </c>
    </row>
    <row r="990">
      <c r="A990" s="78" t="s">
        <v>1341</v>
      </c>
      <c r="B990" s="78" t="s">
        <v>19</v>
      </c>
      <c r="C990" s="85">
        <v>44445.0</v>
      </c>
      <c r="D990" s="85">
        <v>44446.0</v>
      </c>
      <c r="E990" s="86">
        <v>7.09</v>
      </c>
      <c r="F990" s="87">
        <v>10.69</v>
      </c>
      <c r="G990" s="88">
        <f t="shared" si="1"/>
        <v>3.6</v>
      </c>
      <c r="H990" s="89">
        <f t="shared" si="2"/>
        <v>0.3367633302</v>
      </c>
      <c r="I990" s="78" t="s">
        <v>1347</v>
      </c>
      <c r="J990" s="78" t="s">
        <v>69</v>
      </c>
      <c r="K990" s="58">
        <f t="shared" si="3"/>
        <v>1</v>
      </c>
      <c r="L990" s="91" t="str">
        <f t="shared" si="6"/>
        <v>Tue</v>
      </c>
      <c r="M990" s="78" t="str">
        <f>IFERROR(VLOOKUP(A990, Entries!A:B,2,false),"")</f>
        <v>Team17 Digital</v>
      </c>
      <c r="N990" s="23" t="str">
        <f>IFERROR(VLOOKUP(A990, Entries!A:K,11,false),"")</f>
        <v/>
      </c>
      <c r="O990" s="23" t="b">
        <f>IFERROR(VLOOKUP(A990, Entries!A:I,8,false),"")</f>
        <v>0</v>
      </c>
    </row>
    <row r="991">
      <c r="A991" s="78" t="s">
        <v>1341</v>
      </c>
      <c r="B991" s="78" t="s">
        <v>19</v>
      </c>
      <c r="C991" s="85">
        <v>44445.0</v>
      </c>
      <c r="D991" s="85">
        <v>45175.0</v>
      </c>
      <c r="E991" s="86">
        <v>7.09</v>
      </c>
      <c r="F991" s="87">
        <v>5.15</v>
      </c>
      <c r="G991" s="88">
        <f t="shared" si="1"/>
        <v>-1.94</v>
      </c>
      <c r="H991" s="89">
        <f t="shared" si="2"/>
        <v>-0.3766990291</v>
      </c>
      <c r="I991" s="78" t="s">
        <v>1348</v>
      </c>
      <c r="J991" s="78" t="s">
        <v>69</v>
      </c>
      <c r="K991" s="58">
        <f t="shared" si="3"/>
        <v>730</v>
      </c>
      <c r="L991" s="91" t="str">
        <f t="shared" si="6"/>
        <v>Wed</v>
      </c>
      <c r="M991" s="78" t="str">
        <f>IFERROR(VLOOKUP(A991, Entries!A:B,2,false),"")</f>
        <v>Team17 Digital</v>
      </c>
      <c r="N991" s="23" t="str">
        <f>IFERROR(VLOOKUP(A991, Entries!A:K,11,false),"")</f>
        <v/>
      </c>
      <c r="O991" s="23" t="b">
        <f>IFERROR(VLOOKUP(A991, Entries!A:I,8,false),"")</f>
        <v>0</v>
      </c>
    </row>
    <row r="992">
      <c r="A992" s="78" t="s">
        <v>1349</v>
      </c>
      <c r="B992" s="78" t="s">
        <v>17</v>
      </c>
      <c r="C992" s="85">
        <v>44445.0</v>
      </c>
      <c r="D992" s="85">
        <v>44445.0</v>
      </c>
      <c r="E992" s="86">
        <v>0.22</v>
      </c>
      <c r="F992" s="87">
        <v>0.56</v>
      </c>
      <c r="G992" s="88">
        <f t="shared" si="1"/>
        <v>0.34</v>
      </c>
      <c r="H992" s="89">
        <f t="shared" si="2"/>
        <v>0.6071428571</v>
      </c>
      <c r="I992" s="78" t="s">
        <v>1350</v>
      </c>
      <c r="J992" s="78" t="s">
        <v>69</v>
      </c>
      <c r="K992" s="58">
        <f t="shared" si="3"/>
        <v>0</v>
      </c>
      <c r="L992" s="91" t="str">
        <f t="shared" si="6"/>
        <v>Mon</v>
      </c>
      <c r="M992" s="78" t="str">
        <f>IFERROR(VLOOKUP(A992, Entries!A:B,2,false),"")</f>
        <v>Microids</v>
      </c>
      <c r="N992" s="23" t="str">
        <f>IFERROR(VLOOKUP(A992, Entries!A:K,11,false),"")</f>
        <v/>
      </c>
      <c r="O992" s="23" t="b">
        <f>IFERROR(VLOOKUP(A992, Entries!A:I,8,false),"")</f>
        <v>0</v>
      </c>
    </row>
    <row r="993">
      <c r="A993" s="78" t="s">
        <v>1341</v>
      </c>
      <c r="B993" s="78" t="s">
        <v>19</v>
      </c>
      <c r="C993" s="85">
        <v>44446.0</v>
      </c>
      <c r="D993" s="85">
        <v>45175.0</v>
      </c>
      <c r="E993" s="86">
        <v>7.09</v>
      </c>
      <c r="F993" s="87">
        <v>5.15</v>
      </c>
      <c r="G993" s="88">
        <f t="shared" si="1"/>
        <v>-1.94</v>
      </c>
      <c r="H993" s="89">
        <f t="shared" si="2"/>
        <v>-0.3766990291</v>
      </c>
      <c r="I993" s="78" t="s">
        <v>1351</v>
      </c>
      <c r="J993" s="78" t="s">
        <v>69</v>
      </c>
      <c r="K993" s="58">
        <f t="shared" si="3"/>
        <v>729</v>
      </c>
      <c r="L993" s="91" t="str">
        <f t="shared" si="6"/>
        <v>Wed</v>
      </c>
      <c r="M993" s="78" t="str">
        <f>IFERROR(VLOOKUP(A993, Entries!A:B,2,false),"")</f>
        <v>Team17 Digital</v>
      </c>
      <c r="N993" s="23" t="str">
        <f>IFERROR(VLOOKUP(A993, Entries!A:K,11,false),"")</f>
        <v/>
      </c>
      <c r="O993" s="23" t="b">
        <f>IFERROR(VLOOKUP(A993, Entries!A:I,8,false),"")</f>
        <v>0</v>
      </c>
    </row>
    <row r="994">
      <c r="A994" s="78" t="s">
        <v>1349</v>
      </c>
      <c r="B994" s="78" t="s">
        <v>19</v>
      </c>
      <c r="C994" s="85">
        <v>44446.0</v>
      </c>
      <c r="D994" s="85">
        <v>44448.0</v>
      </c>
      <c r="E994" s="86">
        <v>0.22</v>
      </c>
      <c r="F994" s="87">
        <v>0.56</v>
      </c>
      <c r="G994" s="88">
        <f t="shared" si="1"/>
        <v>0.34</v>
      </c>
      <c r="H994" s="89">
        <f t="shared" si="2"/>
        <v>0.6071428571</v>
      </c>
      <c r="I994" s="78" t="s">
        <v>1352</v>
      </c>
      <c r="J994" s="78" t="s">
        <v>69</v>
      </c>
      <c r="K994" s="58">
        <f t="shared" si="3"/>
        <v>2</v>
      </c>
      <c r="L994" s="91" t="str">
        <f t="shared" si="6"/>
        <v>Thu</v>
      </c>
      <c r="M994" s="78" t="str">
        <f>IFERROR(VLOOKUP(A994, Entries!A:B,2,false),"")</f>
        <v>Microids</v>
      </c>
      <c r="N994" s="23" t="str">
        <f>IFERROR(VLOOKUP(A994, Entries!A:K,11,false),"")</f>
        <v/>
      </c>
      <c r="O994" s="23" t="b">
        <f>IFERROR(VLOOKUP(A994, Entries!A:I,8,false),"")</f>
        <v>0</v>
      </c>
    </row>
    <row r="995">
      <c r="A995" s="78" t="s">
        <v>1353</v>
      </c>
      <c r="B995" s="78" t="s">
        <v>19</v>
      </c>
      <c r="C995" s="85">
        <v>44446.0</v>
      </c>
      <c r="D995" s="85">
        <v>44468.0</v>
      </c>
      <c r="E995" s="86">
        <v>6.14</v>
      </c>
      <c r="F995" s="87">
        <v>11.48</v>
      </c>
      <c r="G995" s="88">
        <f t="shared" si="1"/>
        <v>5.34</v>
      </c>
      <c r="H995" s="89">
        <f t="shared" si="2"/>
        <v>0.4651567944</v>
      </c>
      <c r="I995" s="78" t="s">
        <v>1354</v>
      </c>
      <c r="J995" s="78" t="s">
        <v>69</v>
      </c>
      <c r="K995" s="58">
        <f t="shared" si="3"/>
        <v>22</v>
      </c>
      <c r="L995" s="91" t="str">
        <f t="shared" si="6"/>
        <v>Wed</v>
      </c>
      <c r="M995" s="78" t="str">
        <f>IFERROR(VLOOKUP(A995, Entries!A:B,2,false),"")</f>
        <v>NIS America</v>
      </c>
      <c r="N995" s="23" t="str">
        <f>IFERROR(VLOOKUP(A995, Entries!A:K,11,false),"")</f>
        <v/>
      </c>
      <c r="O995" s="23" t="b">
        <f>IFERROR(VLOOKUP(A995, Entries!A:I,8,false),"")</f>
        <v>0</v>
      </c>
    </row>
    <row r="996">
      <c r="A996" s="78" t="s">
        <v>1355</v>
      </c>
      <c r="B996" s="78" t="s">
        <v>22</v>
      </c>
      <c r="C996" s="85">
        <v>44447.0</v>
      </c>
      <c r="D996" s="85">
        <v>44452.0</v>
      </c>
      <c r="E996" s="86">
        <v>6.97</v>
      </c>
      <c r="F996" s="87">
        <v>7.78</v>
      </c>
      <c r="G996" s="88">
        <f t="shared" si="1"/>
        <v>0.81</v>
      </c>
      <c r="H996" s="89">
        <f t="shared" si="2"/>
        <v>0.1041131105</v>
      </c>
      <c r="I996" s="78" t="s">
        <v>1356</v>
      </c>
      <c r="J996" s="78" t="s">
        <v>69</v>
      </c>
      <c r="K996" s="58">
        <f t="shared" si="3"/>
        <v>5</v>
      </c>
      <c r="L996" s="91" t="str">
        <f t="shared" si="6"/>
        <v>Mon</v>
      </c>
      <c r="M996" s="78" t="str">
        <f>IFERROR(VLOOKUP(A996, Entries!A:B,2,false),"")</f>
        <v>Daedalic Entertainment</v>
      </c>
      <c r="N996" s="23" t="str">
        <f>IFERROR(VLOOKUP(A996, Entries!A:K,11,false),"")</f>
        <v/>
      </c>
      <c r="O996" s="23" t="b">
        <f>IFERROR(VLOOKUP(A996, Entries!A:I,8,false),"")</f>
        <v>0</v>
      </c>
    </row>
    <row r="997">
      <c r="A997" s="78" t="s">
        <v>1355</v>
      </c>
      <c r="B997" s="78" t="s">
        <v>22</v>
      </c>
      <c r="C997" s="85">
        <v>44447.0</v>
      </c>
      <c r="D997" s="85">
        <v>45204.0</v>
      </c>
      <c r="E997" s="86">
        <v>6.97</v>
      </c>
      <c r="F997" s="87">
        <v>1.49</v>
      </c>
      <c r="G997" s="88">
        <f t="shared" si="1"/>
        <v>-5.48</v>
      </c>
      <c r="H997" s="89">
        <f t="shared" si="2"/>
        <v>-3.677852349</v>
      </c>
      <c r="I997" s="78" t="s">
        <v>1357</v>
      </c>
      <c r="J997" s="78" t="s">
        <v>69</v>
      </c>
      <c r="K997" s="58">
        <f t="shared" si="3"/>
        <v>757</v>
      </c>
      <c r="L997" s="91" t="str">
        <f t="shared" si="6"/>
        <v>Thu</v>
      </c>
      <c r="M997" s="78" t="str">
        <f>IFERROR(VLOOKUP(A997, Entries!A:B,2,false),"")</f>
        <v>Daedalic Entertainment</v>
      </c>
      <c r="N997" s="23" t="str">
        <f>IFERROR(VLOOKUP(A997, Entries!A:K,11,false),"")</f>
        <v/>
      </c>
      <c r="O997" s="23" t="b">
        <f>IFERROR(VLOOKUP(A997, Entries!A:I,8,false),"")</f>
        <v>0</v>
      </c>
    </row>
    <row r="998">
      <c r="A998" s="78" t="s">
        <v>809</v>
      </c>
      <c r="B998" s="78" t="s">
        <v>22</v>
      </c>
      <c r="C998" s="85">
        <v>44448.0</v>
      </c>
      <c r="D998" s="85">
        <v>44494.0</v>
      </c>
      <c r="E998" s="86">
        <v>4.23</v>
      </c>
      <c r="F998" s="87">
        <v>5.33</v>
      </c>
      <c r="G998" s="88">
        <f t="shared" si="1"/>
        <v>1.1</v>
      </c>
      <c r="H998" s="89">
        <f t="shared" si="2"/>
        <v>0.2063789869</v>
      </c>
      <c r="I998" s="78" t="s">
        <v>1358</v>
      </c>
      <c r="J998" s="78" t="s">
        <v>69</v>
      </c>
      <c r="K998" s="58">
        <f t="shared" si="3"/>
        <v>46</v>
      </c>
      <c r="L998" s="91" t="str">
        <f t="shared" si="6"/>
        <v>Mon</v>
      </c>
      <c r="M998" s="78" t="str">
        <f>IFERROR(VLOOKUP(A998, Entries!A:B,2,false),"")</f>
        <v>Modus Games</v>
      </c>
      <c r="N998" s="23" t="str">
        <f>IFERROR(VLOOKUP(A998, Entries!A:K,11,false),"")</f>
        <v/>
      </c>
      <c r="O998" s="23" t="b">
        <f>IFERROR(VLOOKUP(A998, Entries!A:I,8,false),"")</f>
        <v>0</v>
      </c>
    </row>
    <row r="999">
      <c r="A999" s="78" t="s">
        <v>809</v>
      </c>
      <c r="B999" s="78" t="s">
        <v>22</v>
      </c>
      <c r="C999" s="85">
        <v>44448.0</v>
      </c>
      <c r="D999" s="85">
        <v>44543.0</v>
      </c>
      <c r="E999" s="86">
        <v>4.24</v>
      </c>
      <c r="F999" s="87">
        <v>5.21</v>
      </c>
      <c r="G999" s="88">
        <f t="shared" si="1"/>
        <v>0.97</v>
      </c>
      <c r="H999" s="89">
        <f t="shared" si="2"/>
        <v>0.1861804223</v>
      </c>
      <c r="I999" s="78" t="s">
        <v>1359</v>
      </c>
      <c r="J999" s="78" t="s">
        <v>69</v>
      </c>
      <c r="K999" s="58">
        <f t="shared" si="3"/>
        <v>95</v>
      </c>
      <c r="L999" s="91" t="str">
        <f t="shared" si="6"/>
        <v>Mon</v>
      </c>
      <c r="M999" s="78" t="str">
        <f>IFERROR(VLOOKUP(A999, Entries!A:B,2,false),"")</f>
        <v>Modus Games</v>
      </c>
      <c r="N999" s="23" t="str">
        <f>IFERROR(VLOOKUP(A999, Entries!A:K,11,false),"")</f>
        <v/>
      </c>
      <c r="O999" s="23" t="b">
        <f>IFERROR(VLOOKUP(A999, Entries!A:I,8,false),"")</f>
        <v>0</v>
      </c>
    </row>
    <row r="1000">
      <c r="A1000" s="78" t="s">
        <v>809</v>
      </c>
      <c r="B1000" s="78" t="s">
        <v>22</v>
      </c>
      <c r="C1000" s="85">
        <v>44448.0</v>
      </c>
      <c r="D1000" s="85">
        <v>44784.0</v>
      </c>
      <c r="E1000" s="86">
        <v>4.24</v>
      </c>
      <c r="F1000" s="87">
        <v>1.96</v>
      </c>
      <c r="G1000" s="88">
        <f t="shared" si="1"/>
        <v>-2.28</v>
      </c>
      <c r="H1000" s="89">
        <f t="shared" si="2"/>
        <v>-1.163265306</v>
      </c>
      <c r="I1000" s="78" t="s">
        <v>1360</v>
      </c>
      <c r="J1000" s="78" t="s">
        <v>69</v>
      </c>
      <c r="K1000" s="58">
        <f t="shared" si="3"/>
        <v>336</v>
      </c>
      <c r="L1000" s="91" t="str">
        <f t="shared" si="6"/>
        <v>Thu</v>
      </c>
      <c r="M1000" s="78" t="str">
        <f>IFERROR(VLOOKUP(A1000, Entries!A:B,2,false),"")</f>
        <v>Modus Games</v>
      </c>
      <c r="N1000" s="23" t="str">
        <f>IFERROR(VLOOKUP(A1000, Entries!A:K,11,false),"")</f>
        <v/>
      </c>
      <c r="O1000" s="23" t="b">
        <f>IFERROR(VLOOKUP(A1000, Entries!A:I,8,false),"")</f>
        <v>0</v>
      </c>
    </row>
    <row r="1001">
      <c r="A1001" s="78" t="s">
        <v>1361</v>
      </c>
      <c r="B1001" s="78" t="s">
        <v>26</v>
      </c>
      <c r="C1001" s="85">
        <v>44448.0</v>
      </c>
      <c r="D1001" s="85">
        <v>44449.0</v>
      </c>
      <c r="E1001" s="86">
        <v>8.82</v>
      </c>
      <c r="F1001" s="87">
        <v>10.93</v>
      </c>
      <c r="G1001" s="88">
        <f t="shared" si="1"/>
        <v>2.11</v>
      </c>
      <c r="H1001" s="89">
        <f t="shared" si="2"/>
        <v>0.1930466606</v>
      </c>
      <c r="I1001" s="78" t="s">
        <v>1362</v>
      </c>
      <c r="J1001" s="78" t="s">
        <v>69</v>
      </c>
      <c r="K1001" s="58">
        <f t="shared" si="3"/>
        <v>1</v>
      </c>
      <c r="L1001" s="91" t="str">
        <f t="shared" si="6"/>
        <v>Fri</v>
      </c>
      <c r="M1001" s="78" t="str">
        <f>IFERROR(VLOOKUP(A1001, Entries!A:B,2,false),"")</f>
        <v>2K</v>
      </c>
      <c r="N1001" s="23" t="str">
        <f>IFERROR(VLOOKUP(A1001, Entries!A:K,11,false),"")</f>
        <v/>
      </c>
      <c r="O1001" s="23" t="b">
        <f>IFERROR(VLOOKUP(A1001, Entries!A:I,8,false),"")</f>
        <v>0</v>
      </c>
    </row>
    <row r="1002">
      <c r="A1002" s="78" t="s">
        <v>1363</v>
      </c>
      <c r="B1002" s="78" t="s">
        <v>21</v>
      </c>
      <c r="C1002" s="85">
        <v>44448.0</v>
      </c>
      <c r="D1002" s="85">
        <v>44451.0</v>
      </c>
      <c r="E1002" s="86">
        <v>2.32</v>
      </c>
      <c r="F1002" s="87">
        <v>3.82</v>
      </c>
      <c r="G1002" s="88">
        <f t="shared" si="1"/>
        <v>1.5</v>
      </c>
      <c r="H1002" s="89">
        <f t="shared" si="2"/>
        <v>0.3926701571</v>
      </c>
      <c r="I1002" s="78" t="s">
        <v>1364</v>
      </c>
      <c r="J1002" s="78" t="s">
        <v>69</v>
      </c>
      <c r="K1002" s="58">
        <f t="shared" si="3"/>
        <v>3</v>
      </c>
      <c r="L1002" s="91" t="str">
        <f t="shared" si="6"/>
        <v>Sun</v>
      </c>
      <c r="M1002" s="78" t="str">
        <f>IFERROR(VLOOKUP(A1002, Entries!A:B,2,false),"")</f>
        <v>The Voxel Agents</v>
      </c>
      <c r="N1002" s="23" t="str">
        <f>IFERROR(VLOOKUP(A1002, Entries!A:K,11,false),"")</f>
        <v/>
      </c>
      <c r="O1002" s="23" t="b">
        <f>IFERROR(VLOOKUP(A1002, Entries!A:I,8,false),"")</f>
        <v>0</v>
      </c>
    </row>
    <row r="1003">
      <c r="A1003" s="78" t="s">
        <v>1363</v>
      </c>
      <c r="B1003" s="78" t="s">
        <v>21</v>
      </c>
      <c r="C1003" s="85">
        <v>44448.0</v>
      </c>
      <c r="D1003" s="85">
        <v>44517.0</v>
      </c>
      <c r="E1003" s="86">
        <v>2.33</v>
      </c>
      <c r="F1003" s="87">
        <v>3.71</v>
      </c>
      <c r="G1003" s="88">
        <f t="shared" si="1"/>
        <v>1.38</v>
      </c>
      <c r="H1003" s="89">
        <f t="shared" si="2"/>
        <v>0.371967655</v>
      </c>
      <c r="I1003" s="78" t="s">
        <v>1365</v>
      </c>
      <c r="J1003" s="78" t="s">
        <v>69</v>
      </c>
      <c r="K1003" s="58">
        <f t="shared" si="3"/>
        <v>69</v>
      </c>
      <c r="L1003" s="91" t="str">
        <f t="shared" si="6"/>
        <v>Wed</v>
      </c>
      <c r="M1003" s="78" t="str">
        <f>IFERROR(VLOOKUP(A1003, Entries!A:B,2,false),"")</f>
        <v>The Voxel Agents</v>
      </c>
      <c r="N1003" s="23" t="str">
        <f>IFERROR(VLOOKUP(A1003, Entries!A:K,11,false),"")</f>
        <v/>
      </c>
      <c r="O1003" s="23" t="b">
        <f>IFERROR(VLOOKUP(A1003, Entries!A:I,8,false),"")</f>
        <v>0</v>
      </c>
    </row>
    <row r="1004">
      <c r="A1004" s="78" t="s">
        <v>1363</v>
      </c>
      <c r="B1004" s="78" t="s">
        <v>21</v>
      </c>
      <c r="C1004" s="85">
        <v>44448.0</v>
      </c>
      <c r="D1004" s="85">
        <v>44684.0</v>
      </c>
      <c r="E1004" s="86">
        <v>2.33</v>
      </c>
      <c r="F1004" s="87">
        <v>2.65</v>
      </c>
      <c r="G1004" s="88">
        <f t="shared" si="1"/>
        <v>0.32</v>
      </c>
      <c r="H1004" s="89">
        <f t="shared" si="2"/>
        <v>0.120754717</v>
      </c>
      <c r="I1004" s="78" t="s">
        <v>1366</v>
      </c>
      <c r="J1004" s="78" t="s">
        <v>69</v>
      </c>
      <c r="K1004" s="58">
        <f t="shared" si="3"/>
        <v>236</v>
      </c>
      <c r="L1004" s="91" t="str">
        <f t="shared" si="6"/>
        <v>Tue</v>
      </c>
      <c r="M1004" s="78" t="str">
        <f>IFERROR(VLOOKUP(A1004, Entries!A:B,2,false),"")</f>
        <v>The Voxel Agents</v>
      </c>
      <c r="N1004" s="23" t="str">
        <f>IFERROR(VLOOKUP(A1004, Entries!A:K,11,false),"")</f>
        <v/>
      </c>
      <c r="O1004" s="23" t="b">
        <f>IFERROR(VLOOKUP(A1004, Entries!A:I,8,false),"")</f>
        <v>0</v>
      </c>
    </row>
    <row r="1005">
      <c r="A1005" s="78" t="s">
        <v>736</v>
      </c>
      <c r="B1005" s="78" t="s">
        <v>22</v>
      </c>
      <c r="C1005" s="85">
        <v>44448.0</v>
      </c>
      <c r="D1005" s="85">
        <v>44456.0</v>
      </c>
      <c r="E1005" s="86">
        <v>8.47</v>
      </c>
      <c r="F1005" s="87">
        <v>12.74</v>
      </c>
      <c r="G1005" s="88">
        <f t="shared" si="1"/>
        <v>4.27</v>
      </c>
      <c r="H1005" s="89">
        <f t="shared" si="2"/>
        <v>0.3351648352</v>
      </c>
      <c r="I1005" s="78" t="s">
        <v>1367</v>
      </c>
      <c r="J1005" s="78" t="s">
        <v>69</v>
      </c>
      <c r="K1005" s="58">
        <f t="shared" si="3"/>
        <v>8</v>
      </c>
      <c r="L1005" s="91" t="str">
        <f t="shared" si="6"/>
        <v>Fri</v>
      </c>
      <c r="M1005" s="78" t="str">
        <f>IFERROR(VLOOKUP(A1005, Entries!A:B,2,false),"")</f>
        <v>Awe Interactive</v>
      </c>
      <c r="N1005" s="23" t="str">
        <f>IFERROR(VLOOKUP(A1005, Entries!A:K,11,false),"")</f>
        <v/>
      </c>
      <c r="O1005" s="23" t="b">
        <f>IFERROR(VLOOKUP(A1005, Entries!A:I,8,false),"")</f>
        <v>0</v>
      </c>
    </row>
    <row r="1006">
      <c r="A1006" s="78" t="s">
        <v>1361</v>
      </c>
      <c r="B1006" s="78" t="s">
        <v>26</v>
      </c>
      <c r="C1006" s="85">
        <v>44449.0</v>
      </c>
      <c r="D1006" s="85">
        <v>44478.0</v>
      </c>
      <c r="E1006" s="86">
        <v>8.82</v>
      </c>
      <c r="F1006" s="87">
        <v>10.97</v>
      </c>
      <c r="G1006" s="88">
        <f t="shared" si="1"/>
        <v>2.15</v>
      </c>
      <c r="H1006" s="89">
        <f t="shared" si="2"/>
        <v>0.1959890611</v>
      </c>
      <c r="I1006" s="78" t="s">
        <v>1368</v>
      </c>
      <c r="J1006" s="78" t="s">
        <v>69</v>
      </c>
      <c r="K1006" s="58">
        <f t="shared" si="3"/>
        <v>29</v>
      </c>
      <c r="L1006" s="91" t="str">
        <f t="shared" si="6"/>
        <v>Sat</v>
      </c>
      <c r="M1006" s="78" t="str">
        <f>IFERROR(VLOOKUP(A1006, Entries!A:B,2,false),"")</f>
        <v>2K</v>
      </c>
      <c r="N1006" s="23" t="str">
        <f>IFERROR(VLOOKUP(A1006, Entries!A:K,11,false),"")</f>
        <v/>
      </c>
      <c r="O1006" s="23" t="b">
        <f>IFERROR(VLOOKUP(A1006, Entries!A:I,8,false),"")</f>
        <v>0</v>
      </c>
    </row>
    <row r="1007">
      <c r="A1007" s="78" t="s">
        <v>1281</v>
      </c>
      <c r="B1007" s="78" t="s">
        <v>19</v>
      </c>
      <c r="C1007" s="85">
        <v>44453.0</v>
      </c>
      <c r="D1007" s="85">
        <v>44454.0</v>
      </c>
      <c r="E1007" s="86">
        <v>4.79</v>
      </c>
      <c r="F1007" s="87">
        <v>10.13</v>
      </c>
      <c r="G1007" s="88">
        <f t="shared" si="1"/>
        <v>5.34</v>
      </c>
      <c r="H1007" s="89">
        <f t="shared" si="2"/>
        <v>0.5271470879</v>
      </c>
      <c r="I1007" s="78" t="s">
        <v>1369</v>
      </c>
      <c r="J1007" s="78" t="s">
        <v>69</v>
      </c>
      <c r="K1007" s="58">
        <f t="shared" si="3"/>
        <v>1</v>
      </c>
      <c r="L1007" s="91" t="str">
        <f t="shared" si="6"/>
        <v>Wed</v>
      </c>
      <c r="M1007" s="78" t="str">
        <f>IFERROR(VLOOKUP(A1007, Entries!A:B,2,false),"")</f>
        <v>Konami</v>
      </c>
      <c r="N1007" s="23" t="str">
        <f>IFERROR(VLOOKUP(A1007, Entries!A:K,11,false),"")</f>
        <v/>
      </c>
      <c r="O1007" s="23" t="b">
        <f>IFERROR(VLOOKUP(A1007, Entries!A:I,8,false),"")</f>
        <v>0</v>
      </c>
    </row>
    <row r="1008">
      <c r="A1008" s="78" t="s">
        <v>1370</v>
      </c>
      <c r="B1008" s="78" t="s">
        <v>23</v>
      </c>
      <c r="C1008" s="85">
        <v>44453.0</v>
      </c>
      <c r="D1008" s="85">
        <v>44454.0</v>
      </c>
      <c r="E1008" s="86">
        <v>37.61</v>
      </c>
      <c r="F1008" s="87">
        <v>39.24</v>
      </c>
      <c r="G1008" s="88">
        <f t="shared" si="1"/>
        <v>1.63</v>
      </c>
      <c r="H1008" s="89">
        <f t="shared" si="2"/>
        <v>0.04153924567</v>
      </c>
      <c r="I1008" s="78" t="s">
        <v>1371</v>
      </c>
      <c r="J1008" s="78" t="s">
        <v>69</v>
      </c>
      <c r="K1008" s="58">
        <f t="shared" si="3"/>
        <v>1</v>
      </c>
      <c r="L1008" s="91" t="str">
        <f t="shared" si="6"/>
        <v>Wed</v>
      </c>
      <c r="M1008" s="78" t="str">
        <f>IFERROR(VLOOKUP(A1008, Entries!A:B,2,false),"")</f>
        <v>META Publishing</v>
      </c>
      <c r="N1008" s="23" t="str">
        <f>IFERROR(VLOOKUP(A1008, Entries!A:K,11,false),"")</f>
        <v/>
      </c>
      <c r="O1008" s="23" t="b">
        <f>IFERROR(VLOOKUP(A1008, Entries!A:I,8,false),"")</f>
        <v>1</v>
      </c>
    </row>
    <row r="1009">
      <c r="A1009" s="78" t="s">
        <v>1281</v>
      </c>
      <c r="B1009" s="78" t="s">
        <v>19</v>
      </c>
      <c r="C1009" s="85">
        <v>44454.0</v>
      </c>
      <c r="D1009" s="85">
        <v>44454.0</v>
      </c>
      <c r="E1009" s="86">
        <v>4.78</v>
      </c>
      <c r="F1009" s="87">
        <v>10.08</v>
      </c>
      <c r="G1009" s="88">
        <f t="shared" si="1"/>
        <v>5.3</v>
      </c>
      <c r="H1009" s="89">
        <f t="shared" si="2"/>
        <v>0.5257936508</v>
      </c>
      <c r="I1009" s="78" t="s">
        <v>1372</v>
      </c>
      <c r="J1009" s="78" t="s">
        <v>69</v>
      </c>
      <c r="K1009" s="58">
        <f t="shared" si="3"/>
        <v>0</v>
      </c>
      <c r="L1009" s="91" t="str">
        <f t="shared" si="6"/>
        <v>Wed</v>
      </c>
      <c r="M1009" s="78" t="str">
        <f>IFERROR(VLOOKUP(A1009, Entries!A:B,2,false),"")</f>
        <v>Konami</v>
      </c>
      <c r="N1009" s="23" t="str">
        <f>IFERROR(VLOOKUP(A1009, Entries!A:K,11,false),"")</f>
        <v/>
      </c>
      <c r="O1009" s="23" t="b">
        <f>IFERROR(VLOOKUP(A1009, Entries!A:I,8,false),"")</f>
        <v>0</v>
      </c>
    </row>
    <row r="1010">
      <c r="A1010" s="78" t="s">
        <v>1281</v>
      </c>
      <c r="B1010" s="78" t="s">
        <v>19</v>
      </c>
      <c r="C1010" s="85">
        <v>44454.0</v>
      </c>
      <c r="D1010" s="85">
        <v>44455.0</v>
      </c>
      <c r="E1010" s="86">
        <v>4.78</v>
      </c>
      <c r="F1010" s="87">
        <v>9.24</v>
      </c>
      <c r="G1010" s="88">
        <f t="shared" si="1"/>
        <v>4.46</v>
      </c>
      <c r="H1010" s="89">
        <f t="shared" si="2"/>
        <v>0.4826839827</v>
      </c>
      <c r="I1010" s="78" t="s">
        <v>1373</v>
      </c>
      <c r="J1010" s="78" t="s">
        <v>69</v>
      </c>
      <c r="K1010" s="58">
        <f t="shared" si="3"/>
        <v>1</v>
      </c>
      <c r="L1010" s="91" t="str">
        <f t="shared" si="6"/>
        <v>Thu</v>
      </c>
      <c r="M1010" s="78" t="str">
        <f>IFERROR(VLOOKUP(A1010, Entries!A:B,2,false),"")</f>
        <v>Konami</v>
      </c>
      <c r="N1010" s="23" t="str">
        <f>IFERROR(VLOOKUP(A1010, Entries!A:K,11,false),"")</f>
        <v/>
      </c>
      <c r="O1010" s="23" t="b">
        <f>IFERROR(VLOOKUP(A1010, Entries!A:I,8,false),"")</f>
        <v>0</v>
      </c>
    </row>
    <row r="1011">
      <c r="A1011" s="78" t="s">
        <v>411</v>
      </c>
      <c r="B1011" s="78" t="s">
        <v>19</v>
      </c>
      <c r="C1011" s="85">
        <v>44454.0</v>
      </c>
      <c r="D1011" s="85">
        <v>44456.0</v>
      </c>
      <c r="E1011" s="86">
        <v>6.28</v>
      </c>
      <c r="F1011" s="87">
        <v>8.84</v>
      </c>
      <c r="G1011" s="88">
        <f t="shared" si="1"/>
        <v>2.56</v>
      </c>
      <c r="H1011" s="89">
        <f t="shared" si="2"/>
        <v>0.2895927602</v>
      </c>
      <c r="I1011" s="78" t="s">
        <v>1374</v>
      </c>
      <c r="J1011" s="78" t="s">
        <v>69</v>
      </c>
      <c r="K1011" s="58">
        <f t="shared" si="3"/>
        <v>2</v>
      </c>
      <c r="L1011" s="91" t="str">
        <f t="shared" si="6"/>
        <v>Fri</v>
      </c>
      <c r="M1011" s="78" t="str">
        <f>IFERROR(VLOOKUP(A1011, Entries!A:B,2,false),"")</f>
        <v>ROCKFISH Games</v>
      </c>
      <c r="N1011" s="23" t="str">
        <f>IFERROR(VLOOKUP(A1011, Entries!A:K,11,false),"")</f>
        <v/>
      </c>
      <c r="O1011" s="23" t="b">
        <f>IFERROR(VLOOKUP(A1011, Entries!A:I,8,false),"")</f>
        <v>0</v>
      </c>
    </row>
    <row r="1012">
      <c r="A1012" s="78" t="s">
        <v>411</v>
      </c>
      <c r="B1012" s="78" t="s">
        <v>19</v>
      </c>
      <c r="C1012" s="85">
        <v>44454.0</v>
      </c>
      <c r="D1012" s="85">
        <v>44457.0</v>
      </c>
      <c r="E1012" s="86">
        <v>6.29</v>
      </c>
      <c r="F1012" s="87">
        <v>8.81</v>
      </c>
      <c r="G1012" s="88">
        <f t="shared" si="1"/>
        <v>2.52</v>
      </c>
      <c r="H1012" s="89">
        <f t="shared" si="2"/>
        <v>0.2860385925</v>
      </c>
      <c r="I1012" s="78" t="s">
        <v>1375</v>
      </c>
      <c r="J1012" s="78" t="s">
        <v>69</v>
      </c>
      <c r="K1012" s="58">
        <f t="shared" si="3"/>
        <v>3</v>
      </c>
      <c r="L1012" s="91" t="str">
        <f t="shared" si="6"/>
        <v>Sat</v>
      </c>
      <c r="M1012" s="78" t="str">
        <f>IFERROR(VLOOKUP(A1012, Entries!A:B,2,false),"")</f>
        <v>ROCKFISH Games</v>
      </c>
      <c r="N1012" s="23" t="str">
        <f>IFERROR(VLOOKUP(A1012, Entries!A:K,11,false),"")</f>
        <v/>
      </c>
      <c r="O1012" s="23" t="b">
        <f>IFERROR(VLOOKUP(A1012, Entries!A:I,8,false),"")</f>
        <v>0</v>
      </c>
    </row>
    <row r="1013">
      <c r="A1013" s="78" t="s">
        <v>1281</v>
      </c>
      <c r="B1013" s="78" t="s">
        <v>19</v>
      </c>
      <c r="C1013" s="85">
        <v>44455.0</v>
      </c>
      <c r="D1013" s="85">
        <v>44455.0</v>
      </c>
      <c r="E1013" s="86">
        <v>4.78</v>
      </c>
      <c r="F1013" s="87">
        <v>9.16</v>
      </c>
      <c r="G1013" s="88">
        <f t="shared" si="1"/>
        <v>4.38</v>
      </c>
      <c r="H1013" s="89">
        <f t="shared" si="2"/>
        <v>0.4781659389</v>
      </c>
      <c r="I1013" s="78" t="s">
        <v>1376</v>
      </c>
      <c r="J1013" s="78" t="s">
        <v>69</v>
      </c>
      <c r="K1013" s="58">
        <f t="shared" si="3"/>
        <v>0</v>
      </c>
      <c r="L1013" s="91" t="str">
        <f t="shared" si="6"/>
        <v>Thu</v>
      </c>
      <c r="M1013" s="78" t="str">
        <f>IFERROR(VLOOKUP(A1013, Entries!A:B,2,false),"")</f>
        <v>Konami</v>
      </c>
      <c r="N1013" s="23" t="str">
        <f>IFERROR(VLOOKUP(A1013, Entries!A:K,11,false),"")</f>
        <v/>
      </c>
      <c r="O1013" s="23" t="b">
        <f>IFERROR(VLOOKUP(A1013, Entries!A:I,8,false),"")</f>
        <v>0</v>
      </c>
    </row>
    <row r="1014">
      <c r="A1014" s="78" t="s">
        <v>1377</v>
      </c>
      <c r="B1014" s="78" t="s">
        <v>22</v>
      </c>
      <c r="C1014" s="85">
        <v>44455.0</v>
      </c>
      <c r="D1014" s="85">
        <v>44469.0</v>
      </c>
      <c r="E1014" s="86">
        <v>17.3</v>
      </c>
      <c r="F1014" s="87">
        <v>21.05</v>
      </c>
      <c r="G1014" s="88">
        <f t="shared" si="1"/>
        <v>3.75</v>
      </c>
      <c r="H1014" s="89">
        <f t="shared" si="2"/>
        <v>0.1781472684</v>
      </c>
      <c r="I1014" s="78" t="s">
        <v>1378</v>
      </c>
      <c r="J1014" s="78" t="s">
        <v>69</v>
      </c>
      <c r="K1014" s="58">
        <f t="shared" si="3"/>
        <v>14</v>
      </c>
      <c r="L1014" s="91" t="str">
        <f t="shared" si="6"/>
        <v>Thu</v>
      </c>
      <c r="M1014" s="78" t="str">
        <f>IFERROR(VLOOKUP(A1014, Entries!A:B,2,false),"")</f>
        <v>SadSquare Studio</v>
      </c>
      <c r="N1014" s="23" t="str">
        <f>IFERROR(VLOOKUP(A1014, Entries!A:K,11,false),"")</f>
        <v/>
      </c>
      <c r="O1014" s="23" t="b">
        <f>IFERROR(VLOOKUP(A1014, Entries!A:I,8,false),"")</f>
        <v>0</v>
      </c>
    </row>
    <row r="1015">
      <c r="A1015" s="78" t="s">
        <v>1338</v>
      </c>
      <c r="B1015" s="78" t="s">
        <v>21</v>
      </c>
      <c r="C1015" s="85">
        <v>44455.0</v>
      </c>
      <c r="D1015" s="85">
        <v>44458.0</v>
      </c>
      <c r="E1015" s="86">
        <v>4.17</v>
      </c>
      <c r="F1015" s="87">
        <v>4.8</v>
      </c>
      <c r="G1015" s="88">
        <f t="shared" si="1"/>
        <v>0.63</v>
      </c>
      <c r="H1015" s="89">
        <f t="shared" si="2"/>
        <v>0.13125</v>
      </c>
      <c r="I1015" s="78" t="s">
        <v>1379</v>
      </c>
      <c r="J1015" s="78" t="s">
        <v>69</v>
      </c>
      <c r="K1015" s="58">
        <f t="shared" si="3"/>
        <v>3</v>
      </c>
      <c r="L1015" s="91" t="str">
        <f t="shared" si="6"/>
        <v>Sun</v>
      </c>
      <c r="M1015" s="78" t="str">
        <f>IFERROR(VLOOKUP(A1015, Entries!A:B,2,false),"")</f>
        <v>SEGA</v>
      </c>
      <c r="N1015" s="23" t="str">
        <f>IFERROR(VLOOKUP(A1015, Entries!A:K,11,false),"")</f>
        <v/>
      </c>
      <c r="O1015" s="23" t="b">
        <f>IFERROR(VLOOKUP(A1015, Entries!A:I,8,false),"")</f>
        <v>0</v>
      </c>
    </row>
    <row r="1016">
      <c r="A1016" s="78" t="s">
        <v>1338</v>
      </c>
      <c r="B1016" s="78" t="s">
        <v>21</v>
      </c>
      <c r="C1016" s="85">
        <v>44455.0</v>
      </c>
      <c r="D1016" s="85">
        <v>44463.0</v>
      </c>
      <c r="E1016" s="86">
        <v>4.17</v>
      </c>
      <c r="F1016" s="87">
        <v>4.55</v>
      </c>
      <c r="G1016" s="88">
        <f t="shared" si="1"/>
        <v>0.38</v>
      </c>
      <c r="H1016" s="89">
        <f t="shared" si="2"/>
        <v>0.08351648352</v>
      </c>
      <c r="I1016" s="78" t="s">
        <v>1380</v>
      </c>
      <c r="J1016" s="78" t="s">
        <v>69</v>
      </c>
      <c r="K1016" s="58">
        <f t="shared" si="3"/>
        <v>8</v>
      </c>
      <c r="L1016" s="91" t="str">
        <f t="shared" si="6"/>
        <v>Fri</v>
      </c>
      <c r="M1016" s="78" t="str">
        <f>IFERROR(VLOOKUP(A1016, Entries!A:B,2,false),"")</f>
        <v>SEGA</v>
      </c>
      <c r="N1016" s="23" t="str">
        <f>IFERROR(VLOOKUP(A1016, Entries!A:K,11,false),"")</f>
        <v/>
      </c>
      <c r="O1016" s="23" t="b">
        <f>IFERROR(VLOOKUP(A1016, Entries!A:I,8,false),"")</f>
        <v>0</v>
      </c>
    </row>
    <row r="1017">
      <c r="A1017" s="78" t="s">
        <v>1338</v>
      </c>
      <c r="B1017" s="78" t="s">
        <v>21</v>
      </c>
      <c r="C1017" s="85">
        <v>44455.0</v>
      </c>
      <c r="D1017" s="85">
        <v>44471.0</v>
      </c>
      <c r="E1017" s="86">
        <v>4.17</v>
      </c>
      <c r="F1017" s="87">
        <v>4.42</v>
      </c>
      <c r="G1017" s="88">
        <f t="shared" si="1"/>
        <v>0.25</v>
      </c>
      <c r="H1017" s="89">
        <f t="shared" si="2"/>
        <v>0.05656108597</v>
      </c>
      <c r="I1017" s="78" t="s">
        <v>1381</v>
      </c>
      <c r="J1017" s="78" t="s">
        <v>69</v>
      </c>
      <c r="K1017" s="58">
        <f t="shared" si="3"/>
        <v>16</v>
      </c>
      <c r="L1017" s="91" t="str">
        <f t="shared" si="6"/>
        <v>Sat</v>
      </c>
      <c r="M1017" s="78" t="str">
        <f>IFERROR(VLOOKUP(A1017, Entries!A:B,2,false),"")</f>
        <v>SEGA</v>
      </c>
      <c r="N1017" s="23" t="str">
        <f>IFERROR(VLOOKUP(A1017, Entries!A:K,11,false),"")</f>
        <v/>
      </c>
      <c r="O1017" s="23" t="b">
        <f>IFERROR(VLOOKUP(A1017, Entries!A:I,8,false),"")</f>
        <v>0</v>
      </c>
    </row>
    <row r="1018">
      <c r="A1018" s="78" t="s">
        <v>678</v>
      </c>
      <c r="B1018" s="78" t="s">
        <v>23</v>
      </c>
      <c r="C1018" s="85">
        <v>44455.0</v>
      </c>
      <c r="D1018" s="85">
        <v>44458.0</v>
      </c>
      <c r="E1018" s="86">
        <v>4.19</v>
      </c>
      <c r="F1018" s="87">
        <v>6.42</v>
      </c>
      <c r="G1018" s="88">
        <f t="shared" si="1"/>
        <v>2.23</v>
      </c>
      <c r="H1018" s="89">
        <f t="shared" si="2"/>
        <v>0.3473520249</v>
      </c>
      <c r="I1018" s="78" t="s">
        <v>1382</v>
      </c>
      <c r="J1018" s="78" t="s">
        <v>69</v>
      </c>
      <c r="K1018" s="58">
        <f t="shared" si="3"/>
        <v>3</v>
      </c>
      <c r="L1018" s="91" t="str">
        <f t="shared" si="6"/>
        <v>Sun</v>
      </c>
      <c r="M1018" s="78" t="str">
        <f>IFERROR(VLOOKUP(A1018, Entries!A:B,2,false),"")</f>
        <v>FireFly Studios</v>
      </c>
      <c r="N1018" s="23" t="str">
        <f>IFERROR(VLOOKUP(A1018, Entries!A:K,11,false),"")</f>
        <v/>
      </c>
      <c r="O1018" s="23" t="b">
        <f>IFERROR(VLOOKUP(A1018, Entries!A:I,8,false),"")</f>
        <v>0</v>
      </c>
    </row>
    <row r="1019">
      <c r="A1019" s="78" t="s">
        <v>678</v>
      </c>
      <c r="B1019" s="78" t="s">
        <v>23</v>
      </c>
      <c r="C1019" s="85">
        <v>44455.0</v>
      </c>
      <c r="D1019" s="85">
        <v>44463.0</v>
      </c>
      <c r="E1019" s="86">
        <v>4.19</v>
      </c>
      <c r="F1019" s="87">
        <v>6.08</v>
      </c>
      <c r="G1019" s="88">
        <f t="shared" si="1"/>
        <v>1.89</v>
      </c>
      <c r="H1019" s="89">
        <f t="shared" si="2"/>
        <v>0.3108552632</v>
      </c>
      <c r="I1019" s="78" t="s">
        <v>1383</v>
      </c>
      <c r="J1019" s="78" t="s">
        <v>69</v>
      </c>
      <c r="K1019" s="58">
        <f t="shared" si="3"/>
        <v>8</v>
      </c>
      <c r="L1019" s="91" t="str">
        <f t="shared" si="6"/>
        <v>Fri</v>
      </c>
      <c r="M1019" s="78" t="str">
        <f>IFERROR(VLOOKUP(A1019, Entries!A:B,2,false),"")</f>
        <v>FireFly Studios</v>
      </c>
      <c r="N1019" s="23" t="str">
        <f>IFERROR(VLOOKUP(A1019, Entries!A:K,11,false),"")</f>
        <v/>
      </c>
      <c r="O1019" s="23" t="b">
        <f>IFERROR(VLOOKUP(A1019, Entries!A:I,8,false),"")</f>
        <v>0</v>
      </c>
    </row>
    <row r="1020">
      <c r="A1020" s="78" t="s">
        <v>1281</v>
      </c>
      <c r="B1020" s="78" t="s">
        <v>19</v>
      </c>
      <c r="C1020" s="85">
        <v>44455.0</v>
      </c>
      <c r="D1020" s="85">
        <v>44456.0</v>
      </c>
      <c r="E1020" s="86">
        <v>4.78</v>
      </c>
      <c r="F1020" s="87">
        <v>10.3</v>
      </c>
      <c r="G1020" s="88">
        <f t="shared" si="1"/>
        <v>5.52</v>
      </c>
      <c r="H1020" s="89">
        <f t="shared" si="2"/>
        <v>0.5359223301</v>
      </c>
      <c r="I1020" s="78" t="s">
        <v>1384</v>
      </c>
      <c r="J1020" s="78" t="s">
        <v>69</v>
      </c>
      <c r="K1020" s="58">
        <f t="shared" si="3"/>
        <v>1</v>
      </c>
      <c r="L1020" s="91" t="str">
        <f t="shared" si="6"/>
        <v>Fri</v>
      </c>
      <c r="M1020" s="78" t="str">
        <f>IFERROR(VLOOKUP(A1020, Entries!A:B,2,false),"")</f>
        <v>Konami</v>
      </c>
      <c r="N1020" s="23" t="str">
        <f>IFERROR(VLOOKUP(A1020, Entries!A:K,11,false),"")</f>
        <v/>
      </c>
      <c r="O1020" s="23" t="b">
        <f>IFERROR(VLOOKUP(A1020, Entries!A:I,8,false),"")</f>
        <v>0</v>
      </c>
    </row>
    <row r="1021">
      <c r="A1021" s="78" t="s">
        <v>1281</v>
      </c>
      <c r="B1021" s="78" t="s">
        <v>19</v>
      </c>
      <c r="C1021" s="85">
        <v>44456.0</v>
      </c>
      <c r="D1021" s="85">
        <v>44457.0</v>
      </c>
      <c r="E1021" s="86">
        <v>4.8</v>
      </c>
      <c r="F1021" s="87">
        <v>10.08</v>
      </c>
      <c r="G1021" s="88">
        <f t="shared" si="1"/>
        <v>5.28</v>
      </c>
      <c r="H1021" s="89">
        <f t="shared" si="2"/>
        <v>0.5238095238</v>
      </c>
      <c r="I1021" s="78" t="s">
        <v>1385</v>
      </c>
      <c r="J1021" s="78" t="s">
        <v>69</v>
      </c>
      <c r="K1021" s="58">
        <f t="shared" si="3"/>
        <v>1</v>
      </c>
      <c r="L1021" s="91" t="str">
        <f t="shared" si="6"/>
        <v>Sat</v>
      </c>
      <c r="M1021" s="78" t="str">
        <f>IFERROR(VLOOKUP(A1021, Entries!A:B,2,false),"")</f>
        <v>Konami</v>
      </c>
      <c r="N1021" s="23" t="str">
        <f>IFERROR(VLOOKUP(A1021, Entries!A:K,11,false),"")</f>
        <v/>
      </c>
      <c r="O1021" s="23" t="b">
        <f>IFERROR(VLOOKUP(A1021, Entries!A:I,8,false),"")</f>
        <v>0</v>
      </c>
    </row>
    <row r="1022">
      <c r="A1022" s="78" t="s">
        <v>1034</v>
      </c>
      <c r="B1022" s="78" t="s">
        <v>23</v>
      </c>
      <c r="C1022" s="85">
        <v>44456.0</v>
      </c>
      <c r="D1022" s="85">
        <v>44457.0</v>
      </c>
      <c r="E1022" s="86">
        <v>5.91</v>
      </c>
      <c r="F1022" s="87">
        <v>9.66</v>
      </c>
      <c r="G1022" s="88">
        <f t="shared" si="1"/>
        <v>3.75</v>
      </c>
      <c r="H1022" s="89">
        <f t="shared" si="2"/>
        <v>0.3881987578</v>
      </c>
      <c r="I1022" s="78" t="s">
        <v>1386</v>
      </c>
      <c r="J1022" s="78" t="s">
        <v>69</v>
      </c>
      <c r="K1022" s="58">
        <f t="shared" si="3"/>
        <v>1</v>
      </c>
      <c r="L1022" s="91" t="str">
        <f t="shared" si="6"/>
        <v>Sat</v>
      </c>
      <c r="M1022" s="78" t="str">
        <f>IFERROR(VLOOKUP(A1022, Entries!A:B,2,false),"")</f>
        <v>Eugen Systems</v>
      </c>
      <c r="N1022" s="23" t="str">
        <f>IFERROR(VLOOKUP(A1022, Entries!A:K,11,false),"")</f>
        <v/>
      </c>
      <c r="O1022" s="23" t="b">
        <f>IFERROR(VLOOKUP(A1022, Entries!A:I,8,false),"")</f>
        <v>1</v>
      </c>
    </row>
    <row r="1023">
      <c r="A1023" s="78" t="s">
        <v>1387</v>
      </c>
      <c r="B1023" s="78" t="s">
        <v>23</v>
      </c>
      <c r="C1023" s="85">
        <v>44456.0</v>
      </c>
      <c r="D1023" s="85">
        <v>44457.0</v>
      </c>
      <c r="E1023" s="86">
        <v>0.0</v>
      </c>
      <c r="F1023" s="87">
        <v>4.77</v>
      </c>
      <c r="G1023" s="88">
        <f t="shared" si="1"/>
        <v>4.77</v>
      </c>
      <c r="H1023" s="89">
        <f t="shared" si="2"/>
        <v>1</v>
      </c>
      <c r="I1023" s="78" t="s">
        <v>1388</v>
      </c>
      <c r="J1023" s="78" t="s">
        <v>69</v>
      </c>
      <c r="K1023" s="58">
        <f t="shared" si="3"/>
        <v>1</v>
      </c>
      <c r="L1023" s="91" t="str">
        <f t="shared" si="6"/>
        <v>Sat</v>
      </c>
      <c r="M1023" s="78" t="str">
        <f>IFERROR(VLOOKUP(A1023, Entries!A:B,2,false),"")</f>
        <v>Eugen Systems</v>
      </c>
      <c r="N1023" s="23" t="str">
        <f>IFERROR(VLOOKUP(A1023, Entries!A:K,11,false),"")</f>
        <v/>
      </c>
      <c r="O1023" s="23" t="b">
        <f>IFERROR(VLOOKUP(A1023, Entries!A:I,8,false),"")</f>
        <v>0</v>
      </c>
    </row>
    <row r="1024">
      <c r="A1024" s="78" t="s">
        <v>1389</v>
      </c>
      <c r="B1024" s="78" t="s">
        <v>23</v>
      </c>
      <c r="C1024" s="85">
        <v>44456.0</v>
      </c>
      <c r="D1024" s="85">
        <v>44456.0</v>
      </c>
      <c r="E1024" s="86">
        <v>9.75</v>
      </c>
      <c r="F1024" s="87">
        <v>23.96</v>
      </c>
      <c r="G1024" s="88">
        <f t="shared" si="1"/>
        <v>14.21</v>
      </c>
      <c r="H1024" s="89">
        <f t="shared" si="2"/>
        <v>0.5930717863</v>
      </c>
      <c r="I1024" s="78" t="s">
        <v>1390</v>
      </c>
      <c r="J1024" s="78" t="s">
        <v>69</v>
      </c>
      <c r="K1024" s="58">
        <f t="shared" si="3"/>
        <v>0</v>
      </c>
      <c r="L1024" s="91" t="str">
        <f t="shared" si="6"/>
        <v>Fri</v>
      </c>
      <c r="M1024" s="78" t="str">
        <f>IFERROR(VLOOKUP(A1024, Entries!A:B,2,false),"")</f>
        <v>Eugen Systems</v>
      </c>
      <c r="N1024" s="23" t="str">
        <f>IFERROR(VLOOKUP(A1024, Entries!A:K,11,false),"")</f>
        <v/>
      </c>
      <c r="O1024" s="23" t="b">
        <f>IFERROR(VLOOKUP(A1024, Entries!A:I,8,false),"")</f>
        <v>1</v>
      </c>
    </row>
    <row r="1025">
      <c r="A1025" s="78" t="s">
        <v>1389</v>
      </c>
      <c r="B1025" s="78" t="s">
        <v>23</v>
      </c>
      <c r="C1025" s="85">
        <v>44456.0</v>
      </c>
      <c r="D1025" s="85">
        <v>44458.0</v>
      </c>
      <c r="E1025" s="86">
        <v>9.75</v>
      </c>
      <c r="F1025" s="87">
        <v>18.67</v>
      </c>
      <c r="G1025" s="88">
        <f t="shared" si="1"/>
        <v>8.92</v>
      </c>
      <c r="H1025" s="89">
        <f t="shared" si="2"/>
        <v>0.4777718265</v>
      </c>
      <c r="I1025" s="78" t="s">
        <v>1391</v>
      </c>
      <c r="J1025" s="78" t="s">
        <v>69</v>
      </c>
      <c r="K1025" s="58">
        <f t="shared" si="3"/>
        <v>2</v>
      </c>
      <c r="L1025" s="91" t="str">
        <f t="shared" si="6"/>
        <v>Sun</v>
      </c>
      <c r="M1025" s="78" t="str">
        <f>IFERROR(VLOOKUP(A1025, Entries!A:B,2,false),"")</f>
        <v>Eugen Systems</v>
      </c>
      <c r="N1025" s="23" t="str">
        <f>IFERROR(VLOOKUP(A1025, Entries!A:K,11,false),"")</f>
        <v/>
      </c>
      <c r="O1025" s="23" t="b">
        <f>IFERROR(VLOOKUP(A1025, Entries!A:I,8,false),"")</f>
        <v>1</v>
      </c>
    </row>
    <row r="1026">
      <c r="A1026" s="78" t="s">
        <v>1392</v>
      </c>
      <c r="B1026" s="78" t="s">
        <v>19</v>
      </c>
      <c r="C1026" s="85">
        <v>44456.0</v>
      </c>
      <c r="D1026" s="85">
        <v>44457.0</v>
      </c>
      <c r="E1026" s="86">
        <v>3.98</v>
      </c>
      <c r="F1026" s="87">
        <v>5.11</v>
      </c>
      <c r="G1026" s="88">
        <f t="shared" si="1"/>
        <v>1.13</v>
      </c>
      <c r="H1026" s="89">
        <f t="shared" si="2"/>
        <v>0.2211350294</v>
      </c>
      <c r="I1026" s="78" t="s">
        <v>1393</v>
      </c>
      <c r="J1026" s="78" t="s">
        <v>69</v>
      </c>
      <c r="K1026" s="58">
        <f t="shared" si="3"/>
        <v>1</v>
      </c>
      <c r="L1026" s="91" t="str">
        <f t="shared" si="6"/>
        <v>Sat</v>
      </c>
      <c r="M1026" s="78" t="str">
        <f>IFERROR(VLOOKUP(A1026, Entries!A:B,2,false),"")</f>
        <v>Survios</v>
      </c>
      <c r="N1026" s="23" t="str">
        <f>IFERROR(VLOOKUP(A1026, Entries!A:K,11,false),"")</f>
        <v/>
      </c>
      <c r="O1026" s="23" t="b">
        <f>IFERROR(VLOOKUP(A1026, Entries!A:I,8,false),"")</f>
        <v>1</v>
      </c>
    </row>
    <row r="1027">
      <c r="A1027" s="78" t="s">
        <v>411</v>
      </c>
      <c r="B1027" s="78" t="s">
        <v>19</v>
      </c>
      <c r="C1027" s="85">
        <v>44457.0</v>
      </c>
      <c r="D1027" s="85">
        <v>44472.0</v>
      </c>
      <c r="E1027" s="86">
        <v>6.32</v>
      </c>
      <c r="F1027" s="87">
        <v>8.29</v>
      </c>
      <c r="G1027" s="88">
        <f t="shared" si="1"/>
        <v>1.97</v>
      </c>
      <c r="H1027" s="89">
        <f t="shared" si="2"/>
        <v>0.2376357057</v>
      </c>
      <c r="I1027" s="78" t="s">
        <v>1394</v>
      </c>
      <c r="J1027" s="78" t="s">
        <v>69</v>
      </c>
      <c r="K1027" s="58">
        <f t="shared" si="3"/>
        <v>15</v>
      </c>
      <c r="L1027" s="91" t="str">
        <f t="shared" si="6"/>
        <v>Sun</v>
      </c>
      <c r="M1027" s="78" t="str">
        <f>IFERROR(VLOOKUP(A1027, Entries!A:B,2,false),"")</f>
        <v>ROCKFISH Games</v>
      </c>
      <c r="N1027" s="23" t="str">
        <f>IFERROR(VLOOKUP(A1027, Entries!A:K,11,false),"")</f>
        <v/>
      </c>
      <c r="O1027" s="23" t="b">
        <f>IFERROR(VLOOKUP(A1027, Entries!A:I,8,false),"")</f>
        <v>0</v>
      </c>
    </row>
    <row r="1028">
      <c r="A1028" s="78" t="s">
        <v>411</v>
      </c>
      <c r="B1028" s="78" t="s">
        <v>19</v>
      </c>
      <c r="C1028" s="85">
        <v>44457.0</v>
      </c>
      <c r="D1028" s="85">
        <v>44522.0</v>
      </c>
      <c r="E1028" s="86">
        <v>6.33</v>
      </c>
      <c r="F1028" s="87">
        <v>7.29</v>
      </c>
      <c r="G1028" s="88">
        <f t="shared" si="1"/>
        <v>0.96</v>
      </c>
      <c r="H1028" s="89">
        <f t="shared" si="2"/>
        <v>0.1316872428</v>
      </c>
      <c r="I1028" s="78" t="s">
        <v>1395</v>
      </c>
      <c r="J1028" s="78" t="s">
        <v>69</v>
      </c>
      <c r="K1028" s="58">
        <f t="shared" si="3"/>
        <v>65</v>
      </c>
      <c r="L1028" s="91" t="str">
        <f t="shared" si="6"/>
        <v>Mon</v>
      </c>
      <c r="M1028" s="78" t="str">
        <f>IFERROR(VLOOKUP(A1028, Entries!A:B,2,false),"")</f>
        <v>ROCKFISH Games</v>
      </c>
      <c r="N1028" s="23" t="str">
        <f>IFERROR(VLOOKUP(A1028, Entries!A:K,11,false),"")</f>
        <v/>
      </c>
      <c r="O1028" s="23" t="b">
        <f>IFERROR(VLOOKUP(A1028, Entries!A:I,8,false),"")</f>
        <v>0</v>
      </c>
    </row>
    <row r="1029">
      <c r="A1029" s="78" t="s">
        <v>1281</v>
      </c>
      <c r="B1029" s="78" t="s">
        <v>19</v>
      </c>
      <c r="C1029" s="85">
        <v>44457.0</v>
      </c>
      <c r="D1029" s="85">
        <v>44458.0</v>
      </c>
      <c r="E1029" s="86">
        <v>4.81</v>
      </c>
      <c r="F1029" s="87">
        <v>10.06</v>
      </c>
      <c r="G1029" s="88">
        <f t="shared" si="1"/>
        <v>5.25</v>
      </c>
      <c r="H1029" s="89">
        <f t="shared" si="2"/>
        <v>0.5218687873</v>
      </c>
      <c r="I1029" s="78" t="s">
        <v>1396</v>
      </c>
      <c r="J1029" s="78" t="s">
        <v>69</v>
      </c>
      <c r="K1029" s="58">
        <f t="shared" si="3"/>
        <v>1</v>
      </c>
      <c r="L1029" s="91" t="str">
        <f t="shared" si="6"/>
        <v>Sun</v>
      </c>
      <c r="M1029" s="78" t="str">
        <f>IFERROR(VLOOKUP(A1029, Entries!A:B,2,false),"")</f>
        <v>Konami</v>
      </c>
      <c r="N1029" s="23" t="str">
        <f>IFERROR(VLOOKUP(A1029, Entries!A:K,11,false),"")</f>
        <v/>
      </c>
      <c r="O1029" s="23" t="b">
        <f>IFERROR(VLOOKUP(A1029, Entries!A:I,8,false),"")</f>
        <v>0</v>
      </c>
    </row>
    <row r="1030">
      <c r="A1030" s="78" t="s">
        <v>1389</v>
      </c>
      <c r="B1030" s="78" t="s">
        <v>23</v>
      </c>
      <c r="C1030" s="85">
        <v>44457.0</v>
      </c>
      <c r="D1030" s="85">
        <v>44458.0</v>
      </c>
      <c r="E1030" s="86">
        <v>11.0</v>
      </c>
      <c r="F1030" s="87">
        <v>18.44</v>
      </c>
      <c r="G1030" s="88">
        <f t="shared" si="1"/>
        <v>7.44</v>
      </c>
      <c r="H1030" s="89">
        <f t="shared" si="2"/>
        <v>0.4034707158</v>
      </c>
      <c r="I1030" s="78" t="s">
        <v>1397</v>
      </c>
      <c r="J1030" s="78" t="s">
        <v>69</v>
      </c>
      <c r="K1030" s="58">
        <f t="shared" si="3"/>
        <v>1</v>
      </c>
      <c r="L1030" s="91" t="str">
        <f t="shared" si="6"/>
        <v>Sun</v>
      </c>
      <c r="M1030" s="78" t="str">
        <f>IFERROR(VLOOKUP(A1030, Entries!A:B,2,false),"")</f>
        <v>Eugen Systems</v>
      </c>
      <c r="N1030" s="23" t="str">
        <f>IFERROR(VLOOKUP(A1030, Entries!A:K,11,false),"")</f>
        <v/>
      </c>
      <c r="O1030" s="23" t="b">
        <f>IFERROR(VLOOKUP(A1030, Entries!A:I,8,false),"")</f>
        <v>1</v>
      </c>
    </row>
    <row r="1031">
      <c r="A1031" s="78" t="s">
        <v>1387</v>
      </c>
      <c r="B1031" s="78" t="s">
        <v>23</v>
      </c>
      <c r="C1031" s="85">
        <v>44457.0</v>
      </c>
      <c r="D1031" s="85">
        <v>44462.0</v>
      </c>
      <c r="E1031" s="86">
        <v>0.0</v>
      </c>
      <c r="F1031" s="87">
        <v>4.02</v>
      </c>
      <c r="G1031" s="88">
        <f t="shared" si="1"/>
        <v>4.02</v>
      </c>
      <c r="H1031" s="89">
        <f t="shared" si="2"/>
        <v>1</v>
      </c>
      <c r="I1031" s="78" t="s">
        <v>1398</v>
      </c>
      <c r="J1031" s="78" t="s">
        <v>69</v>
      </c>
      <c r="K1031" s="58">
        <f t="shared" si="3"/>
        <v>5</v>
      </c>
      <c r="L1031" s="91" t="str">
        <f t="shared" si="6"/>
        <v>Thu</v>
      </c>
      <c r="M1031" s="78" t="str">
        <f>IFERROR(VLOOKUP(A1031, Entries!A:B,2,false),"")</f>
        <v>Eugen Systems</v>
      </c>
      <c r="N1031" s="23" t="str">
        <f>IFERROR(VLOOKUP(A1031, Entries!A:K,11,false),"")</f>
        <v/>
      </c>
      <c r="O1031" s="23" t="b">
        <f>IFERROR(VLOOKUP(A1031, Entries!A:I,8,false),"")</f>
        <v>0</v>
      </c>
    </row>
    <row r="1032">
      <c r="A1032" s="78" t="s">
        <v>1392</v>
      </c>
      <c r="B1032" s="78" t="s">
        <v>19</v>
      </c>
      <c r="C1032" s="85">
        <v>44457.0</v>
      </c>
      <c r="D1032" s="85">
        <v>44458.0</v>
      </c>
      <c r="E1032" s="86">
        <v>3.99</v>
      </c>
      <c r="F1032" s="87">
        <v>5.02</v>
      </c>
      <c r="G1032" s="88">
        <f t="shared" si="1"/>
        <v>1.03</v>
      </c>
      <c r="H1032" s="89">
        <f t="shared" si="2"/>
        <v>0.2051792829</v>
      </c>
      <c r="I1032" s="78" t="s">
        <v>1399</v>
      </c>
      <c r="J1032" s="78" t="s">
        <v>69</v>
      </c>
      <c r="K1032" s="58">
        <f t="shared" si="3"/>
        <v>1</v>
      </c>
      <c r="L1032" s="91" t="str">
        <f t="shared" si="6"/>
        <v>Sun</v>
      </c>
      <c r="M1032" s="78" t="str">
        <f>IFERROR(VLOOKUP(A1032, Entries!A:B,2,false),"")</f>
        <v>Survios</v>
      </c>
      <c r="N1032" s="23" t="str">
        <f>IFERROR(VLOOKUP(A1032, Entries!A:K,11,false),"")</f>
        <v/>
      </c>
      <c r="O1032" s="23" t="b">
        <f>IFERROR(VLOOKUP(A1032, Entries!A:I,8,false),"")</f>
        <v>1</v>
      </c>
    </row>
    <row r="1033">
      <c r="A1033" s="78" t="s">
        <v>1034</v>
      </c>
      <c r="B1033" s="78" t="s">
        <v>23</v>
      </c>
      <c r="C1033" s="85">
        <v>44457.0</v>
      </c>
      <c r="D1033" s="85">
        <v>44458.0</v>
      </c>
      <c r="E1033" s="86">
        <v>6.66</v>
      </c>
      <c r="F1033" s="87">
        <v>9.66</v>
      </c>
      <c r="G1033" s="88">
        <f t="shared" si="1"/>
        <v>3</v>
      </c>
      <c r="H1033" s="89">
        <f t="shared" si="2"/>
        <v>0.3105590062</v>
      </c>
      <c r="I1033" s="78" t="s">
        <v>1400</v>
      </c>
      <c r="J1033" s="78" t="s">
        <v>69</v>
      </c>
      <c r="K1033" s="58">
        <f t="shared" si="3"/>
        <v>1</v>
      </c>
      <c r="L1033" s="91" t="str">
        <f t="shared" si="6"/>
        <v>Sun</v>
      </c>
      <c r="M1033" s="78" t="str">
        <f>IFERROR(VLOOKUP(A1033, Entries!A:B,2,false),"")</f>
        <v>Eugen Systems</v>
      </c>
      <c r="N1033" s="23" t="str">
        <f>IFERROR(VLOOKUP(A1033, Entries!A:K,11,false),"")</f>
        <v/>
      </c>
      <c r="O1033" s="23" t="b">
        <f>IFERROR(VLOOKUP(A1033, Entries!A:I,8,false),"")</f>
        <v>1</v>
      </c>
    </row>
    <row r="1034">
      <c r="A1034" s="78" t="s">
        <v>1387</v>
      </c>
      <c r="B1034" s="78" t="s">
        <v>23</v>
      </c>
      <c r="C1034" s="85">
        <v>44457.0</v>
      </c>
      <c r="D1034" s="85">
        <v>44509.0</v>
      </c>
      <c r="E1034" s="86">
        <v>0.0</v>
      </c>
      <c r="F1034" s="87">
        <v>5.33</v>
      </c>
      <c r="G1034" s="88">
        <f t="shared" si="1"/>
        <v>5.33</v>
      </c>
      <c r="H1034" s="89">
        <f t="shared" si="2"/>
        <v>1</v>
      </c>
      <c r="I1034" s="78" t="s">
        <v>1401</v>
      </c>
      <c r="J1034" s="78" t="s">
        <v>69</v>
      </c>
      <c r="K1034" s="58">
        <f t="shared" si="3"/>
        <v>52</v>
      </c>
      <c r="L1034" s="91" t="str">
        <f t="shared" si="6"/>
        <v>Tue</v>
      </c>
      <c r="M1034" s="78" t="str">
        <f>IFERROR(VLOOKUP(A1034, Entries!A:B,2,false),"")</f>
        <v>Eugen Systems</v>
      </c>
      <c r="N1034" s="23" t="str">
        <f>IFERROR(VLOOKUP(A1034, Entries!A:K,11,false),"")</f>
        <v/>
      </c>
      <c r="O1034" s="23" t="b">
        <f>IFERROR(VLOOKUP(A1034, Entries!A:I,8,false),"")</f>
        <v>0</v>
      </c>
    </row>
    <row r="1035">
      <c r="A1035" s="78" t="s">
        <v>1281</v>
      </c>
      <c r="B1035" s="78" t="s">
        <v>19</v>
      </c>
      <c r="C1035" s="85">
        <v>44458.0</v>
      </c>
      <c r="D1035" s="85">
        <v>44458.0</v>
      </c>
      <c r="E1035" s="86">
        <v>4.81</v>
      </c>
      <c r="F1035" s="87">
        <v>9.66</v>
      </c>
      <c r="G1035" s="88">
        <f t="shared" si="1"/>
        <v>4.85</v>
      </c>
      <c r="H1035" s="89">
        <f t="shared" si="2"/>
        <v>0.5020703934</v>
      </c>
      <c r="I1035" s="78" t="s">
        <v>1402</v>
      </c>
      <c r="J1035" s="78" t="s">
        <v>69</v>
      </c>
      <c r="K1035" s="58">
        <f t="shared" si="3"/>
        <v>0</v>
      </c>
      <c r="L1035" s="91" t="str">
        <f t="shared" si="6"/>
        <v>Sun</v>
      </c>
      <c r="M1035" s="78" t="str">
        <f>IFERROR(VLOOKUP(A1035, Entries!A:B,2,false),"")</f>
        <v>Konami</v>
      </c>
      <c r="N1035" s="23" t="str">
        <f>IFERROR(VLOOKUP(A1035, Entries!A:K,11,false),"")</f>
        <v/>
      </c>
      <c r="O1035" s="23" t="b">
        <f>IFERROR(VLOOKUP(A1035, Entries!A:I,8,false),"")</f>
        <v>0</v>
      </c>
    </row>
    <row r="1036">
      <c r="A1036" s="78" t="s">
        <v>1034</v>
      </c>
      <c r="B1036" s="78" t="s">
        <v>23</v>
      </c>
      <c r="C1036" s="85">
        <v>44458.0</v>
      </c>
      <c r="D1036" s="85">
        <v>44462.0</v>
      </c>
      <c r="E1036" s="86">
        <v>6.78</v>
      </c>
      <c r="F1036" s="87">
        <v>7.81</v>
      </c>
      <c r="G1036" s="88">
        <f t="shared" si="1"/>
        <v>1.03</v>
      </c>
      <c r="H1036" s="89">
        <f t="shared" si="2"/>
        <v>0.1318822023</v>
      </c>
      <c r="I1036" s="78" t="s">
        <v>1403</v>
      </c>
      <c r="J1036" s="78" t="s">
        <v>69</v>
      </c>
      <c r="K1036" s="58">
        <f t="shared" si="3"/>
        <v>4</v>
      </c>
      <c r="L1036" s="91" t="str">
        <f t="shared" si="6"/>
        <v>Thu</v>
      </c>
      <c r="M1036" s="78" t="str">
        <f>IFERROR(VLOOKUP(A1036, Entries!A:B,2,false),"")</f>
        <v>Eugen Systems</v>
      </c>
      <c r="N1036" s="23" t="str">
        <f>IFERROR(VLOOKUP(A1036, Entries!A:K,11,false),"")</f>
        <v/>
      </c>
      <c r="O1036" s="23" t="b">
        <f>IFERROR(VLOOKUP(A1036, Entries!A:I,8,false),"")</f>
        <v>1</v>
      </c>
    </row>
    <row r="1037">
      <c r="A1037" s="78" t="s">
        <v>1387</v>
      </c>
      <c r="B1037" s="78" t="s">
        <v>23</v>
      </c>
      <c r="C1037" s="85">
        <v>44458.0</v>
      </c>
      <c r="D1037" s="85">
        <v>44531.0</v>
      </c>
      <c r="E1037" s="86">
        <v>0.0</v>
      </c>
      <c r="F1037" s="87">
        <v>5.74</v>
      </c>
      <c r="G1037" s="88">
        <f t="shared" si="1"/>
        <v>5.74</v>
      </c>
      <c r="H1037" s="89">
        <f t="shared" si="2"/>
        <v>1</v>
      </c>
      <c r="I1037" s="78" t="s">
        <v>1404</v>
      </c>
      <c r="J1037" s="78" t="s">
        <v>69</v>
      </c>
      <c r="K1037" s="58">
        <f t="shared" si="3"/>
        <v>73</v>
      </c>
      <c r="L1037" s="91" t="str">
        <f t="shared" si="6"/>
        <v>Wed</v>
      </c>
      <c r="M1037" s="78" t="str">
        <f>IFERROR(VLOOKUP(A1037, Entries!A:B,2,false),"")</f>
        <v>Eugen Systems</v>
      </c>
      <c r="N1037" s="23" t="str">
        <f>IFERROR(VLOOKUP(A1037, Entries!A:K,11,false),"")</f>
        <v/>
      </c>
      <c r="O1037" s="23" t="b">
        <f>IFERROR(VLOOKUP(A1037, Entries!A:I,8,false),"")</f>
        <v>0</v>
      </c>
    </row>
    <row r="1038">
      <c r="A1038" s="78" t="s">
        <v>1392</v>
      </c>
      <c r="B1038" s="78" t="s">
        <v>19</v>
      </c>
      <c r="C1038" s="85">
        <v>44458.0</v>
      </c>
      <c r="D1038" s="85">
        <v>44492.0</v>
      </c>
      <c r="E1038" s="86">
        <v>3.99</v>
      </c>
      <c r="F1038" s="87">
        <v>4.46</v>
      </c>
      <c r="G1038" s="88">
        <f t="shared" si="1"/>
        <v>0.47</v>
      </c>
      <c r="H1038" s="89">
        <f t="shared" si="2"/>
        <v>0.1053811659</v>
      </c>
      <c r="I1038" s="78" t="s">
        <v>1405</v>
      </c>
      <c r="J1038" s="78" t="s">
        <v>69</v>
      </c>
      <c r="K1038" s="58">
        <f t="shared" si="3"/>
        <v>34</v>
      </c>
      <c r="L1038" s="91" t="str">
        <f t="shared" si="6"/>
        <v>Sat</v>
      </c>
      <c r="M1038" s="78" t="str">
        <f>IFERROR(VLOOKUP(A1038, Entries!A:B,2,false),"")</f>
        <v>Survios</v>
      </c>
      <c r="N1038" s="23" t="str">
        <f>IFERROR(VLOOKUP(A1038, Entries!A:K,11,false),"")</f>
        <v/>
      </c>
      <c r="O1038" s="23" t="b">
        <f>IFERROR(VLOOKUP(A1038, Entries!A:I,8,false),"")</f>
        <v>1</v>
      </c>
    </row>
    <row r="1039">
      <c r="A1039" s="78" t="s">
        <v>1406</v>
      </c>
      <c r="B1039" s="78" t="s">
        <v>23</v>
      </c>
      <c r="C1039" s="85">
        <v>44458.0</v>
      </c>
      <c r="D1039" s="85">
        <v>44458.0</v>
      </c>
      <c r="E1039" s="86">
        <v>19.54</v>
      </c>
      <c r="F1039" s="87">
        <v>31.26</v>
      </c>
      <c r="G1039" s="88">
        <f t="shared" si="1"/>
        <v>11.72</v>
      </c>
      <c r="H1039" s="89">
        <f t="shared" si="2"/>
        <v>0.3749200256</v>
      </c>
      <c r="I1039" s="78" t="s">
        <v>1407</v>
      </c>
      <c r="J1039" s="78" t="s">
        <v>69</v>
      </c>
      <c r="K1039" s="58">
        <f t="shared" si="3"/>
        <v>0</v>
      </c>
      <c r="L1039" s="91" t="str">
        <f t="shared" si="6"/>
        <v>Sun</v>
      </c>
      <c r="M1039" s="78" t="str">
        <f>IFERROR(VLOOKUP(A1039, Entries!A:B,2,false),"")</f>
        <v>Eugen Systems</v>
      </c>
      <c r="N1039" s="23" t="str">
        <f>IFERROR(VLOOKUP(A1039, Entries!A:K,11,false),"")</f>
        <v/>
      </c>
      <c r="O1039" s="23" t="b">
        <f>IFERROR(VLOOKUP(A1039, Entries!A:I,8,false),"")</f>
        <v>1</v>
      </c>
    </row>
    <row r="1040">
      <c r="A1040" s="78" t="s">
        <v>1406</v>
      </c>
      <c r="B1040" s="78" t="s">
        <v>23</v>
      </c>
      <c r="C1040" s="85">
        <v>44458.0</v>
      </c>
      <c r="D1040" s="85">
        <v>44460.0</v>
      </c>
      <c r="E1040" s="86">
        <v>19.54</v>
      </c>
      <c r="F1040" s="87">
        <v>27.77</v>
      </c>
      <c r="G1040" s="88">
        <f t="shared" si="1"/>
        <v>8.23</v>
      </c>
      <c r="H1040" s="89">
        <f t="shared" si="2"/>
        <v>0.2963629816</v>
      </c>
      <c r="I1040" s="78" t="s">
        <v>1408</v>
      </c>
      <c r="J1040" s="78" t="s">
        <v>69</v>
      </c>
      <c r="K1040" s="58">
        <f t="shared" si="3"/>
        <v>2</v>
      </c>
      <c r="L1040" s="91" t="str">
        <f t="shared" si="6"/>
        <v>Tue</v>
      </c>
      <c r="M1040" s="78" t="str">
        <f>IFERROR(VLOOKUP(A1040, Entries!A:B,2,false),"")</f>
        <v>Eugen Systems</v>
      </c>
      <c r="N1040" s="23" t="str">
        <f>IFERROR(VLOOKUP(A1040, Entries!A:K,11,false),"")</f>
        <v/>
      </c>
      <c r="O1040" s="23" t="b">
        <f>IFERROR(VLOOKUP(A1040, Entries!A:I,8,false),"")</f>
        <v>1</v>
      </c>
    </row>
    <row r="1041">
      <c r="A1041" s="78" t="s">
        <v>1389</v>
      </c>
      <c r="B1041" s="78" t="s">
        <v>23</v>
      </c>
      <c r="C1041" s="85">
        <v>44458.0</v>
      </c>
      <c r="D1041" s="85">
        <v>44463.0</v>
      </c>
      <c r="E1041" s="86">
        <v>9.77</v>
      </c>
      <c r="F1041" s="87">
        <v>14.56</v>
      </c>
      <c r="G1041" s="88">
        <f t="shared" si="1"/>
        <v>4.79</v>
      </c>
      <c r="H1041" s="89">
        <f t="shared" si="2"/>
        <v>0.3289835165</v>
      </c>
      <c r="I1041" s="78" t="s">
        <v>1409</v>
      </c>
      <c r="J1041" s="78" t="s">
        <v>69</v>
      </c>
      <c r="K1041" s="58">
        <f t="shared" si="3"/>
        <v>5</v>
      </c>
      <c r="L1041" s="91" t="str">
        <f t="shared" si="6"/>
        <v>Fri</v>
      </c>
      <c r="M1041" s="78" t="str">
        <f>IFERROR(VLOOKUP(A1041, Entries!A:B,2,false),"")</f>
        <v>Eugen Systems</v>
      </c>
      <c r="N1041" s="23" t="str">
        <f>IFERROR(VLOOKUP(A1041, Entries!A:K,11,false),"")</f>
        <v/>
      </c>
      <c r="O1041" s="23" t="b">
        <f>IFERROR(VLOOKUP(A1041, Entries!A:I,8,false),"")</f>
        <v>1</v>
      </c>
    </row>
    <row r="1042">
      <c r="A1042" s="78" t="s">
        <v>1281</v>
      </c>
      <c r="B1042" s="78" t="s">
        <v>19</v>
      </c>
      <c r="C1042" s="85">
        <v>44459.0</v>
      </c>
      <c r="D1042" s="85">
        <v>44459.0</v>
      </c>
      <c r="E1042" s="86">
        <v>4.81</v>
      </c>
      <c r="F1042" s="87">
        <v>10.06</v>
      </c>
      <c r="G1042" s="88">
        <f t="shared" si="1"/>
        <v>5.25</v>
      </c>
      <c r="H1042" s="89">
        <f t="shared" si="2"/>
        <v>0.5218687873</v>
      </c>
      <c r="I1042" s="78" t="s">
        <v>1410</v>
      </c>
      <c r="J1042" s="78" t="s">
        <v>69</v>
      </c>
      <c r="K1042" s="58">
        <f t="shared" si="3"/>
        <v>0</v>
      </c>
      <c r="L1042" s="91" t="str">
        <f t="shared" si="6"/>
        <v>Mon</v>
      </c>
      <c r="M1042" s="78" t="str">
        <f>IFERROR(VLOOKUP(A1042, Entries!A:B,2,false),"")</f>
        <v>Konami</v>
      </c>
      <c r="N1042" s="23" t="str">
        <f>IFERROR(VLOOKUP(A1042, Entries!A:K,11,false),"")</f>
        <v/>
      </c>
      <c r="O1042" s="23" t="b">
        <f>IFERROR(VLOOKUP(A1042, Entries!A:I,8,false),"")</f>
        <v>0</v>
      </c>
    </row>
    <row r="1043">
      <c r="A1043" s="78" t="s">
        <v>1281</v>
      </c>
      <c r="B1043" s="78" t="s">
        <v>19</v>
      </c>
      <c r="C1043" s="85">
        <v>44460.0</v>
      </c>
      <c r="D1043" s="85">
        <v>44460.0</v>
      </c>
      <c r="E1043" s="86">
        <v>4.81</v>
      </c>
      <c r="F1043" s="87">
        <v>9.62</v>
      </c>
      <c r="G1043" s="88">
        <f t="shared" si="1"/>
        <v>4.81</v>
      </c>
      <c r="H1043" s="89">
        <f t="shared" si="2"/>
        <v>0.5</v>
      </c>
      <c r="I1043" s="78" t="s">
        <v>1411</v>
      </c>
      <c r="J1043" s="78" t="s">
        <v>69</v>
      </c>
      <c r="K1043" s="58">
        <f t="shared" si="3"/>
        <v>0</v>
      </c>
      <c r="L1043" s="91" t="str">
        <f t="shared" si="6"/>
        <v>Tue</v>
      </c>
      <c r="M1043" s="78" t="str">
        <f>IFERROR(VLOOKUP(A1043, Entries!A:B,2,false),"")</f>
        <v>Konami</v>
      </c>
      <c r="N1043" s="23" t="str">
        <f>IFERROR(VLOOKUP(A1043, Entries!A:K,11,false),"")</f>
        <v/>
      </c>
      <c r="O1043" s="23" t="b">
        <f>IFERROR(VLOOKUP(A1043, Entries!A:I,8,false),"")</f>
        <v>0</v>
      </c>
    </row>
    <row r="1044">
      <c r="A1044" s="78" t="s">
        <v>1412</v>
      </c>
      <c r="B1044" s="78" t="s">
        <v>19</v>
      </c>
      <c r="C1044" s="85">
        <v>44460.0</v>
      </c>
      <c r="D1044" s="85">
        <v>44472.0</v>
      </c>
      <c r="E1044" s="86">
        <v>0.85</v>
      </c>
      <c r="F1044" s="87">
        <v>1.63</v>
      </c>
      <c r="G1044" s="88">
        <f t="shared" si="1"/>
        <v>0.78</v>
      </c>
      <c r="H1044" s="89">
        <f t="shared" si="2"/>
        <v>0.4785276074</v>
      </c>
      <c r="I1044" s="78" t="s">
        <v>1413</v>
      </c>
      <c r="J1044" s="78" t="s">
        <v>69</v>
      </c>
      <c r="K1044" s="58">
        <f t="shared" si="3"/>
        <v>12</v>
      </c>
      <c r="L1044" s="91" t="str">
        <f t="shared" si="6"/>
        <v>Sun</v>
      </c>
      <c r="M1044" s="78" t="str">
        <f>IFERROR(VLOOKUP(A1044, Entries!A:B,2,false),"")</f>
        <v>RIVER CROW STUDIO</v>
      </c>
      <c r="N1044" s="23" t="str">
        <f>IFERROR(VLOOKUP(A1044, Entries!A:K,11,false),"")</f>
        <v/>
      </c>
      <c r="O1044" s="23" t="b">
        <f>IFERROR(VLOOKUP(A1044, Entries!A:I,8,false),"")</f>
        <v>0</v>
      </c>
    </row>
    <row r="1045">
      <c r="A1045" s="78" t="s">
        <v>1412</v>
      </c>
      <c r="B1045" s="78" t="s">
        <v>19</v>
      </c>
      <c r="C1045" s="85">
        <v>44460.0</v>
      </c>
      <c r="D1045" s="85">
        <v>44521.0</v>
      </c>
      <c r="E1045" s="86">
        <v>0.85</v>
      </c>
      <c r="F1045" s="87">
        <v>1.57</v>
      </c>
      <c r="G1045" s="88">
        <f t="shared" si="1"/>
        <v>0.72</v>
      </c>
      <c r="H1045" s="89">
        <f t="shared" si="2"/>
        <v>0.4585987261</v>
      </c>
      <c r="I1045" s="78" t="s">
        <v>1414</v>
      </c>
      <c r="J1045" s="78" t="s">
        <v>69</v>
      </c>
      <c r="K1045" s="58">
        <f t="shared" si="3"/>
        <v>61</v>
      </c>
      <c r="L1045" s="91" t="str">
        <f t="shared" si="6"/>
        <v>Sun</v>
      </c>
      <c r="M1045" s="78" t="str">
        <f>IFERROR(VLOOKUP(A1045, Entries!A:B,2,false),"")</f>
        <v>RIVER CROW STUDIO</v>
      </c>
      <c r="N1045" s="23" t="str">
        <f>IFERROR(VLOOKUP(A1045, Entries!A:K,11,false),"")</f>
        <v/>
      </c>
      <c r="O1045" s="23" t="b">
        <f>IFERROR(VLOOKUP(A1045, Entries!A:I,8,false),"")</f>
        <v>0</v>
      </c>
    </row>
    <row r="1046">
      <c r="A1046" s="78" t="s">
        <v>1415</v>
      </c>
      <c r="B1046" s="78" t="s">
        <v>19</v>
      </c>
      <c r="C1046" s="85">
        <v>44460.0</v>
      </c>
      <c r="D1046" s="85">
        <v>44460.0</v>
      </c>
      <c r="E1046" s="86">
        <v>0.0</v>
      </c>
      <c r="F1046" s="87">
        <v>0.17</v>
      </c>
      <c r="G1046" s="88">
        <f t="shared" si="1"/>
        <v>0.17</v>
      </c>
      <c r="H1046" s="89">
        <f t="shared" si="2"/>
        <v>1</v>
      </c>
      <c r="I1046" s="78" t="s">
        <v>1416</v>
      </c>
      <c r="J1046" s="78" t="s">
        <v>69</v>
      </c>
      <c r="K1046" s="58">
        <f t="shared" si="3"/>
        <v>0</v>
      </c>
      <c r="L1046" s="91" t="str">
        <f t="shared" si="6"/>
        <v>Tue</v>
      </c>
      <c r="M1046" s="78" t="str">
        <f>IFERROR(VLOOKUP(A1046, Entries!A:B,2,false),"")</f>
        <v>1C Entertainment</v>
      </c>
      <c r="N1046" s="23" t="str">
        <f>IFERROR(VLOOKUP(A1046, Entries!A:K,11,false),"")</f>
        <v/>
      </c>
      <c r="O1046" s="23" t="b">
        <f>IFERROR(VLOOKUP(A1046, Entries!A:I,8,false),"")</f>
        <v>0</v>
      </c>
    </row>
    <row r="1047">
      <c r="A1047" s="78" t="s">
        <v>1406</v>
      </c>
      <c r="B1047" s="78" t="s">
        <v>23</v>
      </c>
      <c r="C1047" s="85">
        <v>44460.0</v>
      </c>
      <c r="D1047" s="85">
        <v>44460.0</v>
      </c>
      <c r="E1047" s="86">
        <v>19.58</v>
      </c>
      <c r="F1047" s="87">
        <v>27.7</v>
      </c>
      <c r="G1047" s="88">
        <f t="shared" si="1"/>
        <v>8.12</v>
      </c>
      <c r="H1047" s="89">
        <f t="shared" si="2"/>
        <v>0.2931407942</v>
      </c>
      <c r="I1047" s="78" t="s">
        <v>1417</v>
      </c>
      <c r="J1047" s="78" t="s">
        <v>69</v>
      </c>
      <c r="K1047" s="58">
        <f t="shared" si="3"/>
        <v>0</v>
      </c>
      <c r="L1047" s="91" t="str">
        <f t="shared" si="6"/>
        <v>Tue</v>
      </c>
      <c r="M1047" s="78" t="str">
        <f>IFERROR(VLOOKUP(A1047, Entries!A:B,2,false),"")</f>
        <v>Eugen Systems</v>
      </c>
      <c r="N1047" s="23" t="str">
        <f>IFERROR(VLOOKUP(A1047, Entries!A:K,11,false),"")</f>
        <v/>
      </c>
      <c r="O1047" s="23" t="b">
        <f>IFERROR(VLOOKUP(A1047, Entries!A:I,8,false),"")</f>
        <v>1</v>
      </c>
    </row>
    <row r="1048">
      <c r="A1048" s="78" t="s">
        <v>1034</v>
      </c>
      <c r="B1048" s="78" t="s">
        <v>23</v>
      </c>
      <c r="C1048" s="85">
        <v>44462.0</v>
      </c>
      <c r="D1048" s="85">
        <v>44462.0</v>
      </c>
      <c r="E1048" s="86">
        <v>5.94</v>
      </c>
      <c r="F1048" s="87">
        <v>8.38</v>
      </c>
      <c r="G1048" s="88">
        <f t="shared" si="1"/>
        <v>2.44</v>
      </c>
      <c r="H1048" s="89">
        <f t="shared" si="2"/>
        <v>0.2911694511</v>
      </c>
      <c r="I1048" s="78" t="s">
        <v>1418</v>
      </c>
      <c r="J1048" s="78" t="s">
        <v>69</v>
      </c>
      <c r="K1048" s="58">
        <f t="shared" si="3"/>
        <v>0</v>
      </c>
      <c r="L1048" s="91" t="str">
        <f t="shared" si="6"/>
        <v>Thu</v>
      </c>
      <c r="M1048" s="78" t="str">
        <f>IFERROR(VLOOKUP(A1048, Entries!A:B,2,false),"")</f>
        <v>Eugen Systems</v>
      </c>
      <c r="N1048" s="23" t="str">
        <f>IFERROR(VLOOKUP(A1048, Entries!A:K,11,false),"")</f>
        <v/>
      </c>
      <c r="O1048" s="23" t="b">
        <f>IFERROR(VLOOKUP(A1048, Entries!A:I,8,false),"")</f>
        <v>1</v>
      </c>
    </row>
    <row r="1049">
      <c r="A1049" s="78" t="s">
        <v>1034</v>
      </c>
      <c r="B1049" s="78" t="s">
        <v>23</v>
      </c>
      <c r="C1049" s="85">
        <v>44462.0</v>
      </c>
      <c r="D1049" s="85">
        <v>44463.0</v>
      </c>
      <c r="E1049" s="86">
        <v>5.94</v>
      </c>
      <c r="F1049" s="87">
        <v>8.38</v>
      </c>
      <c r="G1049" s="88">
        <f t="shared" si="1"/>
        <v>2.44</v>
      </c>
      <c r="H1049" s="89">
        <f t="shared" si="2"/>
        <v>0.2911694511</v>
      </c>
      <c r="I1049" s="78" t="s">
        <v>1419</v>
      </c>
      <c r="J1049" s="78" t="s">
        <v>69</v>
      </c>
      <c r="K1049" s="58">
        <f t="shared" si="3"/>
        <v>1</v>
      </c>
      <c r="L1049" s="91" t="str">
        <f t="shared" si="6"/>
        <v>Fri</v>
      </c>
      <c r="M1049" s="78" t="str">
        <f>IFERROR(VLOOKUP(A1049, Entries!A:B,2,false),"")</f>
        <v>Eugen Systems</v>
      </c>
      <c r="N1049" s="23" t="str">
        <f>IFERROR(VLOOKUP(A1049, Entries!A:K,11,false),"")</f>
        <v/>
      </c>
      <c r="O1049" s="23" t="b">
        <f>IFERROR(VLOOKUP(A1049, Entries!A:I,8,false),"")</f>
        <v>1</v>
      </c>
    </row>
    <row r="1050">
      <c r="A1050" s="78" t="s">
        <v>1420</v>
      </c>
      <c r="B1050" s="78" t="s">
        <v>23</v>
      </c>
      <c r="C1050" s="85">
        <v>44462.0</v>
      </c>
      <c r="D1050" s="85">
        <v>44517.0</v>
      </c>
      <c r="E1050" s="86">
        <v>8.02</v>
      </c>
      <c r="F1050" s="87">
        <v>9.7</v>
      </c>
      <c r="G1050" s="88">
        <f t="shared" si="1"/>
        <v>1.68</v>
      </c>
      <c r="H1050" s="89">
        <f t="shared" si="2"/>
        <v>0.1731958763</v>
      </c>
      <c r="I1050" s="78" t="s">
        <v>1421</v>
      </c>
      <c r="J1050" s="78" t="s">
        <v>69</v>
      </c>
      <c r="K1050" s="58">
        <f t="shared" si="3"/>
        <v>55</v>
      </c>
      <c r="L1050" s="91" t="str">
        <f t="shared" si="6"/>
        <v>Wed</v>
      </c>
      <c r="M1050" s="78" t="str">
        <f>IFERROR(VLOOKUP(A1050, Entries!A:B,2,false),"")</f>
        <v>SEGA</v>
      </c>
      <c r="N1050" s="23" t="str">
        <f>IFERROR(VLOOKUP(A1050, Entries!A:K,11,false),"")</f>
        <v/>
      </c>
      <c r="O1050" s="23" t="b">
        <f>IFERROR(VLOOKUP(A1050, Entries!A:I,8,false),"")</f>
        <v>0</v>
      </c>
    </row>
    <row r="1051">
      <c r="A1051" s="78" t="s">
        <v>1389</v>
      </c>
      <c r="B1051" s="78" t="s">
        <v>23</v>
      </c>
      <c r="C1051" s="85">
        <v>44463.0</v>
      </c>
      <c r="D1051" s="85">
        <v>44463.0</v>
      </c>
      <c r="E1051" s="86">
        <v>9.81</v>
      </c>
      <c r="F1051" s="87">
        <v>14.44</v>
      </c>
      <c r="G1051" s="88">
        <f t="shared" si="1"/>
        <v>4.63</v>
      </c>
      <c r="H1051" s="89">
        <f t="shared" si="2"/>
        <v>0.3206371191</v>
      </c>
      <c r="I1051" s="78" t="s">
        <v>1422</v>
      </c>
      <c r="J1051" s="78" t="s">
        <v>69</v>
      </c>
      <c r="K1051" s="58">
        <f t="shared" si="3"/>
        <v>0</v>
      </c>
      <c r="L1051" s="91" t="str">
        <f t="shared" si="6"/>
        <v>Fri</v>
      </c>
      <c r="M1051" s="78" t="str">
        <f>IFERROR(VLOOKUP(A1051, Entries!A:B,2,false),"")</f>
        <v>Eugen Systems</v>
      </c>
      <c r="N1051" s="23" t="str">
        <f>IFERROR(VLOOKUP(A1051, Entries!A:K,11,false),"")</f>
        <v/>
      </c>
      <c r="O1051" s="23" t="b">
        <f>IFERROR(VLOOKUP(A1051, Entries!A:I,8,false),"")</f>
        <v>1</v>
      </c>
    </row>
    <row r="1052">
      <c r="A1052" s="78" t="s">
        <v>1281</v>
      </c>
      <c r="B1052" s="78" t="s">
        <v>21</v>
      </c>
      <c r="C1052" s="85">
        <v>44463.0</v>
      </c>
      <c r="D1052" s="85">
        <v>44466.0</v>
      </c>
      <c r="E1052" s="86">
        <v>4.54</v>
      </c>
      <c r="F1052" s="87">
        <v>4.71</v>
      </c>
      <c r="G1052" s="88">
        <f t="shared" si="1"/>
        <v>0.17</v>
      </c>
      <c r="H1052" s="89">
        <f t="shared" si="2"/>
        <v>0.03609341826</v>
      </c>
      <c r="I1052" s="78" t="s">
        <v>1423</v>
      </c>
      <c r="J1052" s="78" t="s">
        <v>69</v>
      </c>
      <c r="K1052" s="58">
        <f t="shared" si="3"/>
        <v>3</v>
      </c>
      <c r="L1052" s="91" t="str">
        <f t="shared" si="6"/>
        <v>Mon</v>
      </c>
      <c r="M1052" s="78" t="str">
        <f>IFERROR(VLOOKUP(A1052, Entries!A:B,2,false),"")</f>
        <v>Konami</v>
      </c>
      <c r="N1052" s="23" t="str">
        <f>IFERROR(VLOOKUP(A1052, Entries!A:K,11,false),"")</f>
        <v/>
      </c>
      <c r="O1052" s="23" t="b">
        <f>IFERROR(VLOOKUP(A1052, Entries!A:I,8,false),"")</f>
        <v>0</v>
      </c>
    </row>
    <row r="1053">
      <c r="A1053" s="78" t="s">
        <v>91</v>
      </c>
      <c r="B1053" s="78" t="s">
        <v>23</v>
      </c>
      <c r="C1053" s="85">
        <v>44463.0</v>
      </c>
      <c r="D1053" s="85">
        <v>44772.0</v>
      </c>
      <c r="E1053" s="86">
        <v>8.02</v>
      </c>
      <c r="F1053" s="87">
        <v>7.4</v>
      </c>
      <c r="G1053" s="88">
        <f t="shared" si="1"/>
        <v>-0.62</v>
      </c>
      <c r="H1053" s="89">
        <f t="shared" si="2"/>
        <v>-0.08378378378</v>
      </c>
      <c r="I1053" s="78" t="s">
        <v>1424</v>
      </c>
      <c r="J1053" s="78" t="s">
        <v>69</v>
      </c>
      <c r="K1053" s="58">
        <f t="shared" si="3"/>
        <v>309</v>
      </c>
      <c r="L1053" s="91" t="str">
        <f t="shared" si="6"/>
        <v>Sat</v>
      </c>
      <c r="M1053" s="78" t="str">
        <f>IFERROR(VLOOKUP(A1053, Entries!A:B,2,false),"")</f>
        <v>SEGA</v>
      </c>
      <c r="N1053" s="23" t="str">
        <f>IFERROR(VLOOKUP(A1053, Entries!A:K,11,false),"")</f>
        <v/>
      </c>
      <c r="O1053" s="23" t="b">
        <f>IFERROR(VLOOKUP(A1053, Entries!A:I,8,false),"")</f>
        <v>1</v>
      </c>
    </row>
    <row r="1054">
      <c r="A1054" s="78" t="s">
        <v>1425</v>
      </c>
      <c r="B1054" s="78" t="s">
        <v>22</v>
      </c>
      <c r="C1054" s="85">
        <v>44464.0</v>
      </c>
      <c r="D1054" s="85">
        <v>44534.0</v>
      </c>
      <c r="E1054" s="86">
        <v>7.47</v>
      </c>
      <c r="F1054" s="87">
        <v>7.8</v>
      </c>
      <c r="G1054" s="88">
        <f t="shared" si="1"/>
        <v>0.33</v>
      </c>
      <c r="H1054" s="89">
        <f t="shared" si="2"/>
        <v>0.04230769231</v>
      </c>
      <c r="I1054" s="78" t="s">
        <v>1426</v>
      </c>
      <c r="J1054" s="78" t="s">
        <v>69</v>
      </c>
      <c r="K1054" s="58">
        <f t="shared" si="3"/>
        <v>70</v>
      </c>
      <c r="L1054" s="91" t="str">
        <f t="shared" si="6"/>
        <v>Sat</v>
      </c>
      <c r="M1054" s="78" t="str">
        <f>IFERROR(VLOOKUP(A1054, Entries!A:B,2,false),"")</f>
        <v>EarthWork Games</v>
      </c>
      <c r="N1054" s="23" t="str">
        <f>IFERROR(VLOOKUP(A1054, Entries!A:K,11,false),"")</f>
        <v/>
      </c>
      <c r="O1054" s="23" t="b">
        <f>IFERROR(VLOOKUP(A1054, Entries!A:I,8,false),"")</f>
        <v>0</v>
      </c>
    </row>
    <row r="1055">
      <c r="A1055" s="78" t="s">
        <v>1425</v>
      </c>
      <c r="B1055" s="78" t="s">
        <v>22</v>
      </c>
      <c r="C1055" s="85">
        <v>44464.0</v>
      </c>
      <c r="D1055" s="85">
        <v>44546.0</v>
      </c>
      <c r="E1055" s="86">
        <v>7.47</v>
      </c>
      <c r="F1055" s="87">
        <v>7.76</v>
      </c>
      <c r="G1055" s="88">
        <f t="shared" si="1"/>
        <v>0.29</v>
      </c>
      <c r="H1055" s="89">
        <f t="shared" si="2"/>
        <v>0.03737113402</v>
      </c>
      <c r="I1055" s="78" t="s">
        <v>1427</v>
      </c>
      <c r="J1055" s="78" t="s">
        <v>69</v>
      </c>
      <c r="K1055" s="58">
        <f t="shared" si="3"/>
        <v>82</v>
      </c>
      <c r="L1055" s="91" t="str">
        <f t="shared" si="6"/>
        <v>Thu</v>
      </c>
      <c r="M1055" s="78" t="str">
        <f>IFERROR(VLOOKUP(A1055, Entries!A:B,2,false),"")</f>
        <v>EarthWork Games</v>
      </c>
      <c r="N1055" s="23" t="str">
        <f>IFERROR(VLOOKUP(A1055, Entries!A:K,11,false),"")</f>
        <v/>
      </c>
      <c r="O1055" s="23" t="b">
        <f>IFERROR(VLOOKUP(A1055, Entries!A:I,8,false),"")</f>
        <v>0</v>
      </c>
    </row>
    <row r="1056">
      <c r="A1056" s="78" t="s">
        <v>84</v>
      </c>
      <c r="B1056" s="78" t="s">
        <v>19</v>
      </c>
      <c r="C1056" s="85">
        <v>44466.0</v>
      </c>
      <c r="D1056" s="85">
        <v>44467.0</v>
      </c>
      <c r="E1056" s="86">
        <v>12.43</v>
      </c>
      <c r="F1056" s="87">
        <v>14.96</v>
      </c>
      <c r="G1056" s="88">
        <f t="shared" si="1"/>
        <v>2.53</v>
      </c>
      <c r="H1056" s="89">
        <f t="shared" si="2"/>
        <v>0.1691176471</v>
      </c>
      <c r="I1056" s="78" t="s">
        <v>1428</v>
      </c>
      <c r="J1056" s="78" t="s">
        <v>69</v>
      </c>
      <c r="K1056" s="58">
        <f t="shared" si="3"/>
        <v>1</v>
      </c>
      <c r="L1056" s="91" t="str">
        <f t="shared" si="6"/>
        <v>Tue</v>
      </c>
      <c r="M1056" s="78" t="str">
        <f>IFERROR(VLOOKUP(A1056, Entries!A:B,2,false),"")</f>
        <v>Siege Camp</v>
      </c>
      <c r="N1056" s="23" t="str">
        <f>IFERROR(VLOOKUP(A1056, Entries!A:K,11,false),"")</f>
        <v/>
      </c>
      <c r="O1056" s="23" t="b">
        <f>IFERROR(VLOOKUP(A1056, Entries!A:I,8,false),"")</f>
        <v>1</v>
      </c>
    </row>
    <row r="1057">
      <c r="A1057" s="78" t="s">
        <v>193</v>
      </c>
      <c r="B1057" s="78" t="s">
        <v>19</v>
      </c>
      <c r="C1057" s="85">
        <v>44466.0</v>
      </c>
      <c r="D1057" s="85">
        <v>44466.0</v>
      </c>
      <c r="E1057" s="86">
        <v>0.0</v>
      </c>
      <c r="F1057" s="87">
        <v>0.8</v>
      </c>
      <c r="G1057" s="88">
        <f t="shared" si="1"/>
        <v>0.8</v>
      </c>
      <c r="H1057" s="89">
        <f t="shared" si="2"/>
        <v>1</v>
      </c>
      <c r="I1057" s="78" t="s">
        <v>1429</v>
      </c>
      <c r="J1057" s="78" t="s">
        <v>69</v>
      </c>
      <c r="K1057" s="58">
        <f t="shared" si="3"/>
        <v>0</v>
      </c>
      <c r="L1057" s="91" t="str">
        <f t="shared" si="6"/>
        <v>Mon</v>
      </c>
      <c r="M1057" s="78" t="str">
        <f>IFERROR(VLOOKUP(A1057, Entries!A:B,2,false),"")</f>
        <v>Codemasters</v>
      </c>
      <c r="N1057" s="23" t="str">
        <f>IFERROR(VLOOKUP(A1057, Entries!A:K,11,false),"")</f>
        <v/>
      </c>
      <c r="O1057" s="23" t="b">
        <f>IFERROR(VLOOKUP(A1057, Entries!A:I,8,false),"")</f>
        <v>0</v>
      </c>
    </row>
    <row r="1058">
      <c r="A1058" s="78" t="s">
        <v>84</v>
      </c>
      <c r="B1058" s="78" t="s">
        <v>19</v>
      </c>
      <c r="C1058" s="85">
        <v>44467.0</v>
      </c>
      <c r="D1058" s="85">
        <v>44472.0</v>
      </c>
      <c r="E1058" s="86">
        <v>15.15</v>
      </c>
      <c r="F1058" s="87">
        <v>14.91</v>
      </c>
      <c r="G1058" s="88">
        <f t="shared" si="1"/>
        <v>-0.24</v>
      </c>
      <c r="H1058" s="89">
        <f t="shared" si="2"/>
        <v>-0.01609657948</v>
      </c>
      <c r="I1058" s="78" t="s">
        <v>1430</v>
      </c>
      <c r="J1058" s="78" t="s">
        <v>69</v>
      </c>
      <c r="K1058" s="58">
        <f t="shared" si="3"/>
        <v>5</v>
      </c>
      <c r="L1058" s="91" t="str">
        <f t="shared" si="6"/>
        <v>Sun</v>
      </c>
      <c r="M1058" s="78" t="str">
        <f>IFERROR(VLOOKUP(A1058, Entries!A:B,2,false),"")</f>
        <v>Siege Camp</v>
      </c>
      <c r="N1058" s="23" t="str">
        <f>IFERROR(VLOOKUP(A1058, Entries!A:K,11,false),"")</f>
        <v/>
      </c>
      <c r="O1058" s="23" t="b">
        <f>IFERROR(VLOOKUP(A1058, Entries!A:I,8,false),"")</f>
        <v>1</v>
      </c>
    </row>
    <row r="1059">
      <c r="A1059" s="78" t="s">
        <v>1431</v>
      </c>
      <c r="B1059" s="78" t="s">
        <v>19</v>
      </c>
      <c r="C1059" s="85">
        <v>44467.0</v>
      </c>
      <c r="D1059" s="85">
        <v>44472.0</v>
      </c>
      <c r="E1059" s="86">
        <v>0.0</v>
      </c>
      <c r="F1059" s="87">
        <v>0.41</v>
      </c>
      <c r="G1059" s="88">
        <f t="shared" si="1"/>
        <v>0.41</v>
      </c>
      <c r="H1059" s="89">
        <f t="shared" si="2"/>
        <v>1</v>
      </c>
      <c r="I1059" s="78" t="s">
        <v>1432</v>
      </c>
      <c r="J1059" s="78" t="s">
        <v>69</v>
      </c>
      <c r="K1059" s="58">
        <f t="shared" si="3"/>
        <v>5</v>
      </c>
      <c r="L1059" s="91" t="str">
        <f t="shared" si="6"/>
        <v>Sun</v>
      </c>
      <c r="M1059" s="78" t="str">
        <f>IFERROR(VLOOKUP(A1059, Entries!A:B,2,false),"")</f>
        <v>Reverie World Studios</v>
      </c>
      <c r="N1059" s="23" t="str">
        <f>IFERROR(VLOOKUP(A1059, Entries!A:K,11,false),"")</f>
        <v/>
      </c>
      <c r="O1059" s="23" t="b">
        <f>IFERROR(VLOOKUP(A1059, Entries!A:I,8,false),"")</f>
        <v>0</v>
      </c>
    </row>
    <row r="1060">
      <c r="A1060" s="78" t="s">
        <v>1010</v>
      </c>
      <c r="B1060" s="78" t="s">
        <v>21</v>
      </c>
      <c r="C1060" s="85">
        <v>44468.0</v>
      </c>
      <c r="D1060" s="85">
        <v>44486.0</v>
      </c>
      <c r="E1060" s="86">
        <v>5.18</v>
      </c>
      <c r="F1060" s="87">
        <v>7.13</v>
      </c>
      <c r="G1060" s="88">
        <f t="shared" si="1"/>
        <v>1.95</v>
      </c>
      <c r="H1060" s="89">
        <f t="shared" si="2"/>
        <v>0.2734922861</v>
      </c>
      <c r="I1060" s="78" t="s">
        <v>1433</v>
      </c>
      <c r="J1060" s="78" t="s">
        <v>69</v>
      </c>
      <c r="K1060" s="58">
        <f t="shared" si="3"/>
        <v>18</v>
      </c>
      <c r="L1060" s="91" t="str">
        <f t="shared" si="6"/>
        <v>Sun</v>
      </c>
      <c r="M1060" s="78" t="str">
        <f>IFERROR(VLOOKUP(A1060, Entries!A:B,2,false),"")</f>
        <v>Konami</v>
      </c>
      <c r="N1060" s="23" t="str">
        <f>IFERROR(VLOOKUP(A1060, Entries!A:K,11,false),"")</f>
        <v/>
      </c>
      <c r="O1060" s="23" t="b">
        <f>IFERROR(VLOOKUP(A1060, Entries!A:I,8,false),"")</f>
        <v>1</v>
      </c>
    </row>
    <row r="1061">
      <c r="A1061" s="78" t="s">
        <v>1010</v>
      </c>
      <c r="B1061" s="78" t="s">
        <v>21</v>
      </c>
      <c r="C1061" s="85">
        <v>44468.0</v>
      </c>
      <c r="D1061" s="85">
        <v>44486.0</v>
      </c>
      <c r="E1061" s="86">
        <v>5.18</v>
      </c>
      <c r="F1061" s="87">
        <v>6.97</v>
      </c>
      <c r="G1061" s="88">
        <f t="shared" si="1"/>
        <v>1.79</v>
      </c>
      <c r="H1061" s="89">
        <f t="shared" si="2"/>
        <v>0.2568149211</v>
      </c>
      <c r="I1061" s="78" t="s">
        <v>1434</v>
      </c>
      <c r="J1061" s="78" t="s">
        <v>69</v>
      </c>
      <c r="K1061" s="58">
        <f t="shared" si="3"/>
        <v>18</v>
      </c>
      <c r="L1061" s="91" t="str">
        <f t="shared" si="6"/>
        <v>Sun</v>
      </c>
      <c r="M1061" s="78" t="str">
        <f>IFERROR(VLOOKUP(A1061, Entries!A:B,2,false),"")</f>
        <v>Konami</v>
      </c>
      <c r="N1061" s="23" t="str">
        <f>IFERROR(VLOOKUP(A1061, Entries!A:K,11,false),"")</f>
        <v/>
      </c>
      <c r="O1061" s="23" t="b">
        <f>IFERROR(VLOOKUP(A1061, Entries!A:I,8,false),"")</f>
        <v>1</v>
      </c>
    </row>
    <row r="1062">
      <c r="A1062" s="78" t="s">
        <v>1010</v>
      </c>
      <c r="B1062" s="78" t="s">
        <v>21</v>
      </c>
      <c r="C1062" s="85">
        <v>44468.0</v>
      </c>
      <c r="D1062" s="85">
        <v>44486.0</v>
      </c>
      <c r="E1062" s="86">
        <v>5.19</v>
      </c>
      <c r="F1062" s="87">
        <v>6.97</v>
      </c>
      <c r="G1062" s="88">
        <f t="shared" si="1"/>
        <v>1.78</v>
      </c>
      <c r="H1062" s="89">
        <f t="shared" si="2"/>
        <v>0.2553802009</v>
      </c>
      <c r="I1062" s="78" t="s">
        <v>1435</v>
      </c>
      <c r="J1062" s="78" t="s">
        <v>69</v>
      </c>
      <c r="K1062" s="58">
        <f t="shared" si="3"/>
        <v>18</v>
      </c>
      <c r="L1062" s="91" t="str">
        <f t="shared" si="6"/>
        <v>Sun</v>
      </c>
      <c r="M1062" s="78" t="str">
        <f>IFERROR(VLOOKUP(A1062, Entries!A:B,2,false),"")</f>
        <v>Konami</v>
      </c>
      <c r="N1062" s="23" t="str">
        <f>IFERROR(VLOOKUP(A1062, Entries!A:K,11,false),"")</f>
        <v/>
      </c>
      <c r="O1062" s="23" t="b">
        <f>IFERROR(VLOOKUP(A1062, Entries!A:I,8,false),"")</f>
        <v>1</v>
      </c>
    </row>
    <row r="1063">
      <c r="A1063" s="78" t="s">
        <v>67</v>
      </c>
      <c r="B1063" s="78" t="s">
        <v>19</v>
      </c>
      <c r="C1063" s="85">
        <v>44468.0</v>
      </c>
      <c r="D1063" s="85">
        <v>44470.0</v>
      </c>
      <c r="E1063" s="86">
        <v>3.55</v>
      </c>
      <c r="F1063" s="87">
        <v>3.83</v>
      </c>
      <c r="G1063" s="88">
        <f t="shared" si="1"/>
        <v>0.28</v>
      </c>
      <c r="H1063" s="89">
        <f t="shared" si="2"/>
        <v>0.07310704961</v>
      </c>
      <c r="I1063" s="78" t="s">
        <v>1436</v>
      </c>
      <c r="J1063" s="78" t="s">
        <v>69</v>
      </c>
      <c r="K1063" s="58">
        <f t="shared" si="3"/>
        <v>2</v>
      </c>
      <c r="L1063" s="91" t="str">
        <f t="shared" si="6"/>
        <v>Fri</v>
      </c>
      <c r="M1063" s="78" t="str">
        <f>IFERROR(VLOOKUP(A1063, Entries!A:B,2,false),"")</f>
        <v>SEGA</v>
      </c>
      <c r="N1063" s="23" t="str">
        <f>IFERROR(VLOOKUP(A1063, Entries!A:K,11,false),"")</f>
        <v/>
      </c>
      <c r="O1063" s="23" t="b">
        <f>IFERROR(VLOOKUP(A1063, Entries!A:I,8,false),"")</f>
        <v>0</v>
      </c>
    </row>
    <row r="1064">
      <c r="A1064" s="78" t="s">
        <v>759</v>
      </c>
      <c r="B1064" s="78" t="s">
        <v>19</v>
      </c>
      <c r="C1064" s="85">
        <v>44468.0</v>
      </c>
      <c r="D1064" s="85">
        <v>44469.0</v>
      </c>
      <c r="E1064" s="86">
        <v>0.53</v>
      </c>
      <c r="F1064" s="87">
        <v>0.89</v>
      </c>
      <c r="G1064" s="88">
        <f t="shared" si="1"/>
        <v>0.36</v>
      </c>
      <c r="H1064" s="89">
        <f t="shared" si="2"/>
        <v>0.404494382</v>
      </c>
      <c r="I1064" s="78" t="s">
        <v>1437</v>
      </c>
      <c r="J1064" s="78" t="s">
        <v>69</v>
      </c>
      <c r="K1064" s="58">
        <f t="shared" si="3"/>
        <v>1</v>
      </c>
      <c r="L1064" s="91" t="str">
        <f t="shared" si="6"/>
        <v>Thu</v>
      </c>
      <c r="M1064" s="78" t="str">
        <f>IFERROR(VLOOKUP(A1064, Entries!A:B,2,false),"")</f>
        <v>Kalypso Media</v>
      </c>
      <c r="N1064" s="23" t="str">
        <f>IFERROR(VLOOKUP(A1064, Entries!A:K,11,false),"")</f>
        <v/>
      </c>
      <c r="O1064" s="23" t="b">
        <f>IFERROR(VLOOKUP(A1064, Entries!A:I,8,false),"")</f>
        <v>0</v>
      </c>
    </row>
    <row r="1065">
      <c r="A1065" s="78" t="s">
        <v>1438</v>
      </c>
      <c r="B1065" s="78" t="s">
        <v>19</v>
      </c>
      <c r="C1065" s="85">
        <v>44468.0</v>
      </c>
      <c r="D1065" s="85">
        <v>44469.0</v>
      </c>
      <c r="E1065" s="86">
        <v>0.53</v>
      </c>
      <c r="F1065" s="87">
        <v>1.63</v>
      </c>
      <c r="G1065" s="88">
        <f t="shared" si="1"/>
        <v>1.1</v>
      </c>
      <c r="H1065" s="89">
        <f t="shared" si="2"/>
        <v>0.6748466258</v>
      </c>
      <c r="I1065" s="78" t="s">
        <v>1439</v>
      </c>
      <c r="J1065" s="78" t="s">
        <v>69</v>
      </c>
      <c r="K1065" s="58">
        <f t="shared" si="3"/>
        <v>1</v>
      </c>
      <c r="L1065" s="91" t="str">
        <f t="shared" si="6"/>
        <v>Thu</v>
      </c>
      <c r="M1065" s="78" t="str">
        <f>IFERROR(VLOOKUP(A1065, Entries!A:B,2,false),"")</f>
        <v>Kasedo Games</v>
      </c>
      <c r="N1065" s="23" t="str">
        <f>IFERROR(VLOOKUP(A1065, Entries!A:K,11,false),"")</f>
        <v/>
      </c>
      <c r="O1065" s="23" t="b">
        <f>IFERROR(VLOOKUP(A1065, Entries!A:I,8,false),"")</f>
        <v>0</v>
      </c>
    </row>
    <row r="1066">
      <c r="A1066" s="78" t="s">
        <v>1440</v>
      </c>
      <c r="B1066" s="78" t="s">
        <v>19</v>
      </c>
      <c r="C1066" s="85">
        <v>44468.0</v>
      </c>
      <c r="D1066" s="85">
        <v>44470.0</v>
      </c>
      <c r="E1066" s="86">
        <v>0.53</v>
      </c>
      <c r="F1066" s="87">
        <v>1.03</v>
      </c>
      <c r="G1066" s="88">
        <f t="shared" si="1"/>
        <v>0.5</v>
      </c>
      <c r="H1066" s="89">
        <f t="shared" si="2"/>
        <v>0.4854368932</v>
      </c>
      <c r="I1066" s="78" t="s">
        <v>1441</v>
      </c>
      <c r="J1066" s="78" t="s">
        <v>69</v>
      </c>
      <c r="K1066" s="58">
        <f t="shared" si="3"/>
        <v>2</v>
      </c>
      <c r="L1066" s="91" t="str">
        <f t="shared" si="6"/>
        <v>Fri</v>
      </c>
      <c r="M1066" s="78" t="str">
        <f>IFERROR(VLOOKUP(A1066, Entries!A:B,2,false),"")</f>
        <v>Junkfish Limited</v>
      </c>
      <c r="N1066" s="23" t="str">
        <f>IFERROR(VLOOKUP(A1066, Entries!A:K,11,false),"")</f>
        <v/>
      </c>
      <c r="O1066" s="23" t="b">
        <f>IFERROR(VLOOKUP(A1066, Entries!A:I,8,false),"")</f>
        <v>0</v>
      </c>
    </row>
    <row r="1067">
      <c r="A1067" s="78" t="s">
        <v>1442</v>
      </c>
      <c r="B1067" s="78" t="s">
        <v>19</v>
      </c>
      <c r="C1067" s="85">
        <v>44468.0</v>
      </c>
      <c r="D1067" s="85">
        <v>44472.0</v>
      </c>
      <c r="E1067" s="86">
        <v>0.55</v>
      </c>
      <c r="F1067" s="87">
        <v>2.87</v>
      </c>
      <c r="G1067" s="88">
        <f t="shared" si="1"/>
        <v>2.32</v>
      </c>
      <c r="H1067" s="89">
        <f t="shared" si="2"/>
        <v>0.8083623693</v>
      </c>
      <c r="I1067" s="78" t="s">
        <v>1443</v>
      </c>
      <c r="J1067" s="78" t="s">
        <v>69</v>
      </c>
      <c r="K1067" s="58">
        <f t="shared" si="3"/>
        <v>4</v>
      </c>
      <c r="L1067" s="91" t="str">
        <f t="shared" si="6"/>
        <v>Sun</v>
      </c>
      <c r="M1067" s="78" t="str">
        <f>IFERROR(VLOOKUP(A1067, Entries!A:B,2,false),"")</f>
        <v>Ludosity</v>
      </c>
      <c r="N1067" s="23" t="str">
        <f>IFERROR(VLOOKUP(A1067, Entries!A:K,11,false),"")</f>
        <v/>
      </c>
      <c r="O1067" s="23" t="b">
        <f>IFERROR(VLOOKUP(A1067, Entries!A:I,8,false),"")</f>
        <v>0</v>
      </c>
    </row>
    <row r="1068">
      <c r="A1068" s="78" t="s">
        <v>193</v>
      </c>
      <c r="B1068" s="78" t="s">
        <v>19</v>
      </c>
      <c r="C1068" s="85">
        <v>44468.0</v>
      </c>
      <c r="D1068" s="85">
        <v>44468.0</v>
      </c>
      <c r="E1068" s="86">
        <v>0.53</v>
      </c>
      <c r="F1068" s="87">
        <v>0.69</v>
      </c>
      <c r="G1068" s="88">
        <f t="shared" si="1"/>
        <v>0.16</v>
      </c>
      <c r="H1068" s="89">
        <f t="shared" si="2"/>
        <v>0.231884058</v>
      </c>
      <c r="I1068" s="78" t="s">
        <v>1444</v>
      </c>
      <c r="J1068" s="78" t="s">
        <v>69</v>
      </c>
      <c r="K1068" s="58">
        <f t="shared" si="3"/>
        <v>0</v>
      </c>
      <c r="L1068" s="91" t="str">
        <f t="shared" si="6"/>
        <v>Wed</v>
      </c>
      <c r="M1068" s="78" t="str">
        <f>IFERROR(VLOOKUP(A1068, Entries!A:B,2,false),"")</f>
        <v>Codemasters</v>
      </c>
      <c r="N1068" s="23" t="str">
        <f>IFERROR(VLOOKUP(A1068, Entries!A:K,11,false),"")</f>
        <v/>
      </c>
      <c r="O1068" s="23" t="b">
        <f>IFERROR(VLOOKUP(A1068, Entries!A:I,8,false),"")</f>
        <v>0</v>
      </c>
    </row>
    <row r="1069">
      <c r="A1069" s="78" t="s">
        <v>1445</v>
      </c>
      <c r="B1069" s="78" t="s">
        <v>23</v>
      </c>
      <c r="C1069" s="85">
        <v>44469.0</v>
      </c>
      <c r="D1069" s="85">
        <v>44472.0</v>
      </c>
      <c r="E1069" s="86">
        <v>15.27</v>
      </c>
      <c r="F1069" s="87">
        <v>16.93</v>
      </c>
      <c r="G1069" s="88">
        <f t="shared" si="1"/>
        <v>1.66</v>
      </c>
      <c r="H1069" s="89">
        <f t="shared" si="2"/>
        <v>0.0980507974</v>
      </c>
      <c r="I1069" s="78" t="s">
        <v>1446</v>
      </c>
      <c r="J1069" s="78" t="s">
        <v>69</v>
      </c>
      <c r="K1069" s="58">
        <f t="shared" si="3"/>
        <v>3</v>
      </c>
      <c r="L1069" s="91" t="str">
        <f t="shared" si="6"/>
        <v>Sun</v>
      </c>
      <c r="M1069" s="78" t="str">
        <f>IFERROR(VLOOKUP(A1069, Entries!A:B,2,false),"")</f>
        <v>505 Games</v>
      </c>
      <c r="N1069" s="23" t="str">
        <f>IFERROR(VLOOKUP(A1069, Entries!A:K,11,false),"")</f>
        <v/>
      </c>
      <c r="O1069" s="23" t="b">
        <f>IFERROR(VLOOKUP(A1069, Entries!A:I,8,false),"")</f>
        <v>0</v>
      </c>
    </row>
    <row r="1070">
      <c r="A1070" s="78" t="s">
        <v>1447</v>
      </c>
      <c r="B1070" s="78" t="s">
        <v>19</v>
      </c>
      <c r="C1070" s="85">
        <v>44469.0</v>
      </c>
      <c r="D1070" s="85">
        <v>44470.0</v>
      </c>
      <c r="E1070" s="86">
        <v>13.47</v>
      </c>
      <c r="F1070" s="87">
        <v>15.97</v>
      </c>
      <c r="G1070" s="88">
        <f t="shared" si="1"/>
        <v>2.5</v>
      </c>
      <c r="H1070" s="89">
        <f t="shared" si="2"/>
        <v>0.1565435191</v>
      </c>
      <c r="I1070" s="78" t="s">
        <v>1448</v>
      </c>
      <c r="J1070" s="78" t="s">
        <v>69</v>
      </c>
      <c r="K1070" s="58">
        <f t="shared" si="3"/>
        <v>1</v>
      </c>
      <c r="L1070" s="91" t="str">
        <f t="shared" si="6"/>
        <v>Fri</v>
      </c>
      <c r="M1070" s="78" t="str">
        <f>IFERROR(VLOOKUP(A1070, Entries!A:B,2,false),"")</f>
        <v>Jackbox Games</v>
      </c>
      <c r="N1070" s="23" t="str">
        <f>IFERROR(VLOOKUP(A1070, Entries!A:K,11,false),"")</f>
        <v/>
      </c>
      <c r="O1070" s="23" t="b">
        <f>IFERROR(VLOOKUP(A1070, Entries!A:I,8,false),"")</f>
        <v>0</v>
      </c>
    </row>
    <row r="1071">
      <c r="A1071" s="78" t="s">
        <v>1449</v>
      </c>
      <c r="B1071" s="78" t="s">
        <v>19</v>
      </c>
      <c r="C1071" s="85">
        <v>44469.0</v>
      </c>
      <c r="D1071" s="85">
        <v>44474.0</v>
      </c>
      <c r="E1071" s="86">
        <v>0.0</v>
      </c>
      <c r="F1071" s="87">
        <v>0.14</v>
      </c>
      <c r="G1071" s="88">
        <f t="shared" si="1"/>
        <v>0.14</v>
      </c>
      <c r="H1071" s="89">
        <f t="shared" si="2"/>
        <v>1</v>
      </c>
      <c r="I1071" s="78" t="s">
        <v>1450</v>
      </c>
      <c r="J1071" s="78" t="s">
        <v>69</v>
      </c>
      <c r="K1071" s="58">
        <f t="shared" si="3"/>
        <v>5</v>
      </c>
      <c r="L1071" s="91" t="str">
        <f t="shared" si="6"/>
        <v>Tue</v>
      </c>
      <c r="M1071" s="78" t="str">
        <f>IFERROR(VLOOKUP(A1071, Entries!A:B,2,false),"")</f>
        <v>Double Damage Games</v>
      </c>
      <c r="N1071" s="23" t="str">
        <f>IFERROR(VLOOKUP(A1071, Entries!A:K,11,false),"")</f>
        <v/>
      </c>
      <c r="O1071" s="23" t="b">
        <f>IFERROR(VLOOKUP(A1071, Entries!A:I,8,false),"")</f>
        <v>0</v>
      </c>
    </row>
    <row r="1072">
      <c r="A1072" s="78" t="s">
        <v>911</v>
      </c>
      <c r="B1072" s="78" t="s">
        <v>19</v>
      </c>
      <c r="C1072" s="85">
        <v>44469.0</v>
      </c>
      <c r="D1072" s="85">
        <v>44601.0</v>
      </c>
      <c r="E1072" s="86">
        <v>1.13</v>
      </c>
      <c r="F1072" s="87">
        <v>1.27</v>
      </c>
      <c r="G1072" s="88">
        <f t="shared" si="1"/>
        <v>0.14</v>
      </c>
      <c r="H1072" s="89">
        <f t="shared" si="2"/>
        <v>0.1102362205</v>
      </c>
      <c r="I1072" s="78" t="s">
        <v>1451</v>
      </c>
      <c r="J1072" s="78" t="s">
        <v>69</v>
      </c>
      <c r="K1072" s="58">
        <f t="shared" si="3"/>
        <v>132</v>
      </c>
      <c r="L1072" s="91" t="str">
        <f t="shared" si="6"/>
        <v>Wed</v>
      </c>
      <c r="M1072" s="78" t="str">
        <f>IFERROR(VLOOKUP(A1072, Entries!A:B,2,false),"")</f>
        <v>Assemble Entertainment</v>
      </c>
      <c r="N1072" s="23" t="str">
        <f>IFERROR(VLOOKUP(A1072, Entries!A:K,11,false),"")</f>
        <v/>
      </c>
      <c r="O1072" s="23" t="b">
        <f>IFERROR(VLOOKUP(A1072, Entries!A:I,8,false),"")</f>
        <v>0</v>
      </c>
    </row>
    <row r="1073">
      <c r="A1073" s="78" t="s">
        <v>911</v>
      </c>
      <c r="B1073" s="78" t="s">
        <v>19</v>
      </c>
      <c r="C1073" s="85">
        <v>44469.0</v>
      </c>
      <c r="D1073" s="85">
        <v>44791.0</v>
      </c>
      <c r="E1073" s="86">
        <v>1.13</v>
      </c>
      <c r="F1073" s="87">
        <v>1.34</v>
      </c>
      <c r="G1073" s="88">
        <f t="shared" si="1"/>
        <v>0.21</v>
      </c>
      <c r="H1073" s="89">
        <f t="shared" si="2"/>
        <v>0.1567164179</v>
      </c>
      <c r="I1073" s="78" t="s">
        <v>1452</v>
      </c>
      <c r="J1073" s="78" t="s">
        <v>69</v>
      </c>
      <c r="K1073" s="58">
        <f t="shared" si="3"/>
        <v>322</v>
      </c>
      <c r="L1073" s="91" t="str">
        <f t="shared" si="6"/>
        <v>Thu</v>
      </c>
      <c r="M1073" s="78" t="str">
        <f>IFERROR(VLOOKUP(A1073, Entries!A:B,2,false),"")</f>
        <v>Assemble Entertainment</v>
      </c>
      <c r="N1073" s="23" t="str">
        <f>IFERROR(VLOOKUP(A1073, Entries!A:K,11,false),"")</f>
        <v/>
      </c>
      <c r="O1073" s="23" t="b">
        <f>IFERROR(VLOOKUP(A1073, Entries!A:I,8,false),"")</f>
        <v>0</v>
      </c>
    </row>
    <row r="1074">
      <c r="A1074" s="78" t="s">
        <v>1453</v>
      </c>
      <c r="B1074" s="78" t="s">
        <v>19</v>
      </c>
      <c r="C1074" s="85">
        <v>44469.0</v>
      </c>
      <c r="D1074" s="85">
        <v>44469.0</v>
      </c>
      <c r="E1074" s="86">
        <v>0.0</v>
      </c>
      <c r="F1074" s="87">
        <v>0.04</v>
      </c>
      <c r="G1074" s="88">
        <f t="shared" si="1"/>
        <v>0.04</v>
      </c>
      <c r="H1074" s="89">
        <f t="shared" si="2"/>
        <v>1</v>
      </c>
      <c r="I1074" s="78" t="s">
        <v>1454</v>
      </c>
      <c r="J1074" s="78" t="s">
        <v>69</v>
      </c>
      <c r="K1074" s="58">
        <f t="shared" si="3"/>
        <v>0</v>
      </c>
      <c r="L1074" s="91" t="str">
        <f t="shared" si="6"/>
        <v>Thu</v>
      </c>
      <c r="M1074" s="78" t="str">
        <f>IFERROR(VLOOKUP(A1074, Entries!A:B,2,false),"")</f>
        <v>Team17 Digital</v>
      </c>
      <c r="N1074" s="23" t="str">
        <f>IFERROR(VLOOKUP(A1074, Entries!A:K,11,false),"")</f>
        <v/>
      </c>
      <c r="O1074" s="23" t="b">
        <f>IFERROR(VLOOKUP(A1074, Entries!A:I,8,false),"")</f>
        <v>0</v>
      </c>
    </row>
    <row r="1075">
      <c r="A1075" s="78" t="s">
        <v>1453</v>
      </c>
      <c r="B1075" s="78" t="s">
        <v>19</v>
      </c>
      <c r="C1075" s="85">
        <v>44469.0</v>
      </c>
      <c r="D1075" s="85">
        <v>44838.0</v>
      </c>
      <c r="E1075" s="86">
        <v>0.0</v>
      </c>
      <c r="F1075" s="87">
        <v>0.06</v>
      </c>
      <c r="G1075" s="88">
        <f t="shared" si="1"/>
        <v>0.06</v>
      </c>
      <c r="H1075" s="89">
        <f t="shared" si="2"/>
        <v>1</v>
      </c>
      <c r="I1075" s="78" t="s">
        <v>1455</v>
      </c>
      <c r="J1075" s="78" t="s">
        <v>69</v>
      </c>
      <c r="K1075" s="58">
        <f t="shared" si="3"/>
        <v>369</v>
      </c>
      <c r="L1075" s="91" t="str">
        <f t="shared" si="6"/>
        <v>Tue</v>
      </c>
      <c r="M1075" s="78" t="str">
        <f>IFERROR(VLOOKUP(A1075, Entries!A:B,2,false),"")</f>
        <v>Team17 Digital</v>
      </c>
      <c r="N1075" s="23" t="str">
        <f>IFERROR(VLOOKUP(A1075, Entries!A:K,11,false),"")</f>
        <v/>
      </c>
      <c r="O1075" s="23" t="b">
        <f>IFERROR(VLOOKUP(A1075, Entries!A:I,8,false),"")</f>
        <v>0</v>
      </c>
    </row>
    <row r="1076">
      <c r="A1076" s="78" t="s">
        <v>371</v>
      </c>
      <c r="B1076" s="78" t="s">
        <v>19</v>
      </c>
      <c r="C1076" s="85">
        <v>44469.0</v>
      </c>
      <c r="D1076" s="85">
        <v>44470.0</v>
      </c>
      <c r="E1076" s="86">
        <v>0.0</v>
      </c>
      <c r="F1076" s="87">
        <v>0.05</v>
      </c>
      <c r="G1076" s="88">
        <f t="shared" si="1"/>
        <v>0.05</v>
      </c>
      <c r="H1076" s="89">
        <f t="shared" si="2"/>
        <v>1</v>
      </c>
      <c r="I1076" s="78" t="s">
        <v>1456</v>
      </c>
      <c r="J1076" s="78" t="s">
        <v>69</v>
      </c>
      <c r="K1076" s="58">
        <f t="shared" si="3"/>
        <v>1</v>
      </c>
      <c r="L1076" s="91" t="str">
        <f t="shared" si="6"/>
        <v>Fri</v>
      </c>
      <c r="M1076" s="78" t="str">
        <f>IFERROR(VLOOKUP(A1076, Entries!A:B,2,false),"")</f>
        <v>Assemble Entertainment</v>
      </c>
      <c r="N1076" s="23" t="str">
        <f>IFERROR(VLOOKUP(A1076, Entries!A:K,11,false),"")</f>
        <v/>
      </c>
      <c r="O1076" s="23" t="b">
        <f>IFERROR(VLOOKUP(A1076, Entries!A:I,8,false),"")</f>
        <v>0</v>
      </c>
    </row>
    <row r="1077">
      <c r="A1077" s="78" t="s">
        <v>371</v>
      </c>
      <c r="B1077" s="78" t="s">
        <v>19</v>
      </c>
      <c r="C1077" s="85">
        <v>44469.0</v>
      </c>
      <c r="D1077" s="85">
        <v>44471.0</v>
      </c>
      <c r="E1077" s="86">
        <v>0.0</v>
      </c>
      <c r="F1077" s="87">
        <v>0.05</v>
      </c>
      <c r="G1077" s="88">
        <f t="shared" si="1"/>
        <v>0.05</v>
      </c>
      <c r="H1077" s="89">
        <f t="shared" si="2"/>
        <v>1</v>
      </c>
      <c r="I1077" s="78" t="s">
        <v>1457</v>
      </c>
      <c r="J1077" s="78" t="s">
        <v>69</v>
      </c>
      <c r="K1077" s="58">
        <f t="shared" si="3"/>
        <v>2</v>
      </c>
      <c r="L1077" s="91" t="str">
        <f t="shared" si="6"/>
        <v>Sat</v>
      </c>
      <c r="M1077" s="78" t="str">
        <f>IFERROR(VLOOKUP(A1077, Entries!A:B,2,false),"")</f>
        <v>Assemble Entertainment</v>
      </c>
      <c r="N1077" s="23" t="str">
        <f>IFERROR(VLOOKUP(A1077, Entries!A:K,11,false),"")</f>
        <v/>
      </c>
      <c r="O1077" s="23" t="b">
        <f>IFERROR(VLOOKUP(A1077, Entries!A:I,8,false),"")</f>
        <v>0</v>
      </c>
    </row>
    <row r="1078">
      <c r="A1078" s="78" t="s">
        <v>1458</v>
      </c>
      <c r="B1078" s="78" t="s">
        <v>19</v>
      </c>
      <c r="C1078" s="85">
        <v>44469.0</v>
      </c>
      <c r="D1078" s="85">
        <v>44629.0</v>
      </c>
      <c r="E1078" s="86">
        <v>0.0</v>
      </c>
      <c r="F1078" s="87">
        <v>0.04</v>
      </c>
      <c r="G1078" s="88">
        <f t="shared" si="1"/>
        <v>0.04</v>
      </c>
      <c r="H1078" s="89">
        <f t="shared" si="2"/>
        <v>1</v>
      </c>
      <c r="I1078" s="78" t="s">
        <v>1459</v>
      </c>
      <c r="J1078" s="78" t="s">
        <v>69</v>
      </c>
      <c r="K1078" s="58">
        <f t="shared" si="3"/>
        <v>160</v>
      </c>
      <c r="L1078" s="91" t="str">
        <f t="shared" si="6"/>
        <v>Wed</v>
      </c>
      <c r="M1078" s="78" t="str">
        <f>IFERROR(VLOOKUP(A1078, Entries!A:B,2,false),"")</f>
        <v>Terry Cavanagh</v>
      </c>
      <c r="N1078" s="23" t="str">
        <f>IFERROR(VLOOKUP(A1078, Entries!A:K,11,false),"")</f>
        <v/>
      </c>
      <c r="O1078" s="23" t="b">
        <f>IFERROR(VLOOKUP(A1078, Entries!A:I,8,false),"")</f>
        <v>0</v>
      </c>
    </row>
    <row r="1079">
      <c r="A1079" s="78" t="s">
        <v>1458</v>
      </c>
      <c r="B1079" s="78" t="s">
        <v>19</v>
      </c>
      <c r="C1079" s="85">
        <v>44469.0</v>
      </c>
      <c r="D1079" s="85">
        <v>44629.0</v>
      </c>
      <c r="E1079" s="86">
        <v>0.0</v>
      </c>
      <c r="F1079" s="87">
        <v>0.04</v>
      </c>
      <c r="G1079" s="88">
        <f t="shared" si="1"/>
        <v>0.04</v>
      </c>
      <c r="H1079" s="89">
        <f t="shared" si="2"/>
        <v>1</v>
      </c>
      <c r="I1079" s="78" t="s">
        <v>1460</v>
      </c>
      <c r="J1079" s="78" t="s">
        <v>69</v>
      </c>
      <c r="K1079" s="58">
        <f t="shared" si="3"/>
        <v>160</v>
      </c>
      <c r="L1079" s="91" t="str">
        <f t="shared" si="6"/>
        <v>Wed</v>
      </c>
      <c r="M1079" s="78" t="str">
        <f>IFERROR(VLOOKUP(A1079, Entries!A:B,2,false),"")</f>
        <v>Terry Cavanagh</v>
      </c>
      <c r="N1079" s="23" t="str">
        <f>IFERROR(VLOOKUP(A1079, Entries!A:K,11,false),"")</f>
        <v/>
      </c>
      <c r="O1079" s="23" t="b">
        <f>IFERROR(VLOOKUP(A1079, Entries!A:I,8,false),"")</f>
        <v>0</v>
      </c>
    </row>
    <row r="1080">
      <c r="A1080" s="78" t="s">
        <v>1461</v>
      </c>
      <c r="B1080" s="78" t="s">
        <v>19</v>
      </c>
      <c r="C1080" s="85">
        <v>44469.0</v>
      </c>
      <c r="D1080" s="85">
        <v>44479.0</v>
      </c>
      <c r="E1080" s="86">
        <v>0.0</v>
      </c>
      <c r="F1080" s="87">
        <v>1.9</v>
      </c>
      <c r="G1080" s="88">
        <f t="shared" si="1"/>
        <v>1.9</v>
      </c>
      <c r="H1080" s="89">
        <f t="shared" si="2"/>
        <v>1</v>
      </c>
      <c r="I1080" s="78" t="s">
        <v>1462</v>
      </c>
      <c r="J1080" s="78" t="s">
        <v>69</v>
      </c>
      <c r="K1080" s="58">
        <f t="shared" si="3"/>
        <v>10</v>
      </c>
      <c r="L1080" s="91" t="str">
        <f t="shared" si="6"/>
        <v>Sun</v>
      </c>
      <c r="M1080" s="78" t="str">
        <f>IFERROR(VLOOKUP(A1080, Entries!A:B,2,false),"")</f>
        <v>Fullbright</v>
      </c>
      <c r="N1080" s="23" t="str">
        <f>IFERROR(VLOOKUP(A1080, Entries!A:K,11,false),"")</f>
        <v/>
      </c>
      <c r="O1080" s="23" t="b">
        <f>IFERROR(VLOOKUP(A1080, Entries!A:I,8,false),"")</f>
        <v>0</v>
      </c>
    </row>
    <row r="1081">
      <c r="A1081" s="78" t="s">
        <v>1461</v>
      </c>
      <c r="B1081" s="78" t="s">
        <v>19</v>
      </c>
      <c r="C1081" s="85">
        <v>44469.0</v>
      </c>
      <c r="D1081" s="85">
        <v>44479.0</v>
      </c>
      <c r="E1081" s="86">
        <v>0.0</v>
      </c>
      <c r="F1081" s="87">
        <v>1.9</v>
      </c>
      <c r="G1081" s="88">
        <f t="shared" si="1"/>
        <v>1.9</v>
      </c>
      <c r="H1081" s="89">
        <f t="shared" si="2"/>
        <v>1</v>
      </c>
      <c r="I1081" s="78" t="s">
        <v>1463</v>
      </c>
      <c r="J1081" s="78" t="s">
        <v>69</v>
      </c>
      <c r="K1081" s="58">
        <f t="shared" si="3"/>
        <v>10</v>
      </c>
      <c r="L1081" s="91" t="str">
        <f t="shared" si="6"/>
        <v>Sun</v>
      </c>
      <c r="M1081" s="78" t="str">
        <f>IFERROR(VLOOKUP(A1081, Entries!A:B,2,false),"")</f>
        <v>Fullbright</v>
      </c>
      <c r="N1081" s="23" t="str">
        <f>IFERROR(VLOOKUP(A1081, Entries!A:K,11,false),"")</f>
        <v/>
      </c>
      <c r="O1081" s="23" t="b">
        <f>IFERROR(VLOOKUP(A1081, Entries!A:I,8,false),"")</f>
        <v>0</v>
      </c>
    </row>
    <row r="1082">
      <c r="A1082" s="78" t="s">
        <v>1464</v>
      </c>
      <c r="B1082" s="78" t="s">
        <v>19</v>
      </c>
      <c r="C1082" s="85">
        <v>44470.0</v>
      </c>
      <c r="D1082" s="85">
        <v>44470.0</v>
      </c>
      <c r="E1082" s="86">
        <v>1.13</v>
      </c>
      <c r="F1082" s="87">
        <v>2.74</v>
      </c>
      <c r="G1082" s="88">
        <f t="shared" si="1"/>
        <v>1.61</v>
      </c>
      <c r="H1082" s="89">
        <f t="shared" si="2"/>
        <v>0.5875912409</v>
      </c>
      <c r="I1082" s="78" t="s">
        <v>1465</v>
      </c>
      <c r="J1082" s="78" t="s">
        <v>69</v>
      </c>
      <c r="K1082" s="58">
        <f t="shared" si="3"/>
        <v>0</v>
      </c>
      <c r="L1082" s="91" t="str">
        <f t="shared" si="6"/>
        <v>Fri</v>
      </c>
      <c r="M1082" s="78" t="str">
        <f>IFERROR(VLOOKUP(A1082, Entries!A:B,2,false),"")</f>
        <v>Oddworld Inhabitants</v>
      </c>
      <c r="N1082" s="23" t="str">
        <f>IFERROR(VLOOKUP(A1082, Entries!A:K,11,false),"")</f>
        <v/>
      </c>
      <c r="O1082" s="23" t="b">
        <f>IFERROR(VLOOKUP(A1082, Entries!A:I,8,false),"")</f>
        <v>0</v>
      </c>
    </row>
    <row r="1083">
      <c r="A1083" s="78" t="s">
        <v>1464</v>
      </c>
      <c r="B1083" s="78" t="s">
        <v>19</v>
      </c>
      <c r="C1083" s="85">
        <v>44470.0</v>
      </c>
      <c r="D1083" s="85">
        <v>44484.0</v>
      </c>
      <c r="E1083" s="86">
        <v>1.13</v>
      </c>
      <c r="F1083" s="87">
        <v>2.16</v>
      </c>
      <c r="G1083" s="88">
        <f t="shared" si="1"/>
        <v>1.03</v>
      </c>
      <c r="H1083" s="89">
        <f t="shared" si="2"/>
        <v>0.4768518519</v>
      </c>
      <c r="I1083" s="78" t="s">
        <v>1466</v>
      </c>
      <c r="J1083" s="78" t="s">
        <v>69</v>
      </c>
      <c r="K1083" s="58">
        <f t="shared" si="3"/>
        <v>14</v>
      </c>
      <c r="L1083" s="91" t="str">
        <f t="shared" si="6"/>
        <v>Fri</v>
      </c>
      <c r="M1083" s="78" t="str">
        <f>IFERROR(VLOOKUP(A1083, Entries!A:B,2,false),"")</f>
        <v>Oddworld Inhabitants</v>
      </c>
      <c r="N1083" s="23" t="str">
        <f>IFERROR(VLOOKUP(A1083, Entries!A:K,11,false),"")</f>
        <v/>
      </c>
      <c r="O1083" s="23" t="b">
        <f>IFERROR(VLOOKUP(A1083, Entries!A:I,8,false),"")</f>
        <v>0</v>
      </c>
    </row>
    <row r="1084">
      <c r="A1084" s="78" t="s">
        <v>1467</v>
      </c>
      <c r="B1084" s="78" t="s">
        <v>19</v>
      </c>
      <c r="C1084" s="85">
        <v>44470.0</v>
      </c>
      <c r="D1084" s="85">
        <v>44471.0</v>
      </c>
      <c r="E1084" s="86">
        <v>1.14</v>
      </c>
      <c r="F1084" s="87">
        <v>2.53</v>
      </c>
      <c r="G1084" s="88">
        <f t="shared" si="1"/>
        <v>1.39</v>
      </c>
      <c r="H1084" s="89">
        <f t="shared" si="2"/>
        <v>0.5494071146</v>
      </c>
      <c r="I1084" s="78" t="s">
        <v>1468</v>
      </c>
      <c r="J1084" s="78" t="s">
        <v>69</v>
      </c>
      <c r="K1084" s="58">
        <f t="shared" si="3"/>
        <v>1</v>
      </c>
      <c r="L1084" s="91" t="str">
        <f t="shared" si="6"/>
        <v>Sat</v>
      </c>
      <c r="M1084" s="78" t="str">
        <f>IFERROR(VLOOKUP(A1084, Entries!A:B,2,false),"")</f>
        <v>Team17 Digital</v>
      </c>
      <c r="N1084" s="23" t="str">
        <f>IFERROR(VLOOKUP(A1084, Entries!A:K,11,false),"")</f>
        <v/>
      </c>
      <c r="O1084" s="23" t="b">
        <f>IFERROR(VLOOKUP(A1084, Entries!A:I,8,false),"")</f>
        <v>0</v>
      </c>
    </row>
    <row r="1085">
      <c r="A1085" s="78" t="s">
        <v>1467</v>
      </c>
      <c r="B1085" s="78" t="s">
        <v>19</v>
      </c>
      <c r="C1085" s="85">
        <v>44470.0</v>
      </c>
      <c r="D1085" s="85">
        <v>44471.0</v>
      </c>
      <c r="E1085" s="86">
        <v>1.15</v>
      </c>
      <c r="F1085" s="87">
        <v>2.53</v>
      </c>
      <c r="G1085" s="88">
        <f t="shared" si="1"/>
        <v>1.38</v>
      </c>
      <c r="H1085" s="89">
        <f t="shared" si="2"/>
        <v>0.5454545455</v>
      </c>
      <c r="I1085" s="78" t="s">
        <v>1469</v>
      </c>
      <c r="J1085" s="78" t="s">
        <v>69</v>
      </c>
      <c r="K1085" s="58">
        <f t="shared" si="3"/>
        <v>1</v>
      </c>
      <c r="L1085" s="91" t="str">
        <f t="shared" si="6"/>
        <v>Sat</v>
      </c>
      <c r="M1085" s="78" t="str">
        <f>IFERROR(VLOOKUP(A1085, Entries!A:B,2,false),"")</f>
        <v>Team17 Digital</v>
      </c>
      <c r="N1085" s="23" t="str">
        <f>IFERROR(VLOOKUP(A1085, Entries!A:K,11,false),"")</f>
        <v/>
      </c>
      <c r="O1085" s="23" t="b">
        <f>IFERROR(VLOOKUP(A1085, Entries!A:I,8,false),"")</f>
        <v>0</v>
      </c>
    </row>
    <row r="1086">
      <c r="A1086" s="78" t="s">
        <v>1470</v>
      </c>
      <c r="B1086" s="78" t="s">
        <v>26</v>
      </c>
      <c r="C1086" s="85">
        <v>44470.0</v>
      </c>
      <c r="D1086" s="85">
        <v>44483.0</v>
      </c>
      <c r="E1086" s="86">
        <v>3.14</v>
      </c>
      <c r="F1086" s="87">
        <v>3.58</v>
      </c>
      <c r="G1086" s="88">
        <f t="shared" si="1"/>
        <v>0.44</v>
      </c>
      <c r="H1086" s="89">
        <f t="shared" si="2"/>
        <v>0.1229050279</v>
      </c>
      <c r="I1086" s="78" t="s">
        <v>1471</v>
      </c>
      <c r="J1086" s="78" t="s">
        <v>69</v>
      </c>
      <c r="K1086" s="58">
        <f t="shared" si="3"/>
        <v>13</v>
      </c>
      <c r="L1086" s="91" t="str">
        <f t="shared" si="6"/>
        <v>Thu</v>
      </c>
      <c r="M1086" s="78" t="str">
        <f>IFERROR(VLOOKUP(A1086, Entries!A:B,2,false),"")</f>
        <v>Neon Doctrine</v>
      </c>
      <c r="N1086" s="23" t="str">
        <f>IFERROR(VLOOKUP(A1086, Entries!A:K,11,false),"")</f>
        <v/>
      </c>
      <c r="O1086" s="23" t="b">
        <f>IFERROR(VLOOKUP(A1086, Entries!A:I,8,false),"")</f>
        <v>0</v>
      </c>
    </row>
    <row r="1087">
      <c r="A1087" s="78" t="s">
        <v>1447</v>
      </c>
      <c r="B1087" s="78" t="s">
        <v>19</v>
      </c>
      <c r="C1087" s="85">
        <v>44470.0</v>
      </c>
      <c r="D1087" s="85">
        <v>44472.0</v>
      </c>
      <c r="E1087" s="86">
        <v>13.51</v>
      </c>
      <c r="F1087" s="87">
        <v>15.97</v>
      </c>
      <c r="G1087" s="88">
        <f t="shared" si="1"/>
        <v>2.46</v>
      </c>
      <c r="H1087" s="89">
        <f t="shared" si="2"/>
        <v>0.1540388228</v>
      </c>
      <c r="I1087" s="78" t="s">
        <v>1472</v>
      </c>
      <c r="J1087" s="78" t="s">
        <v>69</v>
      </c>
      <c r="K1087" s="58">
        <f t="shared" si="3"/>
        <v>2</v>
      </c>
      <c r="L1087" s="91" t="str">
        <f t="shared" si="6"/>
        <v>Sun</v>
      </c>
      <c r="M1087" s="78" t="str">
        <f>IFERROR(VLOOKUP(A1087, Entries!A:B,2,false),"")</f>
        <v>Jackbox Games</v>
      </c>
      <c r="N1087" s="23" t="str">
        <f>IFERROR(VLOOKUP(A1087, Entries!A:K,11,false),"")</f>
        <v/>
      </c>
      <c r="O1087" s="23" t="b">
        <f>IFERROR(VLOOKUP(A1087, Entries!A:I,8,false),"")</f>
        <v>0</v>
      </c>
    </row>
    <row r="1088">
      <c r="A1088" s="78" t="s">
        <v>1415</v>
      </c>
      <c r="B1088" s="78" t="s">
        <v>19</v>
      </c>
      <c r="C1088" s="85">
        <v>44470.0</v>
      </c>
      <c r="D1088" s="85">
        <v>44504.0</v>
      </c>
      <c r="E1088" s="86">
        <v>0.0</v>
      </c>
      <c r="F1088" s="87">
        <v>0.11</v>
      </c>
      <c r="G1088" s="88">
        <f t="shared" si="1"/>
        <v>0.11</v>
      </c>
      <c r="H1088" s="89">
        <f t="shared" si="2"/>
        <v>1</v>
      </c>
      <c r="I1088" s="78" t="s">
        <v>1473</v>
      </c>
      <c r="J1088" s="78" t="s">
        <v>69</v>
      </c>
      <c r="K1088" s="58">
        <f t="shared" si="3"/>
        <v>34</v>
      </c>
      <c r="L1088" s="91" t="str">
        <f t="shared" si="6"/>
        <v>Thu</v>
      </c>
      <c r="M1088" s="78" t="str">
        <f>IFERROR(VLOOKUP(A1088, Entries!A:B,2,false),"")</f>
        <v>1C Entertainment</v>
      </c>
      <c r="N1088" s="23" t="str">
        <f>IFERROR(VLOOKUP(A1088, Entries!A:K,11,false),"")</f>
        <v/>
      </c>
      <c r="O1088" s="23" t="b">
        <f>IFERROR(VLOOKUP(A1088, Entries!A:I,8,false),"")</f>
        <v>0</v>
      </c>
    </row>
    <row r="1089">
      <c r="A1089" s="78" t="s">
        <v>75</v>
      </c>
      <c r="B1089" s="78" t="s">
        <v>19</v>
      </c>
      <c r="C1089" s="85">
        <v>44471.0</v>
      </c>
      <c r="D1089" s="85">
        <v>44471.0</v>
      </c>
      <c r="E1089" s="86">
        <v>11.29</v>
      </c>
      <c r="F1089" s="87">
        <v>13.56</v>
      </c>
      <c r="G1089" s="88">
        <f t="shared" si="1"/>
        <v>2.27</v>
      </c>
      <c r="H1089" s="89">
        <f t="shared" si="2"/>
        <v>0.1674041298</v>
      </c>
      <c r="I1089" s="78" t="s">
        <v>1474</v>
      </c>
      <c r="J1089" s="78" t="s">
        <v>69</v>
      </c>
      <c r="K1089" s="58">
        <f t="shared" si="3"/>
        <v>0</v>
      </c>
      <c r="L1089" s="91" t="str">
        <f t="shared" si="6"/>
        <v>Sat</v>
      </c>
      <c r="M1089" s="78" t="str">
        <f>IFERROR(VLOOKUP(A1089, Entries!A:B,2,false),"")</f>
        <v>Square Enix</v>
      </c>
      <c r="N1089" s="23" t="str">
        <f>IFERROR(VLOOKUP(A1089, Entries!A:K,11,false),"")</f>
        <v/>
      </c>
      <c r="O1089" s="23" t="b">
        <f>IFERROR(VLOOKUP(A1089, Entries!A:I,8,false),"")</f>
        <v>1</v>
      </c>
    </row>
    <row r="1090">
      <c r="A1090" s="78" t="s">
        <v>75</v>
      </c>
      <c r="B1090" s="78" t="s">
        <v>19</v>
      </c>
      <c r="C1090" s="85">
        <v>44471.0</v>
      </c>
      <c r="D1090" s="85">
        <v>44472.0</v>
      </c>
      <c r="E1090" s="86">
        <v>11.05</v>
      </c>
      <c r="F1090" s="87">
        <v>15.33</v>
      </c>
      <c r="G1090" s="88">
        <f t="shared" si="1"/>
        <v>4.28</v>
      </c>
      <c r="H1090" s="89">
        <f t="shared" si="2"/>
        <v>0.2791911285</v>
      </c>
      <c r="I1090" s="78" t="s">
        <v>1475</v>
      </c>
      <c r="J1090" s="78" t="s">
        <v>69</v>
      </c>
      <c r="K1090" s="58">
        <f t="shared" si="3"/>
        <v>1</v>
      </c>
      <c r="L1090" s="91" t="str">
        <f t="shared" si="6"/>
        <v>Sun</v>
      </c>
      <c r="M1090" s="78" t="str">
        <f>IFERROR(VLOOKUP(A1090, Entries!A:B,2,false),"")</f>
        <v>Square Enix</v>
      </c>
      <c r="N1090" s="23" t="str">
        <f>IFERROR(VLOOKUP(A1090, Entries!A:K,11,false),"")</f>
        <v/>
      </c>
      <c r="O1090" s="23" t="b">
        <f>IFERROR(VLOOKUP(A1090, Entries!A:I,8,false),"")</f>
        <v>1</v>
      </c>
    </row>
    <row r="1091">
      <c r="A1091" s="78" t="s">
        <v>75</v>
      </c>
      <c r="B1091" s="78" t="s">
        <v>19</v>
      </c>
      <c r="C1091" s="85">
        <v>44471.0</v>
      </c>
      <c r="D1091" s="85">
        <v>44474.0</v>
      </c>
      <c r="E1091" s="86">
        <v>11.29</v>
      </c>
      <c r="F1091" s="87">
        <v>14.86</v>
      </c>
      <c r="G1091" s="88">
        <f t="shared" si="1"/>
        <v>3.57</v>
      </c>
      <c r="H1091" s="89">
        <f t="shared" si="2"/>
        <v>0.2402422611</v>
      </c>
      <c r="I1091" s="78" t="s">
        <v>1476</v>
      </c>
      <c r="J1091" s="78" t="s">
        <v>69</v>
      </c>
      <c r="K1091" s="58">
        <f t="shared" si="3"/>
        <v>3</v>
      </c>
      <c r="L1091" s="91" t="str">
        <f t="shared" si="6"/>
        <v>Tue</v>
      </c>
      <c r="M1091" s="78" t="str">
        <f>IFERROR(VLOOKUP(A1091, Entries!A:B,2,false),"")</f>
        <v>Square Enix</v>
      </c>
      <c r="N1091" s="23" t="str">
        <f>IFERROR(VLOOKUP(A1091, Entries!A:K,11,false),"")</f>
        <v/>
      </c>
      <c r="O1091" s="23" t="b">
        <f>IFERROR(VLOOKUP(A1091, Entries!A:I,8,false),"")</f>
        <v>1</v>
      </c>
    </row>
    <row r="1092">
      <c r="A1092" s="78" t="s">
        <v>1447</v>
      </c>
      <c r="B1092" s="78" t="s">
        <v>19</v>
      </c>
      <c r="C1092" s="85">
        <v>44471.0</v>
      </c>
      <c r="D1092" s="85">
        <v>44481.0</v>
      </c>
      <c r="E1092" s="86">
        <v>12.6</v>
      </c>
      <c r="F1092" s="87">
        <v>15.83</v>
      </c>
      <c r="G1092" s="88">
        <f t="shared" si="1"/>
        <v>3.23</v>
      </c>
      <c r="H1092" s="89">
        <f t="shared" si="2"/>
        <v>0.2040429564</v>
      </c>
      <c r="I1092" s="78" t="s">
        <v>1477</v>
      </c>
      <c r="J1092" s="78" t="s">
        <v>69</v>
      </c>
      <c r="K1092" s="58">
        <f t="shared" si="3"/>
        <v>10</v>
      </c>
      <c r="L1092" s="91" t="str">
        <f t="shared" si="6"/>
        <v>Tue</v>
      </c>
      <c r="M1092" s="78" t="str">
        <f>IFERROR(VLOOKUP(A1092, Entries!A:B,2,false),"")</f>
        <v>Jackbox Games</v>
      </c>
      <c r="N1092" s="23" t="str">
        <f>IFERROR(VLOOKUP(A1092, Entries!A:K,11,false),"")</f>
        <v/>
      </c>
      <c r="O1092" s="23" t="b">
        <f>IFERROR(VLOOKUP(A1092, Entries!A:I,8,false),"")</f>
        <v>0</v>
      </c>
    </row>
    <row r="1093">
      <c r="A1093" s="78" t="s">
        <v>75</v>
      </c>
      <c r="B1093" s="78" t="s">
        <v>19</v>
      </c>
      <c r="C1093" s="85">
        <v>44472.0</v>
      </c>
      <c r="D1093" s="85">
        <v>44480.0</v>
      </c>
      <c r="E1093" s="86">
        <v>10.69</v>
      </c>
      <c r="F1093" s="87">
        <v>14.86</v>
      </c>
      <c r="G1093" s="88">
        <f t="shared" si="1"/>
        <v>4.17</v>
      </c>
      <c r="H1093" s="89">
        <f t="shared" si="2"/>
        <v>0.2806191117</v>
      </c>
      <c r="I1093" s="78" t="s">
        <v>1478</v>
      </c>
      <c r="J1093" s="78" t="s">
        <v>69</v>
      </c>
      <c r="K1093" s="58">
        <f t="shared" si="3"/>
        <v>8</v>
      </c>
      <c r="L1093" s="91" t="str">
        <f t="shared" si="6"/>
        <v>Mon</v>
      </c>
      <c r="M1093" s="78" t="str">
        <f>IFERROR(VLOOKUP(A1093, Entries!A:B,2,false),"")</f>
        <v>Square Enix</v>
      </c>
      <c r="N1093" s="23" t="str">
        <f>IFERROR(VLOOKUP(A1093, Entries!A:K,11,false),"")</f>
        <v/>
      </c>
      <c r="O1093" s="23" t="b">
        <f>IFERROR(VLOOKUP(A1093, Entries!A:I,8,false),"")</f>
        <v>1</v>
      </c>
    </row>
    <row r="1094">
      <c r="A1094" s="78" t="s">
        <v>1479</v>
      </c>
      <c r="B1094" s="78" t="s">
        <v>19</v>
      </c>
      <c r="C1094" s="85">
        <v>44472.0</v>
      </c>
      <c r="D1094" s="85">
        <v>44499.0</v>
      </c>
      <c r="E1094" s="86">
        <v>0.0</v>
      </c>
      <c r="F1094" s="87">
        <v>0.04</v>
      </c>
      <c r="G1094" s="88">
        <f t="shared" si="1"/>
        <v>0.04</v>
      </c>
      <c r="H1094" s="89">
        <f t="shared" si="2"/>
        <v>1</v>
      </c>
      <c r="I1094" s="78" t="s">
        <v>1480</v>
      </c>
      <c r="J1094" s="78" t="s">
        <v>69</v>
      </c>
      <c r="K1094" s="58">
        <f t="shared" si="3"/>
        <v>27</v>
      </c>
      <c r="L1094" s="91" t="str">
        <f t="shared" si="6"/>
        <v>Sat</v>
      </c>
      <c r="M1094" s="78" t="str">
        <f>IFERROR(VLOOKUP(A1094, Entries!A:B,2,false),"")</f>
        <v>Team17 Digital</v>
      </c>
      <c r="N1094" s="23" t="str">
        <f>IFERROR(VLOOKUP(A1094, Entries!A:K,11,false),"")</f>
        <v/>
      </c>
      <c r="O1094" s="23" t="b">
        <f>IFERROR(VLOOKUP(A1094, Entries!A:I,8,false),"")</f>
        <v>0</v>
      </c>
    </row>
    <row r="1095">
      <c r="A1095" s="78" t="s">
        <v>1412</v>
      </c>
      <c r="B1095" s="78" t="s">
        <v>19</v>
      </c>
      <c r="C1095" s="85">
        <v>44472.0</v>
      </c>
      <c r="D1095" s="85">
        <v>44712.0</v>
      </c>
      <c r="E1095" s="86">
        <v>0.45</v>
      </c>
      <c r="F1095" s="87">
        <v>4.45</v>
      </c>
      <c r="G1095" s="88">
        <f t="shared" si="1"/>
        <v>4</v>
      </c>
      <c r="H1095" s="89">
        <f t="shared" si="2"/>
        <v>0.8988764045</v>
      </c>
      <c r="I1095" s="78" t="s">
        <v>1481</v>
      </c>
      <c r="J1095" s="78" t="s">
        <v>69</v>
      </c>
      <c r="K1095" s="58">
        <f t="shared" si="3"/>
        <v>240</v>
      </c>
      <c r="L1095" s="91" t="str">
        <f t="shared" si="6"/>
        <v>Tue</v>
      </c>
      <c r="M1095" s="78" t="str">
        <f>IFERROR(VLOOKUP(A1095, Entries!A:B,2,false),"")</f>
        <v>RIVER CROW STUDIO</v>
      </c>
      <c r="N1095" s="23" t="str">
        <f>IFERROR(VLOOKUP(A1095, Entries!A:K,11,false),"")</f>
        <v/>
      </c>
      <c r="O1095" s="23" t="b">
        <f>IFERROR(VLOOKUP(A1095, Entries!A:I,8,false),"")</f>
        <v>0</v>
      </c>
    </row>
    <row r="1096">
      <c r="A1096" s="78" t="s">
        <v>1482</v>
      </c>
      <c r="B1096" s="78" t="s">
        <v>19</v>
      </c>
      <c r="C1096" s="85">
        <v>44473.0</v>
      </c>
      <c r="D1096" s="85">
        <v>44477.0</v>
      </c>
      <c r="E1096" s="86">
        <v>12.04</v>
      </c>
      <c r="F1096" s="87">
        <v>13.56</v>
      </c>
      <c r="G1096" s="88">
        <f t="shared" si="1"/>
        <v>1.52</v>
      </c>
      <c r="H1096" s="89">
        <f t="shared" si="2"/>
        <v>0.1120943953</v>
      </c>
      <c r="I1096" s="78" t="s">
        <v>1483</v>
      </c>
      <c r="J1096" s="78" t="s">
        <v>69</v>
      </c>
      <c r="K1096" s="58">
        <f t="shared" si="3"/>
        <v>4</v>
      </c>
      <c r="L1096" s="91" t="str">
        <f t="shared" si="6"/>
        <v>Fri</v>
      </c>
      <c r="M1096" s="78" t="str">
        <f>IFERROR(VLOOKUP(A1096, Entries!A:B,2,false),"")</f>
        <v>Beamdog</v>
      </c>
      <c r="N1096" s="23" t="str">
        <f>IFERROR(VLOOKUP(A1096, Entries!A:K,11,false),"")</f>
        <v/>
      </c>
      <c r="O1096" s="23" t="b">
        <f>IFERROR(VLOOKUP(A1096, Entries!A:I,8,false),"")</f>
        <v>0</v>
      </c>
    </row>
    <row r="1097">
      <c r="A1097" s="78" t="s">
        <v>1484</v>
      </c>
      <c r="B1097" s="78" t="s">
        <v>19</v>
      </c>
      <c r="C1097" s="85">
        <v>44473.0</v>
      </c>
      <c r="D1097" s="85">
        <v>44604.0</v>
      </c>
      <c r="E1097" s="86">
        <v>17.11</v>
      </c>
      <c r="F1097" s="87">
        <v>17.33</v>
      </c>
      <c r="G1097" s="88">
        <f t="shared" si="1"/>
        <v>0.22</v>
      </c>
      <c r="H1097" s="89">
        <f t="shared" si="2"/>
        <v>0.01269474899</v>
      </c>
      <c r="I1097" s="78" t="s">
        <v>1485</v>
      </c>
      <c r="J1097" s="78" t="s">
        <v>69</v>
      </c>
      <c r="K1097" s="58">
        <f t="shared" si="3"/>
        <v>131</v>
      </c>
      <c r="L1097" s="91" t="str">
        <f t="shared" si="6"/>
        <v>Sat</v>
      </c>
      <c r="M1097" s="78" t="str">
        <f>IFERROR(VLOOKUP(A1097, Entries!A:B,2,false),"")</f>
        <v>Milestone</v>
      </c>
      <c r="N1097" s="23" t="str">
        <f>IFERROR(VLOOKUP(A1097, Entries!A:K,11,false),"")</f>
        <v/>
      </c>
      <c r="O1097" s="23" t="b">
        <f>IFERROR(VLOOKUP(A1097, Entries!A:I,8,false),"")</f>
        <v>0</v>
      </c>
    </row>
    <row r="1098">
      <c r="A1098" s="78" t="s">
        <v>1486</v>
      </c>
      <c r="B1098" s="78" t="s">
        <v>19</v>
      </c>
      <c r="C1098" s="85">
        <v>44473.0</v>
      </c>
      <c r="D1098" s="85">
        <v>44477.0</v>
      </c>
      <c r="E1098" s="86">
        <v>3.14</v>
      </c>
      <c r="F1098" s="87">
        <v>5.76</v>
      </c>
      <c r="G1098" s="88">
        <f t="shared" si="1"/>
        <v>2.62</v>
      </c>
      <c r="H1098" s="89">
        <f t="shared" si="2"/>
        <v>0.4548611111</v>
      </c>
      <c r="I1098" s="78" t="s">
        <v>1487</v>
      </c>
      <c r="J1098" s="78" t="s">
        <v>69</v>
      </c>
      <c r="K1098" s="58">
        <f t="shared" si="3"/>
        <v>4</v>
      </c>
      <c r="L1098" s="91" t="str">
        <f t="shared" si="6"/>
        <v>Fri</v>
      </c>
      <c r="M1098" s="78" t="str">
        <f>IFERROR(VLOOKUP(A1098, Entries!A:B,2,false),"")</f>
        <v>Beamdog</v>
      </c>
      <c r="N1098" s="23" t="str">
        <f>IFERROR(VLOOKUP(A1098, Entries!A:K,11,false),"")</f>
        <v/>
      </c>
      <c r="O1098" s="23" t="b">
        <f>IFERROR(VLOOKUP(A1098, Entries!A:I,8,false),"")</f>
        <v>0</v>
      </c>
    </row>
    <row r="1099">
      <c r="A1099" s="78" t="s">
        <v>1488</v>
      </c>
      <c r="B1099" s="78" t="s">
        <v>19</v>
      </c>
      <c r="C1099" s="85">
        <v>44475.0</v>
      </c>
      <c r="D1099" s="85">
        <v>44477.0</v>
      </c>
      <c r="E1099" s="86">
        <v>10.79</v>
      </c>
      <c r="F1099" s="87">
        <v>12.31</v>
      </c>
      <c r="G1099" s="88">
        <f t="shared" si="1"/>
        <v>1.52</v>
      </c>
      <c r="H1099" s="89">
        <f t="shared" si="2"/>
        <v>0.1234768481</v>
      </c>
      <c r="I1099" s="78" t="s">
        <v>1489</v>
      </c>
      <c r="J1099" s="78" t="s">
        <v>69</v>
      </c>
      <c r="K1099" s="58">
        <f t="shared" si="3"/>
        <v>2</v>
      </c>
      <c r="L1099" s="91" t="str">
        <f t="shared" si="6"/>
        <v>Fri</v>
      </c>
      <c r="M1099" s="78" t="str">
        <f>IFERROR(VLOOKUP(A1099, Entries!A:B,2,false),"")</f>
        <v>Perfect World Entertainment</v>
      </c>
      <c r="N1099" s="23" t="str">
        <f>IFERROR(VLOOKUP(A1099, Entries!A:K,11,false),"")</f>
        <v/>
      </c>
      <c r="O1099" s="23" t="b">
        <f>IFERROR(VLOOKUP(A1099, Entries!A:I,8,false),"")</f>
        <v>1</v>
      </c>
    </row>
    <row r="1100">
      <c r="A1100" s="78" t="s">
        <v>288</v>
      </c>
      <c r="B1100" s="78" t="s">
        <v>19</v>
      </c>
      <c r="C1100" s="85">
        <v>44475.0</v>
      </c>
      <c r="D1100" s="85">
        <v>44476.0</v>
      </c>
      <c r="E1100" s="86">
        <v>3.41</v>
      </c>
      <c r="F1100" s="87">
        <v>4.0</v>
      </c>
      <c r="G1100" s="88">
        <f t="shared" si="1"/>
        <v>0.59</v>
      </c>
      <c r="H1100" s="89">
        <f t="shared" si="2"/>
        <v>0.1475</v>
      </c>
      <c r="I1100" s="78" t="s">
        <v>1490</v>
      </c>
      <c r="J1100" s="78" t="s">
        <v>69</v>
      </c>
      <c r="K1100" s="58">
        <f t="shared" si="3"/>
        <v>1</v>
      </c>
      <c r="L1100" s="91" t="str">
        <f t="shared" si="6"/>
        <v>Thu</v>
      </c>
      <c r="M1100" s="78" t="str">
        <f>IFERROR(VLOOKUP(A1100, Entries!A:B,2,false),"")</f>
        <v>Deep Silver</v>
      </c>
      <c r="N1100" s="23" t="str">
        <f>IFERROR(VLOOKUP(A1100, Entries!A:K,11,false),"")</f>
        <v/>
      </c>
      <c r="O1100" s="23" t="b">
        <f>IFERROR(VLOOKUP(A1100, Entries!A:I,8,false),"")</f>
        <v>1</v>
      </c>
    </row>
    <row r="1101">
      <c r="A1101" s="78" t="s">
        <v>288</v>
      </c>
      <c r="B1101" s="78" t="s">
        <v>19</v>
      </c>
      <c r="C1101" s="85">
        <v>44476.0</v>
      </c>
      <c r="D1101" s="85">
        <v>44477.0</v>
      </c>
      <c r="E1101" s="86">
        <v>3.42</v>
      </c>
      <c r="F1101" s="87">
        <v>4.0</v>
      </c>
      <c r="G1101" s="88">
        <f t="shared" si="1"/>
        <v>0.58</v>
      </c>
      <c r="H1101" s="89">
        <f t="shared" si="2"/>
        <v>0.145</v>
      </c>
      <c r="I1101" s="78" t="s">
        <v>1491</v>
      </c>
      <c r="J1101" s="78" t="s">
        <v>69</v>
      </c>
      <c r="K1101" s="58">
        <f t="shared" si="3"/>
        <v>1</v>
      </c>
      <c r="L1101" s="91" t="str">
        <f t="shared" si="6"/>
        <v>Fri</v>
      </c>
      <c r="M1101" s="78" t="str">
        <f>IFERROR(VLOOKUP(A1101, Entries!A:B,2,false),"")</f>
        <v>Deep Silver</v>
      </c>
      <c r="N1101" s="23" t="str">
        <f>IFERROR(VLOOKUP(A1101, Entries!A:K,11,false),"")</f>
        <v/>
      </c>
      <c r="O1101" s="23" t="b">
        <f>IFERROR(VLOOKUP(A1101, Entries!A:I,8,false),"")</f>
        <v>1</v>
      </c>
    </row>
    <row r="1102">
      <c r="A1102" s="78" t="s">
        <v>1482</v>
      </c>
      <c r="B1102" s="78" t="s">
        <v>19</v>
      </c>
      <c r="C1102" s="85">
        <v>44477.0</v>
      </c>
      <c r="D1102" s="85">
        <v>44519.0</v>
      </c>
      <c r="E1102" s="86">
        <v>12.05</v>
      </c>
      <c r="F1102" s="87">
        <v>15.43</v>
      </c>
      <c r="G1102" s="88">
        <f t="shared" si="1"/>
        <v>3.38</v>
      </c>
      <c r="H1102" s="89">
        <f t="shared" si="2"/>
        <v>0.2190537913</v>
      </c>
      <c r="I1102" s="78" t="s">
        <v>1492</v>
      </c>
      <c r="J1102" s="78" t="s">
        <v>69</v>
      </c>
      <c r="K1102" s="58">
        <f t="shared" si="3"/>
        <v>42</v>
      </c>
      <c r="L1102" s="91" t="str">
        <f t="shared" si="6"/>
        <v>Fri</v>
      </c>
      <c r="M1102" s="78" t="str">
        <f>IFERROR(VLOOKUP(A1102, Entries!A:B,2,false),"")</f>
        <v>Beamdog</v>
      </c>
      <c r="N1102" s="23" t="str">
        <f>IFERROR(VLOOKUP(A1102, Entries!A:K,11,false),"")</f>
        <v/>
      </c>
      <c r="O1102" s="23" t="b">
        <f>IFERROR(VLOOKUP(A1102, Entries!A:I,8,false),"")</f>
        <v>0</v>
      </c>
    </row>
    <row r="1103">
      <c r="A1103" s="78" t="s">
        <v>1482</v>
      </c>
      <c r="B1103" s="78" t="s">
        <v>19</v>
      </c>
      <c r="C1103" s="85">
        <v>44477.0</v>
      </c>
      <c r="D1103" s="85">
        <v>44603.0</v>
      </c>
      <c r="E1103" s="86">
        <v>12.05</v>
      </c>
      <c r="F1103" s="87">
        <v>14.41</v>
      </c>
      <c r="G1103" s="88">
        <f t="shared" si="1"/>
        <v>2.36</v>
      </c>
      <c r="H1103" s="89">
        <f t="shared" si="2"/>
        <v>0.1637751561</v>
      </c>
      <c r="I1103" s="78" t="s">
        <v>1493</v>
      </c>
      <c r="J1103" s="78" t="s">
        <v>69</v>
      </c>
      <c r="K1103" s="58">
        <f t="shared" si="3"/>
        <v>126</v>
      </c>
      <c r="L1103" s="91" t="str">
        <f t="shared" si="6"/>
        <v>Fri</v>
      </c>
      <c r="M1103" s="78" t="str">
        <f>IFERROR(VLOOKUP(A1103, Entries!A:B,2,false),"")</f>
        <v>Beamdog</v>
      </c>
      <c r="N1103" s="23" t="str">
        <f>IFERROR(VLOOKUP(A1103, Entries!A:K,11,false),"")</f>
        <v/>
      </c>
      <c r="O1103" s="23" t="b">
        <f>IFERROR(VLOOKUP(A1103, Entries!A:I,8,false),"")</f>
        <v>0</v>
      </c>
    </row>
    <row r="1104">
      <c r="A1104" s="78" t="s">
        <v>288</v>
      </c>
      <c r="B1104" s="78" t="s">
        <v>19</v>
      </c>
      <c r="C1104" s="85">
        <v>44477.0</v>
      </c>
      <c r="D1104" s="85">
        <v>44477.0</v>
      </c>
      <c r="E1104" s="86">
        <v>3.42</v>
      </c>
      <c r="F1104" s="87">
        <v>4.0</v>
      </c>
      <c r="G1104" s="88">
        <f t="shared" si="1"/>
        <v>0.58</v>
      </c>
      <c r="H1104" s="89">
        <f t="shared" si="2"/>
        <v>0.145</v>
      </c>
      <c r="I1104" s="78" t="s">
        <v>1494</v>
      </c>
      <c r="J1104" s="78" t="s">
        <v>69</v>
      </c>
      <c r="K1104" s="58">
        <f t="shared" si="3"/>
        <v>0</v>
      </c>
      <c r="L1104" s="91" t="str">
        <f t="shared" si="6"/>
        <v>Fri</v>
      </c>
      <c r="M1104" s="78" t="str">
        <f>IFERROR(VLOOKUP(A1104, Entries!A:B,2,false),"")</f>
        <v>Deep Silver</v>
      </c>
      <c r="N1104" s="23" t="str">
        <f>IFERROR(VLOOKUP(A1104, Entries!A:K,11,false),"")</f>
        <v/>
      </c>
      <c r="O1104" s="23" t="b">
        <f>IFERROR(VLOOKUP(A1104, Entries!A:I,8,false),"")</f>
        <v>1</v>
      </c>
    </row>
    <row r="1105">
      <c r="A1105" s="78" t="s">
        <v>1495</v>
      </c>
      <c r="B1105" s="78" t="s">
        <v>21</v>
      </c>
      <c r="C1105" s="85">
        <v>44477.0</v>
      </c>
      <c r="D1105" s="85">
        <v>44478.0</v>
      </c>
      <c r="E1105" s="86">
        <v>14.81</v>
      </c>
      <c r="F1105" s="87">
        <v>16.89</v>
      </c>
      <c r="G1105" s="88">
        <f t="shared" si="1"/>
        <v>2.08</v>
      </c>
      <c r="H1105" s="89">
        <f t="shared" si="2"/>
        <v>0.1231497928</v>
      </c>
      <c r="I1105" s="78" t="s">
        <v>1496</v>
      </c>
      <c r="J1105" s="78" t="s">
        <v>69</v>
      </c>
      <c r="K1105" s="58">
        <f t="shared" si="3"/>
        <v>1</v>
      </c>
      <c r="L1105" s="91" t="str">
        <f t="shared" si="6"/>
        <v>Sat</v>
      </c>
      <c r="M1105" s="78" t="str">
        <f>IFERROR(VLOOKUP(A1105, Entries!A:B,2,false),"")</f>
        <v>Team17 Digital</v>
      </c>
      <c r="N1105" s="23" t="str">
        <f>IFERROR(VLOOKUP(A1105, Entries!A:K,11,false),"")</f>
        <v/>
      </c>
      <c r="O1105" s="23" t="b">
        <f>IFERROR(VLOOKUP(A1105, Entries!A:I,8,false),"")</f>
        <v>0</v>
      </c>
    </row>
    <row r="1106">
      <c r="A1106" s="78" t="s">
        <v>1495</v>
      </c>
      <c r="B1106" s="78" t="s">
        <v>21</v>
      </c>
      <c r="C1106" s="85">
        <v>44477.0</v>
      </c>
      <c r="D1106" s="85">
        <v>45385.0</v>
      </c>
      <c r="E1106" s="86">
        <v>14.81</v>
      </c>
      <c r="F1106" s="87">
        <v>7.99</v>
      </c>
      <c r="G1106" s="88">
        <f t="shared" si="1"/>
        <v>-6.82</v>
      </c>
      <c r="H1106" s="89">
        <f t="shared" si="2"/>
        <v>-0.8535669587</v>
      </c>
      <c r="I1106" s="78" t="s">
        <v>1497</v>
      </c>
      <c r="J1106" s="78" t="s">
        <v>69</v>
      </c>
      <c r="K1106" s="58">
        <f t="shared" si="3"/>
        <v>908</v>
      </c>
      <c r="L1106" s="91" t="str">
        <f t="shared" si="6"/>
        <v>Wed</v>
      </c>
      <c r="M1106" s="78" t="str">
        <f>IFERROR(VLOOKUP(A1106, Entries!A:B,2,false),"")</f>
        <v>Team17 Digital</v>
      </c>
      <c r="N1106" s="23" t="str">
        <f>IFERROR(VLOOKUP(A1106, Entries!A:K,11,false),"")</f>
        <v/>
      </c>
      <c r="O1106" s="23" t="b">
        <f>IFERROR(VLOOKUP(A1106, Entries!A:I,8,false),"")</f>
        <v>0</v>
      </c>
    </row>
    <row r="1107">
      <c r="A1107" s="78" t="s">
        <v>1498</v>
      </c>
      <c r="B1107" s="78" t="s">
        <v>22</v>
      </c>
      <c r="C1107" s="85">
        <v>44477.0</v>
      </c>
      <c r="D1107" s="85">
        <v>44478.0</v>
      </c>
      <c r="E1107" s="86">
        <v>0.0</v>
      </c>
      <c r="F1107" s="87">
        <v>14.91</v>
      </c>
      <c r="G1107" s="88">
        <f t="shared" si="1"/>
        <v>14.91</v>
      </c>
      <c r="H1107" s="89">
        <f t="shared" si="2"/>
        <v>1</v>
      </c>
      <c r="I1107" s="78" t="s">
        <v>1499</v>
      </c>
      <c r="J1107" s="78" t="s">
        <v>69</v>
      </c>
      <c r="K1107" s="58">
        <f t="shared" si="3"/>
        <v>1</v>
      </c>
      <c r="L1107" s="91" t="str">
        <f t="shared" si="6"/>
        <v>Sat</v>
      </c>
      <c r="M1107" s="78" t="str">
        <f>IFERROR(VLOOKUP(A1107, Entries!A:B,2,false),"")</f>
        <v>Nacon</v>
      </c>
      <c r="N1107" s="23" t="str">
        <f>IFERROR(VLOOKUP(A1107, Entries!A:K,11,false),"")</f>
        <v/>
      </c>
      <c r="O1107" s="23" t="b">
        <f>IFERROR(VLOOKUP(A1107, Entries!A:I,8,false),"")</f>
        <v>0</v>
      </c>
    </row>
    <row r="1108">
      <c r="A1108" s="78" t="s">
        <v>1486</v>
      </c>
      <c r="B1108" s="78" t="s">
        <v>19</v>
      </c>
      <c r="C1108" s="85">
        <v>44477.0</v>
      </c>
      <c r="D1108" s="85">
        <v>44481.0</v>
      </c>
      <c r="E1108" s="86">
        <v>3.42</v>
      </c>
      <c r="F1108" s="87">
        <v>5.63</v>
      </c>
      <c r="G1108" s="88">
        <f t="shared" si="1"/>
        <v>2.21</v>
      </c>
      <c r="H1108" s="89">
        <f t="shared" si="2"/>
        <v>0.3925399645</v>
      </c>
      <c r="I1108" s="78" t="s">
        <v>1500</v>
      </c>
      <c r="J1108" s="78" t="s">
        <v>69</v>
      </c>
      <c r="K1108" s="58">
        <f t="shared" si="3"/>
        <v>4</v>
      </c>
      <c r="L1108" s="91" t="str">
        <f t="shared" si="6"/>
        <v>Tue</v>
      </c>
      <c r="M1108" s="78" t="str">
        <f>IFERROR(VLOOKUP(A1108, Entries!A:B,2,false),"")</f>
        <v>Beamdog</v>
      </c>
      <c r="N1108" s="23" t="str">
        <f>IFERROR(VLOOKUP(A1108, Entries!A:K,11,false),"")</f>
        <v/>
      </c>
      <c r="O1108" s="23" t="b">
        <f>IFERROR(VLOOKUP(A1108, Entries!A:I,8,false),"")</f>
        <v>0</v>
      </c>
    </row>
    <row r="1109">
      <c r="A1109" s="78" t="s">
        <v>288</v>
      </c>
      <c r="B1109" s="78" t="s">
        <v>19</v>
      </c>
      <c r="C1109" s="85">
        <v>44477.0</v>
      </c>
      <c r="D1109" s="85">
        <v>44478.0</v>
      </c>
      <c r="E1109" s="86">
        <v>3.42</v>
      </c>
      <c r="F1109" s="87">
        <v>4.0</v>
      </c>
      <c r="G1109" s="88">
        <f t="shared" si="1"/>
        <v>0.58</v>
      </c>
      <c r="H1109" s="89">
        <f t="shared" si="2"/>
        <v>0.145</v>
      </c>
      <c r="I1109" s="78" t="s">
        <v>1501</v>
      </c>
      <c r="J1109" s="78" t="s">
        <v>69</v>
      </c>
      <c r="K1109" s="58">
        <f t="shared" si="3"/>
        <v>1</v>
      </c>
      <c r="L1109" s="91" t="str">
        <f t="shared" si="6"/>
        <v>Sat</v>
      </c>
      <c r="M1109" s="78" t="str">
        <f>IFERROR(VLOOKUP(A1109, Entries!A:B,2,false),"")</f>
        <v>Deep Silver</v>
      </c>
      <c r="N1109" s="23" t="str">
        <f>IFERROR(VLOOKUP(A1109, Entries!A:K,11,false),"")</f>
        <v/>
      </c>
      <c r="O1109" s="23" t="b">
        <f>IFERROR(VLOOKUP(A1109, Entries!A:I,8,false),"")</f>
        <v>1</v>
      </c>
    </row>
    <row r="1110">
      <c r="A1110" s="78" t="s">
        <v>1502</v>
      </c>
      <c r="B1110" s="78" t="s">
        <v>18</v>
      </c>
      <c r="C1110" s="85">
        <v>44477.0</v>
      </c>
      <c r="D1110" s="85">
        <v>44534.0</v>
      </c>
      <c r="E1110" s="86">
        <v>3.85</v>
      </c>
      <c r="F1110" s="87">
        <v>5.17</v>
      </c>
      <c r="G1110" s="88">
        <f t="shared" si="1"/>
        <v>1.32</v>
      </c>
      <c r="H1110" s="89">
        <f t="shared" si="2"/>
        <v>0.2553191489</v>
      </c>
      <c r="I1110" s="78" t="s">
        <v>1503</v>
      </c>
      <c r="J1110" s="78" t="s">
        <v>69</v>
      </c>
      <c r="K1110" s="58">
        <f t="shared" si="3"/>
        <v>57</v>
      </c>
      <c r="L1110" s="91" t="str">
        <f t="shared" si="6"/>
        <v>Sat</v>
      </c>
      <c r="M1110" s="78" t="str">
        <f>IFERROR(VLOOKUP(A1110, Entries!A:B,2,false),"")</f>
        <v>Hello Games</v>
      </c>
      <c r="N1110" s="23" t="str">
        <f>IFERROR(VLOOKUP(A1110, Entries!A:K,11,false),"")</f>
        <v/>
      </c>
      <c r="O1110" s="23" t="b">
        <f>IFERROR(VLOOKUP(A1110, Entries!A:I,8,false),"")</f>
        <v>0</v>
      </c>
    </row>
    <row r="1111">
      <c r="A1111" s="78" t="s">
        <v>1502</v>
      </c>
      <c r="B1111" s="78" t="s">
        <v>18</v>
      </c>
      <c r="C1111" s="85">
        <v>44477.0</v>
      </c>
      <c r="D1111" s="85">
        <v>44734.0</v>
      </c>
      <c r="E1111" s="86">
        <v>3.85</v>
      </c>
      <c r="F1111" s="87">
        <v>4.45</v>
      </c>
      <c r="G1111" s="88">
        <f t="shared" si="1"/>
        <v>0.6</v>
      </c>
      <c r="H1111" s="89">
        <f t="shared" si="2"/>
        <v>0.1348314607</v>
      </c>
      <c r="I1111" s="78" t="s">
        <v>1504</v>
      </c>
      <c r="J1111" s="78" t="s">
        <v>69</v>
      </c>
      <c r="K1111" s="58">
        <f t="shared" si="3"/>
        <v>257</v>
      </c>
      <c r="L1111" s="91" t="str">
        <f t="shared" si="6"/>
        <v>Wed</v>
      </c>
      <c r="M1111" s="78" t="str">
        <f>IFERROR(VLOOKUP(A1111, Entries!A:B,2,false),"")</f>
        <v>Hello Games</v>
      </c>
      <c r="N1111" s="23" t="str">
        <f>IFERROR(VLOOKUP(A1111, Entries!A:K,11,false),"")</f>
        <v/>
      </c>
      <c r="O1111" s="23" t="b">
        <f>IFERROR(VLOOKUP(A1111, Entries!A:I,8,false),"")</f>
        <v>0</v>
      </c>
    </row>
    <row r="1112">
      <c r="A1112" s="78" t="s">
        <v>1442</v>
      </c>
      <c r="B1112" s="78" t="s">
        <v>19</v>
      </c>
      <c r="C1112" s="85">
        <v>44478.0</v>
      </c>
      <c r="D1112" s="85">
        <v>44495.0</v>
      </c>
      <c r="E1112" s="86">
        <v>0.89</v>
      </c>
      <c r="F1112" s="87">
        <v>1.85</v>
      </c>
      <c r="G1112" s="88">
        <f t="shared" si="1"/>
        <v>0.96</v>
      </c>
      <c r="H1112" s="89">
        <f t="shared" si="2"/>
        <v>0.5189189189</v>
      </c>
      <c r="I1112" s="78" t="s">
        <v>1505</v>
      </c>
      <c r="J1112" s="78" t="s">
        <v>69</v>
      </c>
      <c r="K1112" s="58">
        <f t="shared" si="3"/>
        <v>17</v>
      </c>
      <c r="L1112" s="91" t="str">
        <f t="shared" si="6"/>
        <v>Tue</v>
      </c>
      <c r="M1112" s="78" t="str">
        <f>IFERROR(VLOOKUP(A1112, Entries!A:B,2,false),"")</f>
        <v>Ludosity</v>
      </c>
      <c r="N1112" s="23" t="str">
        <f>IFERROR(VLOOKUP(A1112, Entries!A:K,11,false),"")</f>
        <v/>
      </c>
      <c r="O1112" s="23" t="b">
        <f>IFERROR(VLOOKUP(A1112, Entries!A:I,8,false),"")</f>
        <v>0</v>
      </c>
    </row>
    <row r="1113">
      <c r="A1113" s="78" t="s">
        <v>288</v>
      </c>
      <c r="B1113" s="78" t="s">
        <v>19</v>
      </c>
      <c r="C1113" s="85">
        <v>44478.0</v>
      </c>
      <c r="D1113" s="85">
        <v>44480.0</v>
      </c>
      <c r="E1113" s="86">
        <v>3.42</v>
      </c>
      <c r="F1113" s="87">
        <v>4.0</v>
      </c>
      <c r="G1113" s="88">
        <f t="shared" si="1"/>
        <v>0.58</v>
      </c>
      <c r="H1113" s="89">
        <f t="shared" si="2"/>
        <v>0.145</v>
      </c>
      <c r="I1113" s="78" t="s">
        <v>1506</v>
      </c>
      <c r="J1113" s="78" t="s">
        <v>69</v>
      </c>
      <c r="K1113" s="58">
        <f t="shared" si="3"/>
        <v>2</v>
      </c>
      <c r="L1113" s="91" t="str">
        <f t="shared" si="6"/>
        <v>Mon</v>
      </c>
      <c r="M1113" s="78" t="str">
        <f>IFERROR(VLOOKUP(A1113, Entries!A:B,2,false),"")</f>
        <v>Deep Silver</v>
      </c>
      <c r="N1113" s="23" t="str">
        <f>IFERROR(VLOOKUP(A1113, Entries!A:K,11,false),"")</f>
        <v/>
      </c>
      <c r="O1113" s="23" t="b">
        <f>IFERROR(VLOOKUP(A1113, Entries!A:I,8,false),"")</f>
        <v>1</v>
      </c>
    </row>
    <row r="1114">
      <c r="A1114" s="78" t="s">
        <v>1507</v>
      </c>
      <c r="B1114" s="78" t="s">
        <v>22</v>
      </c>
      <c r="C1114" s="85">
        <v>44479.0</v>
      </c>
      <c r="D1114" s="85">
        <v>44479.0</v>
      </c>
      <c r="E1114" s="86">
        <v>21.66</v>
      </c>
      <c r="F1114" s="87">
        <v>24.89</v>
      </c>
      <c r="G1114" s="88">
        <f t="shared" si="1"/>
        <v>3.23</v>
      </c>
      <c r="H1114" s="89">
        <f t="shared" si="2"/>
        <v>0.1297709924</v>
      </c>
      <c r="I1114" s="78" t="s">
        <v>1508</v>
      </c>
      <c r="J1114" s="78" t="s">
        <v>69</v>
      </c>
      <c r="K1114" s="58">
        <f t="shared" si="3"/>
        <v>0</v>
      </c>
      <c r="L1114" s="91" t="str">
        <f t="shared" si="6"/>
        <v>Sun</v>
      </c>
      <c r="M1114" s="78" t="str">
        <f>IFERROR(VLOOKUP(A1114, Entries!A:B,2,false),"")</f>
        <v>Square Enix</v>
      </c>
      <c r="N1114" s="23" t="str">
        <f>IFERROR(VLOOKUP(A1114, Entries!A:K,11,false),"")</f>
        <v/>
      </c>
      <c r="O1114" s="23" t="b">
        <f>IFERROR(VLOOKUP(A1114, Entries!A:I,8,false),"")</f>
        <v>0</v>
      </c>
    </row>
    <row r="1115">
      <c r="A1115" s="78" t="s">
        <v>1507</v>
      </c>
      <c r="B1115" s="78" t="s">
        <v>22</v>
      </c>
      <c r="C1115" s="85">
        <v>44479.0</v>
      </c>
      <c r="D1115" s="85">
        <v>44479.0</v>
      </c>
      <c r="E1115" s="86">
        <v>21.66</v>
      </c>
      <c r="F1115" s="87">
        <v>24.76</v>
      </c>
      <c r="G1115" s="88">
        <f t="shared" si="1"/>
        <v>3.1</v>
      </c>
      <c r="H1115" s="89">
        <f t="shared" si="2"/>
        <v>0.1252019386</v>
      </c>
      <c r="I1115" s="78" t="s">
        <v>1509</v>
      </c>
      <c r="J1115" s="78" t="s">
        <v>69</v>
      </c>
      <c r="K1115" s="58">
        <f t="shared" si="3"/>
        <v>0</v>
      </c>
      <c r="L1115" s="91" t="str">
        <f t="shared" si="6"/>
        <v>Sun</v>
      </c>
      <c r="M1115" s="78" t="str">
        <f>IFERROR(VLOOKUP(A1115, Entries!A:B,2,false),"")</f>
        <v>Square Enix</v>
      </c>
      <c r="N1115" s="23" t="str">
        <f>IFERROR(VLOOKUP(A1115, Entries!A:K,11,false),"")</f>
        <v/>
      </c>
      <c r="O1115" s="23" t="b">
        <f>IFERROR(VLOOKUP(A1115, Entries!A:I,8,false),"")</f>
        <v>0</v>
      </c>
    </row>
    <row r="1116">
      <c r="A1116" s="78" t="s">
        <v>1336</v>
      </c>
      <c r="B1116" s="78" t="s">
        <v>25</v>
      </c>
      <c r="C1116" s="85">
        <v>44479.0</v>
      </c>
      <c r="D1116" s="85">
        <v>44576.0</v>
      </c>
      <c r="E1116" s="86">
        <v>22.19</v>
      </c>
      <c r="F1116" s="87">
        <v>24.04</v>
      </c>
      <c r="G1116" s="88">
        <f t="shared" si="1"/>
        <v>1.85</v>
      </c>
      <c r="H1116" s="89">
        <f t="shared" si="2"/>
        <v>0.07695507488</v>
      </c>
      <c r="I1116" s="78" t="s">
        <v>1510</v>
      </c>
      <c r="J1116" s="78" t="s">
        <v>69</v>
      </c>
      <c r="K1116" s="58">
        <f t="shared" si="3"/>
        <v>97</v>
      </c>
      <c r="L1116" s="91" t="str">
        <f t="shared" si="6"/>
        <v>Sat</v>
      </c>
      <c r="M1116" s="78" t="str">
        <f>IFERROR(VLOOKUP(A1116, Entries!A:B,2,false),"")</f>
        <v>Team17 Digital</v>
      </c>
      <c r="N1116" s="23" t="str">
        <f>IFERROR(VLOOKUP(A1116, Entries!A:K,11,false),"")</f>
        <v/>
      </c>
      <c r="O1116" s="23" t="b">
        <f>IFERROR(VLOOKUP(A1116, Entries!A:I,8,false),"")</f>
        <v>0</v>
      </c>
    </row>
    <row r="1117">
      <c r="A1117" s="78" t="s">
        <v>1507</v>
      </c>
      <c r="B1117" s="78" t="s">
        <v>22</v>
      </c>
      <c r="C1117" s="85">
        <v>44479.0</v>
      </c>
      <c r="D1117" s="85">
        <v>44479.0</v>
      </c>
      <c r="E1117" s="86">
        <v>21.66</v>
      </c>
      <c r="F1117" s="87">
        <v>24.76</v>
      </c>
      <c r="G1117" s="88">
        <f t="shared" si="1"/>
        <v>3.1</v>
      </c>
      <c r="H1117" s="89">
        <f t="shared" si="2"/>
        <v>0.1252019386</v>
      </c>
      <c r="I1117" s="78" t="s">
        <v>1511</v>
      </c>
      <c r="J1117" s="78" t="s">
        <v>69</v>
      </c>
      <c r="K1117" s="58">
        <f t="shared" si="3"/>
        <v>0</v>
      </c>
      <c r="L1117" s="91" t="str">
        <f t="shared" si="6"/>
        <v>Sun</v>
      </c>
      <c r="M1117" s="78" t="str">
        <f>IFERROR(VLOOKUP(A1117, Entries!A:B,2,false),"")</f>
        <v>Square Enix</v>
      </c>
      <c r="N1117" s="23" t="str">
        <f>IFERROR(VLOOKUP(A1117, Entries!A:K,11,false),"")</f>
        <v/>
      </c>
      <c r="O1117" s="23" t="b">
        <f>IFERROR(VLOOKUP(A1117, Entries!A:I,8,false),"")</f>
        <v>0</v>
      </c>
    </row>
    <row r="1118">
      <c r="A1118" s="78" t="s">
        <v>1507</v>
      </c>
      <c r="B1118" s="78" t="s">
        <v>22</v>
      </c>
      <c r="C1118" s="85">
        <v>44479.0</v>
      </c>
      <c r="D1118" s="85">
        <v>44479.0</v>
      </c>
      <c r="E1118" s="86">
        <v>21.66</v>
      </c>
      <c r="F1118" s="87">
        <v>24.76</v>
      </c>
      <c r="G1118" s="88">
        <f t="shared" si="1"/>
        <v>3.1</v>
      </c>
      <c r="H1118" s="89">
        <f t="shared" si="2"/>
        <v>0.1252019386</v>
      </c>
      <c r="I1118" s="78" t="s">
        <v>1512</v>
      </c>
      <c r="J1118" s="78" t="s">
        <v>69</v>
      </c>
      <c r="K1118" s="58">
        <f t="shared" si="3"/>
        <v>0</v>
      </c>
      <c r="L1118" s="91" t="str">
        <f t="shared" si="6"/>
        <v>Sun</v>
      </c>
      <c r="M1118" s="78" t="str">
        <f>IFERROR(VLOOKUP(A1118, Entries!A:B,2,false),"")</f>
        <v>Square Enix</v>
      </c>
      <c r="N1118" s="23" t="str">
        <f>IFERROR(VLOOKUP(A1118, Entries!A:K,11,false),"")</f>
        <v/>
      </c>
      <c r="O1118" s="23" t="b">
        <f>IFERROR(VLOOKUP(A1118, Entries!A:I,8,false),"")</f>
        <v>0</v>
      </c>
    </row>
    <row r="1119">
      <c r="A1119" s="78" t="s">
        <v>1507</v>
      </c>
      <c r="B1119" s="78" t="s">
        <v>22</v>
      </c>
      <c r="C1119" s="85">
        <v>44479.0</v>
      </c>
      <c r="D1119" s="85">
        <v>44480.0</v>
      </c>
      <c r="E1119" s="86">
        <v>21.66</v>
      </c>
      <c r="F1119" s="87">
        <v>24.72</v>
      </c>
      <c r="G1119" s="88">
        <f t="shared" si="1"/>
        <v>3.06</v>
      </c>
      <c r="H1119" s="89">
        <f t="shared" si="2"/>
        <v>0.1237864078</v>
      </c>
      <c r="I1119" s="78" t="s">
        <v>1513</v>
      </c>
      <c r="J1119" s="78" t="s">
        <v>69</v>
      </c>
      <c r="K1119" s="58">
        <f t="shared" si="3"/>
        <v>1</v>
      </c>
      <c r="L1119" s="91" t="str">
        <f t="shared" si="6"/>
        <v>Mon</v>
      </c>
      <c r="M1119" s="78" t="str">
        <f>IFERROR(VLOOKUP(A1119, Entries!A:B,2,false),"")</f>
        <v>Square Enix</v>
      </c>
      <c r="N1119" s="23" t="str">
        <f>IFERROR(VLOOKUP(A1119, Entries!A:K,11,false),"")</f>
        <v/>
      </c>
      <c r="O1119" s="23" t="b">
        <f>IFERROR(VLOOKUP(A1119, Entries!A:I,8,false),"")</f>
        <v>0</v>
      </c>
    </row>
    <row r="1120">
      <c r="A1120" s="78" t="s">
        <v>288</v>
      </c>
      <c r="B1120" s="78" t="s">
        <v>19</v>
      </c>
      <c r="C1120" s="85">
        <v>44478.0</v>
      </c>
      <c r="D1120" s="85">
        <v>44480.0</v>
      </c>
      <c r="E1120" s="86">
        <v>3.42</v>
      </c>
      <c r="F1120" s="87">
        <v>4.0</v>
      </c>
      <c r="G1120" s="88">
        <f t="shared" si="1"/>
        <v>0.58</v>
      </c>
      <c r="H1120" s="89">
        <f t="shared" si="2"/>
        <v>0.145</v>
      </c>
      <c r="I1120" s="78" t="s">
        <v>1514</v>
      </c>
      <c r="J1120" s="78" t="s">
        <v>69</v>
      </c>
      <c r="K1120" s="58">
        <f t="shared" si="3"/>
        <v>2</v>
      </c>
      <c r="L1120" s="91" t="str">
        <f t="shared" si="6"/>
        <v>Mon</v>
      </c>
      <c r="M1120" s="78" t="str">
        <f>IFERROR(VLOOKUP(A1120, Entries!A:B,2,false),"")</f>
        <v>Deep Silver</v>
      </c>
      <c r="N1120" s="23" t="str">
        <f>IFERROR(VLOOKUP(A1120, Entries!A:K,11,false),"")</f>
        <v/>
      </c>
      <c r="O1120" s="23" t="b">
        <f>IFERROR(VLOOKUP(A1120, Entries!A:I,8,false),"")</f>
        <v>1</v>
      </c>
    </row>
    <row r="1121">
      <c r="A1121" s="78" t="s">
        <v>731</v>
      </c>
      <c r="B1121" s="78" t="s">
        <v>19</v>
      </c>
      <c r="C1121" s="85">
        <v>44480.0</v>
      </c>
      <c r="D1121" s="85">
        <v>44481.0</v>
      </c>
      <c r="E1121" s="86">
        <v>3.28</v>
      </c>
      <c r="F1121" s="87">
        <v>6.03</v>
      </c>
      <c r="G1121" s="88">
        <f t="shared" si="1"/>
        <v>2.75</v>
      </c>
      <c r="H1121" s="89">
        <f t="shared" si="2"/>
        <v>0.456053068</v>
      </c>
      <c r="I1121" s="78" t="s">
        <v>1515</v>
      </c>
      <c r="J1121" s="78" t="s">
        <v>69</v>
      </c>
      <c r="K1121" s="58">
        <f t="shared" si="3"/>
        <v>1</v>
      </c>
      <c r="L1121" s="91" t="str">
        <f t="shared" si="6"/>
        <v>Tue</v>
      </c>
      <c r="M1121" s="78" t="str">
        <f>IFERROR(VLOOKUP(A1121, Entries!A:B,2,false),"")</f>
        <v>Square Enix</v>
      </c>
      <c r="N1121" s="23" t="str">
        <f>IFERROR(VLOOKUP(A1121, Entries!A:K,11,false),"")</f>
        <v/>
      </c>
      <c r="O1121" s="23" t="b">
        <f>IFERROR(VLOOKUP(A1121, Entries!A:I,8,false),"")</f>
        <v>1</v>
      </c>
    </row>
    <row r="1122">
      <c r="A1122" s="78" t="s">
        <v>731</v>
      </c>
      <c r="B1122" s="78" t="s">
        <v>19</v>
      </c>
      <c r="C1122" s="85">
        <v>44480.0</v>
      </c>
      <c r="D1122" s="85">
        <v>44482.0</v>
      </c>
      <c r="E1122" s="86">
        <v>3.28</v>
      </c>
      <c r="F1122" s="87">
        <v>5.69</v>
      </c>
      <c r="G1122" s="88">
        <f t="shared" si="1"/>
        <v>2.41</v>
      </c>
      <c r="H1122" s="89">
        <f t="shared" si="2"/>
        <v>0.4235500879</v>
      </c>
      <c r="I1122" s="78" t="s">
        <v>1516</v>
      </c>
      <c r="J1122" s="78" t="s">
        <v>69</v>
      </c>
      <c r="K1122" s="58">
        <f t="shared" si="3"/>
        <v>2</v>
      </c>
      <c r="L1122" s="91" t="str">
        <f t="shared" si="6"/>
        <v>Wed</v>
      </c>
      <c r="M1122" s="78" t="str">
        <f>IFERROR(VLOOKUP(A1122, Entries!A:B,2,false),"")</f>
        <v>Square Enix</v>
      </c>
      <c r="N1122" s="23" t="str">
        <f>IFERROR(VLOOKUP(A1122, Entries!A:K,11,false),"")</f>
        <v/>
      </c>
      <c r="O1122" s="23" t="b">
        <f>IFERROR(VLOOKUP(A1122, Entries!A:I,8,false),"")</f>
        <v>1</v>
      </c>
    </row>
    <row r="1123">
      <c r="A1123" s="97" t="s">
        <v>207</v>
      </c>
      <c r="B1123" s="78" t="s">
        <v>19</v>
      </c>
      <c r="C1123" s="85">
        <v>44480.0</v>
      </c>
      <c r="D1123" s="85">
        <v>44485.0</v>
      </c>
      <c r="E1123" s="86">
        <v>5.4</v>
      </c>
      <c r="F1123" s="87">
        <v>8.34</v>
      </c>
      <c r="G1123" s="88">
        <f t="shared" si="1"/>
        <v>2.94</v>
      </c>
      <c r="H1123" s="89">
        <f t="shared" si="2"/>
        <v>0.3525179856</v>
      </c>
      <c r="I1123" s="78" t="s">
        <v>1517</v>
      </c>
      <c r="J1123" s="78" t="s">
        <v>69</v>
      </c>
      <c r="K1123" s="58">
        <f t="shared" si="3"/>
        <v>5</v>
      </c>
      <c r="L1123" s="91" t="str">
        <f t="shared" si="6"/>
        <v>Sat</v>
      </c>
      <c r="M1123" s="78" t="str">
        <f>IFERROR(VLOOKUP(A1123, Entries!A:B,2,false),"")</f>
        <v>Square Enix</v>
      </c>
      <c r="N1123" s="23" t="str">
        <f>IFERROR(VLOOKUP(A1123, Entries!A:K,11,false),"")</f>
        <v/>
      </c>
      <c r="O1123" s="23" t="b">
        <f>IFERROR(VLOOKUP(A1123, Entries!A:I,8,false),"")</f>
        <v>0</v>
      </c>
    </row>
    <row r="1124">
      <c r="A1124" s="78" t="s">
        <v>731</v>
      </c>
      <c r="B1124" s="78" t="s">
        <v>19</v>
      </c>
      <c r="C1124" s="85">
        <v>44481.0</v>
      </c>
      <c r="D1124" s="85">
        <v>44485.0</v>
      </c>
      <c r="E1124" s="86">
        <v>3.27</v>
      </c>
      <c r="F1124" s="87">
        <v>4.63</v>
      </c>
      <c r="G1124" s="88">
        <f t="shared" si="1"/>
        <v>1.36</v>
      </c>
      <c r="H1124" s="89">
        <f t="shared" si="2"/>
        <v>0.2937365011</v>
      </c>
      <c r="I1124" s="78" t="s">
        <v>1518</v>
      </c>
      <c r="J1124" s="78" t="s">
        <v>69</v>
      </c>
      <c r="K1124" s="58">
        <f t="shared" si="3"/>
        <v>4</v>
      </c>
      <c r="L1124" s="91" t="str">
        <f t="shared" si="6"/>
        <v>Sat</v>
      </c>
      <c r="M1124" s="78" t="str">
        <f>IFERROR(VLOOKUP(A1124, Entries!A:B,2,false),"")</f>
        <v>Square Enix</v>
      </c>
      <c r="N1124" s="23" t="str">
        <f>IFERROR(VLOOKUP(A1124, Entries!A:K,11,false),"")</f>
        <v/>
      </c>
      <c r="O1124" s="23" t="b">
        <f>IFERROR(VLOOKUP(A1124, Entries!A:I,8,false),"")</f>
        <v>1</v>
      </c>
    </row>
    <row r="1125">
      <c r="A1125" s="78" t="s">
        <v>731</v>
      </c>
      <c r="B1125" s="78" t="s">
        <v>19</v>
      </c>
      <c r="C1125" s="85">
        <v>44482.0</v>
      </c>
      <c r="D1125" s="85">
        <v>44486.0</v>
      </c>
      <c r="E1125" s="86">
        <v>3.28</v>
      </c>
      <c r="F1125" s="87">
        <v>4.47</v>
      </c>
      <c r="G1125" s="88">
        <f t="shared" si="1"/>
        <v>1.19</v>
      </c>
      <c r="H1125" s="89">
        <f t="shared" si="2"/>
        <v>0.2662192394</v>
      </c>
      <c r="I1125" s="78" t="s">
        <v>1519</v>
      </c>
      <c r="J1125" s="78" t="s">
        <v>69</v>
      </c>
      <c r="K1125" s="58">
        <f t="shared" si="3"/>
        <v>4</v>
      </c>
      <c r="L1125" s="91" t="str">
        <f t="shared" si="6"/>
        <v>Sun</v>
      </c>
      <c r="M1125" s="78" t="str">
        <f>IFERROR(VLOOKUP(A1125, Entries!A:B,2,false),"")</f>
        <v>Square Enix</v>
      </c>
      <c r="N1125" s="23" t="str">
        <f>IFERROR(VLOOKUP(A1125, Entries!A:K,11,false),"")</f>
        <v/>
      </c>
      <c r="O1125" s="23" t="b">
        <f>IFERROR(VLOOKUP(A1125, Entries!A:I,8,false),"")</f>
        <v>1</v>
      </c>
    </row>
    <row r="1126">
      <c r="A1126" s="78" t="s">
        <v>731</v>
      </c>
      <c r="B1126" s="78" t="s">
        <v>19</v>
      </c>
      <c r="C1126" s="85">
        <v>44483.0</v>
      </c>
      <c r="D1126" s="85">
        <v>44487.0</v>
      </c>
      <c r="E1126" s="86">
        <v>3.28</v>
      </c>
      <c r="F1126" s="87">
        <v>4.37</v>
      </c>
      <c r="G1126" s="88">
        <f t="shared" si="1"/>
        <v>1.09</v>
      </c>
      <c r="H1126" s="89">
        <f t="shared" si="2"/>
        <v>0.2494279176</v>
      </c>
      <c r="I1126" s="78" t="s">
        <v>1520</v>
      </c>
      <c r="J1126" s="78" t="s">
        <v>69</v>
      </c>
      <c r="K1126" s="58">
        <f t="shared" si="3"/>
        <v>4</v>
      </c>
      <c r="L1126" s="91" t="str">
        <f t="shared" si="6"/>
        <v>Mon</v>
      </c>
      <c r="M1126" s="78" t="str">
        <f>IFERROR(VLOOKUP(A1126, Entries!A:B,2,false),"")</f>
        <v>Square Enix</v>
      </c>
      <c r="N1126" s="23" t="str">
        <f>IFERROR(VLOOKUP(A1126, Entries!A:K,11,false),"")</f>
        <v/>
      </c>
      <c r="O1126" s="23" t="b">
        <f>IFERROR(VLOOKUP(A1126, Entries!A:I,8,false),"")</f>
        <v>1</v>
      </c>
    </row>
    <row r="1127">
      <c r="A1127" s="78" t="s">
        <v>624</v>
      </c>
      <c r="B1127" s="78" t="s">
        <v>19</v>
      </c>
      <c r="C1127" s="85">
        <v>44484.0</v>
      </c>
      <c r="D1127" s="85">
        <v>44485.0</v>
      </c>
      <c r="E1127" s="86">
        <v>2.92</v>
      </c>
      <c r="F1127" s="87">
        <v>5.24</v>
      </c>
      <c r="G1127" s="88">
        <f t="shared" si="1"/>
        <v>2.32</v>
      </c>
      <c r="H1127" s="89">
        <f t="shared" si="2"/>
        <v>0.4427480916</v>
      </c>
      <c r="I1127" s="78" t="s">
        <v>1521</v>
      </c>
      <c r="J1127" s="78" t="s">
        <v>69</v>
      </c>
      <c r="K1127" s="58">
        <f t="shared" si="3"/>
        <v>1</v>
      </c>
      <c r="L1127" s="91" t="str">
        <f t="shared" si="6"/>
        <v>Sat</v>
      </c>
      <c r="M1127" s="78" t="str">
        <f>IFERROR(VLOOKUP(A1127, Entries!A:B,2,false),"")</f>
        <v>NEXT Studios</v>
      </c>
      <c r="N1127" s="23" t="str">
        <f>IFERROR(VLOOKUP(A1127, Entries!A:K,11,false),"")</f>
        <v/>
      </c>
      <c r="O1127" s="23" t="b">
        <f>IFERROR(VLOOKUP(A1127, Entries!A:I,8,false),"")</f>
        <v>1</v>
      </c>
    </row>
    <row r="1128">
      <c r="A1128" s="78" t="s">
        <v>1175</v>
      </c>
      <c r="B1128" s="78" t="s">
        <v>19</v>
      </c>
      <c r="C1128" s="85">
        <v>44484.0</v>
      </c>
      <c r="D1128" s="85">
        <v>44491.0</v>
      </c>
      <c r="E1128" s="86">
        <v>2.92</v>
      </c>
      <c r="F1128" s="87">
        <v>4.63</v>
      </c>
      <c r="G1128" s="88">
        <f t="shared" si="1"/>
        <v>1.71</v>
      </c>
      <c r="H1128" s="89">
        <f t="shared" si="2"/>
        <v>0.3693304536</v>
      </c>
      <c r="I1128" s="78" t="s">
        <v>1522</v>
      </c>
      <c r="J1128" s="78" t="s">
        <v>69</v>
      </c>
      <c r="K1128" s="58">
        <f t="shared" si="3"/>
        <v>7</v>
      </c>
      <c r="L1128" s="91" t="str">
        <f t="shared" si="6"/>
        <v>Fri</v>
      </c>
      <c r="M1128" s="78" t="str">
        <f>IFERROR(VLOOKUP(A1128, Entries!A:B,2,false),"")</f>
        <v>10tons Ltd</v>
      </c>
      <c r="N1128" s="23" t="str">
        <f>IFERROR(VLOOKUP(A1128, Entries!A:K,11,false),"")</f>
        <v/>
      </c>
      <c r="O1128" s="23" t="b">
        <f>IFERROR(VLOOKUP(A1128, Entries!A:I,8,false),"")</f>
        <v>0</v>
      </c>
    </row>
    <row r="1129">
      <c r="A1129" s="78" t="s">
        <v>326</v>
      </c>
      <c r="B1129" s="78" t="s">
        <v>25</v>
      </c>
      <c r="C1129" s="85">
        <v>44484.0</v>
      </c>
      <c r="D1129" s="85">
        <v>44490.0</v>
      </c>
      <c r="E1129" s="86">
        <v>3.69</v>
      </c>
      <c r="F1129" s="87">
        <v>8.17</v>
      </c>
      <c r="G1129" s="88">
        <f t="shared" si="1"/>
        <v>4.48</v>
      </c>
      <c r="H1129" s="89">
        <f t="shared" si="2"/>
        <v>0.5483476132</v>
      </c>
      <c r="I1129" s="78" t="s">
        <v>1523</v>
      </c>
      <c r="J1129" s="78" t="s">
        <v>69</v>
      </c>
      <c r="K1129" s="58">
        <f t="shared" si="3"/>
        <v>6</v>
      </c>
      <c r="L1129" s="91" t="str">
        <f t="shared" si="6"/>
        <v>Thu</v>
      </c>
      <c r="M1129" s="78" t="str">
        <f>IFERROR(VLOOKUP(A1129, Entries!A:B,2,false),"")</f>
        <v>Aerosoft</v>
      </c>
      <c r="N1129" s="23" t="str">
        <f>IFERROR(VLOOKUP(A1129, Entries!A:K,11,false),"")</f>
        <v/>
      </c>
      <c r="O1129" s="23" t="b">
        <f>IFERROR(VLOOKUP(A1129, Entries!A:I,8,false),"")</f>
        <v>1</v>
      </c>
    </row>
    <row r="1130">
      <c r="A1130" s="78" t="s">
        <v>624</v>
      </c>
      <c r="B1130" s="78" t="s">
        <v>19</v>
      </c>
      <c r="C1130" s="85">
        <v>44485.0</v>
      </c>
      <c r="D1130" s="85">
        <v>44486.0</v>
      </c>
      <c r="E1130" s="86">
        <v>2.91</v>
      </c>
      <c r="F1130" s="87">
        <v>4.93</v>
      </c>
      <c r="G1130" s="88">
        <f t="shared" si="1"/>
        <v>2.02</v>
      </c>
      <c r="H1130" s="89">
        <f t="shared" si="2"/>
        <v>0.4097363083</v>
      </c>
      <c r="I1130" s="78" t="s">
        <v>1524</v>
      </c>
      <c r="J1130" s="78" t="s">
        <v>69</v>
      </c>
      <c r="K1130" s="58">
        <f t="shared" si="3"/>
        <v>1</v>
      </c>
      <c r="L1130" s="91" t="str">
        <f t="shared" si="6"/>
        <v>Sun</v>
      </c>
      <c r="M1130" s="78" t="str">
        <f>IFERROR(VLOOKUP(A1130, Entries!A:B,2,false),"")</f>
        <v>NEXT Studios</v>
      </c>
      <c r="N1130" s="23" t="str">
        <f>IFERROR(VLOOKUP(A1130, Entries!A:K,11,false),"")</f>
        <v/>
      </c>
      <c r="O1130" s="23" t="b">
        <f>IFERROR(VLOOKUP(A1130, Entries!A:I,8,false),"")</f>
        <v>1</v>
      </c>
    </row>
    <row r="1131">
      <c r="A1131" s="78" t="s">
        <v>1175</v>
      </c>
      <c r="B1131" s="78" t="s">
        <v>19</v>
      </c>
      <c r="C1131" s="85">
        <v>44485.0</v>
      </c>
      <c r="D1131" s="85">
        <v>44493.0</v>
      </c>
      <c r="E1131" s="86">
        <v>2.92</v>
      </c>
      <c r="F1131" s="87">
        <v>4.24</v>
      </c>
      <c r="G1131" s="88">
        <f t="shared" si="1"/>
        <v>1.32</v>
      </c>
      <c r="H1131" s="89">
        <f t="shared" si="2"/>
        <v>0.3113207547</v>
      </c>
      <c r="I1131" s="78" t="s">
        <v>1525</v>
      </c>
      <c r="J1131" s="78" t="s">
        <v>69</v>
      </c>
      <c r="K1131" s="58">
        <f t="shared" si="3"/>
        <v>8</v>
      </c>
      <c r="L1131" s="91" t="str">
        <f t="shared" si="6"/>
        <v>Sun</v>
      </c>
      <c r="M1131" s="78" t="str">
        <f>IFERROR(VLOOKUP(A1131, Entries!A:B,2,false),"")</f>
        <v>10tons Ltd</v>
      </c>
      <c r="N1131" s="23" t="str">
        <f>IFERROR(VLOOKUP(A1131, Entries!A:K,11,false),"")</f>
        <v/>
      </c>
      <c r="O1131" s="23" t="b">
        <f>IFERROR(VLOOKUP(A1131, Entries!A:I,8,false),"")</f>
        <v>0</v>
      </c>
    </row>
    <row r="1132">
      <c r="A1132" s="78" t="s">
        <v>75</v>
      </c>
      <c r="B1132" s="78" t="s">
        <v>19</v>
      </c>
      <c r="C1132" s="85">
        <v>44485.0</v>
      </c>
      <c r="D1132" s="85">
        <v>44485.0</v>
      </c>
      <c r="E1132" s="86">
        <v>10.78</v>
      </c>
      <c r="F1132" s="87">
        <v>15.27</v>
      </c>
      <c r="G1132" s="88">
        <f t="shared" si="1"/>
        <v>4.49</v>
      </c>
      <c r="H1132" s="89">
        <f t="shared" si="2"/>
        <v>0.2940406025</v>
      </c>
      <c r="I1132" s="78" t="s">
        <v>1526</v>
      </c>
      <c r="J1132" s="78" t="s">
        <v>69</v>
      </c>
      <c r="K1132" s="58">
        <f t="shared" si="3"/>
        <v>0</v>
      </c>
      <c r="L1132" s="91" t="str">
        <f t="shared" si="6"/>
        <v>Sat</v>
      </c>
      <c r="M1132" s="78" t="str">
        <f>IFERROR(VLOOKUP(A1132, Entries!A:B,2,false),"")</f>
        <v>Square Enix</v>
      </c>
      <c r="N1132" s="23" t="str">
        <f>IFERROR(VLOOKUP(A1132, Entries!A:K,11,false),"")</f>
        <v/>
      </c>
      <c r="O1132" s="23" t="b">
        <f>IFERROR(VLOOKUP(A1132, Entries!A:I,8,false),"")</f>
        <v>1</v>
      </c>
    </row>
    <row r="1133">
      <c r="A1133" s="78" t="s">
        <v>75</v>
      </c>
      <c r="B1133" s="78" t="s">
        <v>19</v>
      </c>
      <c r="C1133" s="85">
        <v>44485.0</v>
      </c>
      <c r="D1133" s="85">
        <v>44486.0</v>
      </c>
      <c r="E1133" s="86">
        <v>10.78</v>
      </c>
      <c r="F1133" s="87">
        <v>15.25</v>
      </c>
      <c r="G1133" s="88">
        <f t="shared" si="1"/>
        <v>4.47</v>
      </c>
      <c r="H1133" s="89">
        <f t="shared" si="2"/>
        <v>0.2931147541</v>
      </c>
      <c r="I1133" s="78" t="s">
        <v>1527</v>
      </c>
      <c r="J1133" s="78" t="s">
        <v>69</v>
      </c>
      <c r="K1133" s="58">
        <f t="shared" si="3"/>
        <v>1</v>
      </c>
      <c r="L1133" s="91" t="str">
        <f t="shared" si="6"/>
        <v>Sun</v>
      </c>
      <c r="M1133" s="78" t="str">
        <f>IFERROR(VLOOKUP(A1133, Entries!A:B,2,false),"")</f>
        <v>Square Enix</v>
      </c>
      <c r="N1133" s="23" t="str">
        <f>IFERROR(VLOOKUP(A1133, Entries!A:K,11,false),"")</f>
        <v/>
      </c>
      <c r="O1133" s="23" t="b">
        <f>IFERROR(VLOOKUP(A1133, Entries!A:I,8,false),"")</f>
        <v>1</v>
      </c>
      <c r="Q1133" s="100"/>
      <c r="R1133" s="100"/>
    </row>
    <row r="1134">
      <c r="A1134" s="78" t="s">
        <v>75</v>
      </c>
      <c r="B1134" s="78" t="s">
        <v>19</v>
      </c>
      <c r="C1134" s="85">
        <v>44486.0</v>
      </c>
      <c r="D1134" s="85">
        <v>44659.0</v>
      </c>
      <c r="E1134" s="86">
        <v>10.78</v>
      </c>
      <c r="F1134" s="87">
        <v>13.15</v>
      </c>
      <c r="G1134" s="88">
        <f t="shared" si="1"/>
        <v>2.37</v>
      </c>
      <c r="H1134" s="89">
        <f t="shared" si="2"/>
        <v>0.1802281369</v>
      </c>
      <c r="I1134" s="78" t="s">
        <v>1528</v>
      </c>
      <c r="J1134" s="78" t="s">
        <v>69</v>
      </c>
      <c r="K1134" s="58">
        <f t="shared" si="3"/>
        <v>173</v>
      </c>
      <c r="L1134" s="91" t="str">
        <f t="shared" si="6"/>
        <v>Fri</v>
      </c>
      <c r="M1134" s="78" t="str">
        <f>IFERROR(VLOOKUP(A1134, Entries!A:B,2,false),"")</f>
        <v>Square Enix</v>
      </c>
      <c r="N1134" s="23" t="str">
        <f>IFERROR(VLOOKUP(A1134, Entries!A:K,11,false),"")</f>
        <v/>
      </c>
      <c r="O1134" s="23" t="b">
        <f>IFERROR(VLOOKUP(A1134, Entries!A:I,8,false),"")</f>
        <v>1</v>
      </c>
    </row>
    <row r="1135">
      <c r="A1135" s="78" t="s">
        <v>731</v>
      </c>
      <c r="B1135" s="78" t="s">
        <v>19</v>
      </c>
      <c r="C1135" s="85">
        <v>44486.0</v>
      </c>
      <c r="D1135" s="85">
        <v>44487.0</v>
      </c>
      <c r="E1135" s="86">
        <v>2.91</v>
      </c>
      <c r="F1135" s="87">
        <v>4.3</v>
      </c>
      <c r="G1135" s="88">
        <f t="shared" si="1"/>
        <v>1.39</v>
      </c>
      <c r="H1135" s="89">
        <f t="shared" si="2"/>
        <v>0.323255814</v>
      </c>
      <c r="I1135" s="78" t="s">
        <v>1529</v>
      </c>
      <c r="J1135" s="78" t="s">
        <v>69</v>
      </c>
      <c r="K1135" s="58">
        <f t="shared" si="3"/>
        <v>1</v>
      </c>
      <c r="L1135" s="91" t="str">
        <f t="shared" si="6"/>
        <v>Mon</v>
      </c>
      <c r="M1135" s="78" t="str">
        <f>IFERROR(VLOOKUP(A1135, Entries!A:B,2,false),"")</f>
        <v>Square Enix</v>
      </c>
      <c r="N1135" s="23" t="str">
        <f>IFERROR(VLOOKUP(A1135, Entries!A:K,11,false),"")</f>
        <v/>
      </c>
      <c r="O1135" s="23" t="b">
        <f>IFERROR(VLOOKUP(A1135, Entries!A:I,8,false),"")</f>
        <v>1</v>
      </c>
    </row>
    <row r="1136">
      <c r="A1136" s="78" t="s">
        <v>624</v>
      </c>
      <c r="B1136" s="78" t="s">
        <v>19</v>
      </c>
      <c r="C1136" s="85">
        <v>44486.0</v>
      </c>
      <c r="D1136" s="85">
        <v>44487.0</v>
      </c>
      <c r="E1136" s="86">
        <v>2.92</v>
      </c>
      <c r="F1136" s="87">
        <v>4.87</v>
      </c>
      <c r="G1136" s="88">
        <f t="shared" si="1"/>
        <v>1.95</v>
      </c>
      <c r="H1136" s="89">
        <f t="shared" si="2"/>
        <v>0.4004106776</v>
      </c>
      <c r="I1136" s="78" t="s">
        <v>1530</v>
      </c>
      <c r="J1136" s="78" t="s">
        <v>69</v>
      </c>
      <c r="K1136" s="58">
        <f t="shared" si="3"/>
        <v>1</v>
      </c>
      <c r="L1136" s="91" t="str">
        <f t="shared" si="6"/>
        <v>Mon</v>
      </c>
      <c r="M1136" s="78" t="str">
        <f>IFERROR(VLOOKUP(A1136, Entries!A:B,2,false),"")</f>
        <v>NEXT Studios</v>
      </c>
      <c r="N1136" s="23" t="str">
        <f>IFERROR(VLOOKUP(A1136, Entries!A:K,11,false),"")</f>
        <v/>
      </c>
      <c r="O1136" s="23" t="b">
        <f>IFERROR(VLOOKUP(A1136, Entries!A:I,8,false),"")</f>
        <v>1</v>
      </c>
    </row>
    <row r="1137">
      <c r="A1137" s="78" t="s">
        <v>75</v>
      </c>
      <c r="B1137" s="78" t="s">
        <v>19</v>
      </c>
      <c r="C1137" s="85">
        <v>44486.0</v>
      </c>
      <c r="D1137" s="85">
        <v>44673.0</v>
      </c>
      <c r="E1137" s="86">
        <v>10.78</v>
      </c>
      <c r="F1137" s="87">
        <v>12.67</v>
      </c>
      <c r="G1137" s="88">
        <f t="shared" si="1"/>
        <v>1.89</v>
      </c>
      <c r="H1137" s="89">
        <f t="shared" si="2"/>
        <v>0.1491712707</v>
      </c>
      <c r="I1137" s="78" t="s">
        <v>1531</v>
      </c>
      <c r="J1137" s="78" t="s">
        <v>69</v>
      </c>
      <c r="K1137" s="58">
        <f t="shared" si="3"/>
        <v>187</v>
      </c>
      <c r="L1137" s="91" t="str">
        <f t="shared" si="6"/>
        <v>Fri</v>
      </c>
      <c r="M1137" s="78" t="str">
        <f>IFERROR(VLOOKUP(A1137, Entries!A:B,2,false),"")</f>
        <v>Square Enix</v>
      </c>
      <c r="N1137" s="23" t="str">
        <f>IFERROR(VLOOKUP(A1137, Entries!A:K,11,false),"")</f>
        <v/>
      </c>
      <c r="O1137" s="23" t="b">
        <f>IFERROR(VLOOKUP(A1137, Entries!A:I,8,false),"")</f>
        <v>1</v>
      </c>
    </row>
    <row r="1138">
      <c r="A1138" s="78" t="s">
        <v>75</v>
      </c>
      <c r="B1138" s="78" t="s">
        <v>19</v>
      </c>
      <c r="C1138" s="85">
        <v>44486.0</v>
      </c>
      <c r="D1138" s="85">
        <v>44675.0</v>
      </c>
      <c r="E1138" s="86">
        <v>10.78</v>
      </c>
      <c r="F1138" s="87">
        <v>13.13</v>
      </c>
      <c r="G1138" s="88">
        <f t="shared" si="1"/>
        <v>2.35</v>
      </c>
      <c r="H1138" s="89">
        <f t="shared" si="2"/>
        <v>0.1789794364</v>
      </c>
      <c r="I1138" s="78" t="s">
        <v>1532</v>
      </c>
      <c r="J1138" s="78" t="s">
        <v>69</v>
      </c>
      <c r="K1138" s="58">
        <f t="shared" si="3"/>
        <v>189</v>
      </c>
      <c r="L1138" s="91" t="str">
        <f t="shared" si="6"/>
        <v>Sun</v>
      </c>
      <c r="M1138" s="78" t="str">
        <f>IFERROR(VLOOKUP(A1138, Entries!A:B,2,false),"")</f>
        <v>Square Enix</v>
      </c>
      <c r="N1138" s="23" t="str">
        <f>IFERROR(VLOOKUP(A1138, Entries!A:K,11,false),"")</f>
        <v/>
      </c>
      <c r="O1138" s="23" t="b">
        <f>IFERROR(VLOOKUP(A1138, Entries!A:I,8,false),"")</f>
        <v>1</v>
      </c>
    </row>
    <row r="1139">
      <c r="A1139" s="78" t="s">
        <v>1217</v>
      </c>
      <c r="B1139" s="78" t="s">
        <v>19</v>
      </c>
      <c r="C1139" s="85">
        <v>44487.0</v>
      </c>
      <c r="D1139" s="85">
        <v>44491.0</v>
      </c>
      <c r="E1139" s="86">
        <v>3.58</v>
      </c>
      <c r="F1139" s="87">
        <v>5.97</v>
      </c>
      <c r="G1139" s="88">
        <f t="shared" si="1"/>
        <v>2.39</v>
      </c>
      <c r="H1139" s="89">
        <f t="shared" si="2"/>
        <v>0.4003350084</v>
      </c>
      <c r="I1139" s="78" t="s">
        <v>1533</v>
      </c>
      <c r="J1139" s="78" t="s">
        <v>69</v>
      </c>
      <c r="K1139" s="58">
        <f t="shared" si="3"/>
        <v>4</v>
      </c>
      <c r="L1139" s="91" t="str">
        <f t="shared" si="6"/>
        <v>Fri</v>
      </c>
      <c r="M1139" s="78" t="str">
        <f>IFERROR(VLOOKUP(A1139, Entries!A:B,2,false),"")</f>
        <v>Square Enix</v>
      </c>
      <c r="N1139" s="23" t="str">
        <f>IFERROR(VLOOKUP(A1139, Entries!A:K,11,false),"")</f>
        <v/>
      </c>
      <c r="O1139" s="23" t="b">
        <f>IFERROR(VLOOKUP(A1139, Entries!A:I,8,false),"")</f>
        <v>0</v>
      </c>
      <c r="R1139" s="101"/>
    </row>
    <row r="1140">
      <c r="A1140" s="78" t="s">
        <v>1217</v>
      </c>
      <c r="B1140" s="78" t="s">
        <v>19</v>
      </c>
      <c r="C1140" s="85">
        <v>44487.0</v>
      </c>
      <c r="D1140" s="85">
        <v>44494.0</v>
      </c>
      <c r="E1140" s="86">
        <v>3.58</v>
      </c>
      <c r="F1140" s="87">
        <v>5.58</v>
      </c>
      <c r="G1140" s="88">
        <f t="shared" si="1"/>
        <v>2</v>
      </c>
      <c r="H1140" s="89">
        <f t="shared" si="2"/>
        <v>0.3584229391</v>
      </c>
      <c r="I1140" s="78" t="s">
        <v>1534</v>
      </c>
      <c r="J1140" s="78" t="s">
        <v>69</v>
      </c>
      <c r="K1140" s="58">
        <f t="shared" si="3"/>
        <v>7</v>
      </c>
      <c r="L1140" s="91" t="str">
        <f t="shared" si="6"/>
        <v>Mon</v>
      </c>
      <c r="M1140" s="78" t="str">
        <f>IFERROR(VLOOKUP(A1140, Entries!A:B,2,false),"")</f>
        <v>Square Enix</v>
      </c>
      <c r="N1140" s="23" t="str">
        <f>IFERROR(VLOOKUP(A1140, Entries!A:K,11,false),"")</f>
        <v/>
      </c>
      <c r="O1140" s="23" t="b">
        <f>IFERROR(VLOOKUP(A1140, Entries!A:I,8,false),"")</f>
        <v>0</v>
      </c>
      <c r="R1140" s="101"/>
    </row>
    <row r="1141">
      <c r="A1141" s="78" t="s">
        <v>731</v>
      </c>
      <c r="B1141" s="78" t="s">
        <v>19</v>
      </c>
      <c r="C1141" s="85">
        <v>44487.0</v>
      </c>
      <c r="D1141" s="85">
        <v>44491.0</v>
      </c>
      <c r="E1141" s="86">
        <v>2.7</v>
      </c>
      <c r="F1141" s="87">
        <v>3.97</v>
      </c>
      <c r="G1141" s="88">
        <f t="shared" si="1"/>
        <v>1.27</v>
      </c>
      <c r="H1141" s="89">
        <f t="shared" si="2"/>
        <v>0.3198992443</v>
      </c>
      <c r="I1141" s="78" t="s">
        <v>1535</v>
      </c>
      <c r="J1141" s="78" t="s">
        <v>69</v>
      </c>
      <c r="K1141" s="58">
        <f t="shared" si="3"/>
        <v>4</v>
      </c>
      <c r="L1141" s="91" t="str">
        <f t="shared" si="6"/>
        <v>Fri</v>
      </c>
      <c r="M1141" s="78" t="str">
        <f>IFERROR(VLOOKUP(A1141, Entries!A:B,2,false),"")</f>
        <v>Square Enix</v>
      </c>
      <c r="N1141" s="23" t="str">
        <f>IFERROR(VLOOKUP(A1141, Entries!A:K,11,false),"")</f>
        <v/>
      </c>
      <c r="O1141" s="23" t="b">
        <f>IFERROR(VLOOKUP(A1141, Entries!A:I,8,false),"")</f>
        <v>1</v>
      </c>
    </row>
    <row r="1142">
      <c r="A1142" s="78" t="s">
        <v>624</v>
      </c>
      <c r="B1142" s="78" t="s">
        <v>19</v>
      </c>
      <c r="C1142" s="85">
        <v>44487.0</v>
      </c>
      <c r="D1142" s="85">
        <v>44487.0</v>
      </c>
      <c r="E1142" s="86">
        <v>2.7</v>
      </c>
      <c r="F1142" s="87">
        <v>4.87</v>
      </c>
      <c r="G1142" s="88">
        <f t="shared" si="1"/>
        <v>2.17</v>
      </c>
      <c r="H1142" s="89">
        <f t="shared" si="2"/>
        <v>0.4455852156</v>
      </c>
      <c r="I1142" s="78" t="s">
        <v>1536</v>
      </c>
      <c r="J1142" s="78" t="s">
        <v>69</v>
      </c>
      <c r="K1142" s="58">
        <f t="shared" si="3"/>
        <v>0</v>
      </c>
      <c r="L1142" s="91" t="str">
        <f t="shared" si="6"/>
        <v>Mon</v>
      </c>
      <c r="M1142" s="78" t="str">
        <f>IFERROR(VLOOKUP(A1142, Entries!A:B,2,false),"")</f>
        <v>NEXT Studios</v>
      </c>
      <c r="N1142" s="23" t="str">
        <f>IFERROR(VLOOKUP(A1142, Entries!A:K,11,false),"")</f>
        <v/>
      </c>
      <c r="O1142" s="23" t="b">
        <f>IFERROR(VLOOKUP(A1142, Entries!A:I,8,false),"")</f>
        <v>1</v>
      </c>
    </row>
    <row r="1143">
      <c r="A1143" s="78" t="s">
        <v>840</v>
      </c>
      <c r="B1143" s="78" t="s">
        <v>19</v>
      </c>
      <c r="C1143" s="85">
        <v>44487.0</v>
      </c>
      <c r="D1143" s="85">
        <v>44613.0</v>
      </c>
      <c r="E1143" s="86">
        <v>2.68</v>
      </c>
      <c r="F1143" s="87">
        <v>3.55</v>
      </c>
      <c r="G1143" s="88">
        <f t="shared" si="1"/>
        <v>0.87</v>
      </c>
      <c r="H1143" s="89">
        <f t="shared" si="2"/>
        <v>0.2450704225</v>
      </c>
      <c r="I1143" s="78" t="s">
        <v>1537</v>
      </c>
      <c r="J1143" s="78" t="s">
        <v>69</v>
      </c>
      <c r="K1143" s="58">
        <f t="shared" si="3"/>
        <v>126</v>
      </c>
      <c r="L1143" s="91" t="str">
        <f t="shared" si="6"/>
        <v>Mon</v>
      </c>
      <c r="M1143" s="78" t="str">
        <f>IFERROR(VLOOKUP(A1143, Entries!A:B,2,false),"")</f>
        <v>Square Enix</v>
      </c>
      <c r="N1143" s="23" t="str">
        <f>IFERROR(VLOOKUP(A1143, Entries!A:K,11,false),"")</f>
        <v/>
      </c>
      <c r="O1143" s="23" t="b">
        <f>IFERROR(VLOOKUP(A1143, Entries!A:I,8,false),"")</f>
        <v>0</v>
      </c>
    </row>
    <row r="1144">
      <c r="A1144" s="78" t="s">
        <v>1273</v>
      </c>
      <c r="B1144" s="78" t="s">
        <v>19</v>
      </c>
      <c r="C1144" s="85">
        <v>44487.0</v>
      </c>
      <c r="D1144" s="85">
        <v>44488.0</v>
      </c>
      <c r="E1144" s="86">
        <v>5.12</v>
      </c>
      <c r="F1144" s="87">
        <v>6.47</v>
      </c>
      <c r="G1144" s="88">
        <f t="shared" si="1"/>
        <v>1.35</v>
      </c>
      <c r="H1144" s="89">
        <f t="shared" si="2"/>
        <v>0.2086553323</v>
      </c>
      <c r="I1144" s="78" t="s">
        <v>1538</v>
      </c>
      <c r="J1144" s="78" t="s">
        <v>69</v>
      </c>
      <c r="K1144" s="58">
        <f t="shared" si="3"/>
        <v>1</v>
      </c>
      <c r="L1144" s="91" t="str">
        <f t="shared" si="6"/>
        <v>Tue</v>
      </c>
      <c r="M1144" s="78" t="str">
        <f>IFERROR(VLOOKUP(A1144, Entries!A:B,2,false),"")</f>
        <v>Konami</v>
      </c>
      <c r="N1144" s="23" t="str">
        <f>IFERROR(VLOOKUP(A1144, Entries!A:K,11,false),"")</f>
        <v/>
      </c>
      <c r="O1144" s="23" t="b">
        <f>IFERROR(VLOOKUP(A1144, Entries!A:I,8,false),"")</f>
        <v>1</v>
      </c>
    </row>
    <row r="1145">
      <c r="A1145" s="78" t="s">
        <v>1539</v>
      </c>
      <c r="B1145" s="78" t="s">
        <v>22</v>
      </c>
      <c r="C1145" s="85">
        <v>44495.0</v>
      </c>
      <c r="D1145" s="85">
        <v>44504.0</v>
      </c>
      <c r="E1145" s="86">
        <v>0.0</v>
      </c>
      <c r="F1145" s="87">
        <v>12.38</v>
      </c>
      <c r="G1145" s="88">
        <f t="shared" si="1"/>
        <v>12.38</v>
      </c>
      <c r="H1145" s="89">
        <f t="shared" si="2"/>
        <v>1</v>
      </c>
      <c r="I1145" s="78" t="s">
        <v>1540</v>
      </c>
      <c r="J1145" s="78" t="s">
        <v>69</v>
      </c>
      <c r="K1145" s="58">
        <f t="shared" si="3"/>
        <v>9</v>
      </c>
      <c r="L1145" s="91" t="str">
        <f t="shared" si="6"/>
        <v>Thu</v>
      </c>
      <c r="M1145" s="78" t="str">
        <f>IFERROR(VLOOKUP(A1145, Entries!A:B,2,false),"")</f>
        <v>Systemic Reaction</v>
      </c>
      <c r="N1145" s="23" t="str">
        <f>IFERROR(VLOOKUP(A1145, Entries!A:K,11,false),"")</f>
        <v/>
      </c>
      <c r="O1145" s="23" t="b">
        <f>IFERROR(VLOOKUP(A1145, Entries!A:I,8,false),"")</f>
        <v>0</v>
      </c>
    </row>
    <row r="1146">
      <c r="A1146" s="78" t="s">
        <v>1273</v>
      </c>
      <c r="B1146" s="78" t="s">
        <v>19</v>
      </c>
      <c r="C1146" s="85">
        <v>44488.0</v>
      </c>
      <c r="D1146" s="85">
        <v>45036.0</v>
      </c>
      <c r="E1146" s="86">
        <v>5.12</v>
      </c>
      <c r="F1146" s="87">
        <v>5.94</v>
      </c>
      <c r="G1146" s="88">
        <f t="shared" si="1"/>
        <v>0.82</v>
      </c>
      <c r="H1146" s="89">
        <f t="shared" si="2"/>
        <v>0.138047138</v>
      </c>
      <c r="I1146" s="78" t="s">
        <v>1541</v>
      </c>
      <c r="J1146" s="78" t="s">
        <v>69</v>
      </c>
      <c r="K1146" s="58">
        <f t="shared" si="3"/>
        <v>548</v>
      </c>
      <c r="L1146" s="91" t="str">
        <f t="shared" si="6"/>
        <v>Thu</v>
      </c>
      <c r="M1146" s="78" t="str">
        <f>IFERROR(VLOOKUP(A1146, Entries!A:B,2,false),"")</f>
        <v>Konami</v>
      </c>
      <c r="N1146" s="23" t="str">
        <f>IFERROR(VLOOKUP(A1146, Entries!A:K,11,false),"")</f>
        <v/>
      </c>
      <c r="O1146" s="23" t="b">
        <f>IFERROR(VLOOKUP(A1146, Entries!A:I,8,false),"")</f>
        <v>1</v>
      </c>
    </row>
    <row r="1147">
      <c r="A1147" s="78" t="s">
        <v>624</v>
      </c>
      <c r="B1147" s="78" t="s">
        <v>19</v>
      </c>
      <c r="C1147" s="85">
        <v>44489.0</v>
      </c>
      <c r="D1147" s="85">
        <v>44490.0</v>
      </c>
      <c r="E1147" s="86">
        <v>2.91</v>
      </c>
      <c r="F1147" s="87">
        <v>4.68</v>
      </c>
      <c r="G1147" s="88">
        <f t="shared" si="1"/>
        <v>1.77</v>
      </c>
      <c r="H1147" s="89">
        <f t="shared" si="2"/>
        <v>0.3782051282</v>
      </c>
      <c r="I1147" s="78" t="s">
        <v>1542</v>
      </c>
      <c r="J1147" s="78" t="s">
        <v>69</v>
      </c>
      <c r="K1147" s="58">
        <f t="shared" si="3"/>
        <v>1</v>
      </c>
      <c r="L1147" s="91" t="str">
        <f t="shared" si="6"/>
        <v>Thu</v>
      </c>
      <c r="M1147" s="78" t="str">
        <f>IFERROR(VLOOKUP(A1147, Entries!A:B,2,false),"")</f>
        <v>NEXT Studios</v>
      </c>
      <c r="N1147" s="23" t="str">
        <f>IFERROR(VLOOKUP(A1147, Entries!A:K,11,false),"")</f>
        <v/>
      </c>
      <c r="O1147" s="23" t="b">
        <f>IFERROR(VLOOKUP(A1147, Entries!A:I,8,false),"")</f>
        <v>1</v>
      </c>
    </row>
    <row r="1148">
      <c r="A1148" s="78" t="s">
        <v>1543</v>
      </c>
      <c r="B1148" s="78" t="s">
        <v>19</v>
      </c>
      <c r="C1148" s="85">
        <v>44489.0</v>
      </c>
      <c r="D1148" s="85">
        <v>44514.0</v>
      </c>
      <c r="E1148" s="86">
        <v>2.91</v>
      </c>
      <c r="F1148" s="87">
        <v>3.34</v>
      </c>
      <c r="G1148" s="88">
        <f t="shared" si="1"/>
        <v>0.43</v>
      </c>
      <c r="H1148" s="89">
        <f t="shared" si="2"/>
        <v>0.128742515</v>
      </c>
      <c r="I1148" s="78" t="s">
        <v>1544</v>
      </c>
      <c r="J1148" s="78" t="s">
        <v>69</v>
      </c>
      <c r="K1148" s="58">
        <f t="shared" si="3"/>
        <v>25</v>
      </c>
      <c r="L1148" s="91" t="str">
        <f t="shared" si="6"/>
        <v>Sun</v>
      </c>
      <c r="M1148" s="78" t="str">
        <f>IFERROR(VLOOKUP(A1148, Entries!A:B,2,false),"")</f>
        <v>The Irregular Corporation</v>
      </c>
      <c r="N1148" s="23" t="str">
        <f>IFERROR(VLOOKUP(A1148, Entries!A:K,11,false),"")</f>
        <v/>
      </c>
      <c r="O1148" s="23" t="b">
        <f>IFERROR(VLOOKUP(A1148, Entries!A:I,8,false),"")</f>
        <v>0</v>
      </c>
    </row>
    <row r="1149">
      <c r="A1149" s="78" t="s">
        <v>1273</v>
      </c>
      <c r="B1149" s="78" t="s">
        <v>26</v>
      </c>
      <c r="C1149" s="85">
        <v>44489.0</v>
      </c>
      <c r="D1149" s="85">
        <v>45043.0</v>
      </c>
      <c r="E1149" s="86">
        <v>3.69</v>
      </c>
      <c r="F1149" s="87">
        <v>4.29</v>
      </c>
      <c r="G1149" s="88">
        <f t="shared" si="1"/>
        <v>0.6</v>
      </c>
      <c r="H1149" s="89">
        <f t="shared" si="2"/>
        <v>0.1398601399</v>
      </c>
      <c r="I1149" s="78" t="s">
        <v>1545</v>
      </c>
      <c r="J1149" s="78" t="s">
        <v>69</v>
      </c>
      <c r="K1149" s="58">
        <f t="shared" si="3"/>
        <v>554</v>
      </c>
      <c r="L1149" s="91" t="str">
        <f t="shared" si="6"/>
        <v>Thu</v>
      </c>
      <c r="M1149" s="78" t="str">
        <f>IFERROR(VLOOKUP(A1149, Entries!A:B,2,false),"")</f>
        <v>Konami</v>
      </c>
      <c r="N1149" s="23" t="str">
        <f>IFERROR(VLOOKUP(A1149, Entries!A:K,11,false),"")</f>
        <v/>
      </c>
      <c r="O1149" s="23" t="b">
        <f>IFERROR(VLOOKUP(A1149, Entries!A:I,8,false),"")</f>
        <v>1</v>
      </c>
    </row>
    <row r="1150">
      <c r="A1150" s="78" t="s">
        <v>1213</v>
      </c>
      <c r="B1150" s="78" t="s">
        <v>32</v>
      </c>
      <c r="C1150" s="85">
        <v>44489.0</v>
      </c>
      <c r="D1150" s="85">
        <v>44492.0</v>
      </c>
      <c r="E1150" s="86">
        <v>18.15</v>
      </c>
      <c r="F1150" s="87">
        <v>20.84</v>
      </c>
      <c r="G1150" s="88">
        <f t="shared" si="1"/>
        <v>2.69</v>
      </c>
      <c r="H1150" s="89">
        <f t="shared" si="2"/>
        <v>0.1290786948</v>
      </c>
      <c r="I1150" s="78" t="s">
        <v>1546</v>
      </c>
      <c r="J1150" s="78" t="s">
        <v>69</v>
      </c>
      <c r="K1150" s="58">
        <f t="shared" si="3"/>
        <v>3</v>
      </c>
      <c r="L1150" s="91" t="str">
        <f t="shared" si="6"/>
        <v>Sat</v>
      </c>
      <c r="M1150" s="78" t="str">
        <f>IFERROR(VLOOKUP(A1150, Entries!A:B,2,false),"")</f>
        <v>SadSquare Studio</v>
      </c>
      <c r="N1150" s="23" t="str">
        <f>IFERROR(VLOOKUP(A1150, Entries!A:K,11,false),"")</f>
        <v/>
      </c>
      <c r="O1150" s="23" t="b">
        <f>IFERROR(VLOOKUP(A1150, Entries!A:I,8,false),"")</f>
        <v>1</v>
      </c>
    </row>
    <row r="1151">
      <c r="A1151" s="78" t="s">
        <v>1438</v>
      </c>
      <c r="B1151" s="78" t="s">
        <v>19</v>
      </c>
      <c r="C1151" s="85">
        <v>44490.0</v>
      </c>
      <c r="D1151" s="85">
        <v>44493.0</v>
      </c>
      <c r="E1151" s="86">
        <v>0.89</v>
      </c>
      <c r="F1151" s="87">
        <v>1.34</v>
      </c>
      <c r="G1151" s="88">
        <f t="shared" si="1"/>
        <v>0.45</v>
      </c>
      <c r="H1151" s="89">
        <f t="shared" si="2"/>
        <v>0.3358208955</v>
      </c>
      <c r="I1151" s="78" t="s">
        <v>1547</v>
      </c>
      <c r="J1151" s="78" t="s">
        <v>69</v>
      </c>
      <c r="K1151" s="58">
        <f t="shared" si="3"/>
        <v>3</v>
      </c>
      <c r="L1151" s="91" t="str">
        <f t="shared" si="6"/>
        <v>Sun</v>
      </c>
      <c r="M1151" s="78" t="str">
        <f>IFERROR(VLOOKUP(A1151, Entries!A:B,2,false),"")</f>
        <v>Kasedo Games</v>
      </c>
      <c r="N1151" s="23" t="str">
        <f>IFERROR(VLOOKUP(A1151, Entries!A:K,11,false),"")</f>
        <v/>
      </c>
      <c r="O1151" s="23" t="b">
        <f>IFERROR(VLOOKUP(A1151, Entries!A:I,8,false),"")</f>
        <v>0</v>
      </c>
    </row>
    <row r="1152">
      <c r="A1152" s="78" t="s">
        <v>1548</v>
      </c>
      <c r="B1152" s="78" t="s">
        <v>23</v>
      </c>
      <c r="C1152" s="85">
        <v>44490.0</v>
      </c>
      <c r="D1152" s="85">
        <v>44496.0</v>
      </c>
      <c r="E1152" s="86">
        <v>3.2</v>
      </c>
      <c r="F1152" s="87">
        <v>4.0</v>
      </c>
      <c r="G1152" s="88">
        <f t="shared" si="1"/>
        <v>0.8</v>
      </c>
      <c r="H1152" s="89">
        <f t="shared" si="2"/>
        <v>0.2</v>
      </c>
      <c r="I1152" s="78" t="s">
        <v>1549</v>
      </c>
      <c r="J1152" s="78" t="s">
        <v>69</v>
      </c>
      <c r="K1152" s="58">
        <f t="shared" si="3"/>
        <v>6</v>
      </c>
      <c r="L1152" s="91" t="str">
        <f t="shared" si="6"/>
        <v>Wed</v>
      </c>
      <c r="M1152" s="78" t="str">
        <f>IFERROR(VLOOKUP(A1152, Entries!A:B,2,false),"")</f>
        <v>Devolver Digital</v>
      </c>
      <c r="N1152" s="23" t="str">
        <f>IFERROR(VLOOKUP(A1152, Entries!A:K,11,false),"")</f>
        <v/>
      </c>
      <c r="O1152" s="23" t="b">
        <f>IFERROR(VLOOKUP(A1152, Entries!A:I,8,false),"")</f>
        <v>0</v>
      </c>
    </row>
    <row r="1153">
      <c r="A1153" s="78" t="s">
        <v>624</v>
      </c>
      <c r="B1153" s="78" t="s">
        <v>19</v>
      </c>
      <c r="C1153" s="85">
        <v>44490.0</v>
      </c>
      <c r="D1153" s="85">
        <v>44492.0</v>
      </c>
      <c r="E1153" s="86">
        <v>2.91</v>
      </c>
      <c r="F1153" s="87">
        <v>4.6</v>
      </c>
      <c r="G1153" s="88">
        <f t="shared" si="1"/>
        <v>1.69</v>
      </c>
      <c r="H1153" s="89">
        <f t="shared" si="2"/>
        <v>0.3673913043</v>
      </c>
      <c r="I1153" s="78" t="s">
        <v>1550</v>
      </c>
      <c r="J1153" s="78" t="s">
        <v>69</v>
      </c>
      <c r="K1153" s="58">
        <f t="shared" si="3"/>
        <v>2</v>
      </c>
      <c r="L1153" s="91" t="str">
        <f t="shared" si="6"/>
        <v>Sat</v>
      </c>
      <c r="M1153" s="78" t="str">
        <f>IFERROR(VLOOKUP(A1153, Entries!A:B,2,false),"")</f>
        <v>NEXT Studios</v>
      </c>
      <c r="N1153" s="23" t="str">
        <f>IFERROR(VLOOKUP(A1153, Entries!A:K,11,false),"")</f>
        <v/>
      </c>
      <c r="O1153" s="23" t="b">
        <f>IFERROR(VLOOKUP(A1153, Entries!A:I,8,false),"")</f>
        <v>1</v>
      </c>
    </row>
    <row r="1154">
      <c r="A1154" s="78" t="s">
        <v>731</v>
      </c>
      <c r="B1154" s="78" t="s">
        <v>19</v>
      </c>
      <c r="C1154" s="85">
        <v>44490.0</v>
      </c>
      <c r="D1154" s="85">
        <v>44491.0</v>
      </c>
      <c r="E1154" s="86">
        <v>2.91</v>
      </c>
      <c r="F1154" s="87">
        <v>3.97</v>
      </c>
      <c r="G1154" s="88">
        <f t="shared" si="1"/>
        <v>1.06</v>
      </c>
      <c r="H1154" s="89">
        <f t="shared" si="2"/>
        <v>0.2670025189</v>
      </c>
      <c r="I1154" s="78" t="s">
        <v>1551</v>
      </c>
      <c r="J1154" s="78" t="s">
        <v>69</v>
      </c>
      <c r="K1154" s="58">
        <f t="shared" si="3"/>
        <v>1</v>
      </c>
      <c r="L1154" s="91" t="str">
        <f t="shared" si="6"/>
        <v>Fri</v>
      </c>
      <c r="M1154" s="78" t="str">
        <f>IFERROR(VLOOKUP(A1154, Entries!A:B,2,false),"")</f>
        <v>Square Enix</v>
      </c>
      <c r="N1154" s="23" t="str">
        <f>IFERROR(VLOOKUP(A1154, Entries!A:K,11,false),"")</f>
        <v/>
      </c>
      <c r="O1154" s="23" t="b">
        <f>IFERROR(VLOOKUP(A1154, Entries!A:I,8,false),"")</f>
        <v>1</v>
      </c>
    </row>
    <row r="1155">
      <c r="A1155" s="78" t="s">
        <v>750</v>
      </c>
      <c r="B1155" s="78" t="s">
        <v>19</v>
      </c>
      <c r="C1155" s="85">
        <v>44491.0</v>
      </c>
      <c r="D1155" s="85">
        <v>44554.0</v>
      </c>
      <c r="E1155" s="86">
        <v>12.77</v>
      </c>
      <c r="F1155" s="87">
        <v>13.6</v>
      </c>
      <c r="G1155" s="88">
        <f t="shared" si="1"/>
        <v>0.83</v>
      </c>
      <c r="H1155" s="89">
        <f t="shared" si="2"/>
        <v>0.06102941176</v>
      </c>
      <c r="I1155" s="78" t="s">
        <v>1552</v>
      </c>
      <c r="J1155" s="78" t="s">
        <v>69</v>
      </c>
      <c r="K1155" s="58">
        <f t="shared" si="3"/>
        <v>63</v>
      </c>
      <c r="L1155" s="91" t="str">
        <f t="shared" si="6"/>
        <v>Fri</v>
      </c>
      <c r="M1155" s="78" t="str">
        <f>IFERROR(VLOOKUP(A1155, Entries!A:B,2,false),"")</f>
        <v>Focus Home Interactive</v>
      </c>
      <c r="N1155" s="23" t="str">
        <f>IFERROR(VLOOKUP(A1155, Entries!A:K,11,false),"")</f>
        <v/>
      </c>
      <c r="O1155" s="23" t="b">
        <f>IFERROR(VLOOKUP(A1155, Entries!A:I,8,false),"")</f>
        <v>0</v>
      </c>
    </row>
    <row r="1156">
      <c r="A1156" s="78" t="s">
        <v>1553</v>
      </c>
      <c r="B1156" s="78" t="s">
        <v>19</v>
      </c>
      <c r="C1156" s="85">
        <v>44491.0</v>
      </c>
      <c r="D1156" s="85">
        <v>44493.0</v>
      </c>
      <c r="E1156" s="86">
        <v>22.13</v>
      </c>
      <c r="F1156" s="87">
        <v>27.26</v>
      </c>
      <c r="G1156" s="88">
        <f t="shared" si="1"/>
        <v>5.13</v>
      </c>
      <c r="H1156" s="89">
        <f t="shared" si="2"/>
        <v>0.188187821</v>
      </c>
      <c r="I1156" s="78" t="s">
        <v>1554</v>
      </c>
      <c r="J1156" s="78" t="s">
        <v>69</v>
      </c>
      <c r="K1156" s="58">
        <f t="shared" si="3"/>
        <v>2</v>
      </c>
      <c r="L1156" s="91" t="str">
        <f t="shared" si="6"/>
        <v>Sun</v>
      </c>
      <c r="M1156" s="78" t="str">
        <f>IFERROR(VLOOKUP(A1156, Entries!A:B,2,false),"")</f>
        <v>Focus Home Interactive</v>
      </c>
      <c r="N1156" s="23" t="str">
        <f>IFERROR(VLOOKUP(A1156, Entries!A:K,11,false),"")</f>
        <v/>
      </c>
      <c r="O1156" s="23" t="b">
        <f>IFERROR(VLOOKUP(A1156, Entries!A:I,8,false),"")</f>
        <v>1</v>
      </c>
    </row>
    <row r="1157">
      <c r="A1157" s="78" t="s">
        <v>149</v>
      </c>
      <c r="B1157" s="78" t="s">
        <v>19</v>
      </c>
      <c r="C1157" s="85">
        <v>44491.0</v>
      </c>
      <c r="D1157" s="85">
        <v>44645.0</v>
      </c>
      <c r="E1157" s="86">
        <v>4.59</v>
      </c>
      <c r="F1157" s="87">
        <v>4.56</v>
      </c>
      <c r="G1157" s="88">
        <f t="shared" si="1"/>
        <v>-0.03</v>
      </c>
      <c r="H1157" s="89">
        <f t="shared" si="2"/>
        <v>-0.006578947368</v>
      </c>
      <c r="I1157" s="78" t="s">
        <v>1555</v>
      </c>
      <c r="J1157" s="78" t="s">
        <v>69</v>
      </c>
      <c r="K1157" s="58">
        <f t="shared" si="3"/>
        <v>154</v>
      </c>
      <c r="L1157" s="91" t="str">
        <f t="shared" si="6"/>
        <v>Fri</v>
      </c>
      <c r="M1157" s="78" t="str">
        <f>IFERROR(VLOOKUP(A1157, Entries!A:B,2,false),"")</f>
        <v>Focus Home Interactive</v>
      </c>
      <c r="N1157" s="23" t="str">
        <f>IFERROR(VLOOKUP(A1157, Entries!A:K,11,false),"")</f>
        <v/>
      </c>
      <c r="O1157" s="23" t="b">
        <f>IFERROR(VLOOKUP(A1157, Entries!A:I,8,false),"")</f>
        <v>0</v>
      </c>
    </row>
    <row r="1158">
      <c r="A1158" s="78" t="s">
        <v>1556</v>
      </c>
      <c r="B1158" s="78" t="s">
        <v>19</v>
      </c>
      <c r="C1158" s="85">
        <v>44491.0</v>
      </c>
      <c r="D1158" s="85">
        <v>44492.0</v>
      </c>
      <c r="E1158" s="86">
        <v>16.0</v>
      </c>
      <c r="F1158" s="87">
        <v>19.81</v>
      </c>
      <c r="G1158" s="88">
        <f t="shared" si="1"/>
        <v>3.81</v>
      </c>
      <c r="H1158" s="89">
        <f t="shared" si="2"/>
        <v>0.1923271075</v>
      </c>
      <c r="I1158" s="78" t="s">
        <v>1557</v>
      </c>
      <c r="J1158" s="78" t="s">
        <v>69</v>
      </c>
      <c r="K1158" s="58">
        <f t="shared" si="3"/>
        <v>1</v>
      </c>
      <c r="L1158" s="91" t="str">
        <f t="shared" si="6"/>
        <v>Sat</v>
      </c>
      <c r="M1158" s="78" t="str">
        <f>IFERROR(VLOOKUP(A1158, Entries!A:B,2,false),"")</f>
        <v>Focus Home Interactive</v>
      </c>
      <c r="N1158" s="23" t="str">
        <f>IFERROR(VLOOKUP(A1158, Entries!A:K,11,false),"")</f>
        <v/>
      </c>
      <c r="O1158" s="23" t="b">
        <f>IFERROR(VLOOKUP(A1158, Entries!A:I,8,false),"")</f>
        <v>0</v>
      </c>
    </row>
    <row r="1159">
      <c r="A1159" s="78" t="s">
        <v>624</v>
      </c>
      <c r="B1159" s="78" t="s">
        <v>19</v>
      </c>
      <c r="C1159" s="85">
        <v>44491.0</v>
      </c>
      <c r="D1159" s="85">
        <v>44492.0</v>
      </c>
      <c r="E1159" s="86">
        <v>2.68</v>
      </c>
      <c r="F1159" s="87">
        <v>4.63</v>
      </c>
      <c r="G1159" s="88">
        <f t="shared" si="1"/>
        <v>1.95</v>
      </c>
      <c r="H1159" s="89">
        <f t="shared" si="2"/>
        <v>0.4211663067</v>
      </c>
      <c r="I1159" s="78" t="s">
        <v>1558</v>
      </c>
      <c r="J1159" s="78" t="s">
        <v>69</v>
      </c>
      <c r="K1159" s="58">
        <f t="shared" si="3"/>
        <v>1</v>
      </c>
      <c r="L1159" s="91" t="str">
        <f t="shared" si="6"/>
        <v>Sat</v>
      </c>
      <c r="M1159" s="78" t="str">
        <f>IFERROR(VLOOKUP(A1159, Entries!A:B,2,false),"")</f>
        <v>NEXT Studios</v>
      </c>
      <c r="N1159" s="23" t="str">
        <f>IFERROR(VLOOKUP(A1159, Entries!A:K,11,false),"")</f>
        <v/>
      </c>
      <c r="O1159" s="23" t="b">
        <f>IFERROR(VLOOKUP(A1159, Entries!A:I,8,false),"")</f>
        <v>1</v>
      </c>
    </row>
    <row r="1160">
      <c r="A1160" s="78" t="s">
        <v>731</v>
      </c>
      <c r="B1160" s="78" t="s">
        <v>19</v>
      </c>
      <c r="C1160" s="85">
        <v>44491.0</v>
      </c>
      <c r="D1160" s="85">
        <v>44492.0</v>
      </c>
      <c r="E1160" s="86">
        <v>2.68</v>
      </c>
      <c r="F1160" s="87">
        <v>3.97</v>
      </c>
      <c r="G1160" s="88">
        <f t="shared" si="1"/>
        <v>1.29</v>
      </c>
      <c r="H1160" s="89">
        <f t="shared" si="2"/>
        <v>0.3249370277</v>
      </c>
      <c r="I1160" s="78" t="s">
        <v>1559</v>
      </c>
      <c r="J1160" s="78" t="s">
        <v>69</v>
      </c>
      <c r="K1160" s="58">
        <f t="shared" si="3"/>
        <v>1</v>
      </c>
      <c r="L1160" s="91" t="str">
        <f t="shared" si="6"/>
        <v>Sat</v>
      </c>
      <c r="M1160" s="78" t="str">
        <f>IFERROR(VLOOKUP(A1160, Entries!A:B,2,false),"")</f>
        <v>Square Enix</v>
      </c>
      <c r="N1160" s="23" t="str">
        <f>IFERROR(VLOOKUP(A1160, Entries!A:K,11,false),"")</f>
        <v/>
      </c>
      <c r="O1160" s="23" t="b">
        <f>IFERROR(VLOOKUP(A1160, Entries!A:I,8,false),"")</f>
        <v>1</v>
      </c>
    </row>
    <row r="1161">
      <c r="A1161" s="78" t="s">
        <v>1175</v>
      </c>
      <c r="B1161" s="78" t="s">
        <v>19</v>
      </c>
      <c r="C1161" s="85">
        <v>44491.0</v>
      </c>
      <c r="D1161" s="85">
        <v>44504.0</v>
      </c>
      <c r="E1161" s="86">
        <v>2.7</v>
      </c>
      <c r="F1161" s="87">
        <v>3.59</v>
      </c>
      <c r="G1161" s="88">
        <f t="shared" si="1"/>
        <v>0.89</v>
      </c>
      <c r="H1161" s="89">
        <f t="shared" si="2"/>
        <v>0.2479108635</v>
      </c>
      <c r="I1161" s="78" t="s">
        <v>1560</v>
      </c>
      <c r="J1161" s="78" t="s">
        <v>69</v>
      </c>
      <c r="K1161" s="58">
        <f t="shared" si="3"/>
        <v>13</v>
      </c>
      <c r="L1161" s="91" t="str">
        <f t="shared" si="6"/>
        <v>Thu</v>
      </c>
      <c r="M1161" s="78" t="str">
        <f>IFERROR(VLOOKUP(A1161, Entries!A:B,2,false),"")</f>
        <v>10tons Ltd</v>
      </c>
      <c r="N1161" s="23" t="str">
        <f>IFERROR(VLOOKUP(A1161, Entries!A:K,11,false),"")</f>
        <v/>
      </c>
      <c r="O1161" s="23" t="b">
        <f>IFERROR(VLOOKUP(A1161, Entries!A:I,8,false),"")</f>
        <v>0</v>
      </c>
    </row>
    <row r="1162">
      <c r="A1162" s="78" t="s">
        <v>1319</v>
      </c>
      <c r="B1162" s="78" t="s">
        <v>25</v>
      </c>
      <c r="C1162" s="85">
        <v>44491.0</v>
      </c>
      <c r="D1162" s="85">
        <v>44500.0</v>
      </c>
      <c r="E1162" s="86">
        <v>3.7</v>
      </c>
      <c r="F1162" s="87">
        <v>9.84</v>
      </c>
      <c r="G1162" s="88">
        <f t="shared" si="1"/>
        <v>6.14</v>
      </c>
      <c r="H1162" s="89">
        <f t="shared" si="2"/>
        <v>0.6239837398</v>
      </c>
      <c r="I1162" s="78" t="s">
        <v>1561</v>
      </c>
      <c r="J1162" s="78" t="s">
        <v>69</v>
      </c>
      <c r="K1162" s="58">
        <f t="shared" si="3"/>
        <v>9</v>
      </c>
      <c r="L1162" s="91" t="str">
        <f t="shared" si="6"/>
        <v>Sun</v>
      </c>
      <c r="M1162" s="78" t="str">
        <f>IFERROR(VLOOKUP(A1162, Entries!A:B,2,false),"")</f>
        <v>Assemble Entertainment</v>
      </c>
      <c r="N1162" s="23" t="str">
        <f>IFERROR(VLOOKUP(A1162, Entries!A:K,11,false),"")</f>
        <v/>
      </c>
      <c r="O1162" s="23" t="b">
        <f>IFERROR(VLOOKUP(A1162, Entries!A:I,8,false),"")</f>
        <v>1</v>
      </c>
    </row>
    <row r="1163">
      <c r="A1163" s="78" t="s">
        <v>1319</v>
      </c>
      <c r="B1163" s="78" t="s">
        <v>25</v>
      </c>
      <c r="C1163" s="85">
        <v>44491.0</v>
      </c>
      <c r="D1163" s="85">
        <v>44510.0</v>
      </c>
      <c r="E1163" s="86">
        <v>3.7</v>
      </c>
      <c r="F1163" s="87">
        <v>7.21</v>
      </c>
      <c r="G1163" s="88">
        <f t="shared" si="1"/>
        <v>3.51</v>
      </c>
      <c r="H1163" s="89">
        <f t="shared" si="2"/>
        <v>0.4868238558</v>
      </c>
      <c r="I1163" s="78" t="s">
        <v>1562</v>
      </c>
      <c r="J1163" s="78" t="s">
        <v>69</v>
      </c>
      <c r="K1163" s="58">
        <f t="shared" si="3"/>
        <v>19</v>
      </c>
      <c r="L1163" s="91" t="str">
        <f t="shared" si="6"/>
        <v>Wed</v>
      </c>
      <c r="M1163" s="78" t="str">
        <f>IFERROR(VLOOKUP(A1163, Entries!A:B,2,false),"")</f>
        <v>Assemble Entertainment</v>
      </c>
      <c r="N1163" s="23" t="str">
        <f>IFERROR(VLOOKUP(A1163, Entries!A:K,11,false),"")</f>
        <v/>
      </c>
      <c r="O1163" s="23" t="b">
        <f>IFERROR(VLOOKUP(A1163, Entries!A:I,8,false),"")</f>
        <v>1</v>
      </c>
    </row>
    <row r="1164">
      <c r="A1164" s="78" t="s">
        <v>1319</v>
      </c>
      <c r="B1164" s="78" t="s">
        <v>25</v>
      </c>
      <c r="C1164" s="85">
        <v>44491.0</v>
      </c>
      <c r="D1164" s="85">
        <v>44514.0</v>
      </c>
      <c r="E1164" s="86">
        <v>3.71</v>
      </c>
      <c r="F1164" s="87">
        <v>6.43</v>
      </c>
      <c r="G1164" s="88">
        <f t="shared" si="1"/>
        <v>2.72</v>
      </c>
      <c r="H1164" s="89">
        <f t="shared" si="2"/>
        <v>0.4230171073</v>
      </c>
      <c r="I1164" s="78" t="s">
        <v>1563</v>
      </c>
      <c r="J1164" s="78" t="s">
        <v>69</v>
      </c>
      <c r="K1164" s="58">
        <f t="shared" si="3"/>
        <v>23</v>
      </c>
      <c r="L1164" s="91" t="str">
        <f t="shared" si="6"/>
        <v>Sun</v>
      </c>
      <c r="M1164" s="78" t="str">
        <f>IFERROR(VLOOKUP(A1164, Entries!A:B,2,false),"")</f>
        <v>Assemble Entertainment</v>
      </c>
      <c r="N1164" s="23" t="str">
        <f>IFERROR(VLOOKUP(A1164, Entries!A:K,11,false),"")</f>
        <v/>
      </c>
      <c r="O1164" s="23" t="b">
        <f>IFERROR(VLOOKUP(A1164, Entries!A:I,8,false),"")</f>
        <v>1</v>
      </c>
    </row>
    <row r="1165">
      <c r="A1165" s="78" t="s">
        <v>1556</v>
      </c>
      <c r="B1165" s="78" t="s">
        <v>19</v>
      </c>
      <c r="C1165" s="85">
        <v>44492.0</v>
      </c>
      <c r="D1165" s="85">
        <v>44494.0</v>
      </c>
      <c r="E1165" s="86">
        <v>16.0</v>
      </c>
      <c r="F1165" s="87">
        <v>19.35</v>
      </c>
      <c r="G1165" s="88">
        <f t="shared" si="1"/>
        <v>3.35</v>
      </c>
      <c r="H1165" s="89">
        <f t="shared" si="2"/>
        <v>0.173126615</v>
      </c>
      <c r="I1165" s="78" t="s">
        <v>1564</v>
      </c>
      <c r="J1165" s="78" t="s">
        <v>69</v>
      </c>
      <c r="K1165" s="58">
        <f t="shared" si="3"/>
        <v>2</v>
      </c>
      <c r="L1165" s="91" t="str">
        <f t="shared" si="6"/>
        <v>Mon</v>
      </c>
      <c r="M1165" s="78" t="str">
        <f>IFERROR(VLOOKUP(A1165, Entries!A:B,2,false),"")</f>
        <v>Focus Home Interactive</v>
      </c>
      <c r="N1165" s="23" t="str">
        <f>IFERROR(VLOOKUP(A1165, Entries!A:K,11,false),"")</f>
        <v/>
      </c>
      <c r="O1165" s="23" t="b">
        <f>IFERROR(VLOOKUP(A1165, Entries!A:I,8,false),"")</f>
        <v>0</v>
      </c>
    </row>
    <row r="1166">
      <c r="A1166" s="78" t="s">
        <v>1553</v>
      </c>
      <c r="B1166" s="78" t="s">
        <v>19</v>
      </c>
      <c r="C1166" s="85">
        <v>44493.0</v>
      </c>
      <c r="D1166" s="85">
        <v>44496.0</v>
      </c>
      <c r="E1166" s="86">
        <v>22.13</v>
      </c>
      <c r="F1166" s="87">
        <v>28.39</v>
      </c>
      <c r="G1166" s="88">
        <f t="shared" si="1"/>
        <v>6.26</v>
      </c>
      <c r="H1166" s="89">
        <f t="shared" si="2"/>
        <v>0.2205001761</v>
      </c>
      <c r="I1166" s="78" t="s">
        <v>1565</v>
      </c>
      <c r="J1166" s="78" t="s">
        <v>69</v>
      </c>
      <c r="K1166" s="58">
        <f t="shared" si="3"/>
        <v>3</v>
      </c>
      <c r="L1166" s="91" t="str">
        <f t="shared" si="6"/>
        <v>Wed</v>
      </c>
      <c r="M1166" s="78" t="str">
        <f>IFERROR(VLOOKUP(A1166, Entries!A:B,2,false),"")</f>
        <v>Focus Home Interactive</v>
      </c>
      <c r="N1166" s="23" t="str">
        <f>IFERROR(VLOOKUP(A1166, Entries!A:K,11,false),"")</f>
        <v/>
      </c>
      <c r="O1166" s="23" t="b">
        <f>IFERROR(VLOOKUP(A1166, Entries!A:I,8,false),"")</f>
        <v>1</v>
      </c>
    </row>
    <row r="1167">
      <c r="A1167" s="95" t="s">
        <v>624</v>
      </c>
      <c r="B1167" s="78" t="s">
        <v>19</v>
      </c>
      <c r="C1167" s="85">
        <v>44493.0</v>
      </c>
      <c r="D1167" s="85">
        <v>44493.0</v>
      </c>
      <c r="E1167" s="86">
        <v>2.68</v>
      </c>
      <c r="F1167" s="87">
        <v>4.62</v>
      </c>
      <c r="G1167" s="88">
        <f t="shared" si="1"/>
        <v>1.94</v>
      </c>
      <c r="H1167" s="89">
        <f t="shared" si="2"/>
        <v>0.4199134199</v>
      </c>
      <c r="I1167" s="78" t="s">
        <v>1566</v>
      </c>
      <c r="J1167" s="78" t="s">
        <v>69</v>
      </c>
      <c r="K1167" s="58">
        <f t="shared" si="3"/>
        <v>0</v>
      </c>
      <c r="L1167" s="91" t="str">
        <f t="shared" si="6"/>
        <v>Sun</v>
      </c>
      <c r="M1167" s="78" t="str">
        <f>IFERROR(VLOOKUP(A1167, Entries!A:B,2,false),"")</f>
        <v>NEXT Studios</v>
      </c>
      <c r="N1167" s="23" t="str">
        <f>IFERROR(VLOOKUP(A1167, Entries!A:K,11,false),"")</f>
        <v/>
      </c>
      <c r="O1167" s="23" t="b">
        <f>IFERROR(VLOOKUP(A1167, Entries!A:I,8,false),"")</f>
        <v>1</v>
      </c>
    </row>
    <row r="1168">
      <c r="A1168" s="95" t="s">
        <v>731</v>
      </c>
      <c r="B1168" s="78" t="s">
        <v>19</v>
      </c>
      <c r="C1168" s="85">
        <v>44493.0</v>
      </c>
      <c r="D1168" s="85">
        <v>44497.0</v>
      </c>
      <c r="E1168" s="86">
        <v>2.68</v>
      </c>
      <c r="F1168" s="87">
        <v>3.97</v>
      </c>
      <c r="G1168" s="88">
        <f t="shared" si="1"/>
        <v>1.29</v>
      </c>
      <c r="H1168" s="89">
        <f t="shared" si="2"/>
        <v>0.3249370277</v>
      </c>
      <c r="I1168" s="78" t="s">
        <v>1567</v>
      </c>
      <c r="J1168" s="78" t="s">
        <v>69</v>
      </c>
      <c r="K1168" s="58">
        <f t="shared" si="3"/>
        <v>4</v>
      </c>
      <c r="L1168" s="91" t="str">
        <f t="shared" si="6"/>
        <v>Thu</v>
      </c>
      <c r="M1168" s="78" t="str">
        <f>IFERROR(VLOOKUP(A1168, Entries!A:B,2,false),"")</f>
        <v>Square Enix</v>
      </c>
      <c r="N1168" s="23" t="str">
        <f>IFERROR(VLOOKUP(A1168, Entries!A:K,11,false),"")</f>
        <v/>
      </c>
      <c r="O1168" s="23" t="b">
        <f>IFERROR(VLOOKUP(A1168, Entries!A:I,8,false),"")</f>
        <v>1</v>
      </c>
    </row>
    <row r="1169">
      <c r="A1169" s="78" t="s">
        <v>1568</v>
      </c>
      <c r="B1169" s="78" t="s">
        <v>19</v>
      </c>
      <c r="C1169" s="85">
        <v>44493.0</v>
      </c>
      <c r="D1169" s="85">
        <v>44494.0</v>
      </c>
      <c r="E1169" s="86">
        <v>2.7</v>
      </c>
      <c r="F1169" s="87">
        <v>3.73</v>
      </c>
      <c r="G1169" s="88">
        <f t="shared" si="1"/>
        <v>1.03</v>
      </c>
      <c r="H1169" s="89">
        <f t="shared" si="2"/>
        <v>0.2761394102</v>
      </c>
      <c r="I1169" s="78" t="s">
        <v>1569</v>
      </c>
      <c r="J1169" s="78" t="s">
        <v>69</v>
      </c>
      <c r="K1169" s="58">
        <f t="shared" si="3"/>
        <v>1</v>
      </c>
      <c r="L1169" s="91" t="str">
        <f t="shared" si="6"/>
        <v>Mon</v>
      </c>
      <c r="M1169" s="78" t="str">
        <f>IFERROR(VLOOKUP(A1169, Entries!A:B,2,false),"")</f>
        <v>Natsume</v>
      </c>
      <c r="N1169" s="23" t="str">
        <f>IFERROR(VLOOKUP(A1169, Entries!A:K,11,false),"")</f>
        <v/>
      </c>
      <c r="O1169" s="23" t="b">
        <f>IFERROR(VLOOKUP(A1169, Entries!A:I,8,false),"")</f>
        <v>0</v>
      </c>
    </row>
    <row r="1170">
      <c r="A1170" s="95" t="s">
        <v>624</v>
      </c>
      <c r="B1170" s="78" t="s">
        <v>19</v>
      </c>
      <c r="C1170" s="85">
        <v>44493.0</v>
      </c>
      <c r="D1170" s="85">
        <v>44499.0</v>
      </c>
      <c r="E1170" s="86">
        <v>2.68</v>
      </c>
      <c r="F1170" s="87">
        <v>4.25</v>
      </c>
      <c r="G1170" s="88">
        <f t="shared" si="1"/>
        <v>1.57</v>
      </c>
      <c r="H1170" s="89">
        <f t="shared" si="2"/>
        <v>0.3694117647</v>
      </c>
      <c r="I1170" s="78" t="s">
        <v>1570</v>
      </c>
      <c r="J1170" s="78" t="s">
        <v>69</v>
      </c>
      <c r="K1170" s="58">
        <f t="shared" si="3"/>
        <v>6</v>
      </c>
      <c r="L1170" s="91" t="str">
        <f t="shared" si="6"/>
        <v>Sat</v>
      </c>
      <c r="M1170" s="78" t="str">
        <f>IFERROR(VLOOKUP(A1170, Entries!A:B,2,false),"")</f>
        <v>NEXT Studios</v>
      </c>
      <c r="N1170" s="23" t="str">
        <f>IFERROR(VLOOKUP(A1170, Entries!A:K,11,false),"")</f>
        <v/>
      </c>
      <c r="O1170" s="23" t="b">
        <f>IFERROR(VLOOKUP(A1170, Entries!A:I,8,false),"")</f>
        <v>1</v>
      </c>
    </row>
    <row r="1171">
      <c r="A1171" s="95" t="s">
        <v>731</v>
      </c>
      <c r="B1171" s="78" t="s">
        <v>19</v>
      </c>
      <c r="C1171" s="85">
        <v>44493.0</v>
      </c>
      <c r="D1171" s="85">
        <v>44497.0</v>
      </c>
      <c r="E1171" s="86">
        <v>2.68</v>
      </c>
      <c r="F1171" s="87">
        <v>3.97</v>
      </c>
      <c r="G1171" s="88">
        <f t="shared" si="1"/>
        <v>1.29</v>
      </c>
      <c r="H1171" s="89">
        <f t="shared" si="2"/>
        <v>0.3249370277</v>
      </c>
      <c r="I1171" s="78" t="s">
        <v>1571</v>
      </c>
      <c r="J1171" s="78" t="s">
        <v>69</v>
      </c>
      <c r="K1171" s="58">
        <f t="shared" si="3"/>
        <v>4</v>
      </c>
      <c r="L1171" s="91" t="str">
        <f t="shared" si="6"/>
        <v>Thu</v>
      </c>
      <c r="M1171" s="78" t="str">
        <f>IFERROR(VLOOKUP(A1171, Entries!A:B,2,false),"")</f>
        <v>Square Enix</v>
      </c>
      <c r="N1171" s="23" t="str">
        <f>IFERROR(VLOOKUP(A1171, Entries!A:K,11,false),"")</f>
        <v/>
      </c>
      <c r="O1171" s="23" t="b">
        <f>IFERROR(VLOOKUP(A1171, Entries!A:I,8,false),"")</f>
        <v>1</v>
      </c>
    </row>
    <row r="1172">
      <c r="A1172" s="78" t="s">
        <v>1175</v>
      </c>
      <c r="B1172" s="78" t="s">
        <v>19</v>
      </c>
      <c r="C1172" s="85">
        <v>44493.0</v>
      </c>
      <c r="D1172" s="85">
        <v>44504.0</v>
      </c>
      <c r="E1172" s="86">
        <v>2.7</v>
      </c>
      <c r="F1172" s="87">
        <v>3.59</v>
      </c>
      <c r="G1172" s="88">
        <f t="shared" si="1"/>
        <v>0.89</v>
      </c>
      <c r="H1172" s="89">
        <f t="shared" si="2"/>
        <v>0.2479108635</v>
      </c>
      <c r="I1172" s="78" t="s">
        <v>1572</v>
      </c>
      <c r="J1172" s="78" t="s">
        <v>69</v>
      </c>
      <c r="K1172" s="58">
        <f t="shared" si="3"/>
        <v>11</v>
      </c>
      <c r="L1172" s="91" t="str">
        <f t="shared" si="6"/>
        <v>Thu</v>
      </c>
      <c r="M1172" s="78" t="str">
        <f>IFERROR(VLOOKUP(A1172, Entries!A:B,2,false),"")</f>
        <v>10tons Ltd</v>
      </c>
      <c r="N1172" s="23" t="str">
        <f>IFERROR(VLOOKUP(A1172, Entries!A:K,11,false),"")</f>
        <v/>
      </c>
      <c r="O1172" s="23" t="b">
        <f>IFERROR(VLOOKUP(A1172, Entries!A:I,8,false),"")</f>
        <v>0</v>
      </c>
    </row>
    <row r="1173">
      <c r="A1173" s="78" t="s">
        <v>1438</v>
      </c>
      <c r="B1173" s="78" t="s">
        <v>19</v>
      </c>
      <c r="C1173" s="85">
        <v>44493.0</v>
      </c>
      <c r="D1173" s="85">
        <v>44566.0</v>
      </c>
      <c r="E1173" s="86">
        <v>0.89</v>
      </c>
      <c r="F1173" s="87">
        <v>1.1</v>
      </c>
      <c r="G1173" s="88">
        <f t="shared" si="1"/>
        <v>0.21</v>
      </c>
      <c r="H1173" s="89">
        <f t="shared" si="2"/>
        <v>0.1909090909</v>
      </c>
      <c r="I1173" s="78" t="s">
        <v>1573</v>
      </c>
      <c r="J1173" s="78" t="s">
        <v>69</v>
      </c>
      <c r="K1173" s="58">
        <f t="shared" si="3"/>
        <v>73</v>
      </c>
      <c r="L1173" s="91" t="str">
        <f t="shared" si="6"/>
        <v>Wed</v>
      </c>
      <c r="M1173" s="78" t="str">
        <f>IFERROR(VLOOKUP(A1173, Entries!A:B,2,false),"")</f>
        <v>Kasedo Games</v>
      </c>
      <c r="N1173" s="23" t="str">
        <f>IFERROR(VLOOKUP(A1173, Entries!A:K,11,false),"")</f>
        <v/>
      </c>
      <c r="O1173" s="23" t="b">
        <f>IFERROR(VLOOKUP(A1173, Entries!A:I,8,false),"")</f>
        <v>0</v>
      </c>
    </row>
    <row r="1174">
      <c r="A1174" s="78" t="s">
        <v>1574</v>
      </c>
      <c r="B1174" s="78" t="s">
        <v>19</v>
      </c>
      <c r="C1174" s="85">
        <v>44494.0</v>
      </c>
      <c r="D1174" s="85">
        <v>44495.0</v>
      </c>
      <c r="E1174" s="86">
        <v>11.06</v>
      </c>
      <c r="F1174" s="87">
        <v>12.51</v>
      </c>
      <c r="G1174" s="88">
        <f t="shared" si="1"/>
        <v>1.45</v>
      </c>
      <c r="H1174" s="89">
        <f t="shared" si="2"/>
        <v>0.1159072742</v>
      </c>
      <c r="I1174" s="78" t="s">
        <v>1575</v>
      </c>
      <c r="J1174" s="78" t="s">
        <v>69</v>
      </c>
      <c r="K1174" s="58">
        <f t="shared" si="3"/>
        <v>1</v>
      </c>
      <c r="L1174" s="91" t="str">
        <f t="shared" si="6"/>
        <v>Tue</v>
      </c>
      <c r="M1174" s="78" t="str">
        <f>IFERROR(VLOOKUP(A1174, Entries!A:B,2,false),"")</f>
        <v>Focus Home Interactive</v>
      </c>
      <c r="N1174" s="23" t="str">
        <f>IFERROR(VLOOKUP(A1174, Entries!A:K,11,false),"")</f>
        <v/>
      </c>
      <c r="O1174" s="23" t="b">
        <f>IFERROR(VLOOKUP(A1174, Entries!A:I,8,false),"")</f>
        <v>0</v>
      </c>
    </row>
    <row r="1175">
      <c r="A1175" s="95" t="s">
        <v>731</v>
      </c>
      <c r="B1175" s="78" t="s">
        <v>19</v>
      </c>
      <c r="C1175" s="85">
        <v>44494.0</v>
      </c>
      <c r="D1175" s="85">
        <v>44513.0</v>
      </c>
      <c r="E1175" s="86">
        <v>0.0</v>
      </c>
      <c r="F1175" s="87">
        <v>3.86</v>
      </c>
      <c r="G1175" s="88">
        <f t="shared" si="1"/>
        <v>3.86</v>
      </c>
      <c r="H1175" s="89">
        <f t="shared" si="2"/>
        <v>1</v>
      </c>
      <c r="I1175" s="78" t="s">
        <v>1576</v>
      </c>
      <c r="J1175" s="78" t="s">
        <v>69</v>
      </c>
      <c r="K1175" s="58">
        <f t="shared" si="3"/>
        <v>19</v>
      </c>
      <c r="L1175" s="91" t="str">
        <f t="shared" si="6"/>
        <v>Sat</v>
      </c>
      <c r="M1175" s="78" t="str">
        <f>IFERROR(VLOOKUP(A1175, Entries!A:B,2,false),"")</f>
        <v>Square Enix</v>
      </c>
      <c r="N1175" s="23" t="str">
        <f>IFERROR(VLOOKUP(A1175, Entries!A:K,11,false),"")</f>
        <v/>
      </c>
      <c r="O1175" s="23" t="b">
        <f>IFERROR(VLOOKUP(A1175, Entries!A:I,8,false),"")</f>
        <v>1</v>
      </c>
    </row>
    <row r="1176">
      <c r="A1176" s="78" t="s">
        <v>1577</v>
      </c>
      <c r="B1176" s="78" t="s">
        <v>19</v>
      </c>
      <c r="C1176" s="85">
        <v>44494.0</v>
      </c>
      <c r="D1176" s="85">
        <v>44521.0</v>
      </c>
      <c r="E1176" s="86">
        <v>11.23</v>
      </c>
      <c r="F1176" s="87">
        <v>17.34</v>
      </c>
      <c r="G1176" s="88">
        <f t="shared" si="1"/>
        <v>6.11</v>
      </c>
      <c r="H1176" s="89">
        <f t="shared" si="2"/>
        <v>0.3523644752</v>
      </c>
      <c r="I1176" s="78" t="s">
        <v>1578</v>
      </c>
      <c r="J1176" s="78" t="s">
        <v>69</v>
      </c>
      <c r="K1176" s="58">
        <f t="shared" si="3"/>
        <v>27</v>
      </c>
      <c r="L1176" s="91" t="str">
        <f t="shared" si="6"/>
        <v>Sun</v>
      </c>
      <c r="M1176" s="78" t="str">
        <f>IFERROR(VLOOKUP(A1176, Entries!A:B,2,false),"")</f>
        <v>Focus Home Interactive</v>
      </c>
      <c r="N1176" s="23" t="str">
        <f>IFERROR(VLOOKUP(A1176, Entries!A:K,11,false),"")</f>
        <v/>
      </c>
      <c r="O1176" s="23" t="b">
        <f>IFERROR(VLOOKUP(A1176, Entries!A:I,8,false),"")</f>
        <v>0</v>
      </c>
    </row>
    <row r="1177">
      <c r="A1177" s="78" t="s">
        <v>377</v>
      </c>
      <c r="B1177" s="78" t="s">
        <v>19</v>
      </c>
      <c r="C1177" s="85">
        <v>44494.0</v>
      </c>
      <c r="D1177" s="85">
        <v>44495.0</v>
      </c>
      <c r="E1177" s="86">
        <v>0.0</v>
      </c>
      <c r="F1177" s="87">
        <v>0.47</v>
      </c>
      <c r="G1177" s="88">
        <f t="shared" si="1"/>
        <v>0.47</v>
      </c>
      <c r="H1177" s="89">
        <f t="shared" si="2"/>
        <v>1</v>
      </c>
      <c r="I1177" s="78" t="s">
        <v>1579</v>
      </c>
      <c r="J1177" s="78" t="s">
        <v>69</v>
      </c>
      <c r="K1177" s="58">
        <f t="shared" si="3"/>
        <v>1</v>
      </c>
      <c r="L1177" s="91" t="str">
        <f t="shared" si="6"/>
        <v>Tue</v>
      </c>
      <c r="M1177" s="78" t="str">
        <f>IFERROR(VLOOKUP(A1177, Entries!A:B,2,false),"")</f>
        <v>Runic Games</v>
      </c>
      <c r="N1177" s="23" t="str">
        <f>IFERROR(VLOOKUP(A1177, Entries!A:K,11,false),"")</f>
        <v/>
      </c>
      <c r="O1177" s="23" t="b">
        <f>IFERROR(VLOOKUP(A1177, Entries!A:I,8,false),"")</f>
        <v>0</v>
      </c>
    </row>
    <row r="1178">
      <c r="A1178" s="78" t="s">
        <v>1580</v>
      </c>
      <c r="B1178" s="78" t="s">
        <v>19</v>
      </c>
      <c r="C1178" s="85">
        <v>44494.0</v>
      </c>
      <c r="D1178" s="85">
        <v>44495.0</v>
      </c>
      <c r="E1178" s="86">
        <v>0.0</v>
      </c>
      <c r="F1178" s="87">
        <v>0.29</v>
      </c>
      <c r="G1178" s="88">
        <f t="shared" si="1"/>
        <v>0.29</v>
      </c>
      <c r="H1178" s="89">
        <f t="shared" si="2"/>
        <v>1</v>
      </c>
      <c r="I1178" s="78" t="s">
        <v>1581</v>
      </c>
      <c r="J1178" s="78" t="s">
        <v>69</v>
      </c>
      <c r="K1178" s="58">
        <f t="shared" si="3"/>
        <v>1</v>
      </c>
      <c r="L1178" s="91" t="str">
        <f t="shared" si="6"/>
        <v>Tue</v>
      </c>
      <c r="M1178" s="78" t="str">
        <f>IFERROR(VLOOKUP(A1178, Entries!A:B,2,false),"")</f>
        <v>Curve Digital</v>
      </c>
      <c r="N1178" s="23" t="str">
        <f>IFERROR(VLOOKUP(A1178, Entries!A:K,11,false),"")</f>
        <v/>
      </c>
      <c r="O1178" s="23" t="b">
        <f>IFERROR(VLOOKUP(A1178, Entries!A:I,8,false),"")</f>
        <v>0</v>
      </c>
    </row>
    <row r="1179">
      <c r="A1179" s="78" t="s">
        <v>624</v>
      </c>
      <c r="B1179" s="78" t="s">
        <v>19</v>
      </c>
      <c r="C1179" s="85">
        <v>44494.0</v>
      </c>
      <c r="D1179" s="85">
        <v>44500.0</v>
      </c>
      <c r="E1179" s="86">
        <v>2.92</v>
      </c>
      <c r="F1179" s="87">
        <v>4.25</v>
      </c>
      <c r="G1179" s="88">
        <f t="shared" si="1"/>
        <v>1.33</v>
      </c>
      <c r="H1179" s="89">
        <f t="shared" si="2"/>
        <v>0.3129411765</v>
      </c>
      <c r="I1179" s="78" t="s">
        <v>1582</v>
      </c>
      <c r="J1179" s="78" t="s">
        <v>69</v>
      </c>
      <c r="K1179" s="58">
        <f t="shared" si="3"/>
        <v>6</v>
      </c>
      <c r="L1179" s="91" t="str">
        <f t="shared" si="6"/>
        <v>Sun</v>
      </c>
      <c r="M1179" s="78" t="str">
        <f>IFERROR(VLOOKUP(A1179, Entries!A:B,2,false),"")</f>
        <v>NEXT Studios</v>
      </c>
      <c r="N1179" s="23" t="str">
        <f>IFERROR(VLOOKUP(A1179, Entries!A:K,11,false),"")</f>
        <v/>
      </c>
      <c r="O1179" s="23" t="b">
        <f>IFERROR(VLOOKUP(A1179, Entries!A:I,8,false),"")</f>
        <v>1</v>
      </c>
    </row>
    <row r="1180">
      <c r="A1180" s="78" t="s">
        <v>1568</v>
      </c>
      <c r="B1180" s="78" t="s">
        <v>19</v>
      </c>
      <c r="C1180" s="85">
        <v>44494.0</v>
      </c>
      <c r="D1180" s="85">
        <v>44505.0</v>
      </c>
      <c r="E1180" s="86">
        <v>2.92</v>
      </c>
      <c r="F1180" s="87">
        <v>3.22</v>
      </c>
      <c r="G1180" s="88">
        <f t="shared" si="1"/>
        <v>0.3</v>
      </c>
      <c r="H1180" s="89">
        <f t="shared" si="2"/>
        <v>0.09316770186</v>
      </c>
      <c r="I1180" s="78" t="s">
        <v>1583</v>
      </c>
      <c r="J1180" s="78" t="s">
        <v>69</v>
      </c>
      <c r="K1180" s="58">
        <f t="shared" si="3"/>
        <v>11</v>
      </c>
      <c r="L1180" s="91" t="str">
        <f t="shared" si="6"/>
        <v>Fri</v>
      </c>
      <c r="M1180" s="78" t="str">
        <f>IFERROR(VLOOKUP(A1180, Entries!A:B,2,false),"")</f>
        <v>Natsume</v>
      </c>
      <c r="N1180" s="23" t="str">
        <f>IFERROR(VLOOKUP(A1180, Entries!A:K,11,false),"")</f>
        <v/>
      </c>
      <c r="O1180" s="23" t="b">
        <f>IFERROR(VLOOKUP(A1180, Entries!A:I,8,false),"")</f>
        <v>0</v>
      </c>
    </row>
    <row r="1181">
      <c r="A1181" s="78" t="s">
        <v>1217</v>
      </c>
      <c r="B1181" s="78" t="s">
        <v>19</v>
      </c>
      <c r="C1181" s="85">
        <v>44494.0</v>
      </c>
      <c r="D1181" s="85">
        <v>44494.0</v>
      </c>
      <c r="E1181" s="86">
        <v>3.55</v>
      </c>
      <c r="F1181" s="87">
        <v>5.58</v>
      </c>
      <c r="G1181" s="88">
        <f t="shared" si="1"/>
        <v>2.03</v>
      </c>
      <c r="H1181" s="89">
        <f t="shared" si="2"/>
        <v>0.3637992832</v>
      </c>
      <c r="I1181" s="78" t="s">
        <v>1584</v>
      </c>
      <c r="J1181" s="78" t="s">
        <v>69</v>
      </c>
      <c r="K1181" s="58">
        <f t="shared" si="3"/>
        <v>0</v>
      </c>
      <c r="L1181" s="91" t="str">
        <f t="shared" si="6"/>
        <v>Mon</v>
      </c>
      <c r="M1181" s="78" t="str">
        <f>IFERROR(VLOOKUP(A1181, Entries!A:B,2,false),"")</f>
        <v>Square Enix</v>
      </c>
      <c r="N1181" s="23" t="str">
        <f>IFERROR(VLOOKUP(A1181, Entries!A:K,11,false),"")</f>
        <v/>
      </c>
      <c r="O1181" s="23" t="b">
        <f>IFERROR(VLOOKUP(A1181, Entries!A:I,8,false),"")</f>
        <v>0</v>
      </c>
    </row>
    <row r="1182">
      <c r="A1182" s="78" t="s">
        <v>1217</v>
      </c>
      <c r="B1182" s="78" t="s">
        <v>19</v>
      </c>
      <c r="C1182" s="85">
        <v>44494.0</v>
      </c>
      <c r="D1182" s="85">
        <v>44495.0</v>
      </c>
      <c r="E1182" s="86">
        <v>3.57</v>
      </c>
      <c r="F1182" s="87">
        <v>5.58</v>
      </c>
      <c r="G1182" s="88">
        <f t="shared" si="1"/>
        <v>2.01</v>
      </c>
      <c r="H1182" s="89">
        <f t="shared" si="2"/>
        <v>0.3602150538</v>
      </c>
      <c r="I1182" s="78" t="s">
        <v>1585</v>
      </c>
      <c r="J1182" s="78" t="s">
        <v>69</v>
      </c>
      <c r="K1182" s="58">
        <f t="shared" si="3"/>
        <v>1</v>
      </c>
      <c r="L1182" s="91" t="str">
        <f t="shared" si="6"/>
        <v>Tue</v>
      </c>
      <c r="M1182" s="78" t="str">
        <f>IFERROR(VLOOKUP(A1182, Entries!A:B,2,false),"")</f>
        <v>Square Enix</v>
      </c>
      <c r="N1182" s="23" t="str">
        <f>IFERROR(VLOOKUP(A1182, Entries!A:K,11,false),"")</f>
        <v/>
      </c>
      <c r="O1182" s="23" t="b">
        <f>IFERROR(VLOOKUP(A1182, Entries!A:I,8,false),"")</f>
        <v>0</v>
      </c>
    </row>
    <row r="1183">
      <c r="A1183" s="78" t="s">
        <v>1574</v>
      </c>
      <c r="B1183" s="78" t="s">
        <v>19</v>
      </c>
      <c r="C1183" s="85">
        <v>44495.0</v>
      </c>
      <c r="D1183" s="85">
        <v>44495.0</v>
      </c>
      <c r="E1183" s="86">
        <v>11.09</v>
      </c>
      <c r="F1183" s="87">
        <v>12.51</v>
      </c>
      <c r="G1183" s="88">
        <f t="shared" si="1"/>
        <v>1.42</v>
      </c>
      <c r="H1183" s="89">
        <f t="shared" si="2"/>
        <v>0.1135091926</v>
      </c>
      <c r="I1183" s="78" t="s">
        <v>1586</v>
      </c>
      <c r="J1183" s="78" t="s">
        <v>69</v>
      </c>
      <c r="K1183" s="58">
        <f t="shared" si="3"/>
        <v>0</v>
      </c>
      <c r="L1183" s="91" t="str">
        <f t="shared" si="6"/>
        <v>Tue</v>
      </c>
      <c r="M1183" s="78" t="str">
        <f>IFERROR(VLOOKUP(A1183, Entries!A:B,2,false),"")</f>
        <v>Focus Home Interactive</v>
      </c>
      <c r="N1183" s="23" t="str">
        <f>IFERROR(VLOOKUP(A1183, Entries!A:K,11,false),"")</f>
        <v/>
      </c>
      <c r="O1183" s="23" t="b">
        <f>IFERROR(VLOOKUP(A1183, Entries!A:I,8,false),"")</f>
        <v>0</v>
      </c>
    </row>
    <row r="1184">
      <c r="A1184" s="78" t="s">
        <v>510</v>
      </c>
      <c r="B1184" s="78" t="s">
        <v>19</v>
      </c>
      <c r="C1184" s="85">
        <v>44495.0</v>
      </c>
      <c r="D1184" s="85">
        <v>44496.0</v>
      </c>
      <c r="E1184" s="86">
        <v>0.0</v>
      </c>
      <c r="F1184" s="87">
        <v>1.41</v>
      </c>
      <c r="G1184" s="88">
        <f t="shared" si="1"/>
        <v>1.41</v>
      </c>
      <c r="H1184" s="89">
        <f t="shared" si="2"/>
        <v>1</v>
      </c>
      <c r="I1184" s="78" t="s">
        <v>1587</v>
      </c>
      <c r="J1184" s="78" t="s">
        <v>69</v>
      </c>
      <c r="K1184" s="58">
        <f t="shared" si="3"/>
        <v>1</v>
      </c>
      <c r="L1184" s="91" t="str">
        <f t="shared" si="6"/>
        <v>Wed</v>
      </c>
      <c r="M1184" s="78" t="str">
        <f>IFERROR(VLOOKUP(A1184, Entries!A:B,2,false),"")</f>
        <v>Perfect World Entertainment</v>
      </c>
      <c r="N1184" s="23" t="str">
        <f>IFERROR(VLOOKUP(A1184, Entries!A:K,11,false),"")</f>
        <v/>
      </c>
      <c r="O1184" s="23" t="b">
        <f>IFERROR(VLOOKUP(A1184, Entries!A:I,8,false),"")</f>
        <v>0</v>
      </c>
    </row>
    <row r="1185">
      <c r="A1185" s="78" t="s">
        <v>1217</v>
      </c>
      <c r="B1185" s="78" t="s">
        <v>19</v>
      </c>
      <c r="C1185" s="85">
        <v>44495.0</v>
      </c>
      <c r="D1185" s="85">
        <v>44511.0</v>
      </c>
      <c r="E1185" s="86">
        <v>3.58</v>
      </c>
      <c r="F1185" s="87">
        <v>5.26</v>
      </c>
      <c r="G1185" s="88">
        <f t="shared" si="1"/>
        <v>1.68</v>
      </c>
      <c r="H1185" s="89">
        <f t="shared" si="2"/>
        <v>0.319391635</v>
      </c>
      <c r="I1185" s="78" t="s">
        <v>1588</v>
      </c>
      <c r="J1185" s="78" t="s">
        <v>69</v>
      </c>
      <c r="K1185" s="58">
        <f t="shared" si="3"/>
        <v>16</v>
      </c>
      <c r="L1185" s="91" t="str">
        <f t="shared" si="6"/>
        <v>Thu</v>
      </c>
      <c r="M1185" s="78" t="str">
        <f>IFERROR(VLOOKUP(A1185, Entries!A:B,2,false),"")</f>
        <v>Square Enix</v>
      </c>
      <c r="N1185" s="23" t="str">
        <f>IFERROR(VLOOKUP(A1185, Entries!A:K,11,false),"")</f>
        <v/>
      </c>
      <c r="O1185" s="23" t="b">
        <f>IFERROR(VLOOKUP(A1185, Entries!A:I,8,false),"")</f>
        <v>0</v>
      </c>
    </row>
    <row r="1186">
      <c r="A1186" s="78" t="s">
        <v>1556</v>
      </c>
      <c r="B1186" s="78" t="s">
        <v>19</v>
      </c>
      <c r="C1186" s="85">
        <v>44495.0</v>
      </c>
      <c r="D1186" s="85">
        <v>44495.0</v>
      </c>
      <c r="E1186" s="86">
        <v>16.04</v>
      </c>
      <c r="F1186" s="87">
        <v>19.3</v>
      </c>
      <c r="G1186" s="88">
        <f t="shared" si="1"/>
        <v>3.26</v>
      </c>
      <c r="H1186" s="89">
        <f t="shared" si="2"/>
        <v>0.1689119171</v>
      </c>
      <c r="I1186" s="78" t="s">
        <v>1589</v>
      </c>
      <c r="J1186" s="78" t="s">
        <v>69</v>
      </c>
      <c r="K1186" s="58">
        <f t="shared" si="3"/>
        <v>0</v>
      </c>
      <c r="L1186" s="91" t="str">
        <f t="shared" si="6"/>
        <v>Tue</v>
      </c>
      <c r="M1186" s="78" t="str">
        <f>IFERROR(VLOOKUP(A1186, Entries!A:B,2,false),"")</f>
        <v>Focus Home Interactive</v>
      </c>
      <c r="N1186" s="23" t="str">
        <f>IFERROR(VLOOKUP(A1186, Entries!A:K,11,false),"")</f>
        <v/>
      </c>
      <c r="O1186" s="23" t="b">
        <f>IFERROR(VLOOKUP(A1186, Entries!A:I,8,false),"")</f>
        <v>0</v>
      </c>
    </row>
    <row r="1187">
      <c r="A1187" s="78" t="s">
        <v>999</v>
      </c>
      <c r="B1187" s="78" t="s">
        <v>19</v>
      </c>
      <c r="C1187" s="85">
        <v>44495.0</v>
      </c>
      <c r="D1187" s="85">
        <v>44502.0</v>
      </c>
      <c r="E1187" s="86">
        <v>5.8</v>
      </c>
      <c r="F1187" s="87">
        <v>7.16</v>
      </c>
      <c r="G1187" s="88">
        <f t="shared" si="1"/>
        <v>1.36</v>
      </c>
      <c r="H1187" s="89">
        <f t="shared" si="2"/>
        <v>0.1899441341</v>
      </c>
      <c r="I1187" s="78" t="s">
        <v>1590</v>
      </c>
      <c r="J1187" s="78" t="s">
        <v>69</v>
      </c>
      <c r="K1187" s="58">
        <f t="shared" si="3"/>
        <v>7</v>
      </c>
      <c r="L1187" s="91" t="str">
        <f t="shared" si="6"/>
        <v>Tue</v>
      </c>
      <c r="M1187" s="78" t="str">
        <f>IFERROR(VLOOKUP(A1187, Entries!A:B,2,false),"")</f>
        <v>Focus Home Interactive</v>
      </c>
      <c r="N1187" s="23" t="str">
        <f>IFERROR(VLOOKUP(A1187, Entries!A:K,11,false),"")</f>
        <v/>
      </c>
      <c r="O1187" s="23" t="b">
        <f>IFERROR(VLOOKUP(A1187, Entries!A:I,8,false),"")</f>
        <v>0</v>
      </c>
    </row>
    <row r="1188">
      <c r="A1188" s="78" t="s">
        <v>1591</v>
      </c>
      <c r="B1188" s="78" t="s">
        <v>19</v>
      </c>
      <c r="C1188" s="85">
        <v>44495.0</v>
      </c>
      <c r="D1188" s="85">
        <v>44496.0</v>
      </c>
      <c r="E1188" s="86">
        <v>0.0</v>
      </c>
      <c r="F1188" s="87">
        <v>0.51</v>
      </c>
      <c r="G1188" s="88">
        <f t="shared" si="1"/>
        <v>0.51</v>
      </c>
      <c r="H1188" s="89">
        <f t="shared" si="2"/>
        <v>1</v>
      </c>
      <c r="I1188" s="78" t="s">
        <v>1592</v>
      </c>
      <c r="J1188" s="78" t="s">
        <v>69</v>
      </c>
      <c r="K1188" s="58">
        <f t="shared" si="3"/>
        <v>1</v>
      </c>
      <c r="L1188" s="91" t="str">
        <f t="shared" si="6"/>
        <v>Wed</v>
      </c>
      <c r="M1188" s="78" t="str">
        <f>IFERROR(VLOOKUP(A1188, Entries!A:B,2,false),"")</f>
        <v>Dear Villagers</v>
      </c>
      <c r="N1188" s="23" t="str">
        <f>IFERROR(VLOOKUP(A1188, Entries!A:K,11,false),"")</f>
        <v/>
      </c>
      <c r="O1188" s="23" t="b">
        <f>IFERROR(VLOOKUP(A1188, Entries!A:I,8,false),"")</f>
        <v>0</v>
      </c>
    </row>
    <row r="1189">
      <c r="A1189" s="78" t="s">
        <v>270</v>
      </c>
      <c r="B1189" s="78" t="s">
        <v>19</v>
      </c>
      <c r="C1189" s="85">
        <v>44495.0</v>
      </c>
      <c r="D1189" s="85">
        <v>44497.0</v>
      </c>
      <c r="E1189" s="86">
        <v>0.89</v>
      </c>
      <c r="F1189" s="87">
        <v>1.34</v>
      </c>
      <c r="G1189" s="88">
        <f t="shared" si="1"/>
        <v>0.45</v>
      </c>
      <c r="H1189" s="89">
        <f t="shared" si="2"/>
        <v>0.3358208955</v>
      </c>
      <c r="I1189" s="78" t="s">
        <v>1593</v>
      </c>
      <c r="J1189" s="78" t="s">
        <v>69</v>
      </c>
      <c r="K1189" s="58">
        <f t="shared" si="3"/>
        <v>2</v>
      </c>
      <c r="L1189" s="91" t="str">
        <f t="shared" si="6"/>
        <v>Thu</v>
      </c>
      <c r="M1189" s="78" t="str">
        <f>IFERROR(VLOOKUP(A1189, Entries!A:B,2,false),"")</f>
        <v>Headup</v>
      </c>
      <c r="N1189" s="23" t="str">
        <f>IFERROR(VLOOKUP(A1189, Entries!A:K,11,false),"")</f>
        <v/>
      </c>
      <c r="O1189" s="23" t="b">
        <f>IFERROR(VLOOKUP(A1189, Entries!A:I,8,false),"")</f>
        <v>0</v>
      </c>
    </row>
    <row r="1190">
      <c r="A1190" s="78" t="s">
        <v>1556</v>
      </c>
      <c r="B1190" s="78" t="s">
        <v>19</v>
      </c>
      <c r="C1190" s="85">
        <v>44496.0</v>
      </c>
      <c r="D1190" s="85">
        <v>44507.0</v>
      </c>
      <c r="E1190" s="86">
        <v>16.05</v>
      </c>
      <c r="F1190" s="87">
        <v>20.26</v>
      </c>
      <c r="G1190" s="88">
        <f t="shared" si="1"/>
        <v>4.21</v>
      </c>
      <c r="H1190" s="89">
        <f t="shared" si="2"/>
        <v>0.207798618</v>
      </c>
      <c r="I1190" s="78" t="s">
        <v>1594</v>
      </c>
      <c r="J1190" s="78" t="s">
        <v>69</v>
      </c>
      <c r="K1190" s="58">
        <f t="shared" si="3"/>
        <v>11</v>
      </c>
      <c r="L1190" s="91" t="str">
        <f t="shared" si="6"/>
        <v>Sun</v>
      </c>
      <c r="M1190" s="78" t="str">
        <f>IFERROR(VLOOKUP(A1190, Entries!A:B,2,false),"")</f>
        <v>Focus Home Interactive</v>
      </c>
      <c r="N1190" s="23" t="str">
        <f>IFERROR(VLOOKUP(A1190, Entries!A:K,11,false),"")</f>
        <v/>
      </c>
      <c r="O1190" s="23" t="b">
        <f>IFERROR(VLOOKUP(A1190, Entries!A:I,8,false),"")</f>
        <v>0</v>
      </c>
    </row>
    <row r="1191">
      <c r="A1191" s="78" t="s">
        <v>1553</v>
      </c>
      <c r="B1191" s="78" t="s">
        <v>19</v>
      </c>
      <c r="C1191" s="85">
        <v>44497.0</v>
      </c>
      <c r="D1191" s="85">
        <v>44500.0</v>
      </c>
      <c r="E1191" s="86">
        <v>22.2</v>
      </c>
      <c r="F1191" s="87">
        <v>28.85</v>
      </c>
      <c r="G1191" s="88">
        <f t="shared" si="1"/>
        <v>6.65</v>
      </c>
      <c r="H1191" s="89">
        <f t="shared" si="2"/>
        <v>0.2305025997</v>
      </c>
      <c r="I1191" s="78" t="s">
        <v>1595</v>
      </c>
      <c r="J1191" s="78" t="s">
        <v>69</v>
      </c>
      <c r="K1191" s="58">
        <f t="shared" si="3"/>
        <v>3</v>
      </c>
      <c r="L1191" s="91" t="str">
        <f t="shared" si="6"/>
        <v>Sun</v>
      </c>
      <c r="M1191" s="78" t="str">
        <f>IFERROR(VLOOKUP(A1191, Entries!A:B,2,false),"")</f>
        <v>Focus Home Interactive</v>
      </c>
      <c r="N1191" s="23" t="str">
        <f>IFERROR(VLOOKUP(A1191, Entries!A:K,11,false),"")</f>
        <v/>
      </c>
      <c r="O1191" s="23" t="b">
        <f>IFERROR(VLOOKUP(A1191, Entries!A:I,8,false),"")</f>
        <v>1</v>
      </c>
    </row>
    <row r="1192">
      <c r="A1192" s="78" t="s">
        <v>1596</v>
      </c>
      <c r="B1192" s="78" t="s">
        <v>23</v>
      </c>
      <c r="C1192" s="85">
        <v>44496.0</v>
      </c>
      <c r="D1192" s="85">
        <v>44497.0</v>
      </c>
      <c r="E1192" s="86">
        <v>17.97</v>
      </c>
      <c r="F1192" s="87">
        <v>24.76</v>
      </c>
      <c r="G1192" s="88">
        <f t="shared" si="1"/>
        <v>6.79</v>
      </c>
      <c r="H1192" s="89">
        <f t="shared" si="2"/>
        <v>0.2742326333</v>
      </c>
      <c r="I1192" s="78" t="s">
        <v>1597</v>
      </c>
      <c r="J1192" s="78" t="s">
        <v>69</v>
      </c>
      <c r="K1192" s="58">
        <f t="shared" si="3"/>
        <v>1</v>
      </c>
      <c r="L1192" s="91" t="str">
        <f t="shared" si="6"/>
        <v>Thu</v>
      </c>
      <c r="M1192" s="78" t="str">
        <f>IFERROR(VLOOKUP(A1192, Entries!A:B,2,false),"")</f>
        <v>505 Games</v>
      </c>
      <c r="N1192" s="23" t="str">
        <f>IFERROR(VLOOKUP(A1192, Entries!A:K,11,false),"")</f>
        <v/>
      </c>
      <c r="O1192" s="23" t="b">
        <f>IFERROR(VLOOKUP(A1192, Entries!A:I,8,false),"")</f>
        <v>1</v>
      </c>
    </row>
    <row r="1193">
      <c r="A1193" s="78" t="s">
        <v>587</v>
      </c>
      <c r="B1193" s="78" t="s">
        <v>19</v>
      </c>
      <c r="C1193" s="85">
        <v>44497.0</v>
      </c>
      <c r="D1193" s="85">
        <v>44497.0</v>
      </c>
      <c r="E1193" s="86">
        <v>0.0</v>
      </c>
      <c r="F1193" s="87">
        <v>1.49</v>
      </c>
      <c r="G1193" s="88">
        <f t="shared" si="1"/>
        <v>1.49</v>
      </c>
      <c r="H1193" s="89">
        <f t="shared" si="2"/>
        <v>1</v>
      </c>
      <c r="I1193" s="78" t="s">
        <v>1598</v>
      </c>
      <c r="J1193" s="78" t="s">
        <v>69</v>
      </c>
      <c r="K1193" s="58">
        <f t="shared" si="3"/>
        <v>0</v>
      </c>
      <c r="L1193" s="91" t="str">
        <f t="shared" si="6"/>
        <v>Thu</v>
      </c>
      <c r="M1193" s="78" t="str">
        <f>IFERROR(VLOOKUP(A1193, Entries!A:B,2,false),"")</f>
        <v>Runic Games</v>
      </c>
      <c r="N1193" s="23" t="str">
        <f>IFERROR(VLOOKUP(A1193, Entries!A:K,11,false),"")</f>
        <v/>
      </c>
      <c r="O1193" s="23" t="b">
        <f>IFERROR(VLOOKUP(A1193, Entries!A:I,8,false),"")</f>
        <v>0</v>
      </c>
    </row>
    <row r="1194">
      <c r="A1194" s="78" t="s">
        <v>1488</v>
      </c>
      <c r="B1194" s="78" t="s">
        <v>19</v>
      </c>
      <c r="C1194" s="85">
        <v>44497.0</v>
      </c>
      <c r="D1194" s="85">
        <v>44503.0</v>
      </c>
      <c r="E1194" s="86">
        <v>8.08</v>
      </c>
      <c r="F1194" s="87">
        <v>12.03</v>
      </c>
      <c r="G1194" s="88">
        <f t="shared" si="1"/>
        <v>3.95</v>
      </c>
      <c r="H1194" s="89">
        <f t="shared" si="2"/>
        <v>0.3283458022</v>
      </c>
      <c r="I1194" s="78" t="s">
        <v>1599</v>
      </c>
      <c r="J1194" s="78" t="s">
        <v>69</v>
      </c>
      <c r="K1194" s="58">
        <f t="shared" si="3"/>
        <v>6</v>
      </c>
      <c r="L1194" s="91" t="str">
        <f t="shared" si="6"/>
        <v>Wed</v>
      </c>
      <c r="M1194" s="78" t="str">
        <f>IFERROR(VLOOKUP(A1194, Entries!A:B,2,false),"")</f>
        <v>Perfect World Entertainment</v>
      </c>
      <c r="N1194" s="23" t="str">
        <f>IFERROR(VLOOKUP(A1194, Entries!A:K,11,false),"")</f>
        <v/>
      </c>
      <c r="O1194" s="23" t="b">
        <f>IFERROR(VLOOKUP(A1194, Entries!A:I,8,false),"")</f>
        <v>1</v>
      </c>
    </row>
    <row r="1195">
      <c r="A1195" s="78" t="s">
        <v>1596</v>
      </c>
      <c r="B1195" s="78" t="s">
        <v>23</v>
      </c>
      <c r="C1195" s="85">
        <v>44497.0</v>
      </c>
      <c r="D1195" s="85">
        <v>44773.0</v>
      </c>
      <c r="E1195" s="86">
        <v>17.97</v>
      </c>
      <c r="F1195" s="87">
        <v>18.82</v>
      </c>
      <c r="G1195" s="88">
        <f t="shared" si="1"/>
        <v>0.85</v>
      </c>
      <c r="H1195" s="89">
        <f t="shared" si="2"/>
        <v>0.04516471838</v>
      </c>
      <c r="I1195" s="78" t="s">
        <v>1600</v>
      </c>
      <c r="J1195" s="78" t="s">
        <v>69</v>
      </c>
      <c r="K1195" s="58">
        <f t="shared" si="3"/>
        <v>276</v>
      </c>
      <c r="L1195" s="91" t="str">
        <f t="shared" si="6"/>
        <v>Sun</v>
      </c>
      <c r="M1195" s="78" t="str">
        <f>IFERROR(VLOOKUP(A1195, Entries!A:B,2,false),"")</f>
        <v>505 Games</v>
      </c>
      <c r="N1195" s="23" t="str">
        <f>IFERROR(VLOOKUP(A1195, Entries!A:K,11,false),"")</f>
        <v/>
      </c>
      <c r="O1195" s="23" t="b">
        <f>IFERROR(VLOOKUP(A1195, Entries!A:I,8,false),"")</f>
        <v>1</v>
      </c>
    </row>
    <row r="1196">
      <c r="A1196" s="78" t="s">
        <v>1601</v>
      </c>
      <c r="B1196" s="78" t="s">
        <v>23</v>
      </c>
      <c r="C1196" s="85">
        <v>44498.0</v>
      </c>
      <c r="D1196" s="85">
        <v>44499.0</v>
      </c>
      <c r="E1196" s="86">
        <v>33.27</v>
      </c>
      <c r="F1196" s="87">
        <v>42.2</v>
      </c>
      <c r="G1196" s="88">
        <f t="shared" si="1"/>
        <v>8.93</v>
      </c>
      <c r="H1196" s="89">
        <f t="shared" si="2"/>
        <v>0.2116113744</v>
      </c>
      <c r="I1196" s="78" t="s">
        <v>1602</v>
      </c>
      <c r="J1196" s="78" t="s">
        <v>69</v>
      </c>
      <c r="K1196" s="58">
        <f t="shared" si="3"/>
        <v>1</v>
      </c>
      <c r="L1196" s="91" t="str">
        <f t="shared" si="6"/>
        <v>Sat</v>
      </c>
      <c r="M1196" s="78" t="str">
        <f>IFERROR(VLOOKUP(A1196, Entries!A:B,2,false),"")</f>
        <v>Codemasters</v>
      </c>
      <c r="N1196" s="23" t="str">
        <f>IFERROR(VLOOKUP(A1196, Entries!A:K,11,false),"")</f>
        <v/>
      </c>
      <c r="O1196" s="23" t="b">
        <f>IFERROR(VLOOKUP(A1196, Entries!A:I,8,false),"")</f>
        <v>0</v>
      </c>
    </row>
    <row r="1197">
      <c r="A1197" s="78" t="s">
        <v>1601</v>
      </c>
      <c r="B1197" s="78" t="s">
        <v>23</v>
      </c>
      <c r="C1197" s="85">
        <v>44499.0</v>
      </c>
      <c r="D1197" s="85">
        <v>44500.0</v>
      </c>
      <c r="E1197" s="86">
        <v>33.27</v>
      </c>
      <c r="F1197" s="87">
        <v>41.67</v>
      </c>
      <c r="G1197" s="88">
        <f t="shared" si="1"/>
        <v>8.4</v>
      </c>
      <c r="H1197" s="89">
        <f t="shared" si="2"/>
        <v>0.2015838733</v>
      </c>
      <c r="I1197" s="78" t="s">
        <v>1603</v>
      </c>
      <c r="J1197" s="78" t="s">
        <v>69</v>
      </c>
      <c r="K1197" s="58">
        <f t="shared" si="3"/>
        <v>1</v>
      </c>
      <c r="L1197" s="91" t="str">
        <f t="shared" si="6"/>
        <v>Sun</v>
      </c>
      <c r="M1197" s="78" t="str">
        <f>IFERROR(VLOOKUP(A1197, Entries!A:B,2,false),"")</f>
        <v>Codemasters</v>
      </c>
      <c r="N1197" s="23" t="str">
        <f>IFERROR(VLOOKUP(A1197, Entries!A:K,11,false),"")</f>
        <v/>
      </c>
      <c r="O1197" s="23" t="b">
        <f>IFERROR(VLOOKUP(A1197, Entries!A:I,8,false),"")</f>
        <v>0</v>
      </c>
    </row>
    <row r="1198">
      <c r="A1198" s="78" t="s">
        <v>326</v>
      </c>
      <c r="B1198" s="78" t="s">
        <v>25</v>
      </c>
      <c r="C1198" s="85">
        <v>44499.0</v>
      </c>
      <c r="D1198" s="85">
        <v>44526.0</v>
      </c>
      <c r="E1198" s="86">
        <v>3.7</v>
      </c>
      <c r="F1198" s="87">
        <v>5.62</v>
      </c>
      <c r="G1198" s="88">
        <f t="shared" si="1"/>
        <v>1.92</v>
      </c>
      <c r="H1198" s="89">
        <f t="shared" si="2"/>
        <v>0.3416370107</v>
      </c>
      <c r="I1198" s="78" t="s">
        <v>1604</v>
      </c>
      <c r="J1198" s="78" t="s">
        <v>69</v>
      </c>
      <c r="K1198" s="58">
        <f t="shared" si="3"/>
        <v>27</v>
      </c>
      <c r="L1198" s="91" t="str">
        <f t="shared" si="6"/>
        <v>Fri</v>
      </c>
      <c r="M1198" s="78" t="str">
        <f>IFERROR(VLOOKUP(A1198, Entries!A:B,2,false),"")</f>
        <v>Aerosoft</v>
      </c>
      <c r="N1198" s="23" t="str">
        <f>IFERROR(VLOOKUP(A1198, Entries!A:K,11,false),"")</f>
        <v/>
      </c>
      <c r="O1198" s="23" t="b">
        <f>IFERROR(VLOOKUP(A1198, Entries!A:I,8,false),"")</f>
        <v>1</v>
      </c>
    </row>
    <row r="1199">
      <c r="A1199" s="78" t="s">
        <v>326</v>
      </c>
      <c r="B1199" s="78" t="s">
        <v>25</v>
      </c>
      <c r="C1199" s="85">
        <v>44499.0</v>
      </c>
      <c r="D1199" s="85">
        <v>44527.0</v>
      </c>
      <c r="E1199" s="86">
        <v>3.7</v>
      </c>
      <c r="F1199" s="87">
        <v>5.62</v>
      </c>
      <c r="G1199" s="88">
        <f t="shared" si="1"/>
        <v>1.92</v>
      </c>
      <c r="H1199" s="89">
        <f t="shared" si="2"/>
        <v>0.3416370107</v>
      </c>
      <c r="I1199" s="78" t="s">
        <v>1605</v>
      </c>
      <c r="J1199" s="78" t="s">
        <v>69</v>
      </c>
      <c r="K1199" s="58">
        <f t="shared" si="3"/>
        <v>28</v>
      </c>
      <c r="L1199" s="91" t="str">
        <f t="shared" si="6"/>
        <v>Sat</v>
      </c>
      <c r="M1199" s="78" t="str">
        <f>IFERROR(VLOOKUP(A1199, Entries!A:B,2,false),"")</f>
        <v>Aerosoft</v>
      </c>
      <c r="N1199" s="23" t="str">
        <f>IFERROR(VLOOKUP(A1199, Entries!A:K,11,false),"")</f>
        <v/>
      </c>
      <c r="O1199" s="23" t="b">
        <f>IFERROR(VLOOKUP(A1199, Entries!A:I,8,false),"")</f>
        <v>1</v>
      </c>
    </row>
    <row r="1200">
      <c r="A1200" s="78" t="s">
        <v>1601</v>
      </c>
      <c r="B1200" s="78" t="s">
        <v>23</v>
      </c>
      <c r="C1200" s="85">
        <v>44500.0</v>
      </c>
      <c r="D1200" s="85">
        <v>44501.0</v>
      </c>
      <c r="E1200" s="86">
        <v>33.4</v>
      </c>
      <c r="F1200" s="87">
        <v>41.23</v>
      </c>
      <c r="G1200" s="88">
        <f t="shared" si="1"/>
        <v>7.83</v>
      </c>
      <c r="H1200" s="89">
        <f t="shared" si="2"/>
        <v>0.1899102595</v>
      </c>
      <c r="I1200" s="78" t="s">
        <v>1606</v>
      </c>
      <c r="J1200" s="78" t="s">
        <v>69</v>
      </c>
      <c r="K1200" s="58">
        <f t="shared" si="3"/>
        <v>1</v>
      </c>
      <c r="L1200" s="91" t="str">
        <f t="shared" si="6"/>
        <v>Mon</v>
      </c>
      <c r="M1200" s="78" t="str">
        <f>IFERROR(VLOOKUP(A1200, Entries!A:B,2,false),"")</f>
        <v>Codemasters</v>
      </c>
      <c r="N1200" s="23" t="str">
        <f>IFERROR(VLOOKUP(A1200, Entries!A:K,11,false),"")</f>
        <v/>
      </c>
      <c r="O1200" s="23" t="b">
        <f>IFERROR(VLOOKUP(A1200, Entries!A:I,8,false),"")</f>
        <v>0</v>
      </c>
    </row>
    <row r="1201">
      <c r="A1201" s="78" t="s">
        <v>1607</v>
      </c>
      <c r="B1201" s="78" t="s">
        <v>22</v>
      </c>
      <c r="C1201" s="85">
        <v>44501.0</v>
      </c>
      <c r="D1201" s="85">
        <v>45163.0</v>
      </c>
      <c r="E1201" s="86">
        <v>0.0</v>
      </c>
      <c r="F1201" s="87">
        <v>0.27</v>
      </c>
      <c r="G1201" s="88">
        <f t="shared" si="1"/>
        <v>0.27</v>
      </c>
      <c r="H1201" s="89">
        <f t="shared" si="2"/>
        <v>1</v>
      </c>
      <c r="I1201" s="78" t="s">
        <v>1608</v>
      </c>
      <c r="J1201" s="78" t="s">
        <v>69</v>
      </c>
      <c r="K1201" s="58">
        <f t="shared" si="3"/>
        <v>662</v>
      </c>
      <c r="L1201" s="91" t="str">
        <f t="shared" si="6"/>
        <v>Fri</v>
      </c>
      <c r="M1201" s="78" t="str">
        <f>IFERROR(VLOOKUP(A1201, Entries!A:B,2,false),"")</f>
        <v>Gentleman Squid Studio</v>
      </c>
      <c r="N1201" s="23" t="str">
        <f>IFERROR(VLOOKUP(A1201, Entries!A:K,11,false),"")</f>
        <v/>
      </c>
      <c r="O1201" s="23" t="b">
        <f>IFERROR(VLOOKUP(A1201, Entries!A:I,8,false),"")</f>
        <v>0</v>
      </c>
    </row>
    <row r="1202">
      <c r="A1202" s="78" t="s">
        <v>1609</v>
      </c>
      <c r="B1202" s="78" t="s">
        <v>23</v>
      </c>
      <c r="C1202" s="85">
        <v>44501.0</v>
      </c>
      <c r="D1202" s="85">
        <v>44505.0</v>
      </c>
      <c r="E1202" s="86">
        <v>15.34</v>
      </c>
      <c r="F1202" s="87">
        <v>15.54</v>
      </c>
      <c r="G1202" s="88">
        <f t="shared" si="1"/>
        <v>0.2</v>
      </c>
      <c r="H1202" s="89">
        <f t="shared" si="2"/>
        <v>0.01287001287</v>
      </c>
      <c r="I1202" s="78" t="s">
        <v>1610</v>
      </c>
      <c r="J1202" s="78" t="s">
        <v>69</v>
      </c>
      <c r="K1202" s="58">
        <f t="shared" si="3"/>
        <v>4</v>
      </c>
      <c r="L1202" s="91" t="str">
        <f t="shared" si="6"/>
        <v>Fri</v>
      </c>
      <c r="M1202" s="78" t="str">
        <f>IFERROR(VLOOKUP(A1202, Entries!A:B,2,false),"")</f>
        <v>Dear Villagers</v>
      </c>
      <c r="N1202" s="23" t="str">
        <f>IFERROR(VLOOKUP(A1202, Entries!A:K,11,false),"")</f>
        <v/>
      </c>
      <c r="O1202" s="23" t="b">
        <f>IFERROR(VLOOKUP(A1202, Entries!A:I,8,false),"")</f>
        <v>0</v>
      </c>
    </row>
    <row r="1203">
      <c r="A1203" s="78" t="s">
        <v>1611</v>
      </c>
      <c r="B1203" s="78" t="s">
        <v>19</v>
      </c>
      <c r="C1203" s="85">
        <v>44501.0</v>
      </c>
      <c r="D1203" s="85">
        <v>44567.0</v>
      </c>
      <c r="E1203" s="86">
        <v>10.99</v>
      </c>
      <c r="F1203" s="87">
        <v>13.61</v>
      </c>
      <c r="G1203" s="88">
        <f t="shared" si="1"/>
        <v>2.62</v>
      </c>
      <c r="H1203" s="89">
        <f t="shared" si="2"/>
        <v>0.1925055107</v>
      </c>
      <c r="I1203" s="78" t="s">
        <v>1612</v>
      </c>
      <c r="J1203" s="78" t="s">
        <v>69</v>
      </c>
      <c r="K1203" s="58">
        <f t="shared" si="3"/>
        <v>66</v>
      </c>
      <c r="L1203" s="91" t="str">
        <f t="shared" si="6"/>
        <v>Thu</v>
      </c>
      <c r="M1203" s="78" t="str">
        <f>IFERROR(VLOOKUP(A1203, Entries!A:B,2,false),"")</f>
        <v>NIS America</v>
      </c>
      <c r="N1203" s="23" t="str">
        <f>IFERROR(VLOOKUP(A1203, Entries!A:K,11,false),"")</f>
        <v/>
      </c>
      <c r="O1203" s="23" t="b">
        <f>IFERROR(VLOOKUP(A1203, Entries!A:I,8,false),"")</f>
        <v>0</v>
      </c>
    </row>
    <row r="1204">
      <c r="A1204" s="78" t="s">
        <v>1613</v>
      </c>
      <c r="B1204" s="78" t="s">
        <v>19</v>
      </c>
      <c r="C1204" s="85">
        <v>44501.0</v>
      </c>
      <c r="D1204" s="85">
        <v>44505.0</v>
      </c>
      <c r="E1204" s="86">
        <v>0.0</v>
      </c>
      <c r="F1204" s="87">
        <v>0.1</v>
      </c>
      <c r="G1204" s="88">
        <f t="shared" si="1"/>
        <v>0.1</v>
      </c>
      <c r="H1204" s="89">
        <f t="shared" si="2"/>
        <v>1</v>
      </c>
      <c r="I1204" s="78" t="s">
        <v>1614</v>
      </c>
      <c r="J1204" s="78" t="s">
        <v>69</v>
      </c>
      <c r="K1204" s="58">
        <f t="shared" si="3"/>
        <v>4</v>
      </c>
      <c r="L1204" s="91" t="str">
        <f t="shared" si="6"/>
        <v>Fri</v>
      </c>
      <c r="M1204" s="78" t="str">
        <f>IFERROR(VLOOKUP(A1204, Entries!A:B,2,false),"")</f>
        <v>Screen 7</v>
      </c>
      <c r="N1204" s="23" t="str">
        <f>IFERROR(VLOOKUP(A1204, Entries!A:K,11,false),"")</f>
        <v/>
      </c>
      <c r="O1204" s="23" t="b">
        <f>IFERROR(VLOOKUP(A1204, Entries!A:I,8,false),"")</f>
        <v>0</v>
      </c>
    </row>
    <row r="1205">
      <c r="A1205" s="78" t="s">
        <v>1601</v>
      </c>
      <c r="B1205" s="78" t="s">
        <v>23</v>
      </c>
      <c r="C1205" s="85">
        <v>44501.0</v>
      </c>
      <c r="D1205" s="85">
        <v>44504.0</v>
      </c>
      <c r="E1205" s="86">
        <v>33.4</v>
      </c>
      <c r="F1205" s="87">
        <v>40.55</v>
      </c>
      <c r="G1205" s="88">
        <f t="shared" si="1"/>
        <v>7.15</v>
      </c>
      <c r="H1205" s="89">
        <f t="shared" si="2"/>
        <v>0.176325524</v>
      </c>
      <c r="I1205" s="78" t="s">
        <v>1615</v>
      </c>
      <c r="J1205" s="78" t="s">
        <v>69</v>
      </c>
      <c r="K1205" s="58">
        <f t="shared" si="3"/>
        <v>3</v>
      </c>
      <c r="L1205" s="91" t="str">
        <f t="shared" si="6"/>
        <v>Thu</v>
      </c>
      <c r="M1205" s="78" t="str">
        <f>IFERROR(VLOOKUP(A1205, Entries!A:B,2,false),"")</f>
        <v>Codemasters</v>
      </c>
      <c r="N1205" s="23" t="str">
        <f>IFERROR(VLOOKUP(A1205, Entries!A:K,11,false),"")</f>
        <v/>
      </c>
      <c r="O1205" s="23" t="b">
        <f>IFERROR(VLOOKUP(A1205, Entries!A:I,8,false),"")</f>
        <v>0</v>
      </c>
    </row>
    <row r="1206">
      <c r="A1206" s="78" t="s">
        <v>1281</v>
      </c>
      <c r="B1206" s="78" t="s">
        <v>19</v>
      </c>
      <c r="C1206" s="85">
        <v>44505.0</v>
      </c>
      <c r="D1206" s="85">
        <v>44510.0</v>
      </c>
      <c r="E1206" s="86">
        <v>3.86</v>
      </c>
      <c r="F1206" s="87">
        <v>7.68</v>
      </c>
      <c r="G1206" s="88">
        <f t="shared" si="1"/>
        <v>3.82</v>
      </c>
      <c r="H1206" s="89">
        <f t="shared" si="2"/>
        <v>0.4973958333</v>
      </c>
      <c r="I1206" s="78" t="s">
        <v>1616</v>
      </c>
      <c r="J1206" s="78" t="s">
        <v>69</v>
      </c>
      <c r="K1206" s="58">
        <f t="shared" si="3"/>
        <v>5</v>
      </c>
      <c r="L1206" s="91" t="str">
        <f t="shared" si="6"/>
        <v>Wed</v>
      </c>
      <c r="M1206" s="78" t="str">
        <f>IFERROR(VLOOKUP(A1206, Entries!A:B,2,false),"")</f>
        <v>Konami</v>
      </c>
      <c r="N1206" s="23" t="str">
        <f>IFERROR(VLOOKUP(A1206, Entries!A:K,11,false),"")</f>
        <v/>
      </c>
      <c r="O1206" s="23" t="b">
        <f>IFERROR(VLOOKUP(A1206, Entries!A:I,8,false),"")</f>
        <v>0</v>
      </c>
    </row>
    <row r="1207">
      <c r="A1207" s="78" t="s">
        <v>1617</v>
      </c>
      <c r="B1207" s="78" t="s">
        <v>19</v>
      </c>
      <c r="C1207" s="85">
        <v>44507.0</v>
      </c>
      <c r="D1207" s="85">
        <v>44509.0</v>
      </c>
      <c r="E1207" s="86">
        <v>0.0</v>
      </c>
      <c r="F1207" s="87">
        <v>0.75</v>
      </c>
      <c r="G1207" s="88">
        <f t="shared" si="1"/>
        <v>0.75</v>
      </c>
      <c r="H1207" s="89">
        <f t="shared" si="2"/>
        <v>1</v>
      </c>
      <c r="I1207" s="78" t="s">
        <v>1618</v>
      </c>
      <c r="J1207" s="78" t="s">
        <v>69</v>
      </c>
      <c r="K1207" s="58">
        <f t="shared" si="3"/>
        <v>2</v>
      </c>
      <c r="L1207" s="91" t="str">
        <f t="shared" si="6"/>
        <v>Tue</v>
      </c>
      <c r="M1207" s="78" t="str">
        <f>IFERROR(VLOOKUP(A1207, Entries!A:B,2,false),"")</f>
        <v>id Software</v>
      </c>
      <c r="N1207" s="23" t="str">
        <f>IFERROR(VLOOKUP(A1207, Entries!A:K,11,false),"")</f>
        <v/>
      </c>
      <c r="O1207" s="23" t="b">
        <f>IFERROR(VLOOKUP(A1207, Entries!A:I,8,false),"")</f>
        <v>0</v>
      </c>
    </row>
    <row r="1208">
      <c r="A1208" s="78" t="s">
        <v>1619</v>
      </c>
      <c r="B1208" s="78" t="s">
        <v>19</v>
      </c>
      <c r="C1208" s="85">
        <v>44509.0</v>
      </c>
      <c r="D1208" s="85">
        <v>44828.0</v>
      </c>
      <c r="E1208" s="86">
        <v>0.0</v>
      </c>
      <c r="F1208" s="87">
        <v>0.09</v>
      </c>
      <c r="G1208" s="88">
        <f t="shared" si="1"/>
        <v>0.09</v>
      </c>
      <c r="H1208" s="89">
        <f t="shared" si="2"/>
        <v>1</v>
      </c>
      <c r="I1208" s="78" t="s">
        <v>1620</v>
      </c>
      <c r="J1208" s="78" t="s">
        <v>69</v>
      </c>
      <c r="K1208" s="58">
        <f t="shared" si="3"/>
        <v>319</v>
      </c>
      <c r="L1208" s="91" t="str">
        <f t="shared" si="6"/>
        <v>Sat</v>
      </c>
      <c r="M1208" s="78" t="str">
        <f>IFERROR(VLOOKUP(A1208, Entries!A:B,2,false),"")</f>
        <v>YAW Studios</v>
      </c>
      <c r="N1208" s="23" t="str">
        <f>IFERROR(VLOOKUP(A1208, Entries!A:K,11,false),"")</f>
        <v/>
      </c>
      <c r="O1208" s="23" t="b">
        <f>IFERROR(VLOOKUP(A1208, Entries!A:I,8,false),"")</f>
        <v>0</v>
      </c>
    </row>
    <row r="1209">
      <c r="A1209" s="78" t="s">
        <v>1265</v>
      </c>
      <c r="B1209" s="78" t="s">
        <v>26</v>
      </c>
      <c r="C1209" s="85">
        <v>44509.0</v>
      </c>
      <c r="D1209" s="85">
        <v>44630.0</v>
      </c>
      <c r="E1209" s="86">
        <v>4.5</v>
      </c>
      <c r="F1209" s="87">
        <v>5.77</v>
      </c>
      <c r="G1209" s="88">
        <f t="shared" si="1"/>
        <v>1.27</v>
      </c>
      <c r="H1209" s="89">
        <f t="shared" si="2"/>
        <v>0.2201039861</v>
      </c>
      <c r="I1209" s="78" t="s">
        <v>1621</v>
      </c>
      <c r="J1209" s="78" t="s">
        <v>69</v>
      </c>
      <c r="K1209" s="58">
        <f t="shared" si="3"/>
        <v>121</v>
      </c>
      <c r="L1209" s="91" t="str">
        <f t="shared" si="6"/>
        <v>Thu</v>
      </c>
      <c r="M1209" s="78" t="str">
        <f>IFERROR(VLOOKUP(A1209, Entries!A:B,2,false),"")</f>
        <v>Image &amp; Form Games</v>
      </c>
      <c r="N1209" s="23" t="str">
        <f>IFERROR(VLOOKUP(A1209, Entries!A:K,11,false),"")</f>
        <v/>
      </c>
      <c r="O1209" s="23" t="b">
        <f>IFERROR(VLOOKUP(A1209, Entries!A:I,8,false),"")</f>
        <v>0</v>
      </c>
    </row>
    <row r="1210">
      <c r="A1210" s="78" t="s">
        <v>1622</v>
      </c>
      <c r="B1210" s="78" t="s">
        <v>19</v>
      </c>
      <c r="C1210" s="85">
        <v>44509.0</v>
      </c>
      <c r="D1210" s="85">
        <v>44520.0</v>
      </c>
      <c r="E1210" s="86">
        <v>12.84</v>
      </c>
      <c r="F1210" s="87">
        <v>14.85</v>
      </c>
      <c r="G1210" s="88">
        <f t="shared" si="1"/>
        <v>2.01</v>
      </c>
      <c r="H1210" s="89">
        <f t="shared" si="2"/>
        <v>0.1353535354</v>
      </c>
      <c r="I1210" s="78" t="s">
        <v>1623</v>
      </c>
      <c r="J1210" s="78" t="s">
        <v>69</v>
      </c>
      <c r="K1210" s="58">
        <f t="shared" si="3"/>
        <v>11</v>
      </c>
      <c r="L1210" s="91" t="str">
        <f t="shared" si="6"/>
        <v>Sat</v>
      </c>
      <c r="M1210" s="78" t="str">
        <f>IFERROR(VLOOKUP(A1210, Entries!A:B,2,false),"")</f>
        <v>Rebellion</v>
      </c>
      <c r="N1210" s="23" t="str">
        <f>IFERROR(VLOOKUP(A1210, Entries!A:K,11,false),"")</f>
        <v/>
      </c>
      <c r="O1210" s="23" t="b">
        <f>IFERROR(VLOOKUP(A1210, Entries!A:I,8,false),"")</f>
        <v>0</v>
      </c>
    </row>
    <row r="1211">
      <c r="A1211" s="78" t="s">
        <v>1624</v>
      </c>
      <c r="B1211" s="78" t="s">
        <v>19</v>
      </c>
      <c r="C1211" s="85">
        <v>44510.0</v>
      </c>
      <c r="D1211" s="85">
        <v>44514.0</v>
      </c>
      <c r="E1211" s="86">
        <v>0.0</v>
      </c>
      <c r="F1211" s="87">
        <v>0.14</v>
      </c>
      <c r="G1211" s="88">
        <f t="shared" si="1"/>
        <v>0.14</v>
      </c>
      <c r="H1211" s="89">
        <f t="shared" si="2"/>
        <v>1</v>
      </c>
      <c r="I1211" s="78" t="s">
        <v>1625</v>
      </c>
      <c r="J1211" s="78" t="s">
        <v>69</v>
      </c>
      <c r="K1211" s="58">
        <f t="shared" si="3"/>
        <v>4</v>
      </c>
      <c r="L1211" s="91" t="str">
        <f t="shared" si="6"/>
        <v>Sun</v>
      </c>
      <c r="M1211" s="78" t="str">
        <f>IFERROR(VLOOKUP(A1211, Entries!A:B,2,false),"")</f>
        <v>Microids</v>
      </c>
      <c r="N1211" s="23" t="str">
        <f>IFERROR(VLOOKUP(A1211, Entries!A:K,11,false),"")</f>
        <v/>
      </c>
      <c r="O1211" s="23" t="b">
        <f>IFERROR(VLOOKUP(A1211, Entries!A:I,8,false),"")</f>
        <v>0</v>
      </c>
    </row>
    <row r="1212">
      <c r="A1212" s="78" t="s">
        <v>1353</v>
      </c>
      <c r="B1212" s="78" t="s">
        <v>19</v>
      </c>
      <c r="C1212" s="85">
        <v>44510.0</v>
      </c>
      <c r="D1212" s="85">
        <v>44699.0</v>
      </c>
      <c r="E1212" s="86">
        <v>5.1</v>
      </c>
      <c r="F1212" s="87">
        <v>4.95</v>
      </c>
      <c r="G1212" s="88">
        <f t="shared" si="1"/>
        <v>-0.15</v>
      </c>
      <c r="H1212" s="89">
        <f t="shared" si="2"/>
        <v>-0.0303030303</v>
      </c>
      <c r="I1212" s="78" t="s">
        <v>1626</v>
      </c>
      <c r="J1212" s="78" t="s">
        <v>69</v>
      </c>
      <c r="K1212" s="58">
        <f t="shared" si="3"/>
        <v>189</v>
      </c>
      <c r="L1212" s="91" t="str">
        <f t="shared" si="6"/>
        <v>Wed</v>
      </c>
      <c r="M1212" s="78" t="str">
        <f>IFERROR(VLOOKUP(A1212, Entries!A:B,2,false),"")</f>
        <v>NIS America</v>
      </c>
      <c r="N1212" s="23" t="str">
        <f>IFERROR(VLOOKUP(A1212, Entries!A:K,11,false),"")</f>
        <v/>
      </c>
      <c r="O1212" s="23" t="b">
        <f>IFERROR(VLOOKUP(A1212, Entries!A:I,8,false),"")</f>
        <v>0</v>
      </c>
    </row>
    <row r="1213">
      <c r="A1213" s="78" t="s">
        <v>1627</v>
      </c>
      <c r="B1213" s="78" t="s">
        <v>19</v>
      </c>
      <c r="C1213" s="85">
        <v>44510.0</v>
      </c>
      <c r="D1213" s="85">
        <v>44541.0</v>
      </c>
      <c r="E1213" s="86">
        <v>6.59</v>
      </c>
      <c r="F1213" s="87">
        <v>6.59</v>
      </c>
      <c r="G1213" s="88">
        <f t="shared" si="1"/>
        <v>0</v>
      </c>
      <c r="H1213" s="102">
        <v>0.0869</v>
      </c>
      <c r="I1213" s="78" t="s">
        <v>1628</v>
      </c>
      <c r="J1213" s="78" t="s">
        <v>69</v>
      </c>
      <c r="K1213" s="58">
        <f t="shared" si="3"/>
        <v>31</v>
      </c>
      <c r="L1213" s="91" t="str">
        <f t="shared" si="6"/>
        <v>Sat</v>
      </c>
      <c r="M1213" s="78" t="str">
        <f>IFERROR(VLOOKUP(A1213, Entries!A:B,2,false),"")</f>
        <v>NIS America</v>
      </c>
      <c r="N1213" s="23" t="str">
        <f>IFERROR(VLOOKUP(A1213, Entries!A:K,11,false),"")</f>
        <v/>
      </c>
      <c r="O1213" s="23" t="b">
        <f>IFERROR(VLOOKUP(A1213, Entries!A:I,8,false),"")</f>
        <v>0</v>
      </c>
    </row>
    <row r="1214">
      <c r="A1214" s="78" t="s">
        <v>1281</v>
      </c>
      <c r="B1214" s="78" t="s">
        <v>19</v>
      </c>
      <c r="C1214" s="85">
        <v>44510.0</v>
      </c>
      <c r="D1214" s="85">
        <v>44511.0</v>
      </c>
      <c r="E1214" s="86">
        <v>3.85</v>
      </c>
      <c r="F1214" s="87">
        <v>7.66</v>
      </c>
      <c r="G1214" s="88">
        <f t="shared" si="1"/>
        <v>3.81</v>
      </c>
      <c r="H1214" s="89">
        <f t="shared" ref="H1214:H1675" si="7">IFERROR(G1214/F1214,"")</f>
        <v>0.4973890339</v>
      </c>
      <c r="I1214" s="78" t="s">
        <v>1629</v>
      </c>
      <c r="J1214" s="78" t="s">
        <v>69</v>
      </c>
      <c r="K1214" s="58">
        <f t="shared" si="3"/>
        <v>1</v>
      </c>
      <c r="L1214" s="91" t="str">
        <f t="shared" si="6"/>
        <v>Thu</v>
      </c>
      <c r="M1214" s="78" t="str">
        <f>IFERROR(VLOOKUP(A1214, Entries!A:B,2,false),"")</f>
        <v>Konami</v>
      </c>
      <c r="N1214" s="23" t="str">
        <f>IFERROR(VLOOKUP(A1214, Entries!A:K,11,false),"")</f>
        <v/>
      </c>
      <c r="O1214" s="23" t="b">
        <f>IFERROR(VLOOKUP(A1214, Entries!A:I,8,false),"")</f>
        <v>0</v>
      </c>
    </row>
    <row r="1215">
      <c r="A1215" s="78" t="s">
        <v>1281</v>
      </c>
      <c r="B1215" s="78" t="s">
        <v>19</v>
      </c>
      <c r="C1215" s="85">
        <v>44511.0</v>
      </c>
      <c r="D1215" s="85">
        <v>44513.0</v>
      </c>
      <c r="E1215" s="86">
        <v>3.85</v>
      </c>
      <c r="F1215" s="87">
        <v>7.55</v>
      </c>
      <c r="G1215" s="88">
        <f t="shared" si="1"/>
        <v>3.7</v>
      </c>
      <c r="H1215" s="89">
        <f t="shared" si="7"/>
        <v>0.4900662252</v>
      </c>
      <c r="I1215" s="78" t="s">
        <v>1630</v>
      </c>
      <c r="J1215" s="78" t="s">
        <v>69</v>
      </c>
      <c r="K1215" s="58">
        <f t="shared" si="3"/>
        <v>2</v>
      </c>
      <c r="L1215" s="91" t="str">
        <f t="shared" si="6"/>
        <v>Sat</v>
      </c>
      <c r="M1215" s="78" t="str">
        <f>IFERROR(VLOOKUP(A1215, Entries!A:B,2,false),"")</f>
        <v>Konami</v>
      </c>
      <c r="N1215" s="23" t="str">
        <f>IFERROR(VLOOKUP(A1215, Entries!A:K,11,false),"")</f>
        <v/>
      </c>
      <c r="O1215" s="23" t="b">
        <f>IFERROR(VLOOKUP(A1215, Entries!A:I,8,false),"")</f>
        <v>0</v>
      </c>
    </row>
    <row r="1216">
      <c r="A1216" s="78" t="s">
        <v>731</v>
      </c>
      <c r="B1216" s="78" t="s">
        <v>19</v>
      </c>
      <c r="C1216" s="85">
        <v>44511.0</v>
      </c>
      <c r="D1216" s="85">
        <v>44513.0</v>
      </c>
      <c r="E1216" s="86">
        <v>2.73</v>
      </c>
      <c r="F1216" s="87">
        <v>3.83</v>
      </c>
      <c r="G1216" s="88">
        <f t="shared" si="1"/>
        <v>1.1</v>
      </c>
      <c r="H1216" s="89">
        <f t="shared" si="7"/>
        <v>0.2872062663</v>
      </c>
      <c r="I1216" s="78" t="s">
        <v>1631</v>
      </c>
      <c r="J1216" s="78" t="s">
        <v>69</v>
      </c>
      <c r="K1216" s="58">
        <f t="shared" si="3"/>
        <v>2</v>
      </c>
      <c r="L1216" s="91" t="str">
        <f t="shared" si="6"/>
        <v>Sat</v>
      </c>
      <c r="M1216" s="78" t="str">
        <f>IFERROR(VLOOKUP(A1216, Entries!A:B,2,false),"")</f>
        <v>Square Enix</v>
      </c>
      <c r="N1216" s="23" t="str">
        <f>IFERROR(VLOOKUP(A1216, Entries!A:K,11,false),"")</f>
        <v/>
      </c>
      <c r="O1216" s="23" t="b">
        <f>IFERROR(VLOOKUP(A1216, Entries!A:I,8,false),"")</f>
        <v>1</v>
      </c>
    </row>
    <row r="1217">
      <c r="A1217" s="78" t="s">
        <v>1175</v>
      </c>
      <c r="B1217" s="78" t="s">
        <v>19</v>
      </c>
      <c r="C1217" s="85">
        <v>44511.0</v>
      </c>
      <c r="D1217" s="85">
        <v>44582.0</v>
      </c>
      <c r="E1217" s="86">
        <v>2.73</v>
      </c>
      <c r="F1217" s="87">
        <v>6.2</v>
      </c>
      <c r="G1217" s="88">
        <f t="shared" si="1"/>
        <v>3.47</v>
      </c>
      <c r="H1217" s="89">
        <f t="shared" si="7"/>
        <v>0.5596774194</v>
      </c>
      <c r="I1217" s="78" t="s">
        <v>1632</v>
      </c>
      <c r="J1217" s="78" t="s">
        <v>69</v>
      </c>
      <c r="K1217" s="58">
        <f t="shared" si="3"/>
        <v>71</v>
      </c>
      <c r="L1217" s="91" t="str">
        <f t="shared" si="6"/>
        <v>Fri</v>
      </c>
      <c r="M1217" s="78" t="str">
        <f>IFERROR(VLOOKUP(A1217, Entries!A:B,2,false),"")</f>
        <v>10tons Ltd</v>
      </c>
      <c r="N1217" s="23" t="str">
        <f>IFERROR(VLOOKUP(A1217, Entries!A:K,11,false),"")</f>
        <v/>
      </c>
      <c r="O1217" s="23" t="b">
        <f>IFERROR(VLOOKUP(A1217, Entries!A:I,8,false),"")</f>
        <v>0</v>
      </c>
    </row>
    <row r="1218">
      <c r="A1218" s="78" t="s">
        <v>1568</v>
      </c>
      <c r="B1218" s="78" t="s">
        <v>19</v>
      </c>
      <c r="C1218" s="85">
        <v>44511.0</v>
      </c>
      <c r="D1218" s="85">
        <v>44512.0</v>
      </c>
      <c r="E1218" s="86">
        <v>2.73</v>
      </c>
      <c r="F1218" s="87">
        <v>3.22</v>
      </c>
      <c r="G1218" s="88">
        <f t="shared" si="1"/>
        <v>0.49</v>
      </c>
      <c r="H1218" s="89">
        <f t="shared" si="7"/>
        <v>0.152173913</v>
      </c>
      <c r="I1218" s="78" t="s">
        <v>1633</v>
      </c>
      <c r="J1218" s="78" t="s">
        <v>69</v>
      </c>
      <c r="K1218" s="58">
        <f t="shared" si="3"/>
        <v>1</v>
      </c>
      <c r="L1218" s="91" t="str">
        <f t="shared" si="6"/>
        <v>Fri</v>
      </c>
      <c r="M1218" s="78" t="str">
        <f>IFERROR(VLOOKUP(A1218, Entries!A:B,2,false),"")</f>
        <v>Natsume</v>
      </c>
      <c r="N1218" s="23" t="str">
        <f>IFERROR(VLOOKUP(A1218, Entries!A:K,11,false),"")</f>
        <v/>
      </c>
      <c r="O1218" s="23" t="b">
        <f>IFERROR(VLOOKUP(A1218, Entries!A:I,8,false),"")</f>
        <v>0</v>
      </c>
    </row>
    <row r="1219">
      <c r="A1219" s="78" t="s">
        <v>999</v>
      </c>
      <c r="B1219" s="78" t="s">
        <v>23</v>
      </c>
      <c r="C1219" s="85">
        <v>44513.0</v>
      </c>
      <c r="D1219" s="85">
        <v>44513.0</v>
      </c>
      <c r="E1219" s="86">
        <v>6.36</v>
      </c>
      <c r="F1219" s="87">
        <v>7.5</v>
      </c>
      <c r="G1219" s="88">
        <f t="shared" si="1"/>
        <v>1.14</v>
      </c>
      <c r="H1219" s="89">
        <f t="shared" si="7"/>
        <v>0.152</v>
      </c>
      <c r="I1219" s="78" t="s">
        <v>1634</v>
      </c>
      <c r="J1219" s="78" t="s">
        <v>69</v>
      </c>
      <c r="K1219" s="58">
        <f t="shared" si="3"/>
        <v>0</v>
      </c>
      <c r="L1219" s="91" t="str">
        <f t="shared" si="6"/>
        <v>Sat</v>
      </c>
      <c r="M1219" s="78" t="str">
        <f>IFERROR(VLOOKUP(A1219, Entries!A:B,2,false),"")</f>
        <v>Focus Home Interactive</v>
      </c>
      <c r="N1219" s="23" t="str">
        <f>IFERROR(VLOOKUP(A1219, Entries!A:K,11,false),"")</f>
        <v/>
      </c>
      <c r="O1219" s="23" t="b">
        <f>IFERROR(VLOOKUP(A1219, Entries!A:I,8,false),"")</f>
        <v>0</v>
      </c>
    </row>
    <row r="1220">
      <c r="A1220" s="78" t="s">
        <v>1556</v>
      </c>
      <c r="B1220" s="78" t="s">
        <v>23</v>
      </c>
      <c r="C1220" s="85">
        <v>44513.0</v>
      </c>
      <c r="D1220" s="85">
        <v>44643.0</v>
      </c>
      <c r="E1220" s="86">
        <v>16.38</v>
      </c>
      <c r="F1220" s="87">
        <v>16.75</v>
      </c>
      <c r="G1220" s="88">
        <f t="shared" si="1"/>
        <v>0.37</v>
      </c>
      <c r="H1220" s="89">
        <f t="shared" si="7"/>
        <v>0.02208955224</v>
      </c>
      <c r="I1220" s="78" t="s">
        <v>1635</v>
      </c>
      <c r="J1220" s="78" t="s">
        <v>69</v>
      </c>
      <c r="K1220" s="58">
        <f t="shared" si="3"/>
        <v>130</v>
      </c>
      <c r="L1220" s="91" t="str">
        <f t="shared" si="6"/>
        <v>Wed</v>
      </c>
      <c r="M1220" s="78" t="str">
        <f>IFERROR(VLOOKUP(A1220, Entries!A:B,2,false),"")</f>
        <v>Focus Home Interactive</v>
      </c>
      <c r="N1220" s="23" t="str">
        <f>IFERROR(VLOOKUP(A1220, Entries!A:K,11,false),"")</f>
        <v/>
      </c>
      <c r="O1220" s="23" t="b">
        <f>IFERROR(VLOOKUP(A1220, Entries!A:I,8,false),"")</f>
        <v>0</v>
      </c>
    </row>
    <row r="1221">
      <c r="A1221" s="78" t="s">
        <v>999</v>
      </c>
      <c r="B1221" s="78" t="s">
        <v>23</v>
      </c>
      <c r="C1221" s="85">
        <v>44513.0</v>
      </c>
      <c r="D1221" s="85">
        <v>44513.0</v>
      </c>
      <c r="E1221" s="86">
        <v>6.37</v>
      </c>
      <c r="F1221" s="87">
        <v>7.5</v>
      </c>
      <c r="G1221" s="88">
        <f t="shared" si="1"/>
        <v>1.13</v>
      </c>
      <c r="H1221" s="89">
        <f t="shared" si="7"/>
        <v>0.1506666667</v>
      </c>
      <c r="I1221" s="78" t="s">
        <v>1636</v>
      </c>
      <c r="J1221" s="78" t="s">
        <v>69</v>
      </c>
      <c r="K1221" s="58">
        <f t="shared" si="3"/>
        <v>0</v>
      </c>
      <c r="L1221" s="91" t="str">
        <f t="shared" si="6"/>
        <v>Sat</v>
      </c>
      <c r="M1221" s="78" t="str">
        <f>IFERROR(VLOOKUP(A1221, Entries!A:B,2,false),"")</f>
        <v>Focus Home Interactive</v>
      </c>
      <c r="N1221" s="23" t="str">
        <f>IFERROR(VLOOKUP(A1221, Entries!A:K,11,false),"")</f>
        <v/>
      </c>
      <c r="O1221" s="23" t="b">
        <f>IFERROR(VLOOKUP(A1221, Entries!A:I,8,false),"")</f>
        <v>0</v>
      </c>
    </row>
    <row r="1222">
      <c r="A1222" s="78" t="s">
        <v>999</v>
      </c>
      <c r="B1222" s="78" t="s">
        <v>23</v>
      </c>
      <c r="C1222" s="85">
        <v>44513.0</v>
      </c>
      <c r="D1222" s="85">
        <v>44514.0</v>
      </c>
      <c r="E1222" s="86">
        <v>6.37</v>
      </c>
      <c r="F1222" s="87">
        <v>7.49</v>
      </c>
      <c r="G1222" s="88">
        <f t="shared" si="1"/>
        <v>1.12</v>
      </c>
      <c r="H1222" s="89">
        <f t="shared" si="7"/>
        <v>0.1495327103</v>
      </c>
      <c r="I1222" s="78" t="s">
        <v>1637</v>
      </c>
      <c r="J1222" s="78" t="s">
        <v>69</v>
      </c>
      <c r="K1222" s="58">
        <f t="shared" si="3"/>
        <v>1</v>
      </c>
      <c r="L1222" s="91" t="str">
        <f t="shared" si="6"/>
        <v>Sun</v>
      </c>
      <c r="M1222" s="78" t="str">
        <f>IFERROR(VLOOKUP(A1222, Entries!A:B,2,false),"")</f>
        <v>Focus Home Interactive</v>
      </c>
      <c r="N1222" s="23" t="str">
        <f>IFERROR(VLOOKUP(A1222, Entries!A:K,11,false),"")</f>
        <v/>
      </c>
      <c r="O1222" s="23" t="b">
        <f>IFERROR(VLOOKUP(A1222, Entries!A:I,8,false),"")</f>
        <v>0</v>
      </c>
    </row>
    <row r="1223">
      <c r="A1223" s="78" t="s">
        <v>1281</v>
      </c>
      <c r="B1223" s="78" t="s">
        <v>19</v>
      </c>
      <c r="C1223" s="85">
        <v>44513.0</v>
      </c>
      <c r="D1223" s="85">
        <v>44515.0</v>
      </c>
      <c r="E1223" s="86">
        <v>3.18</v>
      </c>
      <c r="F1223" s="87">
        <v>7.5</v>
      </c>
      <c r="G1223" s="88">
        <f t="shared" si="1"/>
        <v>4.32</v>
      </c>
      <c r="H1223" s="89">
        <f t="shared" si="7"/>
        <v>0.576</v>
      </c>
      <c r="I1223" s="78" t="s">
        <v>1638</v>
      </c>
      <c r="J1223" s="78" t="s">
        <v>69</v>
      </c>
      <c r="K1223" s="58">
        <f t="shared" si="3"/>
        <v>2</v>
      </c>
      <c r="L1223" s="91" t="str">
        <f t="shared" si="6"/>
        <v>Mon</v>
      </c>
      <c r="M1223" s="78" t="str">
        <f>IFERROR(VLOOKUP(A1223, Entries!A:B,2,false),"")</f>
        <v>Konami</v>
      </c>
      <c r="N1223" s="23" t="str">
        <f>IFERROR(VLOOKUP(A1223, Entries!A:K,11,false),"")</f>
        <v/>
      </c>
      <c r="O1223" s="23" t="b">
        <f>IFERROR(VLOOKUP(A1223, Entries!A:I,8,false),"")</f>
        <v>0</v>
      </c>
    </row>
    <row r="1224">
      <c r="A1224" s="94" t="s">
        <v>1639</v>
      </c>
      <c r="B1224" s="78" t="s">
        <v>19</v>
      </c>
      <c r="C1224" s="85">
        <v>44518.0</v>
      </c>
      <c r="D1224" s="85">
        <v>45520.0</v>
      </c>
      <c r="E1224" s="86">
        <v>11.86</v>
      </c>
      <c r="F1224" s="87">
        <v>1.89</v>
      </c>
      <c r="G1224" s="88">
        <f t="shared" si="1"/>
        <v>-9.97</v>
      </c>
      <c r="H1224" s="89">
        <f t="shared" si="7"/>
        <v>-5.275132275</v>
      </c>
      <c r="I1224" s="78" t="s">
        <v>1640</v>
      </c>
      <c r="J1224" s="78" t="s">
        <v>69</v>
      </c>
      <c r="K1224" s="58">
        <f t="shared" si="3"/>
        <v>1002</v>
      </c>
      <c r="L1224" s="91" t="str">
        <f t="shared" si="6"/>
        <v>Fri</v>
      </c>
      <c r="M1224" s="78" t="str">
        <f>IFERROR(VLOOKUP(A1224, Entries!A:B,2,false),"")</f>
        <v>Prime Matter</v>
      </c>
      <c r="N1224" s="23" t="str">
        <f>IFERROR(VLOOKUP(A1224, Entries!A:K,11,false),"")</f>
        <v/>
      </c>
      <c r="O1224" s="23" t="b">
        <f>IFERROR(VLOOKUP(A1224, Entries!A:I,8,false),"")</f>
        <v>0</v>
      </c>
    </row>
    <row r="1225">
      <c r="A1225" s="78" t="s">
        <v>1609</v>
      </c>
      <c r="B1225" s="78" t="s">
        <v>19</v>
      </c>
      <c r="C1225" s="85">
        <v>44518.0</v>
      </c>
      <c r="D1225" s="85">
        <v>44552.0</v>
      </c>
      <c r="E1225" s="86">
        <v>14.71</v>
      </c>
      <c r="F1225" s="87">
        <v>15.5</v>
      </c>
      <c r="G1225" s="88">
        <f t="shared" si="1"/>
        <v>0.79</v>
      </c>
      <c r="H1225" s="89">
        <f t="shared" si="7"/>
        <v>0.05096774194</v>
      </c>
      <c r="I1225" s="78" t="s">
        <v>1641</v>
      </c>
      <c r="J1225" s="78" t="s">
        <v>69</v>
      </c>
      <c r="K1225" s="58">
        <f t="shared" si="3"/>
        <v>34</v>
      </c>
      <c r="L1225" s="91" t="str">
        <f t="shared" si="6"/>
        <v>Wed</v>
      </c>
      <c r="M1225" s="78" t="str">
        <f>IFERROR(VLOOKUP(A1225, Entries!A:B,2,false),"")</f>
        <v>Dear Villagers</v>
      </c>
      <c r="N1225" s="23" t="str">
        <f>IFERROR(VLOOKUP(A1225, Entries!A:K,11,false),"")</f>
        <v/>
      </c>
      <c r="O1225" s="23" t="b">
        <f>IFERROR(VLOOKUP(A1225, Entries!A:I,8,false),"")</f>
        <v>0</v>
      </c>
    </row>
    <row r="1226">
      <c r="A1226" s="78" t="s">
        <v>1642</v>
      </c>
      <c r="B1226" s="78" t="s">
        <v>22</v>
      </c>
      <c r="C1226" s="85">
        <v>44518.0</v>
      </c>
      <c r="D1226" s="85">
        <v>44521.0</v>
      </c>
      <c r="E1226" s="86">
        <v>12.49</v>
      </c>
      <c r="F1226" s="87">
        <v>14.47</v>
      </c>
      <c r="G1226" s="88">
        <f t="shared" si="1"/>
        <v>1.98</v>
      </c>
      <c r="H1226" s="89">
        <f t="shared" si="7"/>
        <v>0.1368348307</v>
      </c>
      <c r="I1226" s="78" t="s">
        <v>1643</v>
      </c>
      <c r="J1226" s="78" t="s">
        <v>69</v>
      </c>
      <c r="K1226" s="58">
        <f t="shared" si="3"/>
        <v>3</v>
      </c>
      <c r="L1226" s="91" t="str">
        <f t="shared" si="6"/>
        <v>Sun</v>
      </c>
      <c r="M1226" s="78" t="str">
        <f>IFERROR(VLOOKUP(A1226, Entries!A:B,2,false),"")</f>
        <v>2K</v>
      </c>
      <c r="N1226" s="23" t="str">
        <f>IFERROR(VLOOKUP(A1226, Entries!A:K,11,false),"")</f>
        <v/>
      </c>
      <c r="O1226" s="23" t="b">
        <f>IFERROR(VLOOKUP(A1226, Entries!A:I,8,false),"")</f>
        <v>0</v>
      </c>
    </row>
    <row r="1227">
      <c r="A1227" s="78" t="s">
        <v>1644</v>
      </c>
      <c r="B1227" s="78" t="s">
        <v>27</v>
      </c>
      <c r="C1227" s="85">
        <v>44519.0</v>
      </c>
      <c r="D1227" s="85">
        <v>44652.0</v>
      </c>
      <c r="E1227" s="86">
        <v>20.16</v>
      </c>
      <c r="F1227" s="87">
        <v>21.09</v>
      </c>
      <c r="G1227" s="88">
        <f t="shared" si="1"/>
        <v>0.93</v>
      </c>
      <c r="H1227" s="89">
        <f t="shared" si="7"/>
        <v>0.04409672831</v>
      </c>
      <c r="I1227" s="78" t="s">
        <v>1645</v>
      </c>
      <c r="J1227" s="78" t="s">
        <v>69</v>
      </c>
      <c r="K1227" s="58">
        <f t="shared" si="3"/>
        <v>133</v>
      </c>
      <c r="L1227" s="91" t="str">
        <f t="shared" si="6"/>
        <v>Fri</v>
      </c>
      <c r="M1227" s="78" t="str">
        <f>IFERROR(VLOOKUP(A1227, Entries!A:B,2,false),"")</f>
        <v>The Farm 51</v>
      </c>
      <c r="N1227" s="23" t="str">
        <f>IFERROR(VLOOKUP(A1227, Entries!A:K,11,false),"")</f>
        <v/>
      </c>
      <c r="O1227" s="23" t="b">
        <f>IFERROR(VLOOKUP(A1227, Entries!A:I,8,false),"")</f>
        <v>0</v>
      </c>
    </row>
    <row r="1228">
      <c r="A1228" s="78" t="s">
        <v>326</v>
      </c>
      <c r="B1228" s="78" t="s">
        <v>29</v>
      </c>
      <c r="C1228" s="85">
        <v>44519.0</v>
      </c>
      <c r="D1228" s="85">
        <v>44527.0</v>
      </c>
      <c r="E1228" s="86">
        <v>2.51</v>
      </c>
      <c r="F1228" s="87">
        <v>5.62</v>
      </c>
      <c r="G1228" s="88">
        <f t="shared" si="1"/>
        <v>3.11</v>
      </c>
      <c r="H1228" s="89">
        <f t="shared" si="7"/>
        <v>0.5533807829</v>
      </c>
      <c r="I1228" s="78" t="s">
        <v>1646</v>
      </c>
      <c r="J1228" s="78" t="s">
        <v>69</v>
      </c>
      <c r="K1228" s="58">
        <f t="shared" si="3"/>
        <v>8</v>
      </c>
      <c r="L1228" s="91" t="str">
        <f t="shared" si="6"/>
        <v>Sat</v>
      </c>
      <c r="M1228" s="78" t="str">
        <f>IFERROR(VLOOKUP(A1228, Entries!A:B,2,false),"")</f>
        <v>Aerosoft</v>
      </c>
      <c r="N1228" s="23" t="str">
        <f>IFERROR(VLOOKUP(A1228, Entries!A:K,11,false),"")</f>
        <v/>
      </c>
      <c r="O1228" s="23" t="b">
        <f>IFERROR(VLOOKUP(A1228, Entries!A:I,8,false),"")</f>
        <v>1</v>
      </c>
    </row>
    <row r="1229">
      <c r="A1229" s="78" t="s">
        <v>326</v>
      </c>
      <c r="B1229" s="78" t="s">
        <v>29</v>
      </c>
      <c r="C1229" s="85">
        <v>44519.0</v>
      </c>
      <c r="D1229" s="85">
        <v>44527.0</v>
      </c>
      <c r="E1229" s="86">
        <v>2.51</v>
      </c>
      <c r="F1229" s="87">
        <v>5.62</v>
      </c>
      <c r="G1229" s="88">
        <f t="shared" si="1"/>
        <v>3.11</v>
      </c>
      <c r="H1229" s="89">
        <f t="shared" si="7"/>
        <v>0.5533807829</v>
      </c>
      <c r="I1229" s="78" t="s">
        <v>1647</v>
      </c>
      <c r="J1229" s="78" t="s">
        <v>69</v>
      </c>
      <c r="K1229" s="58">
        <f t="shared" si="3"/>
        <v>8</v>
      </c>
      <c r="L1229" s="91" t="str">
        <f t="shared" si="6"/>
        <v>Sat</v>
      </c>
      <c r="M1229" s="78" t="str">
        <f>IFERROR(VLOOKUP(A1229, Entries!A:B,2,false),"")</f>
        <v>Aerosoft</v>
      </c>
      <c r="N1229" s="23" t="str">
        <f>IFERROR(VLOOKUP(A1229, Entries!A:K,11,false),"")</f>
        <v/>
      </c>
      <c r="O1229" s="23" t="b">
        <f>IFERROR(VLOOKUP(A1229, Entries!A:I,8,false),"")</f>
        <v>1</v>
      </c>
    </row>
    <row r="1230">
      <c r="A1230" s="78" t="s">
        <v>326</v>
      </c>
      <c r="B1230" s="78" t="s">
        <v>29</v>
      </c>
      <c r="C1230" s="85">
        <v>44519.0</v>
      </c>
      <c r="D1230" s="85">
        <v>44527.0</v>
      </c>
      <c r="E1230" s="86">
        <v>2.51</v>
      </c>
      <c r="F1230" s="87">
        <v>5.62</v>
      </c>
      <c r="G1230" s="88">
        <f t="shared" si="1"/>
        <v>3.11</v>
      </c>
      <c r="H1230" s="89">
        <f t="shared" si="7"/>
        <v>0.5533807829</v>
      </c>
      <c r="I1230" s="78" t="s">
        <v>1648</v>
      </c>
      <c r="J1230" s="78" t="s">
        <v>69</v>
      </c>
      <c r="K1230" s="58">
        <f t="shared" si="3"/>
        <v>8</v>
      </c>
      <c r="L1230" s="91" t="str">
        <f t="shared" si="6"/>
        <v>Sat</v>
      </c>
      <c r="M1230" s="78" t="str">
        <f>IFERROR(VLOOKUP(A1230, Entries!A:B,2,false),"")</f>
        <v>Aerosoft</v>
      </c>
      <c r="N1230" s="23" t="str">
        <f>IFERROR(VLOOKUP(A1230, Entries!A:K,11,false),"")</f>
        <v/>
      </c>
      <c r="O1230" s="23" t="b">
        <f>IFERROR(VLOOKUP(A1230, Entries!A:I,8,false),"")</f>
        <v>1</v>
      </c>
    </row>
    <row r="1231">
      <c r="A1231" s="78" t="s">
        <v>326</v>
      </c>
      <c r="B1231" s="78" t="s">
        <v>29</v>
      </c>
      <c r="C1231" s="85">
        <v>44519.0</v>
      </c>
      <c r="D1231" s="85">
        <v>44529.0</v>
      </c>
      <c r="E1231" s="86">
        <v>2.51</v>
      </c>
      <c r="F1231" s="87">
        <v>5.62</v>
      </c>
      <c r="G1231" s="88">
        <f t="shared" si="1"/>
        <v>3.11</v>
      </c>
      <c r="H1231" s="89">
        <f t="shared" si="7"/>
        <v>0.5533807829</v>
      </c>
      <c r="I1231" s="78" t="s">
        <v>1649</v>
      </c>
      <c r="J1231" s="78" t="s">
        <v>69</v>
      </c>
      <c r="K1231" s="58">
        <f t="shared" si="3"/>
        <v>10</v>
      </c>
      <c r="L1231" s="91" t="str">
        <f t="shared" si="6"/>
        <v>Mon</v>
      </c>
      <c r="M1231" s="78" t="str">
        <f>IFERROR(VLOOKUP(A1231, Entries!A:B,2,false),"")</f>
        <v>Aerosoft</v>
      </c>
      <c r="N1231" s="23" t="str">
        <f>IFERROR(VLOOKUP(A1231, Entries!A:K,11,false),"")</f>
        <v/>
      </c>
      <c r="O1231" s="23" t="b">
        <f>IFERROR(VLOOKUP(A1231, Entries!A:I,8,false),"")</f>
        <v>1</v>
      </c>
    </row>
    <row r="1232">
      <c r="A1232" s="78" t="s">
        <v>326</v>
      </c>
      <c r="B1232" s="78" t="s">
        <v>29</v>
      </c>
      <c r="C1232" s="85">
        <v>44519.0</v>
      </c>
      <c r="D1232" s="85">
        <v>44535.0</v>
      </c>
      <c r="E1232" s="86">
        <v>2.51</v>
      </c>
      <c r="F1232" s="87">
        <v>8.38</v>
      </c>
      <c r="G1232" s="88">
        <f t="shared" si="1"/>
        <v>5.87</v>
      </c>
      <c r="H1232" s="89">
        <f t="shared" si="7"/>
        <v>0.700477327</v>
      </c>
      <c r="I1232" s="78" t="s">
        <v>1650</v>
      </c>
      <c r="J1232" s="78" t="s">
        <v>69</v>
      </c>
      <c r="K1232" s="58">
        <f t="shared" si="3"/>
        <v>16</v>
      </c>
      <c r="L1232" s="91" t="str">
        <f t="shared" si="6"/>
        <v>Sun</v>
      </c>
      <c r="M1232" s="78" t="str">
        <f>IFERROR(VLOOKUP(A1232, Entries!A:B,2,false),"")</f>
        <v>Aerosoft</v>
      </c>
      <c r="N1232" s="23" t="str">
        <f>IFERROR(VLOOKUP(A1232, Entries!A:K,11,false),"")</f>
        <v/>
      </c>
      <c r="O1232" s="23" t="b">
        <f>IFERROR(VLOOKUP(A1232, Entries!A:I,8,false),"")</f>
        <v>1</v>
      </c>
    </row>
    <row r="1233">
      <c r="A1233" s="78" t="s">
        <v>326</v>
      </c>
      <c r="B1233" s="78" t="s">
        <v>29</v>
      </c>
      <c r="C1233" s="85">
        <v>44519.0</v>
      </c>
      <c r="D1233" s="85">
        <v>44544.0</v>
      </c>
      <c r="E1233" s="86">
        <v>2.51</v>
      </c>
      <c r="F1233" s="87">
        <v>8.21</v>
      </c>
      <c r="G1233" s="88">
        <f t="shared" si="1"/>
        <v>5.7</v>
      </c>
      <c r="H1233" s="89">
        <f t="shared" si="7"/>
        <v>0.6942752741</v>
      </c>
      <c r="I1233" s="78" t="s">
        <v>1651</v>
      </c>
      <c r="J1233" s="78" t="s">
        <v>69</v>
      </c>
      <c r="K1233" s="58">
        <f t="shared" si="3"/>
        <v>25</v>
      </c>
      <c r="L1233" s="91" t="str">
        <f t="shared" si="6"/>
        <v>Tue</v>
      </c>
      <c r="M1233" s="78" t="str">
        <f>IFERROR(VLOOKUP(A1233, Entries!A:B,2,false),"")</f>
        <v>Aerosoft</v>
      </c>
      <c r="N1233" s="23" t="str">
        <f>IFERROR(VLOOKUP(A1233, Entries!A:K,11,false),"")</f>
        <v/>
      </c>
      <c r="O1233" s="23" t="b">
        <f>IFERROR(VLOOKUP(A1233, Entries!A:I,8,false),"")</f>
        <v>1</v>
      </c>
    </row>
    <row r="1234">
      <c r="A1234" s="78" t="s">
        <v>326</v>
      </c>
      <c r="B1234" s="78" t="s">
        <v>29</v>
      </c>
      <c r="C1234" s="85">
        <v>44519.0</v>
      </c>
      <c r="D1234" s="85">
        <v>44548.0</v>
      </c>
      <c r="E1234" s="86">
        <v>2.51</v>
      </c>
      <c r="F1234" s="87">
        <v>6.55</v>
      </c>
      <c r="G1234" s="88">
        <f t="shared" si="1"/>
        <v>4.04</v>
      </c>
      <c r="H1234" s="89">
        <f t="shared" si="7"/>
        <v>0.6167938931</v>
      </c>
      <c r="I1234" s="78" t="s">
        <v>1652</v>
      </c>
      <c r="J1234" s="78" t="s">
        <v>69</v>
      </c>
      <c r="K1234" s="58">
        <f t="shared" si="3"/>
        <v>29</v>
      </c>
      <c r="L1234" s="91" t="str">
        <f t="shared" si="6"/>
        <v>Sat</v>
      </c>
      <c r="M1234" s="78" t="str">
        <f>IFERROR(VLOOKUP(A1234, Entries!A:B,2,false),"")</f>
        <v>Aerosoft</v>
      </c>
      <c r="N1234" s="23" t="str">
        <f>IFERROR(VLOOKUP(A1234, Entries!A:K,11,false),"")</f>
        <v/>
      </c>
      <c r="O1234" s="23" t="b">
        <f>IFERROR(VLOOKUP(A1234, Entries!A:I,8,false),"")</f>
        <v>1</v>
      </c>
    </row>
    <row r="1235">
      <c r="A1235" s="78" t="s">
        <v>326</v>
      </c>
      <c r="B1235" s="78" t="s">
        <v>29</v>
      </c>
      <c r="C1235" s="85">
        <v>44519.0</v>
      </c>
      <c r="D1235" s="85">
        <v>44554.0</v>
      </c>
      <c r="E1235" s="86">
        <v>2.51</v>
      </c>
      <c r="F1235" s="87">
        <v>7.64</v>
      </c>
      <c r="G1235" s="88">
        <f t="shared" si="1"/>
        <v>5.13</v>
      </c>
      <c r="H1235" s="89">
        <f t="shared" si="7"/>
        <v>0.6714659686</v>
      </c>
      <c r="I1235" s="78" t="s">
        <v>1653</v>
      </c>
      <c r="J1235" s="78" t="s">
        <v>69</v>
      </c>
      <c r="K1235" s="58">
        <f t="shared" si="3"/>
        <v>35</v>
      </c>
      <c r="L1235" s="91" t="str">
        <f t="shared" si="6"/>
        <v>Fri</v>
      </c>
      <c r="M1235" s="78" t="str">
        <f>IFERROR(VLOOKUP(A1235, Entries!A:B,2,false),"")</f>
        <v>Aerosoft</v>
      </c>
      <c r="N1235" s="23" t="str">
        <f>IFERROR(VLOOKUP(A1235, Entries!A:K,11,false),"")</f>
        <v/>
      </c>
      <c r="O1235" s="23" t="b">
        <f>IFERROR(VLOOKUP(A1235, Entries!A:I,8,false),"")</f>
        <v>1</v>
      </c>
    </row>
    <row r="1236">
      <c r="A1236" s="78" t="s">
        <v>326</v>
      </c>
      <c r="B1236" s="78" t="s">
        <v>29</v>
      </c>
      <c r="C1236" s="85">
        <v>44519.0</v>
      </c>
      <c r="D1236" s="85">
        <v>44563.0</v>
      </c>
      <c r="E1236" s="86">
        <v>2.51</v>
      </c>
      <c r="F1236" s="87">
        <v>6.69</v>
      </c>
      <c r="G1236" s="88">
        <f t="shared" si="1"/>
        <v>4.18</v>
      </c>
      <c r="H1236" s="89">
        <f t="shared" si="7"/>
        <v>0.624813154</v>
      </c>
      <c r="I1236" s="78" t="s">
        <v>1654</v>
      </c>
      <c r="J1236" s="78" t="s">
        <v>69</v>
      </c>
      <c r="K1236" s="58">
        <f t="shared" si="3"/>
        <v>44</v>
      </c>
      <c r="L1236" s="91" t="str">
        <f t="shared" si="6"/>
        <v>Sun</v>
      </c>
      <c r="M1236" s="78" t="str">
        <f>IFERROR(VLOOKUP(A1236, Entries!A:B,2,false),"")</f>
        <v>Aerosoft</v>
      </c>
      <c r="N1236" s="23" t="str">
        <f>IFERROR(VLOOKUP(A1236, Entries!A:K,11,false),"")</f>
        <v/>
      </c>
      <c r="O1236" s="23" t="b">
        <f>IFERROR(VLOOKUP(A1236, Entries!A:I,8,false),"")</f>
        <v>1</v>
      </c>
    </row>
    <row r="1237">
      <c r="A1237" s="78" t="s">
        <v>326</v>
      </c>
      <c r="B1237" s="78" t="s">
        <v>29</v>
      </c>
      <c r="C1237" s="85">
        <v>44519.0</v>
      </c>
      <c r="D1237" s="85">
        <v>44577.0</v>
      </c>
      <c r="E1237" s="86">
        <v>2.52</v>
      </c>
      <c r="F1237" s="87">
        <v>8.02</v>
      </c>
      <c r="G1237" s="88">
        <f t="shared" si="1"/>
        <v>5.5</v>
      </c>
      <c r="H1237" s="89">
        <f t="shared" si="7"/>
        <v>0.6857855362</v>
      </c>
      <c r="I1237" s="78" t="s">
        <v>1655</v>
      </c>
      <c r="J1237" s="78" t="s">
        <v>69</v>
      </c>
      <c r="K1237" s="58">
        <f t="shared" si="3"/>
        <v>58</v>
      </c>
      <c r="L1237" s="91" t="str">
        <f t="shared" si="6"/>
        <v>Sun</v>
      </c>
      <c r="M1237" s="78" t="str">
        <f>IFERROR(VLOOKUP(A1237, Entries!A:B,2,false),"")</f>
        <v>Aerosoft</v>
      </c>
      <c r="N1237" s="23" t="str">
        <f>IFERROR(VLOOKUP(A1237, Entries!A:K,11,false),"")</f>
        <v/>
      </c>
      <c r="O1237" s="23" t="b">
        <f>IFERROR(VLOOKUP(A1237, Entries!A:I,8,false),"")</f>
        <v>1</v>
      </c>
    </row>
    <row r="1238">
      <c r="A1238" s="78" t="s">
        <v>1656</v>
      </c>
      <c r="B1238" s="78" t="s">
        <v>22</v>
      </c>
      <c r="C1238" s="85">
        <v>44520.0</v>
      </c>
      <c r="D1238" s="85">
        <v>44568.0</v>
      </c>
      <c r="E1238" s="86">
        <v>11.11</v>
      </c>
      <c r="F1238" s="87">
        <v>13.92</v>
      </c>
      <c r="G1238" s="88">
        <f t="shared" si="1"/>
        <v>2.81</v>
      </c>
      <c r="H1238" s="89">
        <f t="shared" si="7"/>
        <v>0.2018678161</v>
      </c>
      <c r="I1238" s="78" t="s">
        <v>1657</v>
      </c>
      <c r="J1238" s="78" t="s">
        <v>69</v>
      </c>
      <c r="K1238" s="58">
        <f t="shared" si="3"/>
        <v>48</v>
      </c>
      <c r="L1238" s="91" t="str">
        <f t="shared" si="6"/>
        <v>Fri</v>
      </c>
      <c r="M1238" s="78" t="str">
        <f>IFERROR(VLOOKUP(A1238, Entries!A:B,2,false),"")</f>
        <v>Overhype Studios</v>
      </c>
      <c r="N1238" s="23" t="str">
        <f>IFERROR(VLOOKUP(A1238, Entries!A:K,11,false),"")</f>
        <v/>
      </c>
      <c r="O1238" s="23" t="b">
        <f>IFERROR(VLOOKUP(A1238, Entries!A:I,8,false),"")</f>
        <v>1</v>
      </c>
    </row>
    <row r="1239">
      <c r="A1239" s="78" t="s">
        <v>974</v>
      </c>
      <c r="B1239" s="78" t="s">
        <v>22</v>
      </c>
      <c r="C1239" s="85">
        <v>44520.0</v>
      </c>
      <c r="D1239" s="85">
        <v>44523.0</v>
      </c>
      <c r="E1239" s="86">
        <v>8.22</v>
      </c>
      <c r="F1239" s="87">
        <v>9.37</v>
      </c>
      <c r="G1239" s="88">
        <f t="shared" si="1"/>
        <v>1.15</v>
      </c>
      <c r="H1239" s="89">
        <f t="shared" si="7"/>
        <v>0.1227321238</v>
      </c>
      <c r="I1239" s="78" t="s">
        <v>1658</v>
      </c>
      <c r="J1239" s="78" t="s">
        <v>69</v>
      </c>
      <c r="K1239" s="58">
        <f t="shared" si="3"/>
        <v>3</v>
      </c>
      <c r="L1239" s="91" t="str">
        <f t="shared" si="6"/>
        <v>Tue</v>
      </c>
      <c r="M1239" s="78" t="str">
        <f>IFERROR(VLOOKUP(A1239, Entries!A:B,2,false),"")</f>
        <v>Anvil Game Studios</v>
      </c>
      <c r="N1239" s="23" t="str">
        <f>IFERROR(VLOOKUP(A1239, Entries!A:K,11,false),"")</f>
        <v/>
      </c>
      <c r="O1239" s="23" t="b">
        <f>IFERROR(VLOOKUP(A1239, Entries!A:I,8,false),"")</f>
        <v>1</v>
      </c>
    </row>
    <row r="1240">
      <c r="A1240" s="78" t="s">
        <v>1659</v>
      </c>
      <c r="B1240" s="78" t="s">
        <v>22</v>
      </c>
      <c r="C1240" s="85">
        <v>44520.0</v>
      </c>
      <c r="D1240" s="85">
        <v>44520.0</v>
      </c>
      <c r="E1240" s="86">
        <v>10.0</v>
      </c>
      <c r="F1240" s="87">
        <v>14.36</v>
      </c>
      <c r="G1240" s="88">
        <f t="shared" si="1"/>
        <v>4.36</v>
      </c>
      <c r="H1240" s="89">
        <f t="shared" si="7"/>
        <v>0.3036211699</v>
      </c>
      <c r="I1240" s="78" t="s">
        <v>1660</v>
      </c>
      <c r="J1240" s="78" t="s">
        <v>69</v>
      </c>
      <c r="K1240" s="58">
        <f t="shared" si="3"/>
        <v>0</v>
      </c>
      <c r="L1240" s="91" t="str">
        <f t="shared" si="6"/>
        <v>Sat</v>
      </c>
      <c r="M1240" s="78" t="str">
        <f>IFERROR(VLOOKUP(A1240, Entries!A:B,2,false),"")</f>
        <v>Snapshot Games</v>
      </c>
      <c r="N1240" s="23" t="str">
        <f>IFERROR(VLOOKUP(A1240, Entries!A:K,11,false),"")</f>
        <v/>
      </c>
      <c r="O1240" s="23" t="b">
        <f>IFERROR(VLOOKUP(A1240, Entries!A:I,8,false),"")</f>
        <v>0</v>
      </c>
    </row>
    <row r="1241">
      <c r="A1241" s="78" t="s">
        <v>1661</v>
      </c>
      <c r="B1241" s="78" t="s">
        <v>32</v>
      </c>
      <c r="C1241" s="85">
        <v>44520.0</v>
      </c>
      <c r="D1241" s="85">
        <v>44538.0</v>
      </c>
      <c r="E1241" s="86">
        <v>10.42</v>
      </c>
      <c r="F1241" s="87">
        <v>13.59</v>
      </c>
      <c r="G1241" s="88">
        <f t="shared" si="1"/>
        <v>3.17</v>
      </c>
      <c r="H1241" s="89">
        <f t="shared" si="7"/>
        <v>0.2332597498</v>
      </c>
      <c r="I1241" s="78" t="s">
        <v>1662</v>
      </c>
      <c r="J1241" s="78" t="s">
        <v>69</v>
      </c>
      <c r="K1241" s="58">
        <f t="shared" si="3"/>
        <v>18</v>
      </c>
      <c r="L1241" s="91" t="str">
        <f t="shared" si="6"/>
        <v>Wed</v>
      </c>
      <c r="M1241" s="78" t="str">
        <f>IFERROR(VLOOKUP(A1241, Entries!A:B,2,false),"")</f>
        <v>Team17 Digital</v>
      </c>
      <c r="N1241" s="23" t="str">
        <f>IFERROR(VLOOKUP(A1241, Entries!A:K,11,false),"")</f>
        <v/>
      </c>
      <c r="O1241" s="23" t="b">
        <f>IFERROR(VLOOKUP(A1241, Entries!A:I,8,false),"")</f>
        <v>0</v>
      </c>
    </row>
    <row r="1242">
      <c r="A1242" s="78" t="s">
        <v>1661</v>
      </c>
      <c r="B1242" s="78" t="s">
        <v>32</v>
      </c>
      <c r="C1242" s="85">
        <v>44520.0</v>
      </c>
      <c r="D1242" s="85">
        <v>44541.0</v>
      </c>
      <c r="E1242" s="86">
        <v>10.42</v>
      </c>
      <c r="F1242" s="87">
        <v>11.25</v>
      </c>
      <c r="G1242" s="88">
        <f t="shared" si="1"/>
        <v>0.83</v>
      </c>
      <c r="H1242" s="89">
        <f t="shared" si="7"/>
        <v>0.07377777778</v>
      </c>
      <c r="I1242" s="78" t="s">
        <v>1663</v>
      </c>
      <c r="J1242" s="78" t="s">
        <v>69</v>
      </c>
      <c r="K1242" s="58">
        <f t="shared" si="3"/>
        <v>21</v>
      </c>
      <c r="L1242" s="91" t="str">
        <f t="shared" si="6"/>
        <v>Sat</v>
      </c>
      <c r="M1242" s="78" t="str">
        <f>IFERROR(VLOOKUP(A1242, Entries!A:B,2,false),"")</f>
        <v>Team17 Digital</v>
      </c>
      <c r="N1242" s="23" t="str">
        <f>IFERROR(VLOOKUP(A1242, Entries!A:K,11,false),"")</f>
        <v/>
      </c>
      <c r="O1242" s="23" t="b">
        <f>IFERROR(VLOOKUP(A1242, Entries!A:I,8,false),"")</f>
        <v>0</v>
      </c>
    </row>
    <row r="1243">
      <c r="A1243" s="78" t="s">
        <v>1659</v>
      </c>
      <c r="B1243" s="78" t="s">
        <v>22</v>
      </c>
      <c r="C1243" s="85">
        <v>44520.0</v>
      </c>
      <c r="D1243" s="85">
        <v>44522.0</v>
      </c>
      <c r="E1243" s="86">
        <v>10.0</v>
      </c>
      <c r="F1243" s="87">
        <v>14.36</v>
      </c>
      <c r="G1243" s="88">
        <f t="shared" si="1"/>
        <v>4.36</v>
      </c>
      <c r="H1243" s="89">
        <f t="shared" si="7"/>
        <v>0.3036211699</v>
      </c>
      <c r="I1243" s="78" t="s">
        <v>1664</v>
      </c>
      <c r="J1243" s="78" t="s">
        <v>69</v>
      </c>
      <c r="K1243" s="58">
        <f t="shared" si="3"/>
        <v>2</v>
      </c>
      <c r="L1243" s="91" t="str">
        <f t="shared" si="6"/>
        <v>Mon</v>
      </c>
      <c r="M1243" s="78" t="str">
        <f>IFERROR(VLOOKUP(A1243, Entries!A:B,2,false),"")</f>
        <v>Snapshot Games</v>
      </c>
      <c r="N1243" s="23" t="str">
        <f>IFERROR(VLOOKUP(A1243, Entries!A:K,11,false),"")</f>
        <v/>
      </c>
      <c r="O1243" s="23" t="b">
        <f>IFERROR(VLOOKUP(A1243, Entries!A:I,8,false),"")</f>
        <v>0</v>
      </c>
    </row>
    <row r="1244">
      <c r="A1244" s="94" t="s">
        <v>1659</v>
      </c>
      <c r="B1244" s="78" t="s">
        <v>22</v>
      </c>
      <c r="C1244" s="85">
        <v>44520.0</v>
      </c>
      <c r="D1244" s="85">
        <v>45519.0</v>
      </c>
      <c r="E1244" s="86">
        <v>10.0</v>
      </c>
      <c r="F1244" s="87">
        <v>1.87</v>
      </c>
      <c r="G1244" s="88">
        <f t="shared" si="1"/>
        <v>-8.13</v>
      </c>
      <c r="H1244" s="89">
        <f t="shared" si="7"/>
        <v>-4.347593583</v>
      </c>
      <c r="I1244" s="78" t="s">
        <v>1665</v>
      </c>
      <c r="J1244" s="78" t="s">
        <v>69</v>
      </c>
      <c r="K1244" s="58">
        <f t="shared" si="3"/>
        <v>999</v>
      </c>
      <c r="L1244" s="91" t="str">
        <f t="shared" si="6"/>
        <v>Thu</v>
      </c>
      <c r="M1244" s="78" t="str">
        <f>IFERROR(VLOOKUP(A1244, Entries!A:B,2,false),"")</f>
        <v>Snapshot Games</v>
      </c>
      <c r="N1244" s="23" t="str">
        <f>IFERROR(VLOOKUP(A1244, Entries!A:K,11,false),"")</f>
        <v/>
      </c>
      <c r="O1244" s="23" t="b">
        <f>IFERROR(VLOOKUP(A1244, Entries!A:I,8,false),"")</f>
        <v>0</v>
      </c>
    </row>
    <row r="1245">
      <c r="A1245" s="94" t="s">
        <v>1642</v>
      </c>
      <c r="B1245" s="78" t="s">
        <v>22</v>
      </c>
      <c r="C1245" s="85">
        <v>44521.0</v>
      </c>
      <c r="D1245" s="85">
        <v>45548.0</v>
      </c>
      <c r="E1245" s="86">
        <v>12.5</v>
      </c>
      <c r="F1245" s="87">
        <v>4.76</v>
      </c>
      <c r="G1245" s="88">
        <f t="shared" si="1"/>
        <v>-7.74</v>
      </c>
      <c r="H1245" s="89">
        <f t="shared" si="7"/>
        <v>-1.62605042</v>
      </c>
      <c r="I1245" s="78" t="s">
        <v>1666</v>
      </c>
      <c r="J1245" s="78" t="s">
        <v>69</v>
      </c>
      <c r="K1245" s="58">
        <f t="shared" si="3"/>
        <v>1027</v>
      </c>
      <c r="L1245" s="91" t="str">
        <f t="shared" si="6"/>
        <v>Fri</v>
      </c>
      <c r="M1245" s="78" t="str">
        <f>IFERROR(VLOOKUP(A1245, Entries!A:B,2,false),"")</f>
        <v>2K</v>
      </c>
      <c r="N1245" s="23" t="str">
        <f>IFERROR(VLOOKUP(A1245, Entries!A:K,11,false),"")</f>
        <v/>
      </c>
      <c r="O1245" s="23" t="b">
        <f>IFERROR(VLOOKUP(A1245, Entries!A:I,8,false),"")</f>
        <v>0</v>
      </c>
    </row>
    <row r="1246">
      <c r="A1246" s="78" t="s">
        <v>1667</v>
      </c>
      <c r="B1246" s="78" t="s">
        <v>19</v>
      </c>
      <c r="C1246" s="85">
        <v>44522.0</v>
      </c>
      <c r="D1246" s="85">
        <v>44669.0</v>
      </c>
      <c r="E1246" s="86">
        <v>10.46</v>
      </c>
      <c r="F1246" s="87">
        <v>11.37</v>
      </c>
      <c r="G1246" s="88">
        <f t="shared" si="1"/>
        <v>0.91</v>
      </c>
      <c r="H1246" s="89">
        <f t="shared" si="7"/>
        <v>0.0800351803</v>
      </c>
      <c r="I1246" s="78" t="s">
        <v>1668</v>
      </c>
      <c r="J1246" s="78" t="s">
        <v>69</v>
      </c>
      <c r="K1246" s="58">
        <f t="shared" si="3"/>
        <v>147</v>
      </c>
      <c r="L1246" s="91" t="str">
        <f t="shared" si="6"/>
        <v>Mon</v>
      </c>
      <c r="M1246" s="78" t="str">
        <f>IFERROR(VLOOKUP(A1246, Entries!A:B,2,false),"")</f>
        <v>Focus Home Interactive</v>
      </c>
      <c r="N1246" s="23" t="str">
        <f>IFERROR(VLOOKUP(A1246, Entries!A:K,11,false),"")</f>
        <v/>
      </c>
      <c r="O1246" s="23" t="b">
        <f>IFERROR(VLOOKUP(A1246, Entries!A:I,8,false),"")</f>
        <v>0</v>
      </c>
    </row>
    <row r="1247">
      <c r="A1247" s="78" t="s">
        <v>1669</v>
      </c>
      <c r="B1247" s="78" t="s">
        <v>23</v>
      </c>
      <c r="C1247" s="85">
        <v>44522.0</v>
      </c>
      <c r="D1247" s="85">
        <v>44582.0</v>
      </c>
      <c r="E1247" s="86">
        <v>12.96</v>
      </c>
      <c r="F1247" s="87">
        <v>13.94</v>
      </c>
      <c r="G1247" s="88">
        <f t="shared" si="1"/>
        <v>0.98</v>
      </c>
      <c r="H1247" s="89">
        <f t="shared" si="7"/>
        <v>0.07030129125</v>
      </c>
      <c r="I1247" s="78" t="s">
        <v>1670</v>
      </c>
      <c r="J1247" s="78" t="s">
        <v>69</v>
      </c>
      <c r="K1247" s="58">
        <f t="shared" si="3"/>
        <v>60</v>
      </c>
      <c r="L1247" s="91" t="str">
        <f t="shared" si="6"/>
        <v>Fri</v>
      </c>
      <c r="M1247" s="78" t="str">
        <f>IFERROR(VLOOKUP(A1247, Entries!A:B,2,false),"")</f>
        <v>2K</v>
      </c>
      <c r="N1247" s="23" t="str">
        <f>IFERROR(VLOOKUP(A1247, Entries!A:K,11,false),"")</f>
        <v/>
      </c>
      <c r="O1247" s="23" t="b">
        <f>IFERROR(VLOOKUP(A1247, Entries!A:I,8,false),"")</f>
        <v>0</v>
      </c>
    </row>
    <row r="1248">
      <c r="A1248" s="78" t="s">
        <v>1034</v>
      </c>
      <c r="B1248" s="78" t="s">
        <v>23</v>
      </c>
      <c r="C1248" s="85">
        <v>44522.0</v>
      </c>
      <c r="D1248" s="85">
        <v>44542.0</v>
      </c>
      <c r="E1248" s="86">
        <v>6.02</v>
      </c>
      <c r="F1248" s="87">
        <v>6.91</v>
      </c>
      <c r="G1248" s="88">
        <f t="shared" si="1"/>
        <v>0.89</v>
      </c>
      <c r="H1248" s="89">
        <f t="shared" si="7"/>
        <v>0.1287988423</v>
      </c>
      <c r="I1248" s="78" t="s">
        <v>1671</v>
      </c>
      <c r="J1248" s="78" t="s">
        <v>69</v>
      </c>
      <c r="K1248" s="58">
        <f t="shared" si="3"/>
        <v>20</v>
      </c>
      <c r="L1248" s="91" t="str">
        <f t="shared" si="6"/>
        <v>Sun</v>
      </c>
      <c r="M1248" s="78" t="str">
        <f>IFERROR(VLOOKUP(A1248, Entries!A:B,2,false),"")</f>
        <v>Eugen Systems</v>
      </c>
      <c r="N1248" s="23" t="str">
        <f>IFERROR(VLOOKUP(A1248, Entries!A:K,11,false),"")</f>
        <v/>
      </c>
      <c r="O1248" s="23" t="b">
        <f>IFERROR(VLOOKUP(A1248, Entries!A:I,8,false),"")</f>
        <v>1</v>
      </c>
    </row>
    <row r="1249">
      <c r="A1249" s="78" t="s">
        <v>517</v>
      </c>
      <c r="B1249" s="78" t="s">
        <v>23</v>
      </c>
      <c r="C1249" s="85">
        <v>44522.0</v>
      </c>
      <c r="D1249" s="85">
        <v>44567.0</v>
      </c>
      <c r="E1249" s="86">
        <v>6.67</v>
      </c>
      <c r="F1249" s="87">
        <v>7.17</v>
      </c>
      <c r="G1249" s="88">
        <f t="shared" si="1"/>
        <v>0.5</v>
      </c>
      <c r="H1249" s="89">
        <f t="shared" si="7"/>
        <v>0.06973500697</v>
      </c>
      <c r="I1249" s="78" t="s">
        <v>1672</v>
      </c>
      <c r="J1249" s="78" t="s">
        <v>69</v>
      </c>
      <c r="K1249" s="58">
        <f t="shared" si="3"/>
        <v>45</v>
      </c>
      <c r="L1249" s="91" t="str">
        <f t="shared" si="6"/>
        <v>Thu</v>
      </c>
      <c r="M1249" s="78" t="str">
        <f>IFERROR(VLOOKUP(A1249, Entries!A:B,2,false),"")</f>
        <v>Devolver Digital</v>
      </c>
      <c r="N1249" s="23" t="str">
        <f>IFERROR(VLOOKUP(A1249, Entries!A:K,11,false),"")</f>
        <v/>
      </c>
      <c r="O1249" s="23" t="b">
        <f>IFERROR(VLOOKUP(A1249, Entries!A:I,8,false),"")</f>
        <v>0</v>
      </c>
    </row>
    <row r="1250">
      <c r="A1250" s="78" t="s">
        <v>84</v>
      </c>
      <c r="B1250" s="78" t="s">
        <v>19</v>
      </c>
      <c r="C1250" s="85">
        <v>44522.0</v>
      </c>
      <c r="D1250" s="85">
        <v>44573.0</v>
      </c>
      <c r="E1250" s="86">
        <v>18.47</v>
      </c>
      <c r="F1250" s="87">
        <v>19.5</v>
      </c>
      <c r="G1250" s="88">
        <f t="shared" si="1"/>
        <v>1.03</v>
      </c>
      <c r="H1250" s="89">
        <f t="shared" si="7"/>
        <v>0.05282051282</v>
      </c>
      <c r="I1250" s="78" t="s">
        <v>1673</v>
      </c>
      <c r="J1250" s="78" t="s">
        <v>69</v>
      </c>
      <c r="K1250" s="58">
        <f t="shared" si="3"/>
        <v>51</v>
      </c>
      <c r="L1250" s="91" t="str">
        <f t="shared" si="6"/>
        <v>Wed</v>
      </c>
      <c r="M1250" s="78" t="str">
        <f>IFERROR(VLOOKUP(A1250, Entries!A:B,2,false),"")</f>
        <v>Siege Camp</v>
      </c>
      <c r="N1250" s="23" t="str">
        <f>IFERROR(VLOOKUP(A1250, Entries!A:K,11,false),"")</f>
        <v/>
      </c>
      <c r="O1250" s="23" t="b">
        <f>IFERROR(VLOOKUP(A1250, Entries!A:I,8,false),"")</f>
        <v>1</v>
      </c>
    </row>
    <row r="1251">
      <c r="A1251" s="94" t="s">
        <v>1659</v>
      </c>
      <c r="B1251" s="78" t="s">
        <v>22</v>
      </c>
      <c r="C1251" s="85">
        <v>44522.0</v>
      </c>
      <c r="D1251" s="85">
        <v>45519.0</v>
      </c>
      <c r="E1251" s="86">
        <v>10.0</v>
      </c>
      <c r="F1251" s="87">
        <v>1.87</v>
      </c>
      <c r="G1251" s="88">
        <f t="shared" si="1"/>
        <v>-8.13</v>
      </c>
      <c r="H1251" s="89">
        <f t="shared" si="7"/>
        <v>-4.347593583</v>
      </c>
      <c r="I1251" s="78" t="s">
        <v>1674</v>
      </c>
      <c r="J1251" s="78" t="s">
        <v>69</v>
      </c>
      <c r="K1251" s="58">
        <f t="shared" si="3"/>
        <v>997</v>
      </c>
      <c r="L1251" s="91" t="str">
        <f t="shared" si="6"/>
        <v>Thu</v>
      </c>
      <c r="M1251" s="78" t="str">
        <f>IFERROR(VLOOKUP(A1251, Entries!A:B,2,false),"")</f>
        <v>Snapshot Games</v>
      </c>
      <c r="N1251" s="23" t="str">
        <f>IFERROR(VLOOKUP(A1251, Entries!A:K,11,false),"")</f>
        <v/>
      </c>
      <c r="O1251" s="23" t="b">
        <f>IFERROR(VLOOKUP(A1251, Entries!A:I,8,false),"")</f>
        <v>0</v>
      </c>
    </row>
    <row r="1252">
      <c r="A1252" s="94" t="s">
        <v>1659</v>
      </c>
      <c r="B1252" s="78" t="s">
        <v>22</v>
      </c>
      <c r="C1252" s="85">
        <v>44522.0</v>
      </c>
      <c r="D1252" s="85">
        <v>45519.0</v>
      </c>
      <c r="E1252" s="86">
        <v>10.0</v>
      </c>
      <c r="F1252" s="87">
        <v>1.87</v>
      </c>
      <c r="G1252" s="88">
        <f t="shared" si="1"/>
        <v>-8.13</v>
      </c>
      <c r="H1252" s="89">
        <f t="shared" si="7"/>
        <v>-4.347593583</v>
      </c>
      <c r="I1252" s="78" t="s">
        <v>1675</v>
      </c>
      <c r="J1252" s="78" t="s">
        <v>69</v>
      </c>
      <c r="K1252" s="58">
        <f t="shared" si="3"/>
        <v>997</v>
      </c>
      <c r="L1252" s="91" t="str">
        <f t="shared" si="6"/>
        <v>Thu</v>
      </c>
      <c r="M1252" s="78" t="str">
        <f>IFERROR(VLOOKUP(A1252, Entries!A:B,2,false),"")</f>
        <v>Snapshot Games</v>
      </c>
      <c r="N1252" s="23" t="str">
        <f>IFERROR(VLOOKUP(A1252, Entries!A:K,11,false),"")</f>
        <v/>
      </c>
      <c r="O1252" s="23" t="b">
        <f>IFERROR(VLOOKUP(A1252, Entries!A:I,8,false),"")</f>
        <v>0</v>
      </c>
    </row>
    <row r="1253">
      <c r="A1253" s="78" t="s">
        <v>1676</v>
      </c>
      <c r="B1253" s="78" t="s">
        <v>19</v>
      </c>
      <c r="C1253" s="85">
        <v>44523.0</v>
      </c>
      <c r="D1253" s="85">
        <v>44523.0</v>
      </c>
      <c r="E1253" s="86">
        <v>11.36</v>
      </c>
      <c r="F1253" s="87">
        <v>15.49</v>
      </c>
      <c r="G1253" s="88">
        <f t="shared" si="1"/>
        <v>4.13</v>
      </c>
      <c r="H1253" s="89">
        <f t="shared" si="7"/>
        <v>0.2666236281</v>
      </c>
      <c r="I1253" s="78" t="s">
        <v>1677</v>
      </c>
      <c r="J1253" s="78" t="s">
        <v>69</v>
      </c>
      <c r="K1253" s="58">
        <f t="shared" si="3"/>
        <v>0</v>
      </c>
      <c r="L1253" s="91" t="str">
        <f t="shared" si="6"/>
        <v>Tue</v>
      </c>
      <c r="M1253" s="78" t="str">
        <f>IFERROR(VLOOKUP(A1253, Entries!A:B,2,false),"")</f>
        <v>Focus Home Interactive</v>
      </c>
      <c r="N1253" s="23" t="str">
        <f>IFERROR(VLOOKUP(A1253, Entries!A:K,11,false),"")</f>
        <v/>
      </c>
      <c r="O1253" s="23" t="b">
        <f>IFERROR(VLOOKUP(A1253, Entries!A:I,8,false),"")</f>
        <v>0</v>
      </c>
    </row>
    <row r="1254">
      <c r="A1254" s="78" t="s">
        <v>1678</v>
      </c>
      <c r="B1254" s="78" t="s">
        <v>19</v>
      </c>
      <c r="C1254" s="85">
        <v>44523.0</v>
      </c>
      <c r="D1254" s="85">
        <v>44524.0</v>
      </c>
      <c r="E1254" s="86">
        <v>0.0</v>
      </c>
      <c r="F1254" s="87">
        <v>0.89</v>
      </c>
      <c r="G1254" s="88">
        <f t="shared" si="1"/>
        <v>0.89</v>
      </c>
      <c r="H1254" s="89">
        <f t="shared" si="7"/>
        <v>1</v>
      </c>
      <c r="I1254" s="78" t="s">
        <v>1679</v>
      </c>
      <c r="J1254" s="78" t="s">
        <v>69</v>
      </c>
      <c r="K1254" s="58">
        <f t="shared" si="3"/>
        <v>1</v>
      </c>
      <c r="L1254" s="91" t="str">
        <f t="shared" si="6"/>
        <v>Wed</v>
      </c>
      <c r="M1254" s="78" t="str">
        <f>IFERROR(VLOOKUP(A1254, Entries!A:B,2,false),"")</f>
        <v>Square Enix</v>
      </c>
      <c r="N1254" s="23" t="str">
        <f>IFERROR(VLOOKUP(A1254, Entries!A:K,11,false),"")</f>
        <v/>
      </c>
      <c r="O1254" s="23" t="b">
        <f>IFERROR(VLOOKUP(A1254, Entries!A:I,8,false),"")</f>
        <v>0</v>
      </c>
    </row>
    <row r="1255">
      <c r="A1255" s="78" t="s">
        <v>1676</v>
      </c>
      <c r="B1255" s="78" t="s">
        <v>19</v>
      </c>
      <c r="C1255" s="85">
        <v>44523.0</v>
      </c>
      <c r="D1255" s="85">
        <v>44618.0</v>
      </c>
      <c r="E1255" s="86">
        <v>11.36</v>
      </c>
      <c r="F1255" s="87">
        <v>11.85</v>
      </c>
      <c r="G1255" s="88">
        <f t="shared" si="1"/>
        <v>0.49</v>
      </c>
      <c r="H1255" s="89">
        <f t="shared" si="7"/>
        <v>0.04135021097</v>
      </c>
      <c r="I1255" s="78" t="s">
        <v>1680</v>
      </c>
      <c r="J1255" s="78" t="s">
        <v>69</v>
      </c>
      <c r="K1255" s="58">
        <f t="shared" si="3"/>
        <v>95</v>
      </c>
      <c r="L1255" s="91" t="str">
        <f t="shared" si="6"/>
        <v>Sat</v>
      </c>
      <c r="M1255" s="78" t="str">
        <f>IFERROR(VLOOKUP(A1255, Entries!A:B,2,false),"")</f>
        <v>Focus Home Interactive</v>
      </c>
      <c r="N1255" s="23" t="str">
        <f>IFERROR(VLOOKUP(A1255, Entries!A:K,11,false),"")</f>
        <v/>
      </c>
      <c r="O1255" s="23" t="b">
        <f>IFERROR(VLOOKUP(A1255, Entries!A:I,8,false),"")</f>
        <v>0</v>
      </c>
    </row>
    <row r="1256">
      <c r="A1256" s="78" t="s">
        <v>1681</v>
      </c>
      <c r="B1256" s="78" t="s">
        <v>19</v>
      </c>
      <c r="C1256" s="85">
        <v>44523.0</v>
      </c>
      <c r="D1256" s="85">
        <v>44527.0</v>
      </c>
      <c r="E1256" s="86">
        <v>0.0</v>
      </c>
      <c r="F1256" s="87">
        <v>0.24</v>
      </c>
      <c r="G1256" s="88">
        <f t="shared" si="1"/>
        <v>0.24</v>
      </c>
      <c r="H1256" s="89">
        <f t="shared" si="7"/>
        <v>1</v>
      </c>
      <c r="I1256" s="78" t="s">
        <v>1682</v>
      </c>
      <c r="J1256" s="78" t="s">
        <v>69</v>
      </c>
      <c r="K1256" s="58">
        <f t="shared" si="3"/>
        <v>4</v>
      </c>
      <c r="L1256" s="91" t="str">
        <f t="shared" si="6"/>
        <v>Sat</v>
      </c>
      <c r="M1256" s="78" t="str">
        <f>IFERROR(VLOOKUP(A1256, Entries!A:B,2,false),"")</f>
        <v>Curve Digital</v>
      </c>
      <c r="N1256" s="23" t="str">
        <f>IFERROR(VLOOKUP(A1256, Entries!A:K,11,false),"")</f>
        <v/>
      </c>
      <c r="O1256" s="23" t="b">
        <f>IFERROR(VLOOKUP(A1256, Entries!A:I,8,false),"")</f>
        <v>0</v>
      </c>
    </row>
    <row r="1257">
      <c r="A1257" s="78" t="s">
        <v>1683</v>
      </c>
      <c r="B1257" s="78" t="s">
        <v>22</v>
      </c>
      <c r="C1257" s="85">
        <v>44523.0</v>
      </c>
      <c r="D1257" s="85">
        <v>45198.0</v>
      </c>
      <c r="E1257" s="86">
        <v>9.5</v>
      </c>
      <c r="F1257" s="87">
        <v>2.73</v>
      </c>
      <c r="G1257" s="88">
        <f t="shared" si="1"/>
        <v>-6.77</v>
      </c>
      <c r="H1257" s="89">
        <f t="shared" si="7"/>
        <v>-2.47985348</v>
      </c>
      <c r="I1257" s="78" t="s">
        <v>1684</v>
      </c>
      <c r="J1257" s="78" t="s">
        <v>69</v>
      </c>
      <c r="K1257" s="58">
        <f t="shared" si="3"/>
        <v>675</v>
      </c>
      <c r="L1257" s="91" t="str">
        <f t="shared" si="6"/>
        <v>Fri</v>
      </c>
      <c r="M1257" s="78" t="str">
        <f>IFERROR(VLOOKUP(A1257, Entries!A:B,2,false),"")</f>
        <v>Square Enix</v>
      </c>
      <c r="N1257" s="23" t="str">
        <f>IFERROR(VLOOKUP(A1257, Entries!A:K,11,false),"")</f>
        <v/>
      </c>
      <c r="O1257" s="23" t="b">
        <f>IFERROR(VLOOKUP(A1257, Entries!A:I,8,false),"")</f>
        <v>0</v>
      </c>
    </row>
    <row r="1258">
      <c r="A1258" s="78" t="s">
        <v>1577</v>
      </c>
      <c r="B1258" s="78" t="s">
        <v>19</v>
      </c>
      <c r="C1258" s="85">
        <v>44523.0</v>
      </c>
      <c r="D1258" s="85">
        <v>44554.0</v>
      </c>
      <c r="E1258" s="86">
        <v>11.98</v>
      </c>
      <c r="F1258" s="87">
        <v>14.36</v>
      </c>
      <c r="G1258" s="88">
        <f t="shared" si="1"/>
        <v>2.38</v>
      </c>
      <c r="H1258" s="89">
        <f t="shared" si="7"/>
        <v>0.1657381616</v>
      </c>
      <c r="I1258" s="78" t="s">
        <v>1685</v>
      </c>
      <c r="J1258" s="78" t="s">
        <v>69</v>
      </c>
      <c r="K1258" s="58">
        <f t="shared" si="3"/>
        <v>31</v>
      </c>
      <c r="L1258" s="91" t="str">
        <f t="shared" si="6"/>
        <v>Fri</v>
      </c>
      <c r="M1258" s="78" t="str">
        <f>IFERROR(VLOOKUP(A1258, Entries!A:B,2,false),"")</f>
        <v>Focus Home Interactive</v>
      </c>
      <c r="N1258" s="23" t="str">
        <f>IFERROR(VLOOKUP(A1258, Entries!A:K,11,false),"")</f>
        <v/>
      </c>
      <c r="O1258" s="23" t="b">
        <f>IFERROR(VLOOKUP(A1258, Entries!A:I,8,false),"")</f>
        <v>0</v>
      </c>
    </row>
    <row r="1259">
      <c r="A1259" s="78" t="s">
        <v>584</v>
      </c>
      <c r="B1259" s="78" t="s">
        <v>19</v>
      </c>
      <c r="C1259" s="85">
        <v>44523.0</v>
      </c>
      <c r="D1259" s="85">
        <v>44724.0</v>
      </c>
      <c r="E1259" s="86">
        <v>0.0</v>
      </c>
      <c r="F1259" s="87">
        <v>0.14</v>
      </c>
      <c r="G1259" s="88">
        <f t="shared" si="1"/>
        <v>0.14</v>
      </c>
      <c r="H1259" s="89">
        <f t="shared" si="7"/>
        <v>1</v>
      </c>
      <c r="I1259" s="78" t="s">
        <v>1686</v>
      </c>
      <c r="J1259" s="78" t="s">
        <v>69</v>
      </c>
      <c r="K1259" s="58">
        <f t="shared" si="3"/>
        <v>201</v>
      </c>
      <c r="L1259" s="91" t="str">
        <f t="shared" si="6"/>
        <v>Sun</v>
      </c>
      <c r="M1259" s="78" t="str">
        <f>IFERROR(VLOOKUP(A1259, Entries!A:B,2,false),"")</f>
        <v>Runic Games</v>
      </c>
      <c r="N1259" s="23" t="str">
        <f>IFERROR(VLOOKUP(A1259, Entries!A:K,11,false),"")</f>
        <v/>
      </c>
      <c r="O1259" s="23" t="b">
        <f>IFERROR(VLOOKUP(A1259, Entries!A:I,8,false),"")</f>
        <v>0</v>
      </c>
    </row>
    <row r="1260">
      <c r="A1260" s="78" t="s">
        <v>974</v>
      </c>
      <c r="B1260" s="78" t="s">
        <v>22</v>
      </c>
      <c r="C1260" s="85">
        <v>44523.0</v>
      </c>
      <c r="D1260" s="85">
        <v>44526.0</v>
      </c>
      <c r="E1260" s="86">
        <v>8.24</v>
      </c>
      <c r="F1260" s="87">
        <v>9.49</v>
      </c>
      <c r="G1260" s="88">
        <f t="shared" si="1"/>
        <v>1.25</v>
      </c>
      <c r="H1260" s="89">
        <f t="shared" si="7"/>
        <v>0.1317175975</v>
      </c>
      <c r="I1260" s="78" t="s">
        <v>1687</v>
      </c>
      <c r="J1260" s="78" t="s">
        <v>69</v>
      </c>
      <c r="K1260" s="58">
        <f t="shared" si="3"/>
        <v>3</v>
      </c>
      <c r="L1260" s="91" t="str">
        <f t="shared" si="6"/>
        <v>Fri</v>
      </c>
      <c r="M1260" s="78" t="str">
        <f>IFERROR(VLOOKUP(A1260, Entries!A:B,2,false),"")</f>
        <v>Anvil Game Studios</v>
      </c>
      <c r="N1260" s="23" t="str">
        <f>IFERROR(VLOOKUP(A1260, Entries!A:K,11,false),"")</f>
        <v/>
      </c>
      <c r="O1260" s="23" t="b">
        <f>IFERROR(VLOOKUP(A1260, Entries!A:I,8,false),"")</f>
        <v>1</v>
      </c>
    </row>
    <row r="1261">
      <c r="A1261" s="78" t="s">
        <v>1281</v>
      </c>
      <c r="B1261" s="78" t="s">
        <v>19</v>
      </c>
      <c r="C1261" s="85">
        <v>44524.0</v>
      </c>
      <c r="D1261" s="85">
        <v>44571.0</v>
      </c>
      <c r="E1261" s="86">
        <v>4.22</v>
      </c>
      <c r="F1261" s="87">
        <v>5.9</v>
      </c>
      <c r="G1261" s="88">
        <f t="shared" si="1"/>
        <v>1.68</v>
      </c>
      <c r="H1261" s="89">
        <f t="shared" si="7"/>
        <v>0.2847457627</v>
      </c>
      <c r="I1261" s="78" t="s">
        <v>1688</v>
      </c>
      <c r="J1261" s="78" t="s">
        <v>69</v>
      </c>
      <c r="K1261" s="58">
        <f t="shared" si="3"/>
        <v>47</v>
      </c>
      <c r="L1261" s="91" t="str">
        <f t="shared" si="6"/>
        <v>Mon</v>
      </c>
      <c r="M1261" s="78" t="str">
        <f>IFERROR(VLOOKUP(A1261, Entries!A:B,2,false),"")</f>
        <v>Konami</v>
      </c>
      <c r="N1261" s="23" t="str">
        <f>IFERROR(VLOOKUP(A1261, Entries!A:K,11,false),"")</f>
        <v/>
      </c>
      <c r="O1261" s="23" t="b">
        <f>IFERROR(VLOOKUP(A1261, Entries!A:I,8,false),"")</f>
        <v>0</v>
      </c>
    </row>
    <row r="1262">
      <c r="A1262" s="78" t="s">
        <v>1281</v>
      </c>
      <c r="B1262" s="78" t="s">
        <v>19</v>
      </c>
      <c r="C1262" s="85">
        <v>44524.0</v>
      </c>
      <c r="D1262" s="85">
        <v>44573.0</v>
      </c>
      <c r="E1262" s="86">
        <v>4.22</v>
      </c>
      <c r="F1262" s="87">
        <v>6.04</v>
      </c>
      <c r="G1262" s="88">
        <f t="shared" si="1"/>
        <v>1.82</v>
      </c>
      <c r="H1262" s="89">
        <f t="shared" si="7"/>
        <v>0.3013245033</v>
      </c>
      <c r="I1262" s="78" t="s">
        <v>1689</v>
      </c>
      <c r="J1262" s="78" t="s">
        <v>69</v>
      </c>
      <c r="K1262" s="58">
        <f t="shared" si="3"/>
        <v>49</v>
      </c>
      <c r="L1262" s="91" t="str">
        <f t="shared" si="6"/>
        <v>Wed</v>
      </c>
      <c r="M1262" s="78" t="str">
        <f>IFERROR(VLOOKUP(A1262, Entries!A:B,2,false),"")</f>
        <v>Konami</v>
      </c>
      <c r="N1262" s="23" t="str">
        <f>IFERROR(VLOOKUP(A1262, Entries!A:K,11,false),"")</f>
        <v/>
      </c>
      <c r="O1262" s="23" t="b">
        <f>IFERROR(VLOOKUP(A1262, Entries!A:I,8,false),"")</f>
        <v>0</v>
      </c>
    </row>
    <row r="1263">
      <c r="A1263" s="78" t="s">
        <v>1281</v>
      </c>
      <c r="B1263" s="78" t="s">
        <v>19</v>
      </c>
      <c r="C1263" s="85">
        <v>44525.0</v>
      </c>
      <c r="D1263" s="85">
        <v>44573.0</v>
      </c>
      <c r="E1263" s="86">
        <v>4.24</v>
      </c>
      <c r="F1263" s="87">
        <v>6.04</v>
      </c>
      <c r="G1263" s="88">
        <f t="shared" si="1"/>
        <v>1.8</v>
      </c>
      <c r="H1263" s="89">
        <f t="shared" si="7"/>
        <v>0.298013245</v>
      </c>
      <c r="I1263" s="78" t="s">
        <v>1690</v>
      </c>
      <c r="J1263" s="78" t="s">
        <v>69</v>
      </c>
      <c r="K1263" s="58">
        <f t="shared" si="3"/>
        <v>48</v>
      </c>
      <c r="L1263" s="91" t="str">
        <f t="shared" si="6"/>
        <v>Wed</v>
      </c>
      <c r="M1263" s="78" t="str">
        <f>IFERROR(VLOOKUP(A1263, Entries!A:B,2,false),"")</f>
        <v>Konami</v>
      </c>
      <c r="N1263" s="23" t="str">
        <f>IFERROR(VLOOKUP(A1263, Entries!A:K,11,false),"")</f>
        <v/>
      </c>
      <c r="O1263" s="23" t="b">
        <f>IFERROR(VLOOKUP(A1263, Entries!A:I,8,false),"")</f>
        <v>0</v>
      </c>
    </row>
    <row r="1264">
      <c r="A1264" s="78" t="s">
        <v>1691</v>
      </c>
      <c r="B1264" s="78" t="s">
        <v>19</v>
      </c>
      <c r="C1264" s="85">
        <v>44525.0</v>
      </c>
      <c r="D1264" s="85">
        <v>45024.0</v>
      </c>
      <c r="E1264" s="86">
        <v>5.83</v>
      </c>
      <c r="F1264" s="87">
        <v>6.06</v>
      </c>
      <c r="G1264" s="88">
        <f t="shared" si="1"/>
        <v>0.23</v>
      </c>
      <c r="H1264" s="89">
        <f t="shared" si="7"/>
        <v>0.03795379538</v>
      </c>
      <c r="I1264" s="78" t="s">
        <v>1692</v>
      </c>
      <c r="J1264" s="78" t="s">
        <v>69</v>
      </c>
      <c r="K1264" s="58">
        <f t="shared" si="3"/>
        <v>499</v>
      </c>
      <c r="L1264" s="91" t="str">
        <f t="shared" si="6"/>
        <v>Sat</v>
      </c>
      <c r="M1264" s="78" t="str">
        <f>IFERROR(VLOOKUP(A1264, Entries!A:B,2,false),"")</f>
        <v>Bethesda Softworks</v>
      </c>
      <c r="N1264" s="23" t="str">
        <f>IFERROR(VLOOKUP(A1264, Entries!A:K,11,false),"")</f>
        <v/>
      </c>
      <c r="O1264" s="23" t="b">
        <f>IFERROR(VLOOKUP(A1264, Entries!A:I,8,false),"")</f>
        <v>0</v>
      </c>
    </row>
    <row r="1265">
      <c r="A1265" s="78" t="s">
        <v>1693</v>
      </c>
      <c r="B1265" s="78" t="s">
        <v>19</v>
      </c>
      <c r="C1265" s="85">
        <v>44525.0</v>
      </c>
      <c r="D1265" s="85">
        <v>44828.0</v>
      </c>
      <c r="E1265" s="86">
        <v>0.0</v>
      </c>
      <c r="F1265" s="87">
        <v>0.03</v>
      </c>
      <c r="G1265" s="88">
        <f t="shared" si="1"/>
        <v>0.03</v>
      </c>
      <c r="H1265" s="89">
        <f t="shared" si="7"/>
        <v>1</v>
      </c>
      <c r="I1265" s="78" t="s">
        <v>1694</v>
      </c>
      <c r="J1265" s="78" t="s">
        <v>69</v>
      </c>
      <c r="K1265" s="58">
        <f t="shared" si="3"/>
        <v>303</v>
      </c>
      <c r="L1265" s="91" t="str">
        <f t="shared" si="6"/>
        <v>Sat</v>
      </c>
      <c r="M1265" s="78" t="str">
        <f>IFERROR(VLOOKUP(A1265, Entries!A:B,2,false),"")</f>
        <v>1C Entertainment</v>
      </c>
      <c r="N1265" s="23" t="str">
        <f>IFERROR(VLOOKUP(A1265, Entries!A:K,11,false),"")</f>
        <v/>
      </c>
      <c r="O1265" s="23" t="b">
        <f>IFERROR(VLOOKUP(A1265, Entries!A:I,8,false),"")</f>
        <v>0</v>
      </c>
    </row>
    <row r="1266">
      <c r="A1266" s="78" t="s">
        <v>1601</v>
      </c>
      <c r="B1266" s="78" t="s">
        <v>23</v>
      </c>
      <c r="C1266" s="85">
        <v>44526.0</v>
      </c>
      <c r="D1266" s="85">
        <v>44527.0</v>
      </c>
      <c r="E1266" s="86">
        <v>26.97</v>
      </c>
      <c r="F1266" s="87">
        <v>31.36</v>
      </c>
      <c r="G1266" s="88">
        <f t="shared" si="1"/>
        <v>4.39</v>
      </c>
      <c r="H1266" s="89">
        <f t="shared" si="7"/>
        <v>0.1399872449</v>
      </c>
      <c r="I1266" s="78" t="s">
        <v>1695</v>
      </c>
      <c r="J1266" s="78" t="s">
        <v>69</v>
      </c>
      <c r="K1266" s="58">
        <f t="shared" si="3"/>
        <v>1</v>
      </c>
      <c r="L1266" s="91" t="str">
        <f t="shared" si="6"/>
        <v>Sat</v>
      </c>
      <c r="M1266" s="78" t="str">
        <f>IFERROR(VLOOKUP(A1266, Entries!A:B,2,false),"")</f>
        <v>Codemasters</v>
      </c>
      <c r="N1266" s="23" t="str">
        <f>IFERROR(VLOOKUP(A1266, Entries!A:K,11,false),"")</f>
        <v/>
      </c>
      <c r="O1266" s="23" t="b">
        <f>IFERROR(VLOOKUP(A1266, Entries!A:I,8,false),"")</f>
        <v>0</v>
      </c>
    </row>
    <row r="1267">
      <c r="A1267" s="78" t="s">
        <v>1696</v>
      </c>
      <c r="B1267" s="78" t="s">
        <v>23</v>
      </c>
      <c r="C1267" s="85">
        <v>44526.0</v>
      </c>
      <c r="D1267" s="85">
        <v>44533.0</v>
      </c>
      <c r="E1267" s="86">
        <v>33.48</v>
      </c>
      <c r="F1267" s="87">
        <v>38.55</v>
      </c>
      <c r="G1267" s="88">
        <f t="shared" si="1"/>
        <v>5.07</v>
      </c>
      <c r="H1267" s="89">
        <f t="shared" si="7"/>
        <v>0.1315175097</v>
      </c>
      <c r="I1267" s="78" t="s">
        <v>1697</v>
      </c>
      <c r="J1267" s="78" t="s">
        <v>69</v>
      </c>
      <c r="K1267" s="58">
        <f t="shared" si="3"/>
        <v>7</v>
      </c>
      <c r="L1267" s="91" t="str">
        <f t="shared" si="6"/>
        <v>Fri</v>
      </c>
      <c r="M1267" s="78" t="str">
        <f>IFERROR(VLOOKUP(A1267, Entries!A:B,2,false),"")</f>
        <v>Codemasters</v>
      </c>
      <c r="N1267" s="23" t="str">
        <f>IFERROR(VLOOKUP(A1267, Entries!A:K,11,false),"")</f>
        <v/>
      </c>
      <c r="O1267" s="23" t="b">
        <f>IFERROR(VLOOKUP(A1267, Entries!A:I,8,false),"")</f>
        <v>0</v>
      </c>
    </row>
    <row r="1268">
      <c r="A1268" s="78" t="s">
        <v>1698</v>
      </c>
      <c r="B1268" s="78" t="s">
        <v>22</v>
      </c>
      <c r="C1268" s="85">
        <v>44527.0</v>
      </c>
      <c r="D1268" s="85">
        <v>44527.0</v>
      </c>
      <c r="E1268" s="86">
        <v>6.32</v>
      </c>
      <c r="F1268" s="87">
        <v>8.63</v>
      </c>
      <c r="G1268" s="88">
        <f t="shared" si="1"/>
        <v>2.31</v>
      </c>
      <c r="H1268" s="89">
        <f t="shared" si="7"/>
        <v>0.2676709154</v>
      </c>
      <c r="I1268" s="78" t="s">
        <v>1699</v>
      </c>
      <c r="J1268" s="78" t="s">
        <v>69</v>
      </c>
      <c r="K1268" s="58">
        <f t="shared" si="3"/>
        <v>0</v>
      </c>
      <c r="L1268" s="91" t="str">
        <f t="shared" si="6"/>
        <v>Sat</v>
      </c>
      <c r="M1268" s="78" t="str">
        <f>IFERROR(VLOOKUP(A1268, Entries!A:B,2,false),"")</f>
        <v>Xbox Game Studios</v>
      </c>
      <c r="N1268" s="23" t="str">
        <f>IFERROR(VLOOKUP(A1268, Entries!A:K,11,false),"")</f>
        <v/>
      </c>
      <c r="O1268" s="23" t="b">
        <f>IFERROR(VLOOKUP(A1268, Entries!A:I,8,false),"")</f>
        <v>0</v>
      </c>
    </row>
    <row r="1269">
      <c r="A1269" s="78" t="s">
        <v>1700</v>
      </c>
      <c r="B1269" s="78" t="s">
        <v>27</v>
      </c>
      <c r="C1269" s="85">
        <v>44527.0</v>
      </c>
      <c r="D1269" s="85">
        <v>44527.0</v>
      </c>
      <c r="E1269" s="86">
        <v>2.69</v>
      </c>
      <c r="F1269" s="87">
        <v>6.57</v>
      </c>
      <c r="G1269" s="88">
        <f t="shared" si="1"/>
        <v>3.88</v>
      </c>
      <c r="H1269" s="89">
        <f t="shared" si="7"/>
        <v>0.5905631659</v>
      </c>
      <c r="I1269" s="78" t="s">
        <v>1701</v>
      </c>
      <c r="J1269" s="78" t="s">
        <v>69</v>
      </c>
      <c r="K1269" s="58">
        <f t="shared" si="3"/>
        <v>0</v>
      </c>
      <c r="L1269" s="91" t="str">
        <f t="shared" si="6"/>
        <v>Sat</v>
      </c>
      <c r="M1269" s="78" t="str">
        <f>IFERROR(VLOOKUP(A1269, Entries!A:B,2,false),"")</f>
        <v>Warner Bros</v>
      </c>
      <c r="N1269" s="23" t="str">
        <f>IFERROR(VLOOKUP(A1269, Entries!A:K,11,false),"")</f>
        <v/>
      </c>
      <c r="O1269" s="23" t="b">
        <f>IFERROR(VLOOKUP(A1269, Entries!A:I,8,false),"")</f>
        <v>1</v>
      </c>
    </row>
    <row r="1270">
      <c r="A1270" s="78" t="s">
        <v>1702</v>
      </c>
      <c r="B1270" s="78" t="s">
        <v>22</v>
      </c>
      <c r="C1270" s="85">
        <v>44527.0</v>
      </c>
      <c r="D1270" s="85">
        <v>44550.0</v>
      </c>
      <c r="E1270" s="86">
        <v>11.16</v>
      </c>
      <c r="F1270" s="87">
        <v>12.3</v>
      </c>
      <c r="G1270" s="88">
        <f t="shared" si="1"/>
        <v>1.14</v>
      </c>
      <c r="H1270" s="89">
        <f t="shared" si="7"/>
        <v>0.09268292683</v>
      </c>
      <c r="I1270" s="78" t="s">
        <v>1703</v>
      </c>
      <c r="J1270" s="78" t="s">
        <v>69</v>
      </c>
      <c r="K1270" s="58">
        <f t="shared" si="3"/>
        <v>23</v>
      </c>
      <c r="L1270" s="91" t="str">
        <f t="shared" si="6"/>
        <v>Mon</v>
      </c>
      <c r="M1270" s="78" t="str">
        <f>IFERROR(VLOOKUP(A1270, Entries!A:B,2,false),"")</f>
        <v>505 Games</v>
      </c>
      <c r="N1270" s="23" t="str">
        <f>IFERROR(VLOOKUP(A1270, Entries!A:K,11,false),"")</f>
        <v/>
      </c>
      <c r="O1270" s="23" t="b">
        <f>IFERROR(VLOOKUP(A1270, Entries!A:I,8,false),"")</f>
        <v>0</v>
      </c>
    </row>
    <row r="1271">
      <c r="A1271" s="78" t="s">
        <v>1700</v>
      </c>
      <c r="B1271" s="78" t="s">
        <v>27</v>
      </c>
      <c r="C1271" s="85">
        <v>44527.0</v>
      </c>
      <c r="D1271" s="85">
        <v>44604.0</v>
      </c>
      <c r="E1271" s="86">
        <v>2.69</v>
      </c>
      <c r="F1271" s="87">
        <v>4.52</v>
      </c>
      <c r="G1271" s="88">
        <f t="shared" si="1"/>
        <v>1.83</v>
      </c>
      <c r="H1271" s="89">
        <f t="shared" si="7"/>
        <v>0.4048672566</v>
      </c>
      <c r="I1271" s="78" t="s">
        <v>1704</v>
      </c>
      <c r="J1271" s="78" t="s">
        <v>69</v>
      </c>
      <c r="K1271" s="58">
        <f t="shared" si="3"/>
        <v>77</v>
      </c>
      <c r="L1271" s="91" t="str">
        <f t="shared" si="6"/>
        <v>Sat</v>
      </c>
      <c r="M1271" s="78" t="str">
        <f>IFERROR(VLOOKUP(A1271, Entries!A:B,2,false),"")</f>
        <v>Warner Bros</v>
      </c>
      <c r="N1271" s="23" t="str">
        <f>IFERROR(VLOOKUP(A1271, Entries!A:K,11,false),"")</f>
        <v/>
      </c>
      <c r="O1271" s="23" t="b">
        <f>IFERROR(VLOOKUP(A1271, Entries!A:I,8,false),"")</f>
        <v>1</v>
      </c>
    </row>
    <row r="1272">
      <c r="A1272" s="78" t="s">
        <v>1698</v>
      </c>
      <c r="B1272" s="78" t="s">
        <v>22</v>
      </c>
      <c r="C1272" s="85">
        <v>44527.0</v>
      </c>
      <c r="D1272" s="85">
        <v>44535.0</v>
      </c>
      <c r="E1272" s="86">
        <v>8.18</v>
      </c>
      <c r="F1272" s="87">
        <v>9.02</v>
      </c>
      <c r="G1272" s="88">
        <f t="shared" si="1"/>
        <v>0.84</v>
      </c>
      <c r="H1272" s="89">
        <f t="shared" si="7"/>
        <v>0.09312638581</v>
      </c>
      <c r="I1272" s="78" t="s">
        <v>1705</v>
      </c>
      <c r="J1272" s="78" t="s">
        <v>69</v>
      </c>
      <c r="K1272" s="58">
        <f t="shared" si="3"/>
        <v>8</v>
      </c>
      <c r="L1272" s="91" t="str">
        <f t="shared" si="6"/>
        <v>Sun</v>
      </c>
      <c r="M1272" s="78" t="str">
        <f>IFERROR(VLOOKUP(A1272, Entries!A:B,2,false),"")</f>
        <v>Xbox Game Studios</v>
      </c>
      <c r="N1272" s="23" t="str">
        <f>IFERROR(VLOOKUP(A1272, Entries!A:K,11,false),"")</f>
        <v/>
      </c>
      <c r="O1272" s="23" t="b">
        <f>IFERROR(VLOOKUP(A1272, Entries!A:I,8,false),"")</f>
        <v>0</v>
      </c>
    </row>
    <row r="1273">
      <c r="A1273" s="78" t="s">
        <v>214</v>
      </c>
      <c r="B1273" s="78" t="s">
        <v>27</v>
      </c>
      <c r="C1273" s="85">
        <v>44528.0</v>
      </c>
      <c r="D1273" s="85">
        <v>44564.0</v>
      </c>
      <c r="E1273" s="86">
        <v>2.87</v>
      </c>
      <c r="F1273" s="87">
        <v>3.23</v>
      </c>
      <c r="G1273" s="88">
        <f t="shared" si="1"/>
        <v>0.36</v>
      </c>
      <c r="H1273" s="89">
        <f t="shared" si="7"/>
        <v>0.1114551084</v>
      </c>
      <c r="I1273" s="78" t="s">
        <v>1706</v>
      </c>
      <c r="J1273" s="78" t="s">
        <v>69</v>
      </c>
      <c r="K1273" s="58">
        <f t="shared" si="3"/>
        <v>36</v>
      </c>
      <c r="L1273" s="91" t="str">
        <f t="shared" si="6"/>
        <v>Mon</v>
      </c>
      <c r="M1273" s="78" t="str">
        <f>IFERROR(VLOOKUP(A1273, Entries!A:B,2,false),"")</f>
        <v>Warner Bros</v>
      </c>
      <c r="N1273" s="23" t="str">
        <f>IFERROR(VLOOKUP(A1273, Entries!A:K,11,false),"")</f>
        <v/>
      </c>
      <c r="O1273" s="23" t="b">
        <f>IFERROR(VLOOKUP(A1273, Entries!A:I,8,false),"")</f>
        <v>0</v>
      </c>
    </row>
    <row r="1274">
      <c r="A1274" s="78" t="s">
        <v>1707</v>
      </c>
      <c r="B1274" s="78" t="s">
        <v>23</v>
      </c>
      <c r="C1274" s="85">
        <v>44528.0</v>
      </c>
      <c r="D1274" s="85">
        <v>44534.0</v>
      </c>
      <c r="E1274" s="86">
        <v>32.53</v>
      </c>
      <c r="F1274" s="87">
        <v>42.75</v>
      </c>
      <c r="G1274" s="88">
        <f t="shared" si="1"/>
        <v>10.22</v>
      </c>
      <c r="H1274" s="89">
        <f t="shared" si="7"/>
        <v>0.2390643275</v>
      </c>
      <c r="I1274" s="78" t="s">
        <v>1708</v>
      </c>
      <c r="J1274" s="78" t="s">
        <v>69</v>
      </c>
      <c r="K1274" s="58">
        <f t="shared" si="3"/>
        <v>6</v>
      </c>
      <c r="L1274" s="91" t="str">
        <f t="shared" si="6"/>
        <v>Sat</v>
      </c>
      <c r="M1274" s="78" t="str">
        <f>IFERROR(VLOOKUP(A1274, Entries!A:B,2,false),"")</f>
        <v>SEGA</v>
      </c>
      <c r="N1274" s="23" t="str">
        <f>IFERROR(VLOOKUP(A1274, Entries!A:K,11,false),"")</f>
        <v/>
      </c>
      <c r="O1274" s="23" t="b">
        <f>IFERROR(VLOOKUP(A1274, Entries!A:I,8,false),"")</f>
        <v>0</v>
      </c>
    </row>
    <row r="1275">
      <c r="A1275" s="78" t="s">
        <v>1319</v>
      </c>
      <c r="B1275" s="78" t="s">
        <v>21</v>
      </c>
      <c r="C1275" s="85">
        <v>44531.0</v>
      </c>
      <c r="D1275" s="85">
        <v>44602.0</v>
      </c>
      <c r="E1275" s="86">
        <v>6.98</v>
      </c>
      <c r="F1275" s="87">
        <v>8.74</v>
      </c>
      <c r="G1275" s="88">
        <f t="shared" si="1"/>
        <v>1.76</v>
      </c>
      <c r="H1275" s="89">
        <f t="shared" si="7"/>
        <v>0.2013729977</v>
      </c>
      <c r="I1275" s="78" t="s">
        <v>1709</v>
      </c>
      <c r="J1275" s="78" t="s">
        <v>69</v>
      </c>
      <c r="K1275" s="58">
        <f t="shared" si="3"/>
        <v>71</v>
      </c>
      <c r="L1275" s="91" t="str">
        <f t="shared" si="6"/>
        <v>Thu</v>
      </c>
      <c r="M1275" s="78" t="str">
        <f>IFERROR(VLOOKUP(A1275, Entries!A:B,2,false),"")</f>
        <v>Assemble Entertainment</v>
      </c>
      <c r="N1275" s="23" t="str">
        <f>IFERROR(VLOOKUP(A1275, Entries!A:K,11,false),"")</f>
        <v/>
      </c>
      <c r="O1275" s="23" t="b">
        <f>IFERROR(VLOOKUP(A1275, Entries!A:I,8,false),"")</f>
        <v>1</v>
      </c>
    </row>
    <row r="1276">
      <c r="A1276" s="78" t="s">
        <v>1319</v>
      </c>
      <c r="B1276" s="78" t="s">
        <v>21</v>
      </c>
      <c r="C1276" s="85">
        <v>44531.0</v>
      </c>
      <c r="D1276" s="85">
        <v>44604.0</v>
      </c>
      <c r="E1276" s="86">
        <v>6.98</v>
      </c>
      <c r="F1276" s="87">
        <v>10.28</v>
      </c>
      <c r="G1276" s="88">
        <f t="shared" si="1"/>
        <v>3.3</v>
      </c>
      <c r="H1276" s="89">
        <f t="shared" si="7"/>
        <v>0.3210116732</v>
      </c>
      <c r="I1276" s="78" t="s">
        <v>1710</v>
      </c>
      <c r="J1276" s="78" t="s">
        <v>69</v>
      </c>
      <c r="K1276" s="58">
        <f t="shared" si="3"/>
        <v>73</v>
      </c>
      <c r="L1276" s="91" t="str">
        <f t="shared" si="6"/>
        <v>Sat</v>
      </c>
      <c r="M1276" s="78" t="str">
        <f>IFERROR(VLOOKUP(A1276, Entries!A:B,2,false),"")</f>
        <v>Assemble Entertainment</v>
      </c>
      <c r="N1276" s="23" t="str">
        <f>IFERROR(VLOOKUP(A1276, Entries!A:K,11,false),"")</f>
        <v/>
      </c>
      <c r="O1276" s="23" t="b">
        <f>IFERROR(VLOOKUP(A1276, Entries!A:I,8,false),"")</f>
        <v>1</v>
      </c>
    </row>
    <row r="1277">
      <c r="A1277" s="78" t="s">
        <v>1319</v>
      </c>
      <c r="B1277" s="78" t="s">
        <v>21</v>
      </c>
      <c r="C1277" s="85">
        <v>44531.0</v>
      </c>
      <c r="D1277" s="85">
        <v>45136.0</v>
      </c>
      <c r="E1277" s="86">
        <v>6.98</v>
      </c>
      <c r="F1277" s="87">
        <v>3.23</v>
      </c>
      <c r="G1277" s="88">
        <f t="shared" si="1"/>
        <v>-3.75</v>
      </c>
      <c r="H1277" s="89">
        <f t="shared" si="7"/>
        <v>-1.160990712</v>
      </c>
      <c r="I1277" s="78" t="s">
        <v>1711</v>
      </c>
      <c r="J1277" s="78" t="s">
        <v>69</v>
      </c>
      <c r="K1277" s="58">
        <f t="shared" si="3"/>
        <v>605</v>
      </c>
      <c r="L1277" s="91" t="str">
        <f t="shared" si="6"/>
        <v>Sat</v>
      </c>
      <c r="M1277" s="78" t="str">
        <f>IFERROR(VLOOKUP(A1277, Entries!A:B,2,false),"")</f>
        <v>Assemble Entertainment</v>
      </c>
      <c r="N1277" s="23" t="str">
        <f>IFERROR(VLOOKUP(A1277, Entries!A:K,11,false),"")</f>
        <v/>
      </c>
      <c r="O1277" s="23" t="b">
        <f>IFERROR(VLOOKUP(A1277, Entries!A:I,8,false),"")</f>
        <v>1</v>
      </c>
    </row>
    <row r="1278">
      <c r="A1278" s="78" t="s">
        <v>1319</v>
      </c>
      <c r="B1278" s="78" t="s">
        <v>21</v>
      </c>
      <c r="C1278" s="85">
        <v>44531.0</v>
      </c>
      <c r="D1278" s="85">
        <v>45150.0</v>
      </c>
      <c r="E1278" s="86">
        <v>6.99</v>
      </c>
      <c r="F1278" s="87">
        <v>3.21</v>
      </c>
      <c r="G1278" s="88">
        <f t="shared" si="1"/>
        <v>-3.78</v>
      </c>
      <c r="H1278" s="89">
        <f t="shared" si="7"/>
        <v>-1.177570093</v>
      </c>
      <c r="I1278" s="78" t="s">
        <v>1712</v>
      </c>
      <c r="J1278" s="78" t="s">
        <v>69</v>
      </c>
      <c r="K1278" s="58">
        <f t="shared" si="3"/>
        <v>619</v>
      </c>
      <c r="L1278" s="91" t="str">
        <f t="shared" si="6"/>
        <v>Sat</v>
      </c>
      <c r="M1278" s="78" t="str">
        <f>IFERROR(VLOOKUP(A1278, Entries!A:B,2,false),"")</f>
        <v>Assemble Entertainment</v>
      </c>
      <c r="N1278" s="23" t="str">
        <f>IFERROR(VLOOKUP(A1278, Entries!A:K,11,false),"")</f>
        <v/>
      </c>
      <c r="O1278" s="23" t="b">
        <f>IFERROR(VLOOKUP(A1278, Entries!A:I,8,false),"")</f>
        <v>1</v>
      </c>
    </row>
    <row r="1279">
      <c r="A1279" s="78" t="s">
        <v>1713</v>
      </c>
      <c r="B1279" s="78" t="s">
        <v>23</v>
      </c>
      <c r="C1279" s="85">
        <v>44531.0</v>
      </c>
      <c r="D1279" s="85">
        <v>44532.0</v>
      </c>
      <c r="E1279" s="86">
        <v>3.28</v>
      </c>
      <c r="F1279" s="87">
        <v>4.43</v>
      </c>
      <c r="G1279" s="88">
        <f t="shared" si="1"/>
        <v>1.15</v>
      </c>
      <c r="H1279" s="89">
        <f t="shared" si="7"/>
        <v>0.2595936795</v>
      </c>
      <c r="I1279" s="78" t="s">
        <v>561</v>
      </c>
      <c r="J1279" s="78" t="s">
        <v>69</v>
      </c>
      <c r="K1279" s="58">
        <f t="shared" si="3"/>
        <v>1</v>
      </c>
      <c r="L1279" s="91" t="str">
        <f t="shared" si="6"/>
        <v>Thu</v>
      </c>
      <c r="M1279" s="78" t="str">
        <f>IFERROR(VLOOKUP(A1279, Entries!A:B,2,false),"")</f>
        <v>11 bit studios</v>
      </c>
      <c r="N1279" s="23" t="str">
        <f>IFERROR(VLOOKUP(A1279, Entries!A:K,11,false),"")</f>
        <v/>
      </c>
      <c r="O1279" s="23" t="b">
        <f>IFERROR(VLOOKUP(A1279, Entries!A:I,8,false),"")</f>
        <v>0</v>
      </c>
    </row>
    <row r="1280">
      <c r="A1280" s="78" t="s">
        <v>1713</v>
      </c>
      <c r="B1280" s="78" t="s">
        <v>23</v>
      </c>
      <c r="C1280" s="85">
        <v>44533.0</v>
      </c>
      <c r="D1280" s="85">
        <v>44534.0</v>
      </c>
      <c r="E1280" s="86">
        <v>3.28</v>
      </c>
      <c r="F1280" s="87">
        <v>4.39</v>
      </c>
      <c r="G1280" s="88">
        <f t="shared" si="1"/>
        <v>1.11</v>
      </c>
      <c r="H1280" s="89">
        <f t="shared" si="7"/>
        <v>0.2528473804</v>
      </c>
      <c r="I1280" s="78" t="s">
        <v>1714</v>
      </c>
      <c r="J1280" s="78" t="s">
        <v>69</v>
      </c>
      <c r="K1280" s="58">
        <f t="shared" si="3"/>
        <v>1</v>
      </c>
      <c r="L1280" s="91" t="str">
        <f t="shared" si="6"/>
        <v>Sat</v>
      </c>
      <c r="M1280" s="78" t="str">
        <f>IFERROR(VLOOKUP(A1280, Entries!A:B,2,false),"")</f>
        <v>11 bit studios</v>
      </c>
      <c r="N1280" s="23" t="str">
        <f>IFERROR(VLOOKUP(A1280, Entries!A:K,11,false),"")</f>
        <v/>
      </c>
      <c r="O1280" s="23" t="b">
        <f>IFERROR(VLOOKUP(A1280, Entries!A:I,8,false),"")</f>
        <v>0</v>
      </c>
    </row>
    <row r="1281">
      <c r="A1281" s="78" t="s">
        <v>1715</v>
      </c>
      <c r="B1281" s="78" t="s">
        <v>27</v>
      </c>
      <c r="C1281" s="85">
        <v>44533.0</v>
      </c>
      <c r="D1281" s="85">
        <v>44533.0</v>
      </c>
      <c r="E1281" s="86">
        <v>22.77</v>
      </c>
      <c r="F1281" s="87">
        <v>27.63</v>
      </c>
      <c r="G1281" s="88">
        <f t="shared" si="1"/>
        <v>4.86</v>
      </c>
      <c r="H1281" s="89">
        <f t="shared" si="7"/>
        <v>0.1758957655</v>
      </c>
      <c r="I1281" s="78" t="s">
        <v>1170</v>
      </c>
      <c r="J1281" s="78" t="s">
        <v>69</v>
      </c>
      <c r="K1281" s="58">
        <f t="shared" si="3"/>
        <v>0</v>
      </c>
      <c r="L1281" s="91" t="str">
        <f t="shared" si="6"/>
        <v>Fri</v>
      </c>
      <c r="M1281" s="78" t="str">
        <f>IFERROR(VLOOKUP(A1281, Entries!A:B,2,false),"")</f>
        <v>Deep Silver</v>
      </c>
      <c r="N1281" s="23" t="str">
        <f>IFERROR(VLOOKUP(A1281, Entries!A:K,11,false),"")</f>
        <v/>
      </c>
      <c r="O1281" s="23" t="b">
        <f>IFERROR(VLOOKUP(A1281, Entries!A:I,8,false),"")</f>
        <v>0</v>
      </c>
    </row>
    <row r="1282">
      <c r="A1282" s="78" t="s">
        <v>1715</v>
      </c>
      <c r="B1282" s="78" t="s">
        <v>27</v>
      </c>
      <c r="C1282" s="85">
        <v>44533.0</v>
      </c>
      <c r="D1282" s="85">
        <v>44533.0</v>
      </c>
      <c r="E1282" s="86">
        <v>22.77</v>
      </c>
      <c r="F1282" s="87">
        <v>27.63</v>
      </c>
      <c r="G1282" s="88">
        <f t="shared" si="1"/>
        <v>4.86</v>
      </c>
      <c r="H1282" s="89">
        <f t="shared" si="7"/>
        <v>0.1758957655</v>
      </c>
      <c r="I1282" s="78" t="s">
        <v>1171</v>
      </c>
      <c r="J1282" s="78" t="s">
        <v>69</v>
      </c>
      <c r="K1282" s="58">
        <f t="shared" si="3"/>
        <v>0</v>
      </c>
      <c r="L1282" s="91" t="str">
        <f t="shared" si="6"/>
        <v>Fri</v>
      </c>
      <c r="M1282" s="78" t="str">
        <f>IFERROR(VLOOKUP(A1282, Entries!A:B,2,false),"")</f>
        <v>Deep Silver</v>
      </c>
      <c r="N1282" s="23" t="str">
        <f>IFERROR(VLOOKUP(A1282, Entries!A:K,11,false),"")</f>
        <v/>
      </c>
      <c r="O1282" s="23" t="b">
        <f>IFERROR(VLOOKUP(A1282, Entries!A:I,8,false),"")</f>
        <v>0</v>
      </c>
    </row>
    <row r="1283">
      <c r="A1283" s="78" t="s">
        <v>1713</v>
      </c>
      <c r="B1283" s="78" t="s">
        <v>23</v>
      </c>
      <c r="C1283" s="85">
        <v>44534.0</v>
      </c>
      <c r="D1283" s="85">
        <v>44535.0</v>
      </c>
      <c r="E1283" s="86">
        <v>3.28</v>
      </c>
      <c r="F1283" s="87">
        <v>4.37</v>
      </c>
      <c r="G1283" s="88">
        <f t="shared" si="1"/>
        <v>1.09</v>
      </c>
      <c r="H1283" s="89">
        <f t="shared" si="7"/>
        <v>0.2494279176</v>
      </c>
      <c r="I1283" s="78" t="s">
        <v>1716</v>
      </c>
      <c r="J1283" s="78" t="s">
        <v>69</v>
      </c>
      <c r="K1283" s="58">
        <f t="shared" si="3"/>
        <v>1</v>
      </c>
      <c r="L1283" s="91" t="str">
        <f t="shared" si="6"/>
        <v>Sun</v>
      </c>
      <c r="M1283" s="78" t="str">
        <f>IFERROR(VLOOKUP(A1283, Entries!A:B,2,false),"")</f>
        <v>11 bit studios</v>
      </c>
      <c r="N1283" s="23" t="str">
        <f>IFERROR(VLOOKUP(A1283, Entries!A:K,11,false),"")</f>
        <v/>
      </c>
      <c r="O1283" s="23" t="b">
        <f>IFERROR(VLOOKUP(A1283, Entries!A:I,8,false),"")</f>
        <v>0</v>
      </c>
    </row>
    <row r="1284">
      <c r="A1284" s="78" t="s">
        <v>1713</v>
      </c>
      <c r="B1284" s="78" t="s">
        <v>23</v>
      </c>
      <c r="C1284" s="85">
        <v>44535.0</v>
      </c>
      <c r="D1284" s="85">
        <v>44536.0</v>
      </c>
      <c r="E1284" s="86">
        <v>3.28</v>
      </c>
      <c r="F1284" s="87">
        <v>4.43</v>
      </c>
      <c r="G1284" s="88">
        <f t="shared" si="1"/>
        <v>1.15</v>
      </c>
      <c r="H1284" s="89">
        <f t="shared" si="7"/>
        <v>0.2595936795</v>
      </c>
      <c r="I1284" s="78" t="s">
        <v>1717</v>
      </c>
      <c r="J1284" s="78" t="s">
        <v>69</v>
      </c>
      <c r="K1284" s="58">
        <f t="shared" si="3"/>
        <v>1</v>
      </c>
      <c r="L1284" s="91" t="str">
        <f t="shared" si="6"/>
        <v>Mon</v>
      </c>
      <c r="M1284" s="78" t="str">
        <f>IFERROR(VLOOKUP(A1284, Entries!A:B,2,false),"")</f>
        <v>11 bit studios</v>
      </c>
      <c r="N1284" s="23" t="str">
        <f>IFERROR(VLOOKUP(A1284, Entries!A:K,11,false),"")</f>
        <v/>
      </c>
      <c r="O1284" s="23" t="b">
        <f>IFERROR(VLOOKUP(A1284, Entries!A:I,8,false),"")</f>
        <v>0</v>
      </c>
    </row>
    <row r="1285">
      <c r="A1285" s="78" t="s">
        <v>1718</v>
      </c>
      <c r="B1285" s="78" t="s">
        <v>23</v>
      </c>
      <c r="C1285" s="85">
        <v>44537.0</v>
      </c>
      <c r="D1285" s="85">
        <v>44548.0</v>
      </c>
      <c r="E1285" s="86">
        <v>13.86</v>
      </c>
      <c r="F1285" s="87">
        <v>15.1</v>
      </c>
      <c r="G1285" s="88">
        <f t="shared" si="1"/>
        <v>1.24</v>
      </c>
      <c r="H1285" s="89">
        <f t="shared" si="7"/>
        <v>0.0821192053</v>
      </c>
      <c r="I1285" s="78" t="s">
        <v>1719</v>
      </c>
      <c r="J1285" s="78" t="s">
        <v>69</v>
      </c>
      <c r="K1285" s="58">
        <f t="shared" si="3"/>
        <v>11</v>
      </c>
      <c r="L1285" s="91" t="str">
        <f t="shared" si="6"/>
        <v>Sat</v>
      </c>
      <c r="M1285" s="78" t="str">
        <f>IFERROR(VLOOKUP(A1285, Entries!A:B,2,false),"")</f>
        <v>Raw Fury</v>
      </c>
      <c r="N1285" s="23" t="str">
        <f>IFERROR(VLOOKUP(A1285, Entries!A:K,11,false),"")</f>
        <v/>
      </c>
      <c r="O1285" s="23" t="b">
        <f>IFERROR(VLOOKUP(A1285, Entries!A:I,8,false),"")</f>
        <v>0</v>
      </c>
    </row>
    <row r="1286">
      <c r="A1286" s="78" t="s">
        <v>1720</v>
      </c>
      <c r="B1286" s="78" t="s">
        <v>23</v>
      </c>
      <c r="C1286" s="85">
        <v>44537.0</v>
      </c>
      <c r="D1286" s="85">
        <v>44717.0</v>
      </c>
      <c r="E1286" s="86">
        <v>12.94</v>
      </c>
      <c r="F1286" s="87">
        <v>14.65</v>
      </c>
      <c r="G1286" s="88">
        <f t="shared" si="1"/>
        <v>1.71</v>
      </c>
      <c r="H1286" s="89">
        <f t="shared" si="7"/>
        <v>0.1167235495</v>
      </c>
      <c r="I1286" s="78" t="s">
        <v>1721</v>
      </c>
      <c r="J1286" s="78" t="s">
        <v>69</v>
      </c>
      <c r="K1286" s="58">
        <f t="shared" si="3"/>
        <v>180</v>
      </c>
      <c r="L1286" s="91" t="str">
        <f t="shared" si="6"/>
        <v>Sun</v>
      </c>
      <c r="M1286" s="78" t="str">
        <f>IFERROR(VLOOKUP(A1286, Entries!A:B,2,false),"")</f>
        <v>Overseer Games</v>
      </c>
      <c r="N1286" s="23" t="str">
        <f>IFERROR(VLOOKUP(A1286, Entries!A:K,11,false),"")</f>
        <v/>
      </c>
      <c r="O1286" s="23" t="b">
        <f>IFERROR(VLOOKUP(A1286, Entries!A:I,8,false),"")</f>
        <v>0</v>
      </c>
    </row>
    <row r="1287">
      <c r="A1287" s="78" t="s">
        <v>773</v>
      </c>
      <c r="B1287" s="78" t="s">
        <v>23</v>
      </c>
      <c r="C1287" s="85">
        <v>44537.0</v>
      </c>
      <c r="D1287" s="85">
        <v>44541.0</v>
      </c>
      <c r="E1287" s="86">
        <v>6.24</v>
      </c>
      <c r="F1287" s="87">
        <v>7.31</v>
      </c>
      <c r="G1287" s="88">
        <f t="shared" si="1"/>
        <v>1.07</v>
      </c>
      <c r="H1287" s="89">
        <f t="shared" si="7"/>
        <v>0.146374829</v>
      </c>
      <c r="I1287" s="78" t="s">
        <v>1722</v>
      </c>
      <c r="J1287" s="78" t="s">
        <v>69</v>
      </c>
      <c r="K1287" s="58">
        <f t="shared" si="3"/>
        <v>4</v>
      </c>
      <c r="L1287" s="91" t="str">
        <f t="shared" si="6"/>
        <v>Sat</v>
      </c>
      <c r="M1287" s="78" t="str">
        <f>IFERROR(VLOOKUP(A1287, Entries!A:B,2,false),"")</f>
        <v>Focus Home Interactive</v>
      </c>
      <c r="N1287" s="23" t="str">
        <f>IFERROR(VLOOKUP(A1287, Entries!A:K,11,false),"")</f>
        <v/>
      </c>
      <c r="O1287" s="23" t="b">
        <f>IFERROR(VLOOKUP(A1287, Entries!A:I,8,false),"")</f>
        <v>0</v>
      </c>
    </row>
    <row r="1288">
      <c r="A1288" s="78" t="s">
        <v>1723</v>
      </c>
      <c r="B1288" s="78" t="s">
        <v>30</v>
      </c>
      <c r="C1288" s="85">
        <v>44539.0</v>
      </c>
      <c r="D1288" s="85">
        <v>44715.0</v>
      </c>
      <c r="E1288" s="86">
        <v>12.29</v>
      </c>
      <c r="F1288" s="87">
        <v>14.4</v>
      </c>
      <c r="G1288" s="88">
        <f t="shared" si="1"/>
        <v>2.11</v>
      </c>
      <c r="H1288" s="89">
        <f t="shared" si="7"/>
        <v>0.1465277778</v>
      </c>
      <c r="I1288" s="78" t="s">
        <v>1724</v>
      </c>
      <c r="J1288" s="78" t="s">
        <v>69</v>
      </c>
      <c r="K1288" s="58">
        <f t="shared" si="3"/>
        <v>176</v>
      </c>
      <c r="L1288" s="91" t="str">
        <f t="shared" si="6"/>
        <v>Fri</v>
      </c>
      <c r="M1288" s="78" t="str">
        <f>IFERROR(VLOOKUP(A1288, Entries!A:B,2,false),"")</f>
        <v>Daedalic Entertainment</v>
      </c>
      <c r="N1288" s="23" t="str">
        <f>IFERROR(VLOOKUP(A1288, Entries!A:K,11,false),"")</f>
        <v/>
      </c>
      <c r="O1288" s="23" t="b">
        <f>IFERROR(VLOOKUP(A1288, Entries!A:I,8,false),"")</f>
        <v>0</v>
      </c>
    </row>
    <row r="1289">
      <c r="A1289" s="78" t="s">
        <v>1725</v>
      </c>
      <c r="B1289" s="78" t="s">
        <v>21</v>
      </c>
      <c r="C1289" s="85">
        <v>44540.0</v>
      </c>
      <c r="D1289" s="85">
        <v>44540.0</v>
      </c>
      <c r="E1289" s="86">
        <v>13.96</v>
      </c>
      <c r="F1289" s="87">
        <v>15.76</v>
      </c>
      <c r="G1289" s="88">
        <f t="shared" si="1"/>
        <v>1.8</v>
      </c>
      <c r="H1289" s="89">
        <f t="shared" si="7"/>
        <v>0.114213198</v>
      </c>
      <c r="I1289" s="78" t="s">
        <v>1726</v>
      </c>
      <c r="J1289" s="78" t="s">
        <v>69</v>
      </c>
      <c r="K1289" s="58">
        <f t="shared" si="3"/>
        <v>0</v>
      </c>
      <c r="L1289" s="91" t="str">
        <f t="shared" si="6"/>
        <v>Fri</v>
      </c>
      <c r="M1289" s="78" t="str">
        <f>IFERROR(VLOOKUP(A1289, Entries!A:B,2,false),"")</f>
        <v>Bungie</v>
      </c>
      <c r="N1289" s="23" t="str">
        <f>IFERROR(VLOOKUP(A1289, Entries!A:K,11,false),"")</f>
        <v/>
      </c>
      <c r="O1289" s="23" t="b">
        <f>IFERROR(VLOOKUP(A1289, Entries!A:I,8,false),"")</f>
        <v>0</v>
      </c>
    </row>
    <row r="1290">
      <c r="A1290" s="78" t="s">
        <v>1727</v>
      </c>
      <c r="B1290" s="78" t="s">
        <v>23</v>
      </c>
      <c r="C1290" s="85">
        <v>44540.0</v>
      </c>
      <c r="D1290" s="85">
        <v>44568.0</v>
      </c>
      <c r="E1290" s="86">
        <v>15.69</v>
      </c>
      <c r="F1290" s="87">
        <v>16.8</v>
      </c>
      <c r="G1290" s="88">
        <f t="shared" si="1"/>
        <v>1.11</v>
      </c>
      <c r="H1290" s="89">
        <f t="shared" si="7"/>
        <v>0.06607142857</v>
      </c>
      <c r="I1290" s="78" t="s">
        <v>1728</v>
      </c>
      <c r="J1290" s="78" t="s">
        <v>69</v>
      </c>
      <c r="K1290" s="58">
        <f t="shared" si="3"/>
        <v>28</v>
      </c>
      <c r="L1290" s="91" t="str">
        <f t="shared" si="6"/>
        <v>Fri</v>
      </c>
      <c r="M1290" s="78" t="str">
        <f>IFERROR(VLOOKUP(A1290, Entries!A:B,2,false),"")</f>
        <v>HypeTrain Digital</v>
      </c>
      <c r="N1290" s="23" t="str">
        <f>IFERROR(VLOOKUP(A1290, Entries!A:K,11,false),"")</f>
        <v/>
      </c>
      <c r="O1290" s="23" t="b">
        <f>IFERROR(VLOOKUP(A1290, Entries!A:I,8,false),"")</f>
        <v>0</v>
      </c>
    </row>
    <row r="1291">
      <c r="A1291" s="78" t="s">
        <v>1729</v>
      </c>
      <c r="B1291" s="78" t="s">
        <v>23</v>
      </c>
      <c r="C1291" s="85">
        <v>44540.0</v>
      </c>
      <c r="D1291" s="85">
        <v>44541.0</v>
      </c>
      <c r="E1291" s="86">
        <v>7.18</v>
      </c>
      <c r="F1291" s="87">
        <v>11.62</v>
      </c>
      <c r="G1291" s="88">
        <f t="shared" si="1"/>
        <v>4.44</v>
      </c>
      <c r="H1291" s="89">
        <f t="shared" si="7"/>
        <v>0.3820998279</v>
      </c>
      <c r="I1291" s="78" t="s">
        <v>1730</v>
      </c>
      <c r="J1291" s="78" t="s">
        <v>69</v>
      </c>
      <c r="K1291" s="58">
        <f t="shared" si="3"/>
        <v>1</v>
      </c>
      <c r="L1291" s="91" t="str">
        <f t="shared" si="6"/>
        <v>Sat</v>
      </c>
      <c r="M1291" s="78" t="str">
        <f>IFERROR(VLOOKUP(A1291, Entries!A:B,2,false),"")</f>
        <v>Focus Home Interactive</v>
      </c>
      <c r="N1291" s="23" t="str">
        <f>IFERROR(VLOOKUP(A1291, Entries!A:K,11,false),"")</f>
        <v/>
      </c>
      <c r="O1291" s="23" t="b">
        <f>IFERROR(VLOOKUP(A1291, Entries!A:I,8,false),"")</f>
        <v>0</v>
      </c>
    </row>
    <row r="1292">
      <c r="A1292" s="95" t="s">
        <v>773</v>
      </c>
      <c r="B1292" s="78" t="s">
        <v>23</v>
      </c>
      <c r="C1292" s="85">
        <v>44541.0</v>
      </c>
      <c r="D1292" s="85">
        <v>44546.0</v>
      </c>
      <c r="E1292" s="86">
        <v>6.24</v>
      </c>
      <c r="F1292" s="87">
        <v>7.27</v>
      </c>
      <c r="G1292" s="88">
        <f t="shared" si="1"/>
        <v>1.03</v>
      </c>
      <c r="H1292" s="89">
        <f t="shared" si="7"/>
        <v>0.1416781293</v>
      </c>
      <c r="I1292" s="78" t="s">
        <v>1731</v>
      </c>
      <c r="J1292" s="78" t="s">
        <v>69</v>
      </c>
      <c r="K1292" s="58">
        <f t="shared" si="3"/>
        <v>5</v>
      </c>
      <c r="L1292" s="91" t="str">
        <f t="shared" si="6"/>
        <v>Thu</v>
      </c>
      <c r="M1292" s="78" t="str">
        <f>IFERROR(VLOOKUP(A1292, Entries!A:B,2,false),"")</f>
        <v>Focus Home Interactive</v>
      </c>
      <c r="N1292" s="23" t="str">
        <f>IFERROR(VLOOKUP(A1292, Entries!A:K,11,false),"")</f>
        <v/>
      </c>
      <c r="O1292" s="23" t="b">
        <f>IFERROR(VLOOKUP(A1292, Entries!A:I,8,false),"")</f>
        <v>0</v>
      </c>
    </row>
    <row r="1293">
      <c r="A1293" s="95" t="s">
        <v>1729</v>
      </c>
      <c r="B1293" s="78" t="s">
        <v>23</v>
      </c>
      <c r="C1293" s="85">
        <v>44541.0</v>
      </c>
      <c r="D1293" s="85">
        <v>44548.0</v>
      </c>
      <c r="E1293" s="86">
        <v>7.19</v>
      </c>
      <c r="F1293" s="87">
        <v>11.76</v>
      </c>
      <c r="G1293" s="88">
        <f t="shared" si="1"/>
        <v>4.57</v>
      </c>
      <c r="H1293" s="89">
        <f t="shared" si="7"/>
        <v>0.3886054422</v>
      </c>
      <c r="I1293" s="78" t="s">
        <v>1732</v>
      </c>
      <c r="J1293" s="78" t="s">
        <v>69</v>
      </c>
      <c r="K1293" s="58">
        <f t="shared" si="3"/>
        <v>7</v>
      </c>
      <c r="L1293" s="91" t="str">
        <f t="shared" si="6"/>
        <v>Sat</v>
      </c>
      <c r="M1293" s="78" t="str">
        <f>IFERROR(VLOOKUP(A1293, Entries!A:B,2,false),"")</f>
        <v>Focus Home Interactive</v>
      </c>
      <c r="N1293" s="23" t="str">
        <f>IFERROR(VLOOKUP(A1293, Entries!A:K,11,false),"")</f>
        <v/>
      </c>
      <c r="O1293" s="23" t="b">
        <f>IFERROR(VLOOKUP(A1293, Entries!A:I,8,false),"")</f>
        <v>0</v>
      </c>
    </row>
    <row r="1294">
      <c r="A1294" s="78" t="s">
        <v>1389</v>
      </c>
      <c r="B1294" s="78" t="s">
        <v>23</v>
      </c>
      <c r="C1294" s="85">
        <v>44543.0</v>
      </c>
      <c r="D1294" s="85">
        <v>44543.0</v>
      </c>
      <c r="E1294" s="86">
        <v>10.17</v>
      </c>
      <c r="F1294" s="87">
        <v>16.09</v>
      </c>
      <c r="G1294" s="88">
        <f t="shared" si="1"/>
        <v>5.92</v>
      </c>
      <c r="H1294" s="89">
        <f t="shared" si="7"/>
        <v>0.3679303915</v>
      </c>
      <c r="I1294" s="78" t="s">
        <v>1733</v>
      </c>
      <c r="J1294" s="78" t="s">
        <v>69</v>
      </c>
      <c r="K1294" s="58">
        <f t="shared" si="3"/>
        <v>0</v>
      </c>
      <c r="L1294" s="91" t="str">
        <f t="shared" si="6"/>
        <v>Mon</v>
      </c>
      <c r="M1294" s="78" t="str">
        <f>IFERROR(VLOOKUP(A1294, Entries!A:B,2,false),"")</f>
        <v>Eugen Systems</v>
      </c>
      <c r="N1294" s="23" t="str">
        <f>IFERROR(VLOOKUP(A1294, Entries!A:K,11,false),"")</f>
        <v/>
      </c>
      <c r="O1294" s="23" t="b">
        <f>IFERROR(VLOOKUP(A1294, Entries!A:I,8,false),"")</f>
        <v>1</v>
      </c>
    </row>
    <row r="1295">
      <c r="A1295" s="78" t="s">
        <v>1406</v>
      </c>
      <c r="B1295" s="78" t="s">
        <v>23</v>
      </c>
      <c r="C1295" s="85">
        <v>44543.0</v>
      </c>
      <c r="D1295" s="85">
        <v>44544.0</v>
      </c>
      <c r="E1295" s="86">
        <v>18.49</v>
      </c>
      <c r="F1295" s="87">
        <v>30.61</v>
      </c>
      <c r="G1295" s="88">
        <f t="shared" si="1"/>
        <v>12.12</v>
      </c>
      <c r="H1295" s="89">
        <f t="shared" si="7"/>
        <v>0.3959490363</v>
      </c>
      <c r="I1295" s="78" t="s">
        <v>1734</v>
      </c>
      <c r="J1295" s="78" t="s">
        <v>69</v>
      </c>
      <c r="K1295" s="58">
        <f t="shared" si="3"/>
        <v>1</v>
      </c>
      <c r="L1295" s="91" t="str">
        <f t="shared" si="6"/>
        <v>Tue</v>
      </c>
      <c r="M1295" s="78" t="str">
        <f>IFERROR(VLOOKUP(A1295, Entries!A:B,2,false),"")</f>
        <v>Eugen Systems</v>
      </c>
      <c r="N1295" s="23" t="str">
        <f>IFERROR(VLOOKUP(A1295, Entries!A:K,11,false),"")</f>
        <v/>
      </c>
      <c r="O1295" s="23" t="b">
        <f>IFERROR(VLOOKUP(A1295, Entries!A:I,8,false),"")</f>
        <v>1</v>
      </c>
    </row>
    <row r="1296">
      <c r="A1296" s="78" t="s">
        <v>1735</v>
      </c>
      <c r="B1296" s="78" t="s">
        <v>23</v>
      </c>
      <c r="C1296" s="85">
        <v>44543.0</v>
      </c>
      <c r="D1296" s="85">
        <v>44543.0</v>
      </c>
      <c r="E1296" s="86">
        <v>14.79</v>
      </c>
      <c r="F1296" s="87">
        <v>15.9</v>
      </c>
      <c r="G1296" s="88">
        <f t="shared" si="1"/>
        <v>1.11</v>
      </c>
      <c r="H1296" s="89">
        <f t="shared" si="7"/>
        <v>0.06981132075</v>
      </c>
      <c r="I1296" s="78" t="s">
        <v>1736</v>
      </c>
      <c r="J1296" s="78" t="s">
        <v>69</v>
      </c>
      <c r="K1296" s="58">
        <f t="shared" si="3"/>
        <v>0</v>
      </c>
      <c r="L1296" s="91" t="str">
        <f t="shared" si="6"/>
        <v>Mon</v>
      </c>
      <c r="M1296" s="78" t="str">
        <f>IFERROR(VLOOKUP(A1296, Entries!A:B,2,false),"")</f>
        <v>CI Games</v>
      </c>
      <c r="N1296" s="23" t="str">
        <f>IFERROR(VLOOKUP(A1296, Entries!A:K,11,false),"")</f>
        <v/>
      </c>
      <c r="O1296" s="23" t="b">
        <f>IFERROR(VLOOKUP(A1296, Entries!A:I,8,false),"")</f>
        <v>0</v>
      </c>
    </row>
    <row r="1297">
      <c r="A1297" s="78" t="s">
        <v>1389</v>
      </c>
      <c r="B1297" s="78" t="s">
        <v>23</v>
      </c>
      <c r="C1297" s="85">
        <v>44543.0</v>
      </c>
      <c r="D1297" s="85">
        <v>44554.0</v>
      </c>
      <c r="E1297" s="86">
        <v>10.17</v>
      </c>
      <c r="F1297" s="87">
        <v>13.16</v>
      </c>
      <c r="G1297" s="88">
        <f t="shared" si="1"/>
        <v>2.99</v>
      </c>
      <c r="H1297" s="89">
        <f t="shared" si="7"/>
        <v>0.2272036474</v>
      </c>
      <c r="I1297" s="78" t="s">
        <v>1737</v>
      </c>
      <c r="J1297" s="78" t="s">
        <v>69</v>
      </c>
      <c r="K1297" s="58">
        <f t="shared" si="3"/>
        <v>11</v>
      </c>
      <c r="L1297" s="91" t="str">
        <f t="shared" si="6"/>
        <v>Fri</v>
      </c>
      <c r="M1297" s="78" t="str">
        <f>IFERROR(VLOOKUP(A1297, Entries!A:B,2,false),"")</f>
        <v>Eugen Systems</v>
      </c>
      <c r="N1297" s="23" t="str">
        <f>IFERROR(VLOOKUP(A1297, Entries!A:K,11,false),"")</f>
        <v/>
      </c>
      <c r="O1297" s="23" t="b">
        <f>IFERROR(VLOOKUP(A1297, Entries!A:I,8,false),"")</f>
        <v>1</v>
      </c>
    </row>
    <row r="1298">
      <c r="A1298" s="78" t="s">
        <v>1735</v>
      </c>
      <c r="B1298" s="78" t="s">
        <v>23</v>
      </c>
      <c r="C1298" s="85">
        <v>44543.0</v>
      </c>
      <c r="D1298" s="85">
        <v>44543.0</v>
      </c>
      <c r="E1298" s="86">
        <v>14.79</v>
      </c>
      <c r="F1298" s="87">
        <v>15.9</v>
      </c>
      <c r="G1298" s="88">
        <f t="shared" si="1"/>
        <v>1.11</v>
      </c>
      <c r="H1298" s="89">
        <f t="shared" si="7"/>
        <v>0.06981132075</v>
      </c>
      <c r="I1298" s="78" t="s">
        <v>1738</v>
      </c>
      <c r="J1298" s="78" t="s">
        <v>69</v>
      </c>
      <c r="K1298" s="58">
        <f t="shared" si="3"/>
        <v>0</v>
      </c>
      <c r="L1298" s="91" t="str">
        <f t="shared" si="6"/>
        <v>Mon</v>
      </c>
      <c r="M1298" s="78" t="str">
        <f>IFERROR(VLOOKUP(A1298, Entries!A:B,2,false),"")</f>
        <v>CI Games</v>
      </c>
      <c r="N1298" s="23" t="str">
        <f>IFERROR(VLOOKUP(A1298, Entries!A:K,11,false),"")</f>
        <v/>
      </c>
      <c r="O1298" s="23" t="b">
        <f>IFERROR(VLOOKUP(A1298, Entries!A:I,8,false),"")</f>
        <v>0</v>
      </c>
    </row>
    <row r="1299">
      <c r="A1299" s="78" t="s">
        <v>669</v>
      </c>
      <c r="B1299" s="78" t="s">
        <v>19</v>
      </c>
      <c r="C1299" s="85">
        <v>44543.0</v>
      </c>
      <c r="D1299" s="85">
        <v>44583.0</v>
      </c>
      <c r="E1299" s="86">
        <v>1.75</v>
      </c>
      <c r="F1299" s="87">
        <v>3.86</v>
      </c>
      <c r="G1299" s="88">
        <f t="shared" si="1"/>
        <v>2.11</v>
      </c>
      <c r="H1299" s="89">
        <f t="shared" si="7"/>
        <v>0.5466321244</v>
      </c>
      <c r="I1299" s="78" t="s">
        <v>1739</v>
      </c>
      <c r="J1299" s="78" t="s">
        <v>69</v>
      </c>
      <c r="K1299" s="58">
        <f t="shared" si="3"/>
        <v>40</v>
      </c>
      <c r="L1299" s="91" t="str">
        <f t="shared" si="6"/>
        <v>Sat</v>
      </c>
      <c r="M1299" s="78" t="str">
        <f>IFERROR(VLOOKUP(A1299, Entries!A:B,2,false),"")</f>
        <v>Atari</v>
      </c>
      <c r="N1299" s="23" t="str">
        <f>IFERROR(VLOOKUP(A1299, Entries!A:K,11,false),"")</f>
        <v/>
      </c>
      <c r="O1299" s="23" t="b">
        <f>IFERROR(VLOOKUP(A1299, Entries!A:I,8,false),"")</f>
        <v>0</v>
      </c>
    </row>
    <row r="1300">
      <c r="A1300" s="78" t="s">
        <v>1740</v>
      </c>
      <c r="B1300" s="78" t="s">
        <v>19</v>
      </c>
      <c r="C1300" s="85">
        <v>44543.0</v>
      </c>
      <c r="D1300" s="85">
        <v>44555.0</v>
      </c>
      <c r="E1300" s="86">
        <v>7.02</v>
      </c>
      <c r="F1300" s="87">
        <v>8.38</v>
      </c>
      <c r="G1300" s="88">
        <f t="shared" si="1"/>
        <v>1.36</v>
      </c>
      <c r="H1300" s="89">
        <f t="shared" si="7"/>
        <v>0.1622911695</v>
      </c>
      <c r="I1300" s="78" t="s">
        <v>1741</v>
      </c>
      <c r="J1300" s="78" t="s">
        <v>69</v>
      </c>
      <c r="K1300" s="58">
        <f t="shared" si="3"/>
        <v>12</v>
      </c>
      <c r="L1300" s="91" t="str">
        <f t="shared" si="6"/>
        <v>Sat</v>
      </c>
      <c r="M1300" s="78" t="str">
        <f>IFERROR(VLOOKUP(A1300, Entries!A:B,2,false),"")</f>
        <v>DANGEN Entertainment</v>
      </c>
      <c r="N1300" s="23" t="str">
        <f>IFERROR(VLOOKUP(A1300, Entries!A:K,11,false),"")</f>
        <v/>
      </c>
      <c r="O1300" s="23" t="b">
        <f>IFERROR(VLOOKUP(A1300, Entries!A:I,8,false),"")</f>
        <v>0</v>
      </c>
    </row>
    <row r="1301">
      <c r="A1301" s="78" t="s">
        <v>1742</v>
      </c>
      <c r="B1301" s="78" t="s">
        <v>19</v>
      </c>
      <c r="C1301" s="85">
        <v>44543.0</v>
      </c>
      <c r="D1301" s="85">
        <v>44551.0</v>
      </c>
      <c r="E1301" s="86">
        <v>5.26</v>
      </c>
      <c r="F1301" s="87">
        <v>8.37</v>
      </c>
      <c r="G1301" s="88">
        <f t="shared" si="1"/>
        <v>3.11</v>
      </c>
      <c r="H1301" s="89">
        <f t="shared" si="7"/>
        <v>0.3715651135</v>
      </c>
      <c r="I1301" s="78" t="s">
        <v>1743</v>
      </c>
      <c r="J1301" s="78" t="s">
        <v>69</v>
      </c>
      <c r="K1301" s="58">
        <f t="shared" si="3"/>
        <v>8</v>
      </c>
      <c r="L1301" s="91" t="str">
        <f t="shared" si="6"/>
        <v>Tue</v>
      </c>
      <c r="M1301" s="78" t="str">
        <f>IFERROR(VLOOKUP(A1301, Entries!A:B,2,false),"")</f>
        <v>Stygian Software</v>
      </c>
      <c r="N1301" s="23" t="str">
        <f>IFERROR(VLOOKUP(A1301, Entries!A:K,11,false),"")</f>
        <v/>
      </c>
      <c r="O1301" s="23" t="b">
        <f>IFERROR(VLOOKUP(A1301, Entries!A:I,8,false),"")</f>
        <v>0</v>
      </c>
    </row>
    <row r="1302">
      <c r="A1302" s="78" t="s">
        <v>1735</v>
      </c>
      <c r="B1302" s="78" t="s">
        <v>23</v>
      </c>
      <c r="C1302" s="85">
        <v>44543.0</v>
      </c>
      <c r="D1302" s="85">
        <v>44547.0</v>
      </c>
      <c r="E1302" s="86">
        <v>14.79</v>
      </c>
      <c r="F1302" s="87">
        <v>15.73</v>
      </c>
      <c r="G1302" s="88">
        <f t="shared" si="1"/>
        <v>0.94</v>
      </c>
      <c r="H1302" s="89">
        <f t="shared" si="7"/>
        <v>0.05975842339</v>
      </c>
      <c r="I1302" s="78" t="s">
        <v>1744</v>
      </c>
      <c r="J1302" s="78" t="s">
        <v>69</v>
      </c>
      <c r="K1302" s="58">
        <f t="shared" si="3"/>
        <v>4</v>
      </c>
      <c r="L1302" s="91" t="str">
        <f t="shared" si="6"/>
        <v>Fri</v>
      </c>
      <c r="M1302" s="78" t="str">
        <f>IFERROR(VLOOKUP(A1302, Entries!A:B,2,false),"")</f>
        <v>CI Games</v>
      </c>
      <c r="N1302" s="23" t="str">
        <f>IFERROR(VLOOKUP(A1302, Entries!A:K,11,false),"")</f>
        <v/>
      </c>
      <c r="O1302" s="23" t="b">
        <f>IFERROR(VLOOKUP(A1302, Entries!A:I,8,false),"")</f>
        <v>0</v>
      </c>
    </row>
    <row r="1303">
      <c r="A1303" s="78" t="s">
        <v>1745</v>
      </c>
      <c r="B1303" s="78" t="s">
        <v>19</v>
      </c>
      <c r="C1303" s="85">
        <v>44543.0</v>
      </c>
      <c r="D1303" s="85">
        <v>44549.0</v>
      </c>
      <c r="E1303" s="86">
        <v>12.94</v>
      </c>
      <c r="F1303" s="87">
        <v>16.63</v>
      </c>
      <c r="G1303" s="88">
        <f t="shared" si="1"/>
        <v>3.69</v>
      </c>
      <c r="H1303" s="89">
        <f t="shared" si="7"/>
        <v>0.2218881539</v>
      </c>
      <c r="I1303" s="78" t="s">
        <v>1746</v>
      </c>
      <c r="J1303" s="78" t="s">
        <v>69</v>
      </c>
      <c r="K1303" s="58">
        <f t="shared" si="3"/>
        <v>6</v>
      </c>
      <c r="L1303" s="91" t="str">
        <f t="shared" si="6"/>
        <v>Sun</v>
      </c>
      <c r="M1303" s="78" t="str">
        <f>IFERROR(VLOOKUP(A1303, Entries!A:B,2,false),"")</f>
        <v>Dear Villagers</v>
      </c>
      <c r="N1303" s="23" t="str">
        <f>IFERROR(VLOOKUP(A1303, Entries!A:K,11,false),"")</f>
        <v/>
      </c>
      <c r="O1303" s="23" t="b">
        <f>IFERROR(VLOOKUP(A1303, Entries!A:I,8,false),"")</f>
        <v>0</v>
      </c>
    </row>
    <row r="1304">
      <c r="A1304" s="78" t="s">
        <v>1389</v>
      </c>
      <c r="B1304" s="78" t="s">
        <v>23</v>
      </c>
      <c r="C1304" s="85">
        <v>44544.0</v>
      </c>
      <c r="D1304" s="85">
        <v>44562.0</v>
      </c>
      <c r="E1304" s="86">
        <v>10.18</v>
      </c>
      <c r="F1304" s="87">
        <v>12.84</v>
      </c>
      <c r="G1304" s="88">
        <f t="shared" si="1"/>
        <v>2.66</v>
      </c>
      <c r="H1304" s="89">
        <f t="shared" si="7"/>
        <v>0.207165109</v>
      </c>
      <c r="I1304" s="78" t="s">
        <v>1747</v>
      </c>
      <c r="J1304" s="78" t="s">
        <v>69</v>
      </c>
      <c r="K1304" s="58">
        <f t="shared" si="3"/>
        <v>18</v>
      </c>
      <c r="L1304" s="91" t="str">
        <f t="shared" si="6"/>
        <v>Sat</v>
      </c>
      <c r="M1304" s="78" t="str">
        <f>IFERROR(VLOOKUP(A1304, Entries!A:B,2,false),"")</f>
        <v>Eugen Systems</v>
      </c>
      <c r="N1304" s="23" t="str">
        <f>IFERROR(VLOOKUP(A1304, Entries!A:K,11,false),"")</f>
        <v/>
      </c>
      <c r="O1304" s="23" t="b">
        <f>IFERROR(VLOOKUP(A1304, Entries!A:I,8,false),"")</f>
        <v>1</v>
      </c>
    </row>
    <row r="1305">
      <c r="A1305" s="78" t="s">
        <v>1406</v>
      </c>
      <c r="B1305" s="78" t="s">
        <v>23</v>
      </c>
      <c r="C1305" s="85">
        <v>44544.0</v>
      </c>
      <c r="D1305" s="85">
        <v>44548.0</v>
      </c>
      <c r="E1305" s="86">
        <v>18.5</v>
      </c>
      <c r="F1305" s="87">
        <v>28.89</v>
      </c>
      <c r="G1305" s="88">
        <f t="shared" si="1"/>
        <v>10.39</v>
      </c>
      <c r="H1305" s="89">
        <f t="shared" si="7"/>
        <v>0.3596400138</v>
      </c>
      <c r="I1305" s="78" t="s">
        <v>1748</v>
      </c>
      <c r="J1305" s="78" t="s">
        <v>69</v>
      </c>
      <c r="K1305" s="58">
        <f t="shared" si="3"/>
        <v>4</v>
      </c>
      <c r="L1305" s="91" t="str">
        <f t="shared" si="6"/>
        <v>Sat</v>
      </c>
      <c r="M1305" s="78" t="str">
        <f>IFERROR(VLOOKUP(A1305, Entries!A:B,2,false),"")</f>
        <v>Eugen Systems</v>
      </c>
      <c r="N1305" s="23" t="str">
        <f>IFERROR(VLOOKUP(A1305, Entries!A:K,11,false),"")</f>
        <v/>
      </c>
      <c r="O1305" s="23" t="b">
        <f>IFERROR(VLOOKUP(A1305, Entries!A:I,8,false),"")</f>
        <v>1</v>
      </c>
    </row>
    <row r="1306">
      <c r="A1306" s="78" t="s">
        <v>1749</v>
      </c>
      <c r="B1306" s="78" t="s">
        <v>19</v>
      </c>
      <c r="C1306" s="85">
        <v>44544.0</v>
      </c>
      <c r="D1306" s="85">
        <v>44696.0</v>
      </c>
      <c r="E1306" s="86">
        <v>4.99</v>
      </c>
      <c r="F1306" s="87">
        <v>7.84</v>
      </c>
      <c r="G1306" s="88">
        <f t="shared" si="1"/>
        <v>2.85</v>
      </c>
      <c r="H1306" s="89">
        <f t="shared" si="7"/>
        <v>0.3635204082</v>
      </c>
      <c r="I1306" s="78" t="s">
        <v>1750</v>
      </c>
      <c r="J1306" s="78" t="s">
        <v>69</v>
      </c>
      <c r="K1306" s="58">
        <f t="shared" si="3"/>
        <v>152</v>
      </c>
      <c r="L1306" s="91" t="str">
        <f t="shared" si="6"/>
        <v>Sun</v>
      </c>
      <c r="M1306" s="78" t="str">
        <f>IFERROR(VLOOKUP(A1306, Entries!A:B,2,false),"")</f>
        <v>Stoic Studio</v>
      </c>
      <c r="N1306" s="23" t="str">
        <f>IFERROR(VLOOKUP(A1306, Entries!A:K,11,false),"")</f>
        <v/>
      </c>
      <c r="O1306" s="23" t="b">
        <f>IFERROR(VLOOKUP(A1306, Entries!A:I,8,false),"")</f>
        <v>0</v>
      </c>
    </row>
    <row r="1307">
      <c r="A1307" s="78" t="s">
        <v>1319</v>
      </c>
      <c r="B1307" s="78" t="s">
        <v>29</v>
      </c>
      <c r="C1307" s="85">
        <v>44545.0</v>
      </c>
      <c r="D1307" s="85">
        <v>45160.0</v>
      </c>
      <c r="E1307" s="86">
        <v>6.47</v>
      </c>
      <c r="F1307" s="87">
        <v>3.19</v>
      </c>
      <c r="G1307" s="88">
        <f t="shared" si="1"/>
        <v>-3.28</v>
      </c>
      <c r="H1307" s="89">
        <f t="shared" si="7"/>
        <v>-1.028213166</v>
      </c>
      <c r="I1307" s="78" t="s">
        <v>1751</v>
      </c>
      <c r="J1307" s="78" t="s">
        <v>69</v>
      </c>
      <c r="K1307" s="58">
        <f t="shared" si="3"/>
        <v>615</v>
      </c>
      <c r="L1307" s="91" t="str">
        <f t="shared" si="6"/>
        <v>Tue</v>
      </c>
      <c r="M1307" s="78" t="str">
        <f>IFERROR(VLOOKUP(A1307, Entries!A:B,2,false),"")</f>
        <v>Assemble Entertainment</v>
      </c>
      <c r="N1307" s="23" t="str">
        <f>IFERROR(VLOOKUP(A1307, Entries!A:K,11,false),"")</f>
        <v/>
      </c>
      <c r="O1307" s="23" t="b">
        <f>IFERROR(VLOOKUP(A1307, Entries!A:I,8,false),"")</f>
        <v>1</v>
      </c>
    </row>
    <row r="1308">
      <c r="A1308" s="78" t="s">
        <v>1752</v>
      </c>
      <c r="B1308" s="78" t="s">
        <v>19</v>
      </c>
      <c r="C1308" s="85">
        <v>44545.0</v>
      </c>
      <c r="D1308" s="85">
        <v>44617.0</v>
      </c>
      <c r="E1308" s="86">
        <v>13.18</v>
      </c>
      <c r="F1308" s="87">
        <v>13.61</v>
      </c>
      <c r="G1308" s="88">
        <f t="shared" si="1"/>
        <v>0.43</v>
      </c>
      <c r="H1308" s="89">
        <f t="shared" si="7"/>
        <v>0.03159441587</v>
      </c>
      <c r="I1308" s="78" t="s">
        <v>1753</v>
      </c>
      <c r="J1308" s="78" t="s">
        <v>69</v>
      </c>
      <c r="K1308" s="58">
        <f t="shared" si="3"/>
        <v>72</v>
      </c>
      <c r="L1308" s="91" t="str">
        <f t="shared" si="6"/>
        <v>Fri</v>
      </c>
      <c r="M1308" s="78" t="str">
        <f>IFERROR(VLOOKUP(A1308, Entries!A:B,2,false),"")</f>
        <v>CI Games</v>
      </c>
      <c r="N1308" s="23" t="str">
        <f>IFERROR(VLOOKUP(A1308, Entries!A:K,11,false),"")</f>
        <v/>
      </c>
      <c r="O1308" s="23" t="b">
        <f>IFERROR(VLOOKUP(A1308, Entries!A:I,8,false),"")</f>
        <v>0</v>
      </c>
    </row>
    <row r="1309">
      <c r="A1309" s="78" t="s">
        <v>1754</v>
      </c>
      <c r="B1309" s="78" t="s">
        <v>19</v>
      </c>
      <c r="C1309" s="85">
        <v>44546.0</v>
      </c>
      <c r="D1309" s="85">
        <v>44548.0</v>
      </c>
      <c r="E1309" s="86">
        <v>34.39</v>
      </c>
      <c r="F1309" s="87">
        <v>41.42</v>
      </c>
      <c r="G1309" s="88">
        <f t="shared" si="1"/>
        <v>7.03</v>
      </c>
      <c r="H1309" s="89">
        <f t="shared" si="7"/>
        <v>0.1697247706</v>
      </c>
      <c r="I1309" s="78" t="s">
        <v>1755</v>
      </c>
      <c r="J1309" s="78" t="s">
        <v>69</v>
      </c>
      <c r="K1309" s="58">
        <f t="shared" si="3"/>
        <v>2</v>
      </c>
      <c r="L1309" s="91" t="str">
        <f t="shared" si="6"/>
        <v>Sat</v>
      </c>
      <c r="M1309" s="78" t="str">
        <f>IFERROR(VLOOKUP(A1309, Entries!A:B,2,false),"")</f>
        <v>Arc System Works</v>
      </c>
      <c r="N1309" s="23" t="str">
        <f>IFERROR(VLOOKUP(A1309, Entries!A:K,11,false),"")</f>
        <v/>
      </c>
      <c r="O1309" s="23" t="b">
        <f>IFERROR(VLOOKUP(A1309, Entries!A:I,8,false),"")</f>
        <v>0</v>
      </c>
    </row>
    <row r="1310">
      <c r="A1310" s="78" t="s">
        <v>1756</v>
      </c>
      <c r="B1310" s="78" t="s">
        <v>19</v>
      </c>
      <c r="C1310" s="85">
        <v>44546.0</v>
      </c>
      <c r="D1310" s="85">
        <v>44567.0</v>
      </c>
      <c r="E1310" s="86">
        <v>0.0</v>
      </c>
      <c r="F1310" s="87">
        <v>0.45</v>
      </c>
      <c r="G1310" s="88">
        <f t="shared" si="1"/>
        <v>0.45</v>
      </c>
      <c r="H1310" s="89">
        <f t="shared" si="7"/>
        <v>1</v>
      </c>
      <c r="I1310" s="78" t="s">
        <v>1757</v>
      </c>
      <c r="J1310" s="78" t="s">
        <v>69</v>
      </c>
      <c r="K1310" s="58">
        <f t="shared" si="3"/>
        <v>21</v>
      </c>
      <c r="L1310" s="91" t="str">
        <f t="shared" si="6"/>
        <v>Thu</v>
      </c>
      <c r="M1310" s="78" t="str">
        <f>IFERROR(VLOOKUP(A1310, Entries!A:B,2,false),"")</f>
        <v>1C Entertainment</v>
      </c>
      <c r="N1310" s="23" t="str">
        <f>IFERROR(VLOOKUP(A1310, Entries!A:K,11,false),"")</f>
        <v/>
      </c>
      <c r="O1310" s="23" t="b">
        <f>IFERROR(VLOOKUP(A1310, Entries!A:I,8,false),"")</f>
        <v>0</v>
      </c>
    </row>
    <row r="1311">
      <c r="A1311" s="78" t="s">
        <v>669</v>
      </c>
      <c r="B1311" s="78" t="s">
        <v>19</v>
      </c>
      <c r="C1311" s="85">
        <v>44546.0</v>
      </c>
      <c r="D1311" s="85">
        <v>44583.0</v>
      </c>
      <c r="E1311" s="86">
        <v>1.75</v>
      </c>
      <c r="F1311" s="87">
        <v>3.86</v>
      </c>
      <c r="G1311" s="88">
        <f t="shared" si="1"/>
        <v>2.11</v>
      </c>
      <c r="H1311" s="89">
        <f t="shared" si="7"/>
        <v>0.5466321244</v>
      </c>
      <c r="I1311" s="78" t="s">
        <v>1758</v>
      </c>
      <c r="J1311" s="78" t="s">
        <v>69</v>
      </c>
      <c r="K1311" s="58">
        <f t="shared" si="3"/>
        <v>37</v>
      </c>
      <c r="L1311" s="91" t="str">
        <f t="shared" si="6"/>
        <v>Sat</v>
      </c>
      <c r="M1311" s="78" t="str">
        <f>IFERROR(VLOOKUP(A1311, Entries!A:B,2,false),"")</f>
        <v>Atari</v>
      </c>
      <c r="N1311" s="23" t="str">
        <f>IFERROR(VLOOKUP(A1311, Entries!A:K,11,false),"")</f>
        <v/>
      </c>
      <c r="O1311" s="23" t="b">
        <f>IFERROR(VLOOKUP(A1311, Entries!A:I,8,false),"")</f>
        <v>0</v>
      </c>
    </row>
    <row r="1312">
      <c r="A1312" s="78" t="s">
        <v>1759</v>
      </c>
      <c r="B1312" s="78" t="s">
        <v>19</v>
      </c>
      <c r="C1312" s="85">
        <v>44546.0</v>
      </c>
      <c r="D1312" s="85">
        <v>44551.0</v>
      </c>
      <c r="E1312" s="86">
        <v>8.44</v>
      </c>
      <c r="F1312" s="87">
        <v>9.22</v>
      </c>
      <c r="G1312" s="88">
        <f t="shared" si="1"/>
        <v>0.78</v>
      </c>
      <c r="H1312" s="89">
        <f t="shared" si="7"/>
        <v>0.08459869848</v>
      </c>
      <c r="I1312" s="78" t="s">
        <v>1760</v>
      </c>
      <c r="J1312" s="78" t="s">
        <v>69</v>
      </c>
      <c r="K1312" s="58">
        <f t="shared" si="3"/>
        <v>5</v>
      </c>
      <c r="L1312" s="91" t="str">
        <f t="shared" si="6"/>
        <v>Tue</v>
      </c>
      <c r="M1312" s="78" t="str">
        <f>IFERROR(VLOOKUP(A1312, Entries!A:B,2,false),"")</f>
        <v>THQ Nordic</v>
      </c>
      <c r="N1312" s="23" t="str">
        <f>IFERROR(VLOOKUP(A1312, Entries!A:K,11,false),"")</f>
        <v/>
      </c>
      <c r="O1312" s="23" t="b">
        <f>IFERROR(VLOOKUP(A1312, Entries!A:I,8,false),"")</f>
        <v>0</v>
      </c>
    </row>
    <row r="1313">
      <c r="A1313" s="78" t="s">
        <v>1735</v>
      </c>
      <c r="B1313" s="78" t="s">
        <v>23</v>
      </c>
      <c r="C1313" s="85">
        <v>44547.0</v>
      </c>
      <c r="D1313" s="85">
        <v>45179.0</v>
      </c>
      <c r="E1313" s="86">
        <v>14.77</v>
      </c>
      <c r="F1313" s="87">
        <v>5.48</v>
      </c>
      <c r="G1313" s="88">
        <f t="shared" si="1"/>
        <v>-9.29</v>
      </c>
      <c r="H1313" s="89">
        <f t="shared" si="7"/>
        <v>-1.695255474</v>
      </c>
      <c r="I1313" s="78" t="s">
        <v>1761</v>
      </c>
      <c r="J1313" s="78" t="s">
        <v>69</v>
      </c>
      <c r="K1313" s="58">
        <f t="shared" si="3"/>
        <v>632</v>
      </c>
      <c r="L1313" s="91" t="str">
        <f t="shared" si="6"/>
        <v>Sun</v>
      </c>
      <c r="M1313" s="78" t="str">
        <f>IFERROR(VLOOKUP(A1313, Entries!A:B,2,false),"")</f>
        <v>CI Games</v>
      </c>
      <c r="N1313" s="23" t="str">
        <f>IFERROR(VLOOKUP(A1313, Entries!A:K,11,false),"")</f>
        <v/>
      </c>
      <c r="O1313" s="23" t="b">
        <f>IFERROR(VLOOKUP(A1313, Entries!A:I,8,false),"")</f>
        <v>0</v>
      </c>
    </row>
    <row r="1314">
      <c r="A1314" s="78" t="s">
        <v>1762</v>
      </c>
      <c r="B1314" s="78" t="s">
        <v>22</v>
      </c>
      <c r="C1314" s="85">
        <v>44555.0</v>
      </c>
      <c r="D1314" s="85">
        <v>44584.0</v>
      </c>
      <c r="E1314" s="86">
        <v>0.0</v>
      </c>
      <c r="F1314" s="87">
        <v>1.13</v>
      </c>
      <c r="G1314" s="88">
        <f t="shared" si="1"/>
        <v>1.13</v>
      </c>
      <c r="H1314" s="89">
        <f t="shared" si="7"/>
        <v>1</v>
      </c>
      <c r="I1314" s="78" t="s">
        <v>1763</v>
      </c>
      <c r="J1314" s="78" t="s">
        <v>69</v>
      </c>
      <c r="K1314" s="58">
        <f t="shared" si="3"/>
        <v>29</v>
      </c>
      <c r="L1314" s="91" t="str">
        <f t="shared" si="6"/>
        <v>Sun</v>
      </c>
      <c r="M1314" s="78" t="str">
        <f>IFERROR(VLOOKUP(A1314, Entries!A:B,2,false),"")</f>
        <v>Alawar Premium</v>
      </c>
      <c r="N1314" s="23" t="str">
        <f>IFERROR(VLOOKUP(A1314, Entries!A:K,11,false),"")</f>
        <v/>
      </c>
      <c r="O1314" s="23" t="b">
        <f>IFERROR(VLOOKUP(A1314, Entries!A:I,8,false),"")</f>
        <v>0</v>
      </c>
    </row>
    <row r="1315">
      <c r="A1315" s="78" t="s">
        <v>1406</v>
      </c>
      <c r="B1315" s="78" t="s">
        <v>23</v>
      </c>
      <c r="C1315" s="85">
        <v>44548.0</v>
      </c>
      <c r="D1315" s="85">
        <v>44548.0</v>
      </c>
      <c r="E1315" s="86">
        <v>18.53</v>
      </c>
      <c r="F1315" s="87">
        <v>28.78</v>
      </c>
      <c r="G1315" s="88">
        <f t="shared" si="1"/>
        <v>10.25</v>
      </c>
      <c r="H1315" s="89">
        <f t="shared" si="7"/>
        <v>0.3561501042</v>
      </c>
      <c r="I1315" s="78" t="s">
        <v>1764</v>
      </c>
      <c r="J1315" s="78" t="s">
        <v>69</v>
      </c>
      <c r="K1315" s="58">
        <f t="shared" si="3"/>
        <v>0</v>
      </c>
      <c r="L1315" s="91" t="str">
        <f t="shared" si="6"/>
        <v>Sat</v>
      </c>
      <c r="M1315" s="78" t="str">
        <f>IFERROR(VLOOKUP(A1315, Entries!A:B,2,false),"")</f>
        <v>Eugen Systems</v>
      </c>
      <c r="N1315" s="23" t="str">
        <f>IFERROR(VLOOKUP(A1315, Entries!A:K,11,false),"")</f>
        <v/>
      </c>
      <c r="O1315" s="23" t="b">
        <f>IFERROR(VLOOKUP(A1315, Entries!A:I,8,false),"")</f>
        <v>1</v>
      </c>
    </row>
    <row r="1316">
      <c r="A1316" s="78" t="s">
        <v>1765</v>
      </c>
      <c r="B1316" s="78" t="s">
        <v>27</v>
      </c>
      <c r="C1316" s="85">
        <v>44548.0</v>
      </c>
      <c r="D1316" s="85">
        <v>44551.0</v>
      </c>
      <c r="E1316" s="86">
        <v>7.59</v>
      </c>
      <c r="F1316" s="87">
        <v>10.55</v>
      </c>
      <c r="G1316" s="88">
        <f t="shared" si="1"/>
        <v>2.96</v>
      </c>
      <c r="H1316" s="89">
        <f t="shared" si="7"/>
        <v>0.2805687204</v>
      </c>
      <c r="I1316" s="78" t="s">
        <v>1766</v>
      </c>
      <c r="J1316" s="78" t="s">
        <v>69</v>
      </c>
      <c r="K1316" s="58">
        <f t="shared" si="3"/>
        <v>3</v>
      </c>
      <c r="L1316" s="91" t="str">
        <f t="shared" si="6"/>
        <v>Tue</v>
      </c>
      <c r="M1316" s="78" t="str">
        <f>IFERROR(VLOOKUP(A1316, Entries!A:B,2,false),"")</f>
        <v>Revolution Software</v>
      </c>
      <c r="N1316" s="23" t="str">
        <f>IFERROR(VLOOKUP(A1316, Entries!A:K,11,false),"")</f>
        <v/>
      </c>
      <c r="O1316" s="23" t="b">
        <f>IFERROR(VLOOKUP(A1316, Entries!A:I,8,false),"")</f>
        <v>0</v>
      </c>
    </row>
    <row r="1317">
      <c r="A1317" s="78" t="s">
        <v>1577</v>
      </c>
      <c r="B1317" s="78" t="s">
        <v>25</v>
      </c>
      <c r="C1317" s="85">
        <v>44548.0</v>
      </c>
      <c r="D1317" s="85">
        <v>44715.0</v>
      </c>
      <c r="E1317" s="86">
        <v>9.75</v>
      </c>
      <c r="F1317" s="87">
        <v>11.12</v>
      </c>
      <c r="G1317" s="88">
        <f t="shared" si="1"/>
        <v>1.37</v>
      </c>
      <c r="H1317" s="89">
        <f t="shared" si="7"/>
        <v>0.1232014388</v>
      </c>
      <c r="I1317" s="78" t="s">
        <v>1767</v>
      </c>
      <c r="J1317" s="78" t="s">
        <v>69</v>
      </c>
      <c r="K1317" s="58">
        <f t="shared" si="3"/>
        <v>167</v>
      </c>
      <c r="L1317" s="91" t="str">
        <f t="shared" si="6"/>
        <v>Fri</v>
      </c>
      <c r="M1317" s="78" t="str">
        <f>IFERROR(VLOOKUP(A1317, Entries!A:B,2,false),"")</f>
        <v>Focus Home Interactive</v>
      </c>
      <c r="N1317" s="23" t="str">
        <f>IFERROR(VLOOKUP(A1317, Entries!A:K,11,false),"")</f>
        <v/>
      </c>
      <c r="O1317" s="23" t="b">
        <f>IFERROR(VLOOKUP(A1317, Entries!A:I,8,false),"")</f>
        <v>0</v>
      </c>
    </row>
    <row r="1318">
      <c r="A1318" s="78" t="s">
        <v>1754</v>
      </c>
      <c r="B1318" s="78" t="s">
        <v>19</v>
      </c>
      <c r="C1318" s="85">
        <v>44548.0</v>
      </c>
      <c r="D1318" s="85">
        <v>44550.0</v>
      </c>
      <c r="E1318" s="86">
        <v>34.34</v>
      </c>
      <c r="F1318" s="87">
        <v>41.34</v>
      </c>
      <c r="G1318" s="88">
        <f t="shared" si="1"/>
        <v>7</v>
      </c>
      <c r="H1318" s="89">
        <f t="shared" si="7"/>
        <v>0.1693275278</v>
      </c>
      <c r="I1318" s="78" t="s">
        <v>1768</v>
      </c>
      <c r="J1318" s="78" t="s">
        <v>69</v>
      </c>
      <c r="K1318" s="58">
        <f t="shared" si="3"/>
        <v>2</v>
      </c>
      <c r="L1318" s="91" t="str">
        <f t="shared" si="6"/>
        <v>Mon</v>
      </c>
      <c r="M1318" s="78" t="str">
        <f>IFERROR(VLOOKUP(A1318, Entries!A:B,2,false),"")</f>
        <v>Arc System Works</v>
      </c>
      <c r="N1318" s="23" t="str">
        <f>IFERROR(VLOOKUP(A1318, Entries!A:K,11,false),"")</f>
        <v/>
      </c>
      <c r="O1318" s="23" t="b">
        <f>IFERROR(VLOOKUP(A1318, Entries!A:I,8,false),"")</f>
        <v>0</v>
      </c>
    </row>
    <row r="1319">
      <c r="A1319" s="78" t="s">
        <v>1745</v>
      </c>
      <c r="B1319" s="78" t="s">
        <v>19</v>
      </c>
      <c r="C1319" s="85">
        <v>44549.0</v>
      </c>
      <c r="D1319" s="85">
        <v>44571.0</v>
      </c>
      <c r="E1319" s="86">
        <v>12.97</v>
      </c>
      <c r="F1319" s="87">
        <v>16.51</v>
      </c>
      <c r="G1319" s="88">
        <f t="shared" si="1"/>
        <v>3.54</v>
      </c>
      <c r="H1319" s="89">
        <f t="shared" si="7"/>
        <v>0.2144155058</v>
      </c>
      <c r="I1319" s="78" t="s">
        <v>1769</v>
      </c>
      <c r="J1319" s="78" t="s">
        <v>69</v>
      </c>
      <c r="K1319" s="58">
        <f t="shared" si="3"/>
        <v>22</v>
      </c>
      <c r="L1319" s="91" t="str">
        <f t="shared" si="6"/>
        <v>Mon</v>
      </c>
      <c r="M1319" s="78" t="str">
        <f>IFERROR(VLOOKUP(A1319, Entries!A:B,2,false),"")</f>
        <v>Dear Villagers</v>
      </c>
      <c r="N1319" s="23" t="str">
        <f>IFERROR(VLOOKUP(A1319, Entries!A:K,11,false),"")</f>
        <v/>
      </c>
      <c r="O1319" s="23" t="b">
        <f>IFERROR(VLOOKUP(A1319, Entries!A:I,8,false),"")</f>
        <v>0</v>
      </c>
    </row>
    <row r="1320">
      <c r="A1320" s="78" t="s">
        <v>1770</v>
      </c>
      <c r="B1320" s="78" t="s">
        <v>19</v>
      </c>
      <c r="C1320" s="85">
        <v>44549.0</v>
      </c>
      <c r="D1320" s="85">
        <v>44550.0</v>
      </c>
      <c r="E1320" s="86">
        <v>8.8</v>
      </c>
      <c r="F1320" s="87">
        <v>10.98</v>
      </c>
      <c r="G1320" s="88">
        <f t="shared" si="1"/>
        <v>2.18</v>
      </c>
      <c r="H1320" s="89">
        <f t="shared" si="7"/>
        <v>0.1985428051</v>
      </c>
      <c r="I1320" s="78" t="s">
        <v>1771</v>
      </c>
      <c r="J1320" s="78" t="s">
        <v>69</v>
      </c>
      <c r="K1320" s="58">
        <f t="shared" si="3"/>
        <v>1</v>
      </c>
      <c r="L1320" s="91" t="str">
        <f t="shared" si="6"/>
        <v>Mon</v>
      </c>
      <c r="M1320" s="78" t="str">
        <f>IFERROR(VLOOKUP(A1320, Entries!A:B,2,false),"")</f>
        <v>Warhorse Studios</v>
      </c>
      <c r="N1320" s="23" t="str">
        <f>IFERROR(VLOOKUP(A1320, Entries!A:K,11,false),"")</f>
        <v/>
      </c>
      <c r="O1320" s="23" t="b">
        <f>IFERROR(VLOOKUP(A1320, Entries!A:I,8,false),"")</f>
        <v>1</v>
      </c>
    </row>
    <row r="1321">
      <c r="A1321" s="78" t="s">
        <v>1770</v>
      </c>
      <c r="B1321" s="78" t="s">
        <v>19</v>
      </c>
      <c r="C1321" s="85">
        <v>44549.0</v>
      </c>
      <c r="D1321" s="85">
        <v>44550.0</v>
      </c>
      <c r="E1321" s="86">
        <v>8.8</v>
      </c>
      <c r="F1321" s="87">
        <v>10.98</v>
      </c>
      <c r="G1321" s="88">
        <f t="shared" si="1"/>
        <v>2.18</v>
      </c>
      <c r="H1321" s="89">
        <f t="shared" si="7"/>
        <v>0.1985428051</v>
      </c>
      <c r="I1321" s="78" t="s">
        <v>1772</v>
      </c>
      <c r="J1321" s="78" t="s">
        <v>69</v>
      </c>
      <c r="K1321" s="58">
        <f t="shared" si="3"/>
        <v>1</v>
      </c>
      <c r="L1321" s="91" t="str">
        <f t="shared" si="6"/>
        <v>Mon</v>
      </c>
      <c r="M1321" s="78" t="str">
        <f>IFERROR(VLOOKUP(A1321, Entries!A:B,2,false),"")</f>
        <v>Warhorse Studios</v>
      </c>
      <c r="N1321" s="23" t="str">
        <f>IFERROR(VLOOKUP(A1321, Entries!A:K,11,false),"")</f>
        <v/>
      </c>
      <c r="O1321" s="23" t="b">
        <f>IFERROR(VLOOKUP(A1321, Entries!A:I,8,false),"")</f>
        <v>1</v>
      </c>
    </row>
    <row r="1322">
      <c r="A1322" s="78" t="s">
        <v>1773</v>
      </c>
      <c r="B1322" s="78" t="s">
        <v>19</v>
      </c>
      <c r="C1322" s="85">
        <v>44549.0</v>
      </c>
      <c r="D1322" s="85">
        <v>44570.0</v>
      </c>
      <c r="E1322" s="86">
        <v>11.73</v>
      </c>
      <c r="F1322" s="87">
        <v>24.59</v>
      </c>
      <c r="G1322" s="88">
        <f t="shared" si="1"/>
        <v>12.86</v>
      </c>
      <c r="H1322" s="89">
        <f t="shared" si="7"/>
        <v>0.5229768198</v>
      </c>
      <c r="I1322" s="78" t="s">
        <v>1774</v>
      </c>
      <c r="J1322" s="78" t="s">
        <v>69</v>
      </c>
      <c r="K1322" s="58">
        <f t="shared" si="3"/>
        <v>21</v>
      </c>
      <c r="L1322" s="91" t="str">
        <f t="shared" si="6"/>
        <v>Sun</v>
      </c>
      <c r="M1322" s="78" t="str">
        <f>IFERROR(VLOOKUP(A1322, Entries!A:B,2,false),"")</f>
        <v>Beamdog</v>
      </c>
      <c r="N1322" s="23" t="str">
        <f>IFERROR(VLOOKUP(A1322, Entries!A:K,11,false),"")</f>
        <v/>
      </c>
      <c r="O1322" s="23" t="b">
        <f>IFERROR(VLOOKUP(A1322, Entries!A:I,8,false),"")</f>
        <v>0</v>
      </c>
    </row>
    <row r="1323">
      <c r="A1323" s="78" t="s">
        <v>1770</v>
      </c>
      <c r="B1323" s="78" t="s">
        <v>19</v>
      </c>
      <c r="C1323" s="85">
        <v>44550.0</v>
      </c>
      <c r="D1323" s="85">
        <v>44551.0</v>
      </c>
      <c r="E1323" s="86">
        <v>8.8</v>
      </c>
      <c r="F1323" s="87">
        <v>10.94</v>
      </c>
      <c r="G1323" s="88">
        <f t="shared" si="1"/>
        <v>2.14</v>
      </c>
      <c r="H1323" s="89">
        <f t="shared" si="7"/>
        <v>0.1956124314</v>
      </c>
      <c r="I1323" s="78" t="s">
        <v>1775</v>
      </c>
      <c r="J1323" s="78" t="s">
        <v>69</v>
      </c>
      <c r="K1323" s="58">
        <f t="shared" si="3"/>
        <v>1</v>
      </c>
      <c r="L1323" s="91" t="str">
        <f t="shared" si="6"/>
        <v>Tue</v>
      </c>
      <c r="M1323" s="78" t="str">
        <f>IFERROR(VLOOKUP(A1323, Entries!A:B,2,false),"")</f>
        <v>Warhorse Studios</v>
      </c>
      <c r="N1323" s="23" t="str">
        <f>IFERROR(VLOOKUP(A1323, Entries!A:K,11,false),"")</f>
        <v/>
      </c>
      <c r="O1323" s="23" t="b">
        <f>IFERROR(VLOOKUP(A1323, Entries!A:I,8,false),"")</f>
        <v>1</v>
      </c>
    </row>
    <row r="1324">
      <c r="A1324" s="78" t="s">
        <v>1770</v>
      </c>
      <c r="B1324" s="78" t="s">
        <v>19</v>
      </c>
      <c r="C1324" s="85">
        <v>44550.0</v>
      </c>
      <c r="D1324" s="85">
        <v>44551.0</v>
      </c>
      <c r="E1324" s="86">
        <v>8.8</v>
      </c>
      <c r="F1324" s="87">
        <v>10.94</v>
      </c>
      <c r="G1324" s="88">
        <f t="shared" si="1"/>
        <v>2.14</v>
      </c>
      <c r="H1324" s="89">
        <f t="shared" si="7"/>
        <v>0.1956124314</v>
      </c>
      <c r="I1324" s="78" t="s">
        <v>1776</v>
      </c>
      <c r="J1324" s="78" t="s">
        <v>69</v>
      </c>
      <c r="K1324" s="58">
        <f t="shared" si="3"/>
        <v>1</v>
      </c>
      <c r="L1324" s="91" t="str">
        <f t="shared" si="6"/>
        <v>Tue</v>
      </c>
      <c r="M1324" s="78" t="str">
        <f>IFERROR(VLOOKUP(A1324, Entries!A:B,2,false),"")</f>
        <v>Warhorse Studios</v>
      </c>
      <c r="N1324" s="23" t="str">
        <f>IFERROR(VLOOKUP(A1324, Entries!A:K,11,false),"")</f>
        <v/>
      </c>
      <c r="O1324" s="23" t="b">
        <f>IFERROR(VLOOKUP(A1324, Entries!A:I,8,false),"")</f>
        <v>1</v>
      </c>
    </row>
    <row r="1325">
      <c r="A1325" s="78" t="s">
        <v>1770</v>
      </c>
      <c r="B1325" s="78" t="s">
        <v>19</v>
      </c>
      <c r="C1325" s="85">
        <v>44550.0</v>
      </c>
      <c r="D1325" s="85">
        <v>44551.0</v>
      </c>
      <c r="E1325" s="86">
        <v>8.34</v>
      </c>
      <c r="F1325" s="87">
        <v>10.94</v>
      </c>
      <c r="G1325" s="88">
        <f t="shared" si="1"/>
        <v>2.6</v>
      </c>
      <c r="H1325" s="89">
        <f t="shared" si="7"/>
        <v>0.2376599634</v>
      </c>
      <c r="I1325" s="78" t="s">
        <v>1777</v>
      </c>
      <c r="J1325" s="78" t="s">
        <v>69</v>
      </c>
      <c r="K1325" s="58">
        <f t="shared" si="3"/>
        <v>1</v>
      </c>
      <c r="L1325" s="91" t="str">
        <f t="shared" si="6"/>
        <v>Tue</v>
      </c>
      <c r="M1325" s="78" t="str">
        <f>IFERROR(VLOOKUP(A1325, Entries!A:B,2,false),"")</f>
        <v>Warhorse Studios</v>
      </c>
      <c r="N1325" s="23" t="str">
        <f>IFERROR(VLOOKUP(A1325, Entries!A:K,11,false),"")</f>
        <v/>
      </c>
      <c r="O1325" s="23" t="b">
        <f>IFERROR(VLOOKUP(A1325, Entries!A:I,8,false),"")</f>
        <v>1</v>
      </c>
    </row>
    <row r="1326">
      <c r="A1326" s="78" t="s">
        <v>1754</v>
      </c>
      <c r="B1326" s="78" t="s">
        <v>19</v>
      </c>
      <c r="C1326" s="85">
        <v>44550.0</v>
      </c>
      <c r="D1326" s="85">
        <v>44553.0</v>
      </c>
      <c r="E1326" s="86">
        <v>34.34</v>
      </c>
      <c r="F1326" s="87">
        <v>41.25</v>
      </c>
      <c r="G1326" s="88">
        <f t="shared" si="1"/>
        <v>6.91</v>
      </c>
      <c r="H1326" s="89">
        <f t="shared" si="7"/>
        <v>0.1675151515</v>
      </c>
      <c r="I1326" s="78" t="s">
        <v>1778</v>
      </c>
      <c r="J1326" s="78" t="s">
        <v>69</v>
      </c>
      <c r="K1326" s="58">
        <f t="shared" si="3"/>
        <v>3</v>
      </c>
      <c r="L1326" s="91" t="str">
        <f t="shared" si="6"/>
        <v>Thu</v>
      </c>
      <c r="M1326" s="78" t="str">
        <f>IFERROR(VLOOKUP(A1326, Entries!A:B,2,false),"")</f>
        <v>Arc System Works</v>
      </c>
      <c r="N1326" s="23" t="str">
        <f>IFERROR(VLOOKUP(A1326, Entries!A:K,11,false),"")</f>
        <v/>
      </c>
      <c r="O1326" s="23" t="b">
        <f>IFERROR(VLOOKUP(A1326, Entries!A:I,8,false),"")</f>
        <v>0</v>
      </c>
    </row>
    <row r="1327">
      <c r="A1327" s="78" t="s">
        <v>1742</v>
      </c>
      <c r="B1327" s="78" t="s">
        <v>19</v>
      </c>
      <c r="C1327" s="85">
        <v>44551.0</v>
      </c>
      <c r="D1327" s="85">
        <v>44586.0</v>
      </c>
      <c r="E1327" s="86">
        <v>4.63</v>
      </c>
      <c r="F1327" s="87">
        <v>6.49</v>
      </c>
      <c r="G1327" s="88">
        <f t="shared" si="1"/>
        <v>1.86</v>
      </c>
      <c r="H1327" s="89">
        <f t="shared" si="7"/>
        <v>0.2865947612</v>
      </c>
      <c r="I1327" s="78" t="s">
        <v>1779</v>
      </c>
      <c r="J1327" s="78" t="s">
        <v>69</v>
      </c>
      <c r="K1327" s="58">
        <f t="shared" si="3"/>
        <v>35</v>
      </c>
      <c r="L1327" s="91" t="str">
        <f t="shared" si="6"/>
        <v>Tue</v>
      </c>
      <c r="M1327" s="78" t="str">
        <f>IFERROR(VLOOKUP(A1327, Entries!A:B,2,false),"")</f>
        <v>Stygian Software</v>
      </c>
      <c r="N1327" s="23" t="str">
        <f>IFERROR(VLOOKUP(A1327, Entries!A:K,11,false),"")</f>
        <v/>
      </c>
      <c r="O1327" s="23" t="b">
        <f>IFERROR(VLOOKUP(A1327, Entries!A:I,8,false),"")</f>
        <v>0</v>
      </c>
    </row>
    <row r="1328">
      <c r="A1328" s="78" t="s">
        <v>1770</v>
      </c>
      <c r="B1328" s="78" t="s">
        <v>19</v>
      </c>
      <c r="C1328" s="85">
        <v>44551.0</v>
      </c>
      <c r="D1328" s="85">
        <v>44551.0</v>
      </c>
      <c r="E1328" s="86">
        <v>8.8</v>
      </c>
      <c r="F1328" s="87">
        <v>10.94</v>
      </c>
      <c r="G1328" s="88">
        <f t="shared" si="1"/>
        <v>2.14</v>
      </c>
      <c r="H1328" s="89">
        <f t="shared" si="7"/>
        <v>0.1956124314</v>
      </c>
      <c r="I1328" s="78" t="s">
        <v>1780</v>
      </c>
      <c r="J1328" s="78" t="s">
        <v>69</v>
      </c>
      <c r="K1328" s="58">
        <f t="shared" si="3"/>
        <v>0</v>
      </c>
      <c r="L1328" s="91" t="str">
        <f t="shared" si="6"/>
        <v>Tue</v>
      </c>
      <c r="M1328" s="78" t="str">
        <f>IFERROR(VLOOKUP(A1328, Entries!A:B,2,false),"")</f>
        <v>Warhorse Studios</v>
      </c>
      <c r="N1328" s="23" t="str">
        <f>IFERROR(VLOOKUP(A1328, Entries!A:K,11,false),"")</f>
        <v/>
      </c>
      <c r="O1328" s="23" t="b">
        <f>IFERROR(VLOOKUP(A1328, Entries!A:I,8,false),"")</f>
        <v>1</v>
      </c>
    </row>
    <row r="1329">
      <c r="A1329" s="78" t="s">
        <v>1770</v>
      </c>
      <c r="B1329" s="78" t="s">
        <v>19</v>
      </c>
      <c r="C1329" s="85">
        <v>44551.0</v>
      </c>
      <c r="D1329" s="85">
        <v>44695.0</v>
      </c>
      <c r="E1329" s="86">
        <v>8.8</v>
      </c>
      <c r="F1329" s="87">
        <v>8.96</v>
      </c>
      <c r="G1329" s="88">
        <f t="shared" si="1"/>
        <v>0.16</v>
      </c>
      <c r="H1329" s="89">
        <f t="shared" si="7"/>
        <v>0.01785714286</v>
      </c>
      <c r="I1329" s="78" t="s">
        <v>1781</v>
      </c>
      <c r="J1329" s="78" t="s">
        <v>69</v>
      </c>
      <c r="K1329" s="58">
        <f t="shared" si="3"/>
        <v>144</v>
      </c>
      <c r="L1329" s="91" t="str">
        <f t="shared" si="6"/>
        <v>Sat</v>
      </c>
      <c r="M1329" s="78" t="str">
        <f>IFERROR(VLOOKUP(A1329, Entries!A:B,2,false),"")</f>
        <v>Warhorse Studios</v>
      </c>
      <c r="N1329" s="23" t="str">
        <f>IFERROR(VLOOKUP(A1329, Entries!A:K,11,false),"")</f>
        <v/>
      </c>
      <c r="O1329" s="23" t="b">
        <f>IFERROR(VLOOKUP(A1329, Entries!A:I,8,false),"")</f>
        <v>1</v>
      </c>
    </row>
    <row r="1330">
      <c r="A1330" s="78" t="s">
        <v>1770</v>
      </c>
      <c r="B1330" s="78" t="s">
        <v>19</v>
      </c>
      <c r="C1330" s="85">
        <v>44551.0</v>
      </c>
      <c r="D1330" s="85">
        <v>44695.0</v>
      </c>
      <c r="E1330" s="86">
        <v>8.8</v>
      </c>
      <c r="F1330" s="87">
        <v>10.03</v>
      </c>
      <c r="G1330" s="88">
        <f t="shared" si="1"/>
        <v>1.23</v>
      </c>
      <c r="H1330" s="89">
        <f t="shared" si="7"/>
        <v>0.1226321037</v>
      </c>
      <c r="I1330" s="78" t="s">
        <v>1782</v>
      </c>
      <c r="J1330" s="78" t="s">
        <v>69</v>
      </c>
      <c r="K1330" s="58">
        <f t="shared" si="3"/>
        <v>144</v>
      </c>
      <c r="L1330" s="91" t="str">
        <f t="shared" si="6"/>
        <v>Sat</v>
      </c>
      <c r="M1330" s="78" t="str">
        <f>IFERROR(VLOOKUP(A1330, Entries!A:B,2,false),"")</f>
        <v>Warhorse Studios</v>
      </c>
      <c r="N1330" s="23" t="str">
        <f>IFERROR(VLOOKUP(A1330, Entries!A:K,11,false),"")</f>
        <v/>
      </c>
      <c r="O1330" s="23" t="b">
        <f>IFERROR(VLOOKUP(A1330, Entries!A:I,8,false),"")</f>
        <v>1</v>
      </c>
    </row>
    <row r="1331">
      <c r="A1331" s="78" t="s">
        <v>1770</v>
      </c>
      <c r="B1331" s="78" t="s">
        <v>19</v>
      </c>
      <c r="C1331" s="85">
        <v>44551.0</v>
      </c>
      <c r="D1331" s="85">
        <v>44696.0</v>
      </c>
      <c r="E1331" s="86">
        <v>8.8</v>
      </c>
      <c r="F1331" s="87">
        <v>10.01</v>
      </c>
      <c r="G1331" s="88">
        <f t="shared" si="1"/>
        <v>1.21</v>
      </c>
      <c r="H1331" s="89">
        <f t="shared" si="7"/>
        <v>0.1208791209</v>
      </c>
      <c r="I1331" s="78" t="s">
        <v>1783</v>
      </c>
      <c r="J1331" s="78" t="s">
        <v>69</v>
      </c>
      <c r="K1331" s="58">
        <f t="shared" si="3"/>
        <v>145</v>
      </c>
      <c r="L1331" s="91" t="str">
        <f t="shared" si="6"/>
        <v>Sun</v>
      </c>
      <c r="M1331" s="78" t="str">
        <f>IFERROR(VLOOKUP(A1331, Entries!A:B,2,false),"")</f>
        <v>Warhorse Studios</v>
      </c>
      <c r="N1331" s="23" t="str">
        <f>IFERROR(VLOOKUP(A1331, Entries!A:K,11,false),"")</f>
        <v/>
      </c>
      <c r="O1331" s="23" t="b">
        <f>IFERROR(VLOOKUP(A1331, Entries!A:I,8,false),"")</f>
        <v>1</v>
      </c>
    </row>
    <row r="1332">
      <c r="A1332" s="78" t="s">
        <v>1770</v>
      </c>
      <c r="B1332" s="78" t="s">
        <v>19</v>
      </c>
      <c r="C1332" s="85">
        <v>44551.0</v>
      </c>
      <c r="D1332" s="85">
        <v>44696.0</v>
      </c>
      <c r="E1332" s="86">
        <v>8.34</v>
      </c>
      <c r="F1332" s="87">
        <v>10.01</v>
      </c>
      <c r="G1332" s="88">
        <f t="shared" si="1"/>
        <v>1.67</v>
      </c>
      <c r="H1332" s="89">
        <f t="shared" si="7"/>
        <v>0.1668331668</v>
      </c>
      <c r="I1332" s="78" t="s">
        <v>1784</v>
      </c>
      <c r="J1332" s="78" t="s">
        <v>69</v>
      </c>
      <c r="K1332" s="58">
        <f t="shared" si="3"/>
        <v>145</v>
      </c>
      <c r="L1332" s="91" t="str">
        <f t="shared" si="6"/>
        <v>Sun</v>
      </c>
      <c r="M1332" s="78" t="str">
        <f>IFERROR(VLOOKUP(A1332, Entries!A:B,2,false),"")</f>
        <v>Warhorse Studios</v>
      </c>
      <c r="N1332" s="23" t="str">
        <f>IFERROR(VLOOKUP(A1332, Entries!A:K,11,false),"")</f>
        <v/>
      </c>
      <c r="O1332" s="23" t="b">
        <f>IFERROR(VLOOKUP(A1332, Entries!A:I,8,false),"")</f>
        <v>1</v>
      </c>
    </row>
    <row r="1333">
      <c r="A1333" s="78" t="s">
        <v>1754</v>
      </c>
      <c r="B1333" s="78" t="s">
        <v>19</v>
      </c>
      <c r="C1333" s="85">
        <v>44554.0</v>
      </c>
      <c r="D1333" s="85">
        <v>44568.0</v>
      </c>
      <c r="E1333" s="86">
        <v>34.18</v>
      </c>
      <c r="F1333" s="87">
        <v>40.94</v>
      </c>
      <c r="G1333" s="88">
        <f t="shared" si="1"/>
        <v>6.76</v>
      </c>
      <c r="H1333" s="89">
        <f t="shared" si="7"/>
        <v>0.1651196873</v>
      </c>
      <c r="I1333" s="78" t="s">
        <v>1785</v>
      </c>
      <c r="J1333" s="78" t="s">
        <v>69</v>
      </c>
      <c r="K1333" s="58">
        <f t="shared" si="3"/>
        <v>14</v>
      </c>
      <c r="L1333" s="91" t="str">
        <f t="shared" si="6"/>
        <v>Fri</v>
      </c>
      <c r="M1333" s="78" t="str">
        <f>IFERROR(VLOOKUP(A1333, Entries!A:B,2,false),"")</f>
        <v>Arc System Works</v>
      </c>
      <c r="N1333" s="23" t="str">
        <f>IFERROR(VLOOKUP(A1333, Entries!A:K,11,false),"")</f>
        <v/>
      </c>
      <c r="O1333" s="23" t="b">
        <f>IFERROR(VLOOKUP(A1333, Entries!A:I,8,false),"")</f>
        <v>0</v>
      </c>
    </row>
    <row r="1334">
      <c r="A1334" s="78" t="s">
        <v>1786</v>
      </c>
      <c r="B1334" s="78" t="s">
        <v>27</v>
      </c>
      <c r="C1334" s="85">
        <v>44554.0</v>
      </c>
      <c r="D1334" s="85">
        <v>44555.0</v>
      </c>
      <c r="E1334" s="86">
        <v>12.63</v>
      </c>
      <c r="F1334" s="87">
        <v>15.3</v>
      </c>
      <c r="G1334" s="88">
        <f t="shared" si="1"/>
        <v>2.67</v>
      </c>
      <c r="H1334" s="89">
        <f t="shared" si="7"/>
        <v>0.1745098039</v>
      </c>
      <c r="I1334" s="78" t="s">
        <v>1787</v>
      </c>
      <c r="J1334" s="78" t="s">
        <v>69</v>
      </c>
      <c r="K1334" s="58">
        <f t="shared" si="3"/>
        <v>1</v>
      </c>
      <c r="L1334" s="91" t="str">
        <f t="shared" si="6"/>
        <v>Sat</v>
      </c>
      <c r="M1334" s="78" t="str">
        <f>IFERROR(VLOOKUP(A1334, Entries!A:B,2,false),"")</f>
        <v>Bethesda Softworks</v>
      </c>
      <c r="N1334" s="23" t="str">
        <f>IFERROR(VLOOKUP(A1334, Entries!A:K,11,false),"")</f>
        <v/>
      </c>
      <c r="O1334" s="23" t="b">
        <f>IFERROR(VLOOKUP(A1334, Entries!A:I,8,false),"")</f>
        <v>1</v>
      </c>
    </row>
    <row r="1335">
      <c r="A1335" s="78" t="s">
        <v>1577</v>
      </c>
      <c r="B1335" s="78" t="s">
        <v>25</v>
      </c>
      <c r="C1335" s="85">
        <v>44554.0</v>
      </c>
      <c r="D1335" s="85">
        <v>44717.0</v>
      </c>
      <c r="E1335" s="86">
        <v>9.77</v>
      </c>
      <c r="F1335" s="87">
        <v>11.12</v>
      </c>
      <c r="G1335" s="88">
        <f t="shared" si="1"/>
        <v>1.35</v>
      </c>
      <c r="H1335" s="89">
        <f t="shared" si="7"/>
        <v>0.1214028777</v>
      </c>
      <c r="I1335" s="78" t="s">
        <v>1788</v>
      </c>
      <c r="J1335" s="78" t="s">
        <v>69</v>
      </c>
      <c r="K1335" s="58">
        <f t="shared" si="3"/>
        <v>163</v>
      </c>
      <c r="L1335" s="91" t="str">
        <f t="shared" si="6"/>
        <v>Sun</v>
      </c>
      <c r="M1335" s="78" t="str">
        <f>IFERROR(VLOOKUP(A1335, Entries!A:B,2,false),"")</f>
        <v>Focus Home Interactive</v>
      </c>
      <c r="N1335" s="23" t="str">
        <f>IFERROR(VLOOKUP(A1335, Entries!A:K,11,false),"")</f>
        <v/>
      </c>
      <c r="O1335" s="23" t="b">
        <f>IFERROR(VLOOKUP(A1335, Entries!A:I,8,false),"")</f>
        <v>0</v>
      </c>
    </row>
    <row r="1336">
      <c r="A1336" s="78" t="s">
        <v>1740</v>
      </c>
      <c r="B1336" s="78" t="s">
        <v>19</v>
      </c>
      <c r="C1336" s="85">
        <v>44555.0</v>
      </c>
      <c r="D1336" s="85">
        <v>44578.0</v>
      </c>
      <c r="E1336" s="86">
        <v>6.45</v>
      </c>
      <c r="F1336" s="87">
        <v>8.06</v>
      </c>
      <c r="G1336" s="88">
        <f t="shared" si="1"/>
        <v>1.61</v>
      </c>
      <c r="H1336" s="89">
        <f t="shared" si="7"/>
        <v>0.199751861</v>
      </c>
      <c r="I1336" s="78" t="s">
        <v>1789</v>
      </c>
      <c r="J1336" s="78" t="s">
        <v>69</v>
      </c>
      <c r="K1336" s="58">
        <f t="shared" si="3"/>
        <v>23</v>
      </c>
      <c r="L1336" s="91" t="str">
        <f t="shared" si="6"/>
        <v>Mon</v>
      </c>
      <c r="M1336" s="78" t="str">
        <f>IFERROR(VLOOKUP(A1336, Entries!A:B,2,false),"")</f>
        <v>DANGEN Entertainment</v>
      </c>
      <c r="N1336" s="23" t="str">
        <f>IFERROR(VLOOKUP(A1336, Entries!A:K,11,false),"")</f>
        <v/>
      </c>
      <c r="O1336" s="23" t="b">
        <f>IFERROR(VLOOKUP(A1336, Entries!A:I,8,false),"")</f>
        <v>0</v>
      </c>
    </row>
    <row r="1337">
      <c r="A1337" s="78" t="s">
        <v>1790</v>
      </c>
      <c r="B1337" s="78" t="s">
        <v>23</v>
      </c>
      <c r="C1337" s="85">
        <v>44555.0</v>
      </c>
      <c r="D1337" s="85">
        <v>44577.0</v>
      </c>
      <c r="E1337" s="86">
        <v>36.9</v>
      </c>
      <c r="F1337" s="87">
        <v>42.94</v>
      </c>
      <c r="G1337" s="88">
        <f t="shared" si="1"/>
        <v>6.04</v>
      </c>
      <c r="H1337" s="89">
        <f t="shared" si="7"/>
        <v>0.140661388</v>
      </c>
      <c r="I1337" s="78" t="s">
        <v>1791</v>
      </c>
      <c r="J1337" s="78" t="s">
        <v>69</v>
      </c>
      <c r="K1337" s="58">
        <f t="shared" si="3"/>
        <v>22</v>
      </c>
      <c r="L1337" s="91" t="str">
        <f t="shared" si="6"/>
        <v>Sun</v>
      </c>
      <c r="M1337" s="78" t="str">
        <f>IFERROR(VLOOKUP(A1337, Entries!A:B,2,false),"")</f>
        <v>SEGA</v>
      </c>
      <c r="N1337" s="23" t="str">
        <f>IFERROR(VLOOKUP(A1337, Entries!A:K,11,false),"")</f>
        <v/>
      </c>
      <c r="O1337" s="23" t="b">
        <f>IFERROR(VLOOKUP(A1337, Entries!A:I,8,false),"")</f>
        <v>0</v>
      </c>
    </row>
    <row r="1338">
      <c r="A1338" s="78" t="s">
        <v>1786</v>
      </c>
      <c r="B1338" s="78" t="s">
        <v>27</v>
      </c>
      <c r="C1338" s="85">
        <v>44555.0</v>
      </c>
      <c r="D1338" s="85">
        <v>44555.0</v>
      </c>
      <c r="E1338" s="86">
        <v>12.63</v>
      </c>
      <c r="F1338" s="87">
        <v>15.3</v>
      </c>
      <c r="G1338" s="88">
        <f t="shared" si="1"/>
        <v>2.67</v>
      </c>
      <c r="H1338" s="89">
        <f t="shared" si="7"/>
        <v>0.1745098039</v>
      </c>
      <c r="I1338" s="78" t="s">
        <v>1792</v>
      </c>
      <c r="J1338" s="78" t="s">
        <v>69</v>
      </c>
      <c r="K1338" s="58">
        <f t="shared" si="3"/>
        <v>0</v>
      </c>
      <c r="L1338" s="91" t="str">
        <f t="shared" si="6"/>
        <v>Sat</v>
      </c>
      <c r="M1338" s="78" t="str">
        <f>IFERROR(VLOOKUP(A1338, Entries!A:B,2,false),"")</f>
        <v>Bethesda Softworks</v>
      </c>
      <c r="N1338" s="23" t="str">
        <f>IFERROR(VLOOKUP(A1338, Entries!A:K,11,false),"")</f>
        <v/>
      </c>
      <c r="O1338" s="23" t="b">
        <f>IFERROR(VLOOKUP(A1338, Entries!A:I,8,false),"")</f>
        <v>1</v>
      </c>
    </row>
    <row r="1339">
      <c r="A1339" s="78" t="s">
        <v>719</v>
      </c>
      <c r="B1339" s="78" t="s">
        <v>19</v>
      </c>
      <c r="C1339" s="85">
        <v>44555.0</v>
      </c>
      <c r="D1339" s="85">
        <v>44555.0</v>
      </c>
      <c r="E1339" s="86">
        <v>8.34</v>
      </c>
      <c r="F1339" s="87">
        <v>9.64</v>
      </c>
      <c r="G1339" s="88">
        <f t="shared" si="1"/>
        <v>1.3</v>
      </c>
      <c r="H1339" s="89">
        <f t="shared" si="7"/>
        <v>0.1348547718</v>
      </c>
      <c r="I1339" s="78" t="s">
        <v>1793</v>
      </c>
      <c r="J1339" s="78" t="s">
        <v>69</v>
      </c>
      <c r="K1339" s="58">
        <f t="shared" si="3"/>
        <v>0</v>
      </c>
      <c r="L1339" s="91" t="str">
        <f t="shared" si="6"/>
        <v>Sat</v>
      </c>
      <c r="M1339" s="78" t="str">
        <f>IFERROR(VLOOKUP(A1339, Entries!A:B,2,false),"")</f>
        <v>Lukas Rustemeyer</v>
      </c>
      <c r="N1339" s="23" t="str">
        <f>IFERROR(VLOOKUP(A1339, Entries!A:K,11,false),"")</f>
        <v/>
      </c>
      <c r="O1339" s="23" t="b">
        <f>IFERROR(VLOOKUP(A1339, Entries!A:I,8,false),"")</f>
        <v>1</v>
      </c>
    </row>
    <row r="1340">
      <c r="A1340" s="78" t="s">
        <v>1794</v>
      </c>
      <c r="B1340" s="78" t="s">
        <v>22</v>
      </c>
      <c r="C1340" s="85">
        <v>44555.0</v>
      </c>
      <c r="D1340" s="85">
        <v>44556.0</v>
      </c>
      <c r="E1340" s="86">
        <v>0.0</v>
      </c>
      <c r="F1340" s="87">
        <v>2.07</v>
      </c>
      <c r="G1340" s="88">
        <f t="shared" si="1"/>
        <v>2.07</v>
      </c>
      <c r="H1340" s="89">
        <f t="shared" si="7"/>
        <v>1</v>
      </c>
      <c r="I1340" s="78" t="s">
        <v>1795</v>
      </c>
      <c r="J1340" s="78" t="s">
        <v>69</v>
      </c>
      <c r="K1340" s="58">
        <f t="shared" si="3"/>
        <v>1</v>
      </c>
      <c r="L1340" s="91" t="str">
        <f t="shared" si="6"/>
        <v>Sun</v>
      </c>
      <c r="M1340" s="78" t="str">
        <f>IFERROR(VLOOKUP(A1340, Entries!A:B,2,false),"")</f>
        <v>Skybound Games</v>
      </c>
      <c r="N1340" s="23" t="str">
        <f>IFERROR(VLOOKUP(A1340, Entries!A:K,11,false),"")</f>
        <v/>
      </c>
      <c r="O1340" s="23" t="b">
        <f>IFERROR(VLOOKUP(A1340, Entries!A:I,8,false),"")</f>
        <v>0</v>
      </c>
    </row>
    <row r="1341">
      <c r="A1341" s="78" t="s">
        <v>773</v>
      </c>
      <c r="B1341" s="78" t="s">
        <v>22</v>
      </c>
      <c r="C1341" s="85">
        <v>44555.0</v>
      </c>
      <c r="D1341" s="85">
        <v>44556.0</v>
      </c>
      <c r="E1341" s="86">
        <v>6.03</v>
      </c>
      <c r="F1341" s="87">
        <v>7.96</v>
      </c>
      <c r="G1341" s="88">
        <f t="shared" si="1"/>
        <v>1.93</v>
      </c>
      <c r="H1341" s="89">
        <f t="shared" si="7"/>
        <v>0.2424623116</v>
      </c>
      <c r="I1341" s="78" t="s">
        <v>1796</v>
      </c>
      <c r="J1341" s="78" t="s">
        <v>69</v>
      </c>
      <c r="K1341" s="58">
        <f t="shared" si="3"/>
        <v>1</v>
      </c>
      <c r="L1341" s="91" t="str">
        <f t="shared" si="6"/>
        <v>Sun</v>
      </c>
      <c r="M1341" s="78" t="str">
        <f>IFERROR(VLOOKUP(A1341, Entries!A:B,2,false),"")</f>
        <v>Focus Home Interactive</v>
      </c>
      <c r="N1341" s="23" t="str">
        <f>IFERROR(VLOOKUP(A1341, Entries!A:K,11,false),"")</f>
        <v/>
      </c>
      <c r="O1341" s="23" t="b">
        <f>IFERROR(VLOOKUP(A1341, Entries!A:I,8,false),"")</f>
        <v>0</v>
      </c>
    </row>
    <row r="1342">
      <c r="A1342" s="78" t="s">
        <v>773</v>
      </c>
      <c r="B1342" s="78" t="s">
        <v>22</v>
      </c>
      <c r="C1342" s="85">
        <v>44555.0</v>
      </c>
      <c r="D1342" s="85">
        <v>44583.0</v>
      </c>
      <c r="E1342" s="86">
        <v>6.04</v>
      </c>
      <c r="F1342" s="87">
        <v>7.96</v>
      </c>
      <c r="G1342" s="88">
        <f t="shared" si="1"/>
        <v>1.92</v>
      </c>
      <c r="H1342" s="89">
        <f t="shared" si="7"/>
        <v>0.2412060302</v>
      </c>
      <c r="I1342" s="78" t="s">
        <v>1797</v>
      </c>
      <c r="J1342" s="78" t="s">
        <v>69</v>
      </c>
      <c r="K1342" s="58">
        <f t="shared" si="3"/>
        <v>28</v>
      </c>
      <c r="L1342" s="91" t="str">
        <f t="shared" si="6"/>
        <v>Sat</v>
      </c>
      <c r="M1342" s="78" t="str">
        <f>IFERROR(VLOOKUP(A1342, Entries!A:B,2,false),"")</f>
        <v>Focus Home Interactive</v>
      </c>
      <c r="N1342" s="23" t="str">
        <f>IFERROR(VLOOKUP(A1342, Entries!A:K,11,false),"")</f>
        <v/>
      </c>
      <c r="O1342" s="23" t="b">
        <f>IFERROR(VLOOKUP(A1342, Entries!A:I,8,false),"")</f>
        <v>0</v>
      </c>
    </row>
    <row r="1343">
      <c r="A1343" s="78" t="s">
        <v>1794</v>
      </c>
      <c r="B1343" s="78" t="s">
        <v>22</v>
      </c>
      <c r="C1343" s="85">
        <v>44556.0</v>
      </c>
      <c r="D1343" s="85">
        <v>44556.0</v>
      </c>
      <c r="E1343" s="86">
        <v>0.0</v>
      </c>
      <c r="F1343" s="87">
        <v>2.05</v>
      </c>
      <c r="G1343" s="88">
        <f t="shared" si="1"/>
        <v>2.05</v>
      </c>
      <c r="H1343" s="89">
        <f t="shared" si="7"/>
        <v>1</v>
      </c>
      <c r="I1343" s="78" t="s">
        <v>1798</v>
      </c>
      <c r="J1343" s="78" t="s">
        <v>69</v>
      </c>
      <c r="K1343" s="58">
        <f t="shared" si="3"/>
        <v>0</v>
      </c>
      <c r="L1343" s="91" t="str">
        <f t="shared" si="6"/>
        <v>Sun</v>
      </c>
      <c r="M1343" s="78" t="str">
        <f>IFERROR(VLOOKUP(A1343, Entries!A:B,2,false),"")</f>
        <v>Skybound Games</v>
      </c>
      <c r="N1343" s="23" t="str">
        <f>IFERROR(VLOOKUP(A1343, Entries!A:K,11,false),"")</f>
        <v/>
      </c>
      <c r="O1343" s="23" t="b">
        <f>IFERROR(VLOOKUP(A1343, Entries!A:I,8,false),"")</f>
        <v>0</v>
      </c>
    </row>
    <row r="1344">
      <c r="A1344" s="78" t="s">
        <v>179</v>
      </c>
      <c r="B1344" s="78" t="s">
        <v>22</v>
      </c>
      <c r="C1344" s="85">
        <v>44556.0</v>
      </c>
      <c r="D1344" s="85">
        <v>44560.0</v>
      </c>
      <c r="E1344" s="86">
        <v>0.0</v>
      </c>
      <c r="F1344" s="87">
        <v>0.25</v>
      </c>
      <c r="G1344" s="88">
        <f t="shared" si="1"/>
        <v>0.25</v>
      </c>
      <c r="H1344" s="89">
        <f t="shared" si="7"/>
        <v>1</v>
      </c>
      <c r="I1344" s="78" t="s">
        <v>1799</v>
      </c>
      <c r="J1344" s="78" t="s">
        <v>69</v>
      </c>
      <c r="K1344" s="58">
        <f t="shared" si="3"/>
        <v>4</v>
      </c>
      <c r="L1344" s="91" t="str">
        <f t="shared" si="6"/>
        <v>Thu</v>
      </c>
      <c r="M1344" s="78" t="str">
        <f>IFERROR(VLOOKUP(A1344, Entries!A:B,2,false),"")</f>
        <v>THE BROTHERHOOD</v>
      </c>
      <c r="N1344" s="23" t="str">
        <f>IFERROR(VLOOKUP(A1344, Entries!A:K,11,false),"")</f>
        <v/>
      </c>
      <c r="O1344" s="23" t="b">
        <f>IFERROR(VLOOKUP(A1344, Entries!A:I,8,false),"")</f>
        <v>0</v>
      </c>
    </row>
    <row r="1345">
      <c r="A1345" s="78" t="s">
        <v>1800</v>
      </c>
      <c r="B1345" s="78" t="s">
        <v>27</v>
      </c>
      <c r="C1345" s="85">
        <v>44556.0</v>
      </c>
      <c r="D1345" s="85">
        <v>44558.0</v>
      </c>
      <c r="E1345" s="86">
        <v>2.85</v>
      </c>
      <c r="F1345" s="87">
        <v>3.76</v>
      </c>
      <c r="G1345" s="88">
        <f t="shared" si="1"/>
        <v>0.91</v>
      </c>
      <c r="H1345" s="89">
        <f t="shared" si="7"/>
        <v>0.2420212766</v>
      </c>
      <c r="I1345" s="78" t="s">
        <v>1801</v>
      </c>
      <c r="J1345" s="78" t="s">
        <v>69</v>
      </c>
      <c r="K1345" s="58">
        <f t="shared" si="3"/>
        <v>2</v>
      </c>
      <c r="L1345" s="91" t="str">
        <f t="shared" si="6"/>
        <v>Tue</v>
      </c>
      <c r="M1345" s="78" t="str">
        <f>IFERROR(VLOOKUP(A1345, Entries!A:B,2,false),"")</f>
        <v>Warner Bros</v>
      </c>
      <c r="N1345" s="23" t="str">
        <f>IFERROR(VLOOKUP(A1345, Entries!A:K,11,false),"")</f>
        <v/>
      </c>
      <c r="O1345" s="23" t="b">
        <f>IFERROR(VLOOKUP(A1345, Entries!A:I,8,false),"")</f>
        <v>0</v>
      </c>
    </row>
    <row r="1346">
      <c r="A1346" s="78" t="s">
        <v>773</v>
      </c>
      <c r="B1346" s="78" t="s">
        <v>22</v>
      </c>
      <c r="C1346" s="85">
        <v>44556.0</v>
      </c>
      <c r="D1346" s="85">
        <v>44583.0</v>
      </c>
      <c r="E1346" s="86">
        <v>6.03</v>
      </c>
      <c r="F1346" s="87">
        <v>7.96</v>
      </c>
      <c r="G1346" s="88">
        <f t="shared" si="1"/>
        <v>1.93</v>
      </c>
      <c r="H1346" s="89">
        <f t="shared" si="7"/>
        <v>0.2424623116</v>
      </c>
      <c r="I1346" s="78" t="s">
        <v>1802</v>
      </c>
      <c r="J1346" s="78" t="s">
        <v>69</v>
      </c>
      <c r="K1346" s="58">
        <f t="shared" si="3"/>
        <v>27</v>
      </c>
      <c r="L1346" s="91" t="str">
        <f t="shared" si="6"/>
        <v>Sat</v>
      </c>
      <c r="M1346" s="78" t="str">
        <f>IFERROR(VLOOKUP(A1346, Entries!A:B,2,false),"")</f>
        <v>Focus Home Interactive</v>
      </c>
      <c r="N1346" s="23" t="str">
        <f>IFERROR(VLOOKUP(A1346, Entries!A:K,11,false),"")</f>
        <v/>
      </c>
      <c r="O1346" s="23" t="b">
        <f>IFERROR(VLOOKUP(A1346, Entries!A:I,8,false),"")</f>
        <v>0</v>
      </c>
    </row>
    <row r="1347">
      <c r="A1347" s="78" t="s">
        <v>773</v>
      </c>
      <c r="B1347" s="78" t="s">
        <v>22</v>
      </c>
      <c r="C1347" s="85">
        <v>44556.0</v>
      </c>
      <c r="D1347" s="85">
        <v>44584.0</v>
      </c>
      <c r="E1347" s="86">
        <v>6.04</v>
      </c>
      <c r="F1347" s="87">
        <v>7.96</v>
      </c>
      <c r="G1347" s="88">
        <f t="shared" si="1"/>
        <v>1.92</v>
      </c>
      <c r="H1347" s="89">
        <f t="shared" si="7"/>
        <v>0.2412060302</v>
      </c>
      <c r="I1347" s="78" t="s">
        <v>1803</v>
      </c>
      <c r="J1347" s="78" t="s">
        <v>69</v>
      </c>
      <c r="K1347" s="58">
        <f t="shared" si="3"/>
        <v>28</v>
      </c>
      <c r="L1347" s="91" t="str">
        <f t="shared" si="6"/>
        <v>Sun</v>
      </c>
      <c r="M1347" s="78" t="str">
        <f>IFERROR(VLOOKUP(A1347, Entries!A:B,2,false),"")</f>
        <v>Focus Home Interactive</v>
      </c>
      <c r="N1347" s="23" t="str">
        <f>IFERROR(VLOOKUP(A1347, Entries!A:K,11,false),"")</f>
        <v/>
      </c>
      <c r="O1347" s="23" t="b">
        <f>IFERROR(VLOOKUP(A1347, Entries!A:I,8,false),"")</f>
        <v>0</v>
      </c>
    </row>
    <row r="1348">
      <c r="A1348" s="78" t="s">
        <v>1786</v>
      </c>
      <c r="B1348" s="78" t="s">
        <v>27</v>
      </c>
      <c r="C1348" s="85">
        <v>44556.0</v>
      </c>
      <c r="D1348" s="85">
        <v>44557.0</v>
      </c>
      <c r="E1348" s="86">
        <v>12.63</v>
      </c>
      <c r="F1348" s="87">
        <v>17.43</v>
      </c>
      <c r="G1348" s="88">
        <f t="shared" si="1"/>
        <v>4.8</v>
      </c>
      <c r="H1348" s="89">
        <f t="shared" si="7"/>
        <v>0.2753872633</v>
      </c>
      <c r="I1348" s="78" t="s">
        <v>1804</v>
      </c>
      <c r="J1348" s="78" t="s">
        <v>69</v>
      </c>
      <c r="K1348" s="58">
        <f t="shared" si="3"/>
        <v>1</v>
      </c>
      <c r="L1348" s="91" t="str">
        <f t="shared" si="6"/>
        <v>Mon</v>
      </c>
      <c r="M1348" s="78" t="str">
        <f>IFERROR(VLOOKUP(A1348, Entries!A:B,2,false),"")</f>
        <v>Bethesda Softworks</v>
      </c>
      <c r="N1348" s="23" t="str">
        <f>IFERROR(VLOOKUP(A1348, Entries!A:K,11,false),"")</f>
        <v/>
      </c>
      <c r="O1348" s="23" t="b">
        <f>IFERROR(VLOOKUP(A1348, Entries!A:I,8,false),"")</f>
        <v>1</v>
      </c>
    </row>
    <row r="1349">
      <c r="A1349" s="78" t="s">
        <v>1786</v>
      </c>
      <c r="B1349" s="78" t="s">
        <v>27</v>
      </c>
      <c r="C1349" s="85">
        <v>44557.0</v>
      </c>
      <c r="D1349" s="85">
        <v>44567.0</v>
      </c>
      <c r="E1349" s="86">
        <v>12.63</v>
      </c>
      <c r="F1349" s="87">
        <v>16.8</v>
      </c>
      <c r="G1349" s="88">
        <f t="shared" si="1"/>
        <v>4.17</v>
      </c>
      <c r="H1349" s="89">
        <f t="shared" si="7"/>
        <v>0.2482142857</v>
      </c>
      <c r="I1349" s="78" t="s">
        <v>1805</v>
      </c>
      <c r="J1349" s="78" t="s">
        <v>69</v>
      </c>
      <c r="K1349" s="58">
        <f t="shared" si="3"/>
        <v>10</v>
      </c>
      <c r="L1349" s="91" t="str">
        <f t="shared" si="6"/>
        <v>Thu</v>
      </c>
      <c r="M1349" s="78" t="str">
        <f>IFERROR(VLOOKUP(A1349, Entries!A:B,2,false),"")</f>
        <v>Bethesda Softworks</v>
      </c>
      <c r="N1349" s="23" t="str">
        <f>IFERROR(VLOOKUP(A1349, Entries!A:K,11,false),"")</f>
        <v/>
      </c>
      <c r="O1349" s="23" t="b">
        <f>IFERROR(VLOOKUP(A1349, Entries!A:I,8,false),"")</f>
        <v>1</v>
      </c>
    </row>
    <row r="1350">
      <c r="A1350" s="78" t="s">
        <v>1806</v>
      </c>
      <c r="B1350" s="78" t="s">
        <v>27</v>
      </c>
      <c r="C1350" s="85">
        <v>44557.0</v>
      </c>
      <c r="D1350" s="85">
        <v>44558.0</v>
      </c>
      <c r="E1350" s="86">
        <v>3.87</v>
      </c>
      <c r="F1350" s="87">
        <v>4.76</v>
      </c>
      <c r="G1350" s="88">
        <f t="shared" si="1"/>
        <v>0.89</v>
      </c>
      <c r="H1350" s="89">
        <f t="shared" si="7"/>
        <v>0.1869747899</v>
      </c>
      <c r="I1350" s="78" t="s">
        <v>1807</v>
      </c>
      <c r="J1350" s="78" t="s">
        <v>69</v>
      </c>
      <c r="K1350" s="58">
        <f t="shared" si="3"/>
        <v>1</v>
      </c>
      <c r="L1350" s="91" t="str">
        <f t="shared" si="6"/>
        <v>Tue</v>
      </c>
      <c r="M1350" s="78" t="str">
        <f>IFERROR(VLOOKUP(A1350, Entries!A:B,2,false),"")</f>
        <v>Daedalic Entertainment</v>
      </c>
      <c r="N1350" s="23" t="str">
        <f>IFERROR(VLOOKUP(A1350, Entries!A:K,11,false),"")</f>
        <v/>
      </c>
      <c r="O1350" s="23" t="b">
        <f>IFERROR(VLOOKUP(A1350, Entries!A:I,8,false),"")</f>
        <v>1</v>
      </c>
    </row>
    <row r="1351">
      <c r="A1351" s="78" t="s">
        <v>1800</v>
      </c>
      <c r="B1351" s="78" t="s">
        <v>27</v>
      </c>
      <c r="C1351" s="85">
        <v>44558.0</v>
      </c>
      <c r="D1351" s="85">
        <v>44558.0</v>
      </c>
      <c r="E1351" s="86">
        <v>2.85</v>
      </c>
      <c r="F1351" s="87">
        <v>3.76</v>
      </c>
      <c r="G1351" s="88">
        <f t="shared" si="1"/>
        <v>0.91</v>
      </c>
      <c r="H1351" s="89">
        <f t="shared" si="7"/>
        <v>0.2420212766</v>
      </c>
      <c r="I1351" s="78" t="s">
        <v>1808</v>
      </c>
      <c r="J1351" s="78" t="s">
        <v>69</v>
      </c>
      <c r="K1351" s="58">
        <f t="shared" si="3"/>
        <v>0</v>
      </c>
      <c r="L1351" s="91" t="str">
        <f t="shared" si="6"/>
        <v>Tue</v>
      </c>
      <c r="M1351" s="78" t="str">
        <f>IFERROR(VLOOKUP(A1351, Entries!A:B,2,false),"")</f>
        <v>Warner Bros</v>
      </c>
      <c r="N1351" s="23" t="str">
        <f>IFERROR(VLOOKUP(A1351, Entries!A:K,11,false),"")</f>
        <v/>
      </c>
      <c r="O1351" s="23" t="b">
        <f>IFERROR(VLOOKUP(A1351, Entries!A:I,8,false),"")</f>
        <v>0</v>
      </c>
    </row>
    <row r="1352">
      <c r="A1352" s="78" t="s">
        <v>1806</v>
      </c>
      <c r="B1352" s="78" t="s">
        <v>19</v>
      </c>
      <c r="C1352" s="85">
        <v>44558.0</v>
      </c>
      <c r="D1352" s="85">
        <v>44559.0</v>
      </c>
      <c r="E1352" s="86">
        <v>4.02</v>
      </c>
      <c r="F1352" s="87">
        <v>4.77</v>
      </c>
      <c r="G1352" s="88">
        <f t="shared" si="1"/>
        <v>0.75</v>
      </c>
      <c r="H1352" s="89">
        <f t="shared" si="7"/>
        <v>0.1572327044</v>
      </c>
      <c r="I1352" s="78" t="s">
        <v>1809</v>
      </c>
      <c r="J1352" s="78" t="s">
        <v>69</v>
      </c>
      <c r="K1352" s="58">
        <f t="shared" si="3"/>
        <v>1</v>
      </c>
      <c r="L1352" s="91" t="str">
        <f t="shared" si="6"/>
        <v>Wed</v>
      </c>
      <c r="M1352" s="78" t="str">
        <f>IFERROR(VLOOKUP(A1352, Entries!A:B,2,false),"")</f>
        <v>Daedalic Entertainment</v>
      </c>
      <c r="N1352" s="23" t="str">
        <f>IFERROR(VLOOKUP(A1352, Entries!A:K,11,false),"")</f>
        <v/>
      </c>
      <c r="O1352" s="23" t="b">
        <f>IFERROR(VLOOKUP(A1352, Entries!A:I,8,false),"")</f>
        <v>1</v>
      </c>
    </row>
    <row r="1353">
      <c r="A1353" s="78" t="s">
        <v>1806</v>
      </c>
      <c r="B1353" s="78" t="s">
        <v>19</v>
      </c>
      <c r="C1353" s="85">
        <v>44559.0</v>
      </c>
      <c r="D1353" s="85">
        <v>44560.0</v>
      </c>
      <c r="E1353" s="86">
        <v>4.02</v>
      </c>
      <c r="F1353" s="87">
        <v>4.77</v>
      </c>
      <c r="G1353" s="88">
        <f t="shared" si="1"/>
        <v>0.75</v>
      </c>
      <c r="H1353" s="89">
        <f t="shared" si="7"/>
        <v>0.1572327044</v>
      </c>
      <c r="I1353" s="78" t="s">
        <v>1810</v>
      </c>
      <c r="J1353" s="78" t="s">
        <v>69</v>
      </c>
      <c r="K1353" s="58">
        <f t="shared" si="3"/>
        <v>1</v>
      </c>
      <c r="L1353" s="91" t="str">
        <f t="shared" si="6"/>
        <v>Thu</v>
      </c>
      <c r="M1353" s="78" t="str">
        <f>IFERROR(VLOOKUP(A1353, Entries!A:B,2,false),"")</f>
        <v>Daedalic Entertainment</v>
      </c>
      <c r="N1353" s="23" t="str">
        <f>IFERROR(VLOOKUP(A1353, Entries!A:K,11,false),"")</f>
        <v/>
      </c>
      <c r="O1353" s="23" t="b">
        <f>IFERROR(VLOOKUP(A1353, Entries!A:I,8,false),"")</f>
        <v>1</v>
      </c>
    </row>
    <row r="1354">
      <c r="A1354" s="78" t="s">
        <v>1811</v>
      </c>
      <c r="B1354" s="78" t="s">
        <v>27</v>
      </c>
      <c r="C1354" s="85">
        <v>44560.0</v>
      </c>
      <c r="D1354" s="85">
        <v>44560.0</v>
      </c>
      <c r="E1354" s="86">
        <v>7.57</v>
      </c>
      <c r="F1354" s="87">
        <v>8.86</v>
      </c>
      <c r="G1354" s="88">
        <f t="shared" si="1"/>
        <v>1.29</v>
      </c>
      <c r="H1354" s="89">
        <f t="shared" si="7"/>
        <v>0.1455981941</v>
      </c>
      <c r="I1354" s="78" t="s">
        <v>1812</v>
      </c>
      <c r="J1354" s="78" t="s">
        <v>69</v>
      </c>
      <c r="K1354" s="58">
        <f t="shared" si="3"/>
        <v>0</v>
      </c>
      <c r="L1354" s="91" t="str">
        <f t="shared" si="6"/>
        <v>Thu</v>
      </c>
      <c r="M1354" s="78" t="str">
        <f>IFERROR(VLOOKUP(A1354, Entries!A:B,2,false),"")</f>
        <v>Mediatonic</v>
      </c>
      <c r="N1354" s="23" t="str">
        <f>IFERROR(VLOOKUP(A1354, Entries!A:K,11,false),"")</f>
        <v/>
      </c>
      <c r="O1354" s="23" t="b">
        <f>IFERROR(VLOOKUP(A1354, Entries!A:I,8,false),"")</f>
        <v>0</v>
      </c>
    </row>
    <row r="1355">
      <c r="A1355" s="78" t="s">
        <v>1806</v>
      </c>
      <c r="B1355" s="78" t="s">
        <v>27</v>
      </c>
      <c r="C1355" s="85">
        <v>44560.0</v>
      </c>
      <c r="D1355" s="85">
        <v>44562.0</v>
      </c>
      <c r="E1355" s="86">
        <v>4.15</v>
      </c>
      <c r="F1355" s="87">
        <v>4.77</v>
      </c>
      <c r="G1355" s="88">
        <f t="shared" si="1"/>
        <v>0.62</v>
      </c>
      <c r="H1355" s="89">
        <f t="shared" si="7"/>
        <v>0.1299790356</v>
      </c>
      <c r="I1355" s="78" t="s">
        <v>1813</v>
      </c>
      <c r="J1355" s="78" t="s">
        <v>69</v>
      </c>
      <c r="K1355" s="58">
        <f t="shared" si="3"/>
        <v>2</v>
      </c>
      <c r="L1355" s="91" t="str">
        <f t="shared" si="6"/>
        <v>Sat</v>
      </c>
      <c r="M1355" s="78" t="str">
        <f>IFERROR(VLOOKUP(A1355, Entries!A:B,2,false),"")</f>
        <v>Daedalic Entertainment</v>
      </c>
      <c r="N1355" s="23" t="str">
        <f>IFERROR(VLOOKUP(A1355, Entries!A:K,11,false),"")</f>
        <v/>
      </c>
      <c r="O1355" s="23" t="b">
        <f>IFERROR(VLOOKUP(A1355, Entries!A:I,8,false),"")</f>
        <v>1</v>
      </c>
    </row>
    <row r="1356">
      <c r="A1356" s="78" t="s">
        <v>1811</v>
      </c>
      <c r="B1356" s="78" t="s">
        <v>27</v>
      </c>
      <c r="C1356" s="85">
        <v>44561.0</v>
      </c>
      <c r="D1356" s="85">
        <v>44561.0</v>
      </c>
      <c r="E1356" s="86">
        <v>7.57</v>
      </c>
      <c r="F1356" s="87">
        <v>8.86</v>
      </c>
      <c r="G1356" s="88">
        <f t="shared" si="1"/>
        <v>1.29</v>
      </c>
      <c r="H1356" s="89">
        <f t="shared" si="7"/>
        <v>0.1455981941</v>
      </c>
      <c r="I1356" s="78" t="s">
        <v>1814</v>
      </c>
      <c r="J1356" s="78" t="s">
        <v>69</v>
      </c>
      <c r="K1356" s="58">
        <f t="shared" si="3"/>
        <v>0</v>
      </c>
      <c r="L1356" s="91" t="str">
        <f t="shared" si="6"/>
        <v>Fri</v>
      </c>
      <c r="M1356" s="78" t="str">
        <f>IFERROR(VLOOKUP(A1356, Entries!A:B,2,false),"")</f>
        <v>Mediatonic</v>
      </c>
      <c r="N1356" s="23" t="str">
        <f>IFERROR(VLOOKUP(A1356, Entries!A:K,11,false),"")</f>
        <v/>
      </c>
      <c r="O1356" s="23" t="b">
        <f>IFERROR(VLOOKUP(A1356, Entries!A:I,8,false),"")</f>
        <v>0</v>
      </c>
    </row>
    <row r="1357">
      <c r="A1357" s="78" t="s">
        <v>1811</v>
      </c>
      <c r="B1357" s="78" t="s">
        <v>27</v>
      </c>
      <c r="C1357" s="85">
        <v>44561.0</v>
      </c>
      <c r="D1357" s="85">
        <v>44562.0</v>
      </c>
      <c r="E1357" s="86">
        <v>7.57</v>
      </c>
      <c r="F1357" s="87">
        <v>8.88</v>
      </c>
      <c r="G1357" s="88">
        <f t="shared" si="1"/>
        <v>1.31</v>
      </c>
      <c r="H1357" s="89">
        <f t="shared" si="7"/>
        <v>0.1475225225</v>
      </c>
      <c r="I1357" s="78" t="s">
        <v>1815</v>
      </c>
      <c r="J1357" s="78" t="s">
        <v>69</v>
      </c>
      <c r="K1357" s="58">
        <f t="shared" si="3"/>
        <v>1</v>
      </c>
      <c r="L1357" s="91" t="str">
        <f t="shared" si="6"/>
        <v>Sat</v>
      </c>
      <c r="M1357" s="78" t="str">
        <f>IFERROR(VLOOKUP(A1357, Entries!A:B,2,false),"")</f>
        <v>Mediatonic</v>
      </c>
      <c r="N1357" s="23" t="str">
        <f>IFERROR(VLOOKUP(A1357, Entries!A:K,11,false),"")</f>
        <v/>
      </c>
      <c r="O1357" s="23" t="b">
        <f>IFERROR(VLOOKUP(A1357, Entries!A:I,8,false),"")</f>
        <v>0</v>
      </c>
    </row>
    <row r="1358">
      <c r="A1358" s="78" t="s">
        <v>1141</v>
      </c>
      <c r="B1358" s="78" t="s">
        <v>19</v>
      </c>
      <c r="C1358" s="85">
        <v>44561.0</v>
      </c>
      <c r="D1358" s="85">
        <v>44591.0</v>
      </c>
      <c r="E1358" s="86">
        <v>5.25</v>
      </c>
      <c r="F1358" s="87">
        <v>5.96</v>
      </c>
      <c r="G1358" s="88">
        <f t="shared" si="1"/>
        <v>0.71</v>
      </c>
      <c r="H1358" s="89">
        <f t="shared" si="7"/>
        <v>0.1191275168</v>
      </c>
      <c r="I1358" s="78" t="s">
        <v>1816</v>
      </c>
      <c r="J1358" s="78" t="s">
        <v>69</v>
      </c>
      <c r="K1358" s="58">
        <f t="shared" si="3"/>
        <v>30</v>
      </c>
      <c r="L1358" s="91" t="str">
        <f t="shared" si="6"/>
        <v>Sun</v>
      </c>
      <c r="M1358" s="78" t="str">
        <f>IFERROR(VLOOKUP(A1358, Entries!A:B,2,false),"")</f>
        <v>Devolver Digital</v>
      </c>
      <c r="N1358" s="23" t="str">
        <f>IFERROR(VLOOKUP(A1358, Entries!A:K,11,false),"")</f>
        <v/>
      </c>
      <c r="O1358" s="23" t="b">
        <f>IFERROR(VLOOKUP(A1358, Entries!A:I,8,false),"")</f>
        <v>0</v>
      </c>
    </row>
    <row r="1359">
      <c r="A1359" s="78" t="s">
        <v>1817</v>
      </c>
      <c r="B1359" s="78" t="s">
        <v>22</v>
      </c>
      <c r="C1359" s="85">
        <v>44561.0</v>
      </c>
      <c r="D1359" s="85">
        <v>44567.0</v>
      </c>
      <c r="E1359" s="86">
        <v>12.44</v>
      </c>
      <c r="F1359" s="87">
        <v>15.61</v>
      </c>
      <c r="G1359" s="88">
        <f t="shared" si="1"/>
        <v>3.17</v>
      </c>
      <c r="H1359" s="89">
        <f t="shared" si="7"/>
        <v>0.203074952</v>
      </c>
      <c r="I1359" s="78" t="s">
        <v>1818</v>
      </c>
      <c r="J1359" s="78" t="s">
        <v>69</v>
      </c>
      <c r="K1359" s="58">
        <f t="shared" si="3"/>
        <v>6</v>
      </c>
      <c r="L1359" s="91" t="str">
        <f t="shared" si="6"/>
        <v>Thu</v>
      </c>
      <c r="M1359" s="78" t="str">
        <f>IFERROR(VLOOKUP(A1359, Entries!A:B,2,false),"")</f>
        <v>Sold Out</v>
      </c>
      <c r="N1359" s="23" t="str">
        <f>IFERROR(VLOOKUP(A1359, Entries!A:K,11,false),"")</f>
        <v/>
      </c>
      <c r="O1359" s="23" t="b">
        <f>IFERROR(VLOOKUP(A1359, Entries!A:I,8,false),"")</f>
        <v>0</v>
      </c>
    </row>
    <row r="1360">
      <c r="A1360" s="78" t="s">
        <v>1806</v>
      </c>
      <c r="B1360" s="78" t="s">
        <v>27</v>
      </c>
      <c r="C1360" s="85">
        <v>44562.0</v>
      </c>
      <c r="D1360" s="85">
        <v>44567.0</v>
      </c>
      <c r="E1360" s="86">
        <v>4.14</v>
      </c>
      <c r="F1360" s="87">
        <v>4.74</v>
      </c>
      <c r="G1360" s="88">
        <f t="shared" si="1"/>
        <v>0.6</v>
      </c>
      <c r="H1360" s="89">
        <f t="shared" si="7"/>
        <v>0.1265822785</v>
      </c>
      <c r="I1360" s="78" t="s">
        <v>1819</v>
      </c>
      <c r="J1360" s="78" t="s">
        <v>69</v>
      </c>
      <c r="K1360" s="58">
        <f t="shared" si="3"/>
        <v>5</v>
      </c>
      <c r="L1360" s="91" t="str">
        <f t="shared" si="6"/>
        <v>Thu</v>
      </c>
      <c r="M1360" s="78" t="str">
        <f>IFERROR(VLOOKUP(A1360, Entries!A:B,2,false),"")</f>
        <v>Daedalic Entertainment</v>
      </c>
      <c r="N1360" s="23" t="str">
        <f>IFERROR(VLOOKUP(A1360, Entries!A:K,11,false),"")</f>
        <v/>
      </c>
      <c r="O1360" s="23" t="b">
        <f>IFERROR(VLOOKUP(A1360, Entries!A:I,8,false),"")</f>
        <v>1</v>
      </c>
    </row>
    <row r="1361">
      <c r="A1361" s="78" t="s">
        <v>1811</v>
      </c>
      <c r="B1361" s="78" t="s">
        <v>27</v>
      </c>
      <c r="C1361" s="85">
        <v>44562.0</v>
      </c>
      <c r="D1361" s="85">
        <v>44563.0</v>
      </c>
      <c r="E1361" s="86">
        <v>7.55</v>
      </c>
      <c r="F1361" s="87">
        <v>8.86</v>
      </c>
      <c r="G1361" s="88">
        <f t="shared" si="1"/>
        <v>1.31</v>
      </c>
      <c r="H1361" s="89">
        <f t="shared" si="7"/>
        <v>0.1478555305</v>
      </c>
      <c r="I1361" s="78" t="s">
        <v>1820</v>
      </c>
      <c r="J1361" s="78" t="s">
        <v>69</v>
      </c>
      <c r="K1361" s="58">
        <f t="shared" si="3"/>
        <v>1</v>
      </c>
      <c r="L1361" s="91" t="str">
        <f t="shared" si="6"/>
        <v>Sun</v>
      </c>
      <c r="M1361" s="78" t="str">
        <f>IFERROR(VLOOKUP(A1361, Entries!A:B,2,false),"")</f>
        <v>Mediatonic</v>
      </c>
      <c r="N1361" s="23" t="str">
        <f>IFERROR(VLOOKUP(A1361, Entries!A:K,11,false),"")</f>
        <v/>
      </c>
      <c r="O1361" s="23" t="b">
        <f>IFERROR(VLOOKUP(A1361, Entries!A:I,8,false),"")</f>
        <v>0</v>
      </c>
    </row>
    <row r="1362">
      <c r="A1362" s="78" t="s">
        <v>1821</v>
      </c>
      <c r="B1362" s="78" t="s">
        <v>19</v>
      </c>
      <c r="C1362" s="85">
        <v>44562.0</v>
      </c>
      <c r="D1362" s="85">
        <v>44607.0</v>
      </c>
      <c r="E1362" s="86">
        <v>19.17</v>
      </c>
      <c r="F1362" s="87">
        <v>23.16</v>
      </c>
      <c r="G1362" s="88">
        <f t="shared" si="1"/>
        <v>3.99</v>
      </c>
      <c r="H1362" s="89">
        <f t="shared" si="7"/>
        <v>0.1722797927</v>
      </c>
      <c r="I1362" s="78" t="s">
        <v>1822</v>
      </c>
      <c r="J1362" s="78" t="s">
        <v>69</v>
      </c>
      <c r="K1362" s="58">
        <f t="shared" si="3"/>
        <v>45</v>
      </c>
      <c r="L1362" s="91" t="str">
        <f t="shared" si="6"/>
        <v>Tue</v>
      </c>
      <c r="M1362" s="78" t="str">
        <f>IFERROR(VLOOKUP(A1362, Entries!A:B,2,false),"")</f>
        <v>Raiser Games</v>
      </c>
      <c r="N1362" s="23" t="str">
        <f>IFERROR(VLOOKUP(A1362, Entries!A:K,11,false),"")</f>
        <v/>
      </c>
      <c r="O1362" s="23" t="b">
        <f>IFERROR(VLOOKUP(A1362, Entries!A:I,8,false),"")</f>
        <v>0</v>
      </c>
    </row>
    <row r="1363">
      <c r="A1363" s="78" t="s">
        <v>1823</v>
      </c>
      <c r="B1363" s="78" t="s">
        <v>21</v>
      </c>
      <c r="C1363" s="85">
        <v>44562.0</v>
      </c>
      <c r="D1363" s="85">
        <v>44562.0</v>
      </c>
      <c r="E1363" s="86">
        <v>3.58</v>
      </c>
      <c r="F1363" s="87">
        <v>3.7</v>
      </c>
      <c r="G1363" s="88">
        <f t="shared" si="1"/>
        <v>0.12</v>
      </c>
      <c r="H1363" s="89">
        <f t="shared" si="7"/>
        <v>0.03243243243</v>
      </c>
      <c r="I1363" s="78" t="s">
        <v>1824</v>
      </c>
      <c r="J1363" s="78" t="s">
        <v>69</v>
      </c>
      <c r="K1363" s="58">
        <f t="shared" si="3"/>
        <v>0</v>
      </c>
      <c r="L1363" s="91" t="str">
        <f t="shared" si="6"/>
        <v>Sat</v>
      </c>
      <c r="M1363" s="78" t="str">
        <f>IFERROR(VLOOKUP(A1363, Entries!A:B,2,false),"")</f>
        <v>2K</v>
      </c>
      <c r="N1363" s="23" t="str">
        <f>IFERROR(VLOOKUP(A1363, Entries!A:K,11,false),"")</f>
        <v/>
      </c>
      <c r="O1363" s="23" t="b">
        <f>IFERROR(VLOOKUP(A1363, Entries!A:I,8,false),"")</f>
        <v>0</v>
      </c>
    </row>
    <row r="1364">
      <c r="A1364" s="78" t="s">
        <v>1823</v>
      </c>
      <c r="B1364" s="78" t="s">
        <v>21</v>
      </c>
      <c r="C1364" s="85">
        <v>44562.0</v>
      </c>
      <c r="D1364" s="85">
        <v>44574.0</v>
      </c>
      <c r="E1364" s="86">
        <v>3.59</v>
      </c>
      <c r="F1364" s="87">
        <v>4.45</v>
      </c>
      <c r="G1364" s="88">
        <f t="shared" si="1"/>
        <v>0.86</v>
      </c>
      <c r="H1364" s="89">
        <f t="shared" si="7"/>
        <v>0.193258427</v>
      </c>
      <c r="I1364" s="78" t="s">
        <v>1825</v>
      </c>
      <c r="J1364" s="78" t="s">
        <v>69</v>
      </c>
      <c r="K1364" s="58">
        <f t="shared" si="3"/>
        <v>12</v>
      </c>
      <c r="L1364" s="91" t="str">
        <f t="shared" si="6"/>
        <v>Thu</v>
      </c>
      <c r="M1364" s="78" t="str">
        <f>IFERROR(VLOOKUP(A1364, Entries!A:B,2,false),"")</f>
        <v>2K</v>
      </c>
      <c r="N1364" s="23" t="str">
        <f>IFERROR(VLOOKUP(A1364, Entries!A:K,11,false),"")</f>
        <v/>
      </c>
      <c r="O1364" s="23" t="b">
        <f>IFERROR(VLOOKUP(A1364, Entries!A:I,8,false),"")</f>
        <v>0</v>
      </c>
    </row>
    <row r="1365">
      <c r="A1365" s="78" t="s">
        <v>1823</v>
      </c>
      <c r="B1365" s="78" t="s">
        <v>21</v>
      </c>
      <c r="C1365" s="85">
        <v>44562.0</v>
      </c>
      <c r="D1365" s="85">
        <v>44574.0</v>
      </c>
      <c r="E1365" s="86">
        <v>3.59</v>
      </c>
      <c r="F1365" s="87">
        <v>4.45</v>
      </c>
      <c r="G1365" s="88">
        <f t="shared" si="1"/>
        <v>0.86</v>
      </c>
      <c r="H1365" s="89">
        <f t="shared" si="7"/>
        <v>0.193258427</v>
      </c>
      <c r="I1365" s="78" t="s">
        <v>1826</v>
      </c>
      <c r="J1365" s="78" t="s">
        <v>69</v>
      </c>
      <c r="K1365" s="58">
        <f t="shared" si="3"/>
        <v>12</v>
      </c>
      <c r="L1365" s="91" t="str">
        <f t="shared" si="6"/>
        <v>Thu</v>
      </c>
      <c r="M1365" s="78" t="str">
        <f>IFERROR(VLOOKUP(A1365, Entries!A:B,2,false),"")</f>
        <v>2K</v>
      </c>
      <c r="N1365" s="23" t="str">
        <f>IFERROR(VLOOKUP(A1365, Entries!A:K,11,false),"")</f>
        <v/>
      </c>
      <c r="O1365" s="23" t="b">
        <f>IFERROR(VLOOKUP(A1365, Entries!A:I,8,false),"")</f>
        <v>0</v>
      </c>
    </row>
    <row r="1366">
      <c r="A1366" s="78" t="s">
        <v>1823</v>
      </c>
      <c r="B1366" s="78" t="s">
        <v>21</v>
      </c>
      <c r="C1366" s="85">
        <v>44562.0</v>
      </c>
      <c r="D1366" s="85">
        <v>44574.0</v>
      </c>
      <c r="E1366" s="86">
        <v>3.59</v>
      </c>
      <c r="F1366" s="87">
        <v>4.45</v>
      </c>
      <c r="G1366" s="88">
        <f t="shared" si="1"/>
        <v>0.86</v>
      </c>
      <c r="H1366" s="89">
        <f t="shared" si="7"/>
        <v>0.193258427</v>
      </c>
      <c r="I1366" s="78" t="s">
        <v>1827</v>
      </c>
      <c r="J1366" s="78" t="s">
        <v>69</v>
      </c>
      <c r="K1366" s="58">
        <f t="shared" si="3"/>
        <v>12</v>
      </c>
      <c r="L1366" s="91" t="str">
        <f t="shared" si="6"/>
        <v>Thu</v>
      </c>
      <c r="M1366" s="78" t="str">
        <f>IFERROR(VLOOKUP(A1366, Entries!A:B,2,false),"")</f>
        <v>2K</v>
      </c>
      <c r="N1366" s="23" t="str">
        <f>IFERROR(VLOOKUP(A1366, Entries!A:K,11,false),"")</f>
        <v/>
      </c>
      <c r="O1366" s="23" t="b">
        <f>IFERROR(VLOOKUP(A1366, Entries!A:I,8,false),"")</f>
        <v>0</v>
      </c>
    </row>
    <row r="1367">
      <c r="A1367" s="78" t="s">
        <v>1828</v>
      </c>
      <c r="B1367" s="78" t="s">
        <v>22</v>
      </c>
      <c r="C1367" s="85">
        <v>44562.0</v>
      </c>
      <c r="D1367" s="85">
        <v>44697.0</v>
      </c>
      <c r="E1367" s="86">
        <v>10.42</v>
      </c>
      <c r="F1367" s="87">
        <v>10.89</v>
      </c>
      <c r="G1367" s="88">
        <f t="shared" si="1"/>
        <v>0.47</v>
      </c>
      <c r="H1367" s="89">
        <f t="shared" si="7"/>
        <v>0.04315886134</v>
      </c>
      <c r="I1367" s="78" t="s">
        <v>1774</v>
      </c>
      <c r="J1367" s="78" t="s">
        <v>69</v>
      </c>
      <c r="K1367" s="58">
        <f t="shared" si="3"/>
        <v>135</v>
      </c>
      <c r="L1367" s="91" t="str">
        <f t="shared" si="6"/>
        <v>Mon</v>
      </c>
      <c r="M1367" s="78" t="str">
        <f>IFERROR(VLOOKUP(A1367, Entries!A:B,2,false),"")</f>
        <v>Raw Fury</v>
      </c>
      <c r="N1367" s="23" t="str">
        <f>IFERROR(VLOOKUP(A1367, Entries!A:K,11,false),"")</f>
        <v/>
      </c>
      <c r="O1367" s="23" t="b">
        <f>IFERROR(VLOOKUP(A1367, Entries!A:I,8,false),"")</f>
        <v>0</v>
      </c>
    </row>
    <row r="1368">
      <c r="A1368" s="78" t="s">
        <v>1811</v>
      </c>
      <c r="B1368" s="78" t="s">
        <v>27</v>
      </c>
      <c r="C1368" s="85">
        <v>44563.0</v>
      </c>
      <c r="D1368" s="85">
        <v>44563.0</v>
      </c>
      <c r="E1368" s="86">
        <v>7.55</v>
      </c>
      <c r="F1368" s="87">
        <v>8.85</v>
      </c>
      <c r="G1368" s="88">
        <f t="shared" si="1"/>
        <v>1.3</v>
      </c>
      <c r="H1368" s="89">
        <f t="shared" si="7"/>
        <v>0.1468926554</v>
      </c>
      <c r="I1368" s="78" t="s">
        <v>1829</v>
      </c>
      <c r="J1368" s="78" t="s">
        <v>69</v>
      </c>
      <c r="K1368" s="58">
        <f t="shared" si="3"/>
        <v>0</v>
      </c>
      <c r="L1368" s="91" t="str">
        <f t="shared" si="6"/>
        <v>Sun</v>
      </c>
      <c r="M1368" s="78" t="str">
        <f>IFERROR(VLOOKUP(A1368, Entries!A:B,2,false),"")</f>
        <v>Mediatonic</v>
      </c>
      <c r="N1368" s="23" t="str">
        <f>IFERROR(VLOOKUP(A1368, Entries!A:K,11,false),"")</f>
        <v/>
      </c>
      <c r="O1368" s="23" t="b">
        <f>IFERROR(VLOOKUP(A1368, Entries!A:I,8,false),"")</f>
        <v>0</v>
      </c>
    </row>
    <row r="1369">
      <c r="A1369" s="78" t="s">
        <v>1811</v>
      </c>
      <c r="B1369" s="78" t="s">
        <v>27</v>
      </c>
      <c r="C1369" s="85">
        <v>44563.0</v>
      </c>
      <c r="D1369" s="85">
        <v>44569.0</v>
      </c>
      <c r="E1369" s="86">
        <v>7.55</v>
      </c>
      <c r="F1369" s="87">
        <v>9.16</v>
      </c>
      <c r="G1369" s="88">
        <f t="shared" si="1"/>
        <v>1.61</v>
      </c>
      <c r="H1369" s="89">
        <f t="shared" si="7"/>
        <v>0.1757641921</v>
      </c>
      <c r="I1369" s="78" t="s">
        <v>1830</v>
      </c>
      <c r="J1369" s="78" t="s">
        <v>69</v>
      </c>
      <c r="K1369" s="58">
        <f t="shared" si="3"/>
        <v>6</v>
      </c>
      <c r="L1369" s="91" t="str">
        <f t="shared" si="6"/>
        <v>Sat</v>
      </c>
      <c r="M1369" s="78" t="str">
        <f>IFERROR(VLOOKUP(A1369, Entries!A:B,2,false),"")</f>
        <v>Mediatonic</v>
      </c>
      <c r="N1369" s="23" t="str">
        <f>IFERROR(VLOOKUP(A1369, Entries!A:K,11,false),"")</f>
        <v/>
      </c>
      <c r="O1369" s="23" t="b">
        <f>IFERROR(VLOOKUP(A1369, Entries!A:I,8,false),"")</f>
        <v>0</v>
      </c>
    </row>
    <row r="1370">
      <c r="A1370" s="78" t="s">
        <v>214</v>
      </c>
      <c r="B1370" s="78" t="s">
        <v>27</v>
      </c>
      <c r="C1370" s="85">
        <v>44564.0</v>
      </c>
      <c r="D1370" s="85">
        <v>44567.0</v>
      </c>
      <c r="E1370" s="86">
        <v>2.48</v>
      </c>
      <c r="F1370" s="87">
        <v>3.21</v>
      </c>
      <c r="G1370" s="88">
        <f t="shared" si="1"/>
        <v>0.73</v>
      </c>
      <c r="H1370" s="89">
        <f t="shared" si="7"/>
        <v>0.2274143302</v>
      </c>
      <c r="I1370" s="78" t="s">
        <v>1831</v>
      </c>
      <c r="J1370" s="78" t="s">
        <v>69</v>
      </c>
      <c r="K1370" s="58">
        <f t="shared" si="3"/>
        <v>3</v>
      </c>
      <c r="L1370" s="91" t="str">
        <f t="shared" si="6"/>
        <v>Thu</v>
      </c>
      <c r="M1370" s="78" t="str">
        <f>IFERROR(VLOOKUP(A1370, Entries!A:B,2,false),"")</f>
        <v>Warner Bros</v>
      </c>
      <c r="N1370" s="23" t="str">
        <f>IFERROR(VLOOKUP(A1370, Entries!A:K,11,false),"")</f>
        <v/>
      </c>
      <c r="O1370" s="23" t="b">
        <f>IFERROR(VLOOKUP(A1370, Entries!A:I,8,false),"")</f>
        <v>0</v>
      </c>
    </row>
    <row r="1371">
      <c r="A1371" s="78" t="s">
        <v>1832</v>
      </c>
      <c r="B1371" s="78" t="s">
        <v>19</v>
      </c>
      <c r="C1371" s="85">
        <v>44564.0</v>
      </c>
      <c r="D1371" s="85">
        <v>44564.0</v>
      </c>
      <c r="E1371" s="86">
        <v>17.85</v>
      </c>
      <c r="F1371" s="87">
        <v>20.49</v>
      </c>
      <c r="G1371" s="88">
        <f t="shared" si="1"/>
        <v>2.64</v>
      </c>
      <c r="H1371" s="89">
        <f t="shared" si="7"/>
        <v>0.1288433382</v>
      </c>
      <c r="I1371" s="78" t="s">
        <v>1833</v>
      </c>
      <c r="J1371" s="78" t="s">
        <v>69</v>
      </c>
      <c r="K1371" s="58">
        <f t="shared" si="3"/>
        <v>0</v>
      </c>
      <c r="L1371" s="91" t="str">
        <f t="shared" si="6"/>
        <v>Mon</v>
      </c>
      <c r="M1371" s="78" t="str">
        <f>IFERROR(VLOOKUP(A1371, Entries!A:B,2,false),"")</f>
        <v>Bethesda Softworks</v>
      </c>
      <c r="N1371" s="23" t="str">
        <f>IFERROR(VLOOKUP(A1371, Entries!A:K,11,false),"")</f>
        <v/>
      </c>
      <c r="O1371" s="23" t="b">
        <f>IFERROR(VLOOKUP(A1371, Entries!A:I,8,false),"")</f>
        <v>1</v>
      </c>
    </row>
    <row r="1372">
      <c r="A1372" s="78" t="s">
        <v>1832</v>
      </c>
      <c r="B1372" s="78" t="s">
        <v>19</v>
      </c>
      <c r="C1372" s="85">
        <v>44564.0</v>
      </c>
      <c r="D1372" s="85">
        <v>44565.0</v>
      </c>
      <c r="E1372" s="86">
        <v>17.85</v>
      </c>
      <c r="F1372" s="87">
        <v>20.49</v>
      </c>
      <c r="G1372" s="88">
        <f t="shared" si="1"/>
        <v>2.64</v>
      </c>
      <c r="H1372" s="89">
        <f t="shared" si="7"/>
        <v>0.1288433382</v>
      </c>
      <c r="I1372" s="78" t="s">
        <v>1834</v>
      </c>
      <c r="J1372" s="78" t="s">
        <v>69</v>
      </c>
      <c r="K1372" s="58">
        <f t="shared" si="3"/>
        <v>1</v>
      </c>
      <c r="L1372" s="91" t="str">
        <f t="shared" si="6"/>
        <v>Tue</v>
      </c>
      <c r="M1372" s="78" t="str">
        <f>IFERROR(VLOOKUP(A1372, Entries!A:B,2,false),"")</f>
        <v>Bethesda Softworks</v>
      </c>
      <c r="N1372" s="23" t="str">
        <f>IFERROR(VLOOKUP(A1372, Entries!A:K,11,false),"")</f>
        <v/>
      </c>
      <c r="O1372" s="23" t="b">
        <f>IFERROR(VLOOKUP(A1372, Entries!A:I,8,false),"")</f>
        <v>1</v>
      </c>
    </row>
    <row r="1373">
      <c r="A1373" s="78" t="s">
        <v>1832</v>
      </c>
      <c r="B1373" s="78" t="s">
        <v>19</v>
      </c>
      <c r="C1373" s="85">
        <v>44565.0</v>
      </c>
      <c r="D1373" s="85">
        <v>44565.0</v>
      </c>
      <c r="E1373" s="86">
        <v>17.89</v>
      </c>
      <c r="F1373" s="87">
        <v>20.49</v>
      </c>
      <c r="G1373" s="88">
        <f t="shared" si="1"/>
        <v>2.6</v>
      </c>
      <c r="H1373" s="89">
        <f t="shared" si="7"/>
        <v>0.1268911664</v>
      </c>
      <c r="I1373" s="78" t="s">
        <v>1835</v>
      </c>
      <c r="J1373" s="78" t="s">
        <v>69</v>
      </c>
      <c r="K1373" s="58">
        <f t="shared" si="3"/>
        <v>0</v>
      </c>
      <c r="L1373" s="91" t="str">
        <f t="shared" si="6"/>
        <v>Tue</v>
      </c>
      <c r="M1373" s="78" t="str">
        <f>IFERROR(VLOOKUP(A1373, Entries!A:B,2,false),"")</f>
        <v>Bethesda Softworks</v>
      </c>
      <c r="N1373" s="23" t="str">
        <f>IFERROR(VLOOKUP(A1373, Entries!A:K,11,false),"")</f>
        <v/>
      </c>
      <c r="O1373" s="23" t="b">
        <f>IFERROR(VLOOKUP(A1373, Entries!A:I,8,false),"")</f>
        <v>1</v>
      </c>
    </row>
    <row r="1374">
      <c r="A1374" s="78" t="s">
        <v>1832</v>
      </c>
      <c r="B1374" s="78" t="s">
        <v>19</v>
      </c>
      <c r="C1374" s="85">
        <v>44565.0</v>
      </c>
      <c r="D1374" s="85">
        <v>44566.0</v>
      </c>
      <c r="E1374" s="86">
        <v>17.89</v>
      </c>
      <c r="F1374" s="87">
        <v>20.63</v>
      </c>
      <c r="G1374" s="88">
        <f t="shared" si="1"/>
        <v>2.74</v>
      </c>
      <c r="H1374" s="89">
        <f t="shared" si="7"/>
        <v>0.132816287</v>
      </c>
      <c r="I1374" s="78" t="s">
        <v>1836</v>
      </c>
      <c r="J1374" s="78" t="s">
        <v>69</v>
      </c>
      <c r="K1374" s="58">
        <f t="shared" si="3"/>
        <v>1</v>
      </c>
      <c r="L1374" s="91" t="str">
        <f t="shared" si="6"/>
        <v>Wed</v>
      </c>
      <c r="M1374" s="78" t="str">
        <f>IFERROR(VLOOKUP(A1374, Entries!A:B,2,false),"")</f>
        <v>Bethesda Softworks</v>
      </c>
      <c r="N1374" s="23" t="str">
        <f>IFERROR(VLOOKUP(A1374, Entries!A:K,11,false),"")</f>
        <v/>
      </c>
      <c r="O1374" s="23" t="b">
        <f>IFERROR(VLOOKUP(A1374, Entries!A:I,8,false),"")</f>
        <v>1</v>
      </c>
    </row>
    <row r="1375">
      <c r="A1375" s="78" t="s">
        <v>1837</v>
      </c>
      <c r="B1375" s="78" t="s">
        <v>19</v>
      </c>
      <c r="C1375" s="85">
        <v>44565.0</v>
      </c>
      <c r="D1375" s="85">
        <v>44814.0</v>
      </c>
      <c r="E1375" s="86">
        <v>0.0</v>
      </c>
      <c r="F1375" s="87">
        <v>0.36</v>
      </c>
      <c r="G1375" s="88">
        <f t="shared" si="1"/>
        <v>0.36</v>
      </c>
      <c r="H1375" s="89">
        <f t="shared" si="7"/>
        <v>1</v>
      </c>
      <c r="I1375" s="78" t="s">
        <v>1838</v>
      </c>
      <c r="J1375" s="78" t="s">
        <v>69</v>
      </c>
      <c r="K1375" s="58">
        <f t="shared" si="3"/>
        <v>249</v>
      </c>
      <c r="L1375" s="91" t="str">
        <f t="shared" si="6"/>
        <v>Sat</v>
      </c>
      <c r="M1375" s="78" t="str">
        <f>IFERROR(VLOOKUP(A1375, Entries!A:B,2,false),"")</f>
        <v>Toco Games</v>
      </c>
      <c r="N1375" s="23" t="str">
        <f>IFERROR(VLOOKUP(A1375, Entries!A:K,11,false),"")</f>
        <v/>
      </c>
      <c r="O1375" s="23" t="b">
        <f>IFERROR(VLOOKUP(A1375, Entries!A:I,8,false),"")</f>
        <v>0</v>
      </c>
    </row>
    <row r="1376">
      <c r="A1376" s="78" t="s">
        <v>1832</v>
      </c>
      <c r="B1376" s="78" t="s">
        <v>19</v>
      </c>
      <c r="C1376" s="85">
        <v>44567.0</v>
      </c>
      <c r="D1376" s="85">
        <v>44570.0</v>
      </c>
      <c r="E1376" s="86">
        <v>17.9</v>
      </c>
      <c r="F1376" s="87">
        <v>21.29</v>
      </c>
      <c r="G1376" s="88">
        <f t="shared" si="1"/>
        <v>3.39</v>
      </c>
      <c r="H1376" s="89">
        <f t="shared" si="7"/>
        <v>0.1592296853</v>
      </c>
      <c r="I1376" s="78" t="s">
        <v>1839</v>
      </c>
      <c r="J1376" s="78" t="s">
        <v>69</v>
      </c>
      <c r="K1376" s="58">
        <f t="shared" si="3"/>
        <v>3</v>
      </c>
      <c r="L1376" s="91" t="str">
        <f t="shared" si="6"/>
        <v>Sun</v>
      </c>
      <c r="M1376" s="78" t="str">
        <f>IFERROR(VLOOKUP(A1376, Entries!A:B,2,false),"")</f>
        <v>Bethesda Softworks</v>
      </c>
      <c r="N1376" s="23" t="str">
        <f>IFERROR(VLOOKUP(A1376, Entries!A:K,11,false),"")</f>
        <v/>
      </c>
      <c r="O1376" s="23" t="b">
        <f>IFERROR(VLOOKUP(A1376, Entries!A:I,8,false),"")</f>
        <v>1</v>
      </c>
    </row>
    <row r="1377">
      <c r="A1377" s="78" t="s">
        <v>1840</v>
      </c>
      <c r="B1377" s="78" t="s">
        <v>25</v>
      </c>
      <c r="C1377" s="85">
        <v>44574.0</v>
      </c>
      <c r="D1377" s="85">
        <v>44633.0</v>
      </c>
      <c r="E1377" s="86">
        <v>6.27</v>
      </c>
      <c r="F1377" s="87">
        <v>8.35</v>
      </c>
      <c r="G1377" s="88">
        <f t="shared" si="1"/>
        <v>2.08</v>
      </c>
      <c r="H1377" s="89">
        <f t="shared" si="7"/>
        <v>0.2491017964</v>
      </c>
      <c r="I1377" s="78" t="s">
        <v>1841</v>
      </c>
      <c r="J1377" s="78" t="s">
        <v>69</v>
      </c>
      <c r="K1377" s="58">
        <f t="shared" si="3"/>
        <v>59</v>
      </c>
      <c r="L1377" s="91" t="str">
        <f t="shared" si="6"/>
        <v>Sun</v>
      </c>
      <c r="M1377" s="78" t="str">
        <f>IFERROR(VLOOKUP(A1377, Entries!A:B,2,false),"")</f>
        <v>tinyBuild</v>
      </c>
      <c r="N1377" s="23" t="str">
        <f>IFERROR(VLOOKUP(A1377, Entries!A:K,11,false),"")</f>
        <v/>
      </c>
      <c r="O1377" s="23" t="b">
        <f>IFERROR(VLOOKUP(A1377, Entries!A:I,8,false),"")</f>
        <v>0</v>
      </c>
    </row>
    <row r="1378">
      <c r="A1378" s="78" t="s">
        <v>1842</v>
      </c>
      <c r="B1378" s="78" t="s">
        <v>23</v>
      </c>
      <c r="C1378" s="85">
        <v>44574.0</v>
      </c>
      <c r="D1378" s="85"/>
      <c r="E1378" s="86">
        <v>9.17</v>
      </c>
      <c r="F1378" s="88"/>
      <c r="G1378" s="88">
        <f t="shared" si="1"/>
        <v>-9.17</v>
      </c>
      <c r="H1378" s="89" t="str">
        <f t="shared" si="7"/>
        <v/>
      </c>
      <c r="I1378" s="103" t="s">
        <v>1843</v>
      </c>
      <c r="J1378" s="78" t="s">
        <v>1129</v>
      </c>
      <c r="K1378" s="58" t="str">
        <f t="shared" si="3"/>
        <v/>
      </c>
      <c r="L1378" s="91" t="str">
        <f t="shared" si="6"/>
        <v/>
      </c>
      <c r="M1378" s="78" t="str">
        <f>IFERROR(VLOOKUP(A1378, Entries!A:B,2,false),"")</f>
        <v>Dear Villagers</v>
      </c>
      <c r="N1378" s="23" t="str">
        <f>IFERROR(VLOOKUP(A1378, Entries!A:K,11,false),"")</f>
        <v/>
      </c>
      <c r="O1378" s="23" t="b">
        <f>IFERROR(VLOOKUP(A1378, Entries!A:I,8,false),"")</f>
        <v>0</v>
      </c>
      <c r="S1378" s="23" t="str">
        <f>IF(AND(TODAY()-ROW(A554)+1 &lt;= 30, J554="Closed"), TEXT(TODAY()-ROW(A554)+1, "dd-mm-yyyy"), "")
</f>
        <v/>
      </c>
    </row>
    <row r="1379">
      <c r="A1379" s="78" t="s">
        <v>731</v>
      </c>
      <c r="B1379" s="78" t="s">
        <v>19</v>
      </c>
      <c r="C1379" s="85">
        <v>44574.0</v>
      </c>
      <c r="D1379" s="85">
        <v>44576.0</v>
      </c>
      <c r="E1379" s="86">
        <v>2.86</v>
      </c>
      <c r="F1379" s="87">
        <v>3.48</v>
      </c>
      <c r="G1379" s="88">
        <f t="shared" si="1"/>
        <v>0.62</v>
      </c>
      <c r="H1379" s="89">
        <f t="shared" si="7"/>
        <v>0.1781609195</v>
      </c>
      <c r="I1379" s="78" t="s">
        <v>1844</v>
      </c>
      <c r="J1379" s="78" t="s">
        <v>69</v>
      </c>
      <c r="K1379" s="58">
        <f t="shared" si="3"/>
        <v>2</v>
      </c>
      <c r="L1379" s="91" t="str">
        <f t="shared" si="6"/>
        <v>Sat</v>
      </c>
      <c r="M1379" s="78" t="str">
        <f>IFERROR(VLOOKUP(A1379, Entries!A:B,2,false),"")</f>
        <v>Square Enix</v>
      </c>
      <c r="N1379" s="23" t="str">
        <f>IFERROR(VLOOKUP(A1379, Entries!A:K,11,false),"")</f>
        <v/>
      </c>
      <c r="O1379" s="23" t="b">
        <f>IFERROR(VLOOKUP(A1379, Entries!A:I,8,false),"")</f>
        <v>1</v>
      </c>
    </row>
    <row r="1380">
      <c r="A1380" s="78" t="s">
        <v>731</v>
      </c>
      <c r="B1380" s="78" t="s">
        <v>19</v>
      </c>
      <c r="C1380" s="85">
        <v>44574.0</v>
      </c>
      <c r="D1380" s="85">
        <v>44576.0</v>
      </c>
      <c r="E1380" s="86">
        <v>2.86</v>
      </c>
      <c r="F1380" s="87">
        <v>3.48</v>
      </c>
      <c r="G1380" s="88">
        <f t="shared" si="1"/>
        <v>0.62</v>
      </c>
      <c r="H1380" s="89">
        <f t="shared" si="7"/>
        <v>0.1781609195</v>
      </c>
      <c r="I1380" s="78" t="s">
        <v>1845</v>
      </c>
      <c r="J1380" s="78" t="s">
        <v>69</v>
      </c>
      <c r="K1380" s="58">
        <f t="shared" si="3"/>
        <v>2</v>
      </c>
      <c r="L1380" s="91" t="str">
        <f t="shared" si="6"/>
        <v>Sat</v>
      </c>
      <c r="M1380" s="78" t="str">
        <f>IFERROR(VLOOKUP(A1380, Entries!A:B,2,false),"")</f>
        <v>Square Enix</v>
      </c>
      <c r="N1380" s="23" t="str">
        <f>IFERROR(VLOOKUP(A1380, Entries!A:K,11,false),"")</f>
        <v/>
      </c>
      <c r="O1380" s="23" t="b">
        <f>IFERROR(VLOOKUP(A1380, Entries!A:I,8,false),"")</f>
        <v>1</v>
      </c>
    </row>
    <row r="1381">
      <c r="A1381" s="78" t="s">
        <v>288</v>
      </c>
      <c r="B1381" s="78" t="s">
        <v>19</v>
      </c>
      <c r="C1381" s="85">
        <v>44574.0</v>
      </c>
      <c r="D1381" s="85">
        <v>44577.0</v>
      </c>
      <c r="E1381" s="86">
        <v>2.74</v>
      </c>
      <c r="F1381" s="87">
        <v>3.76</v>
      </c>
      <c r="G1381" s="88">
        <f t="shared" si="1"/>
        <v>1.02</v>
      </c>
      <c r="H1381" s="89">
        <f t="shared" si="7"/>
        <v>0.2712765957</v>
      </c>
      <c r="I1381" s="78" t="s">
        <v>1846</v>
      </c>
      <c r="J1381" s="78" t="s">
        <v>69</v>
      </c>
      <c r="K1381" s="58">
        <f t="shared" si="3"/>
        <v>3</v>
      </c>
      <c r="L1381" s="91" t="str">
        <f t="shared" si="6"/>
        <v>Sun</v>
      </c>
      <c r="M1381" s="78" t="str">
        <f>IFERROR(VLOOKUP(A1381, Entries!A:B,2,false),"")</f>
        <v>Deep Silver</v>
      </c>
      <c r="N1381" s="23" t="str">
        <f>IFERROR(VLOOKUP(A1381, Entries!A:K,11,false),"")</f>
        <v/>
      </c>
      <c r="O1381" s="23" t="b">
        <f>IFERROR(VLOOKUP(A1381, Entries!A:I,8,false),"")</f>
        <v>1</v>
      </c>
    </row>
    <row r="1382">
      <c r="A1382" s="78" t="s">
        <v>288</v>
      </c>
      <c r="B1382" s="78" t="s">
        <v>19</v>
      </c>
      <c r="C1382" s="85">
        <v>44577.0</v>
      </c>
      <c r="D1382" s="85">
        <v>44586.0</v>
      </c>
      <c r="E1382" s="86">
        <v>2.73</v>
      </c>
      <c r="F1382" s="87">
        <v>3.63</v>
      </c>
      <c r="G1382" s="88">
        <f t="shared" si="1"/>
        <v>0.9</v>
      </c>
      <c r="H1382" s="89">
        <f t="shared" si="7"/>
        <v>0.2479338843</v>
      </c>
      <c r="I1382" s="78" t="s">
        <v>1847</v>
      </c>
      <c r="J1382" s="78" t="s">
        <v>69</v>
      </c>
      <c r="K1382" s="58">
        <f t="shared" si="3"/>
        <v>9</v>
      </c>
      <c r="L1382" s="91" t="str">
        <f t="shared" si="6"/>
        <v>Tue</v>
      </c>
      <c r="M1382" s="78" t="str">
        <f>IFERROR(VLOOKUP(A1382, Entries!A:B,2,false),"")</f>
        <v>Deep Silver</v>
      </c>
      <c r="N1382" s="23" t="str">
        <f>IFERROR(VLOOKUP(A1382, Entries!A:K,11,false),"")</f>
        <v/>
      </c>
      <c r="O1382" s="23" t="b">
        <f>IFERROR(VLOOKUP(A1382, Entries!A:I,8,false),"")</f>
        <v>1</v>
      </c>
    </row>
    <row r="1383">
      <c r="A1383" s="78" t="s">
        <v>871</v>
      </c>
      <c r="B1383" s="78" t="s">
        <v>19</v>
      </c>
      <c r="C1383" s="85">
        <v>44578.0</v>
      </c>
      <c r="D1383" s="85">
        <v>44601.0</v>
      </c>
      <c r="E1383" s="86">
        <v>3.76</v>
      </c>
      <c r="F1383" s="87">
        <v>5.63</v>
      </c>
      <c r="G1383" s="88">
        <f t="shared" si="1"/>
        <v>1.87</v>
      </c>
      <c r="H1383" s="89">
        <f t="shared" si="7"/>
        <v>0.3321492007</v>
      </c>
      <c r="I1383" s="78" t="s">
        <v>1848</v>
      </c>
      <c r="J1383" s="78" t="s">
        <v>69</v>
      </c>
      <c r="K1383" s="58">
        <f t="shared" si="3"/>
        <v>23</v>
      </c>
      <c r="L1383" s="91" t="str">
        <f t="shared" si="6"/>
        <v>Wed</v>
      </c>
      <c r="M1383" s="78" t="str">
        <f>IFERROR(VLOOKUP(A1383, Entries!A:B,2,false),"")</f>
        <v>34BigThings</v>
      </c>
      <c r="N1383" s="23" t="str">
        <f>IFERROR(VLOOKUP(A1383, Entries!A:K,11,false),"")</f>
        <v/>
      </c>
      <c r="O1383" s="23" t="b">
        <f>IFERROR(VLOOKUP(A1383, Entries!A:I,8,false),"")</f>
        <v>0</v>
      </c>
    </row>
    <row r="1384">
      <c r="A1384" s="78" t="s">
        <v>1849</v>
      </c>
      <c r="B1384" s="78" t="s">
        <v>19</v>
      </c>
      <c r="C1384" s="85">
        <v>44579.0</v>
      </c>
      <c r="D1384" s="85">
        <v>44580.0</v>
      </c>
      <c r="E1384" s="86">
        <v>3.54</v>
      </c>
      <c r="F1384" s="87">
        <v>7.64</v>
      </c>
      <c r="G1384" s="88">
        <f t="shared" si="1"/>
        <v>4.1</v>
      </c>
      <c r="H1384" s="89">
        <f t="shared" si="7"/>
        <v>0.5366492147</v>
      </c>
      <c r="I1384" s="78" t="s">
        <v>1850</v>
      </c>
      <c r="J1384" s="78" t="s">
        <v>69</v>
      </c>
      <c r="K1384" s="58">
        <f t="shared" si="3"/>
        <v>1</v>
      </c>
      <c r="L1384" s="91" t="str">
        <f t="shared" si="6"/>
        <v>Wed</v>
      </c>
      <c r="M1384" s="78" t="str">
        <f>IFERROR(VLOOKUP(A1384, Entries!A:B,2,false),"")</f>
        <v>Marmalade Game Studio</v>
      </c>
      <c r="N1384" s="23" t="str">
        <f>IFERROR(VLOOKUP(A1384, Entries!A:K,11,false),"")</f>
        <v/>
      </c>
      <c r="O1384" s="23" t="b">
        <f>IFERROR(VLOOKUP(A1384, Entries!A:I,8,false),"")</f>
        <v>0</v>
      </c>
    </row>
    <row r="1385">
      <c r="A1385" s="78" t="s">
        <v>1849</v>
      </c>
      <c r="B1385" s="78" t="s">
        <v>19</v>
      </c>
      <c r="C1385" s="85">
        <v>44579.0</v>
      </c>
      <c r="D1385" s="85">
        <v>44600.0</v>
      </c>
      <c r="E1385" s="86">
        <v>3.54</v>
      </c>
      <c r="F1385" s="87">
        <v>4.23</v>
      </c>
      <c r="G1385" s="88">
        <f t="shared" si="1"/>
        <v>0.69</v>
      </c>
      <c r="H1385" s="89">
        <f t="shared" si="7"/>
        <v>0.1631205674</v>
      </c>
      <c r="I1385" s="78" t="s">
        <v>1851</v>
      </c>
      <c r="J1385" s="78" t="s">
        <v>69</v>
      </c>
      <c r="K1385" s="58">
        <f t="shared" si="3"/>
        <v>21</v>
      </c>
      <c r="L1385" s="91" t="str">
        <f t="shared" si="6"/>
        <v>Tue</v>
      </c>
      <c r="M1385" s="78" t="str">
        <f>IFERROR(VLOOKUP(A1385, Entries!A:B,2,false),"")</f>
        <v>Marmalade Game Studio</v>
      </c>
      <c r="N1385" s="23" t="str">
        <f>IFERROR(VLOOKUP(A1385, Entries!A:K,11,false),"")</f>
        <v/>
      </c>
      <c r="O1385" s="23" t="b">
        <f>IFERROR(VLOOKUP(A1385, Entries!A:I,8,false),"")</f>
        <v>0</v>
      </c>
    </row>
    <row r="1386">
      <c r="A1386" s="78" t="s">
        <v>1849</v>
      </c>
      <c r="B1386" s="78" t="s">
        <v>19</v>
      </c>
      <c r="C1386" s="85">
        <v>44580.0</v>
      </c>
      <c r="D1386" s="85">
        <v>44600.0</v>
      </c>
      <c r="E1386" s="86">
        <v>3.56</v>
      </c>
      <c r="F1386" s="87">
        <v>4.23</v>
      </c>
      <c r="G1386" s="88">
        <f t="shared" si="1"/>
        <v>0.67</v>
      </c>
      <c r="H1386" s="89">
        <f t="shared" si="7"/>
        <v>0.158392435</v>
      </c>
      <c r="I1386" s="78" t="s">
        <v>1852</v>
      </c>
      <c r="J1386" s="78" t="s">
        <v>69</v>
      </c>
      <c r="K1386" s="58">
        <f t="shared" si="3"/>
        <v>20</v>
      </c>
      <c r="L1386" s="91" t="str">
        <f t="shared" si="6"/>
        <v>Tue</v>
      </c>
      <c r="M1386" s="78" t="str">
        <f>IFERROR(VLOOKUP(A1386, Entries!A:B,2,false),"")</f>
        <v>Marmalade Game Studio</v>
      </c>
      <c r="N1386" s="23" t="str">
        <f>IFERROR(VLOOKUP(A1386, Entries!A:K,11,false),"")</f>
        <v/>
      </c>
      <c r="O1386" s="23" t="b">
        <f>IFERROR(VLOOKUP(A1386, Entries!A:I,8,false),"")</f>
        <v>0</v>
      </c>
    </row>
    <row r="1387">
      <c r="A1387" s="78" t="s">
        <v>719</v>
      </c>
      <c r="B1387" s="78" t="s">
        <v>19</v>
      </c>
      <c r="C1387" s="85">
        <v>44580.0</v>
      </c>
      <c r="D1387" s="85">
        <v>44583.0</v>
      </c>
      <c r="E1387" s="86">
        <v>6.56</v>
      </c>
      <c r="F1387" s="87">
        <v>7.87</v>
      </c>
      <c r="G1387" s="88">
        <f t="shared" si="1"/>
        <v>1.31</v>
      </c>
      <c r="H1387" s="89">
        <f t="shared" si="7"/>
        <v>0.166454892</v>
      </c>
      <c r="I1387" s="78" t="s">
        <v>1853</v>
      </c>
      <c r="J1387" s="78" t="s">
        <v>69</v>
      </c>
      <c r="K1387" s="58">
        <f t="shared" si="3"/>
        <v>3</v>
      </c>
      <c r="L1387" s="91" t="str">
        <f t="shared" si="6"/>
        <v>Sat</v>
      </c>
      <c r="M1387" s="78" t="str">
        <f>IFERROR(VLOOKUP(A1387, Entries!A:B,2,false),"")</f>
        <v>Lukas Rustemeyer</v>
      </c>
      <c r="N1387" s="23" t="str">
        <f>IFERROR(VLOOKUP(A1387, Entries!A:K,11,false),"")</f>
        <v/>
      </c>
      <c r="O1387" s="23" t="b">
        <f>IFERROR(VLOOKUP(A1387, Entries!A:I,8,false),"")</f>
        <v>1</v>
      </c>
    </row>
    <row r="1388">
      <c r="A1388" s="78" t="s">
        <v>1849</v>
      </c>
      <c r="B1388" s="78" t="s">
        <v>19</v>
      </c>
      <c r="C1388" s="85">
        <v>44580.0</v>
      </c>
      <c r="D1388" s="85">
        <v>44600.0</v>
      </c>
      <c r="E1388" s="86">
        <v>3.56</v>
      </c>
      <c r="F1388" s="87">
        <v>4.23</v>
      </c>
      <c r="G1388" s="88">
        <f t="shared" si="1"/>
        <v>0.67</v>
      </c>
      <c r="H1388" s="89">
        <f t="shared" si="7"/>
        <v>0.158392435</v>
      </c>
      <c r="I1388" s="78" t="s">
        <v>1854</v>
      </c>
      <c r="J1388" s="78" t="s">
        <v>69</v>
      </c>
      <c r="K1388" s="58">
        <f t="shared" si="3"/>
        <v>20</v>
      </c>
      <c r="L1388" s="91" t="str">
        <f t="shared" si="6"/>
        <v>Tue</v>
      </c>
      <c r="M1388" s="78" t="str">
        <f>IFERROR(VLOOKUP(A1388, Entries!A:B,2,false),"")</f>
        <v>Marmalade Game Studio</v>
      </c>
      <c r="N1388" s="23" t="str">
        <f>IFERROR(VLOOKUP(A1388, Entries!A:K,11,false),"")</f>
        <v/>
      </c>
      <c r="O1388" s="23" t="b">
        <f>IFERROR(VLOOKUP(A1388, Entries!A:I,8,false),"")</f>
        <v>0</v>
      </c>
    </row>
    <row r="1389">
      <c r="A1389" s="78" t="s">
        <v>719</v>
      </c>
      <c r="B1389" s="78" t="s">
        <v>19</v>
      </c>
      <c r="C1389" s="85">
        <v>44580.0</v>
      </c>
      <c r="D1389" s="85">
        <v>44583.0</v>
      </c>
      <c r="E1389" s="86">
        <v>6.56</v>
      </c>
      <c r="F1389" s="87">
        <v>7.87</v>
      </c>
      <c r="G1389" s="88">
        <f t="shared" si="1"/>
        <v>1.31</v>
      </c>
      <c r="H1389" s="89">
        <f t="shared" si="7"/>
        <v>0.166454892</v>
      </c>
      <c r="I1389" s="78" t="s">
        <v>1855</v>
      </c>
      <c r="J1389" s="78" t="s">
        <v>69</v>
      </c>
      <c r="K1389" s="58">
        <f t="shared" si="3"/>
        <v>3</v>
      </c>
      <c r="L1389" s="91" t="str">
        <f t="shared" si="6"/>
        <v>Sat</v>
      </c>
      <c r="M1389" s="78" t="str">
        <f>IFERROR(VLOOKUP(A1389, Entries!A:B,2,false),"")</f>
        <v>Lukas Rustemeyer</v>
      </c>
      <c r="N1389" s="23" t="str">
        <f>IFERROR(VLOOKUP(A1389, Entries!A:K,11,false),"")</f>
        <v/>
      </c>
      <c r="O1389" s="23" t="b">
        <f>IFERROR(VLOOKUP(A1389, Entries!A:I,8,false),"")</f>
        <v>1</v>
      </c>
    </row>
    <row r="1390">
      <c r="A1390" s="78" t="s">
        <v>1370</v>
      </c>
      <c r="B1390" s="78" t="s">
        <v>27</v>
      </c>
      <c r="C1390" s="85">
        <v>44580.0</v>
      </c>
      <c r="D1390" s="85">
        <v>44581.0</v>
      </c>
      <c r="E1390" s="86">
        <v>34.33</v>
      </c>
      <c r="F1390" s="87">
        <v>39.9</v>
      </c>
      <c r="G1390" s="88">
        <f t="shared" si="1"/>
        <v>5.57</v>
      </c>
      <c r="H1390" s="89">
        <f t="shared" si="7"/>
        <v>0.1395989975</v>
      </c>
      <c r="I1390" s="78" t="s">
        <v>1856</v>
      </c>
      <c r="J1390" s="78" t="s">
        <v>69</v>
      </c>
      <c r="K1390" s="58">
        <f t="shared" si="3"/>
        <v>1</v>
      </c>
      <c r="L1390" s="91" t="str">
        <f t="shared" si="6"/>
        <v>Thu</v>
      </c>
      <c r="M1390" s="78" t="str">
        <f>IFERROR(VLOOKUP(A1390, Entries!A:B,2,false),"")</f>
        <v>META Publishing</v>
      </c>
      <c r="N1390" s="23" t="str">
        <f>IFERROR(VLOOKUP(A1390, Entries!A:K,11,false),"")</f>
        <v/>
      </c>
      <c r="O1390" s="23" t="b">
        <f>IFERROR(VLOOKUP(A1390, Entries!A:I,8,false),"")</f>
        <v>1</v>
      </c>
    </row>
    <row r="1391">
      <c r="A1391" s="78" t="s">
        <v>1857</v>
      </c>
      <c r="B1391" s="78" t="s">
        <v>23</v>
      </c>
      <c r="C1391" s="85">
        <v>44581.0</v>
      </c>
      <c r="D1391" s="85">
        <v>44596.0</v>
      </c>
      <c r="E1391" s="86">
        <v>12.88</v>
      </c>
      <c r="F1391" s="87">
        <v>13.72</v>
      </c>
      <c r="G1391" s="88">
        <f t="shared" si="1"/>
        <v>0.84</v>
      </c>
      <c r="H1391" s="89">
        <f t="shared" si="7"/>
        <v>0.0612244898</v>
      </c>
      <c r="I1391" s="78" t="s">
        <v>1858</v>
      </c>
      <c r="J1391" s="78" t="s">
        <v>69</v>
      </c>
      <c r="K1391" s="58">
        <f t="shared" si="3"/>
        <v>15</v>
      </c>
      <c r="L1391" s="91" t="str">
        <f t="shared" si="6"/>
        <v>Fri</v>
      </c>
      <c r="M1391" s="78" t="str">
        <f>IFERROR(VLOOKUP(A1391, Entries!A:B,2,false),"")</f>
        <v>CAPCOM</v>
      </c>
      <c r="N1391" s="23" t="str">
        <f>IFERROR(VLOOKUP(A1391, Entries!A:K,11,false),"")</f>
        <v/>
      </c>
      <c r="O1391" s="23" t="b">
        <f>IFERROR(VLOOKUP(A1391, Entries!A:I,8,false),"")</f>
        <v>0</v>
      </c>
    </row>
    <row r="1392">
      <c r="A1392" s="78" t="s">
        <v>1859</v>
      </c>
      <c r="B1392" s="78" t="s">
        <v>23</v>
      </c>
      <c r="C1392" s="85">
        <v>44581.0</v>
      </c>
      <c r="D1392" s="85">
        <v>44601.0</v>
      </c>
      <c r="E1392" s="86">
        <v>13.8</v>
      </c>
      <c r="F1392" s="87">
        <v>14.02</v>
      </c>
      <c r="G1392" s="88">
        <f t="shared" si="1"/>
        <v>0.22</v>
      </c>
      <c r="H1392" s="89">
        <f t="shared" si="7"/>
        <v>0.01569186876</v>
      </c>
      <c r="I1392" s="78" t="s">
        <v>1860</v>
      </c>
      <c r="J1392" s="78" t="s">
        <v>69</v>
      </c>
      <c r="K1392" s="58">
        <f t="shared" si="3"/>
        <v>20</v>
      </c>
      <c r="L1392" s="91" t="str">
        <f t="shared" si="6"/>
        <v>Wed</v>
      </c>
      <c r="M1392" s="78" t="str">
        <f>IFERROR(VLOOKUP(A1392, Entries!A:B,2,false),"")</f>
        <v>CAPCOM</v>
      </c>
      <c r="N1392" s="23" t="str">
        <f>IFERROR(VLOOKUP(A1392, Entries!A:K,11,false),"")</f>
        <v/>
      </c>
      <c r="O1392" s="23" t="b">
        <f>IFERROR(VLOOKUP(A1392, Entries!A:I,8,false),"")</f>
        <v>0</v>
      </c>
    </row>
    <row r="1393">
      <c r="A1393" s="78" t="s">
        <v>871</v>
      </c>
      <c r="B1393" s="78" t="s">
        <v>19</v>
      </c>
      <c r="C1393" s="85">
        <v>44581.0</v>
      </c>
      <c r="D1393" s="85">
        <v>44639.0</v>
      </c>
      <c r="E1393" s="86">
        <v>3.76</v>
      </c>
      <c r="F1393" s="87">
        <v>5.45</v>
      </c>
      <c r="G1393" s="88">
        <f t="shared" si="1"/>
        <v>1.69</v>
      </c>
      <c r="H1393" s="89">
        <f t="shared" si="7"/>
        <v>0.3100917431</v>
      </c>
      <c r="I1393" s="78" t="s">
        <v>1861</v>
      </c>
      <c r="J1393" s="78" t="s">
        <v>69</v>
      </c>
      <c r="K1393" s="58">
        <f t="shared" si="3"/>
        <v>58</v>
      </c>
      <c r="L1393" s="91" t="str">
        <f t="shared" si="6"/>
        <v>Sat</v>
      </c>
      <c r="M1393" s="78" t="str">
        <f>IFERROR(VLOOKUP(A1393, Entries!A:B,2,false),"")</f>
        <v>34BigThings</v>
      </c>
      <c r="N1393" s="23" t="str">
        <f>IFERROR(VLOOKUP(A1393, Entries!A:K,11,false),"")</f>
        <v/>
      </c>
      <c r="O1393" s="23" t="b">
        <f>IFERROR(VLOOKUP(A1393, Entries!A:I,8,false),"")</f>
        <v>0</v>
      </c>
    </row>
    <row r="1394">
      <c r="A1394" s="78" t="s">
        <v>871</v>
      </c>
      <c r="B1394" s="78" t="s">
        <v>19</v>
      </c>
      <c r="C1394" s="85">
        <v>44581.0</v>
      </c>
      <c r="D1394" s="85">
        <v>44647.0</v>
      </c>
      <c r="E1394" s="86">
        <v>3.76</v>
      </c>
      <c r="F1394" s="87">
        <v>5.1</v>
      </c>
      <c r="G1394" s="88">
        <f t="shared" si="1"/>
        <v>1.34</v>
      </c>
      <c r="H1394" s="89">
        <f t="shared" si="7"/>
        <v>0.262745098</v>
      </c>
      <c r="I1394" s="78" t="s">
        <v>1862</v>
      </c>
      <c r="J1394" s="78" t="s">
        <v>69</v>
      </c>
      <c r="K1394" s="58">
        <f t="shared" si="3"/>
        <v>66</v>
      </c>
      <c r="L1394" s="91" t="str">
        <f t="shared" si="6"/>
        <v>Sun</v>
      </c>
      <c r="M1394" s="78" t="str">
        <f>IFERROR(VLOOKUP(A1394, Entries!A:B,2,false),"")</f>
        <v>34BigThings</v>
      </c>
      <c r="N1394" s="23" t="str">
        <f>IFERROR(VLOOKUP(A1394, Entries!A:K,11,false),"")</f>
        <v/>
      </c>
      <c r="O1394" s="23" t="b">
        <f>IFERROR(VLOOKUP(A1394, Entries!A:I,8,false),"")</f>
        <v>0</v>
      </c>
    </row>
    <row r="1395">
      <c r="A1395" s="78" t="s">
        <v>871</v>
      </c>
      <c r="B1395" s="78" t="s">
        <v>19</v>
      </c>
      <c r="C1395" s="85">
        <v>44581.0</v>
      </c>
      <c r="D1395" s="85">
        <v>44666.0</v>
      </c>
      <c r="E1395" s="86">
        <v>3.76</v>
      </c>
      <c r="F1395" s="87">
        <v>4.78</v>
      </c>
      <c r="G1395" s="88">
        <f t="shared" si="1"/>
        <v>1.02</v>
      </c>
      <c r="H1395" s="89">
        <f t="shared" si="7"/>
        <v>0.2133891213</v>
      </c>
      <c r="I1395" s="78" t="s">
        <v>1863</v>
      </c>
      <c r="J1395" s="78" t="s">
        <v>69</v>
      </c>
      <c r="K1395" s="58">
        <f t="shared" si="3"/>
        <v>85</v>
      </c>
      <c r="L1395" s="91" t="str">
        <f t="shared" si="6"/>
        <v>Fri</v>
      </c>
      <c r="M1395" s="78" t="str">
        <f>IFERROR(VLOOKUP(A1395, Entries!A:B,2,false),"")</f>
        <v>34BigThings</v>
      </c>
      <c r="N1395" s="23" t="str">
        <f>IFERROR(VLOOKUP(A1395, Entries!A:K,11,false),"")</f>
        <v/>
      </c>
      <c r="O1395" s="23" t="b">
        <f>IFERROR(VLOOKUP(A1395, Entries!A:I,8,false),"")</f>
        <v>0</v>
      </c>
    </row>
    <row r="1396">
      <c r="A1396" s="78" t="s">
        <v>871</v>
      </c>
      <c r="B1396" s="78" t="s">
        <v>19</v>
      </c>
      <c r="C1396" s="85">
        <v>44581.0</v>
      </c>
      <c r="D1396" s="85">
        <v>44689.0</v>
      </c>
      <c r="E1396" s="86">
        <v>3.79</v>
      </c>
      <c r="F1396" s="87">
        <v>4.76</v>
      </c>
      <c r="G1396" s="88">
        <f t="shared" si="1"/>
        <v>0.97</v>
      </c>
      <c r="H1396" s="89">
        <f t="shared" si="7"/>
        <v>0.2037815126</v>
      </c>
      <c r="I1396" s="78" t="s">
        <v>1864</v>
      </c>
      <c r="J1396" s="78" t="s">
        <v>69</v>
      </c>
      <c r="K1396" s="58">
        <f t="shared" si="3"/>
        <v>108</v>
      </c>
      <c r="L1396" s="91" t="str">
        <f t="shared" si="6"/>
        <v>Sun</v>
      </c>
      <c r="M1396" s="78" t="str">
        <f>IFERROR(VLOOKUP(A1396, Entries!A:B,2,false),"")</f>
        <v>34BigThings</v>
      </c>
      <c r="N1396" s="23" t="str">
        <f>IFERROR(VLOOKUP(A1396, Entries!A:K,11,false),"")</f>
        <v/>
      </c>
      <c r="O1396" s="23" t="b">
        <f>IFERROR(VLOOKUP(A1396, Entries!A:I,8,false),"")</f>
        <v>0</v>
      </c>
    </row>
    <row r="1397">
      <c r="A1397" s="78" t="s">
        <v>719</v>
      </c>
      <c r="B1397" s="78" t="s">
        <v>19</v>
      </c>
      <c r="C1397" s="85">
        <v>44581.0</v>
      </c>
      <c r="D1397" s="85">
        <v>44597.0</v>
      </c>
      <c r="E1397" s="86">
        <v>6.55</v>
      </c>
      <c r="F1397" s="87">
        <v>8.25</v>
      </c>
      <c r="G1397" s="88">
        <f t="shared" si="1"/>
        <v>1.7</v>
      </c>
      <c r="H1397" s="89">
        <f t="shared" si="7"/>
        <v>0.2060606061</v>
      </c>
      <c r="I1397" s="78" t="s">
        <v>1865</v>
      </c>
      <c r="J1397" s="78" t="s">
        <v>69</v>
      </c>
      <c r="K1397" s="58">
        <f t="shared" si="3"/>
        <v>16</v>
      </c>
      <c r="L1397" s="91" t="str">
        <f t="shared" si="6"/>
        <v>Sat</v>
      </c>
      <c r="M1397" s="78" t="str">
        <f>IFERROR(VLOOKUP(A1397, Entries!A:B,2,false),"")</f>
        <v>Lukas Rustemeyer</v>
      </c>
      <c r="N1397" s="23" t="str">
        <f>IFERROR(VLOOKUP(A1397, Entries!A:K,11,false),"")</f>
        <v/>
      </c>
      <c r="O1397" s="23" t="b">
        <f>IFERROR(VLOOKUP(A1397, Entries!A:I,8,false),"")</f>
        <v>1</v>
      </c>
    </row>
    <row r="1398">
      <c r="A1398" s="78" t="s">
        <v>1806</v>
      </c>
      <c r="B1398" s="78" t="s">
        <v>27</v>
      </c>
      <c r="C1398" s="85">
        <v>44581.0</v>
      </c>
      <c r="D1398" s="85">
        <v>44582.0</v>
      </c>
      <c r="E1398" s="86">
        <v>5.05</v>
      </c>
      <c r="F1398" s="87">
        <v>7.23</v>
      </c>
      <c r="G1398" s="88">
        <f t="shared" si="1"/>
        <v>2.18</v>
      </c>
      <c r="H1398" s="89">
        <f t="shared" si="7"/>
        <v>0.3015214385</v>
      </c>
      <c r="I1398" s="78" t="s">
        <v>1866</v>
      </c>
      <c r="J1398" s="78" t="s">
        <v>69</v>
      </c>
      <c r="K1398" s="58">
        <f t="shared" si="3"/>
        <v>1</v>
      </c>
      <c r="L1398" s="91" t="str">
        <f t="shared" si="6"/>
        <v>Fri</v>
      </c>
      <c r="M1398" s="78" t="str">
        <f>IFERROR(VLOOKUP(A1398, Entries!A:B,2,false),"")</f>
        <v>Daedalic Entertainment</v>
      </c>
      <c r="N1398" s="23" t="str">
        <f>IFERROR(VLOOKUP(A1398, Entries!A:K,11,false),"")</f>
        <v/>
      </c>
      <c r="O1398" s="23" t="b">
        <f>IFERROR(VLOOKUP(A1398, Entries!A:I,8,false),"")</f>
        <v>1</v>
      </c>
    </row>
    <row r="1399">
      <c r="A1399" s="78" t="s">
        <v>1370</v>
      </c>
      <c r="B1399" s="78" t="s">
        <v>27</v>
      </c>
      <c r="C1399" s="85">
        <v>44582.0</v>
      </c>
      <c r="D1399" s="85">
        <v>44585.0</v>
      </c>
      <c r="E1399" s="86">
        <v>34.32</v>
      </c>
      <c r="F1399" s="87">
        <v>39.85</v>
      </c>
      <c r="G1399" s="88">
        <f t="shared" si="1"/>
        <v>5.53</v>
      </c>
      <c r="H1399" s="89">
        <f t="shared" si="7"/>
        <v>0.138770389</v>
      </c>
      <c r="I1399" s="78" t="s">
        <v>1867</v>
      </c>
      <c r="J1399" s="78" t="s">
        <v>69</v>
      </c>
      <c r="K1399" s="58">
        <f t="shared" si="3"/>
        <v>3</v>
      </c>
      <c r="L1399" s="91" t="str">
        <f t="shared" si="6"/>
        <v>Mon</v>
      </c>
      <c r="M1399" s="78" t="str">
        <f>IFERROR(VLOOKUP(A1399, Entries!A:B,2,false),"")</f>
        <v>META Publishing</v>
      </c>
      <c r="N1399" s="23" t="str">
        <f>IFERROR(VLOOKUP(A1399, Entries!A:K,11,false),"")</f>
        <v/>
      </c>
      <c r="O1399" s="23" t="b">
        <f>IFERROR(VLOOKUP(A1399, Entries!A:I,8,false),"")</f>
        <v>1</v>
      </c>
    </row>
    <row r="1400">
      <c r="A1400" s="78" t="s">
        <v>1175</v>
      </c>
      <c r="B1400" s="78" t="s">
        <v>21</v>
      </c>
      <c r="C1400" s="85">
        <v>44582.0</v>
      </c>
      <c r="D1400" s="85">
        <v>44611.0</v>
      </c>
      <c r="E1400" s="86">
        <v>4.8</v>
      </c>
      <c r="F1400" s="87">
        <v>6.17</v>
      </c>
      <c r="G1400" s="88">
        <f t="shared" si="1"/>
        <v>1.37</v>
      </c>
      <c r="H1400" s="89">
        <f t="shared" si="7"/>
        <v>0.2220421394</v>
      </c>
      <c r="I1400" s="78" t="s">
        <v>1868</v>
      </c>
      <c r="J1400" s="78" t="s">
        <v>69</v>
      </c>
      <c r="K1400" s="58">
        <f t="shared" si="3"/>
        <v>29</v>
      </c>
      <c r="L1400" s="91" t="str">
        <f t="shared" si="6"/>
        <v>Sat</v>
      </c>
      <c r="M1400" s="78" t="str">
        <f>IFERROR(VLOOKUP(A1400, Entries!A:B,2,false),"")</f>
        <v>10tons Ltd</v>
      </c>
      <c r="N1400" s="23" t="str">
        <f>IFERROR(VLOOKUP(A1400, Entries!A:K,11,false),"")</f>
        <v/>
      </c>
      <c r="O1400" s="23" t="b">
        <f>IFERROR(VLOOKUP(A1400, Entries!A:I,8,false),"")</f>
        <v>0</v>
      </c>
    </row>
    <row r="1401">
      <c r="A1401" s="78" t="s">
        <v>1806</v>
      </c>
      <c r="B1401" s="78" t="s">
        <v>27</v>
      </c>
      <c r="C1401" s="85">
        <v>44582.0</v>
      </c>
      <c r="D1401" s="85">
        <v>44583.0</v>
      </c>
      <c r="E1401" s="86">
        <v>5.06</v>
      </c>
      <c r="F1401" s="87">
        <v>7.16</v>
      </c>
      <c r="G1401" s="88">
        <f t="shared" si="1"/>
        <v>2.1</v>
      </c>
      <c r="H1401" s="89">
        <f t="shared" si="7"/>
        <v>0.2932960894</v>
      </c>
      <c r="I1401" s="78" t="s">
        <v>1869</v>
      </c>
      <c r="J1401" s="78" t="s">
        <v>69</v>
      </c>
      <c r="K1401" s="58">
        <f t="shared" si="3"/>
        <v>1</v>
      </c>
      <c r="L1401" s="91" t="str">
        <f t="shared" si="6"/>
        <v>Sat</v>
      </c>
      <c r="M1401" s="78" t="str">
        <f>IFERROR(VLOOKUP(A1401, Entries!A:B,2,false),"")</f>
        <v>Daedalic Entertainment</v>
      </c>
      <c r="N1401" s="23" t="str">
        <f>IFERROR(VLOOKUP(A1401, Entries!A:K,11,false),"")</f>
        <v/>
      </c>
      <c r="O1401" s="23" t="b">
        <f>IFERROR(VLOOKUP(A1401, Entries!A:I,8,false),"")</f>
        <v>1</v>
      </c>
    </row>
    <row r="1402">
      <c r="A1402" s="78" t="s">
        <v>326</v>
      </c>
      <c r="B1402" s="78" t="s">
        <v>25</v>
      </c>
      <c r="C1402" s="85">
        <v>44582.0</v>
      </c>
      <c r="D1402" s="85">
        <v>44629.0</v>
      </c>
      <c r="E1402" s="86">
        <v>6.47</v>
      </c>
      <c r="F1402" s="87">
        <v>5.69</v>
      </c>
      <c r="G1402" s="88">
        <f t="shared" si="1"/>
        <v>-0.78</v>
      </c>
      <c r="H1402" s="89">
        <f t="shared" si="7"/>
        <v>-0.1370826011</v>
      </c>
      <c r="I1402" s="78" t="s">
        <v>1870</v>
      </c>
      <c r="J1402" s="78" t="s">
        <v>69</v>
      </c>
      <c r="K1402" s="58">
        <f t="shared" si="3"/>
        <v>47</v>
      </c>
      <c r="L1402" s="91" t="str">
        <f t="shared" si="6"/>
        <v>Wed</v>
      </c>
      <c r="M1402" s="78" t="str">
        <f>IFERROR(VLOOKUP(A1402, Entries!A:B,2,false),"")</f>
        <v>Aerosoft</v>
      </c>
      <c r="N1402" s="23" t="str">
        <f>IFERROR(VLOOKUP(A1402, Entries!A:K,11,false),"")</f>
        <v/>
      </c>
      <c r="O1402" s="23" t="b">
        <f>IFERROR(VLOOKUP(A1402, Entries!A:I,8,false),"")</f>
        <v>1</v>
      </c>
    </row>
    <row r="1403">
      <c r="A1403" s="78" t="s">
        <v>326</v>
      </c>
      <c r="B1403" s="78" t="s">
        <v>25</v>
      </c>
      <c r="C1403" s="85">
        <v>44582.0</v>
      </c>
      <c r="D1403" s="85">
        <v>44633.0</v>
      </c>
      <c r="E1403" s="86">
        <v>6.47</v>
      </c>
      <c r="F1403" s="87">
        <v>5.39</v>
      </c>
      <c r="G1403" s="88">
        <f t="shared" si="1"/>
        <v>-1.08</v>
      </c>
      <c r="H1403" s="89">
        <f t="shared" si="7"/>
        <v>-0.2003710575</v>
      </c>
      <c r="I1403" s="78" t="s">
        <v>1871</v>
      </c>
      <c r="J1403" s="78" t="s">
        <v>69</v>
      </c>
      <c r="K1403" s="58">
        <f t="shared" si="3"/>
        <v>51</v>
      </c>
      <c r="L1403" s="91" t="str">
        <f t="shared" si="6"/>
        <v>Sun</v>
      </c>
      <c r="M1403" s="78" t="str">
        <f>IFERROR(VLOOKUP(A1403, Entries!A:B,2,false),"")</f>
        <v>Aerosoft</v>
      </c>
      <c r="N1403" s="23" t="str">
        <f>IFERROR(VLOOKUP(A1403, Entries!A:K,11,false),"")</f>
        <v/>
      </c>
      <c r="O1403" s="23" t="b">
        <f>IFERROR(VLOOKUP(A1403, Entries!A:I,8,false),"")</f>
        <v>1</v>
      </c>
    </row>
    <row r="1404">
      <c r="A1404" s="78" t="s">
        <v>326</v>
      </c>
      <c r="B1404" s="78" t="s">
        <v>25</v>
      </c>
      <c r="C1404" s="85">
        <v>44582.0</v>
      </c>
      <c r="D1404" s="85">
        <v>44633.0</v>
      </c>
      <c r="E1404" s="86">
        <v>6.47</v>
      </c>
      <c r="F1404" s="87">
        <v>5.39</v>
      </c>
      <c r="G1404" s="88">
        <f t="shared" si="1"/>
        <v>-1.08</v>
      </c>
      <c r="H1404" s="89">
        <f t="shared" si="7"/>
        <v>-0.2003710575</v>
      </c>
      <c r="I1404" s="78" t="s">
        <v>1872</v>
      </c>
      <c r="J1404" s="78" t="s">
        <v>69</v>
      </c>
      <c r="K1404" s="58">
        <f t="shared" si="3"/>
        <v>51</v>
      </c>
      <c r="L1404" s="91" t="str">
        <f t="shared" si="6"/>
        <v>Sun</v>
      </c>
      <c r="M1404" s="78" t="str">
        <f>IFERROR(VLOOKUP(A1404, Entries!A:B,2,false),"")</f>
        <v>Aerosoft</v>
      </c>
      <c r="N1404" s="23" t="str">
        <f>IFERROR(VLOOKUP(A1404, Entries!A:K,11,false),"")</f>
        <v/>
      </c>
      <c r="O1404" s="23" t="b">
        <f>IFERROR(VLOOKUP(A1404, Entries!A:I,8,false),"")</f>
        <v>1</v>
      </c>
    </row>
    <row r="1405">
      <c r="A1405" s="78" t="s">
        <v>1786</v>
      </c>
      <c r="B1405" s="78" t="s">
        <v>27</v>
      </c>
      <c r="C1405" s="85">
        <v>44582.0</v>
      </c>
      <c r="D1405" s="85">
        <v>44583.0</v>
      </c>
      <c r="E1405" s="86">
        <v>19.07</v>
      </c>
      <c r="F1405" s="87">
        <v>24.64</v>
      </c>
      <c r="G1405" s="88">
        <f t="shared" si="1"/>
        <v>5.57</v>
      </c>
      <c r="H1405" s="89">
        <f t="shared" si="7"/>
        <v>0.2260551948</v>
      </c>
      <c r="I1405" s="78" t="s">
        <v>1873</v>
      </c>
      <c r="J1405" s="78" t="s">
        <v>69</v>
      </c>
      <c r="K1405" s="58">
        <f t="shared" si="3"/>
        <v>1</v>
      </c>
      <c r="L1405" s="91" t="str">
        <f t="shared" si="6"/>
        <v>Sat</v>
      </c>
      <c r="M1405" s="78" t="str">
        <f>IFERROR(VLOOKUP(A1405, Entries!A:B,2,false),"")</f>
        <v>Bethesda Softworks</v>
      </c>
      <c r="N1405" s="23" t="str">
        <f>IFERROR(VLOOKUP(A1405, Entries!A:K,11,false),"")</f>
        <v/>
      </c>
      <c r="O1405" s="23" t="b">
        <f>IFERROR(VLOOKUP(A1405, Entries!A:I,8,false),"")</f>
        <v>1</v>
      </c>
    </row>
    <row r="1406">
      <c r="A1406" s="78" t="s">
        <v>1786</v>
      </c>
      <c r="B1406" s="78" t="s">
        <v>27</v>
      </c>
      <c r="C1406" s="85">
        <v>44582.0</v>
      </c>
      <c r="D1406" s="85">
        <v>44583.0</v>
      </c>
      <c r="E1406" s="86">
        <v>19.07</v>
      </c>
      <c r="F1406" s="87">
        <v>24.52</v>
      </c>
      <c r="G1406" s="88">
        <f t="shared" si="1"/>
        <v>5.45</v>
      </c>
      <c r="H1406" s="89">
        <f t="shared" si="7"/>
        <v>0.2222675367</v>
      </c>
      <c r="I1406" s="78" t="s">
        <v>1874</v>
      </c>
      <c r="J1406" s="78" t="s">
        <v>69</v>
      </c>
      <c r="K1406" s="58">
        <f t="shared" si="3"/>
        <v>1</v>
      </c>
      <c r="L1406" s="91" t="str">
        <f t="shared" si="6"/>
        <v>Sat</v>
      </c>
      <c r="M1406" s="78" t="str">
        <f>IFERROR(VLOOKUP(A1406, Entries!A:B,2,false),"")</f>
        <v>Bethesda Softworks</v>
      </c>
      <c r="N1406" s="23" t="str">
        <f>IFERROR(VLOOKUP(A1406, Entries!A:K,11,false),"")</f>
        <v/>
      </c>
      <c r="O1406" s="23" t="b">
        <f>IFERROR(VLOOKUP(A1406, Entries!A:I,8,false),"")</f>
        <v>1</v>
      </c>
    </row>
    <row r="1407">
      <c r="A1407" s="78" t="s">
        <v>1786</v>
      </c>
      <c r="B1407" s="78" t="s">
        <v>27</v>
      </c>
      <c r="C1407" s="85">
        <v>44583.0</v>
      </c>
      <c r="D1407" s="85">
        <v>44584.0</v>
      </c>
      <c r="E1407" s="86">
        <v>19.07</v>
      </c>
      <c r="F1407" s="87">
        <v>24.36</v>
      </c>
      <c r="G1407" s="88">
        <f t="shared" si="1"/>
        <v>5.29</v>
      </c>
      <c r="H1407" s="89">
        <f t="shared" si="7"/>
        <v>0.2171592775</v>
      </c>
      <c r="I1407" s="78" t="s">
        <v>1875</v>
      </c>
      <c r="J1407" s="78" t="s">
        <v>69</v>
      </c>
      <c r="K1407" s="58">
        <f t="shared" si="3"/>
        <v>1</v>
      </c>
      <c r="L1407" s="91" t="str">
        <f t="shared" si="6"/>
        <v>Sun</v>
      </c>
      <c r="M1407" s="78" t="str">
        <f>IFERROR(VLOOKUP(A1407, Entries!A:B,2,false),"")</f>
        <v>Bethesda Softworks</v>
      </c>
      <c r="N1407" s="23" t="str">
        <f>IFERROR(VLOOKUP(A1407, Entries!A:K,11,false),"")</f>
        <v/>
      </c>
      <c r="O1407" s="23" t="b">
        <f>IFERROR(VLOOKUP(A1407, Entries!A:I,8,false),"")</f>
        <v>1</v>
      </c>
    </row>
    <row r="1408">
      <c r="A1408" s="78" t="s">
        <v>1786</v>
      </c>
      <c r="B1408" s="78" t="s">
        <v>27</v>
      </c>
      <c r="C1408" s="85">
        <v>44584.0</v>
      </c>
      <c r="D1408" s="85">
        <v>44584.0</v>
      </c>
      <c r="E1408" s="86">
        <v>19.07</v>
      </c>
      <c r="F1408" s="87">
        <v>23.8</v>
      </c>
      <c r="G1408" s="88">
        <f t="shared" si="1"/>
        <v>4.73</v>
      </c>
      <c r="H1408" s="89">
        <f t="shared" si="7"/>
        <v>0.1987394958</v>
      </c>
      <c r="I1408" s="78" t="s">
        <v>1876</v>
      </c>
      <c r="J1408" s="78" t="s">
        <v>69</v>
      </c>
      <c r="K1408" s="58">
        <f t="shared" si="3"/>
        <v>0</v>
      </c>
      <c r="L1408" s="91" t="str">
        <f t="shared" si="6"/>
        <v>Sun</v>
      </c>
      <c r="M1408" s="78" t="str">
        <f>IFERROR(VLOOKUP(A1408, Entries!A:B,2,false),"")</f>
        <v>Bethesda Softworks</v>
      </c>
      <c r="N1408" s="23" t="str">
        <f>IFERROR(VLOOKUP(A1408, Entries!A:K,11,false),"")</f>
        <v/>
      </c>
      <c r="O1408" s="23" t="b">
        <f>IFERROR(VLOOKUP(A1408, Entries!A:I,8,false),"")</f>
        <v>1</v>
      </c>
    </row>
    <row r="1409">
      <c r="A1409" s="78" t="s">
        <v>1786</v>
      </c>
      <c r="B1409" s="78" t="s">
        <v>27</v>
      </c>
      <c r="C1409" s="85">
        <v>44584.0</v>
      </c>
      <c r="D1409" s="85">
        <v>44585.0</v>
      </c>
      <c r="E1409" s="86">
        <v>19.07</v>
      </c>
      <c r="F1409" s="87">
        <v>24.28</v>
      </c>
      <c r="G1409" s="88">
        <f t="shared" si="1"/>
        <v>5.21</v>
      </c>
      <c r="H1409" s="89">
        <f t="shared" si="7"/>
        <v>0.2145799012</v>
      </c>
      <c r="I1409" s="78" t="s">
        <v>1877</v>
      </c>
      <c r="J1409" s="78" t="s">
        <v>69</v>
      </c>
      <c r="K1409" s="58">
        <f t="shared" si="3"/>
        <v>1</v>
      </c>
      <c r="L1409" s="91" t="str">
        <f t="shared" si="6"/>
        <v>Mon</v>
      </c>
      <c r="M1409" s="78" t="str">
        <f>IFERROR(VLOOKUP(A1409, Entries!A:B,2,false),"")</f>
        <v>Bethesda Softworks</v>
      </c>
      <c r="N1409" s="23" t="str">
        <f>IFERROR(VLOOKUP(A1409, Entries!A:K,11,false),"")</f>
        <v/>
      </c>
      <c r="O1409" s="23" t="b">
        <f>IFERROR(VLOOKUP(A1409, Entries!A:I,8,false),"")</f>
        <v>1</v>
      </c>
    </row>
    <row r="1410">
      <c r="A1410" s="78" t="s">
        <v>1370</v>
      </c>
      <c r="B1410" s="78" t="s">
        <v>27</v>
      </c>
      <c r="C1410" s="85">
        <v>44585.0</v>
      </c>
      <c r="D1410" s="85">
        <v>46147.0</v>
      </c>
      <c r="E1410" s="86">
        <v>33.82</v>
      </c>
      <c r="F1410" s="87">
        <v>1.68</v>
      </c>
      <c r="G1410" s="88">
        <f t="shared" si="1"/>
        <v>-32.14</v>
      </c>
      <c r="H1410" s="89">
        <f t="shared" si="7"/>
        <v>-19.13095238</v>
      </c>
      <c r="I1410" s="103" t="s">
        <v>1878</v>
      </c>
      <c r="J1410" s="78" t="s">
        <v>69</v>
      </c>
      <c r="K1410" s="58">
        <f t="shared" si="3"/>
        <v>1562</v>
      </c>
      <c r="L1410" s="91" t="str">
        <f t="shared" si="6"/>
        <v>Tue</v>
      </c>
      <c r="M1410" s="78" t="str">
        <f>IFERROR(VLOOKUP(A1410, Entries!A:B,2,false),"")</f>
        <v>META Publishing</v>
      </c>
      <c r="N1410" s="23" t="str">
        <f>IFERROR(VLOOKUP(A1410, Entries!A:K,11,false),"")</f>
        <v/>
      </c>
      <c r="O1410" s="23" t="b">
        <f>IFERROR(VLOOKUP(A1410, Entries!A:I,8,false),"")</f>
        <v>1</v>
      </c>
      <c r="S1410" s="23" t="str">
        <f>IF(AND(TODAY()-ROW(A586)+1 &lt;= 30, J586="Closed"), TEXT(TODAY()-ROW(A586)+1, "dd-mm-yyyy"), "")
</f>
        <v/>
      </c>
    </row>
    <row r="1411">
      <c r="A1411" s="78" t="s">
        <v>1879</v>
      </c>
      <c r="B1411" s="78" t="s">
        <v>22</v>
      </c>
      <c r="C1411" s="85">
        <v>44585.0</v>
      </c>
      <c r="D1411" s="85">
        <v>44585.0</v>
      </c>
      <c r="E1411" s="86">
        <v>15.51</v>
      </c>
      <c r="F1411" s="87">
        <v>18.18</v>
      </c>
      <c r="G1411" s="88">
        <f t="shared" si="1"/>
        <v>2.67</v>
      </c>
      <c r="H1411" s="89">
        <f t="shared" si="7"/>
        <v>0.1468646865</v>
      </c>
      <c r="I1411" s="78" t="s">
        <v>1880</v>
      </c>
      <c r="J1411" s="78" t="s">
        <v>69</v>
      </c>
      <c r="K1411" s="58">
        <f t="shared" si="3"/>
        <v>0</v>
      </c>
      <c r="L1411" s="91" t="str">
        <f t="shared" si="6"/>
        <v>Mon</v>
      </c>
      <c r="M1411" s="78" t="str">
        <f>IFERROR(VLOOKUP(A1411, Entries!A:B,2,false),"")</f>
        <v>2K</v>
      </c>
      <c r="N1411" s="23" t="str">
        <f>IFERROR(VLOOKUP(A1411, Entries!A:K,11,false),"")</f>
        <v/>
      </c>
      <c r="O1411" s="23" t="b">
        <f>IFERROR(VLOOKUP(A1411, Entries!A:I,8,false),"")</f>
        <v>0</v>
      </c>
    </row>
    <row r="1412">
      <c r="A1412" s="78" t="s">
        <v>517</v>
      </c>
      <c r="B1412" s="78" t="s">
        <v>19</v>
      </c>
      <c r="C1412" s="85">
        <v>44585.0</v>
      </c>
      <c r="D1412" s="85">
        <v>44585.0</v>
      </c>
      <c r="E1412" s="86">
        <v>3.49</v>
      </c>
      <c r="F1412" s="87">
        <v>4.69</v>
      </c>
      <c r="G1412" s="88">
        <f t="shared" si="1"/>
        <v>1.2</v>
      </c>
      <c r="H1412" s="89">
        <f t="shared" si="7"/>
        <v>0.2558635394</v>
      </c>
      <c r="I1412" s="78" t="s">
        <v>1881</v>
      </c>
      <c r="J1412" s="78" t="s">
        <v>69</v>
      </c>
      <c r="K1412" s="58">
        <f t="shared" si="3"/>
        <v>0</v>
      </c>
      <c r="L1412" s="91" t="str">
        <f t="shared" si="6"/>
        <v>Mon</v>
      </c>
      <c r="M1412" s="78" t="str">
        <f>IFERROR(VLOOKUP(A1412, Entries!A:B,2,false),"")</f>
        <v>Devolver Digital</v>
      </c>
      <c r="N1412" s="23" t="str">
        <f>IFERROR(VLOOKUP(A1412, Entries!A:K,11,false),"")</f>
        <v/>
      </c>
      <c r="O1412" s="23" t="b">
        <f>IFERROR(VLOOKUP(A1412, Entries!A:I,8,false),"")</f>
        <v>0</v>
      </c>
    </row>
    <row r="1413">
      <c r="A1413" s="78" t="s">
        <v>517</v>
      </c>
      <c r="B1413" s="78" t="s">
        <v>19</v>
      </c>
      <c r="C1413" s="85">
        <v>44585.0</v>
      </c>
      <c r="D1413" s="85">
        <v>44585.0</v>
      </c>
      <c r="E1413" s="86">
        <v>3.49</v>
      </c>
      <c r="F1413" s="87">
        <v>4.69</v>
      </c>
      <c r="G1413" s="88">
        <f t="shared" si="1"/>
        <v>1.2</v>
      </c>
      <c r="H1413" s="89">
        <f t="shared" si="7"/>
        <v>0.2558635394</v>
      </c>
      <c r="I1413" s="78" t="s">
        <v>1882</v>
      </c>
      <c r="J1413" s="78" t="s">
        <v>69</v>
      </c>
      <c r="K1413" s="58">
        <f t="shared" si="3"/>
        <v>0</v>
      </c>
      <c r="L1413" s="91" t="str">
        <f t="shared" si="6"/>
        <v>Mon</v>
      </c>
      <c r="M1413" s="78" t="str">
        <f>IFERROR(VLOOKUP(A1413, Entries!A:B,2,false),"")</f>
        <v>Devolver Digital</v>
      </c>
      <c r="N1413" s="23" t="str">
        <f>IFERROR(VLOOKUP(A1413, Entries!A:K,11,false),"")</f>
        <v/>
      </c>
      <c r="O1413" s="23" t="b">
        <f>IFERROR(VLOOKUP(A1413, Entries!A:I,8,false),"")</f>
        <v>0</v>
      </c>
    </row>
    <row r="1414">
      <c r="A1414" s="78" t="s">
        <v>1879</v>
      </c>
      <c r="B1414" s="78" t="s">
        <v>22</v>
      </c>
      <c r="C1414" s="85">
        <v>44585.0</v>
      </c>
      <c r="D1414" s="85">
        <v>44814.0</v>
      </c>
      <c r="E1414" s="86">
        <v>15.51</v>
      </c>
      <c r="F1414" s="87">
        <v>7.95</v>
      </c>
      <c r="G1414" s="88">
        <f t="shared" si="1"/>
        <v>-7.56</v>
      </c>
      <c r="H1414" s="89">
        <f t="shared" si="7"/>
        <v>-0.9509433962</v>
      </c>
      <c r="I1414" s="78" t="s">
        <v>1883</v>
      </c>
      <c r="J1414" s="78" t="s">
        <v>69</v>
      </c>
      <c r="K1414" s="58">
        <f t="shared" si="3"/>
        <v>229</v>
      </c>
      <c r="L1414" s="91" t="str">
        <f t="shared" si="6"/>
        <v>Sat</v>
      </c>
      <c r="M1414" s="78" t="str">
        <f>IFERROR(VLOOKUP(A1414, Entries!A:B,2,false),"")</f>
        <v>2K</v>
      </c>
      <c r="N1414" s="23" t="str">
        <f>IFERROR(VLOOKUP(A1414, Entries!A:K,11,false),"")</f>
        <v/>
      </c>
      <c r="O1414" s="23" t="b">
        <f>IFERROR(VLOOKUP(A1414, Entries!A:I,8,false),"")</f>
        <v>0</v>
      </c>
    </row>
    <row r="1415">
      <c r="A1415" s="78" t="s">
        <v>1879</v>
      </c>
      <c r="B1415" s="78" t="s">
        <v>22</v>
      </c>
      <c r="C1415" s="85">
        <v>44585.0</v>
      </c>
      <c r="D1415" s="85">
        <v>44814.0</v>
      </c>
      <c r="E1415" s="86">
        <v>15.52</v>
      </c>
      <c r="F1415" s="87">
        <v>8.18</v>
      </c>
      <c r="G1415" s="88">
        <f t="shared" si="1"/>
        <v>-7.34</v>
      </c>
      <c r="H1415" s="89">
        <f t="shared" si="7"/>
        <v>-0.8973105134</v>
      </c>
      <c r="I1415" s="78" t="s">
        <v>1884</v>
      </c>
      <c r="J1415" s="78" t="s">
        <v>69</v>
      </c>
      <c r="K1415" s="58">
        <f t="shared" si="3"/>
        <v>229</v>
      </c>
      <c r="L1415" s="91" t="str">
        <f t="shared" si="6"/>
        <v>Sat</v>
      </c>
      <c r="M1415" s="78" t="str">
        <f>IFERROR(VLOOKUP(A1415, Entries!A:B,2,false),"")</f>
        <v>2K</v>
      </c>
      <c r="N1415" s="23" t="str">
        <f>IFERROR(VLOOKUP(A1415, Entries!A:K,11,false),"")</f>
        <v/>
      </c>
      <c r="O1415" s="23" t="b">
        <f>IFERROR(VLOOKUP(A1415, Entries!A:I,8,false),"")</f>
        <v>0</v>
      </c>
    </row>
    <row r="1416">
      <c r="A1416" s="78" t="s">
        <v>1786</v>
      </c>
      <c r="B1416" s="78" t="s">
        <v>27</v>
      </c>
      <c r="C1416" s="85">
        <v>44585.0</v>
      </c>
      <c r="D1416" s="85">
        <v>44585.0</v>
      </c>
      <c r="E1416" s="86">
        <v>18.78</v>
      </c>
      <c r="F1416" s="87">
        <v>24.17</v>
      </c>
      <c r="G1416" s="88">
        <f t="shared" si="1"/>
        <v>5.39</v>
      </c>
      <c r="H1416" s="89">
        <f t="shared" si="7"/>
        <v>0.2230037236</v>
      </c>
      <c r="I1416" s="78" t="s">
        <v>1885</v>
      </c>
      <c r="J1416" s="78" t="s">
        <v>69</v>
      </c>
      <c r="K1416" s="58">
        <f t="shared" si="3"/>
        <v>0</v>
      </c>
      <c r="L1416" s="91" t="str">
        <f t="shared" si="6"/>
        <v>Mon</v>
      </c>
      <c r="M1416" s="78" t="str">
        <f>IFERROR(VLOOKUP(A1416, Entries!A:B,2,false),"")</f>
        <v>Bethesda Softworks</v>
      </c>
      <c r="N1416" s="23" t="str">
        <f>IFERROR(VLOOKUP(A1416, Entries!A:K,11,false),"")</f>
        <v/>
      </c>
      <c r="O1416" s="23" t="b">
        <f>IFERROR(VLOOKUP(A1416, Entries!A:I,8,false),"")</f>
        <v>1</v>
      </c>
    </row>
    <row r="1417">
      <c r="A1417" s="78" t="s">
        <v>1786</v>
      </c>
      <c r="B1417" s="78" t="s">
        <v>27</v>
      </c>
      <c r="C1417" s="85">
        <v>44585.0</v>
      </c>
      <c r="D1417" s="85">
        <v>44585.0</v>
      </c>
      <c r="E1417" s="86">
        <v>18.78</v>
      </c>
      <c r="F1417" s="87">
        <v>24.03</v>
      </c>
      <c r="G1417" s="88">
        <f t="shared" si="1"/>
        <v>5.25</v>
      </c>
      <c r="H1417" s="89">
        <f t="shared" si="7"/>
        <v>0.2184769039</v>
      </c>
      <c r="I1417" s="78" t="s">
        <v>1886</v>
      </c>
      <c r="J1417" s="78" t="s">
        <v>69</v>
      </c>
      <c r="K1417" s="58">
        <f t="shared" si="3"/>
        <v>0</v>
      </c>
      <c r="L1417" s="91" t="str">
        <f t="shared" si="6"/>
        <v>Mon</v>
      </c>
      <c r="M1417" s="78" t="str">
        <f>IFERROR(VLOOKUP(A1417, Entries!A:B,2,false),"")</f>
        <v>Bethesda Softworks</v>
      </c>
      <c r="N1417" s="23" t="str">
        <f>IFERROR(VLOOKUP(A1417, Entries!A:K,11,false),"")</f>
        <v/>
      </c>
      <c r="O1417" s="23" t="b">
        <f>IFERROR(VLOOKUP(A1417, Entries!A:I,8,false),"")</f>
        <v>1</v>
      </c>
    </row>
    <row r="1418">
      <c r="A1418" s="78" t="s">
        <v>1887</v>
      </c>
      <c r="B1418" s="78" t="s">
        <v>19</v>
      </c>
      <c r="C1418" s="85">
        <v>44585.0</v>
      </c>
      <c r="D1418" s="85">
        <v>44597.0</v>
      </c>
      <c r="E1418" s="86">
        <v>14.0</v>
      </c>
      <c r="F1418" s="87">
        <v>15.43</v>
      </c>
      <c r="G1418" s="88">
        <f t="shared" si="1"/>
        <v>1.43</v>
      </c>
      <c r="H1418" s="89">
        <f t="shared" si="7"/>
        <v>0.09267660402</v>
      </c>
      <c r="I1418" s="78" t="s">
        <v>1888</v>
      </c>
      <c r="J1418" s="78" t="s">
        <v>69</v>
      </c>
      <c r="K1418" s="58">
        <f t="shared" si="3"/>
        <v>12</v>
      </c>
      <c r="L1418" s="91" t="str">
        <f t="shared" si="6"/>
        <v>Sat</v>
      </c>
      <c r="M1418" s="78" t="str">
        <f>IFERROR(VLOOKUP(A1418, Entries!A:B,2,false),"")</f>
        <v>Devolver Digital</v>
      </c>
      <c r="N1418" s="23" t="str">
        <f>IFERROR(VLOOKUP(A1418, Entries!A:K,11,false),"")</f>
        <v/>
      </c>
      <c r="O1418" s="23" t="b">
        <f>IFERROR(VLOOKUP(A1418, Entries!A:I,8,false),"")</f>
        <v>0</v>
      </c>
    </row>
    <row r="1419">
      <c r="A1419" s="78" t="s">
        <v>1889</v>
      </c>
      <c r="B1419" s="78" t="s">
        <v>19</v>
      </c>
      <c r="C1419" s="85">
        <v>44585.0</v>
      </c>
      <c r="D1419" s="85">
        <v>44585.0</v>
      </c>
      <c r="E1419" s="86">
        <v>0.0</v>
      </c>
      <c r="F1419" s="87">
        <v>1.21</v>
      </c>
      <c r="G1419" s="88">
        <f t="shared" si="1"/>
        <v>1.21</v>
      </c>
      <c r="H1419" s="89">
        <f t="shared" si="7"/>
        <v>1</v>
      </c>
      <c r="I1419" s="78" t="s">
        <v>1890</v>
      </c>
      <c r="J1419" s="78" t="s">
        <v>69</v>
      </c>
      <c r="K1419" s="58">
        <f t="shared" si="3"/>
        <v>0</v>
      </c>
      <c r="L1419" s="91" t="str">
        <f t="shared" si="6"/>
        <v>Mon</v>
      </c>
      <c r="M1419" s="78" t="str">
        <f>IFERROR(VLOOKUP(A1419, Entries!A:B,2,false),"")</f>
        <v>Conatus Creative</v>
      </c>
      <c r="N1419" s="23" t="str">
        <f>IFERROR(VLOOKUP(A1419, Entries!A:K,11,false),"")</f>
        <v/>
      </c>
      <c r="O1419" s="23" t="b">
        <f>IFERROR(VLOOKUP(A1419, Entries!A:I,8,false),"")</f>
        <v>0</v>
      </c>
    </row>
    <row r="1420">
      <c r="A1420" s="78" t="s">
        <v>517</v>
      </c>
      <c r="B1420" s="78" t="s">
        <v>19</v>
      </c>
      <c r="C1420" s="85">
        <v>44585.0</v>
      </c>
      <c r="D1420" s="85">
        <v>44585.0</v>
      </c>
      <c r="E1420" s="86">
        <v>3.49</v>
      </c>
      <c r="F1420" s="87">
        <v>4.69</v>
      </c>
      <c r="G1420" s="88">
        <f t="shared" si="1"/>
        <v>1.2</v>
      </c>
      <c r="H1420" s="89">
        <f t="shared" si="7"/>
        <v>0.2558635394</v>
      </c>
      <c r="I1420" s="78" t="s">
        <v>1891</v>
      </c>
      <c r="J1420" s="78" t="s">
        <v>69</v>
      </c>
      <c r="K1420" s="58">
        <f t="shared" si="3"/>
        <v>0</v>
      </c>
      <c r="L1420" s="91" t="str">
        <f t="shared" si="6"/>
        <v>Mon</v>
      </c>
      <c r="M1420" s="78" t="str">
        <f>IFERROR(VLOOKUP(A1420, Entries!A:B,2,false),"")</f>
        <v>Devolver Digital</v>
      </c>
      <c r="N1420" s="23" t="str">
        <f>IFERROR(VLOOKUP(A1420, Entries!A:K,11,false),"")</f>
        <v/>
      </c>
      <c r="O1420" s="23" t="b">
        <f>IFERROR(VLOOKUP(A1420, Entries!A:I,8,false),"")</f>
        <v>0</v>
      </c>
    </row>
    <row r="1421">
      <c r="A1421" s="78" t="s">
        <v>375</v>
      </c>
      <c r="B1421" s="78" t="s">
        <v>19</v>
      </c>
      <c r="C1421" s="85">
        <v>44585.0</v>
      </c>
      <c r="D1421" s="85">
        <v>44586.0</v>
      </c>
      <c r="E1421" s="86">
        <v>6.04</v>
      </c>
      <c r="F1421" s="87">
        <v>6.93</v>
      </c>
      <c r="G1421" s="88">
        <f t="shared" si="1"/>
        <v>0.89</v>
      </c>
      <c r="H1421" s="89">
        <f t="shared" si="7"/>
        <v>0.1284271284</v>
      </c>
      <c r="I1421" s="78" t="s">
        <v>1892</v>
      </c>
      <c r="J1421" s="78" t="s">
        <v>69</v>
      </c>
      <c r="K1421" s="58">
        <f t="shared" si="3"/>
        <v>1</v>
      </c>
      <c r="L1421" s="91" t="str">
        <f t="shared" si="6"/>
        <v>Tue</v>
      </c>
      <c r="M1421" s="78" t="str">
        <f>IFERROR(VLOOKUP(A1421, Entries!A:B,2,false),"")</f>
        <v>Survios</v>
      </c>
      <c r="N1421" s="23" t="str">
        <f>IFERROR(VLOOKUP(A1421, Entries!A:K,11,false),"")</f>
        <v/>
      </c>
      <c r="O1421" s="23" t="b">
        <f>IFERROR(VLOOKUP(A1421, Entries!A:I,8,false),"")</f>
        <v>1</v>
      </c>
    </row>
    <row r="1422">
      <c r="A1422" s="78" t="s">
        <v>1453</v>
      </c>
      <c r="B1422" s="78" t="s">
        <v>19</v>
      </c>
      <c r="C1422" s="85">
        <v>44585.0</v>
      </c>
      <c r="D1422" s="85">
        <v>44844.0</v>
      </c>
      <c r="E1422" s="86">
        <v>0.0</v>
      </c>
      <c r="F1422" s="87">
        <v>0.06</v>
      </c>
      <c r="G1422" s="88">
        <f t="shared" si="1"/>
        <v>0.06</v>
      </c>
      <c r="H1422" s="89">
        <f t="shared" si="7"/>
        <v>1</v>
      </c>
      <c r="I1422" s="78" t="s">
        <v>1893</v>
      </c>
      <c r="J1422" s="78" t="s">
        <v>69</v>
      </c>
      <c r="K1422" s="58">
        <f t="shared" si="3"/>
        <v>259</v>
      </c>
      <c r="L1422" s="91" t="str">
        <f t="shared" si="6"/>
        <v>Mon</v>
      </c>
      <c r="M1422" s="78" t="str">
        <f>IFERROR(VLOOKUP(A1422, Entries!A:B,2,false),"")</f>
        <v>Team17 Digital</v>
      </c>
      <c r="N1422" s="23" t="str">
        <f>IFERROR(VLOOKUP(A1422, Entries!A:K,11,false),"")</f>
        <v/>
      </c>
      <c r="O1422" s="23" t="b">
        <f>IFERROR(VLOOKUP(A1422, Entries!A:I,8,false),"")</f>
        <v>0</v>
      </c>
    </row>
    <row r="1423">
      <c r="A1423" s="78" t="s">
        <v>1786</v>
      </c>
      <c r="B1423" s="78" t="s">
        <v>27</v>
      </c>
      <c r="C1423" s="85">
        <v>44585.0</v>
      </c>
      <c r="D1423" s="85">
        <v>44585.0</v>
      </c>
      <c r="E1423" s="86">
        <v>18.78</v>
      </c>
      <c r="F1423" s="87">
        <v>24.23</v>
      </c>
      <c r="G1423" s="88">
        <f t="shared" si="1"/>
        <v>5.45</v>
      </c>
      <c r="H1423" s="89">
        <f t="shared" si="7"/>
        <v>0.2249277755</v>
      </c>
      <c r="I1423" s="78" t="s">
        <v>1894</v>
      </c>
      <c r="J1423" s="78" t="s">
        <v>69</v>
      </c>
      <c r="K1423" s="58">
        <f t="shared" si="3"/>
        <v>0</v>
      </c>
      <c r="L1423" s="91" t="str">
        <f t="shared" si="6"/>
        <v>Mon</v>
      </c>
      <c r="M1423" s="78" t="str">
        <f>IFERROR(VLOOKUP(A1423, Entries!A:B,2,false),"")</f>
        <v>Bethesda Softworks</v>
      </c>
      <c r="N1423" s="23" t="str">
        <f>IFERROR(VLOOKUP(A1423, Entries!A:K,11,false),"")</f>
        <v/>
      </c>
      <c r="O1423" s="23" t="b">
        <f>IFERROR(VLOOKUP(A1423, Entries!A:I,8,false),"")</f>
        <v>1</v>
      </c>
    </row>
    <row r="1424">
      <c r="A1424" s="78" t="s">
        <v>1786</v>
      </c>
      <c r="B1424" s="78" t="s">
        <v>27</v>
      </c>
      <c r="C1424" s="85">
        <v>44585.0</v>
      </c>
      <c r="D1424" s="85">
        <v>44586.0</v>
      </c>
      <c r="E1424" s="86">
        <v>18.78</v>
      </c>
      <c r="F1424" s="87">
        <v>24.03</v>
      </c>
      <c r="G1424" s="88">
        <f t="shared" si="1"/>
        <v>5.25</v>
      </c>
      <c r="H1424" s="89">
        <f t="shared" si="7"/>
        <v>0.2184769039</v>
      </c>
      <c r="I1424" s="78" t="s">
        <v>1895</v>
      </c>
      <c r="J1424" s="78" t="s">
        <v>69</v>
      </c>
      <c r="K1424" s="58">
        <f t="shared" si="3"/>
        <v>1</v>
      </c>
      <c r="L1424" s="91" t="str">
        <f t="shared" si="6"/>
        <v>Tue</v>
      </c>
      <c r="M1424" s="78" t="str">
        <f>IFERROR(VLOOKUP(A1424, Entries!A:B,2,false),"")</f>
        <v>Bethesda Softworks</v>
      </c>
      <c r="N1424" s="23" t="str">
        <f>IFERROR(VLOOKUP(A1424, Entries!A:K,11,false),"")</f>
        <v/>
      </c>
      <c r="O1424" s="23" t="b">
        <f>IFERROR(VLOOKUP(A1424, Entries!A:I,8,false),"")</f>
        <v>1</v>
      </c>
    </row>
    <row r="1425">
      <c r="A1425" s="78" t="s">
        <v>517</v>
      </c>
      <c r="B1425" s="78" t="s">
        <v>19</v>
      </c>
      <c r="C1425" s="85">
        <v>44585.0</v>
      </c>
      <c r="D1425" s="85">
        <v>44586.0</v>
      </c>
      <c r="E1425" s="86">
        <v>3.49</v>
      </c>
      <c r="F1425" s="87">
        <v>4.89</v>
      </c>
      <c r="G1425" s="88">
        <f t="shared" si="1"/>
        <v>1.4</v>
      </c>
      <c r="H1425" s="89">
        <f t="shared" si="7"/>
        <v>0.2862985685</v>
      </c>
      <c r="I1425" s="78" t="s">
        <v>1896</v>
      </c>
      <c r="J1425" s="78" t="s">
        <v>69</v>
      </c>
      <c r="K1425" s="58">
        <f t="shared" si="3"/>
        <v>1</v>
      </c>
      <c r="L1425" s="91" t="str">
        <f t="shared" si="6"/>
        <v>Tue</v>
      </c>
      <c r="M1425" s="78" t="str">
        <f>IFERROR(VLOOKUP(A1425, Entries!A:B,2,false),"")</f>
        <v>Devolver Digital</v>
      </c>
      <c r="N1425" s="23" t="str">
        <f>IFERROR(VLOOKUP(A1425, Entries!A:K,11,false),"")</f>
        <v/>
      </c>
      <c r="O1425" s="23" t="b">
        <f>IFERROR(VLOOKUP(A1425, Entries!A:I,8,false),"")</f>
        <v>0</v>
      </c>
    </row>
    <row r="1426">
      <c r="A1426" s="78" t="s">
        <v>375</v>
      </c>
      <c r="B1426" s="78" t="s">
        <v>19</v>
      </c>
      <c r="C1426" s="85">
        <v>44586.0</v>
      </c>
      <c r="D1426" s="85">
        <v>44620.0</v>
      </c>
      <c r="E1426" s="86">
        <v>6.04</v>
      </c>
      <c r="F1426" s="87">
        <v>6.86</v>
      </c>
      <c r="G1426" s="88">
        <f t="shared" si="1"/>
        <v>0.82</v>
      </c>
      <c r="H1426" s="89">
        <f t="shared" si="7"/>
        <v>0.1195335277</v>
      </c>
      <c r="I1426" s="78" t="s">
        <v>1897</v>
      </c>
      <c r="J1426" s="78" t="s">
        <v>69</v>
      </c>
      <c r="K1426" s="58">
        <f t="shared" si="3"/>
        <v>34</v>
      </c>
      <c r="L1426" s="91" t="str">
        <f t="shared" si="6"/>
        <v>Mon</v>
      </c>
      <c r="M1426" s="78" t="str">
        <f>IFERROR(VLOOKUP(A1426, Entries!A:B,2,false),"")</f>
        <v>Survios</v>
      </c>
      <c r="N1426" s="23" t="str">
        <f>IFERROR(VLOOKUP(A1426, Entries!A:K,11,false),"")</f>
        <v/>
      </c>
      <c r="O1426" s="23" t="b">
        <f>IFERROR(VLOOKUP(A1426, Entries!A:I,8,false),"")</f>
        <v>1</v>
      </c>
    </row>
    <row r="1427">
      <c r="A1427" s="78" t="s">
        <v>288</v>
      </c>
      <c r="B1427" s="78" t="s">
        <v>19</v>
      </c>
      <c r="C1427" s="85">
        <v>44586.0</v>
      </c>
      <c r="D1427" s="85">
        <v>44587.0</v>
      </c>
      <c r="E1427" s="86">
        <v>3.5</v>
      </c>
      <c r="F1427" s="87">
        <v>3.59</v>
      </c>
      <c r="G1427" s="88">
        <f t="shared" si="1"/>
        <v>0.09</v>
      </c>
      <c r="H1427" s="89">
        <f t="shared" si="7"/>
        <v>0.02506963788</v>
      </c>
      <c r="I1427" s="78" t="s">
        <v>1898</v>
      </c>
      <c r="J1427" s="78" t="s">
        <v>69</v>
      </c>
      <c r="K1427" s="58">
        <f t="shared" si="3"/>
        <v>1</v>
      </c>
      <c r="L1427" s="91" t="str">
        <f t="shared" si="6"/>
        <v>Wed</v>
      </c>
      <c r="M1427" s="78" t="str">
        <f>IFERROR(VLOOKUP(A1427, Entries!A:B,2,false),"")</f>
        <v>Deep Silver</v>
      </c>
      <c r="N1427" s="23" t="str">
        <f>IFERROR(VLOOKUP(A1427, Entries!A:K,11,false),"")</f>
        <v/>
      </c>
      <c r="O1427" s="23" t="b">
        <f>IFERROR(VLOOKUP(A1427, Entries!A:I,8,false),"")</f>
        <v>1</v>
      </c>
    </row>
    <row r="1428">
      <c r="A1428" s="78" t="s">
        <v>1889</v>
      </c>
      <c r="B1428" s="78" t="s">
        <v>19</v>
      </c>
      <c r="C1428" s="85">
        <v>44586.0</v>
      </c>
      <c r="D1428" s="85">
        <v>44590.0</v>
      </c>
      <c r="E1428" s="86">
        <v>0.0</v>
      </c>
      <c r="F1428" s="87">
        <v>0.62</v>
      </c>
      <c r="G1428" s="88">
        <f t="shared" si="1"/>
        <v>0.62</v>
      </c>
      <c r="H1428" s="89">
        <f t="shared" si="7"/>
        <v>1</v>
      </c>
      <c r="I1428" s="78" t="s">
        <v>1899</v>
      </c>
      <c r="J1428" s="78" t="s">
        <v>69</v>
      </c>
      <c r="K1428" s="58">
        <f t="shared" si="3"/>
        <v>4</v>
      </c>
      <c r="L1428" s="91" t="str">
        <f t="shared" si="6"/>
        <v>Sat</v>
      </c>
      <c r="M1428" s="78" t="str">
        <f>IFERROR(VLOOKUP(A1428, Entries!A:B,2,false),"")</f>
        <v>Conatus Creative</v>
      </c>
      <c r="N1428" s="23" t="str">
        <f>IFERROR(VLOOKUP(A1428, Entries!A:K,11,false),"")</f>
        <v/>
      </c>
      <c r="O1428" s="23" t="b">
        <f>IFERROR(VLOOKUP(A1428, Entries!A:I,8,false),"")</f>
        <v>0</v>
      </c>
    </row>
    <row r="1429">
      <c r="A1429" s="78" t="s">
        <v>1786</v>
      </c>
      <c r="B1429" s="78" t="s">
        <v>27</v>
      </c>
      <c r="C1429" s="85">
        <v>44586.0</v>
      </c>
      <c r="D1429" s="85">
        <v>44667.0</v>
      </c>
      <c r="E1429" s="86">
        <v>18.7</v>
      </c>
      <c r="F1429" s="87">
        <v>19.47</v>
      </c>
      <c r="G1429" s="88">
        <f t="shared" si="1"/>
        <v>0.77</v>
      </c>
      <c r="H1429" s="89">
        <f t="shared" si="7"/>
        <v>0.0395480226</v>
      </c>
      <c r="I1429" s="78" t="s">
        <v>1900</v>
      </c>
      <c r="J1429" s="78" t="s">
        <v>69</v>
      </c>
      <c r="K1429" s="58">
        <f t="shared" si="3"/>
        <v>81</v>
      </c>
      <c r="L1429" s="91" t="str">
        <f t="shared" si="6"/>
        <v>Sat</v>
      </c>
      <c r="M1429" s="78" t="str">
        <f>IFERROR(VLOOKUP(A1429, Entries!A:B,2,false),"")</f>
        <v>Bethesda Softworks</v>
      </c>
      <c r="N1429" s="23" t="str">
        <f>IFERROR(VLOOKUP(A1429, Entries!A:K,11,false),"")</f>
        <v/>
      </c>
      <c r="O1429" s="23" t="b">
        <f>IFERROR(VLOOKUP(A1429, Entries!A:I,8,false),"")</f>
        <v>1</v>
      </c>
    </row>
    <row r="1430">
      <c r="A1430" s="78" t="s">
        <v>1901</v>
      </c>
      <c r="B1430" s="78" t="s">
        <v>21</v>
      </c>
      <c r="C1430" s="85">
        <v>44589.0</v>
      </c>
      <c r="D1430" s="85">
        <v>44592.0</v>
      </c>
      <c r="E1430" s="86">
        <v>4.28</v>
      </c>
      <c r="F1430" s="87">
        <v>0.0</v>
      </c>
      <c r="G1430" s="88">
        <f t="shared" si="1"/>
        <v>-4.28</v>
      </c>
      <c r="H1430" s="89" t="str">
        <f t="shared" si="7"/>
        <v/>
      </c>
      <c r="I1430" s="78" t="s">
        <v>1902</v>
      </c>
      <c r="J1430" s="78" t="s">
        <v>69</v>
      </c>
      <c r="K1430" s="58">
        <f t="shared" si="3"/>
        <v>3</v>
      </c>
      <c r="L1430" s="91" t="str">
        <f t="shared" si="6"/>
        <v>Mon</v>
      </c>
      <c r="M1430" s="78" t="str">
        <f>IFERROR(VLOOKUP(A1430, Entries!A:B,2,false),"")</f>
        <v>PlayStation</v>
      </c>
      <c r="N1430" s="23" t="str">
        <f>IFERROR(VLOOKUP(A1430, Entries!A:K,11,false),"")</f>
        <v/>
      </c>
      <c r="O1430" s="23" t="b">
        <f>IFERROR(VLOOKUP(A1430, Entries!A:I,8,false),"")</f>
        <v>0</v>
      </c>
    </row>
    <row r="1431">
      <c r="A1431" s="78" t="s">
        <v>1901</v>
      </c>
      <c r="B1431" s="78" t="s">
        <v>21</v>
      </c>
      <c r="C1431" s="85">
        <v>44589.0</v>
      </c>
      <c r="D1431" s="85">
        <v>44592.0</v>
      </c>
      <c r="E1431" s="86">
        <v>4.29</v>
      </c>
      <c r="F1431" s="87">
        <v>6.05</v>
      </c>
      <c r="G1431" s="88">
        <f t="shared" si="1"/>
        <v>1.76</v>
      </c>
      <c r="H1431" s="89">
        <f t="shared" si="7"/>
        <v>0.2909090909</v>
      </c>
      <c r="I1431" s="78" t="s">
        <v>1903</v>
      </c>
      <c r="J1431" s="78" t="s">
        <v>69</v>
      </c>
      <c r="K1431" s="58">
        <f t="shared" si="3"/>
        <v>3</v>
      </c>
      <c r="L1431" s="91" t="str">
        <f t="shared" si="6"/>
        <v>Mon</v>
      </c>
      <c r="M1431" s="78" t="str">
        <f>IFERROR(VLOOKUP(A1431, Entries!A:B,2,false),"")</f>
        <v>PlayStation</v>
      </c>
      <c r="N1431" s="23" t="str">
        <f>IFERROR(VLOOKUP(A1431, Entries!A:K,11,false),"")</f>
        <v/>
      </c>
      <c r="O1431" s="23" t="b">
        <f>IFERROR(VLOOKUP(A1431, Entries!A:I,8,false),"")</f>
        <v>0</v>
      </c>
    </row>
    <row r="1432">
      <c r="A1432" s="78" t="s">
        <v>517</v>
      </c>
      <c r="B1432" s="78" t="s">
        <v>19</v>
      </c>
      <c r="C1432" s="85">
        <v>44589.0</v>
      </c>
      <c r="D1432" s="85">
        <v>44675.0</v>
      </c>
      <c r="E1432" s="86">
        <v>3.54</v>
      </c>
      <c r="F1432" s="87">
        <v>4.16</v>
      </c>
      <c r="G1432" s="88">
        <f t="shared" si="1"/>
        <v>0.62</v>
      </c>
      <c r="H1432" s="89">
        <f t="shared" si="7"/>
        <v>0.1490384615</v>
      </c>
      <c r="I1432" s="78" t="s">
        <v>1904</v>
      </c>
      <c r="J1432" s="78" t="s">
        <v>69</v>
      </c>
      <c r="K1432" s="58">
        <f t="shared" si="3"/>
        <v>86</v>
      </c>
      <c r="L1432" s="91" t="str">
        <f t="shared" si="6"/>
        <v>Sun</v>
      </c>
      <c r="M1432" s="78" t="str">
        <f>IFERROR(VLOOKUP(A1432, Entries!A:B,2,false),"")</f>
        <v>Devolver Digital</v>
      </c>
      <c r="N1432" s="23" t="str">
        <f>IFERROR(VLOOKUP(A1432, Entries!A:K,11,false),"")</f>
        <v/>
      </c>
      <c r="O1432" s="23" t="b">
        <f>IFERROR(VLOOKUP(A1432, Entries!A:I,8,false),"")</f>
        <v>0</v>
      </c>
    </row>
    <row r="1433">
      <c r="A1433" s="78" t="s">
        <v>1905</v>
      </c>
      <c r="B1433" s="78" t="s">
        <v>19</v>
      </c>
      <c r="C1433" s="85">
        <v>44589.0</v>
      </c>
      <c r="D1433" s="85">
        <v>44591.0</v>
      </c>
      <c r="E1433" s="86">
        <v>8.8</v>
      </c>
      <c r="F1433" s="87">
        <v>12.57</v>
      </c>
      <c r="G1433" s="88">
        <f t="shared" si="1"/>
        <v>3.77</v>
      </c>
      <c r="H1433" s="89">
        <f t="shared" si="7"/>
        <v>0.2999204455</v>
      </c>
      <c r="I1433" s="78" t="s">
        <v>1906</v>
      </c>
      <c r="J1433" s="78" t="s">
        <v>69</v>
      </c>
      <c r="K1433" s="58">
        <f t="shared" si="3"/>
        <v>2</v>
      </c>
      <c r="L1433" s="91" t="str">
        <f t="shared" si="6"/>
        <v>Sun</v>
      </c>
      <c r="M1433" s="78" t="str">
        <f>IFERROR(VLOOKUP(A1433, Entries!A:B,2,false),"")</f>
        <v>Dovetail Games</v>
      </c>
      <c r="N1433" s="23" t="str">
        <f>IFERROR(VLOOKUP(A1433, Entries!A:K,11,false),"")</f>
        <v/>
      </c>
      <c r="O1433" s="23" t="b">
        <f>IFERROR(VLOOKUP(A1433, Entries!A:I,8,false),"")</f>
        <v>1</v>
      </c>
    </row>
    <row r="1434">
      <c r="A1434" s="78" t="s">
        <v>1907</v>
      </c>
      <c r="B1434" s="78" t="s">
        <v>19</v>
      </c>
      <c r="C1434" s="85">
        <v>44589.0</v>
      </c>
      <c r="D1434" s="85">
        <v>44596.0</v>
      </c>
      <c r="E1434" s="86">
        <v>0.0</v>
      </c>
      <c r="F1434" s="87">
        <v>0.12</v>
      </c>
      <c r="G1434" s="88">
        <f t="shared" si="1"/>
        <v>0.12</v>
      </c>
      <c r="H1434" s="89">
        <f t="shared" si="7"/>
        <v>1</v>
      </c>
      <c r="I1434" s="78" t="s">
        <v>1908</v>
      </c>
      <c r="J1434" s="78" t="s">
        <v>69</v>
      </c>
      <c r="K1434" s="58">
        <f t="shared" si="3"/>
        <v>7</v>
      </c>
      <c r="L1434" s="91" t="str">
        <f t="shared" si="6"/>
        <v>Fri</v>
      </c>
      <c r="M1434" s="78" t="str">
        <f>IFERROR(VLOOKUP(A1434, Entries!A:B,2,false),"")</f>
        <v>Star Drifters</v>
      </c>
      <c r="N1434" s="23" t="str">
        <f>IFERROR(VLOOKUP(A1434, Entries!A:K,11,false),"")</f>
        <v/>
      </c>
      <c r="O1434" s="23" t="b">
        <f>IFERROR(VLOOKUP(A1434, Entries!A:I,8,false),"")</f>
        <v>0</v>
      </c>
    </row>
    <row r="1435">
      <c r="A1435" s="78" t="s">
        <v>1909</v>
      </c>
      <c r="B1435" s="78" t="s">
        <v>19</v>
      </c>
      <c r="C1435" s="85">
        <v>44589.0</v>
      </c>
      <c r="D1435" s="85">
        <v>44589.0</v>
      </c>
      <c r="E1435" s="86">
        <v>1.0</v>
      </c>
      <c r="F1435" s="87">
        <v>2.43</v>
      </c>
      <c r="G1435" s="88">
        <f t="shared" si="1"/>
        <v>1.43</v>
      </c>
      <c r="H1435" s="89">
        <f t="shared" si="7"/>
        <v>0.5884773663</v>
      </c>
      <c r="I1435" s="78" t="s">
        <v>1910</v>
      </c>
      <c r="J1435" s="78" t="s">
        <v>69</v>
      </c>
      <c r="K1435" s="58">
        <f t="shared" si="3"/>
        <v>0</v>
      </c>
      <c r="L1435" s="91" t="str">
        <f t="shared" si="6"/>
        <v>Fri</v>
      </c>
      <c r="M1435" s="78" t="str">
        <f>IFERROR(VLOOKUP(A1435, Entries!A:B,2,false),"")</f>
        <v>PlayWay</v>
      </c>
      <c r="N1435" s="23" t="str">
        <f>IFERROR(VLOOKUP(A1435, Entries!A:K,11,false),"")</f>
        <v/>
      </c>
      <c r="O1435" s="23" t="b">
        <f>IFERROR(VLOOKUP(A1435, Entries!A:I,8,false),"")</f>
        <v>1</v>
      </c>
    </row>
    <row r="1436">
      <c r="A1436" s="78" t="s">
        <v>1911</v>
      </c>
      <c r="B1436" s="78" t="s">
        <v>19</v>
      </c>
      <c r="C1436" s="85">
        <v>44589.0</v>
      </c>
      <c r="D1436" s="85">
        <v>44593.0</v>
      </c>
      <c r="E1436" s="86">
        <v>1.5</v>
      </c>
      <c r="F1436" s="87">
        <v>1.99</v>
      </c>
      <c r="G1436" s="88">
        <f t="shared" si="1"/>
        <v>0.49</v>
      </c>
      <c r="H1436" s="89">
        <f t="shared" si="7"/>
        <v>0.2462311558</v>
      </c>
      <c r="I1436" s="78" t="s">
        <v>1912</v>
      </c>
      <c r="J1436" s="78" t="s">
        <v>69</v>
      </c>
      <c r="K1436" s="58">
        <f t="shared" si="3"/>
        <v>4</v>
      </c>
      <c r="L1436" s="91" t="str">
        <f t="shared" si="6"/>
        <v>Tue</v>
      </c>
      <c r="M1436" s="78" t="str">
        <f>IFERROR(VLOOKUP(A1436, Entries!A:B,2,false),"")</f>
        <v>The Pixel Mine</v>
      </c>
      <c r="N1436" s="23" t="str">
        <f>IFERROR(VLOOKUP(A1436, Entries!A:K,11,false),"")</f>
        <v/>
      </c>
      <c r="O1436" s="23" t="b">
        <f>IFERROR(VLOOKUP(A1436, Entries!A:I,8,false),"")</f>
        <v>0</v>
      </c>
    </row>
    <row r="1437">
      <c r="A1437" s="78" t="s">
        <v>1913</v>
      </c>
      <c r="B1437" s="78" t="s">
        <v>19</v>
      </c>
      <c r="C1437" s="85">
        <v>44589.0</v>
      </c>
      <c r="D1437" s="85">
        <v>44590.0</v>
      </c>
      <c r="E1437" s="86">
        <v>1.94</v>
      </c>
      <c r="F1437" s="87">
        <v>4.03</v>
      </c>
      <c r="G1437" s="88">
        <f t="shared" si="1"/>
        <v>2.09</v>
      </c>
      <c r="H1437" s="89">
        <f t="shared" si="7"/>
        <v>0.5186104218</v>
      </c>
      <c r="I1437" s="78" t="s">
        <v>1914</v>
      </c>
      <c r="J1437" s="78" t="s">
        <v>69</v>
      </c>
      <c r="K1437" s="58">
        <f t="shared" si="3"/>
        <v>1</v>
      </c>
      <c r="L1437" s="91" t="str">
        <f t="shared" si="6"/>
        <v>Sat</v>
      </c>
      <c r="M1437" s="78" t="str">
        <f>IFERROR(VLOOKUP(A1437, Entries!A:B,2,false),"")</f>
        <v>XREAL Games</v>
      </c>
      <c r="N1437" s="23" t="str">
        <f>IFERROR(VLOOKUP(A1437, Entries!A:K,11,false),"")</f>
        <v/>
      </c>
      <c r="O1437" s="23" t="b">
        <f>IFERROR(VLOOKUP(A1437, Entries!A:I,8,false),"")</f>
        <v>1</v>
      </c>
    </row>
    <row r="1438">
      <c r="A1438" s="78" t="s">
        <v>1913</v>
      </c>
      <c r="B1438" s="78" t="s">
        <v>19</v>
      </c>
      <c r="C1438" s="85">
        <v>44590.0</v>
      </c>
      <c r="D1438" s="85">
        <v>44590.0</v>
      </c>
      <c r="E1438" s="86">
        <v>1.94</v>
      </c>
      <c r="F1438" s="87">
        <v>3.6</v>
      </c>
      <c r="G1438" s="88">
        <f t="shared" si="1"/>
        <v>1.66</v>
      </c>
      <c r="H1438" s="89">
        <f t="shared" si="7"/>
        <v>0.4611111111</v>
      </c>
      <c r="I1438" s="78" t="s">
        <v>1915</v>
      </c>
      <c r="J1438" s="78" t="s">
        <v>69</v>
      </c>
      <c r="K1438" s="58">
        <f t="shared" si="3"/>
        <v>0</v>
      </c>
      <c r="L1438" s="91" t="str">
        <f t="shared" si="6"/>
        <v>Sat</v>
      </c>
      <c r="M1438" s="78" t="str">
        <f>IFERROR(VLOOKUP(A1438, Entries!A:B,2,false),"")</f>
        <v>XREAL Games</v>
      </c>
      <c r="N1438" s="23" t="str">
        <f>IFERROR(VLOOKUP(A1438, Entries!A:K,11,false),"")</f>
        <v/>
      </c>
      <c r="O1438" s="23" t="b">
        <f>IFERROR(VLOOKUP(A1438, Entries!A:I,8,false),"")</f>
        <v>1</v>
      </c>
    </row>
    <row r="1439">
      <c r="A1439" s="78" t="s">
        <v>1909</v>
      </c>
      <c r="B1439" s="78" t="s">
        <v>19</v>
      </c>
      <c r="C1439" s="85">
        <v>44590.0</v>
      </c>
      <c r="D1439" s="85">
        <v>44590.0</v>
      </c>
      <c r="E1439" s="86">
        <v>1.0</v>
      </c>
      <c r="F1439" s="87">
        <v>1.93</v>
      </c>
      <c r="G1439" s="88">
        <f t="shared" si="1"/>
        <v>0.93</v>
      </c>
      <c r="H1439" s="89">
        <f t="shared" si="7"/>
        <v>0.481865285</v>
      </c>
      <c r="I1439" s="78" t="s">
        <v>1916</v>
      </c>
      <c r="J1439" s="78" t="s">
        <v>69</v>
      </c>
      <c r="K1439" s="58">
        <f t="shared" si="3"/>
        <v>0</v>
      </c>
      <c r="L1439" s="91" t="str">
        <f t="shared" si="6"/>
        <v>Sat</v>
      </c>
      <c r="M1439" s="78" t="str">
        <f>IFERROR(VLOOKUP(A1439, Entries!A:B,2,false),"")</f>
        <v>PlayWay</v>
      </c>
      <c r="N1439" s="23" t="str">
        <f>IFERROR(VLOOKUP(A1439, Entries!A:K,11,false),"")</f>
        <v/>
      </c>
      <c r="O1439" s="23" t="b">
        <f>IFERROR(VLOOKUP(A1439, Entries!A:I,8,false),"")</f>
        <v>1</v>
      </c>
    </row>
    <row r="1440">
      <c r="A1440" s="78" t="s">
        <v>1917</v>
      </c>
      <c r="B1440" s="78" t="s">
        <v>19</v>
      </c>
      <c r="C1440" s="85">
        <v>44590.0</v>
      </c>
      <c r="D1440" s="85">
        <v>44590.0</v>
      </c>
      <c r="E1440" s="86">
        <v>1.5</v>
      </c>
      <c r="F1440" s="87">
        <v>2.16</v>
      </c>
      <c r="G1440" s="88">
        <f t="shared" si="1"/>
        <v>0.66</v>
      </c>
      <c r="H1440" s="89">
        <f t="shared" si="7"/>
        <v>0.3055555556</v>
      </c>
      <c r="I1440" s="78" t="s">
        <v>1918</v>
      </c>
      <c r="J1440" s="78" t="s">
        <v>69</v>
      </c>
      <c r="K1440" s="58">
        <f t="shared" si="3"/>
        <v>0</v>
      </c>
      <c r="L1440" s="91" t="str">
        <f t="shared" si="6"/>
        <v>Sat</v>
      </c>
      <c r="M1440" s="78" t="str">
        <f>IFERROR(VLOOKUP(A1440, Entries!A:B,2,false),"")</f>
        <v>Survios</v>
      </c>
      <c r="N1440" s="23" t="str">
        <f>IFERROR(VLOOKUP(A1440, Entries!A:K,11,false),"")</f>
        <v/>
      </c>
      <c r="O1440" s="23" t="b">
        <f>IFERROR(VLOOKUP(A1440, Entries!A:I,8,false),"")</f>
        <v>1</v>
      </c>
    </row>
    <row r="1441">
      <c r="A1441" s="78" t="s">
        <v>1622</v>
      </c>
      <c r="B1441" s="78" t="s">
        <v>19</v>
      </c>
      <c r="C1441" s="85">
        <v>44590.0</v>
      </c>
      <c r="D1441" s="85">
        <v>44610.0</v>
      </c>
      <c r="E1441" s="86">
        <v>13.34</v>
      </c>
      <c r="F1441" s="87">
        <v>14.59</v>
      </c>
      <c r="G1441" s="88">
        <f t="shared" si="1"/>
        <v>1.25</v>
      </c>
      <c r="H1441" s="89">
        <f t="shared" si="7"/>
        <v>0.08567511995</v>
      </c>
      <c r="I1441" s="78" t="s">
        <v>1919</v>
      </c>
      <c r="J1441" s="78" t="s">
        <v>69</v>
      </c>
      <c r="K1441" s="58">
        <f t="shared" si="3"/>
        <v>20</v>
      </c>
      <c r="L1441" s="91" t="str">
        <f t="shared" si="6"/>
        <v>Fri</v>
      </c>
      <c r="M1441" s="78" t="str">
        <f>IFERROR(VLOOKUP(A1441, Entries!A:B,2,false),"")</f>
        <v>Rebellion</v>
      </c>
      <c r="N1441" s="23" t="str">
        <f>IFERROR(VLOOKUP(A1441, Entries!A:K,11,false),"")</f>
        <v/>
      </c>
      <c r="O1441" s="23" t="b">
        <f>IFERROR(VLOOKUP(A1441, Entries!A:I,8,false),"")</f>
        <v>0</v>
      </c>
    </row>
    <row r="1442">
      <c r="A1442" s="78" t="s">
        <v>1920</v>
      </c>
      <c r="B1442" s="78" t="s">
        <v>19</v>
      </c>
      <c r="C1442" s="85">
        <v>44590.0</v>
      </c>
      <c r="D1442" s="85">
        <v>44590.0</v>
      </c>
      <c r="E1442" s="86">
        <v>0.0</v>
      </c>
      <c r="F1442" s="87">
        <v>0.36</v>
      </c>
      <c r="G1442" s="88">
        <f t="shared" si="1"/>
        <v>0.36</v>
      </c>
      <c r="H1442" s="89">
        <f t="shared" si="7"/>
        <v>1</v>
      </c>
      <c r="I1442" s="78" t="s">
        <v>1921</v>
      </c>
      <c r="J1442" s="78" t="s">
        <v>69</v>
      </c>
      <c r="K1442" s="58">
        <f t="shared" si="3"/>
        <v>0</v>
      </c>
      <c r="L1442" s="91" t="str">
        <f t="shared" si="6"/>
        <v>Sat</v>
      </c>
      <c r="M1442" s="78" t="str">
        <f>IFERROR(VLOOKUP(A1442, Entries!A:B,2,false),"")</f>
        <v>Daedalic Entertainment</v>
      </c>
      <c r="N1442" s="23" t="str">
        <f>IFERROR(VLOOKUP(A1442, Entries!A:K,11,false),"")</f>
        <v/>
      </c>
      <c r="O1442" s="23" t="b">
        <f>IFERROR(VLOOKUP(A1442, Entries!A:I,8,false),"")</f>
        <v>0</v>
      </c>
    </row>
    <row r="1443">
      <c r="A1443" s="78" t="s">
        <v>1922</v>
      </c>
      <c r="B1443" s="78" t="s">
        <v>19</v>
      </c>
      <c r="C1443" s="85">
        <v>44590.0</v>
      </c>
      <c r="D1443" s="85">
        <v>44598.0</v>
      </c>
      <c r="E1443" s="86">
        <v>24.02</v>
      </c>
      <c r="F1443" s="87">
        <v>25.91</v>
      </c>
      <c r="G1443" s="88">
        <f t="shared" si="1"/>
        <v>1.89</v>
      </c>
      <c r="H1443" s="89">
        <f t="shared" si="7"/>
        <v>0.07294480895</v>
      </c>
      <c r="I1443" s="78" t="s">
        <v>1923</v>
      </c>
      <c r="J1443" s="78" t="s">
        <v>69</v>
      </c>
      <c r="K1443" s="58">
        <f t="shared" si="3"/>
        <v>8</v>
      </c>
      <c r="L1443" s="91" t="str">
        <f t="shared" si="6"/>
        <v>Sun</v>
      </c>
      <c r="M1443" s="78" t="str">
        <f>IFERROR(VLOOKUP(A1443, Entries!A:B,2,false),"")</f>
        <v>Rebellion</v>
      </c>
      <c r="N1443" s="23" t="str">
        <f>IFERROR(VLOOKUP(A1443, Entries!A:K,11,false),"")</f>
        <v/>
      </c>
      <c r="O1443" s="23" t="b">
        <f>IFERROR(VLOOKUP(A1443, Entries!A:I,8,false),"")</f>
        <v>0</v>
      </c>
    </row>
    <row r="1444">
      <c r="A1444" s="78" t="s">
        <v>1913</v>
      </c>
      <c r="B1444" s="78" t="s">
        <v>19</v>
      </c>
      <c r="C1444" s="85">
        <v>44590.0</v>
      </c>
      <c r="D1444" s="85">
        <v>44590.0</v>
      </c>
      <c r="E1444" s="86">
        <v>1.64</v>
      </c>
      <c r="F1444" s="87">
        <v>3.59</v>
      </c>
      <c r="G1444" s="88">
        <f t="shared" si="1"/>
        <v>1.95</v>
      </c>
      <c r="H1444" s="89">
        <f t="shared" si="7"/>
        <v>0.5431754875</v>
      </c>
      <c r="I1444" s="78" t="s">
        <v>1924</v>
      </c>
      <c r="J1444" s="78" t="s">
        <v>69</v>
      </c>
      <c r="K1444" s="58">
        <f t="shared" si="3"/>
        <v>0</v>
      </c>
      <c r="L1444" s="91" t="str">
        <f t="shared" si="6"/>
        <v>Sat</v>
      </c>
      <c r="M1444" s="78" t="str">
        <f>IFERROR(VLOOKUP(A1444, Entries!A:B,2,false),"")</f>
        <v>XREAL Games</v>
      </c>
      <c r="N1444" s="23" t="str">
        <f>IFERROR(VLOOKUP(A1444, Entries!A:K,11,false),"")</f>
        <v/>
      </c>
      <c r="O1444" s="23" t="b">
        <f>IFERROR(VLOOKUP(A1444, Entries!A:I,8,false),"")</f>
        <v>1</v>
      </c>
    </row>
    <row r="1445">
      <c r="A1445" s="78" t="s">
        <v>1909</v>
      </c>
      <c r="B1445" s="78" t="s">
        <v>19</v>
      </c>
      <c r="C1445" s="85">
        <v>44590.0</v>
      </c>
      <c r="D1445" s="85">
        <v>44591.0</v>
      </c>
      <c r="E1445" s="86">
        <v>0.8</v>
      </c>
      <c r="F1445" s="87">
        <v>1.93</v>
      </c>
      <c r="G1445" s="88">
        <f t="shared" si="1"/>
        <v>1.13</v>
      </c>
      <c r="H1445" s="89">
        <f t="shared" si="7"/>
        <v>0.585492228</v>
      </c>
      <c r="I1445" s="78" t="s">
        <v>1925</v>
      </c>
      <c r="J1445" s="78" t="s">
        <v>69</v>
      </c>
      <c r="K1445" s="58">
        <f t="shared" si="3"/>
        <v>1</v>
      </c>
      <c r="L1445" s="91" t="str">
        <f t="shared" si="6"/>
        <v>Sun</v>
      </c>
      <c r="M1445" s="78" t="str">
        <f>IFERROR(VLOOKUP(A1445, Entries!A:B,2,false),"")</f>
        <v>PlayWay</v>
      </c>
      <c r="N1445" s="23" t="str">
        <f>IFERROR(VLOOKUP(A1445, Entries!A:K,11,false),"")</f>
        <v/>
      </c>
      <c r="O1445" s="23" t="b">
        <f>IFERROR(VLOOKUP(A1445, Entries!A:I,8,false),"")</f>
        <v>1</v>
      </c>
    </row>
    <row r="1446">
      <c r="A1446" s="78" t="s">
        <v>1917</v>
      </c>
      <c r="B1446" s="78" t="s">
        <v>19</v>
      </c>
      <c r="C1446" s="85">
        <v>44590.0</v>
      </c>
      <c r="D1446" s="85">
        <v>44590.0</v>
      </c>
      <c r="E1446" s="86">
        <v>1.3</v>
      </c>
      <c r="F1446" s="87">
        <v>2.1</v>
      </c>
      <c r="G1446" s="88">
        <f t="shared" si="1"/>
        <v>0.8</v>
      </c>
      <c r="H1446" s="89">
        <f t="shared" si="7"/>
        <v>0.380952381</v>
      </c>
      <c r="I1446" s="78" t="s">
        <v>1926</v>
      </c>
      <c r="J1446" s="78" t="s">
        <v>69</v>
      </c>
      <c r="K1446" s="58">
        <f t="shared" si="3"/>
        <v>0</v>
      </c>
      <c r="L1446" s="91" t="str">
        <f t="shared" si="6"/>
        <v>Sat</v>
      </c>
      <c r="M1446" s="78" t="str">
        <f>IFERROR(VLOOKUP(A1446, Entries!A:B,2,false),"")</f>
        <v>Survios</v>
      </c>
      <c r="N1446" s="23" t="str">
        <f>IFERROR(VLOOKUP(A1446, Entries!A:K,11,false),"")</f>
        <v/>
      </c>
      <c r="O1446" s="23" t="b">
        <f>IFERROR(VLOOKUP(A1446, Entries!A:I,8,false),"")</f>
        <v>1</v>
      </c>
    </row>
    <row r="1447">
      <c r="A1447" s="78" t="s">
        <v>1913</v>
      </c>
      <c r="B1447" s="78" t="s">
        <v>19</v>
      </c>
      <c r="C1447" s="85">
        <v>44590.0</v>
      </c>
      <c r="D1447" s="85">
        <v>44592.0</v>
      </c>
      <c r="E1447" s="86">
        <v>1.94</v>
      </c>
      <c r="F1447" s="87">
        <v>3.61</v>
      </c>
      <c r="G1447" s="88">
        <f t="shared" si="1"/>
        <v>1.67</v>
      </c>
      <c r="H1447" s="89">
        <f t="shared" si="7"/>
        <v>0.4626038781</v>
      </c>
      <c r="I1447" s="78" t="s">
        <v>1927</v>
      </c>
      <c r="J1447" s="78" t="s">
        <v>69</v>
      </c>
      <c r="K1447" s="58">
        <f t="shared" si="3"/>
        <v>2</v>
      </c>
      <c r="L1447" s="91" t="str">
        <f t="shared" si="6"/>
        <v>Mon</v>
      </c>
      <c r="M1447" s="78" t="str">
        <f>IFERROR(VLOOKUP(A1447, Entries!A:B,2,false),"")</f>
        <v>XREAL Games</v>
      </c>
      <c r="N1447" s="23" t="str">
        <f>IFERROR(VLOOKUP(A1447, Entries!A:K,11,false),"")</f>
        <v/>
      </c>
      <c r="O1447" s="23" t="b">
        <f>IFERROR(VLOOKUP(A1447, Entries!A:I,8,false),"")</f>
        <v>1</v>
      </c>
    </row>
    <row r="1448">
      <c r="A1448" s="78" t="s">
        <v>1909</v>
      </c>
      <c r="B1448" s="78" t="s">
        <v>19</v>
      </c>
      <c r="C1448" s="85">
        <v>44590.0</v>
      </c>
      <c r="D1448" s="85">
        <v>44591.0</v>
      </c>
      <c r="E1448" s="86">
        <v>1.0</v>
      </c>
      <c r="F1448" s="87">
        <v>1.87</v>
      </c>
      <c r="G1448" s="88">
        <f t="shared" si="1"/>
        <v>0.87</v>
      </c>
      <c r="H1448" s="89">
        <f t="shared" si="7"/>
        <v>0.4652406417</v>
      </c>
      <c r="I1448" s="78" t="s">
        <v>1928</v>
      </c>
      <c r="J1448" s="78" t="s">
        <v>69</v>
      </c>
      <c r="K1448" s="58">
        <f t="shared" si="3"/>
        <v>1</v>
      </c>
      <c r="L1448" s="91" t="str">
        <f t="shared" si="6"/>
        <v>Sun</v>
      </c>
      <c r="M1448" s="78" t="str">
        <f>IFERROR(VLOOKUP(A1448, Entries!A:B,2,false),"")</f>
        <v>PlayWay</v>
      </c>
      <c r="N1448" s="23" t="str">
        <f>IFERROR(VLOOKUP(A1448, Entries!A:K,11,false),"")</f>
        <v/>
      </c>
      <c r="O1448" s="23" t="b">
        <f>IFERROR(VLOOKUP(A1448, Entries!A:I,8,false),"")</f>
        <v>1</v>
      </c>
    </row>
    <row r="1449">
      <c r="A1449" s="78" t="s">
        <v>1917</v>
      </c>
      <c r="B1449" s="78" t="s">
        <v>19</v>
      </c>
      <c r="C1449" s="85">
        <v>44590.0</v>
      </c>
      <c r="D1449" s="85">
        <v>44594.0</v>
      </c>
      <c r="E1449" s="86">
        <v>1.5</v>
      </c>
      <c r="F1449" s="87">
        <v>2.09</v>
      </c>
      <c r="G1449" s="88">
        <f t="shared" si="1"/>
        <v>0.59</v>
      </c>
      <c r="H1449" s="89">
        <f t="shared" si="7"/>
        <v>0.2822966507</v>
      </c>
      <c r="I1449" s="78" t="s">
        <v>1929</v>
      </c>
      <c r="J1449" s="78" t="s">
        <v>69</v>
      </c>
      <c r="K1449" s="58">
        <f t="shared" si="3"/>
        <v>4</v>
      </c>
      <c r="L1449" s="91" t="str">
        <f t="shared" si="6"/>
        <v>Wed</v>
      </c>
      <c r="M1449" s="78" t="str">
        <f>IFERROR(VLOOKUP(A1449, Entries!A:B,2,false),"")</f>
        <v>Survios</v>
      </c>
      <c r="N1449" s="23" t="str">
        <f>IFERROR(VLOOKUP(A1449, Entries!A:K,11,false),"")</f>
        <v/>
      </c>
      <c r="O1449" s="23" t="b">
        <f>IFERROR(VLOOKUP(A1449, Entries!A:I,8,false),"")</f>
        <v>1</v>
      </c>
    </row>
    <row r="1450">
      <c r="A1450" s="78" t="s">
        <v>1930</v>
      </c>
      <c r="B1450" s="78" t="s">
        <v>32</v>
      </c>
      <c r="C1450" s="85">
        <v>44591.0</v>
      </c>
      <c r="D1450" s="85">
        <v>44595.0</v>
      </c>
      <c r="E1450" s="86">
        <v>4.81</v>
      </c>
      <c r="F1450" s="87">
        <v>6.34</v>
      </c>
      <c r="G1450" s="88">
        <f t="shared" si="1"/>
        <v>1.53</v>
      </c>
      <c r="H1450" s="89">
        <f t="shared" si="7"/>
        <v>0.2413249211</v>
      </c>
      <c r="I1450" s="78" t="s">
        <v>1931</v>
      </c>
      <c r="J1450" s="78" t="s">
        <v>69</v>
      </c>
      <c r="K1450" s="58">
        <f t="shared" si="3"/>
        <v>4</v>
      </c>
      <c r="L1450" s="91" t="str">
        <f t="shared" si="6"/>
        <v>Thu</v>
      </c>
      <c r="M1450" s="78" t="str">
        <f>IFERROR(VLOOKUP(A1450, Entries!A:B,2,false),"")</f>
        <v>Square Enix</v>
      </c>
      <c r="N1450" s="23" t="str">
        <f>IFERROR(VLOOKUP(A1450, Entries!A:K,11,false),"")</f>
        <v/>
      </c>
      <c r="O1450" s="23" t="b">
        <f>IFERROR(VLOOKUP(A1450, Entries!A:I,8,false),"")</f>
        <v>0</v>
      </c>
    </row>
    <row r="1451">
      <c r="A1451" s="78" t="s">
        <v>1930</v>
      </c>
      <c r="B1451" s="78" t="s">
        <v>32</v>
      </c>
      <c r="C1451" s="85">
        <v>44591.0</v>
      </c>
      <c r="D1451" s="85">
        <v>44601.0</v>
      </c>
      <c r="E1451" s="86">
        <v>4.81</v>
      </c>
      <c r="F1451" s="87">
        <v>5.98</v>
      </c>
      <c r="G1451" s="88">
        <f t="shared" si="1"/>
        <v>1.17</v>
      </c>
      <c r="H1451" s="89">
        <f t="shared" si="7"/>
        <v>0.1956521739</v>
      </c>
      <c r="I1451" s="78" t="s">
        <v>1932</v>
      </c>
      <c r="J1451" s="78" t="s">
        <v>69</v>
      </c>
      <c r="K1451" s="58">
        <f t="shared" si="3"/>
        <v>10</v>
      </c>
      <c r="L1451" s="91" t="str">
        <f t="shared" si="6"/>
        <v>Wed</v>
      </c>
      <c r="M1451" s="78" t="str">
        <f>IFERROR(VLOOKUP(A1451, Entries!A:B,2,false),"")</f>
        <v>Square Enix</v>
      </c>
      <c r="N1451" s="23" t="str">
        <f>IFERROR(VLOOKUP(A1451, Entries!A:K,11,false),"")</f>
        <v/>
      </c>
      <c r="O1451" s="23" t="b">
        <f>IFERROR(VLOOKUP(A1451, Entries!A:I,8,false),"")</f>
        <v>0</v>
      </c>
    </row>
    <row r="1452">
      <c r="A1452" s="78" t="s">
        <v>1930</v>
      </c>
      <c r="B1452" s="78" t="s">
        <v>32</v>
      </c>
      <c r="C1452" s="85">
        <v>44591.0</v>
      </c>
      <c r="D1452" s="85">
        <v>44602.0</v>
      </c>
      <c r="E1452" s="86">
        <v>4.81</v>
      </c>
      <c r="F1452" s="87">
        <v>6.72</v>
      </c>
      <c r="G1452" s="88">
        <f t="shared" si="1"/>
        <v>1.91</v>
      </c>
      <c r="H1452" s="89">
        <f t="shared" si="7"/>
        <v>0.2842261905</v>
      </c>
      <c r="I1452" s="78" t="s">
        <v>1933</v>
      </c>
      <c r="J1452" s="78" t="s">
        <v>69</v>
      </c>
      <c r="K1452" s="58">
        <f t="shared" si="3"/>
        <v>11</v>
      </c>
      <c r="L1452" s="91" t="str">
        <f t="shared" si="6"/>
        <v>Thu</v>
      </c>
      <c r="M1452" s="78" t="str">
        <f>IFERROR(VLOOKUP(A1452, Entries!A:B,2,false),"")</f>
        <v>Square Enix</v>
      </c>
      <c r="N1452" s="23" t="str">
        <f>IFERROR(VLOOKUP(A1452, Entries!A:K,11,false),"")</f>
        <v/>
      </c>
      <c r="O1452" s="23" t="b">
        <f>IFERROR(VLOOKUP(A1452, Entries!A:I,8,false),"")</f>
        <v>0</v>
      </c>
    </row>
    <row r="1453">
      <c r="A1453" s="78" t="s">
        <v>1905</v>
      </c>
      <c r="B1453" s="78" t="s">
        <v>19</v>
      </c>
      <c r="C1453" s="85">
        <v>44591.0</v>
      </c>
      <c r="D1453" s="85">
        <v>44591.0</v>
      </c>
      <c r="E1453" s="86">
        <v>8.81</v>
      </c>
      <c r="F1453" s="87">
        <v>12.6</v>
      </c>
      <c r="G1453" s="88">
        <f t="shared" si="1"/>
        <v>3.79</v>
      </c>
      <c r="H1453" s="89">
        <f t="shared" si="7"/>
        <v>0.3007936508</v>
      </c>
      <c r="I1453" s="78" t="s">
        <v>1934</v>
      </c>
      <c r="J1453" s="78" t="s">
        <v>69</v>
      </c>
      <c r="K1453" s="58">
        <f t="shared" si="3"/>
        <v>0</v>
      </c>
      <c r="L1453" s="91" t="str">
        <f t="shared" si="6"/>
        <v>Sun</v>
      </c>
      <c r="M1453" s="78" t="str">
        <f>IFERROR(VLOOKUP(A1453, Entries!A:B,2,false),"")</f>
        <v>Dovetail Games</v>
      </c>
      <c r="N1453" s="23" t="str">
        <f>IFERROR(VLOOKUP(A1453, Entries!A:K,11,false),"")</f>
        <v/>
      </c>
      <c r="O1453" s="23" t="b">
        <f>IFERROR(VLOOKUP(A1453, Entries!A:I,8,false),"")</f>
        <v>1</v>
      </c>
    </row>
    <row r="1454">
      <c r="A1454" s="78" t="s">
        <v>1913</v>
      </c>
      <c r="B1454" s="78" t="s">
        <v>19</v>
      </c>
      <c r="C1454" s="85">
        <v>44591.0</v>
      </c>
      <c r="D1454" s="85">
        <v>44592.0</v>
      </c>
      <c r="E1454" s="86">
        <v>1.94</v>
      </c>
      <c r="F1454" s="87">
        <v>3.56</v>
      </c>
      <c r="G1454" s="88">
        <f t="shared" si="1"/>
        <v>1.62</v>
      </c>
      <c r="H1454" s="89">
        <f t="shared" si="7"/>
        <v>0.4550561798</v>
      </c>
      <c r="I1454" s="78" t="s">
        <v>1935</v>
      </c>
      <c r="J1454" s="78" t="s">
        <v>69</v>
      </c>
      <c r="K1454" s="58">
        <f t="shared" si="3"/>
        <v>1</v>
      </c>
      <c r="L1454" s="91" t="str">
        <f t="shared" si="6"/>
        <v>Mon</v>
      </c>
      <c r="M1454" s="78" t="str">
        <f>IFERROR(VLOOKUP(A1454, Entries!A:B,2,false),"")</f>
        <v>XREAL Games</v>
      </c>
      <c r="N1454" s="23" t="str">
        <f>IFERROR(VLOOKUP(A1454, Entries!A:K,11,false),"")</f>
        <v/>
      </c>
      <c r="O1454" s="23" t="b">
        <f>IFERROR(VLOOKUP(A1454, Entries!A:I,8,false),"")</f>
        <v>1</v>
      </c>
    </row>
    <row r="1455">
      <c r="A1455" s="78" t="s">
        <v>1909</v>
      </c>
      <c r="B1455" s="78" t="s">
        <v>19</v>
      </c>
      <c r="C1455" s="85">
        <v>44591.0</v>
      </c>
      <c r="D1455" s="85">
        <v>44593.0</v>
      </c>
      <c r="E1455" s="86">
        <v>1.0</v>
      </c>
      <c r="F1455" s="87">
        <v>1.78</v>
      </c>
      <c r="G1455" s="88">
        <f t="shared" si="1"/>
        <v>0.78</v>
      </c>
      <c r="H1455" s="89">
        <f t="shared" si="7"/>
        <v>0.4382022472</v>
      </c>
      <c r="I1455" s="78" t="s">
        <v>1936</v>
      </c>
      <c r="J1455" s="78" t="s">
        <v>69</v>
      </c>
      <c r="K1455" s="58">
        <f t="shared" si="3"/>
        <v>2</v>
      </c>
      <c r="L1455" s="91" t="str">
        <f t="shared" si="6"/>
        <v>Tue</v>
      </c>
      <c r="M1455" s="78" t="str">
        <f>IFERROR(VLOOKUP(A1455, Entries!A:B,2,false),"")</f>
        <v>PlayWay</v>
      </c>
      <c r="N1455" s="23" t="str">
        <f>IFERROR(VLOOKUP(A1455, Entries!A:K,11,false),"")</f>
        <v/>
      </c>
      <c r="O1455" s="23" t="b">
        <f>IFERROR(VLOOKUP(A1455, Entries!A:I,8,false),"")</f>
        <v>1</v>
      </c>
    </row>
    <row r="1456">
      <c r="A1456" s="78" t="s">
        <v>1917</v>
      </c>
      <c r="B1456" s="78" t="s">
        <v>19</v>
      </c>
      <c r="C1456" s="85">
        <v>44591.0</v>
      </c>
      <c r="D1456" s="85">
        <v>44595.0</v>
      </c>
      <c r="E1456" s="86">
        <v>1.5</v>
      </c>
      <c r="F1456" s="87">
        <v>2.07</v>
      </c>
      <c r="G1456" s="88">
        <f t="shared" si="1"/>
        <v>0.57</v>
      </c>
      <c r="H1456" s="89">
        <f t="shared" si="7"/>
        <v>0.2753623188</v>
      </c>
      <c r="I1456" s="78" t="s">
        <v>1937</v>
      </c>
      <c r="J1456" s="78" t="s">
        <v>69</v>
      </c>
      <c r="K1456" s="58">
        <f t="shared" si="3"/>
        <v>4</v>
      </c>
      <c r="L1456" s="91" t="str">
        <f t="shared" si="6"/>
        <v>Thu</v>
      </c>
      <c r="M1456" s="78" t="str">
        <f>IFERROR(VLOOKUP(A1456, Entries!A:B,2,false),"")</f>
        <v>Survios</v>
      </c>
      <c r="N1456" s="23" t="str">
        <f>IFERROR(VLOOKUP(A1456, Entries!A:K,11,false),"")</f>
        <v/>
      </c>
      <c r="O1456" s="23" t="b">
        <f>IFERROR(VLOOKUP(A1456, Entries!A:I,8,false),"")</f>
        <v>1</v>
      </c>
    </row>
    <row r="1457">
      <c r="A1457" s="78" t="s">
        <v>1938</v>
      </c>
      <c r="B1457" s="78" t="s">
        <v>19</v>
      </c>
      <c r="C1457" s="85">
        <v>44591.0</v>
      </c>
      <c r="D1457" s="85">
        <v>44620.0</v>
      </c>
      <c r="E1457" s="86">
        <v>12.97</v>
      </c>
      <c r="F1457" s="87">
        <v>17.1</v>
      </c>
      <c r="G1457" s="88">
        <f t="shared" si="1"/>
        <v>4.13</v>
      </c>
      <c r="H1457" s="89">
        <f t="shared" si="7"/>
        <v>0.2415204678</v>
      </c>
      <c r="I1457" s="78" t="s">
        <v>1939</v>
      </c>
      <c r="J1457" s="78" t="s">
        <v>69</v>
      </c>
      <c r="K1457" s="58">
        <f t="shared" si="3"/>
        <v>29</v>
      </c>
      <c r="L1457" s="91" t="str">
        <f t="shared" si="6"/>
        <v>Mon</v>
      </c>
      <c r="M1457" s="78" t="str">
        <f>IFERROR(VLOOKUP(A1457, Entries!A:B,2,false),"")</f>
        <v>SNK CORPORATION</v>
      </c>
      <c r="N1457" s="23" t="str">
        <f>IFERROR(VLOOKUP(A1457, Entries!A:K,11,false),"")</f>
        <v/>
      </c>
      <c r="O1457" s="23" t="b">
        <f>IFERROR(VLOOKUP(A1457, Entries!A:I,8,false),"")</f>
        <v>0</v>
      </c>
    </row>
    <row r="1458">
      <c r="A1458" s="78" t="s">
        <v>385</v>
      </c>
      <c r="B1458" s="78" t="s">
        <v>19</v>
      </c>
      <c r="C1458" s="85">
        <v>44591.0</v>
      </c>
      <c r="D1458" s="85">
        <v>44591.0</v>
      </c>
      <c r="E1458" s="86">
        <v>0.0</v>
      </c>
      <c r="F1458" s="87">
        <v>1.69</v>
      </c>
      <c r="G1458" s="88">
        <f t="shared" si="1"/>
        <v>1.69</v>
      </c>
      <c r="H1458" s="89">
        <f t="shared" si="7"/>
        <v>1</v>
      </c>
      <c r="I1458" s="78" t="s">
        <v>1940</v>
      </c>
      <c r="J1458" s="78" t="s">
        <v>69</v>
      </c>
      <c r="K1458" s="58">
        <f t="shared" si="3"/>
        <v>0</v>
      </c>
      <c r="L1458" s="91" t="str">
        <f t="shared" si="6"/>
        <v>Sun</v>
      </c>
      <c r="M1458" s="78" t="str">
        <f>IFERROR(VLOOKUP(A1458, Entries!A:B,2,false),"")</f>
        <v>Cheesecake Dev</v>
      </c>
      <c r="N1458" s="23" t="str">
        <f>IFERROR(VLOOKUP(A1458, Entries!A:K,11,false),"")</f>
        <v/>
      </c>
      <c r="O1458" s="23" t="b">
        <f>IFERROR(VLOOKUP(A1458, Entries!A:I,8,false),"")</f>
        <v>1</v>
      </c>
    </row>
    <row r="1459">
      <c r="A1459" s="78" t="s">
        <v>1905</v>
      </c>
      <c r="B1459" s="78" t="s">
        <v>19</v>
      </c>
      <c r="C1459" s="85">
        <v>44591.0</v>
      </c>
      <c r="D1459" s="85">
        <v>44592.0</v>
      </c>
      <c r="E1459" s="86">
        <v>8.81</v>
      </c>
      <c r="F1459" s="87">
        <v>12.57</v>
      </c>
      <c r="G1459" s="88">
        <f t="shared" si="1"/>
        <v>3.76</v>
      </c>
      <c r="H1459" s="89">
        <f t="shared" si="7"/>
        <v>0.2991249006</v>
      </c>
      <c r="I1459" s="78" t="s">
        <v>1941</v>
      </c>
      <c r="J1459" s="78" t="s">
        <v>69</v>
      </c>
      <c r="K1459" s="58">
        <f t="shared" si="3"/>
        <v>1</v>
      </c>
      <c r="L1459" s="91" t="str">
        <f t="shared" si="6"/>
        <v>Mon</v>
      </c>
      <c r="M1459" s="78" t="str">
        <f>IFERROR(VLOOKUP(A1459, Entries!A:B,2,false),"")</f>
        <v>Dovetail Games</v>
      </c>
      <c r="N1459" s="23" t="str">
        <f>IFERROR(VLOOKUP(A1459, Entries!A:K,11,false),"")</f>
        <v/>
      </c>
      <c r="O1459" s="23" t="b">
        <f>IFERROR(VLOOKUP(A1459, Entries!A:I,8,false),"")</f>
        <v>1</v>
      </c>
    </row>
    <row r="1460">
      <c r="A1460" s="78" t="s">
        <v>517</v>
      </c>
      <c r="B1460" s="78" t="s">
        <v>19</v>
      </c>
      <c r="C1460" s="85">
        <v>44591.0</v>
      </c>
      <c r="D1460" s="85">
        <v>44675.0</v>
      </c>
      <c r="E1460" s="86">
        <v>3.55</v>
      </c>
      <c r="F1460" s="87">
        <v>4.16</v>
      </c>
      <c r="G1460" s="88">
        <f t="shared" si="1"/>
        <v>0.61</v>
      </c>
      <c r="H1460" s="89">
        <f t="shared" si="7"/>
        <v>0.1466346154</v>
      </c>
      <c r="I1460" s="78" t="s">
        <v>1942</v>
      </c>
      <c r="J1460" s="78" t="s">
        <v>69</v>
      </c>
      <c r="K1460" s="58">
        <f t="shared" si="3"/>
        <v>84</v>
      </c>
      <c r="L1460" s="91" t="str">
        <f t="shared" si="6"/>
        <v>Sun</v>
      </c>
      <c r="M1460" s="78" t="str">
        <f>IFERROR(VLOOKUP(A1460, Entries!A:B,2,false),"")</f>
        <v>Devolver Digital</v>
      </c>
      <c r="N1460" s="23" t="str">
        <f>IFERROR(VLOOKUP(A1460, Entries!A:K,11,false),"")</f>
        <v/>
      </c>
      <c r="O1460" s="23" t="b">
        <f>IFERROR(VLOOKUP(A1460, Entries!A:I,8,false),"")</f>
        <v>0</v>
      </c>
    </row>
    <row r="1461">
      <c r="A1461" s="78" t="s">
        <v>385</v>
      </c>
      <c r="B1461" s="78" t="s">
        <v>19</v>
      </c>
      <c r="C1461" s="85">
        <v>44591.0</v>
      </c>
      <c r="D1461" s="85">
        <v>44591.0</v>
      </c>
      <c r="E1461" s="86">
        <v>0.0</v>
      </c>
      <c r="F1461" s="87">
        <v>1.69</v>
      </c>
      <c r="G1461" s="88">
        <f t="shared" si="1"/>
        <v>1.69</v>
      </c>
      <c r="H1461" s="89">
        <f t="shared" si="7"/>
        <v>1</v>
      </c>
      <c r="I1461" s="78" t="s">
        <v>1943</v>
      </c>
      <c r="J1461" s="78" t="s">
        <v>69</v>
      </c>
      <c r="K1461" s="58">
        <f t="shared" si="3"/>
        <v>0</v>
      </c>
      <c r="L1461" s="91" t="str">
        <f t="shared" si="6"/>
        <v>Sun</v>
      </c>
      <c r="M1461" s="78" t="str">
        <f>IFERROR(VLOOKUP(A1461, Entries!A:B,2,false),"")</f>
        <v>Cheesecake Dev</v>
      </c>
      <c r="N1461" s="23" t="str">
        <f>IFERROR(VLOOKUP(A1461, Entries!A:K,11,false),"")</f>
        <v/>
      </c>
      <c r="O1461" s="23" t="b">
        <f>IFERROR(VLOOKUP(A1461, Entries!A:I,8,false),"")</f>
        <v>1</v>
      </c>
    </row>
    <row r="1462">
      <c r="A1462" s="78" t="s">
        <v>1609</v>
      </c>
      <c r="B1462" s="78" t="s">
        <v>19</v>
      </c>
      <c r="C1462" s="85">
        <v>44592.0</v>
      </c>
      <c r="D1462" s="85">
        <v>44598.0</v>
      </c>
      <c r="E1462" s="86">
        <v>13.34</v>
      </c>
      <c r="F1462" s="87">
        <v>15.25</v>
      </c>
      <c r="G1462" s="88">
        <f t="shared" si="1"/>
        <v>1.91</v>
      </c>
      <c r="H1462" s="89">
        <f t="shared" si="7"/>
        <v>0.1252459016</v>
      </c>
      <c r="I1462" s="78" t="s">
        <v>1944</v>
      </c>
      <c r="J1462" s="78" t="s">
        <v>69</v>
      </c>
      <c r="K1462" s="58">
        <f t="shared" si="3"/>
        <v>6</v>
      </c>
      <c r="L1462" s="91" t="str">
        <f t="shared" si="6"/>
        <v>Sun</v>
      </c>
      <c r="M1462" s="78" t="str">
        <f>IFERROR(VLOOKUP(A1462, Entries!A:B,2,false),"")</f>
        <v>Dear Villagers</v>
      </c>
      <c r="N1462" s="23" t="str">
        <f>IFERROR(VLOOKUP(A1462, Entries!A:K,11,false),"")</f>
        <v/>
      </c>
      <c r="O1462" s="23" t="b">
        <f>IFERROR(VLOOKUP(A1462, Entries!A:I,8,false),"")</f>
        <v>0</v>
      </c>
    </row>
    <row r="1463">
      <c r="A1463" s="78" t="s">
        <v>1901</v>
      </c>
      <c r="B1463" s="78" t="s">
        <v>27</v>
      </c>
      <c r="C1463" s="85">
        <v>44592.0</v>
      </c>
      <c r="D1463" s="85">
        <v>44592.0</v>
      </c>
      <c r="E1463" s="86">
        <v>2.39</v>
      </c>
      <c r="F1463" s="87">
        <v>6.08</v>
      </c>
      <c r="G1463" s="88">
        <f t="shared" si="1"/>
        <v>3.69</v>
      </c>
      <c r="H1463" s="89">
        <f t="shared" si="7"/>
        <v>0.6069078947</v>
      </c>
      <c r="I1463" s="78" t="s">
        <v>1945</v>
      </c>
      <c r="J1463" s="78" t="s">
        <v>69</v>
      </c>
      <c r="K1463" s="58">
        <f t="shared" si="3"/>
        <v>0</v>
      </c>
      <c r="L1463" s="91" t="str">
        <f t="shared" si="6"/>
        <v>Mon</v>
      </c>
      <c r="M1463" s="78" t="str">
        <f>IFERROR(VLOOKUP(A1463, Entries!A:B,2,false),"")</f>
        <v>PlayStation</v>
      </c>
      <c r="N1463" s="23" t="str">
        <f>IFERROR(VLOOKUP(A1463, Entries!A:K,11,false),"")</f>
        <v/>
      </c>
      <c r="O1463" s="23" t="b">
        <f>IFERROR(VLOOKUP(A1463, Entries!A:I,8,false),"")</f>
        <v>0</v>
      </c>
    </row>
    <row r="1464">
      <c r="A1464" s="78" t="s">
        <v>1901</v>
      </c>
      <c r="B1464" s="78" t="s">
        <v>27</v>
      </c>
      <c r="C1464" s="85">
        <v>44592.0</v>
      </c>
      <c r="D1464" s="25"/>
      <c r="E1464" s="86">
        <v>2.39</v>
      </c>
      <c r="F1464" s="88"/>
      <c r="G1464" s="88">
        <f t="shared" si="1"/>
        <v>-2.39</v>
      </c>
      <c r="H1464" s="89" t="str">
        <f t="shared" si="7"/>
        <v/>
      </c>
      <c r="I1464" s="78" t="s">
        <v>1946</v>
      </c>
      <c r="J1464" s="78" t="s">
        <v>1093</v>
      </c>
      <c r="K1464" s="58" t="str">
        <f t="shared" si="3"/>
        <v/>
      </c>
      <c r="L1464" s="91" t="str">
        <f>IF(D1464="","",TEXT(D1464,"DDDD"))</f>
        <v/>
      </c>
      <c r="M1464" s="78" t="str">
        <f>IFERROR(VLOOKUP(A1464, Entries!A:B,2,false),"")</f>
        <v>PlayStation</v>
      </c>
    </row>
    <row r="1465">
      <c r="A1465" s="94" t="s">
        <v>1947</v>
      </c>
      <c r="B1465" s="78" t="s">
        <v>23</v>
      </c>
      <c r="C1465" s="85">
        <v>44592.0</v>
      </c>
      <c r="D1465" s="85">
        <v>45463.0</v>
      </c>
      <c r="E1465" s="86">
        <v>16.39</v>
      </c>
      <c r="F1465" s="87">
        <v>6.59</v>
      </c>
      <c r="G1465" s="88">
        <f t="shared" si="1"/>
        <v>-9.8</v>
      </c>
      <c r="H1465" s="89">
        <f t="shared" si="7"/>
        <v>-1.487101669</v>
      </c>
      <c r="I1465" s="78" t="s">
        <v>1948</v>
      </c>
      <c r="J1465" s="78" t="s">
        <v>69</v>
      </c>
      <c r="K1465" s="58">
        <f t="shared" si="3"/>
        <v>871</v>
      </c>
      <c r="L1465" s="91" t="str">
        <f t="shared" ref="L1465:L8981" si="8">IF(D1465="","",TEXT(D1465,"DDD"))</f>
        <v>Thu</v>
      </c>
      <c r="M1465" s="78" t="str">
        <f>IFERROR(VLOOKUP(A1465, Entries!A:B,2,false),"")</f>
        <v>BANDAI NAMCO</v>
      </c>
      <c r="N1465" s="23" t="str">
        <f>IFERROR(VLOOKUP(A1465, Entries!A:K,11,false),"")</f>
        <v/>
      </c>
      <c r="O1465" s="23" t="b">
        <f>IFERROR(VLOOKUP(A1465, Entries!A:I,8,false),"")</f>
        <v>0</v>
      </c>
    </row>
    <row r="1466">
      <c r="A1466" s="95" t="s">
        <v>1905</v>
      </c>
      <c r="B1466" s="104" t="s">
        <v>19</v>
      </c>
      <c r="C1466" s="85">
        <v>44592.0</v>
      </c>
      <c r="D1466" s="85">
        <v>44592.0</v>
      </c>
      <c r="E1466" s="86">
        <v>8.56</v>
      </c>
      <c r="F1466" s="87">
        <v>12.55</v>
      </c>
      <c r="G1466" s="88">
        <f t="shared" si="1"/>
        <v>3.99</v>
      </c>
      <c r="H1466" s="89">
        <f t="shared" si="7"/>
        <v>0.3179282869</v>
      </c>
      <c r="I1466" s="78" t="s">
        <v>1949</v>
      </c>
      <c r="J1466" s="78" t="s">
        <v>69</v>
      </c>
      <c r="K1466" s="58">
        <f t="shared" si="3"/>
        <v>0</v>
      </c>
      <c r="L1466" s="91" t="str">
        <f t="shared" si="8"/>
        <v>Mon</v>
      </c>
      <c r="M1466" s="78" t="str">
        <f>IFERROR(VLOOKUP(A1466, Entries!A:B,2,false),"")</f>
        <v>Dovetail Games</v>
      </c>
      <c r="N1466" s="23" t="str">
        <f>IFERROR(VLOOKUP(A1466, Entries!A:K,11,false),"")</f>
        <v/>
      </c>
      <c r="O1466" s="23" t="b">
        <f>IFERROR(VLOOKUP(A1466, Entries!A:I,8,false),"")</f>
        <v>1</v>
      </c>
    </row>
    <row r="1467">
      <c r="A1467" s="78" t="s">
        <v>1913</v>
      </c>
      <c r="B1467" s="78" t="s">
        <v>19</v>
      </c>
      <c r="C1467" s="85">
        <v>44592.0</v>
      </c>
      <c r="D1467" s="85">
        <v>44592.0</v>
      </c>
      <c r="E1467" s="86">
        <v>1.94</v>
      </c>
      <c r="F1467" s="87">
        <v>3.56</v>
      </c>
      <c r="G1467" s="88">
        <f t="shared" si="1"/>
        <v>1.62</v>
      </c>
      <c r="H1467" s="89">
        <f t="shared" si="7"/>
        <v>0.4550561798</v>
      </c>
      <c r="I1467" s="78" t="s">
        <v>1950</v>
      </c>
      <c r="J1467" s="78" t="s">
        <v>69</v>
      </c>
      <c r="K1467" s="58">
        <f t="shared" si="3"/>
        <v>0</v>
      </c>
      <c r="L1467" s="91" t="str">
        <f t="shared" si="8"/>
        <v>Mon</v>
      </c>
      <c r="M1467" s="78" t="str">
        <f>IFERROR(VLOOKUP(A1467, Entries!A:B,2,false),"")</f>
        <v>XREAL Games</v>
      </c>
      <c r="N1467" s="23" t="str">
        <f>IFERROR(VLOOKUP(A1467, Entries!A:K,11,false),"")</f>
        <v/>
      </c>
      <c r="O1467" s="23" t="b">
        <f>IFERROR(VLOOKUP(A1467, Entries!A:I,8,false),"")</f>
        <v>1</v>
      </c>
    </row>
    <row r="1468">
      <c r="A1468" s="78" t="s">
        <v>1909</v>
      </c>
      <c r="B1468" s="78" t="s">
        <v>19</v>
      </c>
      <c r="C1468" s="85">
        <v>44592.0</v>
      </c>
      <c r="D1468" s="85">
        <v>44594.0</v>
      </c>
      <c r="E1468" s="86">
        <v>1.0</v>
      </c>
      <c r="F1468" s="87">
        <v>1.77</v>
      </c>
      <c r="G1468" s="88">
        <f t="shared" si="1"/>
        <v>0.77</v>
      </c>
      <c r="H1468" s="89">
        <f t="shared" si="7"/>
        <v>0.4350282486</v>
      </c>
      <c r="I1468" s="78" t="s">
        <v>1951</v>
      </c>
      <c r="J1468" s="78" t="s">
        <v>69</v>
      </c>
      <c r="K1468" s="58">
        <f t="shared" si="3"/>
        <v>2</v>
      </c>
      <c r="L1468" s="91" t="str">
        <f t="shared" si="8"/>
        <v>Wed</v>
      </c>
      <c r="M1468" s="78" t="str">
        <f>IFERROR(VLOOKUP(A1468, Entries!A:B,2,false),"")</f>
        <v>PlayWay</v>
      </c>
      <c r="N1468" s="23" t="str">
        <f>IFERROR(VLOOKUP(A1468, Entries!A:K,11,false),"")</f>
        <v/>
      </c>
      <c r="O1468" s="23" t="b">
        <f>IFERROR(VLOOKUP(A1468, Entries!A:I,8,false),"")</f>
        <v>1</v>
      </c>
    </row>
    <row r="1469">
      <c r="A1469" s="78" t="s">
        <v>1917</v>
      </c>
      <c r="B1469" s="78" t="s">
        <v>19</v>
      </c>
      <c r="C1469" s="85">
        <v>44592.0</v>
      </c>
      <c r="D1469" s="85">
        <v>44594.0</v>
      </c>
      <c r="E1469" s="86">
        <v>1.5</v>
      </c>
      <c r="F1469" s="87">
        <v>2.09</v>
      </c>
      <c r="G1469" s="88">
        <f t="shared" si="1"/>
        <v>0.59</v>
      </c>
      <c r="H1469" s="89">
        <f t="shared" si="7"/>
        <v>0.2822966507</v>
      </c>
      <c r="I1469" s="78" t="s">
        <v>1952</v>
      </c>
      <c r="J1469" s="78" t="s">
        <v>69</v>
      </c>
      <c r="K1469" s="58">
        <f t="shared" si="3"/>
        <v>2</v>
      </c>
      <c r="L1469" s="91" t="str">
        <f t="shared" si="8"/>
        <v>Wed</v>
      </c>
      <c r="M1469" s="78" t="str">
        <f>IFERROR(VLOOKUP(A1469, Entries!A:B,2,false),"")</f>
        <v>Survios</v>
      </c>
      <c r="N1469" s="23" t="str">
        <f>IFERROR(VLOOKUP(A1469, Entries!A:K,11,false),"")</f>
        <v/>
      </c>
      <c r="O1469" s="23" t="b">
        <f>IFERROR(VLOOKUP(A1469, Entries!A:I,8,false),"")</f>
        <v>1</v>
      </c>
    </row>
    <row r="1470">
      <c r="A1470" s="95" t="s">
        <v>1905</v>
      </c>
      <c r="B1470" s="78" t="s">
        <v>19</v>
      </c>
      <c r="C1470" s="85">
        <v>44592.0</v>
      </c>
      <c r="D1470" s="85">
        <v>44598.0</v>
      </c>
      <c r="E1470" s="86">
        <v>8.81</v>
      </c>
      <c r="F1470" s="87">
        <v>9.36</v>
      </c>
      <c r="G1470" s="88">
        <f t="shared" si="1"/>
        <v>0.55</v>
      </c>
      <c r="H1470" s="89">
        <f t="shared" si="7"/>
        <v>0.05876068376</v>
      </c>
      <c r="I1470" s="78" t="s">
        <v>1953</v>
      </c>
      <c r="J1470" s="78" t="s">
        <v>69</v>
      </c>
      <c r="K1470" s="58">
        <f t="shared" si="3"/>
        <v>6</v>
      </c>
      <c r="L1470" s="91" t="str">
        <f t="shared" si="8"/>
        <v>Sun</v>
      </c>
      <c r="M1470" s="78" t="str">
        <f>IFERROR(VLOOKUP(A1470, Entries!A:B,2,false),"")</f>
        <v>Dovetail Games</v>
      </c>
      <c r="N1470" s="23" t="str">
        <f>IFERROR(VLOOKUP(A1470, Entries!A:K,11,false),"")</f>
        <v/>
      </c>
      <c r="O1470" s="23" t="b">
        <f>IFERROR(VLOOKUP(A1470, Entries!A:I,8,false),"")</f>
        <v>1</v>
      </c>
    </row>
    <row r="1471">
      <c r="A1471" s="78" t="s">
        <v>1909</v>
      </c>
      <c r="B1471" s="78" t="s">
        <v>19</v>
      </c>
      <c r="C1471" s="85">
        <v>44592.0</v>
      </c>
      <c r="D1471" s="85">
        <v>44594.0</v>
      </c>
      <c r="E1471" s="86">
        <v>1.0</v>
      </c>
      <c r="F1471" s="87">
        <v>1.76</v>
      </c>
      <c r="G1471" s="88">
        <f t="shared" si="1"/>
        <v>0.76</v>
      </c>
      <c r="H1471" s="89">
        <f t="shared" si="7"/>
        <v>0.4318181818</v>
      </c>
      <c r="I1471" s="78" t="s">
        <v>1954</v>
      </c>
      <c r="J1471" s="78" t="s">
        <v>69</v>
      </c>
      <c r="K1471" s="58">
        <f t="shared" si="3"/>
        <v>2</v>
      </c>
      <c r="L1471" s="91" t="str">
        <f t="shared" si="8"/>
        <v>Wed</v>
      </c>
      <c r="M1471" s="78" t="str">
        <f>IFERROR(VLOOKUP(A1471, Entries!A:B,2,false),"")</f>
        <v>PlayWay</v>
      </c>
      <c r="N1471" s="23" t="str">
        <f>IFERROR(VLOOKUP(A1471, Entries!A:K,11,false),"")</f>
        <v/>
      </c>
      <c r="O1471" s="23" t="b">
        <f>IFERROR(VLOOKUP(A1471, Entries!A:I,8,false),"")</f>
        <v>1</v>
      </c>
    </row>
    <row r="1472">
      <c r="A1472" s="78" t="s">
        <v>1917</v>
      </c>
      <c r="B1472" s="78" t="s">
        <v>19</v>
      </c>
      <c r="C1472" s="85">
        <v>44592.0</v>
      </c>
      <c r="D1472" s="85">
        <v>44597.0</v>
      </c>
      <c r="E1472" s="86">
        <v>1.5</v>
      </c>
      <c r="F1472" s="87">
        <v>2.03</v>
      </c>
      <c r="G1472" s="88">
        <f t="shared" si="1"/>
        <v>0.53</v>
      </c>
      <c r="H1472" s="89">
        <f t="shared" si="7"/>
        <v>0.2610837438</v>
      </c>
      <c r="I1472" s="78" t="s">
        <v>1955</v>
      </c>
      <c r="J1472" s="78" t="s">
        <v>69</v>
      </c>
      <c r="K1472" s="58">
        <f t="shared" si="3"/>
        <v>5</v>
      </c>
      <c r="L1472" s="91" t="str">
        <f t="shared" si="8"/>
        <v>Sat</v>
      </c>
      <c r="M1472" s="78" t="str">
        <f>IFERROR(VLOOKUP(A1472, Entries!A:B,2,false),"")</f>
        <v>Survios</v>
      </c>
      <c r="N1472" s="23" t="str">
        <f>IFERROR(VLOOKUP(A1472, Entries!A:K,11,false),"")</f>
        <v/>
      </c>
      <c r="O1472" s="23" t="b">
        <f>IFERROR(VLOOKUP(A1472, Entries!A:I,8,false),"")</f>
        <v>1</v>
      </c>
    </row>
    <row r="1473">
      <c r="A1473" s="78" t="s">
        <v>1913</v>
      </c>
      <c r="B1473" s="78" t="s">
        <v>19</v>
      </c>
      <c r="C1473" s="85">
        <v>44592.0</v>
      </c>
      <c r="D1473" s="85">
        <v>44593.0</v>
      </c>
      <c r="E1473" s="86">
        <v>1.94</v>
      </c>
      <c r="F1473" s="87">
        <v>3.56</v>
      </c>
      <c r="G1473" s="88">
        <f t="shared" si="1"/>
        <v>1.62</v>
      </c>
      <c r="H1473" s="89">
        <f t="shared" si="7"/>
        <v>0.4550561798</v>
      </c>
      <c r="I1473" s="78" t="s">
        <v>1956</v>
      </c>
      <c r="J1473" s="78" t="s">
        <v>69</v>
      </c>
      <c r="K1473" s="58">
        <f t="shared" si="3"/>
        <v>1</v>
      </c>
      <c r="L1473" s="91" t="str">
        <f t="shared" si="8"/>
        <v>Tue</v>
      </c>
      <c r="M1473" s="78" t="str">
        <f>IFERROR(VLOOKUP(A1473, Entries!A:B,2,false),"")</f>
        <v>XREAL Games</v>
      </c>
      <c r="N1473" s="23" t="str">
        <f>IFERROR(VLOOKUP(A1473, Entries!A:K,11,false),"")</f>
        <v/>
      </c>
      <c r="O1473" s="23" t="b">
        <f>IFERROR(VLOOKUP(A1473, Entries!A:I,8,false),"")</f>
        <v>1</v>
      </c>
    </row>
    <row r="1474">
      <c r="A1474" s="78" t="s">
        <v>385</v>
      </c>
      <c r="B1474" s="78" t="s">
        <v>19</v>
      </c>
      <c r="C1474" s="85">
        <v>44592.0</v>
      </c>
      <c r="D1474" s="85">
        <v>44596.0</v>
      </c>
      <c r="E1474" s="86">
        <v>0.0</v>
      </c>
      <c r="F1474" s="87">
        <v>1.69</v>
      </c>
      <c r="G1474" s="88">
        <f t="shared" si="1"/>
        <v>1.69</v>
      </c>
      <c r="H1474" s="89">
        <f t="shared" si="7"/>
        <v>1</v>
      </c>
      <c r="I1474" s="78" t="s">
        <v>1957</v>
      </c>
      <c r="J1474" s="78" t="s">
        <v>69</v>
      </c>
      <c r="K1474" s="58">
        <f t="shared" si="3"/>
        <v>4</v>
      </c>
      <c r="L1474" s="91" t="str">
        <f t="shared" si="8"/>
        <v>Fri</v>
      </c>
      <c r="M1474" s="78" t="str">
        <f>IFERROR(VLOOKUP(A1474, Entries!A:B,2,false),"")</f>
        <v>Cheesecake Dev</v>
      </c>
      <c r="N1474" s="23" t="str">
        <f>IFERROR(VLOOKUP(A1474, Entries!A:K,11,false),"")</f>
        <v/>
      </c>
      <c r="O1474" s="23" t="b">
        <f>IFERROR(VLOOKUP(A1474, Entries!A:I,8,false),"")</f>
        <v>1</v>
      </c>
    </row>
    <row r="1475">
      <c r="A1475" s="78" t="s">
        <v>1909</v>
      </c>
      <c r="B1475" s="78" t="s">
        <v>19</v>
      </c>
      <c r="C1475" s="85">
        <v>44594.0</v>
      </c>
      <c r="D1475" s="85">
        <v>44594.0</v>
      </c>
      <c r="E1475" s="86">
        <v>1.0</v>
      </c>
      <c r="F1475" s="87">
        <v>1.76</v>
      </c>
      <c r="G1475" s="88">
        <f t="shared" si="1"/>
        <v>0.76</v>
      </c>
      <c r="H1475" s="89">
        <f t="shared" si="7"/>
        <v>0.4318181818</v>
      </c>
      <c r="I1475" s="78" t="s">
        <v>1958</v>
      </c>
      <c r="J1475" s="78" t="s">
        <v>69</v>
      </c>
      <c r="K1475" s="58">
        <f t="shared" si="3"/>
        <v>0</v>
      </c>
      <c r="L1475" s="91" t="str">
        <f t="shared" si="8"/>
        <v>Wed</v>
      </c>
      <c r="M1475" s="78" t="str">
        <f>IFERROR(VLOOKUP(A1475, Entries!A:B,2,false),"")</f>
        <v>PlayWay</v>
      </c>
      <c r="N1475" s="23" t="str">
        <f>IFERROR(VLOOKUP(A1475, Entries!A:K,11,false),"")</f>
        <v/>
      </c>
      <c r="O1475" s="23" t="b">
        <f>IFERROR(VLOOKUP(A1475, Entries!A:I,8,false),"")</f>
        <v>1</v>
      </c>
    </row>
    <row r="1476">
      <c r="A1476" s="78" t="s">
        <v>1911</v>
      </c>
      <c r="B1476" s="78" t="s">
        <v>19</v>
      </c>
      <c r="C1476" s="85">
        <v>44594.0</v>
      </c>
      <c r="D1476" s="85">
        <v>44598.0</v>
      </c>
      <c r="E1476" s="86">
        <v>1.0</v>
      </c>
      <c r="F1476" s="87">
        <v>1.78</v>
      </c>
      <c r="G1476" s="88">
        <f t="shared" si="1"/>
        <v>0.78</v>
      </c>
      <c r="H1476" s="89">
        <f t="shared" si="7"/>
        <v>0.4382022472</v>
      </c>
      <c r="I1476" s="78" t="s">
        <v>1959</v>
      </c>
      <c r="J1476" s="78" t="s">
        <v>69</v>
      </c>
      <c r="K1476" s="58">
        <f t="shared" si="3"/>
        <v>4</v>
      </c>
      <c r="L1476" s="91" t="str">
        <f t="shared" si="8"/>
        <v>Sun</v>
      </c>
      <c r="M1476" s="78" t="str">
        <f>IFERROR(VLOOKUP(A1476, Entries!A:B,2,false),"")</f>
        <v>The Pixel Mine</v>
      </c>
      <c r="N1476" s="23" t="str">
        <f>IFERROR(VLOOKUP(A1476, Entries!A:K,11,false),"")</f>
        <v/>
      </c>
      <c r="O1476" s="23" t="b">
        <f>IFERROR(VLOOKUP(A1476, Entries!A:I,8,false),"")</f>
        <v>0</v>
      </c>
    </row>
    <row r="1477">
      <c r="A1477" s="78" t="s">
        <v>1913</v>
      </c>
      <c r="B1477" s="78" t="s">
        <v>19</v>
      </c>
      <c r="C1477" s="85">
        <v>44594.0</v>
      </c>
      <c r="D1477" s="85">
        <v>44594.0</v>
      </c>
      <c r="E1477" s="86">
        <v>2.17</v>
      </c>
      <c r="F1477" s="87">
        <v>4.69</v>
      </c>
      <c r="G1477" s="88">
        <f t="shared" si="1"/>
        <v>2.52</v>
      </c>
      <c r="H1477" s="89">
        <f t="shared" si="7"/>
        <v>0.5373134328</v>
      </c>
      <c r="I1477" s="78" t="s">
        <v>1960</v>
      </c>
      <c r="J1477" s="78" t="s">
        <v>69</v>
      </c>
      <c r="K1477" s="58">
        <f t="shared" si="3"/>
        <v>0</v>
      </c>
      <c r="L1477" s="91" t="str">
        <f t="shared" si="8"/>
        <v>Wed</v>
      </c>
      <c r="M1477" s="78" t="str">
        <f>IFERROR(VLOOKUP(A1477, Entries!A:B,2,false),"")</f>
        <v>XREAL Games</v>
      </c>
      <c r="N1477" s="23" t="str">
        <f>IFERROR(VLOOKUP(A1477, Entries!A:K,11,false),"")</f>
        <v/>
      </c>
      <c r="O1477" s="23" t="b">
        <f>IFERROR(VLOOKUP(A1477, Entries!A:I,8,false),"")</f>
        <v>1</v>
      </c>
    </row>
    <row r="1478">
      <c r="A1478" s="78" t="s">
        <v>1909</v>
      </c>
      <c r="B1478" s="78" t="s">
        <v>19</v>
      </c>
      <c r="C1478" s="85">
        <v>44594.0</v>
      </c>
      <c r="D1478" s="85">
        <v>44595.0</v>
      </c>
      <c r="E1478" s="86">
        <v>1.0</v>
      </c>
      <c r="F1478" s="87">
        <v>1.76</v>
      </c>
      <c r="G1478" s="88">
        <f t="shared" si="1"/>
        <v>0.76</v>
      </c>
      <c r="H1478" s="89">
        <f t="shared" si="7"/>
        <v>0.4318181818</v>
      </c>
      <c r="I1478" s="78" t="s">
        <v>1961</v>
      </c>
      <c r="J1478" s="78" t="s">
        <v>69</v>
      </c>
      <c r="K1478" s="58">
        <f t="shared" si="3"/>
        <v>1</v>
      </c>
      <c r="L1478" s="91" t="str">
        <f t="shared" si="8"/>
        <v>Thu</v>
      </c>
      <c r="M1478" s="78" t="str">
        <f>IFERROR(VLOOKUP(A1478, Entries!A:B,2,false),"")</f>
        <v>PlayWay</v>
      </c>
      <c r="N1478" s="23" t="str">
        <f>IFERROR(VLOOKUP(A1478, Entries!A:K,11,false),"")</f>
        <v/>
      </c>
      <c r="O1478" s="23" t="b">
        <f>IFERROR(VLOOKUP(A1478, Entries!A:I,8,false),"")</f>
        <v>1</v>
      </c>
    </row>
    <row r="1479">
      <c r="A1479" s="78" t="s">
        <v>1913</v>
      </c>
      <c r="B1479" s="78" t="s">
        <v>19</v>
      </c>
      <c r="C1479" s="85">
        <v>44594.0</v>
      </c>
      <c r="D1479" s="85">
        <v>44595.0</v>
      </c>
      <c r="E1479" s="86">
        <v>2.0</v>
      </c>
      <c r="F1479" s="87">
        <v>4.69</v>
      </c>
      <c r="G1479" s="88">
        <f t="shared" si="1"/>
        <v>2.69</v>
      </c>
      <c r="H1479" s="89">
        <f t="shared" si="7"/>
        <v>0.5735607676</v>
      </c>
      <c r="I1479" s="78" t="s">
        <v>1962</v>
      </c>
      <c r="J1479" s="78" t="s">
        <v>69</v>
      </c>
      <c r="K1479" s="58">
        <f t="shared" si="3"/>
        <v>1</v>
      </c>
      <c r="L1479" s="91" t="str">
        <f t="shared" si="8"/>
        <v>Thu</v>
      </c>
      <c r="M1479" s="78" t="str">
        <f>IFERROR(VLOOKUP(A1479, Entries!A:B,2,false),"")</f>
        <v>XREAL Games</v>
      </c>
      <c r="N1479" s="23" t="str">
        <f>IFERROR(VLOOKUP(A1479, Entries!A:K,11,false),"")</f>
        <v/>
      </c>
      <c r="O1479" s="23" t="b">
        <f>IFERROR(VLOOKUP(A1479, Entries!A:I,8,false),"")</f>
        <v>1</v>
      </c>
    </row>
    <row r="1480">
      <c r="A1480" s="78" t="s">
        <v>1917</v>
      </c>
      <c r="B1480" s="78" t="s">
        <v>19</v>
      </c>
      <c r="C1480" s="85">
        <v>44594.0</v>
      </c>
      <c r="D1480" s="85">
        <v>44598.0</v>
      </c>
      <c r="E1480" s="86">
        <v>1.4</v>
      </c>
      <c r="F1480" s="87">
        <v>2.03</v>
      </c>
      <c r="G1480" s="88">
        <f t="shared" si="1"/>
        <v>0.63</v>
      </c>
      <c r="H1480" s="89">
        <f t="shared" si="7"/>
        <v>0.3103448276</v>
      </c>
      <c r="I1480" s="78" t="s">
        <v>1963</v>
      </c>
      <c r="J1480" s="78" t="s">
        <v>69</v>
      </c>
      <c r="K1480" s="58">
        <f t="shared" si="3"/>
        <v>4</v>
      </c>
      <c r="L1480" s="91" t="str">
        <f t="shared" si="8"/>
        <v>Sun</v>
      </c>
      <c r="M1480" s="78" t="str">
        <f>IFERROR(VLOOKUP(A1480, Entries!A:B,2,false),"")</f>
        <v>Survios</v>
      </c>
      <c r="N1480" s="23" t="str">
        <f>IFERROR(VLOOKUP(A1480, Entries!A:K,11,false),"")</f>
        <v/>
      </c>
      <c r="O1480" s="23" t="b">
        <f>IFERROR(VLOOKUP(A1480, Entries!A:I,8,false),"")</f>
        <v>1</v>
      </c>
    </row>
    <row r="1481">
      <c r="A1481" s="78" t="s">
        <v>1909</v>
      </c>
      <c r="B1481" s="78" t="s">
        <v>19</v>
      </c>
      <c r="C1481" s="85">
        <v>44595.0</v>
      </c>
      <c r="D1481" s="85">
        <v>44595.0</v>
      </c>
      <c r="E1481" s="86">
        <v>1.0</v>
      </c>
      <c r="F1481" s="87">
        <v>1.76</v>
      </c>
      <c r="G1481" s="88">
        <f t="shared" si="1"/>
        <v>0.76</v>
      </c>
      <c r="H1481" s="89">
        <f t="shared" si="7"/>
        <v>0.4318181818</v>
      </c>
      <c r="I1481" s="78" t="s">
        <v>1964</v>
      </c>
      <c r="J1481" s="78" t="s">
        <v>69</v>
      </c>
      <c r="K1481" s="58">
        <f t="shared" si="3"/>
        <v>0</v>
      </c>
      <c r="L1481" s="91" t="str">
        <f t="shared" si="8"/>
        <v>Thu</v>
      </c>
      <c r="M1481" s="78" t="str">
        <f>IFERROR(VLOOKUP(A1481, Entries!A:B,2,false),"")</f>
        <v>PlayWay</v>
      </c>
      <c r="N1481" s="23" t="str">
        <f>IFERROR(VLOOKUP(A1481, Entries!A:K,11,false),"")</f>
        <v/>
      </c>
      <c r="O1481" s="23" t="b">
        <f>IFERROR(VLOOKUP(A1481, Entries!A:I,8,false),"")</f>
        <v>1</v>
      </c>
    </row>
    <row r="1482">
      <c r="A1482" s="78" t="s">
        <v>1913</v>
      </c>
      <c r="B1482" s="78" t="s">
        <v>19</v>
      </c>
      <c r="C1482" s="85">
        <v>44595.0</v>
      </c>
      <c r="D1482" s="85">
        <v>44595.0</v>
      </c>
      <c r="E1482" s="86">
        <v>2.4</v>
      </c>
      <c r="F1482" s="87">
        <v>4.69</v>
      </c>
      <c r="G1482" s="88">
        <f t="shared" si="1"/>
        <v>2.29</v>
      </c>
      <c r="H1482" s="89">
        <f t="shared" si="7"/>
        <v>0.4882729211</v>
      </c>
      <c r="I1482" s="78" t="s">
        <v>1965</v>
      </c>
      <c r="J1482" s="78" t="s">
        <v>69</v>
      </c>
      <c r="K1482" s="58">
        <f t="shared" si="3"/>
        <v>0</v>
      </c>
      <c r="L1482" s="91" t="str">
        <f t="shared" si="8"/>
        <v>Thu</v>
      </c>
      <c r="M1482" s="78" t="str">
        <f>IFERROR(VLOOKUP(A1482, Entries!A:B,2,false),"")</f>
        <v>XREAL Games</v>
      </c>
      <c r="N1482" s="23" t="str">
        <f>IFERROR(VLOOKUP(A1482, Entries!A:K,11,false),"")</f>
        <v/>
      </c>
      <c r="O1482" s="23" t="b">
        <f>IFERROR(VLOOKUP(A1482, Entries!A:I,8,false),"")</f>
        <v>1</v>
      </c>
    </row>
    <row r="1483">
      <c r="A1483" s="78" t="s">
        <v>1966</v>
      </c>
      <c r="B1483" s="78" t="s">
        <v>19</v>
      </c>
      <c r="C1483" s="85">
        <v>44595.0</v>
      </c>
      <c r="D1483" s="85">
        <v>44596.0</v>
      </c>
      <c r="E1483" s="86">
        <v>1.0</v>
      </c>
      <c r="F1483" s="87">
        <v>2.03</v>
      </c>
      <c r="G1483" s="88">
        <f t="shared" si="1"/>
        <v>1.03</v>
      </c>
      <c r="H1483" s="89">
        <f t="shared" si="7"/>
        <v>0.5073891626</v>
      </c>
      <c r="I1483" s="78" t="s">
        <v>1967</v>
      </c>
      <c r="J1483" s="78" t="s">
        <v>69</v>
      </c>
      <c r="K1483" s="58">
        <f t="shared" si="3"/>
        <v>1</v>
      </c>
      <c r="L1483" s="91" t="str">
        <f t="shared" si="8"/>
        <v>Fri</v>
      </c>
      <c r="M1483" s="78" t="str">
        <f>IFERROR(VLOOKUP(A1483, Entries!A:B,2,false),"")</f>
        <v>Playstack</v>
      </c>
      <c r="N1483" s="23" t="str">
        <f>IFERROR(VLOOKUP(A1483, Entries!A:K,11,false),"")</f>
        <v/>
      </c>
      <c r="O1483" s="23" t="b">
        <f>IFERROR(VLOOKUP(A1483, Entries!A:I,8,false),"")</f>
        <v>0</v>
      </c>
    </row>
    <row r="1484">
      <c r="A1484" s="78" t="s">
        <v>1917</v>
      </c>
      <c r="B1484" s="78" t="s">
        <v>19</v>
      </c>
      <c r="C1484" s="85">
        <v>44595.0</v>
      </c>
      <c r="D1484" s="85">
        <v>44599.0</v>
      </c>
      <c r="E1484" s="86">
        <v>1.0</v>
      </c>
      <c r="F1484" s="87">
        <v>2.0</v>
      </c>
      <c r="G1484" s="88">
        <f t="shared" si="1"/>
        <v>1</v>
      </c>
      <c r="H1484" s="89">
        <f t="shared" si="7"/>
        <v>0.5</v>
      </c>
      <c r="I1484" s="78" t="s">
        <v>1968</v>
      </c>
      <c r="J1484" s="78" t="s">
        <v>69</v>
      </c>
      <c r="K1484" s="58">
        <f t="shared" si="3"/>
        <v>4</v>
      </c>
      <c r="L1484" s="91" t="str">
        <f t="shared" si="8"/>
        <v>Mon</v>
      </c>
      <c r="M1484" s="78" t="str">
        <f>IFERROR(VLOOKUP(A1484, Entries!A:B,2,false),"")</f>
        <v>Survios</v>
      </c>
      <c r="N1484" s="23" t="str">
        <f>IFERROR(VLOOKUP(A1484, Entries!A:K,11,false),"")</f>
        <v/>
      </c>
      <c r="O1484" s="23" t="b">
        <f>IFERROR(VLOOKUP(A1484, Entries!A:I,8,false),"")</f>
        <v>1</v>
      </c>
    </row>
    <row r="1485">
      <c r="A1485" s="78" t="s">
        <v>1909</v>
      </c>
      <c r="B1485" s="78" t="s">
        <v>19</v>
      </c>
      <c r="C1485" s="85">
        <v>44595.0</v>
      </c>
      <c r="D1485" s="85">
        <v>44595.0</v>
      </c>
      <c r="E1485" s="86">
        <v>1.0</v>
      </c>
      <c r="F1485" s="87">
        <v>1.77</v>
      </c>
      <c r="G1485" s="88">
        <f t="shared" si="1"/>
        <v>0.77</v>
      </c>
      <c r="H1485" s="89">
        <f t="shared" si="7"/>
        <v>0.4350282486</v>
      </c>
      <c r="I1485" s="78" t="s">
        <v>1969</v>
      </c>
      <c r="J1485" s="78" t="s">
        <v>69</v>
      </c>
      <c r="K1485" s="58">
        <f t="shared" si="3"/>
        <v>0</v>
      </c>
      <c r="L1485" s="91" t="str">
        <f t="shared" si="8"/>
        <v>Thu</v>
      </c>
      <c r="M1485" s="78" t="str">
        <f>IFERROR(VLOOKUP(A1485, Entries!A:B,2,false),"")</f>
        <v>PlayWay</v>
      </c>
      <c r="N1485" s="23" t="str">
        <f>IFERROR(VLOOKUP(A1485, Entries!A:K,11,false),"")</f>
        <v/>
      </c>
      <c r="O1485" s="23" t="b">
        <f>IFERROR(VLOOKUP(A1485, Entries!A:I,8,false),"")</f>
        <v>1</v>
      </c>
    </row>
    <row r="1486">
      <c r="A1486" s="78" t="s">
        <v>1913</v>
      </c>
      <c r="B1486" s="78" t="s">
        <v>19</v>
      </c>
      <c r="C1486" s="85">
        <v>44595.0</v>
      </c>
      <c r="D1486" s="85">
        <v>44596.0</v>
      </c>
      <c r="E1486" s="86">
        <v>2.38</v>
      </c>
      <c r="F1486" s="87">
        <v>4.51</v>
      </c>
      <c r="G1486" s="88">
        <f t="shared" si="1"/>
        <v>2.13</v>
      </c>
      <c r="H1486" s="89">
        <f t="shared" si="7"/>
        <v>0.4722838137</v>
      </c>
      <c r="I1486" s="78" t="s">
        <v>1970</v>
      </c>
      <c r="J1486" s="78" t="s">
        <v>69</v>
      </c>
      <c r="K1486" s="58">
        <f t="shared" si="3"/>
        <v>1</v>
      </c>
      <c r="L1486" s="91" t="str">
        <f t="shared" si="8"/>
        <v>Fri</v>
      </c>
      <c r="M1486" s="78" t="str">
        <f>IFERROR(VLOOKUP(A1486, Entries!A:B,2,false),"")</f>
        <v>XREAL Games</v>
      </c>
      <c r="N1486" s="23" t="str">
        <f>IFERROR(VLOOKUP(A1486, Entries!A:K,11,false),"")</f>
        <v/>
      </c>
      <c r="O1486" s="23" t="b">
        <f>IFERROR(VLOOKUP(A1486, Entries!A:I,8,false),"")</f>
        <v>1</v>
      </c>
    </row>
    <row r="1487">
      <c r="A1487" s="78" t="s">
        <v>1971</v>
      </c>
      <c r="B1487" s="78" t="s">
        <v>30</v>
      </c>
      <c r="C1487" s="85">
        <v>44596.0</v>
      </c>
      <c r="D1487" s="85">
        <v>44610.0</v>
      </c>
      <c r="E1487" s="86">
        <v>2.76</v>
      </c>
      <c r="F1487" s="87">
        <v>4.0</v>
      </c>
      <c r="G1487" s="88">
        <f t="shared" si="1"/>
        <v>1.24</v>
      </c>
      <c r="H1487" s="89">
        <f t="shared" si="7"/>
        <v>0.31</v>
      </c>
      <c r="I1487" s="78" t="s">
        <v>1972</v>
      </c>
      <c r="J1487" s="78" t="s">
        <v>69</v>
      </c>
      <c r="K1487" s="58">
        <f t="shared" si="3"/>
        <v>14</v>
      </c>
      <c r="L1487" s="91" t="str">
        <f t="shared" si="8"/>
        <v>Fri</v>
      </c>
      <c r="M1487" s="78" t="str">
        <f>IFERROR(VLOOKUP(A1487, Entries!A:B,2,false),"")</f>
        <v>HandyGames</v>
      </c>
      <c r="N1487" s="23" t="str">
        <f>IFERROR(VLOOKUP(A1487, Entries!A:K,11,false),"")</f>
        <v/>
      </c>
      <c r="O1487" s="23" t="b">
        <f>IFERROR(VLOOKUP(A1487, Entries!A:I,8,false),"")</f>
        <v>0</v>
      </c>
    </row>
    <row r="1488">
      <c r="A1488" s="78" t="s">
        <v>1488</v>
      </c>
      <c r="B1488" s="78" t="s">
        <v>32</v>
      </c>
      <c r="C1488" s="85">
        <v>44596.0</v>
      </c>
      <c r="D1488" s="85">
        <v>44604.0</v>
      </c>
      <c r="E1488" s="86">
        <v>13.82</v>
      </c>
      <c r="F1488" s="87">
        <v>16.2</v>
      </c>
      <c r="G1488" s="88">
        <f t="shared" si="1"/>
        <v>2.38</v>
      </c>
      <c r="H1488" s="89">
        <f t="shared" si="7"/>
        <v>0.1469135802</v>
      </c>
      <c r="I1488" s="78" t="s">
        <v>1973</v>
      </c>
      <c r="J1488" s="78" t="s">
        <v>69</v>
      </c>
      <c r="K1488" s="58">
        <f t="shared" si="3"/>
        <v>8</v>
      </c>
      <c r="L1488" s="91" t="str">
        <f t="shared" si="8"/>
        <v>Sat</v>
      </c>
      <c r="M1488" s="78" t="str">
        <f>IFERROR(VLOOKUP(A1488, Entries!A:B,2,false),"")</f>
        <v>Perfect World Entertainment</v>
      </c>
      <c r="N1488" s="23" t="str">
        <f>IFERROR(VLOOKUP(A1488, Entries!A:K,11,false),"")</f>
        <v/>
      </c>
      <c r="O1488" s="23" t="b">
        <f>IFERROR(VLOOKUP(A1488, Entries!A:I,8,false),"")</f>
        <v>1</v>
      </c>
    </row>
    <row r="1489">
      <c r="A1489" s="78" t="s">
        <v>1488</v>
      </c>
      <c r="B1489" s="78" t="s">
        <v>32</v>
      </c>
      <c r="C1489" s="85">
        <v>44596.0</v>
      </c>
      <c r="D1489" s="85">
        <v>44605.0</v>
      </c>
      <c r="E1489" s="86">
        <v>13.83</v>
      </c>
      <c r="F1489" s="87">
        <v>16.2</v>
      </c>
      <c r="G1489" s="88">
        <f t="shared" si="1"/>
        <v>2.37</v>
      </c>
      <c r="H1489" s="89">
        <f t="shared" si="7"/>
        <v>0.1462962963</v>
      </c>
      <c r="I1489" s="78" t="s">
        <v>1974</v>
      </c>
      <c r="J1489" s="78" t="s">
        <v>69</v>
      </c>
      <c r="K1489" s="58">
        <f t="shared" si="3"/>
        <v>9</v>
      </c>
      <c r="L1489" s="91" t="str">
        <f t="shared" si="8"/>
        <v>Sun</v>
      </c>
      <c r="M1489" s="78" t="str">
        <f>IFERROR(VLOOKUP(A1489, Entries!A:B,2,false),"")</f>
        <v>Perfect World Entertainment</v>
      </c>
      <c r="N1489" s="23" t="str">
        <f>IFERROR(VLOOKUP(A1489, Entries!A:K,11,false),"")</f>
        <v/>
      </c>
      <c r="O1489" s="23" t="b">
        <f>IFERROR(VLOOKUP(A1489, Entries!A:I,8,false),"")</f>
        <v>1</v>
      </c>
    </row>
    <row r="1490">
      <c r="A1490" s="78" t="s">
        <v>1909</v>
      </c>
      <c r="B1490" s="78" t="s">
        <v>19</v>
      </c>
      <c r="C1490" s="85">
        <v>44596.0</v>
      </c>
      <c r="D1490" s="85">
        <v>44597.0</v>
      </c>
      <c r="E1490" s="86">
        <v>1.0</v>
      </c>
      <c r="F1490" s="87">
        <v>1.74</v>
      </c>
      <c r="G1490" s="88">
        <f t="shared" si="1"/>
        <v>0.74</v>
      </c>
      <c r="H1490" s="89">
        <f t="shared" si="7"/>
        <v>0.4252873563</v>
      </c>
      <c r="I1490" s="78" t="s">
        <v>1975</v>
      </c>
      <c r="J1490" s="78" t="s">
        <v>69</v>
      </c>
      <c r="K1490" s="58">
        <f t="shared" si="3"/>
        <v>1</v>
      </c>
      <c r="L1490" s="91" t="str">
        <f t="shared" si="8"/>
        <v>Sat</v>
      </c>
      <c r="M1490" s="78" t="str">
        <f>IFERROR(VLOOKUP(A1490, Entries!A:B,2,false),"")</f>
        <v>PlayWay</v>
      </c>
      <c r="N1490" s="23" t="str">
        <f>IFERROR(VLOOKUP(A1490, Entries!A:K,11,false),"")</f>
        <v/>
      </c>
      <c r="O1490" s="23" t="b">
        <f>IFERROR(VLOOKUP(A1490, Entries!A:I,8,false),"")</f>
        <v>1</v>
      </c>
    </row>
    <row r="1491">
      <c r="A1491" s="78" t="s">
        <v>1913</v>
      </c>
      <c r="B1491" s="78" t="s">
        <v>19</v>
      </c>
      <c r="C1491" s="85">
        <v>44596.0</v>
      </c>
      <c r="D1491" s="85">
        <v>44596.0</v>
      </c>
      <c r="E1491" s="86">
        <v>2.38</v>
      </c>
      <c r="F1491" s="87">
        <v>4.47</v>
      </c>
      <c r="G1491" s="88">
        <f t="shared" si="1"/>
        <v>2.09</v>
      </c>
      <c r="H1491" s="89">
        <f t="shared" si="7"/>
        <v>0.4675615213</v>
      </c>
      <c r="I1491" s="78" t="s">
        <v>1976</v>
      </c>
      <c r="J1491" s="78" t="s">
        <v>69</v>
      </c>
      <c r="K1491" s="58">
        <f t="shared" si="3"/>
        <v>0</v>
      </c>
      <c r="L1491" s="91" t="str">
        <f t="shared" si="8"/>
        <v>Fri</v>
      </c>
      <c r="M1491" s="78" t="str">
        <f>IFERROR(VLOOKUP(A1491, Entries!A:B,2,false),"")</f>
        <v>XREAL Games</v>
      </c>
      <c r="N1491" s="23" t="str">
        <f>IFERROR(VLOOKUP(A1491, Entries!A:K,11,false),"")</f>
        <v/>
      </c>
      <c r="O1491" s="23" t="b">
        <f>IFERROR(VLOOKUP(A1491, Entries!A:I,8,false),"")</f>
        <v>1</v>
      </c>
    </row>
    <row r="1492">
      <c r="A1492" s="78" t="s">
        <v>1966</v>
      </c>
      <c r="B1492" s="78" t="s">
        <v>19</v>
      </c>
      <c r="C1492" s="85">
        <v>44596.0</v>
      </c>
      <c r="D1492" s="85">
        <v>44675.0</v>
      </c>
      <c r="E1492" s="86">
        <v>1.0</v>
      </c>
      <c r="F1492" s="87">
        <v>2.29</v>
      </c>
      <c r="G1492" s="88">
        <f t="shared" si="1"/>
        <v>1.29</v>
      </c>
      <c r="H1492" s="89">
        <f t="shared" si="7"/>
        <v>0.5633187773</v>
      </c>
      <c r="I1492" s="78" t="s">
        <v>1977</v>
      </c>
      <c r="J1492" s="78" t="s">
        <v>69</v>
      </c>
      <c r="K1492" s="58">
        <f t="shared" si="3"/>
        <v>79</v>
      </c>
      <c r="L1492" s="91" t="str">
        <f t="shared" si="8"/>
        <v>Sun</v>
      </c>
      <c r="M1492" s="78" t="str">
        <f>IFERROR(VLOOKUP(A1492, Entries!A:B,2,false),"")</f>
        <v>Playstack</v>
      </c>
      <c r="N1492" s="23" t="str">
        <f>IFERROR(VLOOKUP(A1492, Entries!A:K,11,false),"")</f>
        <v/>
      </c>
      <c r="O1492" s="23" t="b">
        <f>IFERROR(VLOOKUP(A1492, Entries!A:I,8,false),"")</f>
        <v>0</v>
      </c>
    </row>
    <row r="1493">
      <c r="A1493" s="78" t="s">
        <v>1978</v>
      </c>
      <c r="B1493" s="78" t="s">
        <v>32</v>
      </c>
      <c r="C1493" s="85">
        <v>44596.0</v>
      </c>
      <c r="D1493" s="85">
        <v>44596.0</v>
      </c>
      <c r="E1493" s="86">
        <v>4.69</v>
      </c>
      <c r="F1493" s="87">
        <v>5.79</v>
      </c>
      <c r="G1493" s="88">
        <f t="shared" si="1"/>
        <v>1.1</v>
      </c>
      <c r="H1493" s="89">
        <f t="shared" si="7"/>
        <v>0.1899827288</v>
      </c>
      <c r="I1493" s="78" t="s">
        <v>1979</v>
      </c>
      <c r="J1493" s="78" t="s">
        <v>69</v>
      </c>
      <c r="K1493" s="58">
        <f t="shared" si="3"/>
        <v>0</v>
      </c>
      <c r="L1493" s="91" t="str">
        <f t="shared" si="8"/>
        <v>Fri</v>
      </c>
      <c r="M1493" s="78" t="str">
        <f>IFERROR(VLOOKUP(A1493, Entries!A:B,2,false),"")</f>
        <v>Fatshark</v>
      </c>
      <c r="N1493" s="23" t="str">
        <f>IFERROR(VLOOKUP(A1493, Entries!A:K,11,false),"")</f>
        <v/>
      </c>
      <c r="O1493" s="23" t="b">
        <f>IFERROR(VLOOKUP(A1493, Entries!A:I,8,false),"")</f>
        <v>1</v>
      </c>
    </row>
    <row r="1494">
      <c r="A1494" s="78" t="s">
        <v>1978</v>
      </c>
      <c r="B1494" s="78" t="s">
        <v>32</v>
      </c>
      <c r="C1494" s="85">
        <v>44596.0</v>
      </c>
      <c r="D1494" s="85">
        <v>44598.0</v>
      </c>
      <c r="E1494" s="86">
        <v>4.7</v>
      </c>
      <c r="F1494" s="87">
        <v>5.56</v>
      </c>
      <c r="G1494" s="88">
        <f t="shared" si="1"/>
        <v>0.86</v>
      </c>
      <c r="H1494" s="89">
        <f t="shared" si="7"/>
        <v>0.154676259</v>
      </c>
      <c r="I1494" s="78" t="s">
        <v>1980</v>
      </c>
      <c r="J1494" s="78" t="s">
        <v>69</v>
      </c>
      <c r="K1494" s="58">
        <f t="shared" si="3"/>
        <v>2</v>
      </c>
      <c r="L1494" s="91" t="str">
        <f t="shared" si="8"/>
        <v>Sun</v>
      </c>
      <c r="M1494" s="78" t="str">
        <f>IFERROR(VLOOKUP(A1494, Entries!A:B,2,false),"")</f>
        <v>Fatshark</v>
      </c>
      <c r="N1494" s="23" t="str">
        <f>IFERROR(VLOOKUP(A1494, Entries!A:K,11,false),"")</f>
        <v/>
      </c>
      <c r="O1494" s="23" t="b">
        <f>IFERROR(VLOOKUP(A1494, Entries!A:I,8,false),"")</f>
        <v>1</v>
      </c>
    </row>
    <row r="1495">
      <c r="A1495" s="78" t="s">
        <v>1978</v>
      </c>
      <c r="B1495" s="78" t="s">
        <v>32</v>
      </c>
      <c r="C1495" s="85">
        <v>44596.0</v>
      </c>
      <c r="D1495" s="85">
        <v>44598.0</v>
      </c>
      <c r="E1495" s="86">
        <v>4.7</v>
      </c>
      <c r="F1495" s="87">
        <v>5.56</v>
      </c>
      <c r="G1495" s="88">
        <f t="shared" si="1"/>
        <v>0.86</v>
      </c>
      <c r="H1495" s="89">
        <f t="shared" si="7"/>
        <v>0.154676259</v>
      </c>
      <c r="I1495" s="78" t="s">
        <v>1981</v>
      </c>
      <c r="J1495" s="78" t="s">
        <v>69</v>
      </c>
      <c r="K1495" s="58">
        <f t="shared" si="3"/>
        <v>2</v>
      </c>
      <c r="L1495" s="91" t="str">
        <f t="shared" si="8"/>
        <v>Sun</v>
      </c>
      <c r="M1495" s="78" t="str">
        <f>IFERROR(VLOOKUP(A1495, Entries!A:B,2,false),"")</f>
        <v>Fatshark</v>
      </c>
      <c r="N1495" s="23" t="str">
        <f>IFERROR(VLOOKUP(A1495, Entries!A:K,11,false),"")</f>
        <v/>
      </c>
      <c r="O1495" s="23" t="b">
        <f>IFERROR(VLOOKUP(A1495, Entries!A:I,8,false),"")</f>
        <v>1</v>
      </c>
    </row>
    <row r="1496">
      <c r="A1496" s="78" t="s">
        <v>974</v>
      </c>
      <c r="B1496" s="78" t="s">
        <v>22</v>
      </c>
      <c r="C1496" s="85">
        <v>44596.0</v>
      </c>
      <c r="D1496" s="85">
        <v>44596.0</v>
      </c>
      <c r="E1496" s="86">
        <v>8.86</v>
      </c>
      <c r="F1496" s="87">
        <v>11.68</v>
      </c>
      <c r="G1496" s="88">
        <f t="shared" si="1"/>
        <v>2.82</v>
      </c>
      <c r="H1496" s="89">
        <f t="shared" si="7"/>
        <v>0.2414383562</v>
      </c>
      <c r="I1496" s="78" t="s">
        <v>1982</v>
      </c>
      <c r="J1496" s="78" t="s">
        <v>69</v>
      </c>
      <c r="K1496" s="58">
        <f t="shared" si="3"/>
        <v>0</v>
      </c>
      <c r="L1496" s="91" t="str">
        <f t="shared" si="8"/>
        <v>Fri</v>
      </c>
      <c r="M1496" s="78" t="str">
        <f>IFERROR(VLOOKUP(A1496, Entries!A:B,2,false),"")</f>
        <v>Anvil Game Studios</v>
      </c>
      <c r="N1496" s="23" t="str">
        <f>IFERROR(VLOOKUP(A1496, Entries!A:K,11,false),"")</f>
        <v/>
      </c>
      <c r="O1496" s="23" t="b">
        <f>IFERROR(VLOOKUP(A1496, Entries!A:I,8,false),"")</f>
        <v>1</v>
      </c>
    </row>
    <row r="1497">
      <c r="A1497" s="78" t="s">
        <v>974</v>
      </c>
      <c r="B1497" s="78" t="s">
        <v>22</v>
      </c>
      <c r="C1497" s="85">
        <v>44596.0</v>
      </c>
      <c r="D1497" s="85">
        <v>44597.0</v>
      </c>
      <c r="E1497" s="86">
        <v>8.87</v>
      </c>
      <c r="F1497" s="87">
        <v>11.66</v>
      </c>
      <c r="G1497" s="88">
        <f t="shared" si="1"/>
        <v>2.79</v>
      </c>
      <c r="H1497" s="89">
        <f t="shared" si="7"/>
        <v>0.2392795883</v>
      </c>
      <c r="I1497" s="78" t="s">
        <v>1983</v>
      </c>
      <c r="J1497" s="78" t="s">
        <v>69</v>
      </c>
      <c r="K1497" s="58">
        <f t="shared" si="3"/>
        <v>1</v>
      </c>
      <c r="L1497" s="91" t="str">
        <f t="shared" si="8"/>
        <v>Sat</v>
      </c>
      <c r="M1497" s="78" t="str">
        <f>IFERROR(VLOOKUP(A1497, Entries!A:B,2,false),"")</f>
        <v>Anvil Game Studios</v>
      </c>
      <c r="N1497" s="23" t="str">
        <f>IFERROR(VLOOKUP(A1497, Entries!A:K,11,false),"")</f>
        <v/>
      </c>
      <c r="O1497" s="23" t="b">
        <f>IFERROR(VLOOKUP(A1497, Entries!A:I,8,false),"")</f>
        <v>1</v>
      </c>
    </row>
    <row r="1498">
      <c r="A1498" s="78" t="s">
        <v>1984</v>
      </c>
      <c r="B1498" s="78" t="s">
        <v>27</v>
      </c>
      <c r="C1498" s="85">
        <v>44596.0</v>
      </c>
      <c r="D1498" s="85">
        <v>44599.0</v>
      </c>
      <c r="E1498" s="86">
        <v>6.39</v>
      </c>
      <c r="F1498" s="87">
        <v>8.0</v>
      </c>
      <c r="G1498" s="88">
        <f t="shared" si="1"/>
        <v>1.61</v>
      </c>
      <c r="H1498" s="89">
        <f t="shared" si="7"/>
        <v>0.20125</v>
      </c>
      <c r="I1498" s="78" t="s">
        <v>1985</v>
      </c>
      <c r="J1498" s="78" t="s">
        <v>69</v>
      </c>
      <c r="K1498" s="58">
        <f t="shared" si="3"/>
        <v>3</v>
      </c>
      <c r="L1498" s="91" t="str">
        <f t="shared" si="8"/>
        <v>Mon</v>
      </c>
      <c r="M1498" s="78" t="str">
        <f>IFERROR(VLOOKUP(A1498, Entries!A:B,2,false),"")</f>
        <v>Offworld Industries</v>
      </c>
      <c r="N1498" s="23" t="str">
        <f>IFERROR(VLOOKUP(A1498, Entries!A:K,11,false),"")</f>
        <v/>
      </c>
      <c r="O1498" s="23" t="b">
        <f>IFERROR(VLOOKUP(A1498, Entries!A:I,8,false),"")</f>
        <v>1</v>
      </c>
    </row>
    <row r="1499">
      <c r="A1499" s="78" t="s">
        <v>1909</v>
      </c>
      <c r="B1499" s="78" t="s">
        <v>19</v>
      </c>
      <c r="C1499" s="85">
        <v>44596.0</v>
      </c>
      <c r="D1499" s="85">
        <v>44597.0</v>
      </c>
      <c r="E1499" s="86">
        <v>1.0</v>
      </c>
      <c r="F1499" s="87">
        <v>1.74</v>
      </c>
      <c r="G1499" s="88">
        <f t="shared" si="1"/>
        <v>0.74</v>
      </c>
      <c r="H1499" s="89">
        <f t="shared" si="7"/>
        <v>0.4252873563</v>
      </c>
      <c r="I1499" s="78" t="s">
        <v>1986</v>
      </c>
      <c r="J1499" s="78" t="s">
        <v>69</v>
      </c>
      <c r="K1499" s="58">
        <f t="shared" si="3"/>
        <v>1</v>
      </c>
      <c r="L1499" s="91" t="str">
        <f t="shared" si="8"/>
        <v>Sat</v>
      </c>
      <c r="M1499" s="78" t="str">
        <f>IFERROR(VLOOKUP(A1499, Entries!A:B,2,false),"")</f>
        <v>PlayWay</v>
      </c>
      <c r="N1499" s="23" t="str">
        <f>IFERROR(VLOOKUP(A1499, Entries!A:K,11,false),"")</f>
        <v/>
      </c>
      <c r="O1499" s="23" t="b">
        <f>IFERROR(VLOOKUP(A1499, Entries!A:I,8,false),"")</f>
        <v>1</v>
      </c>
    </row>
    <row r="1500">
      <c r="A1500" s="78" t="s">
        <v>1913</v>
      </c>
      <c r="B1500" s="78" t="s">
        <v>19</v>
      </c>
      <c r="C1500" s="85">
        <v>44596.0</v>
      </c>
      <c r="D1500" s="85">
        <v>44596.0</v>
      </c>
      <c r="E1500" s="86">
        <v>2.38</v>
      </c>
      <c r="F1500" s="87">
        <v>4.47</v>
      </c>
      <c r="G1500" s="88">
        <f t="shared" si="1"/>
        <v>2.09</v>
      </c>
      <c r="H1500" s="89">
        <f t="shared" si="7"/>
        <v>0.4675615213</v>
      </c>
      <c r="I1500" s="78" t="s">
        <v>1987</v>
      </c>
      <c r="J1500" s="78" t="s">
        <v>69</v>
      </c>
      <c r="K1500" s="58">
        <f t="shared" si="3"/>
        <v>0</v>
      </c>
      <c r="L1500" s="91" t="str">
        <f t="shared" si="8"/>
        <v>Fri</v>
      </c>
      <c r="M1500" s="78" t="str">
        <f>IFERROR(VLOOKUP(A1500, Entries!A:B,2,false),"")</f>
        <v>XREAL Games</v>
      </c>
      <c r="N1500" s="23" t="str">
        <f>IFERROR(VLOOKUP(A1500, Entries!A:K,11,false),"")</f>
        <v/>
      </c>
      <c r="O1500" s="23" t="b">
        <f>IFERROR(VLOOKUP(A1500, Entries!A:I,8,false),"")</f>
        <v>1</v>
      </c>
    </row>
    <row r="1501">
      <c r="A1501" s="78" t="s">
        <v>1917</v>
      </c>
      <c r="B1501" s="78" t="s">
        <v>19</v>
      </c>
      <c r="C1501" s="85">
        <v>44596.0</v>
      </c>
      <c r="D1501" s="85">
        <v>44605.0</v>
      </c>
      <c r="E1501" s="86">
        <v>1.0</v>
      </c>
      <c r="F1501" s="87">
        <v>1.76</v>
      </c>
      <c r="G1501" s="88">
        <f t="shared" si="1"/>
        <v>0.76</v>
      </c>
      <c r="H1501" s="89">
        <f t="shared" si="7"/>
        <v>0.4318181818</v>
      </c>
      <c r="I1501" s="78" t="s">
        <v>1988</v>
      </c>
      <c r="J1501" s="78" t="s">
        <v>69</v>
      </c>
      <c r="K1501" s="58">
        <f t="shared" si="3"/>
        <v>9</v>
      </c>
      <c r="L1501" s="91" t="str">
        <f t="shared" si="8"/>
        <v>Sun</v>
      </c>
      <c r="M1501" s="78" t="str">
        <f>IFERROR(VLOOKUP(A1501, Entries!A:B,2,false),"")</f>
        <v>Survios</v>
      </c>
      <c r="N1501" s="23" t="str">
        <f>IFERROR(VLOOKUP(A1501, Entries!A:K,11,false),"")</f>
        <v/>
      </c>
      <c r="O1501" s="23" t="b">
        <f>IFERROR(VLOOKUP(A1501, Entries!A:I,8,false),"")</f>
        <v>1</v>
      </c>
    </row>
    <row r="1502">
      <c r="A1502" s="78" t="s">
        <v>1989</v>
      </c>
      <c r="B1502" s="78" t="s">
        <v>19</v>
      </c>
      <c r="C1502" s="85">
        <v>44596.0</v>
      </c>
      <c r="D1502" s="85">
        <v>44597.0</v>
      </c>
      <c r="E1502" s="86">
        <v>8.68</v>
      </c>
      <c r="F1502" s="87">
        <v>10.24</v>
      </c>
      <c r="G1502" s="88">
        <f t="shared" si="1"/>
        <v>1.56</v>
      </c>
      <c r="H1502" s="89">
        <f t="shared" si="7"/>
        <v>0.15234375</v>
      </c>
      <c r="I1502" s="78" t="s">
        <v>1990</v>
      </c>
      <c r="J1502" s="78" t="s">
        <v>69</v>
      </c>
      <c r="K1502" s="58">
        <f t="shared" si="3"/>
        <v>1</v>
      </c>
      <c r="L1502" s="91" t="str">
        <f t="shared" si="8"/>
        <v>Sat</v>
      </c>
      <c r="M1502" s="78" t="str">
        <f>IFERROR(VLOOKUP(A1502, Entries!A:B,2,false),"")</f>
        <v>Rebellion</v>
      </c>
      <c r="N1502" s="23" t="str">
        <f>IFERROR(VLOOKUP(A1502, Entries!A:K,11,false),"")</f>
        <v/>
      </c>
      <c r="O1502" s="23" t="b">
        <f>IFERROR(VLOOKUP(A1502, Entries!A:I,8,false),"")</f>
        <v>1</v>
      </c>
    </row>
    <row r="1503">
      <c r="A1503" s="78" t="s">
        <v>974</v>
      </c>
      <c r="B1503" s="78" t="s">
        <v>22</v>
      </c>
      <c r="C1503" s="85">
        <v>44596.0</v>
      </c>
      <c r="D1503" s="100">
        <v>44601.0</v>
      </c>
      <c r="E1503" s="86">
        <v>8.86</v>
      </c>
      <c r="F1503" s="87">
        <v>10.75</v>
      </c>
      <c r="G1503" s="88">
        <f t="shared" si="1"/>
        <v>1.89</v>
      </c>
      <c r="H1503" s="89">
        <f t="shared" si="7"/>
        <v>0.1758139535</v>
      </c>
      <c r="I1503" s="78" t="s">
        <v>1991</v>
      </c>
      <c r="J1503" s="78" t="s">
        <v>69</v>
      </c>
      <c r="K1503" s="58">
        <f t="shared" si="3"/>
        <v>5</v>
      </c>
      <c r="L1503" s="91" t="str">
        <f t="shared" si="8"/>
        <v>Wed</v>
      </c>
      <c r="M1503" s="78" t="str">
        <f>IFERROR(VLOOKUP(A1503, Entries!A:B,2,false),"")</f>
        <v>Anvil Game Studios</v>
      </c>
      <c r="N1503" s="23" t="str">
        <f>IFERROR(VLOOKUP(A1503, Entries!A:K,11,false),"")</f>
        <v/>
      </c>
      <c r="O1503" s="23" t="b">
        <f>IFERROR(VLOOKUP(A1503, Entries!A:I,8,false),"")</f>
        <v>1</v>
      </c>
    </row>
    <row r="1504">
      <c r="A1504" s="78" t="s">
        <v>974</v>
      </c>
      <c r="B1504" s="78" t="s">
        <v>22</v>
      </c>
      <c r="C1504" s="85">
        <v>44596.0</v>
      </c>
      <c r="D1504" s="85">
        <v>44606.0</v>
      </c>
      <c r="E1504" s="86">
        <v>8.87</v>
      </c>
      <c r="F1504" s="87">
        <v>10.65</v>
      </c>
      <c r="G1504" s="88">
        <f t="shared" si="1"/>
        <v>1.78</v>
      </c>
      <c r="H1504" s="89">
        <f t="shared" si="7"/>
        <v>0.1671361502</v>
      </c>
      <c r="I1504" s="78" t="s">
        <v>1992</v>
      </c>
      <c r="J1504" s="78" t="s">
        <v>69</v>
      </c>
      <c r="K1504" s="58">
        <f t="shared" si="3"/>
        <v>10</v>
      </c>
      <c r="L1504" s="91" t="str">
        <f t="shared" si="8"/>
        <v>Mon</v>
      </c>
      <c r="M1504" s="78" t="str">
        <f>IFERROR(VLOOKUP(A1504, Entries!A:B,2,false),"")</f>
        <v>Anvil Game Studios</v>
      </c>
      <c r="N1504" s="23" t="str">
        <f>IFERROR(VLOOKUP(A1504, Entries!A:K,11,false),"")</f>
        <v/>
      </c>
      <c r="O1504" s="23" t="b">
        <f>IFERROR(VLOOKUP(A1504, Entries!A:I,8,false),"")</f>
        <v>1</v>
      </c>
    </row>
    <row r="1505">
      <c r="A1505" s="78" t="s">
        <v>974</v>
      </c>
      <c r="B1505" s="78" t="s">
        <v>22</v>
      </c>
      <c r="C1505" s="85">
        <v>44596.0</v>
      </c>
      <c r="D1505" s="85">
        <v>44606.0</v>
      </c>
      <c r="E1505" s="86">
        <v>8.86</v>
      </c>
      <c r="F1505" s="87">
        <v>10.65</v>
      </c>
      <c r="G1505" s="88">
        <f t="shared" si="1"/>
        <v>1.79</v>
      </c>
      <c r="H1505" s="89">
        <f t="shared" si="7"/>
        <v>0.1680751174</v>
      </c>
      <c r="I1505" s="78" t="s">
        <v>1993</v>
      </c>
      <c r="J1505" s="78" t="s">
        <v>69</v>
      </c>
      <c r="K1505" s="58">
        <f t="shared" si="3"/>
        <v>10</v>
      </c>
      <c r="L1505" s="91" t="str">
        <f t="shared" si="8"/>
        <v>Mon</v>
      </c>
      <c r="M1505" s="78" t="str">
        <f>IFERROR(VLOOKUP(A1505, Entries!A:B,2,false),"")</f>
        <v>Anvil Game Studios</v>
      </c>
      <c r="N1505" s="23" t="str">
        <f>IFERROR(VLOOKUP(A1505, Entries!A:K,11,false),"")</f>
        <v/>
      </c>
      <c r="O1505" s="23" t="b">
        <f>IFERROR(VLOOKUP(A1505, Entries!A:I,8,false),"")</f>
        <v>1</v>
      </c>
    </row>
    <row r="1506">
      <c r="A1506" s="78" t="s">
        <v>974</v>
      </c>
      <c r="B1506" s="78" t="s">
        <v>22</v>
      </c>
      <c r="C1506" s="85">
        <v>44596.0</v>
      </c>
      <c r="D1506" s="85">
        <v>44606.0</v>
      </c>
      <c r="E1506" s="86">
        <v>8.87</v>
      </c>
      <c r="F1506" s="87">
        <v>10.64</v>
      </c>
      <c r="G1506" s="88">
        <f t="shared" si="1"/>
        <v>1.77</v>
      </c>
      <c r="H1506" s="89">
        <f t="shared" si="7"/>
        <v>0.1663533835</v>
      </c>
      <c r="I1506" s="78" t="s">
        <v>1994</v>
      </c>
      <c r="J1506" s="78" t="s">
        <v>69</v>
      </c>
      <c r="K1506" s="58">
        <f t="shared" si="3"/>
        <v>10</v>
      </c>
      <c r="L1506" s="91" t="str">
        <f t="shared" si="8"/>
        <v>Mon</v>
      </c>
      <c r="M1506" s="78" t="str">
        <f>IFERROR(VLOOKUP(A1506, Entries!A:B,2,false),"")</f>
        <v>Anvil Game Studios</v>
      </c>
      <c r="N1506" s="23" t="str">
        <f>IFERROR(VLOOKUP(A1506, Entries!A:K,11,false),"")</f>
        <v/>
      </c>
      <c r="O1506" s="23" t="b">
        <f>IFERROR(VLOOKUP(A1506, Entries!A:I,8,false),"")</f>
        <v>1</v>
      </c>
    </row>
    <row r="1507">
      <c r="A1507" s="78" t="s">
        <v>1995</v>
      </c>
      <c r="B1507" s="78" t="s">
        <v>19</v>
      </c>
      <c r="C1507" s="85">
        <v>44597.0</v>
      </c>
      <c r="D1507" s="85">
        <v>44682.0</v>
      </c>
      <c r="E1507" s="86">
        <v>10.03</v>
      </c>
      <c r="F1507" s="87">
        <v>12.5</v>
      </c>
      <c r="G1507" s="88">
        <f t="shared" si="1"/>
        <v>2.47</v>
      </c>
      <c r="H1507" s="89">
        <f t="shared" si="7"/>
        <v>0.1976</v>
      </c>
      <c r="I1507" s="78" t="s">
        <v>1996</v>
      </c>
      <c r="J1507" s="78" t="s">
        <v>69</v>
      </c>
      <c r="K1507" s="58">
        <f t="shared" si="3"/>
        <v>85</v>
      </c>
      <c r="L1507" s="91" t="str">
        <f t="shared" si="8"/>
        <v>Sun</v>
      </c>
      <c r="M1507" s="78" t="str">
        <f>IFERROR(VLOOKUP(A1507, Entries!A:B,2,false),"")</f>
        <v>Devolver Digital</v>
      </c>
      <c r="N1507" s="23" t="str">
        <f>IFERROR(VLOOKUP(A1507, Entries!A:K,11,false),"")</f>
        <v/>
      </c>
      <c r="O1507" s="23" t="b">
        <f>IFERROR(VLOOKUP(A1507, Entries!A:I,8,false),"")</f>
        <v>0</v>
      </c>
    </row>
    <row r="1508">
      <c r="A1508" s="78" t="s">
        <v>1909</v>
      </c>
      <c r="B1508" s="78" t="s">
        <v>19</v>
      </c>
      <c r="C1508" s="85">
        <v>44597.0</v>
      </c>
      <c r="D1508" s="85">
        <v>44598.0</v>
      </c>
      <c r="E1508" s="86">
        <v>1.0</v>
      </c>
      <c r="F1508" s="87">
        <v>1.74</v>
      </c>
      <c r="G1508" s="88">
        <f t="shared" si="1"/>
        <v>0.74</v>
      </c>
      <c r="H1508" s="89">
        <f t="shared" si="7"/>
        <v>0.4252873563</v>
      </c>
      <c r="I1508" s="78" t="s">
        <v>1997</v>
      </c>
      <c r="J1508" s="78" t="s">
        <v>69</v>
      </c>
      <c r="K1508" s="58">
        <f t="shared" si="3"/>
        <v>1</v>
      </c>
      <c r="L1508" s="91" t="str">
        <f t="shared" si="8"/>
        <v>Sun</v>
      </c>
      <c r="M1508" s="78" t="str">
        <f>IFERROR(VLOOKUP(A1508, Entries!A:B,2,false),"")</f>
        <v>PlayWay</v>
      </c>
      <c r="N1508" s="23" t="str">
        <f>IFERROR(VLOOKUP(A1508, Entries!A:K,11,false),"")</f>
        <v/>
      </c>
      <c r="O1508" s="23" t="b">
        <f>IFERROR(VLOOKUP(A1508, Entries!A:I,8,false),"")</f>
        <v>1</v>
      </c>
    </row>
    <row r="1509">
      <c r="A1509" s="78" t="s">
        <v>1917</v>
      </c>
      <c r="B1509" s="78" t="s">
        <v>19</v>
      </c>
      <c r="C1509" s="85">
        <v>44597.0</v>
      </c>
      <c r="D1509" s="85">
        <v>44605.0</v>
      </c>
      <c r="E1509" s="86">
        <v>1.0</v>
      </c>
      <c r="F1509" s="87">
        <v>1.76</v>
      </c>
      <c r="G1509" s="88">
        <f t="shared" si="1"/>
        <v>0.76</v>
      </c>
      <c r="H1509" s="89">
        <f t="shared" si="7"/>
        <v>0.4318181818</v>
      </c>
      <c r="I1509" s="78" t="s">
        <v>1998</v>
      </c>
      <c r="J1509" s="78" t="s">
        <v>69</v>
      </c>
      <c r="K1509" s="58">
        <f t="shared" si="3"/>
        <v>8</v>
      </c>
      <c r="L1509" s="91" t="str">
        <f t="shared" si="8"/>
        <v>Sun</v>
      </c>
      <c r="M1509" s="78" t="str">
        <f>IFERROR(VLOOKUP(A1509, Entries!A:B,2,false),"")</f>
        <v>Survios</v>
      </c>
      <c r="N1509" s="23" t="str">
        <f>IFERROR(VLOOKUP(A1509, Entries!A:K,11,false),"")</f>
        <v/>
      </c>
      <c r="O1509" s="23" t="b">
        <f>IFERROR(VLOOKUP(A1509, Entries!A:I,8,false),"")</f>
        <v>1</v>
      </c>
    </row>
    <row r="1510">
      <c r="A1510" s="78" t="s">
        <v>1913</v>
      </c>
      <c r="B1510" s="78" t="s">
        <v>19</v>
      </c>
      <c r="C1510" s="85">
        <v>44597.0</v>
      </c>
      <c r="D1510" s="85">
        <v>44601.0</v>
      </c>
      <c r="E1510" s="86">
        <v>2.1</v>
      </c>
      <c r="F1510" s="87">
        <v>4.15</v>
      </c>
      <c r="G1510" s="88">
        <f t="shared" si="1"/>
        <v>2.05</v>
      </c>
      <c r="H1510" s="89">
        <f t="shared" si="7"/>
        <v>0.4939759036</v>
      </c>
      <c r="I1510" s="78" t="s">
        <v>1999</v>
      </c>
      <c r="J1510" s="78" t="s">
        <v>69</v>
      </c>
      <c r="K1510" s="58">
        <f t="shared" si="3"/>
        <v>4</v>
      </c>
      <c r="L1510" s="91" t="str">
        <f t="shared" si="8"/>
        <v>Wed</v>
      </c>
      <c r="M1510" s="78" t="str">
        <f>IFERROR(VLOOKUP(A1510, Entries!A:B,2,false),"")</f>
        <v>XREAL Games</v>
      </c>
      <c r="N1510" s="23" t="str">
        <f>IFERROR(VLOOKUP(A1510, Entries!A:K,11,false),"")</f>
        <v/>
      </c>
      <c r="O1510" s="23" t="b">
        <f>IFERROR(VLOOKUP(A1510, Entries!A:I,8,false),"")</f>
        <v>1</v>
      </c>
    </row>
    <row r="1511">
      <c r="A1511" s="78" t="s">
        <v>166</v>
      </c>
      <c r="B1511" s="78" t="s">
        <v>18</v>
      </c>
      <c r="C1511" s="85">
        <v>44597.0</v>
      </c>
      <c r="D1511" s="85">
        <v>44622.0</v>
      </c>
      <c r="E1511" s="86">
        <v>0.57</v>
      </c>
      <c r="F1511" s="87">
        <v>0.94</v>
      </c>
      <c r="G1511" s="88">
        <f t="shared" si="1"/>
        <v>0.37</v>
      </c>
      <c r="H1511" s="89">
        <f t="shared" si="7"/>
        <v>0.3936170213</v>
      </c>
      <c r="I1511" s="78" t="s">
        <v>2000</v>
      </c>
      <c r="J1511" s="78" t="s">
        <v>69</v>
      </c>
      <c r="K1511" s="58">
        <f t="shared" si="3"/>
        <v>25</v>
      </c>
      <c r="L1511" s="91" t="str">
        <f t="shared" si="8"/>
        <v>Wed</v>
      </c>
      <c r="M1511" s="78" t="str">
        <f>IFERROR(VLOOKUP(A1511, Entries!A:B,2,false),"")</f>
        <v>Revival Productions</v>
      </c>
      <c r="N1511" s="23" t="str">
        <f>IFERROR(VLOOKUP(A1511, Entries!A:K,11,false),"")</f>
        <v/>
      </c>
      <c r="O1511" s="23" t="b">
        <f>IFERROR(VLOOKUP(A1511, Entries!A:I,8,false),"")</f>
        <v>0</v>
      </c>
    </row>
    <row r="1512">
      <c r="A1512" s="78" t="s">
        <v>166</v>
      </c>
      <c r="B1512" s="78" t="s">
        <v>18</v>
      </c>
      <c r="C1512" s="85">
        <v>44597.0</v>
      </c>
      <c r="D1512" s="85">
        <v>44713.0</v>
      </c>
      <c r="E1512" s="86">
        <v>0.57</v>
      </c>
      <c r="F1512" s="87">
        <v>0.64</v>
      </c>
      <c r="G1512" s="88">
        <f t="shared" si="1"/>
        <v>0.07</v>
      </c>
      <c r="H1512" s="89">
        <f t="shared" si="7"/>
        <v>0.109375</v>
      </c>
      <c r="I1512" s="78" t="s">
        <v>2001</v>
      </c>
      <c r="J1512" s="78" t="s">
        <v>69</v>
      </c>
      <c r="K1512" s="58">
        <f t="shared" si="3"/>
        <v>116</v>
      </c>
      <c r="L1512" s="91" t="str">
        <f t="shared" si="8"/>
        <v>Wed</v>
      </c>
      <c r="M1512" s="78" t="str">
        <f>IFERROR(VLOOKUP(A1512, Entries!A:B,2,false),"")</f>
        <v>Revival Productions</v>
      </c>
      <c r="N1512" s="23" t="str">
        <f>IFERROR(VLOOKUP(A1512, Entries!A:K,11,false),"")</f>
        <v/>
      </c>
      <c r="O1512" s="23" t="b">
        <f>IFERROR(VLOOKUP(A1512, Entries!A:I,8,false),"")</f>
        <v>0</v>
      </c>
    </row>
    <row r="1513">
      <c r="A1513" s="78" t="s">
        <v>166</v>
      </c>
      <c r="B1513" s="78" t="s">
        <v>18</v>
      </c>
      <c r="C1513" s="85">
        <v>44597.0</v>
      </c>
      <c r="D1513" s="85">
        <v>44713.0</v>
      </c>
      <c r="E1513" s="86">
        <v>0.57</v>
      </c>
      <c r="F1513" s="87">
        <v>0.64</v>
      </c>
      <c r="G1513" s="88">
        <f t="shared" si="1"/>
        <v>0.07</v>
      </c>
      <c r="H1513" s="89">
        <f t="shared" si="7"/>
        <v>0.109375</v>
      </c>
      <c r="I1513" s="78" t="s">
        <v>2002</v>
      </c>
      <c r="J1513" s="78" t="s">
        <v>69</v>
      </c>
      <c r="K1513" s="58">
        <f t="shared" si="3"/>
        <v>116</v>
      </c>
      <c r="L1513" s="91" t="str">
        <f t="shared" si="8"/>
        <v>Wed</v>
      </c>
      <c r="M1513" s="78" t="str">
        <f>IFERROR(VLOOKUP(A1513, Entries!A:B,2,false),"")</f>
        <v>Revival Productions</v>
      </c>
      <c r="N1513" s="23" t="str">
        <f>IFERROR(VLOOKUP(A1513, Entries!A:K,11,false),"")</f>
        <v/>
      </c>
      <c r="O1513" s="23" t="b">
        <f>IFERROR(VLOOKUP(A1513, Entries!A:I,8,false),"")</f>
        <v>0</v>
      </c>
    </row>
    <row r="1514">
      <c r="A1514" s="78" t="s">
        <v>166</v>
      </c>
      <c r="B1514" s="78" t="s">
        <v>18</v>
      </c>
      <c r="C1514" s="85">
        <v>44597.0</v>
      </c>
      <c r="D1514" s="85">
        <v>44714.0</v>
      </c>
      <c r="E1514" s="86">
        <v>0.58</v>
      </c>
      <c r="F1514" s="87">
        <v>0.64</v>
      </c>
      <c r="G1514" s="88">
        <f t="shared" si="1"/>
        <v>0.06</v>
      </c>
      <c r="H1514" s="89">
        <f t="shared" si="7"/>
        <v>0.09375</v>
      </c>
      <c r="I1514" s="78" t="s">
        <v>2003</v>
      </c>
      <c r="J1514" s="78" t="s">
        <v>69</v>
      </c>
      <c r="K1514" s="58">
        <f t="shared" si="3"/>
        <v>117</v>
      </c>
      <c r="L1514" s="91" t="str">
        <f t="shared" si="8"/>
        <v>Thu</v>
      </c>
      <c r="M1514" s="78" t="str">
        <f>IFERROR(VLOOKUP(A1514, Entries!A:B,2,false),"")</f>
        <v>Revival Productions</v>
      </c>
      <c r="N1514" s="23" t="str">
        <f>IFERROR(VLOOKUP(A1514, Entries!A:K,11,false),"")</f>
        <v/>
      </c>
      <c r="O1514" s="23" t="b">
        <f>IFERROR(VLOOKUP(A1514, Entries!A:I,8,false),"")</f>
        <v>0</v>
      </c>
    </row>
    <row r="1515">
      <c r="A1515" s="78" t="s">
        <v>166</v>
      </c>
      <c r="B1515" s="78" t="s">
        <v>18</v>
      </c>
      <c r="C1515" s="85">
        <v>44597.0</v>
      </c>
      <c r="D1515" s="85">
        <v>44715.0</v>
      </c>
      <c r="E1515" s="86">
        <v>0.58</v>
      </c>
      <c r="F1515" s="87">
        <v>0.66</v>
      </c>
      <c r="G1515" s="88">
        <f t="shared" si="1"/>
        <v>0.08</v>
      </c>
      <c r="H1515" s="89">
        <f t="shared" si="7"/>
        <v>0.1212121212</v>
      </c>
      <c r="I1515" s="78" t="s">
        <v>2004</v>
      </c>
      <c r="J1515" s="78" t="s">
        <v>69</v>
      </c>
      <c r="K1515" s="58">
        <f t="shared" si="3"/>
        <v>118</v>
      </c>
      <c r="L1515" s="91" t="str">
        <f t="shared" si="8"/>
        <v>Fri</v>
      </c>
      <c r="M1515" s="78" t="str">
        <f>IFERROR(VLOOKUP(A1515, Entries!A:B,2,false),"")</f>
        <v>Revival Productions</v>
      </c>
      <c r="N1515" s="23" t="str">
        <f>IFERROR(VLOOKUP(A1515, Entries!A:K,11,false),"")</f>
        <v/>
      </c>
      <c r="O1515" s="23" t="b">
        <f>IFERROR(VLOOKUP(A1515, Entries!A:I,8,false),"")</f>
        <v>0</v>
      </c>
    </row>
    <row r="1516">
      <c r="A1516" s="78" t="s">
        <v>166</v>
      </c>
      <c r="B1516" s="78" t="s">
        <v>18</v>
      </c>
      <c r="C1516" s="85">
        <v>44597.0</v>
      </c>
      <c r="D1516" s="85">
        <v>44717.0</v>
      </c>
      <c r="E1516" s="86">
        <v>0.58</v>
      </c>
      <c r="F1516" s="87">
        <v>0.69</v>
      </c>
      <c r="G1516" s="88">
        <f t="shared" si="1"/>
        <v>0.11</v>
      </c>
      <c r="H1516" s="89">
        <f t="shared" si="7"/>
        <v>0.1594202899</v>
      </c>
      <c r="I1516" s="78" t="s">
        <v>2005</v>
      </c>
      <c r="J1516" s="78" t="s">
        <v>69</v>
      </c>
      <c r="K1516" s="58">
        <f t="shared" si="3"/>
        <v>120</v>
      </c>
      <c r="L1516" s="91" t="str">
        <f t="shared" si="8"/>
        <v>Sun</v>
      </c>
      <c r="M1516" s="78" t="str">
        <f>IFERROR(VLOOKUP(A1516, Entries!A:B,2,false),"")</f>
        <v>Revival Productions</v>
      </c>
      <c r="N1516" s="23" t="str">
        <f>IFERROR(VLOOKUP(A1516, Entries!A:K,11,false),"")</f>
        <v/>
      </c>
      <c r="O1516" s="23" t="b">
        <f>IFERROR(VLOOKUP(A1516, Entries!A:I,8,false),"")</f>
        <v>0</v>
      </c>
    </row>
    <row r="1517">
      <c r="A1517" s="78" t="s">
        <v>1989</v>
      </c>
      <c r="B1517" s="78" t="s">
        <v>19</v>
      </c>
      <c r="C1517" s="85">
        <v>44597.0</v>
      </c>
      <c r="D1517" s="85">
        <v>44606.0</v>
      </c>
      <c r="E1517" s="86">
        <v>8.51</v>
      </c>
      <c r="F1517" s="87">
        <v>10.02</v>
      </c>
      <c r="G1517" s="88">
        <f t="shared" si="1"/>
        <v>1.51</v>
      </c>
      <c r="H1517" s="89">
        <f t="shared" si="7"/>
        <v>0.1506986028</v>
      </c>
      <c r="I1517" s="78" t="s">
        <v>2006</v>
      </c>
      <c r="J1517" s="78" t="s">
        <v>69</v>
      </c>
      <c r="K1517" s="58">
        <f t="shared" si="3"/>
        <v>9</v>
      </c>
      <c r="L1517" s="91" t="str">
        <f t="shared" si="8"/>
        <v>Mon</v>
      </c>
      <c r="M1517" s="78" t="str">
        <f>IFERROR(VLOOKUP(A1517, Entries!A:B,2,false),"")</f>
        <v>Rebellion</v>
      </c>
      <c r="N1517" s="23" t="str">
        <f>IFERROR(VLOOKUP(A1517, Entries!A:K,11,false),"")</f>
        <v/>
      </c>
      <c r="O1517" s="23" t="b">
        <f>IFERROR(VLOOKUP(A1517, Entries!A:I,8,false),"")</f>
        <v>1</v>
      </c>
    </row>
    <row r="1518">
      <c r="A1518" s="78" t="s">
        <v>1453</v>
      </c>
      <c r="B1518" s="78" t="s">
        <v>19</v>
      </c>
      <c r="C1518" s="85">
        <v>44597.0</v>
      </c>
      <c r="D1518" s="85">
        <v>44845.0</v>
      </c>
      <c r="E1518" s="86">
        <v>0.0</v>
      </c>
      <c r="F1518" s="87">
        <v>0.06</v>
      </c>
      <c r="G1518" s="88">
        <f t="shared" si="1"/>
        <v>0.06</v>
      </c>
      <c r="H1518" s="89">
        <f t="shared" si="7"/>
        <v>1</v>
      </c>
      <c r="I1518" s="78" t="s">
        <v>2007</v>
      </c>
      <c r="J1518" s="78" t="s">
        <v>69</v>
      </c>
      <c r="K1518" s="58">
        <f t="shared" si="3"/>
        <v>248</v>
      </c>
      <c r="L1518" s="91" t="str">
        <f t="shared" si="8"/>
        <v>Tue</v>
      </c>
      <c r="M1518" s="78" t="str">
        <f>IFERROR(VLOOKUP(A1518, Entries!A:B,2,false),"")</f>
        <v>Team17 Digital</v>
      </c>
      <c r="N1518" s="23" t="str">
        <f>IFERROR(VLOOKUP(A1518, Entries!A:K,11,false),"")</f>
        <v/>
      </c>
      <c r="O1518" s="23" t="b">
        <f>IFERROR(VLOOKUP(A1518, Entries!A:I,8,false),"")</f>
        <v>0</v>
      </c>
    </row>
    <row r="1519">
      <c r="A1519" s="78" t="s">
        <v>1909</v>
      </c>
      <c r="B1519" s="78" t="s">
        <v>19</v>
      </c>
      <c r="C1519" s="85">
        <v>44597.0</v>
      </c>
      <c r="D1519" s="85">
        <v>44598.0</v>
      </c>
      <c r="E1519" s="86">
        <v>1.0</v>
      </c>
      <c r="F1519" s="87">
        <v>1.77</v>
      </c>
      <c r="G1519" s="88">
        <f t="shared" si="1"/>
        <v>0.77</v>
      </c>
      <c r="H1519" s="89">
        <f t="shared" si="7"/>
        <v>0.4350282486</v>
      </c>
      <c r="I1519" s="78" t="s">
        <v>2008</v>
      </c>
      <c r="J1519" s="78" t="s">
        <v>69</v>
      </c>
      <c r="K1519" s="58">
        <f t="shared" si="3"/>
        <v>1</v>
      </c>
      <c r="L1519" s="91" t="str">
        <f t="shared" si="8"/>
        <v>Sun</v>
      </c>
      <c r="M1519" s="78" t="str">
        <f>IFERROR(VLOOKUP(A1519, Entries!A:B,2,false),"")</f>
        <v>PlayWay</v>
      </c>
      <c r="N1519" s="23" t="str">
        <f>IFERROR(VLOOKUP(A1519, Entries!A:K,11,false),"")</f>
        <v/>
      </c>
      <c r="O1519" s="23" t="b">
        <f>IFERROR(VLOOKUP(A1519, Entries!A:I,8,false),"")</f>
        <v>1</v>
      </c>
    </row>
    <row r="1520">
      <c r="A1520" s="78" t="s">
        <v>1917</v>
      </c>
      <c r="B1520" s="78" t="s">
        <v>19</v>
      </c>
      <c r="C1520" s="85">
        <v>44597.0</v>
      </c>
      <c r="D1520" s="85">
        <v>44628.0</v>
      </c>
      <c r="E1520" s="86">
        <v>1.0</v>
      </c>
      <c r="F1520" s="87">
        <v>1.47</v>
      </c>
      <c r="G1520" s="88">
        <f t="shared" si="1"/>
        <v>0.47</v>
      </c>
      <c r="H1520" s="89">
        <f t="shared" si="7"/>
        <v>0.3197278912</v>
      </c>
      <c r="I1520" s="78" t="s">
        <v>2009</v>
      </c>
      <c r="J1520" s="78" t="s">
        <v>69</v>
      </c>
      <c r="K1520" s="58">
        <f t="shared" si="3"/>
        <v>31</v>
      </c>
      <c r="L1520" s="91" t="str">
        <f t="shared" si="8"/>
        <v>Tue</v>
      </c>
      <c r="M1520" s="78" t="str">
        <f>IFERROR(VLOOKUP(A1520, Entries!A:B,2,false),"")</f>
        <v>Survios</v>
      </c>
      <c r="N1520" s="23" t="str">
        <f>IFERROR(VLOOKUP(A1520, Entries!A:K,11,false),"")</f>
        <v/>
      </c>
      <c r="O1520" s="23" t="b">
        <f>IFERROR(VLOOKUP(A1520, Entries!A:I,8,false),"")</f>
        <v>1</v>
      </c>
    </row>
    <row r="1521">
      <c r="A1521" s="78" t="s">
        <v>1913</v>
      </c>
      <c r="B1521" s="78" t="s">
        <v>19</v>
      </c>
      <c r="C1521" s="85">
        <v>44597.0</v>
      </c>
      <c r="D1521" s="85">
        <v>44604.0</v>
      </c>
      <c r="E1521" s="86">
        <v>2.4</v>
      </c>
      <c r="F1521" s="87">
        <v>3.99</v>
      </c>
      <c r="G1521" s="88">
        <f t="shared" si="1"/>
        <v>1.59</v>
      </c>
      <c r="H1521" s="89">
        <f t="shared" si="7"/>
        <v>0.3984962406</v>
      </c>
      <c r="I1521" s="78" t="s">
        <v>2010</v>
      </c>
      <c r="J1521" s="78" t="s">
        <v>69</v>
      </c>
      <c r="K1521" s="58">
        <f t="shared" si="3"/>
        <v>7</v>
      </c>
      <c r="L1521" s="91" t="str">
        <f t="shared" si="8"/>
        <v>Sat</v>
      </c>
      <c r="M1521" s="78" t="str">
        <f>IFERROR(VLOOKUP(A1521, Entries!A:B,2,false),"")</f>
        <v>XREAL Games</v>
      </c>
      <c r="N1521" s="23" t="str">
        <f>IFERROR(VLOOKUP(A1521, Entries!A:K,11,false),"")</f>
        <v/>
      </c>
      <c r="O1521" s="23" t="b">
        <f>IFERROR(VLOOKUP(A1521, Entries!A:I,8,false),"")</f>
        <v>1</v>
      </c>
    </row>
    <row r="1522">
      <c r="A1522" s="78" t="s">
        <v>1609</v>
      </c>
      <c r="B1522" s="78" t="s">
        <v>19</v>
      </c>
      <c r="C1522" s="85">
        <v>44598.0</v>
      </c>
      <c r="D1522" s="85">
        <v>44600.0</v>
      </c>
      <c r="E1522" s="86">
        <v>13.0</v>
      </c>
      <c r="F1522" s="87">
        <v>15.26</v>
      </c>
      <c r="G1522" s="88">
        <f t="shared" si="1"/>
        <v>2.26</v>
      </c>
      <c r="H1522" s="89">
        <f t="shared" si="7"/>
        <v>0.1480996068</v>
      </c>
      <c r="I1522" s="78" t="s">
        <v>2011</v>
      </c>
      <c r="J1522" s="78" t="s">
        <v>69</v>
      </c>
      <c r="K1522" s="58">
        <f t="shared" si="3"/>
        <v>2</v>
      </c>
      <c r="L1522" s="91" t="str">
        <f t="shared" si="8"/>
        <v>Tue</v>
      </c>
      <c r="M1522" s="78" t="str">
        <f>IFERROR(VLOOKUP(A1522, Entries!A:B,2,false),"")</f>
        <v>Dear Villagers</v>
      </c>
      <c r="N1522" s="23" t="str">
        <f>IFERROR(VLOOKUP(A1522, Entries!A:K,11,false),"")</f>
        <v/>
      </c>
      <c r="O1522" s="23" t="b">
        <f>IFERROR(VLOOKUP(A1522, Entries!A:I,8,false),"")</f>
        <v>0</v>
      </c>
    </row>
    <row r="1523">
      <c r="A1523" s="78" t="s">
        <v>127</v>
      </c>
      <c r="B1523" s="78" t="s">
        <v>19</v>
      </c>
      <c r="C1523" s="85">
        <v>44598.0</v>
      </c>
      <c r="D1523" s="85">
        <v>44599.0</v>
      </c>
      <c r="E1523" s="86">
        <v>0.0</v>
      </c>
      <c r="F1523" s="87">
        <v>0.17</v>
      </c>
      <c r="G1523" s="88">
        <f t="shared" si="1"/>
        <v>0.17</v>
      </c>
      <c r="H1523" s="89">
        <f t="shared" si="7"/>
        <v>1</v>
      </c>
      <c r="I1523" s="78" t="s">
        <v>2012</v>
      </c>
      <c r="J1523" s="78" t="s">
        <v>69</v>
      </c>
      <c r="K1523" s="58">
        <f t="shared" si="3"/>
        <v>1</v>
      </c>
      <c r="L1523" s="91" t="str">
        <f t="shared" si="8"/>
        <v>Mon</v>
      </c>
      <c r="M1523" s="78" t="str">
        <f>IFERROR(VLOOKUP(A1523, Entries!A:B,2,false),"")</f>
        <v>Event Horizon</v>
      </c>
      <c r="N1523" s="23" t="str">
        <f>IFERROR(VLOOKUP(A1523, Entries!A:K,11,false),"")</f>
        <v/>
      </c>
      <c r="O1523" s="23" t="b">
        <f>IFERROR(VLOOKUP(A1523, Entries!A:I,8,false),"")</f>
        <v>0</v>
      </c>
    </row>
    <row r="1524">
      <c r="A1524" s="78" t="s">
        <v>2013</v>
      </c>
      <c r="B1524" s="78" t="s">
        <v>19</v>
      </c>
      <c r="C1524" s="85">
        <v>44598.0</v>
      </c>
      <c r="D1524" s="85">
        <v>44600.0</v>
      </c>
      <c r="E1524" s="86">
        <v>7.29</v>
      </c>
      <c r="F1524" s="87">
        <v>8.21</v>
      </c>
      <c r="G1524" s="88">
        <f t="shared" si="1"/>
        <v>0.92</v>
      </c>
      <c r="H1524" s="89">
        <f t="shared" si="7"/>
        <v>0.1120584653</v>
      </c>
      <c r="I1524" s="78" t="s">
        <v>2014</v>
      </c>
      <c r="J1524" s="78" t="s">
        <v>69</v>
      </c>
      <c r="K1524" s="58">
        <f t="shared" si="3"/>
        <v>2</v>
      </c>
      <c r="L1524" s="91" t="str">
        <f t="shared" si="8"/>
        <v>Tue</v>
      </c>
      <c r="M1524" s="78" t="str">
        <f>IFERROR(VLOOKUP(A1524, Entries!A:B,2,false),"")</f>
        <v>2K</v>
      </c>
      <c r="N1524" s="23" t="str">
        <f>IFERROR(VLOOKUP(A1524, Entries!A:K,11,false),"")</f>
        <v/>
      </c>
      <c r="O1524" s="23" t="b">
        <f>IFERROR(VLOOKUP(A1524, Entries!A:I,8,false),"")</f>
        <v>0</v>
      </c>
    </row>
    <row r="1525">
      <c r="A1525" s="78" t="s">
        <v>1984</v>
      </c>
      <c r="B1525" s="78" t="s">
        <v>27</v>
      </c>
      <c r="C1525" s="85">
        <v>44599.0</v>
      </c>
      <c r="D1525" s="85">
        <v>44604.0</v>
      </c>
      <c r="E1525" s="86">
        <v>6.39</v>
      </c>
      <c r="F1525" s="87">
        <v>11.85</v>
      </c>
      <c r="G1525" s="88">
        <f t="shared" si="1"/>
        <v>5.46</v>
      </c>
      <c r="H1525" s="89">
        <f t="shared" si="7"/>
        <v>0.4607594937</v>
      </c>
      <c r="I1525" s="78" t="s">
        <v>2015</v>
      </c>
      <c r="J1525" s="78" t="s">
        <v>69</v>
      </c>
      <c r="K1525" s="58">
        <f t="shared" si="3"/>
        <v>5</v>
      </c>
      <c r="L1525" s="91" t="str">
        <f t="shared" si="8"/>
        <v>Sat</v>
      </c>
      <c r="M1525" s="78" t="str">
        <f>IFERROR(VLOOKUP(A1525, Entries!A:B,2,false),"")</f>
        <v>Offworld Industries</v>
      </c>
      <c r="N1525" s="23" t="str">
        <f>IFERROR(VLOOKUP(A1525, Entries!A:K,11,false),"")</f>
        <v/>
      </c>
      <c r="O1525" s="23" t="b">
        <f>IFERROR(VLOOKUP(A1525, Entries!A:I,8,false),"")</f>
        <v>1</v>
      </c>
    </row>
    <row r="1526">
      <c r="A1526" s="78" t="s">
        <v>2016</v>
      </c>
      <c r="B1526" s="78" t="s">
        <v>30</v>
      </c>
      <c r="C1526" s="85">
        <v>44599.0</v>
      </c>
      <c r="D1526" s="85">
        <v>44602.0</v>
      </c>
      <c r="E1526" s="86">
        <v>3.69</v>
      </c>
      <c r="F1526" s="87">
        <v>4.7</v>
      </c>
      <c r="G1526" s="88">
        <f t="shared" si="1"/>
        <v>1.01</v>
      </c>
      <c r="H1526" s="89">
        <f t="shared" si="7"/>
        <v>0.214893617</v>
      </c>
      <c r="I1526" s="78" t="s">
        <v>2017</v>
      </c>
      <c r="J1526" s="78" t="s">
        <v>69</v>
      </c>
      <c r="K1526" s="58">
        <f t="shared" si="3"/>
        <v>3</v>
      </c>
      <c r="L1526" s="91" t="str">
        <f t="shared" si="8"/>
        <v>Thu</v>
      </c>
      <c r="M1526" s="78" t="str">
        <f>IFERROR(VLOOKUP(A1526, Entries!A:B,2,false),"")</f>
        <v>Ironhide Game Studio</v>
      </c>
      <c r="N1526" s="23" t="str">
        <f>IFERROR(VLOOKUP(A1526, Entries!A:K,11,false),"")</f>
        <v/>
      </c>
      <c r="O1526" s="23" t="b">
        <f>IFERROR(VLOOKUP(A1526, Entries!A:I,8,false),"")</f>
        <v>1</v>
      </c>
    </row>
    <row r="1527">
      <c r="A1527" s="78" t="s">
        <v>2018</v>
      </c>
      <c r="B1527" s="78" t="s">
        <v>25</v>
      </c>
      <c r="C1527" s="85">
        <v>44600.0</v>
      </c>
      <c r="D1527" s="85">
        <v>44629.0</v>
      </c>
      <c r="E1527" s="86">
        <v>13.7</v>
      </c>
      <c r="F1527" s="87">
        <v>16.58</v>
      </c>
      <c r="G1527" s="88">
        <f t="shared" si="1"/>
        <v>2.88</v>
      </c>
      <c r="H1527" s="89">
        <f t="shared" si="7"/>
        <v>0.1737032569</v>
      </c>
      <c r="I1527" s="78" t="s">
        <v>2019</v>
      </c>
      <c r="J1527" s="78" t="s">
        <v>69</v>
      </c>
      <c r="K1527" s="58">
        <f t="shared" si="3"/>
        <v>29</v>
      </c>
      <c r="L1527" s="91" t="str">
        <f t="shared" si="8"/>
        <v>Wed</v>
      </c>
      <c r="M1527" s="78" t="str">
        <f>IFERROR(VLOOKUP(A1527, Entries!A:B,2,false),"")</f>
        <v>Sold Out</v>
      </c>
      <c r="N1527" s="23" t="str">
        <f>IFERROR(VLOOKUP(A1527, Entries!A:K,11,false),"")</f>
        <v/>
      </c>
      <c r="O1527" s="23" t="b">
        <f>IFERROR(VLOOKUP(A1527, Entries!A:I,8,false),"")</f>
        <v>0</v>
      </c>
    </row>
    <row r="1528">
      <c r="A1528" s="78" t="s">
        <v>1909</v>
      </c>
      <c r="B1528" s="78" t="s">
        <v>19</v>
      </c>
      <c r="C1528" s="85">
        <v>44601.0</v>
      </c>
      <c r="D1528" s="85">
        <v>44632.0</v>
      </c>
      <c r="E1528" s="86">
        <v>1.0</v>
      </c>
      <c r="F1528" s="87">
        <v>1.9</v>
      </c>
      <c r="G1528" s="88">
        <f t="shared" si="1"/>
        <v>0.9</v>
      </c>
      <c r="H1528" s="89">
        <f t="shared" si="7"/>
        <v>0.4736842105</v>
      </c>
      <c r="I1528" s="78" t="s">
        <v>2020</v>
      </c>
      <c r="J1528" s="78" t="s">
        <v>69</v>
      </c>
      <c r="K1528" s="58">
        <f t="shared" si="3"/>
        <v>31</v>
      </c>
      <c r="L1528" s="91" t="str">
        <f t="shared" si="8"/>
        <v>Sat</v>
      </c>
      <c r="M1528" s="78" t="str">
        <f>IFERROR(VLOOKUP(A1528, Entries!A:B,2,false),"")</f>
        <v>PlayWay</v>
      </c>
      <c r="N1528" s="23" t="str">
        <f>IFERROR(VLOOKUP(A1528, Entries!A:K,11,false),"")</f>
        <v/>
      </c>
      <c r="O1528" s="23" t="b">
        <f>IFERROR(VLOOKUP(A1528, Entries!A:I,8,false),"")</f>
        <v>1</v>
      </c>
    </row>
    <row r="1529">
      <c r="A1529" s="78" t="s">
        <v>1913</v>
      </c>
      <c r="B1529" s="78" t="s">
        <v>19</v>
      </c>
      <c r="C1529" s="85">
        <v>44602.0</v>
      </c>
      <c r="D1529" s="85">
        <v>44604.0</v>
      </c>
      <c r="E1529" s="86">
        <v>2.3</v>
      </c>
      <c r="F1529" s="87">
        <v>3.82</v>
      </c>
      <c r="G1529" s="88">
        <f t="shared" si="1"/>
        <v>1.52</v>
      </c>
      <c r="H1529" s="89">
        <f t="shared" si="7"/>
        <v>0.3979057592</v>
      </c>
      <c r="I1529" s="78" t="s">
        <v>2021</v>
      </c>
      <c r="J1529" s="78" t="s">
        <v>69</v>
      </c>
      <c r="K1529" s="58">
        <f t="shared" si="3"/>
        <v>2</v>
      </c>
      <c r="L1529" s="91" t="str">
        <f t="shared" si="8"/>
        <v>Sat</v>
      </c>
      <c r="M1529" s="78" t="str">
        <f>IFERROR(VLOOKUP(A1529, Entries!A:B,2,false),"")</f>
        <v>XREAL Games</v>
      </c>
      <c r="N1529" s="23" t="str">
        <f>IFERROR(VLOOKUP(A1529, Entries!A:K,11,false),"")</f>
        <v/>
      </c>
      <c r="O1529" s="23" t="b">
        <f>IFERROR(VLOOKUP(A1529, Entries!A:I,8,false),"")</f>
        <v>1</v>
      </c>
    </row>
    <row r="1530">
      <c r="A1530" s="78" t="s">
        <v>1917</v>
      </c>
      <c r="B1530" s="78" t="s">
        <v>19</v>
      </c>
      <c r="C1530" s="85">
        <v>44602.0</v>
      </c>
      <c r="D1530" s="85">
        <v>44629.0</v>
      </c>
      <c r="E1530" s="86">
        <v>1.0</v>
      </c>
      <c r="F1530" s="87">
        <v>1.47</v>
      </c>
      <c r="G1530" s="88">
        <f t="shared" si="1"/>
        <v>0.47</v>
      </c>
      <c r="H1530" s="89">
        <f t="shared" si="7"/>
        <v>0.3197278912</v>
      </c>
      <c r="I1530" s="78" t="s">
        <v>2022</v>
      </c>
      <c r="J1530" s="78" t="s">
        <v>69</v>
      </c>
      <c r="K1530" s="58">
        <f t="shared" si="3"/>
        <v>27</v>
      </c>
      <c r="L1530" s="91" t="str">
        <f t="shared" si="8"/>
        <v>Wed</v>
      </c>
      <c r="M1530" s="78" t="str">
        <f>IFERROR(VLOOKUP(A1530, Entries!A:B,2,false),"")</f>
        <v>Survios</v>
      </c>
      <c r="N1530" s="23" t="str">
        <f>IFERROR(VLOOKUP(A1530, Entries!A:K,11,false),"")</f>
        <v/>
      </c>
      <c r="O1530" s="23" t="b">
        <f>IFERROR(VLOOKUP(A1530, Entries!A:I,8,false),"")</f>
        <v>1</v>
      </c>
    </row>
    <row r="1531">
      <c r="A1531" s="78" t="s">
        <v>1911</v>
      </c>
      <c r="B1531" s="78" t="s">
        <v>19</v>
      </c>
      <c r="C1531" s="85">
        <v>44602.0</v>
      </c>
      <c r="D1531" s="85">
        <v>44814.0</v>
      </c>
      <c r="E1531" s="86">
        <v>1.0</v>
      </c>
      <c r="F1531" s="87">
        <v>1.56</v>
      </c>
      <c r="G1531" s="88">
        <f t="shared" si="1"/>
        <v>0.56</v>
      </c>
      <c r="H1531" s="89">
        <f t="shared" si="7"/>
        <v>0.358974359</v>
      </c>
      <c r="I1531" s="78" t="s">
        <v>2023</v>
      </c>
      <c r="J1531" s="78" t="s">
        <v>69</v>
      </c>
      <c r="K1531" s="58">
        <f t="shared" si="3"/>
        <v>212</v>
      </c>
      <c r="L1531" s="91" t="str">
        <f t="shared" si="8"/>
        <v>Sat</v>
      </c>
      <c r="M1531" s="78" t="str">
        <f>IFERROR(VLOOKUP(A1531, Entries!A:B,2,false),"")</f>
        <v>The Pixel Mine</v>
      </c>
      <c r="N1531" s="23" t="str">
        <f>IFERROR(VLOOKUP(A1531, Entries!A:K,11,false),"")</f>
        <v/>
      </c>
      <c r="O1531" s="23" t="b">
        <f>IFERROR(VLOOKUP(A1531, Entries!A:I,8,false),"")</f>
        <v>0</v>
      </c>
    </row>
    <row r="1532">
      <c r="A1532" s="78" t="s">
        <v>1966</v>
      </c>
      <c r="B1532" s="78" t="s">
        <v>19</v>
      </c>
      <c r="C1532" s="85">
        <v>44602.0</v>
      </c>
      <c r="D1532" s="85">
        <v>44675.0</v>
      </c>
      <c r="E1532" s="86">
        <v>1.0</v>
      </c>
      <c r="F1532" s="87">
        <v>2.29</v>
      </c>
      <c r="G1532" s="88">
        <f t="shared" si="1"/>
        <v>1.29</v>
      </c>
      <c r="H1532" s="89">
        <f t="shared" si="7"/>
        <v>0.5633187773</v>
      </c>
      <c r="I1532" s="78" t="s">
        <v>2024</v>
      </c>
      <c r="J1532" s="78" t="s">
        <v>69</v>
      </c>
      <c r="K1532" s="58">
        <f t="shared" si="3"/>
        <v>73</v>
      </c>
      <c r="L1532" s="91" t="str">
        <f t="shared" si="8"/>
        <v>Sun</v>
      </c>
      <c r="M1532" s="78" t="str">
        <f>IFERROR(VLOOKUP(A1532, Entries!A:B,2,false),"")</f>
        <v>Playstack</v>
      </c>
      <c r="N1532" s="23" t="str">
        <f>IFERROR(VLOOKUP(A1532, Entries!A:K,11,false),"")</f>
        <v/>
      </c>
      <c r="O1532" s="23" t="b">
        <f>IFERROR(VLOOKUP(A1532, Entries!A:I,8,false),"")</f>
        <v>0</v>
      </c>
    </row>
    <row r="1533">
      <c r="A1533" s="78" t="s">
        <v>2025</v>
      </c>
      <c r="B1533" s="78" t="s">
        <v>19</v>
      </c>
      <c r="C1533" s="85">
        <v>44602.0</v>
      </c>
      <c r="D1533" s="85">
        <v>45243.0</v>
      </c>
      <c r="E1533" s="86">
        <v>3.83</v>
      </c>
      <c r="F1533" s="87">
        <v>1.69</v>
      </c>
      <c r="G1533" s="88">
        <f t="shared" si="1"/>
        <v>-2.14</v>
      </c>
      <c r="H1533" s="89">
        <f t="shared" si="7"/>
        <v>-1.266272189</v>
      </c>
      <c r="I1533" s="78" t="s">
        <v>2026</v>
      </c>
      <c r="J1533" s="78" t="s">
        <v>69</v>
      </c>
      <c r="K1533" s="58">
        <f t="shared" si="3"/>
        <v>641</v>
      </c>
      <c r="L1533" s="91" t="str">
        <f t="shared" si="8"/>
        <v>Mon</v>
      </c>
      <c r="M1533" s="78" t="str">
        <f>IFERROR(VLOOKUP(A1533, Entries!A:B,2,false),"")</f>
        <v>Techland Publishing</v>
      </c>
      <c r="N1533" s="23" t="str">
        <f>IFERROR(VLOOKUP(A1533, Entries!A:K,11,false),"")</f>
        <v/>
      </c>
      <c r="O1533" s="23" t="b">
        <f>IFERROR(VLOOKUP(A1533, Entries!A:I,8,false),"")</f>
        <v>0</v>
      </c>
    </row>
    <row r="1534">
      <c r="A1534" s="78" t="s">
        <v>2027</v>
      </c>
      <c r="B1534" s="78" t="s">
        <v>27</v>
      </c>
      <c r="C1534" s="85">
        <v>44602.0</v>
      </c>
      <c r="D1534" s="85">
        <v>44605.0</v>
      </c>
      <c r="E1534" s="86">
        <v>17.99</v>
      </c>
      <c r="F1534" s="87">
        <v>18.82</v>
      </c>
      <c r="G1534" s="88">
        <f t="shared" si="1"/>
        <v>0.83</v>
      </c>
      <c r="H1534" s="89">
        <f t="shared" si="7"/>
        <v>0.04410201913</v>
      </c>
      <c r="I1534" s="78" t="s">
        <v>2028</v>
      </c>
      <c r="J1534" s="78" t="s">
        <v>69</v>
      </c>
      <c r="K1534" s="58">
        <f t="shared" si="3"/>
        <v>3</v>
      </c>
      <c r="L1534" s="91" t="str">
        <f t="shared" si="8"/>
        <v>Sun</v>
      </c>
      <c r="M1534" s="78" t="str">
        <f>IFERROR(VLOOKUP(A1534, Entries!A:B,2,false),"")</f>
        <v>Private Division</v>
      </c>
      <c r="N1534" s="23" t="str">
        <f>IFERROR(VLOOKUP(A1534, Entries!A:K,11,false),"")</f>
        <v/>
      </c>
      <c r="O1534" s="23" t="b">
        <f>IFERROR(VLOOKUP(A1534, Entries!A:I,8,false),"")</f>
        <v>0</v>
      </c>
    </row>
    <row r="1535">
      <c r="A1535" s="78" t="s">
        <v>2029</v>
      </c>
      <c r="B1535" s="78" t="s">
        <v>19</v>
      </c>
      <c r="C1535" s="85">
        <v>44602.0</v>
      </c>
      <c r="D1535" s="85">
        <v>44604.0</v>
      </c>
      <c r="E1535" s="86">
        <v>13.24</v>
      </c>
      <c r="F1535" s="87">
        <v>15.44</v>
      </c>
      <c r="G1535" s="88">
        <f t="shared" si="1"/>
        <v>2.2</v>
      </c>
      <c r="H1535" s="89">
        <f t="shared" si="7"/>
        <v>0.1424870466</v>
      </c>
      <c r="I1535" s="78" t="s">
        <v>2030</v>
      </c>
      <c r="J1535" s="78" t="s">
        <v>69</v>
      </c>
      <c r="K1535" s="58">
        <f t="shared" si="3"/>
        <v>2</v>
      </c>
      <c r="L1535" s="91" t="str">
        <f t="shared" si="8"/>
        <v>Sat</v>
      </c>
      <c r="M1535" s="78" t="str">
        <f>IFERROR(VLOOKUP(A1535, Entries!A:B,2,false),"")</f>
        <v>Playstack</v>
      </c>
      <c r="N1535" s="23" t="str">
        <f>IFERROR(VLOOKUP(A1535, Entries!A:K,11,false),"")</f>
        <v/>
      </c>
      <c r="O1535" s="23" t="b">
        <f>IFERROR(VLOOKUP(A1535, Entries!A:I,8,false),"")</f>
        <v>0</v>
      </c>
    </row>
    <row r="1536">
      <c r="A1536" s="78" t="s">
        <v>2031</v>
      </c>
      <c r="B1536" s="78" t="s">
        <v>23</v>
      </c>
      <c r="C1536" s="85">
        <v>44603.0</v>
      </c>
      <c r="D1536" s="85">
        <v>44606.0</v>
      </c>
      <c r="E1536" s="86">
        <v>15.99</v>
      </c>
      <c r="F1536" s="87">
        <v>19.59</v>
      </c>
      <c r="G1536" s="88">
        <f t="shared" si="1"/>
        <v>3.6</v>
      </c>
      <c r="H1536" s="89">
        <f t="shared" si="7"/>
        <v>0.1837672282</v>
      </c>
      <c r="I1536" s="78" t="s">
        <v>2032</v>
      </c>
      <c r="J1536" s="78" t="s">
        <v>69</v>
      </c>
      <c r="K1536" s="58">
        <f t="shared" si="3"/>
        <v>3</v>
      </c>
      <c r="L1536" s="91" t="str">
        <f t="shared" si="8"/>
        <v>Mon</v>
      </c>
      <c r="M1536" s="78" t="str">
        <f>IFERROR(VLOOKUP(A1536, Entries!A:B,2,false),"")</f>
        <v>KOEI TECMO GAMES</v>
      </c>
      <c r="N1536" s="23" t="str">
        <f>IFERROR(VLOOKUP(A1536, Entries!A:K,11,false),"")</f>
        <v/>
      </c>
      <c r="O1536" s="23" t="b">
        <f>IFERROR(VLOOKUP(A1536, Entries!A:I,8,false),"")</f>
        <v>0</v>
      </c>
    </row>
    <row r="1537">
      <c r="A1537" s="78" t="s">
        <v>1773</v>
      </c>
      <c r="B1537" s="78" t="s">
        <v>19</v>
      </c>
      <c r="C1537" s="85">
        <v>44603.0</v>
      </c>
      <c r="D1537" s="85">
        <v>44671.0</v>
      </c>
      <c r="E1537" s="86">
        <v>11.85</v>
      </c>
      <c r="F1537" s="87">
        <v>16.7</v>
      </c>
      <c r="G1537" s="88">
        <f t="shared" si="1"/>
        <v>4.85</v>
      </c>
      <c r="H1537" s="89">
        <f t="shared" si="7"/>
        <v>0.2904191617</v>
      </c>
      <c r="I1537" s="78" t="s">
        <v>2033</v>
      </c>
      <c r="J1537" s="78" t="s">
        <v>69</v>
      </c>
      <c r="K1537" s="58">
        <f t="shared" si="3"/>
        <v>68</v>
      </c>
      <c r="L1537" s="91" t="str">
        <f t="shared" si="8"/>
        <v>Wed</v>
      </c>
      <c r="M1537" s="78" t="str">
        <f>IFERROR(VLOOKUP(A1537, Entries!A:B,2,false),"")</f>
        <v>Beamdog</v>
      </c>
      <c r="N1537" s="23" t="str">
        <f>IFERROR(VLOOKUP(A1537, Entries!A:K,11,false),"")</f>
        <v/>
      </c>
      <c r="O1537" s="23" t="b">
        <f>IFERROR(VLOOKUP(A1537, Entries!A:I,8,false),"")</f>
        <v>0</v>
      </c>
    </row>
    <row r="1538">
      <c r="A1538" s="78" t="s">
        <v>2034</v>
      </c>
      <c r="B1538" s="78" t="s">
        <v>30</v>
      </c>
      <c r="C1538" s="85">
        <v>44603.0</v>
      </c>
      <c r="D1538" s="85">
        <v>44626.0</v>
      </c>
      <c r="E1538" s="86">
        <v>4.33</v>
      </c>
      <c r="F1538" s="87">
        <v>4.97</v>
      </c>
      <c r="G1538" s="88">
        <f t="shared" si="1"/>
        <v>0.64</v>
      </c>
      <c r="H1538" s="89">
        <f t="shared" si="7"/>
        <v>0.1287726358</v>
      </c>
      <c r="I1538" s="78" t="s">
        <v>2035</v>
      </c>
      <c r="J1538" s="78" t="s">
        <v>69</v>
      </c>
      <c r="K1538" s="58">
        <f t="shared" si="3"/>
        <v>23</v>
      </c>
      <c r="L1538" s="91" t="str">
        <f t="shared" si="8"/>
        <v>Sun</v>
      </c>
      <c r="M1538" s="78" t="str">
        <f>IFERROR(VLOOKUP(A1538, Entries!A:B,2,false),"")</f>
        <v>Black Maple Games</v>
      </c>
      <c r="N1538" s="23" t="str">
        <f>IFERROR(VLOOKUP(A1538, Entries!A:K,11,false),"")</f>
        <v/>
      </c>
      <c r="O1538" s="23" t="b">
        <f>IFERROR(VLOOKUP(A1538, Entries!A:I,8,false),"")</f>
        <v>0</v>
      </c>
    </row>
    <row r="1539">
      <c r="A1539" s="78" t="s">
        <v>2036</v>
      </c>
      <c r="B1539" s="78" t="s">
        <v>30</v>
      </c>
      <c r="C1539" s="85">
        <v>44603.0</v>
      </c>
      <c r="D1539" s="85">
        <v>44603.0</v>
      </c>
      <c r="E1539" s="86">
        <v>4.79</v>
      </c>
      <c r="F1539" s="87">
        <v>6.37</v>
      </c>
      <c r="G1539" s="88">
        <f t="shared" si="1"/>
        <v>1.58</v>
      </c>
      <c r="H1539" s="89">
        <f t="shared" si="7"/>
        <v>0.2480376766</v>
      </c>
      <c r="I1539" s="78" t="s">
        <v>2037</v>
      </c>
      <c r="J1539" s="78" t="s">
        <v>69</v>
      </c>
      <c r="K1539" s="58">
        <f t="shared" si="3"/>
        <v>0</v>
      </c>
      <c r="L1539" s="91" t="str">
        <f t="shared" si="8"/>
        <v>Fri</v>
      </c>
      <c r="M1539" s="78" t="str">
        <f>IFERROR(VLOOKUP(A1539, Entries!A:B,2,false),"")</f>
        <v>WeirdBeard</v>
      </c>
      <c r="N1539" s="23" t="str">
        <f>IFERROR(VLOOKUP(A1539, Entries!A:K,11,false),"")</f>
        <v/>
      </c>
      <c r="O1539" s="23" t="b">
        <f>IFERROR(VLOOKUP(A1539, Entries!A:I,8,false),"")</f>
        <v>1</v>
      </c>
    </row>
    <row r="1540">
      <c r="A1540" s="78" t="s">
        <v>2016</v>
      </c>
      <c r="B1540" s="78" t="s">
        <v>30</v>
      </c>
      <c r="C1540" s="85">
        <v>44603.0</v>
      </c>
      <c r="D1540" s="85">
        <v>44603.0</v>
      </c>
      <c r="E1540" s="86">
        <v>3.65</v>
      </c>
      <c r="F1540" s="87">
        <v>4.69</v>
      </c>
      <c r="G1540" s="88">
        <f t="shared" si="1"/>
        <v>1.04</v>
      </c>
      <c r="H1540" s="89">
        <f t="shared" si="7"/>
        <v>0.2217484009</v>
      </c>
      <c r="I1540" s="78" t="s">
        <v>2038</v>
      </c>
      <c r="J1540" s="78" t="s">
        <v>69</v>
      </c>
      <c r="K1540" s="58">
        <f t="shared" si="3"/>
        <v>0</v>
      </c>
      <c r="L1540" s="91" t="str">
        <f t="shared" si="8"/>
        <v>Fri</v>
      </c>
      <c r="M1540" s="78" t="str">
        <f>IFERROR(VLOOKUP(A1540, Entries!A:B,2,false),"")</f>
        <v>Ironhide Game Studio</v>
      </c>
      <c r="N1540" s="23" t="str">
        <f>IFERROR(VLOOKUP(A1540, Entries!A:K,11,false),"")</f>
        <v/>
      </c>
      <c r="O1540" s="23" t="b">
        <f>IFERROR(VLOOKUP(A1540, Entries!A:I,8,false),"")</f>
        <v>1</v>
      </c>
    </row>
    <row r="1541">
      <c r="A1541" s="78" t="s">
        <v>2039</v>
      </c>
      <c r="B1541" s="78" t="s">
        <v>21</v>
      </c>
      <c r="C1541" s="85">
        <v>44603.0</v>
      </c>
      <c r="D1541" s="85">
        <v>45820.0</v>
      </c>
      <c r="E1541" s="86">
        <v>9.32</v>
      </c>
      <c r="F1541" s="87">
        <v>1.07</v>
      </c>
      <c r="G1541" s="88">
        <f t="shared" si="1"/>
        <v>-8.25</v>
      </c>
      <c r="H1541" s="89">
        <f t="shared" si="7"/>
        <v>-7.710280374</v>
      </c>
      <c r="I1541" s="103" t="s">
        <v>2040</v>
      </c>
      <c r="J1541" s="78" t="s">
        <v>69</v>
      </c>
      <c r="K1541" s="58">
        <f t="shared" si="3"/>
        <v>1217</v>
      </c>
      <c r="L1541" s="91" t="str">
        <f t="shared" si="8"/>
        <v>Thu</v>
      </c>
      <c r="M1541" s="78" t="str">
        <f>IFERROR(VLOOKUP(A1541, Entries!A:B,2,false),"")</f>
        <v>Akupara Games</v>
      </c>
      <c r="N1541" s="23" t="str">
        <f>IFERROR(VLOOKUP(A1541, Entries!A:K,11,false),"")</f>
        <v/>
      </c>
      <c r="O1541" s="23" t="b">
        <f>IFERROR(VLOOKUP(A1541, Entries!A:I,8,false),"")</f>
        <v>0</v>
      </c>
      <c r="S1541" s="23" t="str">
        <f t="shared" ref="S1541:S1542" si="9">IF(AND(TODAY()-ROW(A717)+1 &lt;= 30, J717="Closed"), TEXT(TODAY()-ROW(A717)+1, "dd-mm-yyyy"), "")
</f>
        <v/>
      </c>
    </row>
    <row r="1542">
      <c r="A1542" s="78" t="s">
        <v>2039</v>
      </c>
      <c r="B1542" s="78" t="s">
        <v>21</v>
      </c>
      <c r="C1542" s="85">
        <v>44603.0</v>
      </c>
      <c r="D1542" s="85">
        <v>45833.0</v>
      </c>
      <c r="E1542" s="86">
        <v>9.32</v>
      </c>
      <c r="F1542" s="87">
        <v>1.09</v>
      </c>
      <c r="G1542" s="88">
        <f t="shared" si="1"/>
        <v>-8.23</v>
      </c>
      <c r="H1542" s="89">
        <f t="shared" si="7"/>
        <v>-7.550458716</v>
      </c>
      <c r="I1542" s="103" t="s">
        <v>2041</v>
      </c>
      <c r="J1542" s="78" t="s">
        <v>69</v>
      </c>
      <c r="K1542" s="58">
        <f t="shared" si="3"/>
        <v>1230</v>
      </c>
      <c r="L1542" s="91" t="str">
        <f t="shared" si="8"/>
        <v>Wed</v>
      </c>
      <c r="M1542" s="78" t="str">
        <f>IFERROR(VLOOKUP(A1542, Entries!A:B,2,false),"")</f>
        <v>Akupara Games</v>
      </c>
      <c r="N1542" s="23" t="str">
        <f>IFERROR(VLOOKUP(A1542, Entries!A:K,11,false),"")</f>
        <v/>
      </c>
      <c r="O1542" s="23" t="b">
        <f>IFERROR(VLOOKUP(A1542, Entries!A:I,8,false),"")</f>
        <v>0</v>
      </c>
      <c r="S1542" s="23" t="str">
        <f t="shared" si="9"/>
        <v/>
      </c>
    </row>
    <row r="1543">
      <c r="A1543" s="78" t="s">
        <v>2036</v>
      </c>
      <c r="B1543" s="78" t="s">
        <v>30</v>
      </c>
      <c r="C1543" s="85">
        <v>44603.0</v>
      </c>
      <c r="D1543" s="85">
        <v>44603.0</v>
      </c>
      <c r="E1543" s="86">
        <v>4.8</v>
      </c>
      <c r="F1543" s="87">
        <v>6.34</v>
      </c>
      <c r="G1543" s="88">
        <f t="shared" si="1"/>
        <v>1.54</v>
      </c>
      <c r="H1543" s="89">
        <f t="shared" si="7"/>
        <v>0.2429022082</v>
      </c>
      <c r="I1543" s="78" t="s">
        <v>2042</v>
      </c>
      <c r="J1543" s="78" t="s">
        <v>69</v>
      </c>
      <c r="K1543" s="58">
        <f t="shared" si="3"/>
        <v>0</v>
      </c>
      <c r="L1543" s="91" t="str">
        <f t="shared" si="8"/>
        <v>Fri</v>
      </c>
      <c r="M1543" s="78" t="str">
        <f>IFERROR(VLOOKUP(A1543, Entries!A:B,2,false),"")</f>
        <v>WeirdBeard</v>
      </c>
      <c r="N1543" s="23" t="str">
        <f>IFERROR(VLOOKUP(A1543, Entries!A:K,11,false),"")</f>
        <v/>
      </c>
      <c r="O1543" s="23" t="b">
        <f>IFERROR(VLOOKUP(A1543, Entries!A:I,8,false),"")</f>
        <v>1</v>
      </c>
    </row>
    <row r="1544">
      <c r="A1544" s="78" t="s">
        <v>326</v>
      </c>
      <c r="B1544" s="78" t="s">
        <v>25</v>
      </c>
      <c r="C1544" s="85">
        <v>44603.0</v>
      </c>
      <c r="D1544" s="85">
        <v>44639.0</v>
      </c>
      <c r="E1544" s="86">
        <v>2.72</v>
      </c>
      <c r="F1544" s="87">
        <v>4.52</v>
      </c>
      <c r="G1544" s="88">
        <f t="shared" si="1"/>
        <v>1.8</v>
      </c>
      <c r="H1544" s="89">
        <f t="shared" si="7"/>
        <v>0.3982300885</v>
      </c>
      <c r="I1544" s="78" t="s">
        <v>2043</v>
      </c>
      <c r="J1544" s="78" t="s">
        <v>69</v>
      </c>
      <c r="K1544" s="58">
        <f t="shared" si="3"/>
        <v>36</v>
      </c>
      <c r="L1544" s="91" t="str">
        <f t="shared" si="8"/>
        <v>Sat</v>
      </c>
      <c r="M1544" s="78" t="str">
        <f>IFERROR(VLOOKUP(A1544, Entries!A:B,2,false),"")</f>
        <v>Aerosoft</v>
      </c>
      <c r="N1544" s="23" t="str">
        <f>IFERROR(VLOOKUP(A1544, Entries!A:K,11,false),"")</f>
        <v/>
      </c>
      <c r="O1544" s="23" t="b">
        <f>IFERROR(VLOOKUP(A1544, Entries!A:I,8,false),"")</f>
        <v>1</v>
      </c>
    </row>
    <row r="1545">
      <c r="A1545" s="78" t="s">
        <v>326</v>
      </c>
      <c r="B1545" s="78" t="s">
        <v>25</v>
      </c>
      <c r="C1545" s="85">
        <v>44603.0</v>
      </c>
      <c r="D1545" s="85">
        <v>44639.0</v>
      </c>
      <c r="E1545" s="86">
        <v>2.72</v>
      </c>
      <c r="F1545" s="87">
        <v>4.52</v>
      </c>
      <c r="G1545" s="88">
        <f t="shared" si="1"/>
        <v>1.8</v>
      </c>
      <c r="H1545" s="89">
        <f t="shared" si="7"/>
        <v>0.3982300885</v>
      </c>
      <c r="I1545" s="78" t="s">
        <v>2044</v>
      </c>
      <c r="J1545" s="78" t="s">
        <v>69</v>
      </c>
      <c r="K1545" s="58">
        <f t="shared" si="3"/>
        <v>36</v>
      </c>
      <c r="L1545" s="91" t="str">
        <f t="shared" si="8"/>
        <v>Sat</v>
      </c>
      <c r="M1545" s="78" t="str">
        <f>IFERROR(VLOOKUP(A1545, Entries!A:B,2,false),"")</f>
        <v>Aerosoft</v>
      </c>
      <c r="N1545" s="23" t="str">
        <f>IFERROR(VLOOKUP(A1545, Entries!A:K,11,false),"")</f>
        <v/>
      </c>
      <c r="O1545" s="23" t="b">
        <f>IFERROR(VLOOKUP(A1545, Entries!A:I,8,false),"")</f>
        <v>1</v>
      </c>
    </row>
    <row r="1546">
      <c r="A1546" s="78" t="s">
        <v>326</v>
      </c>
      <c r="B1546" s="78" t="s">
        <v>25</v>
      </c>
      <c r="C1546" s="85">
        <v>44603.0</v>
      </c>
      <c r="D1546" s="85">
        <v>44640.0</v>
      </c>
      <c r="E1546" s="86">
        <v>2.72</v>
      </c>
      <c r="F1546" s="87">
        <v>4.5</v>
      </c>
      <c r="G1546" s="88">
        <f t="shared" si="1"/>
        <v>1.78</v>
      </c>
      <c r="H1546" s="89">
        <f t="shared" si="7"/>
        <v>0.3955555556</v>
      </c>
      <c r="I1546" s="78" t="s">
        <v>2045</v>
      </c>
      <c r="J1546" s="78" t="s">
        <v>69</v>
      </c>
      <c r="K1546" s="58">
        <f t="shared" si="3"/>
        <v>37</v>
      </c>
      <c r="L1546" s="91" t="str">
        <f t="shared" si="8"/>
        <v>Sun</v>
      </c>
      <c r="M1546" s="78" t="str">
        <f>IFERROR(VLOOKUP(A1546, Entries!A:B,2,false),"")</f>
        <v>Aerosoft</v>
      </c>
      <c r="N1546" s="23" t="str">
        <f>IFERROR(VLOOKUP(A1546, Entries!A:K,11,false),"")</f>
        <v/>
      </c>
      <c r="O1546" s="23" t="b">
        <f>IFERROR(VLOOKUP(A1546, Entries!A:I,8,false),"")</f>
        <v>1</v>
      </c>
    </row>
    <row r="1547">
      <c r="A1547" s="78" t="s">
        <v>326</v>
      </c>
      <c r="B1547" s="78" t="s">
        <v>25</v>
      </c>
      <c r="C1547" s="85">
        <v>44603.0</v>
      </c>
      <c r="D1547" s="85">
        <v>44640.0</v>
      </c>
      <c r="E1547" s="86">
        <v>2.72</v>
      </c>
      <c r="F1547" s="87">
        <v>4.5</v>
      </c>
      <c r="G1547" s="88">
        <f t="shared" si="1"/>
        <v>1.78</v>
      </c>
      <c r="H1547" s="89">
        <f t="shared" si="7"/>
        <v>0.3955555556</v>
      </c>
      <c r="I1547" s="78" t="s">
        <v>2046</v>
      </c>
      <c r="J1547" s="78" t="s">
        <v>69</v>
      </c>
      <c r="K1547" s="58">
        <f t="shared" si="3"/>
        <v>37</v>
      </c>
      <c r="L1547" s="91" t="str">
        <f t="shared" si="8"/>
        <v>Sun</v>
      </c>
      <c r="M1547" s="78" t="str">
        <f>IFERROR(VLOOKUP(A1547, Entries!A:B,2,false),"")</f>
        <v>Aerosoft</v>
      </c>
      <c r="N1547" s="23" t="str">
        <f>IFERROR(VLOOKUP(A1547, Entries!A:K,11,false),"")</f>
        <v/>
      </c>
      <c r="O1547" s="23" t="b">
        <f>IFERROR(VLOOKUP(A1547, Entries!A:I,8,false),"")</f>
        <v>1</v>
      </c>
    </row>
    <row r="1548">
      <c r="A1548" s="78" t="s">
        <v>326</v>
      </c>
      <c r="B1548" s="78" t="s">
        <v>25</v>
      </c>
      <c r="C1548" s="85">
        <v>44603.0</v>
      </c>
      <c r="D1548" s="85">
        <v>44640.0</v>
      </c>
      <c r="E1548" s="86">
        <v>2.72</v>
      </c>
      <c r="F1548" s="87">
        <v>4.5</v>
      </c>
      <c r="G1548" s="88">
        <f t="shared" si="1"/>
        <v>1.78</v>
      </c>
      <c r="H1548" s="89">
        <f t="shared" si="7"/>
        <v>0.3955555556</v>
      </c>
      <c r="I1548" s="78" t="s">
        <v>2047</v>
      </c>
      <c r="J1548" s="78" t="s">
        <v>69</v>
      </c>
      <c r="K1548" s="58">
        <f t="shared" si="3"/>
        <v>37</v>
      </c>
      <c r="L1548" s="91" t="str">
        <f t="shared" si="8"/>
        <v>Sun</v>
      </c>
      <c r="M1548" s="78" t="str">
        <f>IFERROR(VLOOKUP(A1548, Entries!A:B,2,false),"")</f>
        <v>Aerosoft</v>
      </c>
      <c r="N1548" s="23" t="str">
        <f>IFERROR(VLOOKUP(A1548, Entries!A:K,11,false),"")</f>
        <v/>
      </c>
      <c r="O1548" s="23" t="b">
        <f>IFERROR(VLOOKUP(A1548, Entries!A:I,8,false),"")</f>
        <v>1</v>
      </c>
    </row>
    <row r="1549">
      <c r="A1549" s="78" t="s">
        <v>2036</v>
      </c>
      <c r="B1549" s="78" t="s">
        <v>30</v>
      </c>
      <c r="C1549" s="85">
        <v>44604.0</v>
      </c>
      <c r="D1549" s="85">
        <v>44615.0</v>
      </c>
      <c r="E1549" s="86">
        <v>4.8</v>
      </c>
      <c r="F1549" s="87">
        <v>5.23</v>
      </c>
      <c r="G1549" s="88">
        <f t="shared" si="1"/>
        <v>0.43</v>
      </c>
      <c r="H1549" s="89">
        <f t="shared" si="7"/>
        <v>0.08221797323</v>
      </c>
      <c r="I1549" s="78" t="s">
        <v>2048</v>
      </c>
      <c r="J1549" s="78" t="s">
        <v>69</v>
      </c>
      <c r="K1549" s="58">
        <f t="shared" si="3"/>
        <v>11</v>
      </c>
      <c r="L1549" s="91" t="str">
        <f t="shared" si="8"/>
        <v>Wed</v>
      </c>
      <c r="M1549" s="78" t="str">
        <f>IFERROR(VLOOKUP(A1549, Entries!A:B,2,false),"")</f>
        <v>WeirdBeard</v>
      </c>
      <c r="N1549" s="23" t="str">
        <f>IFERROR(VLOOKUP(A1549, Entries!A:K,11,false),"")</f>
        <v/>
      </c>
      <c r="O1549" s="23" t="b">
        <f>IFERROR(VLOOKUP(A1549, Entries!A:I,8,false),"")</f>
        <v>1</v>
      </c>
    </row>
    <row r="1550">
      <c r="A1550" s="78" t="s">
        <v>2016</v>
      </c>
      <c r="B1550" s="78" t="s">
        <v>30</v>
      </c>
      <c r="C1550" s="85">
        <v>44604.0</v>
      </c>
      <c r="D1550" s="85">
        <v>44605.0</v>
      </c>
      <c r="E1550" s="86">
        <v>3.65</v>
      </c>
      <c r="F1550" s="87">
        <v>4.69</v>
      </c>
      <c r="G1550" s="88">
        <f t="shared" si="1"/>
        <v>1.04</v>
      </c>
      <c r="H1550" s="89">
        <f t="shared" si="7"/>
        <v>0.2217484009</v>
      </c>
      <c r="I1550" s="78" t="s">
        <v>2049</v>
      </c>
      <c r="J1550" s="78" t="s">
        <v>69</v>
      </c>
      <c r="K1550" s="58">
        <f t="shared" si="3"/>
        <v>1</v>
      </c>
      <c r="L1550" s="91" t="str">
        <f t="shared" si="8"/>
        <v>Sun</v>
      </c>
      <c r="M1550" s="78" t="str">
        <f>IFERROR(VLOOKUP(A1550, Entries!A:B,2,false),"")</f>
        <v>Ironhide Game Studio</v>
      </c>
      <c r="N1550" s="23" t="str">
        <f>IFERROR(VLOOKUP(A1550, Entries!A:K,11,false),"")</f>
        <v/>
      </c>
      <c r="O1550" s="23" t="b">
        <f>IFERROR(VLOOKUP(A1550, Entries!A:I,8,false),"")</f>
        <v>1</v>
      </c>
    </row>
    <row r="1551">
      <c r="A1551" s="78" t="s">
        <v>1700</v>
      </c>
      <c r="B1551" s="78" t="s">
        <v>27</v>
      </c>
      <c r="C1551" s="85">
        <v>44604.0</v>
      </c>
      <c r="D1551" s="85">
        <v>44604.0</v>
      </c>
      <c r="E1551" s="86">
        <v>3.59</v>
      </c>
      <c r="F1551" s="87">
        <v>4.52</v>
      </c>
      <c r="G1551" s="88">
        <f t="shared" si="1"/>
        <v>0.93</v>
      </c>
      <c r="H1551" s="89">
        <f t="shared" si="7"/>
        <v>0.2057522124</v>
      </c>
      <c r="I1551" s="78" t="s">
        <v>2050</v>
      </c>
      <c r="J1551" s="78" t="s">
        <v>69</v>
      </c>
      <c r="K1551" s="58">
        <f t="shared" si="3"/>
        <v>0</v>
      </c>
      <c r="L1551" s="91" t="str">
        <f t="shared" si="8"/>
        <v>Sat</v>
      </c>
      <c r="M1551" s="78" t="str">
        <f>IFERROR(VLOOKUP(A1551, Entries!A:B,2,false),"")</f>
        <v>Warner Bros</v>
      </c>
      <c r="N1551" s="23" t="str">
        <f>IFERROR(VLOOKUP(A1551, Entries!A:K,11,false),"")</f>
        <v/>
      </c>
      <c r="O1551" s="23" t="b">
        <f>IFERROR(VLOOKUP(A1551, Entries!A:I,8,false),"")</f>
        <v>1</v>
      </c>
    </row>
    <row r="1552">
      <c r="A1552" s="78" t="s">
        <v>2051</v>
      </c>
      <c r="B1552" s="78" t="s">
        <v>27</v>
      </c>
      <c r="C1552" s="85">
        <v>44604.0</v>
      </c>
      <c r="D1552" s="85">
        <v>44617.0</v>
      </c>
      <c r="E1552" s="86">
        <v>7.79</v>
      </c>
      <c r="F1552" s="87">
        <v>9.0</v>
      </c>
      <c r="G1552" s="88">
        <f t="shared" si="1"/>
        <v>1.21</v>
      </c>
      <c r="H1552" s="89">
        <f t="shared" si="7"/>
        <v>0.1344444444</v>
      </c>
      <c r="I1552" s="78" t="s">
        <v>2052</v>
      </c>
      <c r="J1552" s="78" t="s">
        <v>69</v>
      </c>
      <c r="K1552" s="58">
        <f t="shared" si="3"/>
        <v>13</v>
      </c>
      <c r="L1552" s="91" t="str">
        <f t="shared" si="8"/>
        <v>Fri</v>
      </c>
      <c r="M1552" s="78" t="str">
        <f>IFERROR(VLOOKUP(A1552, Entries!A:B,2,false),"")</f>
        <v>Nacon</v>
      </c>
      <c r="N1552" s="23" t="str">
        <f>IFERROR(VLOOKUP(A1552, Entries!A:K,11,false),"")</f>
        <v/>
      </c>
      <c r="O1552" s="23" t="b">
        <f>IFERROR(VLOOKUP(A1552, Entries!A:I,8,false),"")</f>
        <v>0</v>
      </c>
    </row>
    <row r="1553">
      <c r="A1553" s="78" t="s">
        <v>1984</v>
      </c>
      <c r="B1553" s="78" t="s">
        <v>27</v>
      </c>
      <c r="C1553" s="85">
        <v>44604.0</v>
      </c>
      <c r="D1553" s="85">
        <v>44611.0</v>
      </c>
      <c r="E1553" s="86">
        <v>6.39</v>
      </c>
      <c r="F1553" s="87">
        <v>8.28</v>
      </c>
      <c r="G1553" s="88">
        <f t="shared" si="1"/>
        <v>1.89</v>
      </c>
      <c r="H1553" s="89">
        <f t="shared" si="7"/>
        <v>0.2282608696</v>
      </c>
      <c r="I1553" s="78" t="s">
        <v>2053</v>
      </c>
      <c r="J1553" s="78" t="s">
        <v>69</v>
      </c>
      <c r="K1553" s="58">
        <f t="shared" si="3"/>
        <v>7</v>
      </c>
      <c r="L1553" s="91" t="str">
        <f t="shared" si="8"/>
        <v>Sat</v>
      </c>
      <c r="M1553" s="78" t="str">
        <f>IFERROR(VLOOKUP(A1553, Entries!A:B,2,false),"")</f>
        <v>Offworld Industries</v>
      </c>
      <c r="N1553" s="23" t="str">
        <f>IFERROR(VLOOKUP(A1553, Entries!A:K,11,false),"")</f>
        <v/>
      </c>
      <c r="O1553" s="23" t="b">
        <f>IFERROR(VLOOKUP(A1553, Entries!A:I,8,false),"")</f>
        <v>1</v>
      </c>
    </row>
    <row r="1554">
      <c r="A1554" s="78" t="s">
        <v>1984</v>
      </c>
      <c r="B1554" s="78" t="s">
        <v>27</v>
      </c>
      <c r="C1554" s="85">
        <v>44604.0</v>
      </c>
      <c r="D1554" s="85">
        <v>44616.0</v>
      </c>
      <c r="E1554" s="86">
        <v>6.39</v>
      </c>
      <c r="F1554" s="87">
        <v>9.57</v>
      </c>
      <c r="G1554" s="88">
        <f t="shared" si="1"/>
        <v>3.18</v>
      </c>
      <c r="H1554" s="89">
        <f t="shared" si="7"/>
        <v>0.3322884013</v>
      </c>
      <c r="I1554" s="78" t="s">
        <v>2054</v>
      </c>
      <c r="J1554" s="78" t="s">
        <v>69</v>
      </c>
      <c r="K1554" s="58">
        <f t="shared" si="3"/>
        <v>12</v>
      </c>
      <c r="L1554" s="91" t="str">
        <f t="shared" si="8"/>
        <v>Thu</v>
      </c>
      <c r="M1554" s="78" t="str">
        <f>IFERROR(VLOOKUP(A1554, Entries!A:B,2,false),"")</f>
        <v>Offworld Industries</v>
      </c>
      <c r="N1554" s="23" t="str">
        <f>IFERROR(VLOOKUP(A1554, Entries!A:K,11,false),"")</f>
        <v/>
      </c>
      <c r="O1554" s="23" t="b">
        <f>IFERROR(VLOOKUP(A1554, Entries!A:I,8,false),"")</f>
        <v>1</v>
      </c>
    </row>
    <row r="1555">
      <c r="A1555" s="78" t="s">
        <v>1010</v>
      </c>
      <c r="B1555" s="78" t="s">
        <v>34</v>
      </c>
      <c r="C1555" s="85">
        <v>44604.0</v>
      </c>
      <c r="D1555" s="85">
        <v>44604.0</v>
      </c>
      <c r="E1555" s="86">
        <v>6.77</v>
      </c>
      <c r="F1555" s="87">
        <v>9.12</v>
      </c>
      <c r="G1555" s="88">
        <f t="shared" si="1"/>
        <v>2.35</v>
      </c>
      <c r="H1555" s="89">
        <f t="shared" si="7"/>
        <v>0.2576754386</v>
      </c>
      <c r="I1555" s="78" t="s">
        <v>2055</v>
      </c>
      <c r="J1555" s="78" t="s">
        <v>69</v>
      </c>
      <c r="K1555" s="58">
        <f t="shared" si="3"/>
        <v>0</v>
      </c>
      <c r="L1555" s="91" t="str">
        <f t="shared" si="8"/>
        <v>Sat</v>
      </c>
      <c r="M1555" s="78" t="str">
        <f>IFERROR(VLOOKUP(A1555, Entries!A:B,2,false),"")</f>
        <v>Konami</v>
      </c>
      <c r="N1555" s="23" t="str">
        <f>IFERROR(VLOOKUP(A1555, Entries!A:K,11,false),"")</f>
        <v/>
      </c>
      <c r="O1555" s="23" t="b">
        <f>IFERROR(VLOOKUP(A1555, Entries!A:I,8,false),"")</f>
        <v>1</v>
      </c>
    </row>
    <row r="1556">
      <c r="A1556" s="78" t="s">
        <v>1700</v>
      </c>
      <c r="B1556" s="78" t="s">
        <v>27</v>
      </c>
      <c r="C1556" s="85">
        <v>44604.0</v>
      </c>
      <c r="D1556" s="85">
        <v>44605.0</v>
      </c>
      <c r="E1556" s="86">
        <v>3.59</v>
      </c>
      <c r="F1556" s="87">
        <v>4.5</v>
      </c>
      <c r="G1556" s="88">
        <f t="shared" si="1"/>
        <v>0.91</v>
      </c>
      <c r="H1556" s="89">
        <f t="shared" si="7"/>
        <v>0.2022222222</v>
      </c>
      <c r="I1556" s="78" t="s">
        <v>2056</v>
      </c>
      <c r="J1556" s="78" t="s">
        <v>69</v>
      </c>
      <c r="K1556" s="58">
        <f t="shared" si="3"/>
        <v>1</v>
      </c>
      <c r="L1556" s="91" t="str">
        <f t="shared" si="8"/>
        <v>Sun</v>
      </c>
      <c r="M1556" s="78" t="str">
        <f>IFERROR(VLOOKUP(A1556, Entries!A:B,2,false),"")</f>
        <v>Warner Bros</v>
      </c>
      <c r="N1556" s="23" t="str">
        <f>IFERROR(VLOOKUP(A1556, Entries!A:K,11,false),"")</f>
        <v/>
      </c>
      <c r="O1556" s="23" t="b">
        <f>IFERROR(VLOOKUP(A1556, Entries!A:I,8,false),"")</f>
        <v>1</v>
      </c>
    </row>
    <row r="1557">
      <c r="A1557" s="78" t="s">
        <v>1700</v>
      </c>
      <c r="B1557" s="78" t="s">
        <v>27</v>
      </c>
      <c r="C1557" s="85">
        <v>44605.0</v>
      </c>
      <c r="D1557" s="85">
        <v>44605.0</v>
      </c>
      <c r="E1557" s="86">
        <v>3.59</v>
      </c>
      <c r="F1557" s="87">
        <v>4.49</v>
      </c>
      <c r="G1557" s="88">
        <f t="shared" si="1"/>
        <v>0.9</v>
      </c>
      <c r="H1557" s="89">
        <f t="shared" si="7"/>
        <v>0.2004454343</v>
      </c>
      <c r="I1557" s="78" t="s">
        <v>2057</v>
      </c>
      <c r="J1557" s="78" t="s">
        <v>69</v>
      </c>
      <c r="K1557" s="58">
        <f t="shared" si="3"/>
        <v>0</v>
      </c>
      <c r="L1557" s="91" t="str">
        <f t="shared" si="8"/>
        <v>Sun</v>
      </c>
      <c r="M1557" s="78" t="str">
        <f>IFERROR(VLOOKUP(A1557, Entries!A:B,2,false),"")</f>
        <v>Warner Bros</v>
      </c>
      <c r="N1557" s="23" t="str">
        <f>IFERROR(VLOOKUP(A1557, Entries!A:K,11,false),"")</f>
        <v/>
      </c>
      <c r="O1557" s="23" t="b">
        <f>IFERROR(VLOOKUP(A1557, Entries!A:I,8,false),"")</f>
        <v>1</v>
      </c>
    </row>
    <row r="1558">
      <c r="A1558" s="78" t="s">
        <v>1700</v>
      </c>
      <c r="B1558" s="78" t="s">
        <v>27</v>
      </c>
      <c r="C1558" s="85">
        <v>44605.0</v>
      </c>
      <c r="D1558" s="85">
        <v>44606.0</v>
      </c>
      <c r="E1558" s="86">
        <v>3.59</v>
      </c>
      <c r="F1558" s="87">
        <v>4.49</v>
      </c>
      <c r="G1558" s="88">
        <f t="shared" si="1"/>
        <v>0.9</v>
      </c>
      <c r="H1558" s="89">
        <f t="shared" si="7"/>
        <v>0.2004454343</v>
      </c>
      <c r="I1558" s="78" t="s">
        <v>2058</v>
      </c>
      <c r="J1558" s="78" t="s">
        <v>69</v>
      </c>
      <c r="K1558" s="58">
        <f t="shared" si="3"/>
        <v>1</v>
      </c>
      <c r="L1558" s="91" t="str">
        <f t="shared" si="8"/>
        <v>Mon</v>
      </c>
      <c r="M1558" s="78" t="str">
        <f>IFERROR(VLOOKUP(A1558, Entries!A:B,2,false),"")</f>
        <v>Warner Bros</v>
      </c>
      <c r="N1558" s="23" t="str">
        <f>IFERROR(VLOOKUP(A1558, Entries!A:K,11,false),"")</f>
        <v/>
      </c>
      <c r="O1558" s="23" t="b">
        <f>IFERROR(VLOOKUP(A1558, Entries!A:I,8,false),"")</f>
        <v>1</v>
      </c>
    </row>
    <row r="1559">
      <c r="A1559" s="78" t="s">
        <v>2016</v>
      </c>
      <c r="B1559" s="78" t="s">
        <v>30</v>
      </c>
      <c r="C1559" s="85">
        <v>44605.0</v>
      </c>
      <c r="D1559" s="85">
        <v>44605.0</v>
      </c>
      <c r="E1559" s="86">
        <v>3.67</v>
      </c>
      <c r="F1559" s="87">
        <v>4.69</v>
      </c>
      <c r="G1559" s="88">
        <f t="shared" si="1"/>
        <v>1.02</v>
      </c>
      <c r="H1559" s="89">
        <f t="shared" si="7"/>
        <v>0.2174840085</v>
      </c>
      <c r="I1559" s="78" t="s">
        <v>2059</v>
      </c>
      <c r="J1559" s="78" t="s">
        <v>69</v>
      </c>
      <c r="K1559" s="58">
        <f t="shared" si="3"/>
        <v>0</v>
      </c>
      <c r="L1559" s="91" t="str">
        <f t="shared" si="8"/>
        <v>Sun</v>
      </c>
      <c r="M1559" s="78" t="str">
        <f>IFERROR(VLOOKUP(A1559, Entries!A:B,2,false),"")</f>
        <v>Ironhide Game Studio</v>
      </c>
      <c r="N1559" s="23" t="str">
        <f>IFERROR(VLOOKUP(A1559, Entries!A:K,11,false),"")</f>
        <v/>
      </c>
      <c r="O1559" s="23" t="b">
        <f>IFERROR(VLOOKUP(A1559, Entries!A:I,8,false),"")</f>
        <v>1</v>
      </c>
    </row>
    <row r="1560">
      <c r="A1560" s="78" t="s">
        <v>2016</v>
      </c>
      <c r="B1560" s="78" t="s">
        <v>30</v>
      </c>
      <c r="C1560" s="85">
        <v>44605.0</v>
      </c>
      <c r="D1560" s="85">
        <v>44607.0</v>
      </c>
      <c r="E1560" s="86">
        <v>3.67</v>
      </c>
      <c r="F1560" s="87">
        <v>4.69</v>
      </c>
      <c r="G1560" s="88">
        <f t="shared" si="1"/>
        <v>1.02</v>
      </c>
      <c r="H1560" s="89">
        <f t="shared" si="7"/>
        <v>0.2174840085</v>
      </c>
      <c r="I1560" s="78" t="s">
        <v>2060</v>
      </c>
      <c r="J1560" s="78" t="s">
        <v>69</v>
      </c>
      <c r="K1560" s="58">
        <f t="shared" si="3"/>
        <v>2</v>
      </c>
      <c r="L1560" s="91" t="str">
        <f t="shared" si="8"/>
        <v>Tue</v>
      </c>
      <c r="M1560" s="78" t="str">
        <f>IFERROR(VLOOKUP(A1560, Entries!A:B,2,false),"")</f>
        <v>Ironhide Game Studio</v>
      </c>
      <c r="N1560" s="23" t="str">
        <f>IFERROR(VLOOKUP(A1560, Entries!A:K,11,false),"")</f>
        <v/>
      </c>
      <c r="O1560" s="23" t="b">
        <f>IFERROR(VLOOKUP(A1560, Entries!A:I,8,false),"")</f>
        <v>1</v>
      </c>
    </row>
    <row r="1561">
      <c r="A1561" s="78" t="s">
        <v>1989</v>
      </c>
      <c r="B1561" s="78" t="s">
        <v>27</v>
      </c>
      <c r="C1561" s="85">
        <v>44606.0</v>
      </c>
      <c r="D1561" s="85">
        <v>44607.0</v>
      </c>
      <c r="E1561" s="86">
        <v>8.99</v>
      </c>
      <c r="F1561" s="87">
        <v>10.89</v>
      </c>
      <c r="G1561" s="88">
        <f t="shared" si="1"/>
        <v>1.9</v>
      </c>
      <c r="H1561" s="89">
        <f t="shared" si="7"/>
        <v>0.1744719927</v>
      </c>
      <c r="I1561" s="78" t="s">
        <v>2061</v>
      </c>
      <c r="J1561" s="78" t="s">
        <v>69</v>
      </c>
      <c r="K1561" s="58">
        <f t="shared" si="3"/>
        <v>1</v>
      </c>
      <c r="L1561" s="91" t="str">
        <f t="shared" si="8"/>
        <v>Tue</v>
      </c>
      <c r="M1561" s="78" t="str">
        <f>IFERROR(VLOOKUP(A1561, Entries!A:B,2,false),"")</f>
        <v>Rebellion</v>
      </c>
      <c r="N1561" s="23" t="str">
        <f>IFERROR(VLOOKUP(A1561, Entries!A:K,11,false),"")</f>
        <v/>
      </c>
      <c r="O1561" s="23" t="b">
        <f>IFERROR(VLOOKUP(A1561, Entries!A:I,8,false),"")</f>
        <v>1</v>
      </c>
    </row>
    <row r="1562">
      <c r="A1562" s="78" t="s">
        <v>2031</v>
      </c>
      <c r="B1562" s="78" t="s">
        <v>23</v>
      </c>
      <c r="C1562" s="85">
        <v>44606.0</v>
      </c>
      <c r="D1562" s="85">
        <v>44610.0</v>
      </c>
      <c r="E1562" s="86">
        <v>15.99</v>
      </c>
      <c r="F1562" s="87">
        <v>19.29</v>
      </c>
      <c r="G1562" s="88">
        <f t="shared" si="1"/>
        <v>3.3</v>
      </c>
      <c r="H1562" s="89">
        <f t="shared" si="7"/>
        <v>0.1710730949</v>
      </c>
      <c r="I1562" s="78" t="s">
        <v>2062</v>
      </c>
      <c r="J1562" s="78" t="s">
        <v>69</v>
      </c>
      <c r="K1562" s="58">
        <f t="shared" si="3"/>
        <v>4</v>
      </c>
      <c r="L1562" s="91" t="str">
        <f t="shared" si="8"/>
        <v>Fri</v>
      </c>
      <c r="M1562" s="78" t="str">
        <f>IFERROR(VLOOKUP(A1562, Entries!A:B,2,false),"")</f>
        <v>KOEI TECMO GAMES</v>
      </c>
      <c r="N1562" s="23" t="str">
        <f>IFERROR(VLOOKUP(A1562, Entries!A:K,11,false),"")</f>
        <v/>
      </c>
      <c r="O1562" s="23" t="b">
        <f>IFERROR(VLOOKUP(A1562, Entries!A:I,8,false),"")</f>
        <v>0</v>
      </c>
    </row>
    <row r="1563">
      <c r="A1563" s="78" t="s">
        <v>281</v>
      </c>
      <c r="B1563" s="78" t="s">
        <v>21</v>
      </c>
      <c r="C1563" s="85">
        <v>44606.0</v>
      </c>
      <c r="D1563" s="85">
        <v>44606.0</v>
      </c>
      <c r="E1563" s="86">
        <v>2.12</v>
      </c>
      <c r="F1563" s="87">
        <v>2.17</v>
      </c>
      <c r="G1563" s="88">
        <f t="shared" si="1"/>
        <v>0.05</v>
      </c>
      <c r="H1563" s="89">
        <f t="shared" si="7"/>
        <v>0.02304147465</v>
      </c>
      <c r="I1563" s="78" t="s">
        <v>2063</v>
      </c>
      <c r="J1563" s="78" t="s">
        <v>69</v>
      </c>
      <c r="K1563" s="58">
        <f t="shared" si="3"/>
        <v>0</v>
      </c>
      <c r="L1563" s="91" t="str">
        <f t="shared" si="8"/>
        <v>Mon</v>
      </c>
      <c r="M1563" s="78" t="str">
        <f>IFERROR(VLOOKUP(A1563, Entries!A:B,2,false),"")</f>
        <v>Red Barrels</v>
      </c>
      <c r="N1563" s="23" t="str">
        <f>IFERROR(VLOOKUP(A1563, Entries!A:K,11,false),"")</f>
        <v/>
      </c>
      <c r="O1563" s="23" t="b">
        <f>IFERROR(VLOOKUP(A1563, Entries!A:I,8,false),"")</f>
        <v>0</v>
      </c>
    </row>
    <row r="1564">
      <c r="A1564" s="78" t="s">
        <v>281</v>
      </c>
      <c r="B1564" s="78" t="s">
        <v>21</v>
      </c>
      <c r="C1564" s="85">
        <v>44606.0</v>
      </c>
      <c r="D1564" s="85">
        <v>44606.0</v>
      </c>
      <c r="E1564" s="86">
        <v>2.12</v>
      </c>
      <c r="F1564" s="87">
        <v>2.17</v>
      </c>
      <c r="G1564" s="88">
        <f t="shared" si="1"/>
        <v>0.05</v>
      </c>
      <c r="H1564" s="89">
        <f t="shared" si="7"/>
        <v>0.02304147465</v>
      </c>
      <c r="I1564" s="78" t="s">
        <v>2064</v>
      </c>
      <c r="J1564" s="78" t="s">
        <v>69</v>
      </c>
      <c r="K1564" s="58">
        <f t="shared" si="3"/>
        <v>0</v>
      </c>
      <c r="L1564" s="91" t="str">
        <f t="shared" si="8"/>
        <v>Mon</v>
      </c>
      <c r="M1564" s="78" t="str">
        <f>IFERROR(VLOOKUP(A1564, Entries!A:B,2,false),"")</f>
        <v>Red Barrels</v>
      </c>
      <c r="N1564" s="23" t="str">
        <f>IFERROR(VLOOKUP(A1564, Entries!A:K,11,false),"")</f>
        <v/>
      </c>
      <c r="O1564" s="23" t="b">
        <f>IFERROR(VLOOKUP(A1564, Entries!A:I,8,false),"")</f>
        <v>0</v>
      </c>
    </row>
    <row r="1565">
      <c r="A1565" s="78" t="s">
        <v>281</v>
      </c>
      <c r="B1565" s="78" t="s">
        <v>21</v>
      </c>
      <c r="C1565" s="85">
        <v>44606.0</v>
      </c>
      <c r="D1565" s="85">
        <v>44606.0</v>
      </c>
      <c r="E1565" s="86">
        <v>2.13</v>
      </c>
      <c r="F1565" s="87">
        <v>2.17</v>
      </c>
      <c r="G1565" s="88">
        <f t="shared" si="1"/>
        <v>0.04</v>
      </c>
      <c r="H1565" s="89">
        <f t="shared" si="7"/>
        <v>0.01843317972</v>
      </c>
      <c r="I1565" s="78" t="s">
        <v>2065</v>
      </c>
      <c r="J1565" s="78" t="s">
        <v>69</v>
      </c>
      <c r="K1565" s="58">
        <f t="shared" si="3"/>
        <v>0</v>
      </c>
      <c r="L1565" s="91" t="str">
        <f t="shared" si="8"/>
        <v>Mon</v>
      </c>
      <c r="M1565" s="78" t="str">
        <f>IFERROR(VLOOKUP(A1565, Entries!A:B,2,false),"")</f>
        <v>Red Barrels</v>
      </c>
      <c r="N1565" s="23" t="str">
        <f>IFERROR(VLOOKUP(A1565, Entries!A:K,11,false),"")</f>
        <v/>
      </c>
      <c r="O1565" s="23" t="b">
        <f>IFERROR(VLOOKUP(A1565, Entries!A:I,8,false),"")</f>
        <v>0</v>
      </c>
    </row>
    <row r="1566">
      <c r="A1566" s="78" t="s">
        <v>2066</v>
      </c>
      <c r="B1566" s="78" t="s">
        <v>21</v>
      </c>
      <c r="C1566" s="85">
        <v>44606.0</v>
      </c>
      <c r="D1566" s="85">
        <v>44617.0</v>
      </c>
      <c r="E1566" s="86">
        <v>9.87</v>
      </c>
      <c r="F1566" s="87">
        <v>13.56</v>
      </c>
      <c r="G1566" s="88">
        <f t="shared" si="1"/>
        <v>3.69</v>
      </c>
      <c r="H1566" s="89">
        <f t="shared" si="7"/>
        <v>0.2721238938</v>
      </c>
      <c r="I1566" s="78" t="s">
        <v>2067</v>
      </c>
      <c r="J1566" s="78" t="s">
        <v>69</v>
      </c>
      <c r="K1566" s="58">
        <f t="shared" si="3"/>
        <v>11</v>
      </c>
      <c r="L1566" s="91" t="str">
        <f t="shared" si="8"/>
        <v>Fri</v>
      </c>
      <c r="M1566" s="78" t="str">
        <f>IFERROR(VLOOKUP(A1566, Entries!A:B,2,false),"")</f>
        <v>Annapurna Interactive</v>
      </c>
      <c r="N1566" s="23" t="str">
        <f>IFERROR(VLOOKUP(A1566, Entries!A:K,11,false),"")</f>
        <v/>
      </c>
      <c r="O1566" s="23" t="b">
        <f>IFERROR(VLOOKUP(A1566, Entries!A:I,8,false),"")</f>
        <v>0</v>
      </c>
    </row>
    <row r="1567">
      <c r="A1567" s="78" t="s">
        <v>2066</v>
      </c>
      <c r="B1567" s="78" t="s">
        <v>21</v>
      </c>
      <c r="C1567" s="85">
        <v>44606.0</v>
      </c>
      <c r="D1567" s="85">
        <v>44619.0</v>
      </c>
      <c r="E1567" s="86">
        <v>9.87</v>
      </c>
      <c r="F1567" s="87">
        <v>13.51</v>
      </c>
      <c r="G1567" s="88">
        <f t="shared" si="1"/>
        <v>3.64</v>
      </c>
      <c r="H1567" s="89">
        <f t="shared" si="7"/>
        <v>0.2694300518</v>
      </c>
      <c r="I1567" s="78" t="s">
        <v>2068</v>
      </c>
      <c r="J1567" s="78" t="s">
        <v>69</v>
      </c>
      <c r="K1567" s="58">
        <f t="shared" si="3"/>
        <v>13</v>
      </c>
      <c r="L1567" s="91" t="str">
        <f t="shared" si="8"/>
        <v>Sun</v>
      </c>
      <c r="M1567" s="78" t="str">
        <f>IFERROR(VLOOKUP(A1567, Entries!A:B,2,false),"")</f>
        <v>Annapurna Interactive</v>
      </c>
      <c r="N1567" s="23" t="str">
        <f>IFERROR(VLOOKUP(A1567, Entries!A:K,11,false),"")</f>
        <v/>
      </c>
      <c r="O1567" s="23" t="b">
        <f>IFERROR(VLOOKUP(A1567, Entries!A:I,8,false),"")</f>
        <v>0</v>
      </c>
    </row>
    <row r="1568">
      <c r="A1568" s="78" t="s">
        <v>1700</v>
      </c>
      <c r="B1568" s="78" t="s">
        <v>27</v>
      </c>
      <c r="C1568" s="85">
        <v>44606.0</v>
      </c>
      <c r="D1568" s="85">
        <v>44606.0</v>
      </c>
      <c r="E1568" s="86">
        <v>3.59</v>
      </c>
      <c r="F1568" s="87">
        <v>4.49</v>
      </c>
      <c r="G1568" s="88">
        <f t="shared" si="1"/>
        <v>0.9</v>
      </c>
      <c r="H1568" s="89">
        <f t="shared" si="7"/>
        <v>0.2004454343</v>
      </c>
      <c r="I1568" s="78" t="s">
        <v>2069</v>
      </c>
      <c r="J1568" s="78" t="s">
        <v>69</v>
      </c>
      <c r="K1568" s="58">
        <f t="shared" si="3"/>
        <v>0</v>
      </c>
      <c r="L1568" s="91" t="str">
        <f t="shared" si="8"/>
        <v>Mon</v>
      </c>
      <c r="M1568" s="78" t="str">
        <f>IFERROR(VLOOKUP(A1568, Entries!A:B,2,false),"")</f>
        <v>Warner Bros</v>
      </c>
      <c r="N1568" s="23" t="str">
        <f>IFERROR(VLOOKUP(A1568, Entries!A:K,11,false),"")</f>
        <v/>
      </c>
      <c r="O1568" s="23" t="b">
        <f>IFERROR(VLOOKUP(A1568, Entries!A:I,8,false),"")</f>
        <v>1</v>
      </c>
    </row>
    <row r="1569">
      <c r="A1569" s="78" t="s">
        <v>1700</v>
      </c>
      <c r="B1569" s="78" t="s">
        <v>27</v>
      </c>
      <c r="C1569" s="85">
        <v>44606.0</v>
      </c>
      <c r="D1569" s="85">
        <v>44606.0</v>
      </c>
      <c r="E1569" s="86">
        <v>3.59</v>
      </c>
      <c r="F1569" s="87">
        <v>4.49</v>
      </c>
      <c r="G1569" s="88">
        <f t="shared" si="1"/>
        <v>0.9</v>
      </c>
      <c r="H1569" s="89">
        <f t="shared" si="7"/>
        <v>0.2004454343</v>
      </c>
      <c r="I1569" s="78" t="s">
        <v>2070</v>
      </c>
      <c r="J1569" s="78" t="s">
        <v>69</v>
      </c>
      <c r="K1569" s="58">
        <f t="shared" si="3"/>
        <v>0</v>
      </c>
      <c r="L1569" s="91" t="str">
        <f t="shared" si="8"/>
        <v>Mon</v>
      </c>
      <c r="M1569" s="78" t="str">
        <f>IFERROR(VLOOKUP(A1569, Entries!A:B,2,false),"")</f>
        <v>Warner Bros</v>
      </c>
      <c r="N1569" s="23" t="str">
        <f>IFERROR(VLOOKUP(A1569, Entries!A:K,11,false),"")</f>
        <v/>
      </c>
      <c r="O1569" s="23" t="b">
        <f>IFERROR(VLOOKUP(A1569, Entries!A:I,8,false),"")</f>
        <v>1</v>
      </c>
    </row>
    <row r="1570">
      <c r="A1570" s="78" t="s">
        <v>2071</v>
      </c>
      <c r="B1570" s="78" t="s">
        <v>23</v>
      </c>
      <c r="C1570" s="85">
        <v>44606.0</v>
      </c>
      <c r="D1570" s="85">
        <v>44610.0</v>
      </c>
      <c r="E1570" s="86">
        <v>9.19</v>
      </c>
      <c r="F1570" s="87">
        <v>10.87</v>
      </c>
      <c r="G1570" s="88">
        <f t="shared" si="1"/>
        <v>1.68</v>
      </c>
      <c r="H1570" s="89">
        <f t="shared" si="7"/>
        <v>0.1545538178</v>
      </c>
      <c r="I1570" s="78" t="s">
        <v>2072</v>
      </c>
      <c r="J1570" s="78" t="s">
        <v>69</v>
      </c>
      <c r="K1570" s="58">
        <f t="shared" si="3"/>
        <v>4</v>
      </c>
      <c r="L1570" s="91" t="str">
        <f t="shared" si="8"/>
        <v>Fri</v>
      </c>
      <c r="M1570" s="78" t="str">
        <f>IFERROR(VLOOKUP(A1570, Entries!A:B,2,false),"")</f>
        <v>CAPCOM</v>
      </c>
      <c r="N1570" s="23" t="str">
        <f>IFERROR(VLOOKUP(A1570, Entries!A:K,11,false),"")</f>
        <v/>
      </c>
      <c r="O1570" s="23" t="b">
        <f>IFERROR(VLOOKUP(A1570, Entries!A:I,8,false),"")</f>
        <v>0</v>
      </c>
    </row>
    <row r="1571">
      <c r="A1571" s="78" t="s">
        <v>1700</v>
      </c>
      <c r="B1571" s="78" t="s">
        <v>27</v>
      </c>
      <c r="C1571" s="85">
        <v>44606.0</v>
      </c>
      <c r="D1571" s="85">
        <v>44610.0</v>
      </c>
      <c r="E1571" s="86">
        <v>3.59</v>
      </c>
      <c r="F1571" s="87">
        <v>4.45</v>
      </c>
      <c r="G1571" s="88">
        <f t="shared" si="1"/>
        <v>0.86</v>
      </c>
      <c r="H1571" s="89">
        <f t="shared" si="7"/>
        <v>0.193258427</v>
      </c>
      <c r="I1571" s="78" t="s">
        <v>2073</v>
      </c>
      <c r="J1571" s="78" t="s">
        <v>69</v>
      </c>
      <c r="K1571" s="58">
        <f t="shared" si="3"/>
        <v>4</v>
      </c>
      <c r="L1571" s="91" t="str">
        <f t="shared" si="8"/>
        <v>Fri</v>
      </c>
      <c r="M1571" s="78" t="str">
        <f>IFERROR(VLOOKUP(A1571, Entries!A:B,2,false),"")</f>
        <v>Warner Bros</v>
      </c>
      <c r="N1571" s="23" t="str">
        <f>IFERROR(VLOOKUP(A1571, Entries!A:K,11,false),"")</f>
        <v/>
      </c>
      <c r="O1571" s="23" t="b">
        <f>IFERROR(VLOOKUP(A1571, Entries!A:I,8,false),"")</f>
        <v>1</v>
      </c>
    </row>
    <row r="1572">
      <c r="A1572" s="78" t="s">
        <v>1989</v>
      </c>
      <c r="B1572" s="78" t="s">
        <v>27</v>
      </c>
      <c r="C1572" s="85">
        <v>44607.0</v>
      </c>
      <c r="D1572" s="85">
        <v>44608.0</v>
      </c>
      <c r="E1572" s="86">
        <v>8.99</v>
      </c>
      <c r="F1572" s="87">
        <v>10.89</v>
      </c>
      <c r="G1572" s="88">
        <f t="shared" si="1"/>
        <v>1.9</v>
      </c>
      <c r="H1572" s="89">
        <f t="shared" si="7"/>
        <v>0.1744719927</v>
      </c>
      <c r="I1572" s="78" t="s">
        <v>2074</v>
      </c>
      <c r="J1572" s="78" t="s">
        <v>69</v>
      </c>
      <c r="K1572" s="58">
        <f t="shared" si="3"/>
        <v>1</v>
      </c>
      <c r="L1572" s="91" t="str">
        <f t="shared" si="8"/>
        <v>Wed</v>
      </c>
      <c r="M1572" s="78" t="str">
        <f>IFERROR(VLOOKUP(A1572, Entries!A:B,2,false),"")</f>
        <v>Rebellion</v>
      </c>
      <c r="N1572" s="23" t="str">
        <f>IFERROR(VLOOKUP(A1572, Entries!A:K,11,false),"")</f>
        <v/>
      </c>
      <c r="O1572" s="23" t="b">
        <f>IFERROR(VLOOKUP(A1572, Entries!A:I,8,false),"")</f>
        <v>1</v>
      </c>
    </row>
    <row r="1573">
      <c r="A1573" s="78" t="s">
        <v>2075</v>
      </c>
      <c r="B1573" s="78" t="s">
        <v>27</v>
      </c>
      <c r="C1573" s="85">
        <v>44607.0</v>
      </c>
      <c r="D1573" s="85">
        <v>44622.0</v>
      </c>
      <c r="E1573" s="86">
        <v>5.99</v>
      </c>
      <c r="F1573" s="87">
        <v>11.59</v>
      </c>
      <c r="G1573" s="88">
        <f t="shared" si="1"/>
        <v>5.6</v>
      </c>
      <c r="H1573" s="89">
        <f t="shared" si="7"/>
        <v>0.483175151</v>
      </c>
      <c r="I1573" s="78" t="s">
        <v>2076</v>
      </c>
      <c r="J1573" s="78" t="s">
        <v>69</v>
      </c>
      <c r="K1573" s="58">
        <f t="shared" si="3"/>
        <v>15</v>
      </c>
      <c r="L1573" s="91" t="str">
        <f t="shared" si="8"/>
        <v>Wed</v>
      </c>
      <c r="M1573" s="78" t="str">
        <f>IFERROR(VLOOKUP(A1573, Entries!A:B,2,false),"")</f>
        <v>Warner Bros</v>
      </c>
      <c r="N1573" s="23" t="str">
        <f>IFERROR(VLOOKUP(A1573, Entries!A:K,11,false),"")</f>
        <v/>
      </c>
      <c r="O1573" s="23" t="b">
        <f>IFERROR(VLOOKUP(A1573, Entries!A:I,8,false),"")</f>
        <v>0</v>
      </c>
    </row>
    <row r="1574">
      <c r="A1574" s="78" t="s">
        <v>2016</v>
      </c>
      <c r="B1574" s="78" t="s">
        <v>30</v>
      </c>
      <c r="C1574" s="85">
        <v>44608.0</v>
      </c>
      <c r="D1574" s="85">
        <v>44609.0</v>
      </c>
      <c r="E1574" s="86">
        <v>3.69</v>
      </c>
      <c r="F1574" s="87">
        <v>4.69</v>
      </c>
      <c r="G1574" s="88">
        <f t="shared" si="1"/>
        <v>1</v>
      </c>
      <c r="H1574" s="89">
        <f t="shared" si="7"/>
        <v>0.2132196162</v>
      </c>
      <c r="I1574" s="78" t="s">
        <v>2077</v>
      </c>
      <c r="J1574" s="78" t="s">
        <v>69</v>
      </c>
      <c r="K1574" s="58">
        <f t="shared" si="3"/>
        <v>1</v>
      </c>
      <c r="L1574" s="91" t="str">
        <f t="shared" si="8"/>
        <v>Thu</v>
      </c>
      <c r="M1574" s="78" t="str">
        <f>IFERROR(VLOOKUP(A1574, Entries!A:B,2,false),"")</f>
        <v>Ironhide Game Studio</v>
      </c>
      <c r="N1574" s="23" t="str">
        <f>IFERROR(VLOOKUP(A1574, Entries!A:K,11,false),"")</f>
        <v/>
      </c>
      <c r="O1574" s="23" t="b">
        <f>IFERROR(VLOOKUP(A1574, Entries!A:I,8,false),"")</f>
        <v>1</v>
      </c>
    </row>
    <row r="1575">
      <c r="A1575" s="78" t="s">
        <v>2078</v>
      </c>
      <c r="B1575" s="78" t="s">
        <v>19</v>
      </c>
      <c r="C1575" s="85">
        <v>44608.0</v>
      </c>
      <c r="D1575" s="85">
        <v>44608.0</v>
      </c>
      <c r="E1575" s="86">
        <v>0.92</v>
      </c>
      <c r="F1575" s="87">
        <v>1.48</v>
      </c>
      <c r="G1575" s="88">
        <f t="shared" si="1"/>
        <v>0.56</v>
      </c>
      <c r="H1575" s="89">
        <f t="shared" si="7"/>
        <v>0.3783783784</v>
      </c>
      <c r="I1575" s="78" t="s">
        <v>2079</v>
      </c>
      <c r="J1575" s="78" t="s">
        <v>69</v>
      </c>
      <c r="K1575" s="58">
        <f t="shared" si="3"/>
        <v>0</v>
      </c>
      <c r="L1575" s="91" t="str">
        <f t="shared" si="8"/>
        <v>Wed</v>
      </c>
      <c r="M1575" s="78" t="str">
        <f>IFERROR(VLOOKUP(A1575, Entries!A:B,2,false),"")</f>
        <v>Zeboyd Games</v>
      </c>
      <c r="N1575" s="23" t="str">
        <f>IFERROR(VLOOKUP(A1575, Entries!A:K,11,false),"")</f>
        <v/>
      </c>
      <c r="O1575" s="23" t="b">
        <f>IFERROR(VLOOKUP(A1575, Entries!A:I,8,false),"")</f>
        <v>0</v>
      </c>
    </row>
    <row r="1576">
      <c r="A1576" s="78" t="s">
        <v>2016</v>
      </c>
      <c r="B1576" s="78" t="s">
        <v>30</v>
      </c>
      <c r="C1576" s="85">
        <v>44609.0</v>
      </c>
      <c r="D1576" s="85">
        <v>44610.0</v>
      </c>
      <c r="E1576" s="86">
        <v>3.66</v>
      </c>
      <c r="F1576" s="87">
        <v>4.69</v>
      </c>
      <c r="G1576" s="88">
        <f t="shared" si="1"/>
        <v>1.03</v>
      </c>
      <c r="H1576" s="89">
        <f t="shared" si="7"/>
        <v>0.2196162047</v>
      </c>
      <c r="I1576" s="78" t="s">
        <v>2080</v>
      </c>
      <c r="J1576" s="78" t="s">
        <v>69</v>
      </c>
      <c r="K1576" s="58">
        <f t="shared" si="3"/>
        <v>1</v>
      </c>
      <c r="L1576" s="91" t="str">
        <f t="shared" si="8"/>
        <v>Fri</v>
      </c>
      <c r="M1576" s="78" t="str">
        <f>IFERROR(VLOOKUP(A1576, Entries!A:B,2,false),"")</f>
        <v>Ironhide Game Studio</v>
      </c>
      <c r="N1576" s="23" t="str">
        <f>IFERROR(VLOOKUP(A1576, Entries!A:K,11,false),"")</f>
        <v/>
      </c>
      <c r="O1576" s="23" t="b">
        <f>IFERROR(VLOOKUP(A1576, Entries!A:I,8,false),"")</f>
        <v>1</v>
      </c>
    </row>
    <row r="1577">
      <c r="A1577" s="78" t="s">
        <v>2078</v>
      </c>
      <c r="B1577" s="78" t="s">
        <v>19</v>
      </c>
      <c r="C1577" s="85">
        <v>44609.0</v>
      </c>
      <c r="D1577" s="85">
        <v>44680.0</v>
      </c>
      <c r="E1577" s="86">
        <v>0.92</v>
      </c>
      <c r="F1577" s="87">
        <v>2.66</v>
      </c>
      <c r="G1577" s="88">
        <f t="shared" si="1"/>
        <v>1.74</v>
      </c>
      <c r="H1577" s="89">
        <f t="shared" si="7"/>
        <v>0.6541353383</v>
      </c>
      <c r="I1577" s="78" t="s">
        <v>2081</v>
      </c>
      <c r="J1577" s="78" t="s">
        <v>69</v>
      </c>
      <c r="K1577" s="58">
        <f t="shared" si="3"/>
        <v>71</v>
      </c>
      <c r="L1577" s="91" t="str">
        <f t="shared" si="8"/>
        <v>Fri</v>
      </c>
      <c r="M1577" s="78" t="str">
        <f>IFERROR(VLOOKUP(A1577, Entries!A:B,2,false),"")</f>
        <v>Zeboyd Games</v>
      </c>
      <c r="N1577" s="23" t="str">
        <f>IFERROR(VLOOKUP(A1577, Entries!A:K,11,false),"")</f>
        <v/>
      </c>
      <c r="O1577" s="23" t="b">
        <f>IFERROR(VLOOKUP(A1577, Entries!A:I,8,false),"")</f>
        <v>0</v>
      </c>
    </row>
    <row r="1578">
      <c r="A1578" s="78" t="s">
        <v>1989</v>
      </c>
      <c r="B1578" s="78" t="s">
        <v>27</v>
      </c>
      <c r="C1578" s="85">
        <v>44609.0</v>
      </c>
      <c r="D1578" s="85">
        <v>44610.0</v>
      </c>
      <c r="E1578" s="86">
        <v>8.99</v>
      </c>
      <c r="F1578" s="87">
        <v>10.89</v>
      </c>
      <c r="G1578" s="88">
        <f t="shared" si="1"/>
        <v>1.9</v>
      </c>
      <c r="H1578" s="89">
        <f t="shared" si="7"/>
        <v>0.1744719927</v>
      </c>
      <c r="I1578" s="78" t="s">
        <v>2082</v>
      </c>
      <c r="J1578" s="78" t="s">
        <v>69</v>
      </c>
      <c r="K1578" s="58">
        <f t="shared" si="3"/>
        <v>1</v>
      </c>
      <c r="L1578" s="91" t="str">
        <f t="shared" si="8"/>
        <v>Fri</v>
      </c>
      <c r="M1578" s="78" t="str">
        <f>IFERROR(VLOOKUP(A1578, Entries!A:B,2,false),"")</f>
        <v>Rebellion</v>
      </c>
      <c r="N1578" s="23" t="str">
        <f>IFERROR(VLOOKUP(A1578, Entries!A:K,11,false),"")</f>
        <v/>
      </c>
      <c r="O1578" s="23" t="b">
        <f>IFERROR(VLOOKUP(A1578, Entries!A:I,8,false),"")</f>
        <v>1</v>
      </c>
    </row>
    <row r="1579">
      <c r="A1579" s="94" t="s">
        <v>2083</v>
      </c>
      <c r="B1579" s="78" t="s">
        <v>22</v>
      </c>
      <c r="C1579" s="85">
        <v>44610.0</v>
      </c>
      <c r="D1579" s="85">
        <v>45587.0</v>
      </c>
      <c r="E1579" s="86">
        <v>8.82</v>
      </c>
      <c r="F1579" s="87">
        <v>7.3</v>
      </c>
      <c r="G1579" s="88">
        <f t="shared" si="1"/>
        <v>-1.52</v>
      </c>
      <c r="H1579" s="89">
        <f t="shared" si="7"/>
        <v>-0.2082191781</v>
      </c>
      <c r="I1579" s="78" t="s">
        <v>2084</v>
      </c>
      <c r="J1579" s="78" t="s">
        <v>69</v>
      </c>
      <c r="K1579" s="58">
        <f t="shared" si="3"/>
        <v>977</v>
      </c>
      <c r="L1579" s="91" t="str">
        <f t="shared" si="8"/>
        <v>Tue</v>
      </c>
      <c r="M1579" s="78" t="str">
        <f>IFERROR(VLOOKUP(A1579, Entries!A:B,2,false),"")</f>
        <v>Square Enix</v>
      </c>
      <c r="N1579" s="23" t="str">
        <f>IFERROR(VLOOKUP(A1579, Entries!A:K,11,false),"")</f>
        <v/>
      </c>
      <c r="O1579" s="23" t="b">
        <f>IFERROR(VLOOKUP(A1579, Entries!A:I,8,false),"")</f>
        <v>0</v>
      </c>
    </row>
    <row r="1580">
      <c r="A1580" s="78" t="s">
        <v>1989</v>
      </c>
      <c r="B1580" s="78" t="s">
        <v>27</v>
      </c>
      <c r="C1580" s="85">
        <v>44610.0</v>
      </c>
      <c r="D1580" s="85">
        <v>44611.0</v>
      </c>
      <c r="E1580" s="86">
        <v>8.99</v>
      </c>
      <c r="F1580" s="87">
        <v>10.89</v>
      </c>
      <c r="G1580" s="88">
        <f t="shared" si="1"/>
        <v>1.9</v>
      </c>
      <c r="H1580" s="89">
        <f t="shared" si="7"/>
        <v>0.1744719927</v>
      </c>
      <c r="I1580" s="78" t="s">
        <v>2085</v>
      </c>
      <c r="J1580" s="78" t="s">
        <v>69</v>
      </c>
      <c r="K1580" s="58">
        <f t="shared" si="3"/>
        <v>1</v>
      </c>
      <c r="L1580" s="91" t="str">
        <f t="shared" si="8"/>
        <v>Sat</v>
      </c>
      <c r="M1580" s="78" t="str">
        <f>IFERROR(VLOOKUP(A1580, Entries!A:B,2,false),"")</f>
        <v>Rebellion</v>
      </c>
      <c r="N1580" s="23" t="str">
        <f>IFERROR(VLOOKUP(A1580, Entries!A:K,11,false),"")</f>
        <v/>
      </c>
      <c r="O1580" s="23" t="b">
        <f>IFERROR(VLOOKUP(A1580, Entries!A:I,8,false),"")</f>
        <v>1</v>
      </c>
    </row>
    <row r="1581">
      <c r="A1581" s="78" t="s">
        <v>2078</v>
      </c>
      <c r="B1581" s="78" t="s">
        <v>19</v>
      </c>
      <c r="C1581" s="85">
        <v>44610.0</v>
      </c>
      <c r="D1581" s="85">
        <v>44708.0</v>
      </c>
      <c r="E1581" s="86">
        <v>0.87</v>
      </c>
      <c r="F1581" s="87">
        <v>2.6</v>
      </c>
      <c r="G1581" s="88">
        <f t="shared" si="1"/>
        <v>1.73</v>
      </c>
      <c r="H1581" s="89">
        <f t="shared" si="7"/>
        <v>0.6653846154</v>
      </c>
      <c r="I1581" s="78" t="s">
        <v>2086</v>
      </c>
      <c r="J1581" s="78" t="s">
        <v>69</v>
      </c>
      <c r="K1581" s="58">
        <f t="shared" si="3"/>
        <v>98</v>
      </c>
      <c r="L1581" s="91" t="str">
        <f t="shared" si="8"/>
        <v>Fri</v>
      </c>
      <c r="M1581" s="78" t="str">
        <f>IFERROR(VLOOKUP(A1581, Entries!A:B,2,false),"")</f>
        <v>Zeboyd Games</v>
      </c>
      <c r="N1581" s="23" t="str">
        <f>IFERROR(VLOOKUP(A1581, Entries!A:K,11,false),"")</f>
        <v/>
      </c>
      <c r="O1581" s="23" t="b">
        <f>IFERROR(VLOOKUP(A1581, Entries!A:I,8,false),"")</f>
        <v>0</v>
      </c>
    </row>
    <row r="1582">
      <c r="A1582" s="78" t="s">
        <v>1729</v>
      </c>
      <c r="B1582" s="78" t="s">
        <v>19</v>
      </c>
      <c r="C1582" s="85">
        <v>44610.0</v>
      </c>
      <c r="D1582" s="85">
        <v>44610.0</v>
      </c>
      <c r="E1582" s="86">
        <v>6.11</v>
      </c>
      <c r="F1582" s="87">
        <v>12.11</v>
      </c>
      <c r="G1582" s="88">
        <f t="shared" si="1"/>
        <v>6</v>
      </c>
      <c r="H1582" s="89">
        <f t="shared" si="7"/>
        <v>0.4954582989</v>
      </c>
      <c r="I1582" s="78" t="s">
        <v>2087</v>
      </c>
      <c r="J1582" s="78" t="s">
        <v>69</v>
      </c>
      <c r="K1582" s="58">
        <f t="shared" si="3"/>
        <v>0</v>
      </c>
      <c r="L1582" s="91" t="str">
        <f t="shared" si="8"/>
        <v>Fri</v>
      </c>
      <c r="M1582" s="78" t="str">
        <f>IFERROR(VLOOKUP(A1582, Entries!A:B,2,false),"")</f>
        <v>Focus Home Interactive</v>
      </c>
      <c r="N1582" s="23" t="str">
        <f>IFERROR(VLOOKUP(A1582, Entries!A:K,11,false),"")</f>
        <v/>
      </c>
      <c r="O1582" s="23" t="b">
        <f>IFERROR(VLOOKUP(A1582, Entries!A:I,8,false),"")</f>
        <v>0</v>
      </c>
    </row>
    <row r="1583">
      <c r="A1583" s="78" t="s">
        <v>207</v>
      </c>
      <c r="B1583" s="78" t="s">
        <v>19</v>
      </c>
      <c r="C1583" s="85">
        <v>44610.0</v>
      </c>
      <c r="D1583" s="85">
        <v>44629.0</v>
      </c>
      <c r="E1583" s="86">
        <v>5.5</v>
      </c>
      <c r="F1583" s="87">
        <v>8.77</v>
      </c>
      <c r="G1583" s="88">
        <f t="shared" si="1"/>
        <v>3.27</v>
      </c>
      <c r="H1583" s="89">
        <f t="shared" si="7"/>
        <v>0.3728620296</v>
      </c>
      <c r="I1583" s="78" t="s">
        <v>2088</v>
      </c>
      <c r="J1583" s="78" t="s">
        <v>69</v>
      </c>
      <c r="K1583" s="58">
        <f t="shared" si="3"/>
        <v>19</v>
      </c>
      <c r="L1583" s="91" t="str">
        <f t="shared" si="8"/>
        <v>Wed</v>
      </c>
      <c r="M1583" s="78" t="str">
        <f>IFERROR(VLOOKUP(A1583, Entries!A:B,2,false),"")</f>
        <v>Square Enix</v>
      </c>
      <c r="N1583" s="23" t="str">
        <f>IFERROR(VLOOKUP(A1583, Entries!A:K,11,false),"")</f>
        <v/>
      </c>
      <c r="O1583" s="23" t="b">
        <f>IFERROR(VLOOKUP(A1583, Entries!A:I,8,false),"")</f>
        <v>0</v>
      </c>
    </row>
    <row r="1584">
      <c r="A1584" s="78" t="s">
        <v>207</v>
      </c>
      <c r="B1584" s="78" t="s">
        <v>19</v>
      </c>
      <c r="C1584" s="85">
        <v>44610.0</v>
      </c>
      <c r="D1584" s="85">
        <v>44631.0</v>
      </c>
      <c r="E1584" s="86">
        <v>5.5</v>
      </c>
      <c r="F1584" s="87">
        <v>8.77</v>
      </c>
      <c r="G1584" s="88">
        <f t="shared" si="1"/>
        <v>3.27</v>
      </c>
      <c r="H1584" s="89">
        <f t="shared" si="7"/>
        <v>0.3728620296</v>
      </c>
      <c r="I1584" s="78" t="s">
        <v>2089</v>
      </c>
      <c r="J1584" s="78" t="s">
        <v>69</v>
      </c>
      <c r="K1584" s="58">
        <f t="shared" si="3"/>
        <v>21</v>
      </c>
      <c r="L1584" s="91" t="str">
        <f t="shared" si="8"/>
        <v>Fri</v>
      </c>
      <c r="M1584" s="78" t="str">
        <f>IFERROR(VLOOKUP(A1584, Entries!A:B,2,false),"")</f>
        <v>Square Enix</v>
      </c>
      <c r="N1584" s="23" t="str">
        <f>IFERROR(VLOOKUP(A1584, Entries!A:K,11,false),"")</f>
        <v/>
      </c>
      <c r="O1584" s="23" t="b">
        <f>IFERROR(VLOOKUP(A1584, Entries!A:I,8,false),"")</f>
        <v>0</v>
      </c>
    </row>
    <row r="1585">
      <c r="A1585" s="78" t="s">
        <v>1745</v>
      </c>
      <c r="B1585" s="78" t="s">
        <v>23</v>
      </c>
      <c r="C1585" s="85">
        <v>44610.0</v>
      </c>
      <c r="D1585" s="85">
        <v>44621.0</v>
      </c>
      <c r="E1585" s="86">
        <v>13.79</v>
      </c>
      <c r="F1585" s="87">
        <v>14.33</v>
      </c>
      <c r="G1585" s="88">
        <f t="shared" si="1"/>
        <v>0.54</v>
      </c>
      <c r="H1585" s="89">
        <f t="shared" si="7"/>
        <v>0.03768318214</v>
      </c>
      <c r="I1585" s="78" t="s">
        <v>2090</v>
      </c>
      <c r="J1585" s="78" t="s">
        <v>69</v>
      </c>
      <c r="K1585" s="58">
        <f t="shared" si="3"/>
        <v>11</v>
      </c>
      <c r="L1585" s="91" t="str">
        <f t="shared" si="8"/>
        <v>Tue</v>
      </c>
      <c r="M1585" s="78" t="str">
        <f>IFERROR(VLOOKUP(A1585, Entries!A:B,2,false),"")</f>
        <v>Dear Villagers</v>
      </c>
      <c r="N1585" s="23" t="str">
        <f>IFERROR(VLOOKUP(A1585, Entries!A:K,11,false),"")</f>
        <v/>
      </c>
      <c r="O1585" s="23" t="b">
        <f>IFERROR(VLOOKUP(A1585, Entries!A:I,8,false),"")</f>
        <v>0</v>
      </c>
    </row>
    <row r="1586">
      <c r="A1586" s="78" t="s">
        <v>2071</v>
      </c>
      <c r="B1586" s="78" t="s">
        <v>23</v>
      </c>
      <c r="C1586" s="85">
        <v>44610.0</v>
      </c>
      <c r="D1586" s="85">
        <v>44612.0</v>
      </c>
      <c r="E1586" s="86">
        <v>9.19</v>
      </c>
      <c r="F1586" s="87">
        <v>10.44</v>
      </c>
      <c r="G1586" s="88">
        <f t="shared" si="1"/>
        <v>1.25</v>
      </c>
      <c r="H1586" s="89">
        <f t="shared" si="7"/>
        <v>0.1197318008</v>
      </c>
      <c r="I1586" s="78" t="s">
        <v>2091</v>
      </c>
      <c r="J1586" s="78" t="s">
        <v>69</v>
      </c>
      <c r="K1586" s="58">
        <f t="shared" si="3"/>
        <v>2</v>
      </c>
      <c r="L1586" s="91" t="str">
        <f t="shared" si="8"/>
        <v>Sun</v>
      </c>
      <c r="M1586" s="78" t="str">
        <f>IFERROR(VLOOKUP(A1586, Entries!A:B,2,false),"")</f>
        <v>CAPCOM</v>
      </c>
      <c r="N1586" s="23" t="str">
        <f>IFERROR(VLOOKUP(A1586, Entries!A:K,11,false),"")</f>
        <v/>
      </c>
      <c r="O1586" s="23" t="b">
        <f>IFERROR(VLOOKUP(A1586, Entries!A:I,8,false),"")</f>
        <v>0</v>
      </c>
    </row>
    <row r="1587">
      <c r="A1587" s="78" t="s">
        <v>2016</v>
      </c>
      <c r="B1587" s="78" t="s">
        <v>30</v>
      </c>
      <c r="C1587" s="85">
        <v>44610.0</v>
      </c>
      <c r="D1587" s="85">
        <v>44611.0</v>
      </c>
      <c r="E1587" s="86">
        <v>3.67</v>
      </c>
      <c r="F1587" s="87">
        <v>4.66</v>
      </c>
      <c r="G1587" s="88">
        <f t="shared" si="1"/>
        <v>0.99</v>
      </c>
      <c r="H1587" s="89">
        <f t="shared" si="7"/>
        <v>0.2124463519</v>
      </c>
      <c r="I1587" s="78" t="s">
        <v>2092</v>
      </c>
      <c r="J1587" s="78" t="s">
        <v>69</v>
      </c>
      <c r="K1587" s="58">
        <f t="shared" si="3"/>
        <v>1</v>
      </c>
      <c r="L1587" s="91" t="str">
        <f t="shared" si="8"/>
        <v>Sat</v>
      </c>
      <c r="M1587" s="78" t="str">
        <f>IFERROR(VLOOKUP(A1587, Entries!A:B,2,false),"")</f>
        <v>Ironhide Game Studio</v>
      </c>
      <c r="N1587" s="23" t="str">
        <f>IFERROR(VLOOKUP(A1587, Entries!A:K,11,false),"")</f>
        <v/>
      </c>
      <c r="O1587" s="23" t="b">
        <f>IFERROR(VLOOKUP(A1587, Entries!A:I,8,false),"")</f>
        <v>1</v>
      </c>
    </row>
    <row r="1588">
      <c r="A1588" s="78" t="s">
        <v>1729</v>
      </c>
      <c r="B1588" s="78" t="s">
        <v>19</v>
      </c>
      <c r="C1588" s="85">
        <v>44610.0</v>
      </c>
      <c r="D1588" s="85">
        <v>44642.0</v>
      </c>
      <c r="E1588" s="86">
        <v>6.11</v>
      </c>
      <c r="F1588" s="87">
        <v>10.74</v>
      </c>
      <c r="G1588" s="88">
        <f t="shared" si="1"/>
        <v>4.63</v>
      </c>
      <c r="H1588" s="89">
        <f t="shared" si="7"/>
        <v>0.4310986965</v>
      </c>
      <c r="I1588" s="78" t="s">
        <v>2093</v>
      </c>
      <c r="J1588" s="78" t="s">
        <v>69</v>
      </c>
      <c r="K1588" s="58">
        <f t="shared" si="3"/>
        <v>32</v>
      </c>
      <c r="L1588" s="91" t="str">
        <f t="shared" si="8"/>
        <v>Tue</v>
      </c>
      <c r="M1588" s="78" t="str">
        <f>IFERROR(VLOOKUP(A1588, Entries!A:B,2,false),"")</f>
        <v>Focus Home Interactive</v>
      </c>
      <c r="N1588" s="23" t="str">
        <f>IFERROR(VLOOKUP(A1588, Entries!A:K,11,false),"")</f>
        <v/>
      </c>
      <c r="O1588" s="23" t="b">
        <f>IFERROR(VLOOKUP(A1588, Entries!A:I,8,false),"")</f>
        <v>0</v>
      </c>
    </row>
    <row r="1589">
      <c r="A1589" s="78" t="s">
        <v>1700</v>
      </c>
      <c r="B1589" s="78" t="s">
        <v>27</v>
      </c>
      <c r="C1589" s="85">
        <v>44610.0</v>
      </c>
      <c r="D1589" s="85">
        <v>44611.0</v>
      </c>
      <c r="E1589" s="86">
        <v>3.59</v>
      </c>
      <c r="F1589" s="87">
        <v>4.45</v>
      </c>
      <c r="G1589" s="88">
        <f t="shared" si="1"/>
        <v>0.86</v>
      </c>
      <c r="H1589" s="89">
        <f t="shared" si="7"/>
        <v>0.193258427</v>
      </c>
      <c r="I1589" s="78" t="s">
        <v>2094</v>
      </c>
      <c r="J1589" s="78" t="s">
        <v>69</v>
      </c>
      <c r="K1589" s="58">
        <f t="shared" si="3"/>
        <v>1</v>
      </c>
      <c r="L1589" s="91" t="str">
        <f t="shared" si="8"/>
        <v>Sat</v>
      </c>
      <c r="M1589" s="78" t="str">
        <f>IFERROR(VLOOKUP(A1589, Entries!A:B,2,false),"")</f>
        <v>Warner Bros</v>
      </c>
      <c r="N1589" s="23" t="str">
        <f>IFERROR(VLOOKUP(A1589, Entries!A:K,11,false),"")</f>
        <v/>
      </c>
      <c r="O1589" s="23" t="b">
        <f>IFERROR(VLOOKUP(A1589, Entries!A:I,8,false),"")</f>
        <v>1</v>
      </c>
    </row>
    <row r="1590">
      <c r="A1590" s="78" t="s">
        <v>2031</v>
      </c>
      <c r="B1590" s="78" t="s">
        <v>23</v>
      </c>
      <c r="C1590" s="85">
        <v>44610.0</v>
      </c>
      <c r="D1590" s="85">
        <v>44614.0</v>
      </c>
      <c r="E1590" s="86">
        <v>15.99</v>
      </c>
      <c r="F1590" s="87">
        <v>18.98</v>
      </c>
      <c r="G1590" s="88">
        <f t="shared" si="1"/>
        <v>2.99</v>
      </c>
      <c r="H1590" s="89">
        <f t="shared" si="7"/>
        <v>0.1575342466</v>
      </c>
      <c r="I1590" s="78" t="s">
        <v>2095</v>
      </c>
      <c r="J1590" s="78" t="s">
        <v>69</v>
      </c>
      <c r="K1590" s="58">
        <f t="shared" si="3"/>
        <v>4</v>
      </c>
      <c r="L1590" s="91" t="str">
        <f t="shared" si="8"/>
        <v>Tue</v>
      </c>
      <c r="M1590" s="78" t="str">
        <f>IFERROR(VLOOKUP(A1590, Entries!A:B,2,false),"")</f>
        <v>KOEI TECMO GAMES</v>
      </c>
      <c r="N1590" s="23" t="str">
        <f>IFERROR(VLOOKUP(A1590, Entries!A:K,11,false),"")</f>
        <v/>
      </c>
      <c r="O1590" s="23" t="b">
        <f>IFERROR(VLOOKUP(A1590, Entries!A:I,8,false),"")</f>
        <v>0</v>
      </c>
    </row>
    <row r="1591">
      <c r="A1591" s="78" t="s">
        <v>2096</v>
      </c>
      <c r="B1591" s="78" t="s">
        <v>21</v>
      </c>
      <c r="C1591" s="85">
        <v>44610.0</v>
      </c>
      <c r="D1591" s="85">
        <v>44614.0</v>
      </c>
      <c r="E1591" s="86">
        <v>4.09</v>
      </c>
      <c r="F1591" s="87">
        <v>4.96</v>
      </c>
      <c r="G1591" s="88">
        <f t="shared" si="1"/>
        <v>0.87</v>
      </c>
      <c r="H1591" s="89">
        <f t="shared" si="7"/>
        <v>0.1754032258</v>
      </c>
      <c r="I1591" s="78" t="s">
        <v>2097</v>
      </c>
      <c r="J1591" s="78" t="s">
        <v>69</v>
      </c>
      <c r="K1591" s="58">
        <f t="shared" si="3"/>
        <v>4</v>
      </c>
      <c r="L1591" s="91" t="str">
        <f t="shared" si="8"/>
        <v>Tue</v>
      </c>
      <c r="M1591" s="78" t="str">
        <f>IFERROR(VLOOKUP(A1591, Entries!A:B,2,false),"")</f>
        <v>Subset Games</v>
      </c>
      <c r="N1591" s="23" t="str">
        <f>IFERROR(VLOOKUP(A1591, Entries!A:K,11,false),"")</f>
        <v/>
      </c>
      <c r="O1591" s="23" t="b">
        <f>IFERROR(VLOOKUP(A1591, Entries!A:I,8,false),"")</f>
        <v>0</v>
      </c>
    </row>
    <row r="1592">
      <c r="A1592" s="78" t="s">
        <v>1729</v>
      </c>
      <c r="B1592" s="78" t="s">
        <v>19</v>
      </c>
      <c r="C1592" s="85">
        <v>44610.0</v>
      </c>
      <c r="D1592" s="85">
        <v>44643.0</v>
      </c>
      <c r="E1592" s="86">
        <v>6.11</v>
      </c>
      <c r="F1592" s="87">
        <v>10.74</v>
      </c>
      <c r="G1592" s="88">
        <f t="shared" si="1"/>
        <v>4.63</v>
      </c>
      <c r="H1592" s="89">
        <f t="shared" si="7"/>
        <v>0.4310986965</v>
      </c>
      <c r="I1592" s="78" t="s">
        <v>2098</v>
      </c>
      <c r="J1592" s="78" t="s">
        <v>69</v>
      </c>
      <c r="K1592" s="58">
        <f t="shared" si="3"/>
        <v>33</v>
      </c>
      <c r="L1592" s="91" t="str">
        <f t="shared" si="8"/>
        <v>Wed</v>
      </c>
      <c r="M1592" s="78" t="str">
        <f>IFERROR(VLOOKUP(A1592, Entries!A:B,2,false),"")</f>
        <v>Focus Home Interactive</v>
      </c>
      <c r="N1592" s="23" t="str">
        <f>IFERROR(VLOOKUP(A1592, Entries!A:K,11,false),"")</f>
        <v/>
      </c>
      <c r="O1592" s="23" t="b">
        <f>IFERROR(VLOOKUP(A1592, Entries!A:I,8,false),"")</f>
        <v>0</v>
      </c>
    </row>
    <row r="1593">
      <c r="A1593" s="78" t="s">
        <v>1989</v>
      </c>
      <c r="B1593" s="78" t="s">
        <v>27</v>
      </c>
      <c r="C1593" s="85">
        <v>44611.0</v>
      </c>
      <c r="D1593" s="85">
        <v>44615.0</v>
      </c>
      <c r="E1593" s="86">
        <v>8.99</v>
      </c>
      <c r="F1593" s="87">
        <v>10.76</v>
      </c>
      <c r="G1593" s="88">
        <f t="shared" si="1"/>
        <v>1.77</v>
      </c>
      <c r="H1593" s="89">
        <f t="shared" si="7"/>
        <v>0.1644981413</v>
      </c>
      <c r="I1593" s="78" t="s">
        <v>2099</v>
      </c>
      <c r="J1593" s="78" t="s">
        <v>69</v>
      </c>
      <c r="K1593" s="58">
        <f t="shared" si="3"/>
        <v>4</v>
      </c>
      <c r="L1593" s="91" t="str">
        <f t="shared" si="8"/>
        <v>Wed</v>
      </c>
      <c r="M1593" s="78" t="str">
        <f>IFERROR(VLOOKUP(A1593, Entries!A:B,2,false),"")</f>
        <v>Rebellion</v>
      </c>
      <c r="N1593" s="23" t="str">
        <f>IFERROR(VLOOKUP(A1593, Entries!A:K,11,false),"")</f>
        <v/>
      </c>
      <c r="O1593" s="23" t="b">
        <f>IFERROR(VLOOKUP(A1593, Entries!A:I,8,false),"")</f>
        <v>1</v>
      </c>
    </row>
    <row r="1594">
      <c r="A1594" s="78" t="s">
        <v>1700</v>
      </c>
      <c r="B1594" s="78" t="s">
        <v>27</v>
      </c>
      <c r="C1594" s="85">
        <v>44611.0</v>
      </c>
      <c r="D1594" s="85">
        <v>44611.0</v>
      </c>
      <c r="E1594" s="86">
        <v>3.59</v>
      </c>
      <c r="F1594" s="87">
        <v>4.45</v>
      </c>
      <c r="G1594" s="88">
        <f t="shared" si="1"/>
        <v>0.86</v>
      </c>
      <c r="H1594" s="89">
        <f t="shared" si="7"/>
        <v>0.193258427</v>
      </c>
      <c r="I1594" s="78" t="s">
        <v>2100</v>
      </c>
      <c r="J1594" s="78" t="s">
        <v>69</v>
      </c>
      <c r="K1594" s="58">
        <f t="shared" si="3"/>
        <v>0</v>
      </c>
      <c r="L1594" s="91" t="str">
        <f t="shared" si="8"/>
        <v>Sat</v>
      </c>
      <c r="M1594" s="78" t="str">
        <f>IFERROR(VLOOKUP(A1594, Entries!A:B,2,false),"")</f>
        <v>Warner Bros</v>
      </c>
      <c r="N1594" s="23" t="str">
        <f>IFERROR(VLOOKUP(A1594, Entries!A:K,11,false),"")</f>
        <v/>
      </c>
      <c r="O1594" s="23" t="b">
        <f>IFERROR(VLOOKUP(A1594, Entries!A:I,8,false),"")</f>
        <v>1</v>
      </c>
    </row>
    <row r="1595">
      <c r="A1595" s="78" t="s">
        <v>2101</v>
      </c>
      <c r="B1595" s="78" t="s">
        <v>27</v>
      </c>
      <c r="C1595" s="85">
        <v>44611.0</v>
      </c>
      <c r="D1595" s="85">
        <v>44617.0</v>
      </c>
      <c r="E1595" s="86">
        <v>10.19</v>
      </c>
      <c r="F1595" s="87">
        <v>12.03</v>
      </c>
      <c r="G1595" s="88">
        <f t="shared" si="1"/>
        <v>1.84</v>
      </c>
      <c r="H1595" s="89">
        <f t="shared" si="7"/>
        <v>0.1529509559</v>
      </c>
      <c r="I1595" s="78" t="s">
        <v>2102</v>
      </c>
      <c r="J1595" s="78" t="s">
        <v>69</v>
      </c>
      <c r="K1595" s="58">
        <f t="shared" si="3"/>
        <v>6</v>
      </c>
      <c r="L1595" s="91" t="str">
        <f t="shared" si="8"/>
        <v>Fri</v>
      </c>
      <c r="M1595" s="78" t="str">
        <f>IFERROR(VLOOKUP(A1595, Entries!A:B,2,false),"")</f>
        <v>Offworld Industries</v>
      </c>
      <c r="N1595" s="23" t="str">
        <f>IFERROR(VLOOKUP(A1595, Entries!A:K,11,false),"")</f>
        <v/>
      </c>
      <c r="O1595" s="23" t="b">
        <f>IFERROR(VLOOKUP(A1595, Entries!A:I,8,false),"")</f>
        <v>0</v>
      </c>
    </row>
    <row r="1596">
      <c r="A1596" s="78" t="s">
        <v>2016</v>
      </c>
      <c r="B1596" s="78" t="s">
        <v>30</v>
      </c>
      <c r="C1596" s="85">
        <v>44611.0</v>
      </c>
      <c r="D1596" s="85">
        <v>44612.0</v>
      </c>
      <c r="E1596" s="86">
        <v>3.67</v>
      </c>
      <c r="F1596" s="87">
        <v>4.66</v>
      </c>
      <c r="G1596" s="88">
        <f t="shared" si="1"/>
        <v>0.99</v>
      </c>
      <c r="H1596" s="89">
        <f t="shared" si="7"/>
        <v>0.2124463519</v>
      </c>
      <c r="I1596" s="78" t="s">
        <v>2103</v>
      </c>
      <c r="J1596" s="78" t="s">
        <v>69</v>
      </c>
      <c r="K1596" s="58">
        <f t="shared" si="3"/>
        <v>1</v>
      </c>
      <c r="L1596" s="91" t="str">
        <f t="shared" si="8"/>
        <v>Sun</v>
      </c>
      <c r="M1596" s="78" t="str">
        <f>IFERROR(VLOOKUP(A1596, Entries!A:B,2,false),"")</f>
        <v>Ironhide Game Studio</v>
      </c>
      <c r="N1596" s="23" t="str">
        <f>IFERROR(VLOOKUP(A1596, Entries!A:K,11,false),"")</f>
        <v/>
      </c>
      <c r="O1596" s="23" t="b">
        <f>IFERROR(VLOOKUP(A1596, Entries!A:I,8,false),"")</f>
        <v>1</v>
      </c>
    </row>
    <row r="1597">
      <c r="A1597" s="78" t="s">
        <v>1700</v>
      </c>
      <c r="B1597" s="78" t="s">
        <v>27</v>
      </c>
      <c r="C1597" s="85">
        <v>44611.0</v>
      </c>
      <c r="D1597" s="85">
        <v>44614.0</v>
      </c>
      <c r="E1597" s="86">
        <v>3.59</v>
      </c>
      <c r="F1597" s="87">
        <v>4.41</v>
      </c>
      <c r="G1597" s="88">
        <f t="shared" si="1"/>
        <v>0.82</v>
      </c>
      <c r="H1597" s="89">
        <f t="shared" si="7"/>
        <v>0.1859410431</v>
      </c>
      <c r="I1597" s="78" t="s">
        <v>2104</v>
      </c>
      <c r="J1597" s="78" t="s">
        <v>69</v>
      </c>
      <c r="K1597" s="58">
        <f t="shared" si="3"/>
        <v>3</v>
      </c>
      <c r="L1597" s="91" t="str">
        <f t="shared" si="8"/>
        <v>Tue</v>
      </c>
      <c r="M1597" s="78" t="str">
        <f>IFERROR(VLOOKUP(A1597, Entries!A:B,2,false),"")</f>
        <v>Warner Bros</v>
      </c>
      <c r="N1597" s="23" t="str">
        <f>IFERROR(VLOOKUP(A1597, Entries!A:K,11,false),"")</f>
        <v/>
      </c>
      <c r="O1597" s="23" t="b">
        <f>IFERROR(VLOOKUP(A1597, Entries!A:I,8,false),"")</f>
        <v>1</v>
      </c>
    </row>
    <row r="1598">
      <c r="A1598" s="78" t="s">
        <v>2071</v>
      </c>
      <c r="B1598" s="78" t="s">
        <v>23</v>
      </c>
      <c r="C1598" s="85">
        <v>44612.0</v>
      </c>
      <c r="D1598" s="85">
        <v>44614.0</v>
      </c>
      <c r="E1598" s="86">
        <v>9.2</v>
      </c>
      <c r="F1598" s="87">
        <v>10.35</v>
      </c>
      <c r="G1598" s="88">
        <f t="shared" si="1"/>
        <v>1.15</v>
      </c>
      <c r="H1598" s="89">
        <f t="shared" si="7"/>
        <v>0.1111111111</v>
      </c>
      <c r="I1598" s="78" t="s">
        <v>2105</v>
      </c>
      <c r="J1598" s="78" t="s">
        <v>69</v>
      </c>
      <c r="K1598" s="58">
        <f t="shared" si="3"/>
        <v>2</v>
      </c>
      <c r="L1598" s="91" t="str">
        <f t="shared" si="8"/>
        <v>Tue</v>
      </c>
      <c r="M1598" s="78" t="str">
        <f>IFERROR(VLOOKUP(A1598, Entries!A:B,2,false),"")</f>
        <v>CAPCOM</v>
      </c>
      <c r="N1598" s="23" t="str">
        <f>IFERROR(VLOOKUP(A1598, Entries!A:K,11,false),"")</f>
        <v/>
      </c>
      <c r="O1598" s="23" t="b">
        <f>IFERROR(VLOOKUP(A1598, Entries!A:I,8,false),"")</f>
        <v>0</v>
      </c>
    </row>
    <row r="1599">
      <c r="A1599" s="78" t="s">
        <v>2016</v>
      </c>
      <c r="B1599" s="78" t="s">
        <v>30</v>
      </c>
      <c r="C1599" s="85">
        <v>44612.0</v>
      </c>
      <c r="D1599" s="85">
        <v>44613.0</v>
      </c>
      <c r="E1599" s="86">
        <v>3.67</v>
      </c>
      <c r="F1599" s="87">
        <v>4.66</v>
      </c>
      <c r="G1599" s="88">
        <f t="shared" si="1"/>
        <v>0.99</v>
      </c>
      <c r="H1599" s="89">
        <f t="shared" si="7"/>
        <v>0.2124463519</v>
      </c>
      <c r="I1599" s="78" t="s">
        <v>2106</v>
      </c>
      <c r="J1599" s="78" t="s">
        <v>69</v>
      </c>
      <c r="K1599" s="58">
        <f t="shared" si="3"/>
        <v>1</v>
      </c>
      <c r="L1599" s="91" t="str">
        <f t="shared" si="8"/>
        <v>Mon</v>
      </c>
      <c r="M1599" s="78" t="str">
        <f>IFERROR(VLOOKUP(A1599, Entries!A:B,2,false),"")</f>
        <v>Ironhide Game Studio</v>
      </c>
      <c r="N1599" s="23" t="str">
        <f>IFERROR(VLOOKUP(A1599, Entries!A:K,11,false),"")</f>
        <v/>
      </c>
      <c r="O1599" s="23" t="b">
        <f>IFERROR(VLOOKUP(A1599, Entries!A:I,8,false),"")</f>
        <v>1</v>
      </c>
    </row>
    <row r="1600">
      <c r="A1600" s="78" t="s">
        <v>2016</v>
      </c>
      <c r="B1600" s="78" t="s">
        <v>30</v>
      </c>
      <c r="C1600" s="85">
        <v>44613.0</v>
      </c>
      <c r="D1600" s="85">
        <v>44614.0</v>
      </c>
      <c r="E1600" s="86">
        <v>3.67</v>
      </c>
      <c r="F1600" s="87">
        <v>4.66</v>
      </c>
      <c r="G1600" s="88">
        <f t="shared" si="1"/>
        <v>0.99</v>
      </c>
      <c r="H1600" s="89">
        <f t="shared" si="7"/>
        <v>0.2124463519</v>
      </c>
      <c r="I1600" s="78" t="s">
        <v>2107</v>
      </c>
      <c r="J1600" s="78" t="s">
        <v>69</v>
      </c>
      <c r="K1600" s="58">
        <f t="shared" si="3"/>
        <v>1</v>
      </c>
      <c r="L1600" s="91" t="str">
        <f t="shared" si="8"/>
        <v>Tue</v>
      </c>
      <c r="M1600" s="78" t="str">
        <f>IFERROR(VLOOKUP(A1600, Entries!A:B,2,false),"")</f>
        <v>Ironhide Game Studio</v>
      </c>
      <c r="N1600" s="23" t="str">
        <f>IFERROR(VLOOKUP(A1600, Entries!A:K,11,false),"")</f>
        <v/>
      </c>
      <c r="O1600" s="23" t="b">
        <f>IFERROR(VLOOKUP(A1600, Entries!A:I,8,false),"")</f>
        <v>1</v>
      </c>
    </row>
    <row r="1601">
      <c r="A1601" s="78" t="s">
        <v>2108</v>
      </c>
      <c r="B1601" s="78" t="s">
        <v>19</v>
      </c>
      <c r="C1601" s="85">
        <v>44613.0</v>
      </c>
      <c r="D1601" s="85">
        <v>44662.0</v>
      </c>
      <c r="E1601" s="86">
        <v>24.66</v>
      </c>
      <c r="F1601" s="87">
        <v>26.5</v>
      </c>
      <c r="G1601" s="88">
        <f t="shared" si="1"/>
        <v>1.84</v>
      </c>
      <c r="H1601" s="89">
        <f t="shared" si="7"/>
        <v>0.06943396226</v>
      </c>
      <c r="I1601" s="78" t="s">
        <v>2109</v>
      </c>
      <c r="J1601" s="78" t="s">
        <v>69</v>
      </c>
      <c r="K1601" s="58">
        <f t="shared" si="3"/>
        <v>49</v>
      </c>
      <c r="L1601" s="91" t="str">
        <f t="shared" si="8"/>
        <v>Mon</v>
      </c>
      <c r="M1601" s="78" t="str">
        <f>IFERROR(VLOOKUP(A1601, Entries!A:B,2,false),"")</f>
        <v>Focus Home Interactive</v>
      </c>
      <c r="N1601" s="23" t="str">
        <f>IFERROR(VLOOKUP(A1601, Entries!A:K,11,false),"")</f>
        <v/>
      </c>
      <c r="O1601" s="23" t="b">
        <f>IFERROR(VLOOKUP(A1601, Entries!A:I,8,false),"")</f>
        <v>0</v>
      </c>
    </row>
    <row r="1602">
      <c r="A1602" s="78" t="s">
        <v>1700</v>
      </c>
      <c r="B1602" s="78" t="s">
        <v>27</v>
      </c>
      <c r="C1602" s="85">
        <v>44614.0</v>
      </c>
      <c r="D1602" s="85">
        <v>44616.0</v>
      </c>
      <c r="E1602" s="86">
        <v>3.59</v>
      </c>
      <c r="F1602" s="87">
        <v>4.39</v>
      </c>
      <c r="G1602" s="88">
        <f t="shared" si="1"/>
        <v>0.8</v>
      </c>
      <c r="H1602" s="89">
        <f t="shared" si="7"/>
        <v>0.1822323462</v>
      </c>
      <c r="I1602" s="78" t="s">
        <v>2110</v>
      </c>
      <c r="J1602" s="78" t="s">
        <v>69</v>
      </c>
      <c r="K1602" s="58">
        <f t="shared" si="3"/>
        <v>2</v>
      </c>
      <c r="L1602" s="91" t="str">
        <f t="shared" si="8"/>
        <v>Thu</v>
      </c>
      <c r="M1602" s="78" t="str">
        <f>IFERROR(VLOOKUP(A1602, Entries!A:B,2,false),"")</f>
        <v>Warner Bros</v>
      </c>
      <c r="N1602" s="23" t="str">
        <f>IFERROR(VLOOKUP(A1602, Entries!A:K,11,false),"")</f>
        <v/>
      </c>
      <c r="O1602" s="23" t="b">
        <f>IFERROR(VLOOKUP(A1602, Entries!A:I,8,false),"")</f>
        <v>1</v>
      </c>
    </row>
    <row r="1603">
      <c r="A1603" s="78" t="s">
        <v>2016</v>
      </c>
      <c r="B1603" s="78" t="s">
        <v>30</v>
      </c>
      <c r="C1603" s="85">
        <v>44614.0</v>
      </c>
      <c r="D1603" s="85">
        <v>44615.0</v>
      </c>
      <c r="E1603" s="86">
        <v>3.68</v>
      </c>
      <c r="F1603" s="87">
        <v>4.66</v>
      </c>
      <c r="G1603" s="88">
        <f t="shared" si="1"/>
        <v>0.98</v>
      </c>
      <c r="H1603" s="89">
        <f t="shared" si="7"/>
        <v>0.2103004292</v>
      </c>
      <c r="I1603" s="78" t="s">
        <v>2111</v>
      </c>
      <c r="J1603" s="78" t="s">
        <v>69</v>
      </c>
      <c r="K1603" s="58">
        <f t="shared" si="3"/>
        <v>1</v>
      </c>
      <c r="L1603" s="91" t="str">
        <f t="shared" si="8"/>
        <v>Wed</v>
      </c>
      <c r="M1603" s="78" t="str">
        <f>IFERROR(VLOOKUP(A1603, Entries!A:B,2,false),"")</f>
        <v>Ironhide Game Studio</v>
      </c>
      <c r="N1603" s="23" t="str">
        <f>IFERROR(VLOOKUP(A1603, Entries!A:K,11,false),"")</f>
        <v/>
      </c>
      <c r="O1603" s="23" t="b">
        <f>IFERROR(VLOOKUP(A1603, Entries!A:I,8,false),"")</f>
        <v>1</v>
      </c>
    </row>
    <row r="1604">
      <c r="A1604" s="78" t="s">
        <v>368</v>
      </c>
      <c r="B1604" s="78" t="s">
        <v>22</v>
      </c>
      <c r="C1604" s="85">
        <v>44614.0</v>
      </c>
      <c r="D1604" s="85">
        <v>44615.0</v>
      </c>
      <c r="E1604" s="86">
        <v>5.52</v>
      </c>
      <c r="F1604" s="87">
        <v>6.62</v>
      </c>
      <c r="G1604" s="88">
        <f t="shared" si="1"/>
        <v>1.1</v>
      </c>
      <c r="H1604" s="89">
        <f t="shared" si="7"/>
        <v>0.166163142</v>
      </c>
      <c r="I1604" s="78" t="s">
        <v>2112</v>
      </c>
      <c r="J1604" s="78" t="s">
        <v>69</v>
      </c>
      <c r="K1604" s="58">
        <f t="shared" si="3"/>
        <v>1</v>
      </c>
      <c r="L1604" s="91" t="str">
        <f t="shared" si="8"/>
        <v>Wed</v>
      </c>
      <c r="M1604" s="78" t="str">
        <f>IFERROR(VLOOKUP(A1604, Entries!A:B,2,false),"")</f>
        <v>Autumn Games</v>
      </c>
      <c r="N1604" s="23" t="str">
        <f>IFERROR(VLOOKUP(A1604, Entries!A:K,11,false),"")</f>
        <v/>
      </c>
      <c r="O1604" s="23" t="b">
        <f>IFERROR(VLOOKUP(A1604, Entries!A:I,8,false),"")</f>
        <v>0</v>
      </c>
    </row>
    <row r="1605">
      <c r="A1605" s="78" t="s">
        <v>368</v>
      </c>
      <c r="B1605" s="78" t="s">
        <v>22</v>
      </c>
      <c r="C1605" s="85">
        <v>44614.0</v>
      </c>
      <c r="D1605" s="85">
        <v>44616.0</v>
      </c>
      <c r="E1605" s="86">
        <v>5.52</v>
      </c>
      <c r="F1605" s="87">
        <v>6.62</v>
      </c>
      <c r="G1605" s="88">
        <f t="shared" si="1"/>
        <v>1.1</v>
      </c>
      <c r="H1605" s="89">
        <f t="shared" si="7"/>
        <v>0.166163142</v>
      </c>
      <c r="I1605" s="78" t="s">
        <v>2113</v>
      </c>
      <c r="J1605" s="78" t="s">
        <v>69</v>
      </c>
      <c r="K1605" s="58">
        <f t="shared" si="3"/>
        <v>2</v>
      </c>
      <c r="L1605" s="91" t="str">
        <f t="shared" si="8"/>
        <v>Thu</v>
      </c>
      <c r="M1605" s="78" t="str">
        <f>IFERROR(VLOOKUP(A1605, Entries!A:B,2,false),"")</f>
        <v>Autumn Games</v>
      </c>
      <c r="N1605" s="23" t="str">
        <f>IFERROR(VLOOKUP(A1605, Entries!A:K,11,false),"")</f>
        <v/>
      </c>
      <c r="O1605" s="23" t="b">
        <f>IFERROR(VLOOKUP(A1605, Entries!A:I,8,false),"")</f>
        <v>0</v>
      </c>
    </row>
    <row r="1606">
      <c r="A1606" s="78" t="s">
        <v>368</v>
      </c>
      <c r="B1606" s="78" t="s">
        <v>22</v>
      </c>
      <c r="C1606" s="85">
        <v>44614.0</v>
      </c>
      <c r="D1606" s="85">
        <v>44620.0</v>
      </c>
      <c r="E1606" s="86">
        <v>5.53</v>
      </c>
      <c r="F1606" s="87">
        <v>6.09</v>
      </c>
      <c r="G1606" s="88">
        <f t="shared" si="1"/>
        <v>0.56</v>
      </c>
      <c r="H1606" s="89">
        <f t="shared" si="7"/>
        <v>0.09195402299</v>
      </c>
      <c r="I1606" s="78" t="s">
        <v>2114</v>
      </c>
      <c r="J1606" s="78" t="s">
        <v>69</v>
      </c>
      <c r="K1606" s="58">
        <f t="shared" si="3"/>
        <v>6</v>
      </c>
      <c r="L1606" s="91" t="str">
        <f t="shared" si="8"/>
        <v>Mon</v>
      </c>
      <c r="M1606" s="78" t="str">
        <f>IFERROR(VLOOKUP(A1606, Entries!A:B,2,false),"")</f>
        <v>Autumn Games</v>
      </c>
      <c r="N1606" s="23" t="str">
        <f>IFERROR(VLOOKUP(A1606, Entries!A:K,11,false),"")</f>
        <v/>
      </c>
      <c r="O1606" s="23" t="b">
        <f>IFERROR(VLOOKUP(A1606, Entries!A:I,8,false),"")</f>
        <v>0</v>
      </c>
    </row>
    <row r="1607">
      <c r="A1607" s="78" t="s">
        <v>368</v>
      </c>
      <c r="B1607" s="78" t="s">
        <v>22</v>
      </c>
      <c r="C1607" s="85">
        <v>44614.0</v>
      </c>
      <c r="D1607" s="85">
        <v>44620.0</v>
      </c>
      <c r="E1607" s="86">
        <v>5.53</v>
      </c>
      <c r="F1607" s="87">
        <v>6.09</v>
      </c>
      <c r="G1607" s="88">
        <f t="shared" si="1"/>
        <v>0.56</v>
      </c>
      <c r="H1607" s="89">
        <f t="shared" si="7"/>
        <v>0.09195402299</v>
      </c>
      <c r="I1607" s="78" t="s">
        <v>2115</v>
      </c>
      <c r="J1607" s="78" t="s">
        <v>69</v>
      </c>
      <c r="K1607" s="58">
        <f t="shared" si="3"/>
        <v>6</v>
      </c>
      <c r="L1607" s="91" t="str">
        <f t="shared" si="8"/>
        <v>Mon</v>
      </c>
      <c r="M1607" s="78" t="str">
        <f>IFERROR(VLOOKUP(A1607, Entries!A:B,2,false),"")</f>
        <v>Autumn Games</v>
      </c>
      <c r="N1607" s="23" t="str">
        <f>IFERROR(VLOOKUP(A1607, Entries!A:K,11,false),"")</f>
        <v/>
      </c>
      <c r="O1607" s="23" t="b">
        <f>IFERROR(VLOOKUP(A1607, Entries!A:I,8,false),"")</f>
        <v>0</v>
      </c>
    </row>
    <row r="1608">
      <c r="A1608" s="78" t="s">
        <v>2016</v>
      </c>
      <c r="B1608" s="78" t="s">
        <v>30</v>
      </c>
      <c r="C1608" s="85">
        <v>44615.0</v>
      </c>
      <c r="D1608" s="85">
        <v>44615.0</v>
      </c>
      <c r="E1608" s="86">
        <v>3.68</v>
      </c>
      <c r="F1608" s="87">
        <v>4.66</v>
      </c>
      <c r="G1608" s="88">
        <f t="shared" si="1"/>
        <v>0.98</v>
      </c>
      <c r="H1608" s="89">
        <f t="shared" si="7"/>
        <v>0.2103004292</v>
      </c>
      <c r="I1608" s="78" t="s">
        <v>2116</v>
      </c>
      <c r="J1608" s="78" t="s">
        <v>69</v>
      </c>
      <c r="K1608" s="58">
        <f t="shared" si="3"/>
        <v>0</v>
      </c>
      <c r="L1608" s="91" t="str">
        <f t="shared" si="8"/>
        <v>Wed</v>
      </c>
      <c r="M1608" s="78" t="str">
        <f>IFERROR(VLOOKUP(A1608, Entries!A:B,2,false),"")</f>
        <v>Ironhide Game Studio</v>
      </c>
      <c r="N1608" s="23" t="str">
        <f>IFERROR(VLOOKUP(A1608, Entries!A:K,11,false),"")</f>
        <v/>
      </c>
      <c r="O1608" s="23" t="b">
        <f>IFERROR(VLOOKUP(A1608, Entries!A:I,8,false),"")</f>
        <v>1</v>
      </c>
    </row>
    <row r="1609">
      <c r="A1609" s="78" t="s">
        <v>2016</v>
      </c>
      <c r="B1609" s="78" t="s">
        <v>30</v>
      </c>
      <c r="C1609" s="85">
        <v>44615.0</v>
      </c>
      <c r="D1609" s="85">
        <v>44618.0</v>
      </c>
      <c r="E1609" s="86">
        <v>3.68</v>
      </c>
      <c r="F1609" s="87">
        <v>4.61</v>
      </c>
      <c r="G1609" s="88">
        <f t="shared" si="1"/>
        <v>0.93</v>
      </c>
      <c r="H1609" s="89">
        <f t="shared" si="7"/>
        <v>0.2017353579</v>
      </c>
      <c r="I1609" s="78" t="s">
        <v>2117</v>
      </c>
      <c r="J1609" s="78" t="s">
        <v>69</v>
      </c>
      <c r="K1609" s="58">
        <f t="shared" si="3"/>
        <v>3</v>
      </c>
      <c r="L1609" s="91" t="str">
        <f t="shared" si="8"/>
        <v>Sat</v>
      </c>
      <c r="M1609" s="78" t="str">
        <f>IFERROR(VLOOKUP(A1609, Entries!A:B,2,false),"")</f>
        <v>Ironhide Game Studio</v>
      </c>
      <c r="N1609" s="23" t="str">
        <f>IFERROR(VLOOKUP(A1609, Entries!A:K,11,false),"")</f>
        <v/>
      </c>
      <c r="O1609" s="23" t="b">
        <f>IFERROR(VLOOKUP(A1609, Entries!A:I,8,false),"")</f>
        <v>1</v>
      </c>
    </row>
    <row r="1610">
      <c r="A1610" s="78" t="s">
        <v>1989</v>
      </c>
      <c r="B1610" s="78" t="s">
        <v>27</v>
      </c>
      <c r="C1610" s="85">
        <v>44616.0</v>
      </c>
      <c r="D1610" s="85">
        <v>44618.0</v>
      </c>
      <c r="E1610" s="86">
        <v>8.99</v>
      </c>
      <c r="F1610" s="87">
        <v>10.77</v>
      </c>
      <c r="G1610" s="88">
        <f t="shared" si="1"/>
        <v>1.78</v>
      </c>
      <c r="H1610" s="89">
        <f t="shared" si="7"/>
        <v>0.165273909</v>
      </c>
      <c r="I1610" s="78" t="s">
        <v>2118</v>
      </c>
      <c r="J1610" s="78" t="s">
        <v>69</v>
      </c>
      <c r="K1610" s="58">
        <f t="shared" si="3"/>
        <v>2</v>
      </c>
      <c r="L1610" s="91" t="str">
        <f t="shared" si="8"/>
        <v>Sat</v>
      </c>
      <c r="M1610" s="78" t="str">
        <f>IFERROR(VLOOKUP(A1610, Entries!A:B,2,false),"")</f>
        <v>Rebellion</v>
      </c>
      <c r="N1610" s="23" t="str">
        <f>IFERROR(VLOOKUP(A1610, Entries!A:K,11,false),"")</f>
        <v/>
      </c>
      <c r="O1610" s="23" t="b">
        <f>IFERROR(VLOOKUP(A1610, Entries!A:I,8,false),"")</f>
        <v>1</v>
      </c>
    </row>
    <row r="1611">
      <c r="A1611" s="78" t="s">
        <v>368</v>
      </c>
      <c r="B1611" s="78" t="s">
        <v>22</v>
      </c>
      <c r="C1611" s="85">
        <v>44616.0</v>
      </c>
      <c r="D1611" s="85">
        <v>44620.0</v>
      </c>
      <c r="E1611" s="86">
        <v>5.52</v>
      </c>
      <c r="F1611" s="87">
        <v>6.09</v>
      </c>
      <c r="G1611" s="88">
        <f t="shared" si="1"/>
        <v>0.57</v>
      </c>
      <c r="H1611" s="89">
        <f t="shared" si="7"/>
        <v>0.09359605911</v>
      </c>
      <c r="I1611" s="78" t="s">
        <v>2119</v>
      </c>
      <c r="J1611" s="78" t="s">
        <v>69</v>
      </c>
      <c r="K1611" s="58">
        <f t="shared" si="3"/>
        <v>4</v>
      </c>
      <c r="L1611" s="91" t="str">
        <f t="shared" si="8"/>
        <v>Mon</v>
      </c>
      <c r="M1611" s="78" t="str">
        <f>IFERROR(VLOOKUP(A1611, Entries!A:B,2,false),"")</f>
        <v>Autumn Games</v>
      </c>
      <c r="N1611" s="23" t="str">
        <f>IFERROR(VLOOKUP(A1611, Entries!A:K,11,false),"")</f>
        <v/>
      </c>
      <c r="O1611" s="23" t="b">
        <f>IFERROR(VLOOKUP(A1611, Entries!A:I,8,false),"")</f>
        <v>0</v>
      </c>
    </row>
    <row r="1612">
      <c r="A1612" s="78" t="s">
        <v>368</v>
      </c>
      <c r="B1612" s="78" t="s">
        <v>22</v>
      </c>
      <c r="C1612" s="85">
        <v>44616.0</v>
      </c>
      <c r="D1612" s="85">
        <v>44620.0</v>
      </c>
      <c r="E1612" s="86">
        <v>5.53</v>
      </c>
      <c r="F1612" s="87">
        <v>6.09</v>
      </c>
      <c r="G1612" s="88">
        <f t="shared" si="1"/>
        <v>0.56</v>
      </c>
      <c r="H1612" s="89">
        <f t="shared" si="7"/>
        <v>0.09195402299</v>
      </c>
      <c r="I1612" s="78" t="s">
        <v>2120</v>
      </c>
      <c r="J1612" s="78" t="s">
        <v>69</v>
      </c>
      <c r="K1612" s="58">
        <f t="shared" si="3"/>
        <v>4</v>
      </c>
      <c r="L1612" s="91" t="str">
        <f t="shared" si="8"/>
        <v>Mon</v>
      </c>
      <c r="M1612" s="78" t="str">
        <f>IFERROR(VLOOKUP(A1612, Entries!A:B,2,false),"")</f>
        <v>Autumn Games</v>
      </c>
      <c r="N1612" s="23" t="str">
        <f>IFERROR(VLOOKUP(A1612, Entries!A:K,11,false),"")</f>
        <v/>
      </c>
      <c r="O1612" s="23" t="b">
        <f>IFERROR(VLOOKUP(A1612, Entries!A:I,8,false),"")</f>
        <v>0</v>
      </c>
    </row>
    <row r="1613">
      <c r="A1613" s="78" t="s">
        <v>368</v>
      </c>
      <c r="B1613" s="78" t="s">
        <v>22</v>
      </c>
      <c r="C1613" s="85">
        <v>44616.0</v>
      </c>
      <c r="D1613" s="85">
        <v>44620.0</v>
      </c>
      <c r="E1613" s="86">
        <v>5.53</v>
      </c>
      <c r="F1613" s="87">
        <v>6.09</v>
      </c>
      <c r="G1613" s="88">
        <f t="shared" si="1"/>
        <v>0.56</v>
      </c>
      <c r="H1613" s="89">
        <f t="shared" si="7"/>
        <v>0.09195402299</v>
      </c>
      <c r="I1613" s="78" t="s">
        <v>2121</v>
      </c>
      <c r="J1613" s="78" t="s">
        <v>69</v>
      </c>
      <c r="K1613" s="58">
        <f t="shared" si="3"/>
        <v>4</v>
      </c>
      <c r="L1613" s="91" t="str">
        <f t="shared" si="8"/>
        <v>Mon</v>
      </c>
      <c r="M1613" s="78" t="str">
        <f>IFERROR(VLOOKUP(A1613, Entries!A:B,2,false),"")</f>
        <v>Autumn Games</v>
      </c>
      <c r="N1613" s="23" t="str">
        <f>IFERROR(VLOOKUP(A1613, Entries!A:K,11,false),"")</f>
        <v/>
      </c>
      <c r="O1613" s="23" t="b">
        <f>IFERROR(VLOOKUP(A1613, Entries!A:I,8,false),"")</f>
        <v>0</v>
      </c>
    </row>
    <row r="1614">
      <c r="A1614" s="78" t="s">
        <v>368</v>
      </c>
      <c r="B1614" s="78" t="s">
        <v>22</v>
      </c>
      <c r="C1614" s="85">
        <v>44616.0</v>
      </c>
      <c r="D1614" s="85">
        <v>44620.0</v>
      </c>
      <c r="E1614" s="86">
        <v>5.53</v>
      </c>
      <c r="F1614" s="87">
        <v>6.09</v>
      </c>
      <c r="G1614" s="88">
        <f t="shared" si="1"/>
        <v>0.56</v>
      </c>
      <c r="H1614" s="89">
        <f t="shared" si="7"/>
        <v>0.09195402299</v>
      </c>
      <c r="I1614" s="78" t="s">
        <v>2122</v>
      </c>
      <c r="J1614" s="78" t="s">
        <v>69</v>
      </c>
      <c r="K1614" s="58">
        <f t="shared" si="3"/>
        <v>4</v>
      </c>
      <c r="L1614" s="91" t="str">
        <f t="shared" si="8"/>
        <v>Mon</v>
      </c>
      <c r="M1614" s="78" t="str">
        <f>IFERROR(VLOOKUP(A1614, Entries!A:B,2,false),"")</f>
        <v>Autumn Games</v>
      </c>
      <c r="N1614" s="23" t="str">
        <f>IFERROR(VLOOKUP(A1614, Entries!A:K,11,false),"")</f>
        <v/>
      </c>
      <c r="O1614" s="23" t="b">
        <f>IFERROR(VLOOKUP(A1614, Entries!A:I,8,false),"")</f>
        <v>0</v>
      </c>
    </row>
    <row r="1615">
      <c r="A1615" s="96" t="s">
        <v>2123</v>
      </c>
      <c r="B1615" s="78" t="s">
        <v>18</v>
      </c>
      <c r="C1615" s="85">
        <v>44617.0</v>
      </c>
      <c r="D1615" s="85">
        <v>44644.0</v>
      </c>
      <c r="E1615" s="86">
        <v>3.27</v>
      </c>
      <c r="F1615" s="87">
        <v>5.5</v>
      </c>
      <c r="G1615" s="88">
        <f t="shared" si="1"/>
        <v>2.23</v>
      </c>
      <c r="H1615" s="89">
        <f t="shared" si="7"/>
        <v>0.4054545455</v>
      </c>
      <c r="I1615" s="78" t="s">
        <v>2124</v>
      </c>
      <c r="J1615" s="78" t="s">
        <v>69</v>
      </c>
      <c r="K1615" s="58">
        <f t="shared" si="3"/>
        <v>27</v>
      </c>
      <c r="L1615" s="91" t="str">
        <f t="shared" si="8"/>
        <v>Thu</v>
      </c>
      <c r="M1615" s="78" t="str">
        <f>IFERROR(VLOOKUP(A1615, Entries!A:B,2,false),"")</f>
        <v>CAPCOM</v>
      </c>
      <c r="N1615" s="23" t="str">
        <f>IFERROR(VLOOKUP(A1615, Entries!A:K,11,false),"")</f>
        <v/>
      </c>
      <c r="O1615" s="23" t="b">
        <f>IFERROR(VLOOKUP(A1615, Entries!A:I,8,false),"")</f>
        <v>0</v>
      </c>
    </row>
    <row r="1616">
      <c r="A1616" s="96" t="s">
        <v>2123</v>
      </c>
      <c r="B1616" s="78" t="s">
        <v>18</v>
      </c>
      <c r="C1616" s="85">
        <v>44617.0</v>
      </c>
      <c r="D1616" s="85">
        <v>44717.0</v>
      </c>
      <c r="E1616" s="86">
        <v>3.28</v>
      </c>
      <c r="F1616" s="87">
        <v>2.24</v>
      </c>
      <c r="G1616" s="88">
        <f t="shared" si="1"/>
        <v>-1.04</v>
      </c>
      <c r="H1616" s="89">
        <f t="shared" si="7"/>
        <v>-0.4642857143</v>
      </c>
      <c r="I1616" s="78" t="s">
        <v>2125</v>
      </c>
      <c r="J1616" s="78" t="s">
        <v>69</v>
      </c>
      <c r="K1616" s="58">
        <f t="shared" si="3"/>
        <v>100</v>
      </c>
      <c r="L1616" s="91" t="str">
        <f t="shared" si="8"/>
        <v>Sun</v>
      </c>
      <c r="M1616" s="78" t="str">
        <f>IFERROR(VLOOKUP(A1616, Entries!A:B,2,false),"")</f>
        <v>CAPCOM</v>
      </c>
      <c r="N1616" s="23" t="str">
        <f>IFERROR(VLOOKUP(A1616, Entries!A:K,11,false),"")</f>
        <v/>
      </c>
      <c r="O1616" s="23" t="b">
        <f>IFERROR(VLOOKUP(A1616, Entries!A:I,8,false),"")</f>
        <v>0</v>
      </c>
    </row>
    <row r="1617">
      <c r="A1617" s="96" t="s">
        <v>2123</v>
      </c>
      <c r="B1617" s="78" t="s">
        <v>18</v>
      </c>
      <c r="C1617" s="85">
        <v>44617.0</v>
      </c>
      <c r="D1617" s="85">
        <v>44808.0</v>
      </c>
      <c r="E1617" s="86">
        <v>3.28</v>
      </c>
      <c r="F1617" s="87">
        <v>3.38</v>
      </c>
      <c r="G1617" s="88">
        <f t="shared" si="1"/>
        <v>0.1</v>
      </c>
      <c r="H1617" s="89">
        <f t="shared" si="7"/>
        <v>0.02958579882</v>
      </c>
      <c r="I1617" s="78" t="s">
        <v>2126</v>
      </c>
      <c r="J1617" s="78" t="s">
        <v>69</v>
      </c>
      <c r="K1617" s="58">
        <f t="shared" si="3"/>
        <v>191</v>
      </c>
      <c r="L1617" s="91" t="str">
        <f t="shared" si="8"/>
        <v>Sun</v>
      </c>
      <c r="M1617" s="78" t="str">
        <f>IFERROR(VLOOKUP(A1617, Entries!A:B,2,false),"")</f>
        <v>CAPCOM</v>
      </c>
      <c r="N1617" s="23" t="str">
        <f>IFERROR(VLOOKUP(A1617, Entries!A:K,11,false),"")</f>
        <v/>
      </c>
      <c r="O1617" s="23" t="b">
        <f>IFERROR(VLOOKUP(A1617, Entries!A:I,8,false),"")</f>
        <v>0</v>
      </c>
    </row>
    <row r="1618">
      <c r="A1618" s="96" t="s">
        <v>2127</v>
      </c>
      <c r="B1618" s="78" t="s">
        <v>27</v>
      </c>
      <c r="C1618" s="85">
        <v>44617.0</v>
      </c>
      <c r="D1618" s="85">
        <v>44620.0</v>
      </c>
      <c r="E1618" s="86">
        <v>20.39</v>
      </c>
      <c r="F1618" s="87">
        <v>24.89</v>
      </c>
      <c r="G1618" s="88">
        <f t="shared" si="1"/>
        <v>4.5</v>
      </c>
      <c r="H1618" s="89">
        <f t="shared" si="7"/>
        <v>0.1807955002</v>
      </c>
      <c r="I1618" s="78" t="s">
        <v>2128</v>
      </c>
      <c r="J1618" s="78" t="s">
        <v>69</v>
      </c>
      <c r="K1618" s="58">
        <f t="shared" si="3"/>
        <v>3</v>
      </c>
      <c r="L1618" s="91" t="str">
        <f t="shared" si="8"/>
        <v>Mon</v>
      </c>
      <c r="M1618" s="78" t="str">
        <f>IFERROR(VLOOKUP(A1618, Entries!A:B,2,false),"")</f>
        <v>Bungie</v>
      </c>
      <c r="N1618" s="23" t="str">
        <f>IFERROR(VLOOKUP(A1618, Entries!A:K,11,false),"")</f>
        <v/>
      </c>
      <c r="O1618" s="23" t="b">
        <f>IFERROR(VLOOKUP(A1618, Entries!A:I,8,false),"")</f>
        <v>1</v>
      </c>
    </row>
    <row r="1619">
      <c r="A1619" s="78" t="s">
        <v>2051</v>
      </c>
      <c r="B1619" s="78" t="s">
        <v>18</v>
      </c>
      <c r="C1619" s="85">
        <v>44617.0</v>
      </c>
      <c r="D1619" s="85">
        <v>44645.0</v>
      </c>
      <c r="E1619" s="86">
        <v>7.59</v>
      </c>
      <c r="F1619" s="87">
        <v>12.39</v>
      </c>
      <c r="G1619" s="88">
        <f t="shared" si="1"/>
        <v>4.8</v>
      </c>
      <c r="H1619" s="89">
        <f t="shared" si="7"/>
        <v>0.387409201</v>
      </c>
      <c r="I1619" s="78" t="s">
        <v>2129</v>
      </c>
      <c r="J1619" s="78" t="s">
        <v>69</v>
      </c>
      <c r="K1619" s="58">
        <f t="shared" si="3"/>
        <v>28</v>
      </c>
      <c r="L1619" s="91" t="str">
        <f t="shared" si="8"/>
        <v>Fri</v>
      </c>
      <c r="M1619" s="78" t="str">
        <f>IFERROR(VLOOKUP(A1619, Entries!A:B,2,false),"")</f>
        <v>Nacon</v>
      </c>
      <c r="N1619" s="23" t="str">
        <f>IFERROR(VLOOKUP(A1619, Entries!A:K,11,false),"")</f>
        <v/>
      </c>
      <c r="O1619" s="23" t="b">
        <f>IFERROR(VLOOKUP(A1619, Entries!A:I,8,false),"")</f>
        <v>0</v>
      </c>
    </row>
    <row r="1620">
      <c r="A1620" s="78" t="s">
        <v>2051</v>
      </c>
      <c r="B1620" s="78" t="s">
        <v>18</v>
      </c>
      <c r="C1620" s="85">
        <v>44617.0</v>
      </c>
      <c r="D1620" s="85">
        <v>44650.0</v>
      </c>
      <c r="E1620" s="86">
        <v>7.6</v>
      </c>
      <c r="F1620" s="87">
        <v>11.86</v>
      </c>
      <c r="G1620" s="88">
        <f t="shared" si="1"/>
        <v>4.26</v>
      </c>
      <c r="H1620" s="89">
        <f t="shared" si="7"/>
        <v>0.3591905565</v>
      </c>
      <c r="I1620" s="78" t="s">
        <v>2130</v>
      </c>
      <c r="J1620" s="78" t="s">
        <v>69</v>
      </c>
      <c r="K1620" s="58">
        <f t="shared" si="3"/>
        <v>33</v>
      </c>
      <c r="L1620" s="91" t="str">
        <f t="shared" si="8"/>
        <v>Wed</v>
      </c>
      <c r="M1620" s="78" t="str">
        <f>IFERROR(VLOOKUP(A1620, Entries!A:B,2,false),"")</f>
        <v>Nacon</v>
      </c>
      <c r="N1620" s="23" t="str">
        <f>IFERROR(VLOOKUP(A1620, Entries!A:K,11,false),"")</f>
        <v/>
      </c>
      <c r="O1620" s="23" t="b">
        <f>IFERROR(VLOOKUP(A1620, Entries!A:I,8,false),"")</f>
        <v>0</v>
      </c>
    </row>
    <row r="1621">
      <c r="A1621" s="78" t="s">
        <v>2101</v>
      </c>
      <c r="B1621" s="78" t="s">
        <v>27</v>
      </c>
      <c r="C1621" s="85">
        <v>44617.0</v>
      </c>
      <c r="D1621" s="85">
        <v>44629.0</v>
      </c>
      <c r="E1621" s="86">
        <v>10.19</v>
      </c>
      <c r="F1621" s="87">
        <v>14.96</v>
      </c>
      <c r="G1621" s="88">
        <f t="shared" si="1"/>
        <v>4.77</v>
      </c>
      <c r="H1621" s="89">
        <f t="shared" si="7"/>
        <v>0.3188502674</v>
      </c>
      <c r="I1621" s="78" t="s">
        <v>2131</v>
      </c>
      <c r="J1621" s="78" t="s">
        <v>69</v>
      </c>
      <c r="K1621" s="58">
        <f t="shared" si="3"/>
        <v>12</v>
      </c>
      <c r="L1621" s="91" t="str">
        <f t="shared" si="8"/>
        <v>Wed</v>
      </c>
      <c r="M1621" s="78" t="str">
        <f>IFERROR(VLOOKUP(A1621, Entries!A:B,2,false),"")</f>
        <v>Offworld Industries</v>
      </c>
      <c r="N1621" s="23" t="str">
        <f>IFERROR(VLOOKUP(A1621, Entries!A:K,11,false),"")</f>
        <v/>
      </c>
      <c r="O1621" s="23" t="b">
        <f>IFERROR(VLOOKUP(A1621, Entries!A:I,8,false),"")</f>
        <v>0</v>
      </c>
    </row>
    <row r="1622">
      <c r="A1622" s="78" t="s">
        <v>1316</v>
      </c>
      <c r="B1622" s="78" t="s">
        <v>25</v>
      </c>
      <c r="C1622" s="85">
        <v>44617.0</v>
      </c>
      <c r="D1622" s="85">
        <v>44618.0</v>
      </c>
      <c r="E1622" s="86">
        <v>10.88</v>
      </c>
      <c r="F1622" s="87">
        <v>12.36</v>
      </c>
      <c r="G1622" s="88">
        <f t="shared" si="1"/>
        <v>1.48</v>
      </c>
      <c r="H1622" s="89">
        <f t="shared" si="7"/>
        <v>0.1197411003</v>
      </c>
      <c r="I1622" s="78" t="s">
        <v>2132</v>
      </c>
      <c r="J1622" s="78" t="s">
        <v>69</v>
      </c>
      <c r="K1622" s="58">
        <f t="shared" si="3"/>
        <v>1</v>
      </c>
      <c r="L1622" s="91" t="str">
        <f t="shared" si="8"/>
        <v>Sat</v>
      </c>
      <c r="M1622" s="78" t="str">
        <f>IFERROR(VLOOKUP(A1622, Entries!A:B,2,false),"")</f>
        <v>Schell Games</v>
      </c>
      <c r="N1622" s="23" t="str">
        <f>IFERROR(VLOOKUP(A1622, Entries!A:K,11,false),"")</f>
        <v/>
      </c>
      <c r="O1622" s="23" t="b">
        <f>IFERROR(VLOOKUP(A1622, Entries!A:I,8,false),"")</f>
        <v>1</v>
      </c>
    </row>
    <row r="1623">
      <c r="A1623" s="78" t="s">
        <v>2133</v>
      </c>
      <c r="B1623" s="78" t="s">
        <v>25</v>
      </c>
      <c r="C1623" s="85">
        <v>44617.0</v>
      </c>
      <c r="D1623" s="85">
        <v>44619.0</v>
      </c>
      <c r="E1623" s="86">
        <v>0.0</v>
      </c>
      <c r="F1623" s="87">
        <v>0.16</v>
      </c>
      <c r="G1623" s="88">
        <f t="shared" si="1"/>
        <v>0.16</v>
      </c>
      <c r="H1623" s="89">
        <f t="shared" si="7"/>
        <v>1</v>
      </c>
      <c r="I1623" s="78" t="s">
        <v>2134</v>
      </c>
      <c r="J1623" s="78" t="s">
        <v>69</v>
      </c>
      <c r="K1623" s="58">
        <f t="shared" si="3"/>
        <v>2</v>
      </c>
      <c r="L1623" s="91" t="str">
        <f t="shared" si="8"/>
        <v>Sun</v>
      </c>
      <c r="M1623" s="78" t="str">
        <f>IFERROR(VLOOKUP(A1623, Entries!A:B,2,false),"")</f>
        <v>Microids</v>
      </c>
      <c r="N1623" s="23" t="str">
        <f>IFERROR(VLOOKUP(A1623, Entries!A:K,11,false),"")</f>
        <v/>
      </c>
      <c r="O1623" s="23" t="b">
        <f>IFERROR(VLOOKUP(A1623, Entries!A:I,8,false),"")</f>
        <v>0</v>
      </c>
    </row>
    <row r="1624">
      <c r="A1624" s="78" t="s">
        <v>1989</v>
      </c>
      <c r="B1624" s="78" t="s">
        <v>27</v>
      </c>
      <c r="C1624" s="85">
        <v>44618.0</v>
      </c>
      <c r="D1624" s="85">
        <v>44618.0</v>
      </c>
      <c r="E1624" s="86">
        <v>8.99</v>
      </c>
      <c r="F1624" s="87">
        <v>12.72</v>
      </c>
      <c r="G1624" s="88">
        <f t="shared" si="1"/>
        <v>3.73</v>
      </c>
      <c r="H1624" s="89">
        <f t="shared" si="7"/>
        <v>0.2932389937</v>
      </c>
      <c r="I1624" s="78" t="s">
        <v>2135</v>
      </c>
      <c r="J1624" s="78" t="s">
        <v>69</v>
      </c>
      <c r="K1624" s="58">
        <f t="shared" si="3"/>
        <v>0</v>
      </c>
      <c r="L1624" s="91" t="str">
        <f t="shared" si="8"/>
        <v>Sat</v>
      </c>
      <c r="M1624" s="78" t="str">
        <f>IFERROR(VLOOKUP(A1624, Entries!A:B,2,false),"")</f>
        <v>Rebellion</v>
      </c>
      <c r="N1624" s="23" t="str">
        <f>IFERROR(VLOOKUP(A1624, Entries!A:K,11,false),"")</f>
        <v/>
      </c>
      <c r="O1624" s="23" t="b">
        <f>IFERROR(VLOOKUP(A1624, Entries!A:I,8,false),"")</f>
        <v>1</v>
      </c>
    </row>
    <row r="1625">
      <c r="A1625" s="78" t="s">
        <v>1989</v>
      </c>
      <c r="B1625" s="78" t="s">
        <v>27</v>
      </c>
      <c r="C1625" s="85">
        <v>44618.0</v>
      </c>
      <c r="D1625" s="85">
        <v>44625.0</v>
      </c>
      <c r="E1625" s="86">
        <v>8.99</v>
      </c>
      <c r="F1625" s="87">
        <v>11.84</v>
      </c>
      <c r="G1625" s="88">
        <f t="shared" si="1"/>
        <v>2.85</v>
      </c>
      <c r="H1625" s="89">
        <f t="shared" si="7"/>
        <v>0.2407094595</v>
      </c>
      <c r="I1625" s="78" t="s">
        <v>2136</v>
      </c>
      <c r="J1625" s="78" t="s">
        <v>69</v>
      </c>
      <c r="K1625" s="58">
        <f t="shared" si="3"/>
        <v>7</v>
      </c>
      <c r="L1625" s="91" t="str">
        <f t="shared" si="8"/>
        <v>Sat</v>
      </c>
      <c r="M1625" s="78" t="str">
        <f>IFERROR(VLOOKUP(A1625, Entries!A:B,2,false),"")</f>
        <v>Rebellion</v>
      </c>
      <c r="N1625" s="23" t="str">
        <f>IFERROR(VLOOKUP(A1625, Entries!A:K,11,false),"")</f>
        <v/>
      </c>
      <c r="O1625" s="23" t="b">
        <f>IFERROR(VLOOKUP(A1625, Entries!A:I,8,false),"")</f>
        <v>1</v>
      </c>
    </row>
    <row r="1626">
      <c r="A1626" s="78" t="s">
        <v>2016</v>
      </c>
      <c r="B1626" s="78" t="s">
        <v>30</v>
      </c>
      <c r="C1626" s="85">
        <v>44618.0</v>
      </c>
      <c r="D1626" s="85">
        <v>44620.0</v>
      </c>
      <c r="E1626" s="86">
        <v>3.72</v>
      </c>
      <c r="F1626" s="87">
        <v>4.59</v>
      </c>
      <c r="G1626" s="88">
        <f t="shared" si="1"/>
        <v>0.87</v>
      </c>
      <c r="H1626" s="89">
        <f t="shared" si="7"/>
        <v>0.1895424837</v>
      </c>
      <c r="I1626" s="78" t="s">
        <v>2137</v>
      </c>
      <c r="J1626" s="78" t="s">
        <v>69</v>
      </c>
      <c r="K1626" s="58">
        <f t="shared" si="3"/>
        <v>2</v>
      </c>
      <c r="L1626" s="91" t="str">
        <f t="shared" si="8"/>
        <v>Mon</v>
      </c>
      <c r="M1626" s="78" t="str">
        <f>IFERROR(VLOOKUP(A1626, Entries!A:B,2,false),"")</f>
        <v>Ironhide Game Studio</v>
      </c>
      <c r="N1626" s="23" t="str">
        <f>IFERROR(VLOOKUP(A1626, Entries!A:K,11,false),"")</f>
        <v/>
      </c>
      <c r="O1626" s="23" t="b">
        <f>IFERROR(VLOOKUP(A1626, Entries!A:I,8,false),"")</f>
        <v>1</v>
      </c>
    </row>
    <row r="1627">
      <c r="A1627" s="78" t="s">
        <v>368</v>
      </c>
      <c r="B1627" s="78" t="s">
        <v>22</v>
      </c>
      <c r="C1627" s="85">
        <v>44620.0</v>
      </c>
      <c r="D1627" s="85">
        <v>44620.0</v>
      </c>
      <c r="E1627" s="86">
        <v>5.59</v>
      </c>
      <c r="F1627" s="87">
        <v>6.18</v>
      </c>
      <c r="G1627" s="88">
        <f t="shared" si="1"/>
        <v>0.59</v>
      </c>
      <c r="H1627" s="89">
        <f t="shared" si="7"/>
        <v>0.09546925566</v>
      </c>
      <c r="I1627" s="78" t="s">
        <v>2138</v>
      </c>
      <c r="J1627" s="78" t="s">
        <v>69</v>
      </c>
      <c r="K1627" s="58">
        <f t="shared" si="3"/>
        <v>0</v>
      </c>
      <c r="L1627" s="91" t="str">
        <f t="shared" si="8"/>
        <v>Mon</v>
      </c>
      <c r="M1627" s="78" t="str">
        <f>IFERROR(VLOOKUP(A1627, Entries!A:B,2,false),"")</f>
        <v>Autumn Games</v>
      </c>
      <c r="N1627" s="23" t="str">
        <f>IFERROR(VLOOKUP(A1627, Entries!A:K,11,false),"")</f>
        <v/>
      </c>
      <c r="O1627" s="23" t="b">
        <f>IFERROR(VLOOKUP(A1627, Entries!A:I,8,false),"")</f>
        <v>0</v>
      </c>
    </row>
    <row r="1628">
      <c r="A1628" s="78" t="s">
        <v>368</v>
      </c>
      <c r="B1628" s="78" t="s">
        <v>22</v>
      </c>
      <c r="C1628" s="85">
        <v>44620.0</v>
      </c>
      <c r="D1628" s="85">
        <v>44626.0</v>
      </c>
      <c r="E1628" s="86">
        <v>5.59</v>
      </c>
      <c r="F1628" s="87">
        <v>5.59</v>
      </c>
      <c r="G1628" s="88">
        <f t="shared" si="1"/>
        <v>0</v>
      </c>
      <c r="H1628" s="89">
        <f t="shared" si="7"/>
        <v>0</v>
      </c>
      <c r="I1628" s="78" t="s">
        <v>2139</v>
      </c>
      <c r="J1628" s="78" t="s">
        <v>69</v>
      </c>
      <c r="K1628" s="58">
        <f t="shared" si="3"/>
        <v>6</v>
      </c>
      <c r="L1628" s="91" t="str">
        <f t="shared" si="8"/>
        <v>Sun</v>
      </c>
      <c r="M1628" s="78" t="str">
        <f>IFERROR(VLOOKUP(A1628, Entries!A:B,2,false),"")</f>
        <v>Autumn Games</v>
      </c>
      <c r="N1628" s="23" t="str">
        <f>IFERROR(VLOOKUP(A1628, Entries!A:K,11,false),"")</f>
        <v/>
      </c>
      <c r="O1628" s="23" t="b">
        <f>IFERROR(VLOOKUP(A1628, Entries!A:I,8,false),"")</f>
        <v>0</v>
      </c>
    </row>
    <row r="1629">
      <c r="A1629" s="78" t="s">
        <v>368</v>
      </c>
      <c r="B1629" s="78" t="s">
        <v>22</v>
      </c>
      <c r="C1629" s="85">
        <v>44620.0</v>
      </c>
      <c r="D1629" s="85">
        <v>44626.0</v>
      </c>
      <c r="E1629" s="86">
        <v>5.6</v>
      </c>
      <c r="F1629" s="87">
        <v>5.59</v>
      </c>
      <c r="G1629" s="88">
        <f t="shared" si="1"/>
        <v>-0.01</v>
      </c>
      <c r="H1629" s="89">
        <f t="shared" si="7"/>
        <v>-0.001788908766</v>
      </c>
      <c r="I1629" s="78" t="s">
        <v>2140</v>
      </c>
      <c r="J1629" s="78" t="s">
        <v>69</v>
      </c>
      <c r="K1629" s="58">
        <f t="shared" si="3"/>
        <v>6</v>
      </c>
      <c r="L1629" s="91" t="str">
        <f t="shared" si="8"/>
        <v>Sun</v>
      </c>
      <c r="M1629" s="78" t="str">
        <f>IFERROR(VLOOKUP(A1629, Entries!A:B,2,false),"")</f>
        <v>Autumn Games</v>
      </c>
      <c r="N1629" s="23" t="str">
        <f>IFERROR(VLOOKUP(A1629, Entries!A:K,11,false),"")</f>
        <v/>
      </c>
      <c r="O1629" s="23" t="b">
        <f>IFERROR(VLOOKUP(A1629, Entries!A:I,8,false),"")</f>
        <v>0</v>
      </c>
    </row>
    <row r="1630">
      <c r="A1630" s="78" t="s">
        <v>368</v>
      </c>
      <c r="B1630" s="78" t="s">
        <v>22</v>
      </c>
      <c r="C1630" s="85">
        <v>44620.0</v>
      </c>
      <c r="D1630" s="85">
        <v>44629.0</v>
      </c>
      <c r="E1630" s="86">
        <v>5.6</v>
      </c>
      <c r="F1630" s="87">
        <v>6.12</v>
      </c>
      <c r="G1630" s="88">
        <f t="shared" si="1"/>
        <v>0.52</v>
      </c>
      <c r="H1630" s="89">
        <f t="shared" si="7"/>
        <v>0.08496732026</v>
      </c>
      <c r="I1630" s="78" t="s">
        <v>2141</v>
      </c>
      <c r="J1630" s="78" t="s">
        <v>69</v>
      </c>
      <c r="K1630" s="58">
        <f t="shared" si="3"/>
        <v>9</v>
      </c>
      <c r="L1630" s="91" t="str">
        <f t="shared" si="8"/>
        <v>Wed</v>
      </c>
      <c r="M1630" s="78" t="str">
        <f>IFERROR(VLOOKUP(A1630, Entries!A:B,2,false),"")</f>
        <v>Autumn Games</v>
      </c>
      <c r="N1630" s="23" t="str">
        <f>IFERROR(VLOOKUP(A1630, Entries!A:K,11,false),"")</f>
        <v/>
      </c>
      <c r="O1630" s="23" t="b">
        <f>IFERROR(VLOOKUP(A1630, Entries!A:I,8,false),"")</f>
        <v>0</v>
      </c>
    </row>
    <row r="1631">
      <c r="A1631" s="96" t="s">
        <v>2127</v>
      </c>
      <c r="B1631" s="78" t="s">
        <v>27</v>
      </c>
      <c r="C1631" s="85">
        <v>44623.0</v>
      </c>
      <c r="D1631" s="85">
        <v>44623.0</v>
      </c>
      <c r="E1631" s="86">
        <v>20.39</v>
      </c>
      <c r="F1631" s="87">
        <v>24.89</v>
      </c>
      <c r="G1631" s="88">
        <f t="shared" si="1"/>
        <v>4.5</v>
      </c>
      <c r="H1631" s="89">
        <f t="shared" si="7"/>
        <v>0.1807955002</v>
      </c>
      <c r="I1631" s="78" t="s">
        <v>2142</v>
      </c>
      <c r="J1631" s="78" t="s">
        <v>69</v>
      </c>
      <c r="K1631" s="58">
        <f t="shared" si="3"/>
        <v>0</v>
      </c>
      <c r="L1631" s="91" t="str">
        <f t="shared" si="8"/>
        <v>Thu</v>
      </c>
      <c r="M1631" s="78" t="str">
        <f>IFERROR(VLOOKUP(A1631, Entries!A:B,2,false),"")</f>
        <v>Bungie</v>
      </c>
      <c r="N1631" s="23" t="str">
        <f>IFERROR(VLOOKUP(A1631, Entries!A:K,11,false),"")</f>
        <v/>
      </c>
      <c r="O1631" s="23" t="b">
        <f>IFERROR(VLOOKUP(A1631, Entries!A:I,8,false),"")</f>
        <v>1</v>
      </c>
    </row>
    <row r="1632">
      <c r="A1632" s="96" t="s">
        <v>2127</v>
      </c>
      <c r="B1632" s="78" t="s">
        <v>27</v>
      </c>
      <c r="C1632" s="85">
        <v>44623.0</v>
      </c>
      <c r="D1632" s="85">
        <v>44624.0</v>
      </c>
      <c r="E1632" s="86">
        <v>20.39</v>
      </c>
      <c r="F1632" s="87">
        <v>24.89</v>
      </c>
      <c r="G1632" s="88">
        <f t="shared" si="1"/>
        <v>4.5</v>
      </c>
      <c r="H1632" s="89">
        <f t="shared" si="7"/>
        <v>0.1807955002</v>
      </c>
      <c r="I1632" s="78" t="s">
        <v>2143</v>
      </c>
      <c r="J1632" s="78" t="s">
        <v>69</v>
      </c>
      <c r="K1632" s="58">
        <f t="shared" si="3"/>
        <v>1</v>
      </c>
      <c r="L1632" s="91" t="str">
        <f t="shared" si="8"/>
        <v>Fri</v>
      </c>
      <c r="M1632" s="78" t="str">
        <f>IFERROR(VLOOKUP(A1632, Entries!A:B,2,false),"")</f>
        <v>Bungie</v>
      </c>
      <c r="N1632" s="23" t="str">
        <f>IFERROR(VLOOKUP(A1632, Entries!A:K,11,false),"")</f>
        <v/>
      </c>
      <c r="O1632" s="23" t="b">
        <f>IFERROR(VLOOKUP(A1632, Entries!A:I,8,false),"")</f>
        <v>1</v>
      </c>
    </row>
    <row r="1633">
      <c r="A1633" s="78" t="s">
        <v>308</v>
      </c>
      <c r="B1633" s="78" t="s">
        <v>25</v>
      </c>
      <c r="C1633" s="85">
        <v>44623.0</v>
      </c>
      <c r="D1633" s="85">
        <v>44625.0</v>
      </c>
      <c r="E1633" s="86">
        <v>3.45</v>
      </c>
      <c r="F1633" s="87">
        <v>3.8</v>
      </c>
      <c r="G1633" s="88">
        <f t="shared" si="1"/>
        <v>0.35</v>
      </c>
      <c r="H1633" s="89">
        <f t="shared" si="7"/>
        <v>0.09210526316</v>
      </c>
      <c r="I1633" s="78" t="s">
        <v>2144</v>
      </c>
      <c r="J1633" s="78" t="s">
        <v>69</v>
      </c>
      <c r="K1633" s="58">
        <f t="shared" si="3"/>
        <v>2</v>
      </c>
      <c r="L1633" s="91" t="str">
        <f t="shared" si="8"/>
        <v>Sat</v>
      </c>
      <c r="M1633" s="78" t="str">
        <f>IFERROR(VLOOKUP(A1633, Entries!A:B,2,false),"")</f>
        <v>505 Games</v>
      </c>
      <c r="N1633" s="23" t="str">
        <f>IFERROR(VLOOKUP(A1633, Entries!A:K,11,false),"")</f>
        <v/>
      </c>
      <c r="O1633" s="23" t="b">
        <f>IFERROR(VLOOKUP(A1633, Entries!A:I,8,false),"")</f>
        <v>0</v>
      </c>
    </row>
    <row r="1634">
      <c r="A1634" s="78" t="s">
        <v>2145</v>
      </c>
      <c r="B1634" s="78" t="s">
        <v>27</v>
      </c>
      <c r="C1634" s="85">
        <v>44624.0</v>
      </c>
      <c r="D1634" s="85">
        <v>44634.0</v>
      </c>
      <c r="E1634" s="86">
        <v>27.59</v>
      </c>
      <c r="F1634" s="87">
        <v>31.7</v>
      </c>
      <c r="G1634" s="88">
        <f t="shared" si="1"/>
        <v>4.11</v>
      </c>
      <c r="H1634" s="89">
        <f t="shared" si="7"/>
        <v>0.1296529968</v>
      </c>
      <c r="I1634" s="78" t="s">
        <v>2146</v>
      </c>
      <c r="J1634" s="78" t="s">
        <v>69</v>
      </c>
      <c r="K1634" s="58">
        <f t="shared" si="3"/>
        <v>10</v>
      </c>
      <c r="L1634" s="91" t="str">
        <f t="shared" si="8"/>
        <v>Mon</v>
      </c>
      <c r="M1634" s="78" t="str">
        <f>IFERROR(VLOOKUP(A1634, Entries!A:B,2,false),"")</f>
        <v>BANDAI NAMCO</v>
      </c>
      <c r="N1634" s="23" t="str">
        <f>IFERROR(VLOOKUP(A1634, Entries!A:K,11,false),"")</f>
        <v/>
      </c>
      <c r="O1634" s="23" t="b">
        <f>IFERROR(VLOOKUP(A1634, Entries!A:I,8,false),"")</f>
        <v>0</v>
      </c>
    </row>
    <row r="1635">
      <c r="A1635" s="96" t="s">
        <v>2127</v>
      </c>
      <c r="B1635" s="78" t="s">
        <v>27</v>
      </c>
      <c r="C1635" s="85">
        <v>44624.0</v>
      </c>
      <c r="D1635" s="85">
        <v>44624.0</v>
      </c>
      <c r="E1635" s="86">
        <v>20.59</v>
      </c>
      <c r="F1635" s="87">
        <v>24.89</v>
      </c>
      <c r="G1635" s="88">
        <f t="shared" si="1"/>
        <v>4.3</v>
      </c>
      <c r="H1635" s="89">
        <f t="shared" si="7"/>
        <v>0.1727601446</v>
      </c>
      <c r="I1635" s="78" t="s">
        <v>2147</v>
      </c>
      <c r="J1635" s="78" t="s">
        <v>69</v>
      </c>
      <c r="K1635" s="58">
        <f t="shared" si="3"/>
        <v>0</v>
      </c>
      <c r="L1635" s="91" t="str">
        <f t="shared" si="8"/>
        <v>Fri</v>
      </c>
      <c r="M1635" s="78" t="str">
        <f>IFERROR(VLOOKUP(A1635, Entries!A:B,2,false),"")</f>
        <v>Bungie</v>
      </c>
      <c r="N1635" s="23" t="str">
        <f>IFERROR(VLOOKUP(A1635, Entries!A:K,11,false),"")</f>
        <v/>
      </c>
      <c r="O1635" s="23" t="b">
        <f>IFERROR(VLOOKUP(A1635, Entries!A:I,8,false),"")</f>
        <v>1</v>
      </c>
    </row>
    <row r="1636">
      <c r="A1636" s="78" t="s">
        <v>2148</v>
      </c>
      <c r="B1636" s="78" t="s">
        <v>18</v>
      </c>
      <c r="C1636" s="85">
        <v>44624.0</v>
      </c>
      <c r="D1636" s="85">
        <v>44625.0</v>
      </c>
      <c r="E1636" s="86">
        <v>16.96</v>
      </c>
      <c r="F1636" s="87">
        <v>21.34</v>
      </c>
      <c r="G1636" s="88">
        <f t="shared" si="1"/>
        <v>4.38</v>
      </c>
      <c r="H1636" s="89">
        <f t="shared" si="7"/>
        <v>0.2052483599</v>
      </c>
      <c r="I1636" s="78" t="s">
        <v>2149</v>
      </c>
      <c r="J1636" s="78" t="s">
        <v>69</v>
      </c>
      <c r="K1636" s="58">
        <f t="shared" si="3"/>
        <v>1</v>
      </c>
      <c r="L1636" s="91" t="str">
        <f t="shared" si="8"/>
        <v>Sat</v>
      </c>
      <c r="M1636" s="78" t="str">
        <f>IFERROR(VLOOKUP(A1636, Entries!A:B,2,false),"")</f>
        <v>Wired Productions</v>
      </c>
      <c r="N1636" s="23" t="str">
        <f>IFERROR(VLOOKUP(A1636, Entries!A:K,11,false),"")</f>
        <v/>
      </c>
      <c r="O1636" s="23" t="b">
        <f>IFERROR(VLOOKUP(A1636, Entries!A:I,8,false),"")</f>
        <v>1</v>
      </c>
    </row>
    <row r="1637">
      <c r="A1637" s="78" t="s">
        <v>2148</v>
      </c>
      <c r="B1637" s="78" t="s">
        <v>18</v>
      </c>
      <c r="C1637" s="85">
        <v>44624.0</v>
      </c>
      <c r="D1637" s="85">
        <v>44625.0</v>
      </c>
      <c r="E1637" s="86">
        <v>16.97</v>
      </c>
      <c r="F1637" s="87">
        <v>21.2</v>
      </c>
      <c r="G1637" s="88">
        <f t="shared" si="1"/>
        <v>4.23</v>
      </c>
      <c r="H1637" s="89">
        <f t="shared" si="7"/>
        <v>0.1995283019</v>
      </c>
      <c r="I1637" s="78" t="s">
        <v>2150</v>
      </c>
      <c r="J1637" s="78" t="s">
        <v>69</v>
      </c>
      <c r="K1637" s="58">
        <f t="shared" si="3"/>
        <v>1</v>
      </c>
      <c r="L1637" s="91" t="str">
        <f t="shared" si="8"/>
        <v>Sat</v>
      </c>
      <c r="M1637" s="78" t="str">
        <f>IFERROR(VLOOKUP(A1637, Entries!A:B,2,false),"")</f>
        <v>Wired Productions</v>
      </c>
      <c r="N1637" s="23" t="str">
        <f>IFERROR(VLOOKUP(A1637, Entries!A:K,11,false),"")</f>
        <v/>
      </c>
      <c r="O1637" s="23" t="b">
        <f>IFERROR(VLOOKUP(A1637, Entries!A:I,8,false),"")</f>
        <v>1</v>
      </c>
    </row>
    <row r="1638">
      <c r="A1638" s="78" t="s">
        <v>1971</v>
      </c>
      <c r="B1638" s="78" t="s">
        <v>30</v>
      </c>
      <c r="C1638" s="85">
        <v>44624.0</v>
      </c>
      <c r="D1638" s="85">
        <v>44629.0</v>
      </c>
      <c r="E1638" s="86">
        <v>2.82</v>
      </c>
      <c r="F1638" s="87">
        <v>4.94</v>
      </c>
      <c r="G1638" s="88">
        <f t="shared" si="1"/>
        <v>2.12</v>
      </c>
      <c r="H1638" s="89">
        <f t="shared" si="7"/>
        <v>0.4291497976</v>
      </c>
      <c r="I1638" s="78" t="s">
        <v>2151</v>
      </c>
      <c r="J1638" s="78" t="s">
        <v>69</v>
      </c>
      <c r="K1638" s="58">
        <f t="shared" si="3"/>
        <v>5</v>
      </c>
      <c r="L1638" s="91" t="str">
        <f t="shared" si="8"/>
        <v>Wed</v>
      </c>
      <c r="M1638" s="78" t="str">
        <f>IFERROR(VLOOKUP(A1638, Entries!A:B,2,false),"")</f>
        <v>HandyGames</v>
      </c>
      <c r="N1638" s="23" t="str">
        <f>IFERROR(VLOOKUP(A1638, Entries!A:K,11,false),"")</f>
        <v/>
      </c>
      <c r="O1638" s="23" t="b">
        <f>IFERROR(VLOOKUP(A1638, Entries!A:I,8,false),"")</f>
        <v>0</v>
      </c>
    </row>
    <row r="1639">
      <c r="A1639" s="96" t="s">
        <v>2127</v>
      </c>
      <c r="B1639" s="78" t="s">
        <v>27</v>
      </c>
      <c r="C1639" s="85">
        <v>44624.0</v>
      </c>
      <c r="D1639" s="85">
        <v>44624.0</v>
      </c>
      <c r="E1639" s="86">
        <v>20.59</v>
      </c>
      <c r="F1639" s="87">
        <v>24.89</v>
      </c>
      <c r="G1639" s="88">
        <f t="shared" si="1"/>
        <v>4.3</v>
      </c>
      <c r="H1639" s="89">
        <f t="shared" si="7"/>
        <v>0.1727601446</v>
      </c>
      <c r="I1639" s="78" t="s">
        <v>2152</v>
      </c>
      <c r="J1639" s="78" t="s">
        <v>69</v>
      </c>
      <c r="K1639" s="58">
        <f t="shared" si="3"/>
        <v>0</v>
      </c>
      <c r="L1639" s="91" t="str">
        <f t="shared" si="8"/>
        <v>Fri</v>
      </c>
      <c r="M1639" s="78" t="str">
        <f>IFERROR(VLOOKUP(A1639, Entries!A:B,2,false),"")</f>
        <v>Bungie</v>
      </c>
      <c r="N1639" s="23" t="str">
        <f>IFERROR(VLOOKUP(A1639, Entries!A:K,11,false),"")</f>
        <v/>
      </c>
      <c r="O1639" s="23" t="b">
        <f>IFERROR(VLOOKUP(A1639, Entries!A:I,8,false),"")</f>
        <v>1</v>
      </c>
    </row>
    <row r="1640">
      <c r="A1640" s="96" t="s">
        <v>2127</v>
      </c>
      <c r="B1640" s="78" t="s">
        <v>27</v>
      </c>
      <c r="C1640" s="85">
        <v>44624.0</v>
      </c>
      <c r="D1640" s="85">
        <v>44625.0</v>
      </c>
      <c r="E1640" s="86">
        <v>20.59</v>
      </c>
      <c r="F1640" s="87">
        <v>24.89</v>
      </c>
      <c r="G1640" s="88">
        <f t="shared" si="1"/>
        <v>4.3</v>
      </c>
      <c r="H1640" s="89">
        <f t="shared" si="7"/>
        <v>0.1727601446</v>
      </c>
      <c r="I1640" s="78" t="s">
        <v>2153</v>
      </c>
      <c r="J1640" s="78" t="s">
        <v>69</v>
      </c>
      <c r="K1640" s="58">
        <f t="shared" si="3"/>
        <v>1</v>
      </c>
      <c r="L1640" s="91" t="str">
        <f t="shared" si="8"/>
        <v>Sat</v>
      </c>
      <c r="M1640" s="78" t="str">
        <f>IFERROR(VLOOKUP(A1640, Entries!A:B,2,false),"")</f>
        <v>Bungie</v>
      </c>
      <c r="N1640" s="23" t="str">
        <f>IFERROR(VLOOKUP(A1640, Entries!A:K,11,false),"")</f>
        <v/>
      </c>
      <c r="O1640" s="23" t="b">
        <f>IFERROR(VLOOKUP(A1640, Entries!A:I,8,false),"")</f>
        <v>1</v>
      </c>
    </row>
    <row r="1641">
      <c r="A1641" s="78" t="s">
        <v>308</v>
      </c>
      <c r="B1641" s="78" t="s">
        <v>25</v>
      </c>
      <c r="C1641" s="85">
        <v>44625.0</v>
      </c>
      <c r="D1641" s="85">
        <v>44630.0</v>
      </c>
      <c r="E1641" s="86">
        <v>3.16</v>
      </c>
      <c r="F1641" s="87">
        <v>3.56</v>
      </c>
      <c r="G1641" s="88">
        <f t="shared" si="1"/>
        <v>0.4</v>
      </c>
      <c r="H1641" s="89">
        <f t="shared" si="7"/>
        <v>0.1123595506</v>
      </c>
      <c r="I1641" s="78" t="s">
        <v>2154</v>
      </c>
      <c r="J1641" s="78" t="s">
        <v>69</v>
      </c>
      <c r="K1641" s="58">
        <f t="shared" si="3"/>
        <v>5</v>
      </c>
      <c r="L1641" s="91" t="str">
        <f t="shared" si="8"/>
        <v>Thu</v>
      </c>
      <c r="M1641" s="78" t="str">
        <f>IFERROR(VLOOKUP(A1641, Entries!A:B,2,false),"")</f>
        <v>505 Games</v>
      </c>
      <c r="N1641" s="23" t="str">
        <f>IFERROR(VLOOKUP(A1641, Entries!A:K,11,false),"")</f>
        <v/>
      </c>
      <c r="O1641" s="23" t="b">
        <f>IFERROR(VLOOKUP(A1641, Entries!A:I,8,false),"")</f>
        <v>0</v>
      </c>
    </row>
    <row r="1642">
      <c r="A1642" s="78" t="s">
        <v>1363</v>
      </c>
      <c r="B1642" s="78" t="s">
        <v>25</v>
      </c>
      <c r="C1642" s="85">
        <v>44625.0</v>
      </c>
      <c r="D1642" s="85">
        <v>44692.0</v>
      </c>
      <c r="E1642" s="86">
        <v>1.64</v>
      </c>
      <c r="F1642" s="87">
        <v>2.47</v>
      </c>
      <c r="G1642" s="88">
        <f t="shared" si="1"/>
        <v>0.83</v>
      </c>
      <c r="H1642" s="89">
        <f t="shared" si="7"/>
        <v>0.3360323887</v>
      </c>
      <c r="I1642" s="78" t="s">
        <v>2155</v>
      </c>
      <c r="J1642" s="78" t="s">
        <v>69</v>
      </c>
      <c r="K1642" s="58">
        <f t="shared" si="3"/>
        <v>67</v>
      </c>
      <c r="L1642" s="91" t="str">
        <f t="shared" si="8"/>
        <v>Wed</v>
      </c>
      <c r="M1642" s="78" t="str">
        <f>IFERROR(VLOOKUP(A1642, Entries!A:B,2,false),"")</f>
        <v>The Voxel Agents</v>
      </c>
      <c r="N1642" s="23" t="str">
        <f>IFERROR(VLOOKUP(A1642, Entries!A:K,11,false),"")</f>
        <v/>
      </c>
      <c r="O1642" s="23" t="b">
        <f>IFERROR(VLOOKUP(A1642, Entries!A:I,8,false),"")</f>
        <v>0</v>
      </c>
    </row>
    <row r="1643">
      <c r="A1643" s="78" t="s">
        <v>2148</v>
      </c>
      <c r="B1643" s="78" t="s">
        <v>32</v>
      </c>
      <c r="C1643" s="85">
        <v>44625.0</v>
      </c>
      <c r="D1643" s="85">
        <v>44625.0</v>
      </c>
      <c r="E1643" s="86">
        <v>15.16</v>
      </c>
      <c r="F1643" s="87">
        <v>20.74</v>
      </c>
      <c r="G1643" s="88">
        <f t="shared" si="1"/>
        <v>5.58</v>
      </c>
      <c r="H1643" s="89">
        <f t="shared" si="7"/>
        <v>0.269045323</v>
      </c>
      <c r="I1643" s="78" t="s">
        <v>2156</v>
      </c>
      <c r="J1643" s="78" t="s">
        <v>69</v>
      </c>
      <c r="K1643" s="58">
        <f t="shared" si="3"/>
        <v>0</v>
      </c>
      <c r="L1643" s="91" t="str">
        <f t="shared" si="8"/>
        <v>Sat</v>
      </c>
      <c r="M1643" s="78" t="str">
        <f>IFERROR(VLOOKUP(A1643, Entries!A:B,2,false),"")</f>
        <v>Wired Productions</v>
      </c>
      <c r="N1643" s="23" t="str">
        <f>IFERROR(VLOOKUP(A1643, Entries!A:K,11,false),"")</f>
        <v/>
      </c>
      <c r="O1643" s="23" t="b">
        <f>IFERROR(VLOOKUP(A1643, Entries!A:I,8,false),"")</f>
        <v>1</v>
      </c>
    </row>
    <row r="1644">
      <c r="A1644" s="78" t="s">
        <v>2148</v>
      </c>
      <c r="B1644" s="78" t="s">
        <v>32</v>
      </c>
      <c r="C1644" s="85">
        <v>44625.0</v>
      </c>
      <c r="D1644" s="85">
        <v>44625.0</v>
      </c>
      <c r="E1644" s="86">
        <v>15.17</v>
      </c>
      <c r="F1644" s="87">
        <v>21.91</v>
      </c>
      <c r="G1644" s="88">
        <f t="shared" si="1"/>
        <v>6.74</v>
      </c>
      <c r="H1644" s="89">
        <f t="shared" si="7"/>
        <v>0.3076220904</v>
      </c>
      <c r="I1644" s="78" t="s">
        <v>2157</v>
      </c>
      <c r="J1644" s="78" t="s">
        <v>69</v>
      </c>
      <c r="K1644" s="58">
        <f t="shared" si="3"/>
        <v>0</v>
      </c>
      <c r="L1644" s="91" t="str">
        <f t="shared" si="8"/>
        <v>Sat</v>
      </c>
      <c r="M1644" s="78" t="str">
        <f>IFERROR(VLOOKUP(A1644, Entries!A:B,2,false),"")</f>
        <v>Wired Productions</v>
      </c>
      <c r="N1644" s="23" t="str">
        <f>IFERROR(VLOOKUP(A1644, Entries!A:K,11,false),"")</f>
        <v/>
      </c>
      <c r="O1644" s="23" t="b">
        <f>IFERROR(VLOOKUP(A1644, Entries!A:I,8,false),"")</f>
        <v>1</v>
      </c>
    </row>
    <row r="1645">
      <c r="A1645" s="96" t="s">
        <v>2127</v>
      </c>
      <c r="B1645" s="78" t="s">
        <v>27</v>
      </c>
      <c r="C1645" s="85">
        <v>44628.0</v>
      </c>
      <c r="D1645" s="85">
        <v>44629.0</v>
      </c>
      <c r="E1645" s="86">
        <v>20.69</v>
      </c>
      <c r="F1645" s="87">
        <v>24.89</v>
      </c>
      <c r="G1645" s="88">
        <f t="shared" si="1"/>
        <v>4.2</v>
      </c>
      <c r="H1645" s="89">
        <f t="shared" si="7"/>
        <v>0.1687424669</v>
      </c>
      <c r="I1645" s="78" t="s">
        <v>2158</v>
      </c>
      <c r="J1645" s="78" t="s">
        <v>69</v>
      </c>
      <c r="K1645" s="58">
        <f t="shared" si="3"/>
        <v>1</v>
      </c>
      <c r="L1645" s="91" t="str">
        <f t="shared" si="8"/>
        <v>Wed</v>
      </c>
      <c r="M1645" s="78" t="str">
        <f>IFERROR(VLOOKUP(A1645, Entries!A:B,2,false),"")</f>
        <v>Bungie</v>
      </c>
      <c r="N1645" s="23" t="str">
        <f>IFERROR(VLOOKUP(A1645, Entries!A:K,11,false),"")</f>
        <v/>
      </c>
      <c r="O1645" s="23" t="b">
        <f>IFERROR(VLOOKUP(A1645, Entries!A:I,8,false),"")</f>
        <v>1</v>
      </c>
    </row>
    <row r="1646">
      <c r="A1646" s="78" t="s">
        <v>1989</v>
      </c>
      <c r="B1646" s="78" t="s">
        <v>27</v>
      </c>
      <c r="C1646" s="85">
        <v>44628.0</v>
      </c>
      <c r="D1646" s="85">
        <v>44629.0</v>
      </c>
      <c r="E1646" s="86">
        <v>9.09</v>
      </c>
      <c r="F1646" s="87">
        <v>12.16</v>
      </c>
      <c r="G1646" s="88">
        <f t="shared" si="1"/>
        <v>3.07</v>
      </c>
      <c r="H1646" s="89">
        <f t="shared" si="7"/>
        <v>0.2524671053</v>
      </c>
      <c r="I1646" s="78" t="s">
        <v>2159</v>
      </c>
      <c r="J1646" s="78" t="s">
        <v>69</v>
      </c>
      <c r="K1646" s="58">
        <f t="shared" si="3"/>
        <v>1</v>
      </c>
      <c r="L1646" s="91" t="str">
        <f t="shared" si="8"/>
        <v>Wed</v>
      </c>
      <c r="M1646" s="78" t="str">
        <f>IFERROR(VLOOKUP(A1646, Entries!A:B,2,false),"")</f>
        <v>Rebellion</v>
      </c>
      <c r="N1646" s="23" t="str">
        <f>IFERROR(VLOOKUP(A1646, Entries!A:K,11,false),"")</f>
        <v/>
      </c>
      <c r="O1646" s="23" t="b">
        <f>IFERROR(VLOOKUP(A1646, Entries!A:I,8,false),"")</f>
        <v>1</v>
      </c>
    </row>
    <row r="1647">
      <c r="A1647" s="78" t="s">
        <v>2075</v>
      </c>
      <c r="B1647" s="78" t="s">
        <v>27</v>
      </c>
      <c r="C1647" s="85">
        <v>44628.0</v>
      </c>
      <c r="D1647" s="85">
        <v>44662.0</v>
      </c>
      <c r="E1647" s="86">
        <v>6.09</v>
      </c>
      <c r="F1647" s="87">
        <v>16.19</v>
      </c>
      <c r="G1647" s="88">
        <f t="shared" si="1"/>
        <v>10.1</v>
      </c>
      <c r="H1647" s="89">
        <f t="shared" si="7"/>
        <v>0.6238418777</v>
      </c>
      <c r="I1647" s="78" t="s">
        <v>2160</v>
      </c>
      <c r="J1647" s="78" t="s">
        <v>69</v>
      </c>
      <c r="K1647" s="58">
        <f t="shared" si="3"/>
        <v>34</v>
      </c>
      <c r="L1647" s="91" t="str">
        <f t="shared" si="8"/>
        <v>Mon</v>
      </c>
      <c r="M1647" s="78" t="str">
        <f>IFERROR(VLOOKUP(A1647, Entries!A:B,2,false),"")</f>
        <v>Warner Bros</v>
      </c>
      <c r="N1647" s="23" t="str">
        <f>IFERROR(VLOOKUP(A1647, Entries!A:K,11,false),"")</f>
        <v/>
      </c>
      <c r="O1647" s="23" t="b">
        <f>IFERROR(VLOOKUP(A1647, Entries!A:I,8,false),"")</f>
        <v>0</v>
      </c>
    </row>
    <row r="1648">
      <c r="A1648" s="78" t="s">
        <v>1922</v>
      </c>
      <c r="B1648" s="78" t="s">
        <v>19</v>
      </c>
      <c r="C1648" s="85">
        <v>44628.0</v>
      </c>
      <c r="D1648" s="85">
        <v>44630.0</v>
      </c>
      <c r="E1648" s="86">
        <v>21.96</v>
      </c>
      <c r="F1648" s="87">
        <v>28.36</v>
      </c>
      <c r="G1648" s="88">
        <f t="shared" si="1"/>
        <v>6.4</v>
      </c>
      <c r="H1648" s="89">
        <f t="shared" si="7"/>
        <v>0.2256699577</v>
      </c>
      <c r="I1648" s="78" t="s">
        <v>2161</v>
      </c>
      <c r="J1648" s="78" t="s">
        <v>69</v>
      </c>
      <c r="K1648" s="58">
        <f t="shared" si="3"/>
        <v>2</v>
      </c>
      <c r="L1648" s="91" t="str">
        <f t="shared" si="8"/>
        <v>Thu</v>
      </c>
      <c r="M1648" s="78" t="str">
        <f>IFERROR(VLOOKUP(A1648, Entries!A:B,2,false),"")</f>
        <v>Rebellion</v>
      </c>
      <c r="N1648" s="23" t="str">
        <f>IFERROR(VLOOKUP(A1648, Entries!A:K,11,false),"")</f>
        <v/>
      </c>
      <c r="O1648" s="23" t="b">
        <f>IFERROR(VLOOKUP(A1648, Entries!A:I,8,false),"")</f>
        <v>0</v>
      </c>
    </row>
    <row r="1649">
      <c r="A1649" s="78" t="s">
        <v>759</v>
      </c>
      <c r="B1649" s="78" t="s">
        <v>19</v>
      </c>
      <c r="C1649" s="85">
        <v>44628.0</v>
      </c>
      <c r="D1649" s="85">
        <v>44629.0</v>
      </c>
      <c r="E1649" s="86">
        <v>0.0</v>
      </c>
      <c r="F1649" s="87">
        <v>0.78</v>
      </c>
      <c r="G1649" s="88">
        <f t="shared" si="1"/>
        <v>0.78</v>
      </c>
      <c r="H1649" s="89">
        <f t="shared" si="7"/>
        <v>1</v>
      </c>
      <c r="I1649" s="78" t="s">
        <v>2162</v>
      </c>
      <c r="J1649" s="78" t="s">
        <v>69</v>
      </c>
      <c r="K1649" s="58">
        <f t="shared" si="3"/>
        <v>1</v>
      </c>
      <c r="L1649" s="91" t="str">
        <f t="shared" si="8"/>
        <v>Wed</v>
      </c>
      <c r="M1649" s="78" t="str">
        <f>IFERROR(VLOOKUP(A1649, Entries!A:B,2,false),"")</f>
        <v>Kalypso Media</v>
      </c>
      <c r="N1649" s="23" t="str">
        <f>IFERROR(VLOOKUP(A1649, Entries!A:K,11,false),"")</f>
        <v/>
      </c>
      <c r="O1649" s="23" t="b">
        <f>IFERROR(VLOOKUP(A1649, Entries!A:I,8,false),"")</f>
        <v>0</v>
      </c>
    </row>
    <row r="1650">
      <c r="A1650" s="78" t="s">
        <v>2101</v>
      </c>
      <c r="B1650" s="78" t="s">
        <v>27</v>
      </c>
      <c r="C1650" s="85">
        <v>44629.0</v>
      </c>
      <c r="D1650" s="85">
        <v>44663.0</v>
      </c>
      <c r="E1650" s="86">
        <v>10.39</v>
      </c>
      <c r="F1650" s="87">
        <v>12.52</v>
      </c>
      <c r="G1650" s="88">
        <f t="shared" si="1"/>
        <v>2.13</v>
      </c>
      <c r="H1650" s="89">
        <f t="shared" si="7"/>
        <v>0.1701277955</v>
      </c>
      <c r="I1650" s="78" t="s">
        <v>2163</v>
      </c>
      <c r="J1650" s="78" t="s">
        <v>69</v>
      </c>
      <c r="K1650" s="58">
        <f t="shared" si="3"/>
        <v>34</v>
      </c>
      <c r="L1650" s="91" t="str">
        <f t="shared" si="8"/>
        <v>Tue</v>
      </c>
      <c r="M1650" s="78" t="str">
        <f>IFERROR(VLOOKUP(A1650, Entries!A:B,2,false),"")</f>
        <v>Offworld Industries</v>
      </c>
      <c r="N1650" s="23" t="str">
        <f>IFERROR(VLOOKUP(A1650, Entries!A:K,11,false),"")</f>
        <v/>
      </c>
      <c r="O1650" s="23" t="b">
        <f>IFERROR(VLOOKUP(A1650, Entries!A:I,8,false),"")</f>
        <v>0</v>
      </c>
    </row>
    <row r="1651">
      <c r="A1651" s="78" t="s">
        <v>2164</v>
      </c>
      <c r="B1651" s="78" t="s">
        <v>25</v>
      </c>
      <c r="C1651" s="85">
        <v>44629.0</v>
      </c>
      <c r="D1651" s="85">
        <v>44657.0</v>
      </c>
      <c r="E1651" s="86">
        <v>1.73</v>
      </c>
      <c r="F1651" s="87">
        <v>2.29</v>
      </c>
      <c r="G1651" s="88">
        <f t="shared" si="1"/>
        <v>0.56</v>
      </c>
      <c r="H1651" s="89">
        <f t="shared" si="7"/>
        <v>0.2445414847</v>
      </c>
      <c r="I1651" s="78" t="s">
        <v>2165</v>
      </c>
      <c r="J1651" s="78" t="s">
        <v>69</v>
      </c>
      <c r="K1651" s="58">
        <f t="shared" si="3"/>
        <v>28</v>
      </c>
      <c r="L1651" s="91" t="str">
        <f t="shared" si="8"/>
        <v>Wed</v>
      </c>
      <c r="M1651" s="78" t="str">
        <f>IFERROR(VLOOKUP(A1651, Entries!A:B,2,false),"")</f>
        <v>Paradox Interactive</v>
      </c>
      <c r="N1651" s="23" t="str">
        <f>IFERROR(VLOOKUP(A1651, Entries!A:K,11,false),"")</f>
        <v/>
      </c>
      <c r="O1651" s="23" t="b">
        <f>IFERROR(VLOOKUP(A1651, Entries!A:I,8,false),"")</f>
        <v>0</v>
      </c>
    </row>
    <row r="1652">
      <c r="A1652" s="78" t="s">
        <v>1989</v>
      </c>
      <c r="B1652" s="78" t="s">
        <v>27</v>
      </c>
      <c r="C1652" s="85">
        <v>44629.0</v>
      </c>
      <c r="D1652" s="85">
        <v>44629.0</v>
      </c>
      <c r="E1652" s="86">
        <v>9.09</v>
      </c>
      <c r="F1652" s="87">
        <v>12.16</v>
      </c>
      <c r="G1652" s="88">
        <f t="shared" si="1"/>
        <v>3.07</v>
      </c>
      <c r="H1652" s="89">
        <f t="shared" si="7"/>
        <v>0.2524671053</v>
      </c>
      <c r="I1652" s="78" t="s">
        <v>2166</v>
      </c>
      <c r="J1652" s="78" t="s">
        <v>69</v>
      </c>
      <c r="K1652" s="58">
        <f t="shared" si="3"/>
        <v>0</v>
      </c>
      <c r="L1652" s="91" t="str">
        <f t="shared" si="8"/>
        <v>Wed</v>
      </c>
      <c r="M1652" s="78" t="str">
        <f>IFERROR(VLOOKUP(A1652, Entries!A:B,2,false),"")</f>
        <v>Rebellion</v>
      </c>
      <c r="N1652" s="23" t="str">
        <f>IFERROR(VLOOKUP(A1652, Entries!A:K,11,false),"")</f>
        <v/>
      </c>
      <c r="O1652" s="23" t="b">
        <f>IFERROR(VLOOKUP(A1652, Entries!A:I,8,false),"")</f>
        <v>1</v>
      </c>
    </row>
    <row r="1653">
      <c r="A1653" s="78" t="s">
        <v>1989</v>
      </c>
      <c r="B1653" s="78" t="s">
        <v>27</v>
      </c>
      <c r="C1653" s="85">
        <v>44629.0</v>
      </c>
      <c r="D1653" s="85">
        <v>44630.0</v>
      </c>
      <c r="E1653" s="86">
        <v>9.09</v>
      </c>
      <c r="F1653" s="87">
        <v>11.99</v>
      </c>
      <c r="G1653" s="88">
        <f t="shared" si="1"/>
        <v>2.9</v>
      </c>
      <c r="H1653" s="89">
        <f t="shared" si="7"/>
        <v>0.2418682235</v>
      </c>
      <c r="I1653" s="78" t="s">
        <v>2167</v>
      </c>
      <c r="J1653" s="78" t="s">
        <v>69</v>
      </c>
      <c r="K1653" s="58">
        <f t="shared" si="3"/>
        <v>1</v>
      </c>
      <c r="L1653" s="91" t="str">
        <f t="shared" si="8"/>
        <v>Thu</v>
      </c>
      <c r="M1653" s="78" t="str">
        <f>IFERROR(VLOOKUP(A1653, Entries!A:B,2,false),"")</f>
        <v>Rebellion</v>
      </c>
      <c r="N1653" s="23" t="str">
        <f>IFERROR(VLOOKUP(A1653, Entries!A:K,11,false),"")</f>
        <v/>
      </c>
      <c r="O1653" s="23" t="b">
        <f>IFERROR(VLOOKUP(A1653, Entries!A:I,8,false),"")</f>
        <v>1</v>
      </c>
    </row>
    <row r="1654">
      <c r="A1654" s="96" t="s">
        <v>2127</v>
      </c>
      <c r="B1654" s="78" t="s">
        <v>27</v>
      </c>
      <c r="C1654" s="85">
        <v>44629.0</v>
      </c>
      <c r="D1654" s="85">
        <v>44630.0</v>
      </c>
      <c r="E1654" s="86">
        <v>20.69</v>
      </c>
      <c r="F1654" s="87">
        <v>24.89</v>
      </c>
      <c r="G1654" s="88">
        <f t="shared" si="1"/>
        <v>4.2</v>
      </c>
      <c r="H1654" s="89">
        <f t="shared" si="7"/>
        <v>0.1687424669</v>
      </c>
      <c r="I1654" s="78" t="s">
        <v>2168</v>
      </c>
      <c r="J1654" s="78" t="s">
        <v>69</v>
      </c>
      <c r="K1654" s="58">
        <f t="shared" si="3"/>
        <v>1</v>
      </c>
      <c r="L1654" s="91" t="str">
        <f t="shared" si="8"/>
        <v>Thu</v>
      </c>
      <c r="M1654" s="78" t="str">
        <f>IFERROR(VLOOKUP(A1654, Entries!A:B,2,false),"")</f>
        <v>Bungie</v>
      </c>
      <c r="N1654" s="23" t="str">
        <f>IFERROR(VLOOKUP(A1654, Entries!A:K,11,false),"")</f>
        <v/>
      </c>
      <c r="O1654" s="23" t="b">
        <f>IFERROR(VLOOKUP(A1654, Entries!A:I,8,false),"")</f>
        <v>1</v>
      </c>
    </row>
    <row r="1655">
      <c r="A1655" s="78" t="s">
        <v>1971</v>
      </c>
      <c r="B1655" s="78" t="s">
        <v>21</v>
      </c>
      <c r="C1655" s="85">
        <v>44629.0</v>
      </c>
      <c r="D1655" s="85">
        <v>44633.0</v>
      </c>
      <c r="E1655" s="86">
        <v>3.51</v>
      </c>
      <c r="F1655" s="87">
        <v>4.1</v>
      </c>
      <c r="G1655" s="88">
        <f t="shared" si="1"/>
        <v>0.59</v>
      </c>
      <c r="H1655" s="89">
        <f t="shared" si="7"/>
        <v>0.143902439</v>
      </c>
      <c r="I1655" s="78" t="s">
        <v>2169</v>
      </c>
      <c r="J1655" s="78" t="s">
        <v>69</v>
      </c>
      <c r="K1655" s="58">
        <f t="shared" si="3"/>
        <v>4</v>
      </c>
      <c r="L1655" s="91" t="str">
        <f t="shared" si="8"/>
        <v>Sun</v>
      </c>
      <c r="M1655" s="78" t="str">
        <f>IFERROR(VLOOKUP(A1655, Entries!A:B,2,false),"")</f>
        <v>HandyGames</v>
      </c>
      <c r="N1655" s="23" t="str">
        <f>IFERROR(VLOOKUP(A1655, Entries!A:K,11,false),"")</f>
        <v/>
      </c>
      <c r="O1655" s="23" t="b">
        <f>IFERROR(VLOOKUP(A1655, Entries!A:I,8,false),"")</f>
        <v>0</v>
      </c>
    </row>
    <row r="1656">
      <c r="A1656" s="78" t="s">
        <v>1971</v>
      </c>
      <c r="B1656" s="78" t="s">
        <v>21</v>
      </c>
      <c r="C1656" s="85">
        <v>44629.0</v>
      </c>
      <c r="D1656" s="85">
        <v>44694.0</v>
      </c>
      <c r="E1656" s="86">
        <v>3.51</v>
      </c>
      <c r="F1656" s="87">
        <v>3.49</v>
      </c>
      <c r="G1656" s="88">
        <f t="shared" si="1"/>
        <v>-0.02</v>
      </c>
      <c r="H1656" s="89">
        <f t="shared" si="7"/>
        <v>-0.005730659026</v>
      </c>
      <c r="I1656" s="78" t="s">
        <v>2170</v>
      </c>
      <c r="J1656" s="78" t="s">
        <v>69</v>
      </c>
      <c r="K1656" s="58">
        <f t="shared" si="3"/>
        <v>65</v>
      </c>
      <c r="L1656" s="91" t="str">
        <f t="shared" si="8"/>
        <v>Fri</v>
      </c>
      <c r="M1656" s="78" t="str">
        <f>IFERROR(VLOOKUP(A1656, Entries!A:B,2,false),"")</f>
        <v>HandyGames</v>
      </c>
      <c r="N1656" s="23" t="str">
        <f>IFERROR(VLOOKUP(A1656, Entries!A:K,11,false),"")</f>
        <v/>
      </c>
      <c r="O1656" s="23" t="b">
        <f>IFERROR(VLOOKUP(A1656, Entries!A:I,8,false),"")</f>
        <v>0</v>
      </c>
    </row>
    <row r="1657">
      <c r="A1657" s="78" t="s">
        <v>1971</v>
      </c>
      <c r="B1657" s="78" t="s">
        <v>21</v>
      </c>
      <c r="C1657" s="85">
        <v>44629.0</v>
      </c>
      <c r="D1657" s="85">
        <v>44717.0</v>
      </c>
      <c r="E1657" s="86">
        <v>3.51</v>
      </c>
      <c r="F1657" s="87">
        <v>4.02</v>
      </c>
      <c r="G1657" s="88">
        <f t="shared" si="1"/>
        <v>0.51</v>
      </c>
      <c r="H1657" s="89">
        <f t="shared" si="7"/>
        <v>0.1268656716</v>
      </c>
      <c r="I1657" s="78" t="s">
        <v>2171</v>
      </c>
      <c r="J1657" s="78" t="s">
        <v>69</v>
      </c>
      <c r="K1657" s="58">
        <f t="shared" si="3"/>
        <v>88</v>
      </c>
      <c r="L1657" s="91" t="str">
        <f t="shared" si="8"/>
        <v>Sun</v>
      </c>
      <c r="M1657" s="78" t="str">
        <f>IFERROR(VLOOKUP(A1657, Entries!A:B,2,false),"")</f>
        <v>HandyGames</v>
      </c>
      <c r="N1657" s="23" t="str">
        <f>IFERROR(VLOOKUP(A1657, Entries!A:K,11,false),"")</f>
        <v/>
      </c>
      <c r="O1657" s="23" t="b">
        <f>IFERROR(VLOOKUP(A1657, Entries!A:I,8,false),"")</f>
        <v>0</v>
      </c>
    </row>
    <row r="1658">
      <c r="A1658" s="78" t="s">
        <v>731</v>
      </c>
      <c r="B1658" s="78" t="s">
        <v>19</v>
      </c>
      <c r="C1658" s="85">
        <v>44629.0</v>
      </c>
      <c r="D1658" s="85">
        <v>44631.0</v>
      </c>
      <c r="E1658" s="86">
        <v>3.75</v>
      </c>
      <c r="F1658" s="87">
        <v>5.47</v>
      </c>
      <c r="G1658" s="88">
        <f t="shared" si="1"/>
        <v>1.72</v>
      </c>
      <c r="H1658" s="89">
        <f t="shared" si="7"/>
        <v>0.3144424132</v>
      </c>
      <c r="I1658" s="78" t="s">
        <v>2172</v>
      </c>
      <c r="J1658" s="78" t="s">
        <v>69</v>
      </c>
      <c r="K1658" s="58">
        <f t="shared" si="3"/>
        <v>2</v>
      </c>
      <c r="L1658" s="91" t="str">
        <f t="shared" si="8"/>
        <v>Fri</v>
      </c>
      <c r="M1658" s="78" t="str">
        <f>IFERROR(VLOOKUP(A1658, Entries!A:B,2,false),"")</f>
        <v>Square Enix</v>
      </c>
      <c r="N1658" s="23" t="str">
        <f>IFERROR(VLOOKUP(A1658, Entries!A:K,11,false),"")</f>
        <v/>
      </c>
      <c r="O1658" s="23" t="b">
        <f>IFERROR(VLOOKUP(A1658, Entries!A:I,8,false),"")</f>
        <v>1</v>
      </c>
    </row>
    <row r="1659">
      <c r="A1659" s="78" t="s">
        <v>1817</v>
      </c>
      <c r="B1659" s="78" t="s">
        <v>19</v>
      </c>
      <c r="C1659" s="85">
        <v>44629.0</v>
      </c>
      <c r="D1659" s="85">
        <v>44857.0</v>
      </c>
      <c r="E1659" s="86">
        <v>12.53</v>
      </c>
      <c r="F1659" s="87">
        <v>14.4</v>
      </c>
      <c r="G1659" s="88">
        <f t="shared" si="1"/>
        <v>1.87</v>
      </c>
      <c r="H1659" s="89">
        <f t="shared" si="7"/>
        <v>0.1298611111</v>
      </c>
      <c r="I1659" s="78" t="s">
        <v>2173</v>
      </c>
      <c r="J1659" s="78" t="s">
        <v>69</v>
      </c>
      <c r="K1659" s="58">
        <f t="shared" si="3"/>
        <v>228</v>
      </c>
      <c r="L1659" s="91" t="str">
        <f t="shared" si="8"/>
        <v>Sun</v>
      </c>
      <c r="M1659" s="78" t="str">
        <f>IFERROR(VLOOKUP(A1659, Entries!A:B,2,false),"")</f>
        <v>Sold Out</v>
      </c>
      <c r="N1659" s="23" t="str">
        <f>IFERROR(VLOOKUP(A1659, Entries!A:K,11,false),"")</f>
        <v/>
      </c>
      <c r="O1659" s="23" t="b">
        <f>IFERROR(VLOOKUP(A1659, Entries!A:I,8,false),"")</f>
        <v>0</v>
      </c>
    </row>
    <row r="1660">
      <c r="A1660" s="78" t="s">
        <v>2174</v>
      </c>
      <c r="B1660" s="78" t="s">
        <v>19</v>
      </c>
      <c r="C1660" s="85">
        <v>44629.0</v>
      </c>
      <c r="D1660" s="85">
        <v>44630.0</v>
      </c>
      <c r="E1660" s="86">
        <v>0.0</v>
      </c>
      <c r="F1660" s="87">
        <v>0.09</v>
      </c>
      <c r="G1660" s="88">
        <f t="shared" si="1"/>
        <v>0.09</v>
      </c>
      <c r="H1660" s="89">
        <f t="shared" si="7"/>
        <v>1</v>
      </c>
      <c r="I1660" s="78" t="s">
        <v>2175</v>
      </c>
      <c r="J1660" s="78" t="s">
        <v>69</v>
      </c>
      <c r="K1660" s="58">
        <f t="shared" si="3"/>
        <v>1</v>
      </c>
      <c r="L1660" s="91" t="str">
        <f t="shared" si="8"/>
        <v>Thu</v>
      </c>
      <c r="M1660" s="78" t="str">
        <f>IFERROR(VLOOKUP(A1660, Entries!A:B,2,false),"")</f>
        <v>Team17 Digital</v>
      </c>
      <c r="N1660" s="23" t="str">
        <f>IFERROR(VLOOKUP(A1660, Entries!A:K,11,false),"")</f>
        <v/>
      </c>
      <c r="O1660" s="23" t="b">
        <f>IFERROR(VLOOKUP(A1660, Entries!A:I,8,false),"")</f>
        <v>0</v>
      </c>
    </row>
    <row r="1661">
      <c r="A1661" s="78" t="s">
        <v>326</v>
      </c>
      <c r="B1661" s="78" t="s">
        <v>25</v>
      </c>
      <c r="C1661" s="85">
        <v>44629.0</v>
      </c>
      <c r="D1661" s="85">
        <v>44641.0</v>
      </c>
      <c r="E1661" s="86">
        <v>2.93</v>
      </c>
      <c r="F1661" s="87">
        <v>4.43</v>
      </c>
      <c r="G1661" s="88">
        <f t="shared" si="1"/>
        <v>1.5</v>
      </c>
      <c r="H1661" s="89">
        <f t="shared" si="7"/>
        <v>0.3386004515</v>
      </c>
      <c r="I1661" s="78" t="s">
        <v>2176</v>
      </c>
      <c r="J1661" s="78" t="s">
        <v>69</v>
      </c>
      <c r="K1661" s="58">
        <f t="shared" si="3"/>
        <v>12</v>
      </c>
      <c r="L1661" s="91" t="str">
        <f t="shared" si="8"/>
        <v>Mon</v>
      </c>
      <c r="M1661" s="78" t="str">
        <f>IFERROR(VLOOKUP(A1661, Entries!A:B,2,false),"")</f>
        <v>Aerosoft</v>
      </c>
      <c r="N1661" s="23" t="str">
        <f>IFERROR(VLOOKUP(A1661, Entries!A:K,11,false),"")</f>
        <v/>
      </c>
      <c r="O1661" s="23" t="b">
        <f>IFERROR(VLOOKUP(A1661, Entries!A:I,8,false),"")</f>
        <v>1</v>
      </c>
    </row>
    <row r="1662">
      <c r="A1662" s="78" t="s">
        <v>326</v>
      </c>
      <c r="B1662" s="78" t="s">
        <v>25</v>
      </c>
      <c r="C1662" s="85">
        <v>44629.0</v>
      </c>
      <c r="D1662" s="85">
        <v>44644.0</v>
      </c>
      <c r="E1662" s="86">
        <v>2.93</v>
      </c>
      <c r="F1662" s="87">
        <v>4.23</v>
      </c>
      <c r="G1662" s="88">
        <f t="shared" si="1"/>
        <v>1.3</v>
      </c>
      <c r="H1662" s="89">
        <f t="shared" si="7"/>
        <v>0.3073286052</v>
      </c>
      <c r="I1662" s="78" t="s">
        <v>2177</v>
      </c>
      <c r="J1662" s="78" t="s">
        <v>69</v>
      </c>
      <c r="K1662" s="58">
        <f t="shared" si="3"/>
        <v>15</v>
      </c>
      <c r="L1662" s="91" t="str">
        <f t="shared" si="8"/>
        <v>Thu</v>
      </c>
      <c r="M1662" s="78" t="str">
        <f>IFERROR(VLOOKUP(A1662, Entries!A:B,2,false),"")</f>
        <v>Aerosoft</v>
      </c>
      <c r="N1662" s="23" t="str">
        <f>IFERROR(VLOOKUP(A1662, Entries!A:K,11,false),"")</f>
        <v/>
      </c>
      <c r="O1662" s="23" t="b">
        <f>IFERROR(VLOOKUP(A1662, Entries!A:I,8,false),"")</f>
        <v>1</v>
      </c>
    </row>
    <row r="1663">
      <c r="A1663" s="78" t="s">
        <v>326</v>
      </c>
      <c r="B1663" s="78" t="s">
        <v>25</v>
      </c>
      <c r="C1663" s="85">
        <v>44629.0</v>
      </c>
      <c r="D1663" s="85">
        <v>44646.0</v>
      </c>
      <c r="E1663" s="86">
        <v>2.93</v>
      </c>
      <c r="F1663" s="87">
        <v>4.03</v>
      </c>
      <c r="G1663" s="88">
        <f t="shared" si="1"/>
        <v>1.1</v>
      </c>
      <c r="H1663" s="89">
        <f t="shared" si="7"/>
        <v>0.2729528536</v>
      </c>
      <c r="I1663" s="78" t="s">
        <v>2178</v>
      </c>
      <c r="J1663" s="78" t="s">
        <v>69</v>
      </c>
      <c r="K1663" s="58">
        <f t="shared" si="3"/>
        <v>17</v>
      </c>
      <c r="L1663" s="91" t="str">
        <f t="shared" si="8"/>
        <v>Sat</v>
      </c>
      <c r="M1663" s="78" t="str">
        <f>IFERROR(VLOOKUP(A1663, Entries!A:B,2,false),"")</f>
        <v>Aerosoft</v>
      </c>
      <c r="N1663" s="23" t="str">
        <f>IFERROR(VLOOKUP(A1663, Entries!A:K,11,false),"")</f>
        <v/>
      </c>
      <c r="O1663" s="23" t="b">
        <f>IFERROR(VLOOKUP(A1663, Entries!A:I,8,false),"")</f>
        <v>1</v>
      </c>
    </row>
    <row r="1664">
      <c r="A1664" s="96" t="s">
        <v>2127</v>
      </c>
      <c r="B1664" s="78" t="s">
        <v>27</v>
      </c>
      <c r="C1664" s="85">
        <v>44630.0</v>
      </c>
      <c r="D1664" s="85">
        <v>44630.0</v>
      </c>
      <c r="E1664" s="86">
        <v>20.69</v>
      </c>
      <c r="F1664" s="87">
        <v>24.89</v>
      </c>
      <c r="G1664" s="88">
        <f t="shared" si="1"/>
        <v>4.2</v>
      </c>
      <c r="H1664" s="89">
        <f t="shared" si="7"/>
        <v>0.1687424669</v>
      </c>
      <c r="I1664" s="78" t="s">
        <v>2179</v>
      </c>
      <c r="J1664" s="78" t="s">
        <v>69</v>
      </c>
      <c r="K1664" s="58">
        <f t="shared" si="3"/>
        <v>0</v>
      </c>
      <c r="L1664" s="91" t="str">
        <f t="shared" si="8"/>
        <v>Thu</v>
      </c>
      <c r="M1664" s="78" t="str">
        <f>IFERROR(VLOOKUP(A1664, Entries!A:B,2,false),"")</f>
        <v>Bungie</v>
      </c>
      <c r="N1664" s="23" t="str">
        <f>IFERROR(VLOOKUP(A1664, Entries!A:K,11,false),"")</f>
        <v/>
      </c>
      <c r="O1664" s="23" t="b">
        <f>IFERROR(VLOOKUP(A1664, Entries!A:I,8,false),"")</f>
        <v>1</v>
      </c>
    </row>
    <row r="1665">
      <c r="A1665" s="78" t="s">
        <v>2180</v>
      </c>
      <c r="B1665" s="78" t="s">
        <v>27</v>
      </c>
      <c r="C1665" s="85">
        <v>44630.0</v>
      </c>
      <c r="D1665" s="85">
        <v>44631.0</v>
      </c>
      <c r="E1665" s="86">
        <v>4.89</v>
      </c>
      <c r="F1665" s="87">
        <v>6.63</v>
      </c>
      <c r="G1665" s="88">
        <f t="shared" si="1"/>
        <v>1.74</v>
      </c>
      <c r="H1665" s="89">
        <f t="shared" si="7"/>
        <v>0.2624434389</v>
      </c>
      <c r="I1665" s="78" t="s">
        <v>2181</v>
      </c>
      <c r="J1665" s="78" t="s">
        <v>69</v>
      </c>
      <c r="K1665" s="58">
        <f t="shared" si="3"/>
        <v>1</v>
      </c>
      <c r="L1665" s="91" t="str">
        <f t="shared" si="8"/>
        <v>Fri</v>
      </c>
      <c r="M1665" s="78" t="str">
        <f>IFERROR(VLOOKUP(A1665, Entries!A:B,2,false),"")</f>
        <v>Konami</v>
      </c>
      <c r="N1665" s="23" t="str">
        <f>IFERROR(VLOOKUP(A1665, Entries!A:K,11,false),"")</f>
        <v/>
      </c>
      <c r="O1665" s="23" t="b">
        <f>IFERROR(VLOOKUP(A1665, Entries!A:I,8,false),"")</f>
        <v>1</v>
      </c>
    </row>
    <row r="1666">
      <c r="A1666" s="78" t="s">
        <v>1989</v>
      </c>
      <c r="B1666" s="78" t="s">
        <v>27</v>
      </c>
      <c r="C1666" s="85">
        <v>44630.0</v>
      </c>
      <c r="D1666" s="85">
        <v>44635.0</v>
      </c>
      <c r="E1666" s="86">
        <v>9.09</v>
      </c>
      <c r="F1666" s="87">
        <v>11.43</v>
      </c>
      <c r="G1666" s="88">
        <f t="shared" si="1"/>
        <v>2.34</v>
      </c>
      <c r="H1666" s="89">
        <f t="shared" si="7"/>
        <v>0.2047244094</v>
      </c>
      <c r="I1666" s="78" t="s">
        <v>2182</v>
      </c>
      <c r="J1666" s="78" t="s">
        <v>69</v>
      </c>
      <c r="K1666" s="58">
        <f t="shared" si="3"/>
        <v>5</v>
      </c>
      <c r="L1666" s="91" t="str">
        <f t="shared" si="8"/>
        <v>Tue</v>
      </c>
      <c r="M1666" s="78" t="str">
        <f>IFERROR(VLOOKUP(A1666, Entries!A:B,2,false),"")</f>
        <v>Rebellion</v>
      </c>
      <c r="N1666" s="23" t="str">
        <f>IFERROR(VLOOKUP(A1666, Entries!A:K,11,false),"")</f>
        <v/>
      </c>
      <c r="O1666" s="23" t="b">
        <f>IFERROR(VLOOKUP(A1666, Entries!A:I,8,false),"")</f>
        <v>1</v>
      </c>
    </row>
    <row r="1667">
      <c r="A1667" s="78" t="s">
        <v>2183</v>
      </c>
      <c r="B1667" s="78" t="s">
        <v>25</v>
      </c>
      <c r="C1667" s="85">
        <v>44630.0</v>
      </c>
      <c r="D1667" s="85">
        <v>44667.0</v>
      </c>
      <c r="E1667" s="86">
        <v>4.86</v>
      </c>
      <c r="F1667" s="87">
        <v>6.09</v>
      </c>
      <c r="G1667" s="88">
        <f t="shared" si="1"/>
        <v>1.23</v>
      </c>
      <c r="H1667" s="89">
        <f t="shared" si="7"/>
        <v>0.2019704433</v>
      </c>
      <c r="I1667" s="78" t="s">
        <v>2184</v>
      </c>
      <c r="J1667" s="78" t="s">
        <v>69</v>
      </c>
      <c r="K1667" s="58">
        <f t="shared" si="3"/>
        <v>37</v>
      </c>
      <c r="L1667" s="91" t="str">
        <f t="shared" si="8"/>
        <v>Sat</v>
      </c>
      <c r="M1667" s="78" t="str">
        <f>IFERROR(VLOOKUP(A1667, Entries!A:B,2,false),"")</f>
        <v>2K</v>
      </c>
      <c r="N1667" s="23" t="str">
        <f>IFERROR(VLOOKUP(A1667, Entries!A:K,11,false),"")</f>
        <v/>
      </c>
      <c r="O1667" s="23" t="b">
        <f>IFERROR(VLOOKUP(A1667, Entries!A:I,8,false),"")</f>
        <v>0</v>
      </c>
    </row>
    <row r="1668">
      <c r="A1668" s="78" t="s">
        <v>1656</v>
      </c>
      <c r="B1668" s="78" t="s">
        <v>22</v>
      </c>
      <c r="C1668" s="85">
        <v>44630.0</v>
      </c>
      <c r="D1668" s="85">
        <v>44637.0</v>
      </c>
      <c r="E1668" s="86">
        <v>7.94</v>
      </c>
      <c r="F1668" s="87">
        <v>9.92</v>
      </c>
      <c r="G1668" s="88">
        <f t="shared" si="1"/>
        <v>1.98</v>
      </c>
      <c r="H1668" s="89">
        <f t="shared" si="7"/>
        <v>0.1995967742</v>
      </c>
      <c r="I1668" s="78" t="s">
        <v>2185</v>
      </c>
      <c r="J1668" s="78" t="s">
        <v>69</v>
      </c>
      <c r="K1668" s="58">
        <f t="shared" si="3"/>
        <v>7</v>
      </c>
      <c r="L1668" s="91" t="str">
        <f t="shared" si="8"/>
        <v>Thu</v>
      </c>
      <c r="M1668" s="78" t="str">
        <f>IFERROR(VLOOKUP(A1668, Entries!A:B,2,false),"")</f>
        <v>Overhype Studios</v>
      </c>
      <c r="N1668" s="23" t="str">
        <f>IFERROR(VLOOKUP(A1668, Entries!A:K,11,false),"")</f>
        <v/>
      </c>
      <c r="O1668" s="23" t="b">
        <f>IFERROR(VLOOKUP(A1668, Entries!A:I,8,false),"")</f>
        <v>1</v>
      </c>
    </row>
    <row r="1669">
      <c r="A1669" s="96" t="s">
        <v>2127</v>
      </c>
      <c r="B1669" s="78" t="s">
        <v>27</v>
      </c>
      <c r="C1669" s="85">
        <v>44630.0</v>
      </c>
      <c r="D1669" s="85">
        <v>44631.0</v>
      </c>
      <c r="E1669" s="86">
        <v>20.69</v>
      </c>
      <c r="F1669" s="87">
        <v>24.89</v>
      </c>
      <c r="G1669" s="88">
        <f t="shared" si="1"/>
        <v>4.2</v>
      </c>
      <c r="H1669" s="89">
        <f t="shared" si="7"/>
        <v>0.1687424669</v>
      </c>
      <c r="I1669" s="78" t="s">
        <v>2186</v>
      </c>
      <c r="J1669" s="78" t="s">
        <v>69</v>
      </c>
      <c r="K1669" s="58">
        <f t="shared" si="3"/>
        <v>1</v>
      </c>
      <c r="L1669" s="91" t="str">
        <f t="shared" si="8"/>
        <v>Fri</v>
      </c>
      <c r="M1669" s="78" t="str">
        <f>IFERROR(VLOOKUP(A1669, Entries!A:B,2,false),"")</f>
        <v>Bungie</v>
      </c>
      <c r="N1669" s="23" t="str">
        <f>IFERROR(VLOOKUP(A1669, Entries!A:K,11,false),"")</f>
        <v/>
      </c>
      <c r="O1669" s="23" t="b">
        <f>IFERROR(VLOOKUP(A1669, Entries!A:I,8,false),"")</f>
        <v>1</v>
      </c>
    </row>
    <row r="1670">
      <c r="A1670" s="78" t="s">
        <v>1922</v>
      </c>
      <c r="B1670" s="78" t="s">
        <v>19</v>
      </c>
      <c r="C1670" s="85">
        <v>44630.0</v>
      </c>
      <c r="D1670" s="85">
        <v>44631.0</v>
      </c>
      <c r="E1670" s="86">
        <v>21.77</v>
      </c>
      <c r="F1670" s="87">
        <v>28.34</v>
      </c>
      <c r="G1670" s="88">
        <f t="shared" si="1"/>
        <v>6.57</v>
      </c>
      <c r="H1670" s="89">
        <f t="shared" si="7"/>
        <v>0.2318278052</v>
      </c>
      <c r="I1670" s="78" t="s">
        <v>2187</v>
      </c>
      <c r="J1670" s="78" t="s">
        <v>69</v>
      </c>
      <c r="K1670" s="58">
        <f t="shared" si="3"/>
        <v>1</v>
      </c>
      <c r="L1670" s="91" t="str">
        <f t="shared" si="8"/>
        <v>Fri</v>
      </c>
      <c r="M1670" s="78" t="str">
        <f>IFERROR(VLOOKUP(A1670, Entries!A:B,2,false),"")</f>
        <v>Rebellion</v>
      </c>
      <c r="N1670" s="23" t="str">
        <f>IFERROR(VLOOKUP(A1670, Entries!A:K,11,false),"")</f>
        <v/>
      </c>
      <c r="O1670" s="23" t="b">
        <f>IFERROR(VLOOKUP(A1670, Entries!A:I,8,false),"")</f>
        <v>0</v>
      </c>
    </row>
    <row r="1671">
      <c r="A1671" s="78" t="s">
        <v>207</v>
      </c>
      <c r="B1671" s="78" t="s">
        <v>19</v>
      </c>
      <c r="C1671" s="85">
        <v>44631.0</v>
      </c>
      <c r="D1671" s="85">
        <v>44631.0</v>
      </c>
      <c r="E1671" s="86">
        <v>5.49</v>
      </c>
      <c r="F1671" s="87">
        <v>8.77</v>
      </c>
      <c r="G1671" s="88">
        <f t="shared" si="1"/>
        <v>3.28</v>
      </c>
      <c r="H1671" s="89">
        <f t="shared" si="7"/>
        <v>0.3740022805</v>
      </c>
      <c r="I1671" s="78" t="s">
        <v>2188</v>
      </c>
      <c r="J1671" s="78" t="s">
        <v>69</v>
      </c>
      <c r="K1671" s="58">
        <f t="shared" si="3"/>
        <v>0</v>
      </c>
      <c r="L1671" s="91" t="str">
        <f t="shared" si="8"/>
        <v>Fri</v>
      </c>
      <c r="M1671" s="78" t="str">
        <f>IFERROR(VLOOKUP(A1671, Entries!A:B,2,false),"")</f>
        <v>Square Enix</v>
      </c>
      <c r="N1671" s="23" t="str">
        <f>IFERROR(VLOOKUP(A1671, Entries!A:K,11,false),"")</f>
        <v/>
      </c>
      <c r="O1671" s="23" t="b">
        <f>IFERROR(VLOOKUP(A1671, Entries!A:I,8,false),"")</f>
        <v>0</v>
      </c>
    </row>
    <row r="1672">
      <c r="A1672" s="78" t="s">
        <v>669</v>
      </c>
      <c r="B1672" s="78" t="s">
        <v>19</v>
      </c>
      <c r="C1672" s="85">
        <v>44631.0</v>
      </c>
      <c r="D1672" s="85">
        <v>44633.0</v>
      </c>
      <c r="E1672" s="86">
        <v>3.78</v>
      </c>
      <c r="F1672" s="87">
        <v>4.6</v>
      </c>
      <c r="G1672" s="88">
        <f t="shared" si="1"/>
        <v>0.82</v>
      </c>
      <c r="H1672" s="89">
        <f t="shared" si="7"/>
        <v>0.1782608696</v>
      </c>
      <c r="I1672" s="78" t="s">
        <v>2189</v>
      </c>
      <c r="J1672" s="78" t="s">
        <v>69</v>
      </c>
      <c r="K1672" s="58">
        <f t="shared" si="3"/>
        <v>2</v>
      </c>
      <c r="L1672" s="91" t="str">
        <f t="shared" si="8"/>
        <v>Sun</v>
      </c>
      <c r="M1672" s="78" t="str">
        <f>IFERROR(VLOOKUP(A1672, Entries!A:B,2,false),"")</f>
        <v>Atari</v>
      </c>
      <c r="N1672" s="23" t="str">
        <f>IFERROR(VLOOKUP(A1672, Entries!A:K,11,false),"")</f>
        <v/>
      </c>
      <c r="O1672" s="23" t="b">
        <f>IFERROR(VLOOKUP(A1672, Entries!A:I,8,false),"")</f>
        <v>0</v>
      </c>
    </row>
    <row r="1673">
      <c r="A1673" s="78" t="s">
        <v>731</v>
      </c>
      <c r="B1673" s="78" t="s">
        <v>19</v>
      </c>
      <c r="C1673" s="85">
        <v>44631.0</v>
      </c>
      <c r="D1673" s="85">
        <v>44635.0</v>
      </c>
      <c r="E1673" s="86">
        <v>3.71</v>
      </c>
      <c r="F1673" s="87">
        <v>4.69</v>
      </c>
      <c r="G1673" s="88">
        <f t="shared" si="1"/>
        <v>0.98</v>
      </c>
      <c r="H1673" s="89">
        <f t="shared" si="7"/>
        <v>0.2089552239</v>
      </c>
      <c r="I1673" s="78" t="s">
        <v>2190</v>
      </c>
      <c r="J1673" s="78" t="s">
        <v>69</v>
      </c>
      <c r="K1673" s="58">
        <f t="shared" si="3"/>
        <v>4</v>
      </c>
      <c r="L1673" s="91" t="str">
        <f t="shared" si="8"/>
        <v>Tue</v>
      </c>
      <c r="M1673" s="78" t="str">
        <f>IFERROR(VLOOKUP(A1673, Entries!A:B,2,false),"")</f>
        <v>Square Enix</v>
      </c>
      <c r="N1673" s="23" t="str">
        <f>IFERROR(VLOOKUP(A1673, Entries!A:K,11,false),"")</f>
        <v/>
      </c>
      <c r="O1673" s="23" t="b">
        <f>IFERROR(VLOOKUP(A1673, Entries!A:I,8,false),"")</f>
        <v>1</v>
      </c>
    </row>
    <row r="1674">
      <c r="A1674" s="95" t="s">
        <v>2180</v>
      </c>
      <c r="B1674" s="95" t="s">
        <v>27</v>
      </c>
      <c r="C1674" s="85">
        <v>44631.0</v>
      </c>
      <c r="D1674" s="85">
        <v>44631.0</v>
      </c>
      <c r="E1674" s="86">
        <v>5.49</v>
      </c>
      <c r="F1674" s="87">
        <v>7.5</v>
      </c>
      <c r="G1674" s="88">
        <f t="shared" si="1"/>
        <v>2.01</v>
      </c>
      <c r="H1674" s="89">
        <f t="shared" si="7"/>
        <v>0.268</v>
      </c>
      <c r="I1674" s="78" t="s">
        <v>2191</v>
      </c>
      <c r="J1674" s="78" t="s">
        <v>69</v>
      </c>
      <c r="K1674" s="58">
        <f t="shared" si="3"/>
        <v>0</v>
      </c>
      <c r="L1674" s="91" t="str">
        <f t="shared" si="8"/>
        <v>Fri</v>
      </c>
      <c r="M1674" s="78" t="str">
        <f>IFERROR(VLOOKUP(A1674, Entries!A:B,2,false),"")</f>
        <v>Konami</v>
      </c>
      <c r="N1674" s="23" t="str">
        <f>IFERROR(VLOOKUP(A1674, Entries!A:K,11,false),"")</f>
        <v/>
      </c>
      <c r="O1674" s="23" t="b">
        <f>IFERROR(VLOOKUP(A1674, Entries!A:I,8,false),"")</f>
        <v>1</v>
      </c>
    </row>
    <row r="1675">
      <c r="A1675" s="78" t="s">
        <v>2127</v>
      </c>
      <c r="B1675" s="78" t="s">
        <v>27</v>
      </c>
      <c r="C1675" s="85">
        <v>44631.0</v>
      </c>
      <c r="D1675" s="85">
        <v>44631.0</v>
      </c>
      <c r="E1675" s="86">
        <v>20.69</v>
      </c>
      <c r="F1675" s="87">
        <v>24.87</v>
      </c>
      <c r="G1675" s="88">
        <f t="shared" si="1"/>
        <v>4.18</v>
      </c>
      <c r="H1675" s="89">
        <f t="shared" si="7"/>
        <v>0.1680739847</v>
      </c>
      <c r="I1675" s="78" t="s">
        <v>2192</v>
      </c>
      <c r="J1675" s="78" t="s">
        <v>69</v>
      </c>
      <c r="K1675" s="58">
        <f t="shared" si="3"/>
        <v>0</v>
      </c>
      <c r="L1675" s="91" t="str">
        <f t="shared" si="8"/>
        <v>Fri</v>
      </c>
      <c r="M1675" s="78" t="str">
        <f>IFERROR(VLOOKUP(A1675, Entries!A:B,2,false),"")</f>
        <v>Bungie</v>
      </c>
      <c r="N1675" s="23" t="str">
        <f>IFERROR(VLOOKUP(A1675, Entries!A:K,11,false),"")</f>
        <v/>
      </c>
      <c r="O1675" s="23" t="b">
        <f>IFERROR(VLOOKUP(A1675, Entries!A:I,8,false),"")</f>
        <v>1</v>
      </c>
    </row>
    <row r="1676">
      <c r="A1676" s="78" t="s">
        <v>731</v>
      </c>
      <c r="B1676" s="78" t="s">
        <v>19</v>
      </c>
      <c r="C1676" s="85">
        <v>44631.0</v>
      </c>
      <c r="D1676" s="85">
        <v>44806.0</v>
      </c>
      <c r="E1676" s="86">
        <v>3.71</v>
      </c>
      <c r="F1676" s="87">
        <v>24.87</v>
      </c>
      <c r="G1676" s="88">
        <f t="shared" si="1"/>
        <v>21.16</v>
      </c>
      <c r="H1676" s="102">
        <v>0.0397</v>
      </c>
      <c r="I1676" s="78" t="s">
        <v>2193</v>
      </c>
      <c r="J1676" s="78" t="s">
        <v>69</v>
      </c>
      <c r="K1676" s="58">
        <f t="shared" si="3"/>
        <v>175</v>
      </c>
      <c r="L1676" s="91" t="str">
        <f t="shared" si="8"/>
        <v>Fri</v>
      </c>
      <c r="M1676" s="78" t="str">
        <f>IFERROR(VLOOKUP(A1676, Entries!A:B,2,false),"")</f>
        <v>Square Enix</v>
      </c>
      <c r="N1676" s="23" t="str">
        <f>IFERROR(VLOOKUP(A1676, Entries!A:K,11,false),"")</f>
        <v/>
      </c>
      <c r="O1676" s="23" t="b">
        <f>IFERROR(VLOOKUP(A1676, Entries!A:I,8,false),"")</f>
        <v>1</v>
      </c>
    </row>
    <row r="1677">
      <c r="A1677" s="78" t="s">
        <v>207</v>
      </c>
      <c r="B1677" s="78" t="s">
        <v>19</v>
      </c>
      <c r="C1677" s="85">
        <v>44631.0</v>
      </c>
      <c r="D1677" s="85">
        <v>44632.0</v>
      </c>
      <c r="E1677" s="86">
        <v>5.67</v>
      </c>
      <c r="F1677" s="87">
        <v>8.77</v>
      </c>
      <c r="G1677" s="88">
        <f t="shared" si="1"/>
        <v>3.1</v>
      </c>
      <c r="H1677" s="89">
        <f t="shared" ref="H1677:H5421" si="10">IFERROR(G1677/F1677,"")</f>
        <v>0.3534777651</v>
      </c>
      <c r="I1677" s="78" t="s">
        <v>2194</v>
      </c>
      <c r="J1677" s="78" t="s">
        <v>69</v>
      </c>
      <c r="K1677" s="58">
        <f t="shared" si="3"/>
        <v>1</v>
      </c>
      <c r="L1677" s="91" t="str">
        <f t="shared" si="8"/>
        <v>Sat</v>
      </c>
      <c r="M1677" s="78" t="str">
        <f>IFERROR(VLOOKUP(A1677, Entries!A:B,2,false),"")</f>
        <v>Square Enix</v>
      </c>
      <c r="N1677" s="23" t="str">
        <f>IFERROR(VLOOKUP(A1677, Entries!A:K,11,false),"")</f>
        <v/>
      </c>
      <c r="O1677" s="23" t="b">
        <f>IFERROR(VLOOKUP(A1677, Entries!A:I,8,false),"")</f>
        <v>0</v>
      </c>
    </row>
    <row r="1678">
      <c r="A1678" s="95" t="s">
        <v>2180</v>
      </c>
      <c r="B1678" s="95" t="s">
        <v>27</v>
      </c>
      <c r="C1678" s="85">
        <v>44631.0</v>
      </c>
      <c r="D1678" s="85">
        <v>44632.0</v>
      </c>
      <c r="E1678" s="86">
        <v>5.49</v>
      </c>
      <c r="F1678" s="87">
        <v>7.43</v>
      </c>
      <c r="G1678" s="88">
        <f t="shared" si="1"/>
        <v>1.94</v>
      </c>
      <c r="H1678" s="89">
        <f t="shared" si="10"/>
        <v>0.2611036339</v>
      </c>
      <c r="I1678" s="78" t="s">
        <v>2195</v>
      </c>
      <c r="J1678" s="78" t="s">
        <v>69</v>
      </c>
      <c r="K1678" s="58">
        <f t="shared" si="3"/>
        <v>1</v>
      </c>
      <c r="L1678" s="91" t="str">
        <f t="shared" si="8"/>
        <v>Sat</v>
      </c>
      <c r="M1678" s="78" t="str">
        <f>IFERROR(VLOOKUP(A1678, Entries!A:B,2,false),"")</f>
        <v>Konami</v>
      </c>
      <c r="N1678" s="23" t="str">
        <f>IFERROR(VLOOKUP(A1678, Entries!A:K,11,false),"")</f>
        <v/>
      </c>
      <c r="O1678" s="23" t="b">
        <f>IFERROR(VLOOKUP(A1678, Entries!A:I,8,false),"")</f>
        <v>1</v>
      </c>
    </row>
    <row r="1679">
      <c r="A1679" s="78" t="s">
        <v>1922</v>
      </c>
      <c r="B1679" s="78" t="s">
        <v>19</v>
      </c>
      <c r="C1679" s="85">
        <v>44631.0</v>
      </c>
      <c r="D1679" s="85">
        <v>44632.0</v>
      </c>
      <c r="E1679" s="86">
        <v>21.62</v>
      </c>
      <c r="F1679" s="87">
        <v>28.34</v>
      </c>
      <c r="G1679" s="88">
        <f t="shared" si="1"/>
        <v>6.72</v>
      </c>
      <c r="H1679" s="89">
        <f t="shared" si="10"/>
        <v>0.2371206775</v>
      </c>
      <c r="I1679" s="78" t="s">
        <v>2196</v>
      </c>
      <c r="J1679" s="78" t="s">
        <v>69</v>
      </c>
      <c r="K1679" s="58">
        <f t="shared" si="3"/>
        <v>1</v>
      </c>
      <c r="L1679" s="91" t="str">
        <f t="shared" si="8"/>
        <v>Sat</v>
      </c>
      <c r="M1679" s="78" t="str">
        <f>IFERROR(VLOOKUP(A1679, Entries!A:B,2,false),"")</f>
        <v>Rebellion</v>
      </c>
      <c r="N1679" s="23" t="str">
        <f>IFERROR(VLOOKUP(A1679, Entries!A:K,11,false),"")</f>
        <v/>
      </c>
      <c r="O1679" s="23" t="b">
        <f>IFERROR(VLOOKUP(A1679, Entries!A:I,8,false),"")</f>
        <v>0</v>
      </c>
    </row>
    <row r="1680">
      <c r="A1680" s="78" t="s">
        <v>2174</v>
      </c>
      <c r="B1680" s="78" t="s">
        <v>19</v>
      </c>
      <c r="C1680" s="85">
        <v>44631.0</v>
      </c>
      <c r="D1680" s="85">
        <v>44632.0</v>
      </c>
      <c r="E1680" s="86">
        <v>0.0</v>
      </c>
      <c r="F1680" s="87">
        <v>0.09</v>
      </c>
      <c r="G1680" s="88">
        <f t="shared" si="1"/>
        <v>0.09</v>
      </c>
      <c r="H1680" s="89">
        <f t="shared" si="10"/>
        <v>1</v>
      </c>
      <c r="I1680" s="78" t="s">
        <v>2197</v>
      </c>
      <c r="J1680" s="78" t="s">
        <v>69</v>
      </c>
      <c r="K1680" s="58">
        <f t="shared" si="3"/>
        <v>1</v>
      </c>
      <c r="L1680" s="91" t="str">
        <f t="shared" si="8"/>
        <v>Sat</v>
      </c>
      <c r="M1680" s="78" t="str">
        <f>IFERROR(VLOOKUP(A1680, Entries!A:B,2,false),"")</f>
        <v>Team17 Digital</v>
      </c>
      <c r="N1680" s="23" t="str">
        <f>IFERROR(VLOOKUP(A1680, Entries!A:K,11,false),"")</f>
        <v/>
      </c>
      <c r="O1680" s="23" t="b">
        <f>IFERROR(VLOOKUP(A1680, Entries!A:I,8,false),"")</f>
        <v>0</v>
      </c>
    </row>
    <row r="1681">
      <c r="A1681" s="78" t="s">
        <v>2127</v>
      </c>
      <c r="B1681" s="78" t="s">
        <v>27</v>
      </c>
      <c r="C1681" s="85">
        <v>44631.0</v>
      </c>
      <c r="D1681" s="85">
        <v>44633.0</v>
      </c>
      <c r="E1681" s="86">
        <v>20.69</v>
      </c>
      <c r="F1681" s="87">
        <v>24.48</v>
      </c>
      <c r="G1681" s="88">
        <f t="shared" si="1"/>
        <v>3.79</v>
      </c>
      <c r="H1681" s="89">
        <f t="shared" si="10"/>
        <v>0.1548202614</v>
      </c>
      <c r="I1681" s="78" t="s">
        <v>2198</v>
      </c>
      <c r="J1681" s="78" t="s">
        <v>69</v>
      </c>
      <c r="K1681" s="58">
        <f t="shared" si="3"/>
        <v>2</v>
      </c>
      <c r="L1681" s="91" t="str">
        <f t="shared" si="8"/>
        <v>Sun</v>
      </c>
      <c r="M1681" s="78" t="str">
        <f>IFERROR(VLOOKUP(A1681, Entries!A:B,2,false),"")</f>
        <v>Bungie</v>
      </c>
      <c r="N1681" s="23" t="str">
        <f>IFERROR(VLOOKUP(A1681, Entries!A:K,11,false),"")</f>
        <v/>
      </c>
      <c r="O1681" s="23" t="b">
        <f>IFERROR(VLOOKUP(A1681, Entries!A:I,8,false),"")</f>
        <v>1</v>
      </c>
    </row>
    <row r="1682">
      <c r="A1682" s="78" t="s">
        <v>2199</v>
      </c>
      <c r="B1682" s="78" t="s">
        <v>30</v>
      </c>
      <c r="C1682" s="85">
        <v>44632.0</v>
      </c>
      <c r="D1682" s="85">
        <v>44632.0</v>
      </c>
      <c r="E1682" s="86">
        <v>3.79</v>
      </c>
      <c r="F1682" s="87">
        <v>5.36</v>
      </c>
      <c r="G1682" s="88">
        <f t="shared" si="1"/>
        <v>1.57</v>
      </c>
      <c r="H1682" s="89">
        <f t="shared" si="10"/>
        <v>0.2929104478</v>
      </c>
      <c r="I1682" s="78" t="s">
        <v>2200</v>
      </c>
      <c r="J1682" s="78" t="s">
        <v>69</v>
      </c>
      <c r="K1682" s="58">
        <f t="shared" si="3"/>
        <v>0</v>
      </c>
      <c r="L1682" s="91" t="str">
        <f t="shared" si="8"/>
        <v>Sat</v>
      </c>
      <c r="M1682" s="78" t="str">
        <f>IFERROR(VLOOKUP(A1682, Entries!A:B,2,false),"")</f>
        <v>Paradox Interactive</v>
      </c>
      <c r="N1682" s="23" t="str">
        <f>IFERROR(VLOOKUP(A1682, Entries!A:K,11,false),"")</f>
        <v/>
      </c>
      <c r="O1682" s="23" t="b">
        <f>IFERROR(VLOOKUP(A1682, Entries!A:I,8,false),"")</f>
        <v>0</v>
      </c>
    </row>
    <row r="1683">
      <c r="A1683" s="78" t="s">
        <v>214</v>
      </c>
      <c r="B1683" s="78" t="s">
        <v>27</v>
      </c>
      <c r="C1683" s="85">
        <v>44632.0</v>
      </c>
      <c r="D1683" s="85">
        <v>44703.0</v>
      </c>
      <c r="E1683" s="86">
        <v>2.79</v>
      </c>
      <c r="F1683" s="87">
        <v>3.21</v>
      </c>
      <c r="G1683" s="88">
        <f t="shared" si="1"/>
        <v>0.42</v>
      </c>
      <c r="H1683" s="89">
        <f t="shared" si="10"/>
        <v>0.1308411215</v>
      </c>
      <c r="I1683" s="78" t="s">
        <v>2201</v>
      </c>
      <c r="J1683" s="78" t="s">
        <v>69</v>
      </c>
      <c r="K1683" s="58">
        <f t="shared" si="3"/>
        <v>71</v>
      </c>
      <c r="L1683" s="91" t="str">
        <f t="shared" si="8"/>
        <v>Sun</v>
      </c>
      <c r="M1683" s="78" t="str">
        <f>IFERROR(VLOOKUP(A1683, Entries!A:B,2,false),"")</f>
        <v>Warner Bros</v>
      </c>
      <c r="N1683" s="23" t="str">
        <f>IFERROR(VLOOKUP(A1683, Entries!A:K,11,false),"")</f>
        <v/>
      </c>
      <c r="O1683" s="23" t="b">
        <f>IFERROR(VLOOKUP(A1683, Entries!A:I,8,false),"")</f>
        <v>0</v>
      </c>
    </row>
    <row r="1684">
      <c r="A1684" s="78" t="s">
        <v>1984</v>
      </c>
      <c r="B1684" s="78" t="s">
        <v>23</v>
      </c>
      <c r="C1684" s="85">
        <v>44632.0</v>
      </c>
      <c r="D1684" s="85">
        <v>44632.0</v>
      </c>
      <c r="E1684" s="86">
        <v>7.12</v>
      </c>
      <c r="F1684" s="87">
        <v>8.82</v>
      </c>
      <c r="G1684" s="88">
        <f t="shared" si="1"/>
        <v>1.7</v>
      </c>
      <c r="H1684" s="89">
        <f t="shared" si="10"/>
        <v>0.1927437642</v>
      </c>
      <c r="I1684" s="78" t="s">
        <v>2202</v>
      </c>
      <c r="J1684" s="78" t="s">
        <v>69</v>
      </c>
      <c r="K1684" s="58">
        <f t="shared" si="3"/>
        <v>0</v>
      </c>
      <c r="L1684" s="91" t="str">
        <f t="shared" si="8"/>
        <v>Sat</v>
      </c>
      <c r="M1684" s="78" t="str">
        <f>IFERROR(VLOOKUP(A1684, Entries!A:B,2,false),"")</f>
        <v>Offworld Industries</v>
      </c>
      <c r="N1684" s="23" t="str">
        <f>IFERROR(VLOOKUP(A1684, Entries!A:K,11,false),"")</f>
        <v/>
      </c>
      <c r="O1684" s="23" t="b">
        <f>IFERROR(VLOOKUP(A1684, Entries!A:I,8,false),"")</f>
        <v>1</v>
      </c>
    </row>
    <row r="1685">
      <c r="A1685" s="78" t="s">
        <v>2148</v>
      </c>
      <c r="B1685" s="78" t="s">
        <v>21</v>
      </c>
      <c r="C1685" s="85">
        <v>44632.0</v>
      </c>
      <c r="D1685" s="85">
        <v>44632.0</v>
      </c>
      <c r="E1685" s="86">
        <v>18.38</v>
      </c>
      <c r="F1685" s="87">
        <v>24.12</v>
      </c>
      <c r="G1685" s="88">
        <f t="shared" si="1"/>
        <v>5.74</v>
      </c>
      <c r="H1685" s="89">
        <f t="shared" si="10"/>
        <v>0.2379767828</v>
      </c>
      <c r="I1685" s="78" t="s">
        <v>2203</v>
      </c>
      <c r="J1685" s="78" t="s">
        <v>69</v>
      </c>
      <c r="K1685" s="58">
        <f t="shared" si="3"/>
        <v>0</v>
      </c>
      <c r="L1685" s="91" t="str">
        <f t="shared" si="8"/>
        <v>Sat</v>
      </c>
      <c r="M1685" s="78" t="str">
        <f>IFERROR(VLOOKUP(A1685, Entries!A:B,2,false),"")</f>
        <v>Wired Productions</v>
      </c>
      <c r="N1685" s="23" t="str">
        <f>IFERROR(VLOOKUP(A1685, Entries!A:K,11,false),"")</f>
        <v/>
      </c>
      <c r="O1685" s="23" t="b">
        <f>IFERROR(VLOOKUP(A1685, Entries!A:I,8,false),"")</f>
        <v>1</v>
      </c>
    </row>
    <row r="1686">
      <c r="A1686" s="78" t="s">
        <v>2204</v>
      </c>
      <c r="B1686" s="78" t="s">
        <v>25</v>
      </c>
      <c r="C1686" s="85">
        <v>44632.0</v>
      </c>
      <c r="D1686" s="85">
        <v>44635.0</v>
      </c>
      <c r="E1686" s="86">
        <v>11.73</v>
      </c>
      <c r="F1686" s="87">
        <v>15.36</v>
      </c>
      <c r="G1686" s="88">
        <f t="shared" si="1"/>
        <v>3.63</v>
      </c>
      <c r="H1686" s="89">
        <f t="shared" si="10"/>
        <v>0.236328125</v>
      </c>
      <c r="I1686" s="78" t="s">
        <v>2205</v>
      </c>
      <c r="J1686" s="78" t="s">
        <v>69</v>
      </c>
      <c r="K1686" s="58">
        <f t="shared" si="3"/>
        <v>3</v>
      </c>
      <c r="L1686" s="91" t="str">
        <f t="shared" si="8"/>
        <v>Tue</v>
      </c>
      <c r="M1686" s="78" t="str">
        <f>IFERROR(VLOOKUP(A1686, Entries!A:B,2,false),"")</f>
        <v>2K</v>
      </c>
      <c r="N1686" s="23" t="str">
        <f>IFERROR(VLOOKUP(A1686, Entries!A:K,11,false),"")</f>
        <v/>
      </c>
      <c r="O1686" s="23" t="b">
        <f>IFERROR(VLOOKUP(A1686, Entries!A:I,8,false),"")</f>
        <v>0</v>
      </c>
    </row>
    <row r="1687">
      <c r="A1687" s="78" t="s">
        <v>221</v>
      </c>
      <c r="B1687" s="78" t="s">
        <v>27</v>
      </c>
      <c r="C1687" s="85">
        <v>44632.0</v>
      </c>
      <c r="D1687" s="85">
        <v>44672.0</v>
      </c>
      <c r="E1687" s="86">
        <v>2.99</v>
      </c>
      <c r="F1687" s="87">
        <v>4.04</v>
      </c>
      <c r="G1687" s="88">
        <f t="shared" si="1"/>
        <v>1.05</v>
      </c>
      <c r="H1687" s="89">
        <f t="shared" si="10"/>
        <v>0.2599009901</v>
      </c>
      <c r="I1687" s="78" t="s">
        <v>2206</v>
      </c>
      <c r="J1687" s="78" t="s">
        <v>69</v>
      </c>
      <c r="K1687" s="58">
        <f t="shared" si="3"/>
        <v>40</v>
      </c>
      <c r="L1687" s="91" t="str">
        <f t="shared" si="8"/>
        <v>Thu</v>
      </c>
      <c r="M1687" s="78" t="str">
        <f>IFERROR(VLOOKUP(A1687, Entries!A:B,2,false),"")</f>
        <v>Wired Productions</v>
      </c>
      <c r="N1687" s="23" t="str">
        <f>IFERROR(VLOOKUP(A1687, Entries!A:K,11,false),"")</f>
        <v/>
      </c>
      <c r="O1687" s="23" t="b">
        <f>IFERROR(VLOOKUP(A1687, Entries!A:I,8,false),"")</f>
        <v>0</v>
      </c>
    </row>
    <row r="1688">
      <c r="A1688" s="78" t="s">
        <v>2148</v>
      </c>
      <c r="B1688" s="78" t="s">
        <v>21</v>
      </c>
      <c r="C1688" s="85">
        <v>44632.0</v>
      </c>
      <c r="D1688" s="85">
        <v>44632.0</v>
      </c>
      <c r="E1688" s="86">
        <v>18.38</v>
      </c>
      <c r="F1688" s="87">
        <v>24.12</v>
      </c>
      <c r="G1688" s="88">
        <f t="shared" si="1"/>
        <v>5.74</v>
      </c>
      <c r="H1688" s="89">
        <f t="shared" si="10"/>
        <v>0.2379767828</v>
      </c>
      <c r="I1688" s="78" t="s">
        <v>2207</v>
      </c>
      <c r="J1688" s="78" t="s">
        <v>69</v>
      </c>
      <c r="K1688" s="58">
        <f t="shared" si="3"/>
        <v>0</v>
      </c>
      <c r="L1688" s="91" t="str">
        <f t="shared" si="8"/>
        <v>Sat</v>
      </c>
      <c r="M1688" s="78" t="str">
        <f>IFERROR(VLOOKUP(A1688, Entries!A:B,2,false),"")</f>
        <v>Wired Productions</v>
      </c>
      <c r="N1688" s="23" t="str">
        <f>IFERROR(VLOOKUP(A1688, Entries!A:K,11,false),"")</f>
        <v/>
      </c>
      <c r="O1688" s="23" t="b">
        <f>IFERROR(VLOOKUP(A1688, Entries!A:I,8,false),"")</f>
        <v>1</v>
      </c>
    </row>
    <row r="1689">
      <c r="A1689" s="78" t="s">
        <v>1922</v>
      </c>
      <c r="B1689" s="78" t="s">
        <v>19</v>
      </c>
      <c r="C1689" s="85">
        <v>44632.0</v>
      </c>
      <c r="D1689" s="85">
        <v>44633.0</v>
      </c>
      <c r="E1689" s="86">
        <v>21.78</v>
      </c>
      <c r="F1689" s="87">
        <v>28.32</v>
      </c>
      <c r="G1689" s="88">
        <f t="shared" si="1"/>
        <v>6.54</v>
      </c>
      <c r="H1689" s="89">
        <f t="shared" si="10"/>
        <v>0.2309322034</v>
      </c>
      <c r="I1689" s="78" t="s">
        <v>2208</v>
      </c>
      <c r="J1689" s="78" t="s">
        <v>69</v>
      </c>
      <c r="K1689" s="58">
        <f t="shared" si="3"/>
        <v>1</v>
      </c>
      <c r="L1689" s="91" t="str">
        <f t="shared" si="8"/>
        <v>Sun</v>
      </c>
      <c r="M1689" s="78" t="str">
        <f>IFERROR(VLOOKUP(A1689, Entries!A:B,2,false),"")</f>
        <v>Rebellion</v>
      </c>
      <c r="N1689" s="23" t="str">
        <f>IFERROR(VLOOKUP(A1689, Entries!A:K,11,false),"")</f>
        <v/>
      </c>
      <c r="O1689" s="23" t="b">
        <f>IFERROR(VLOOKUP(A1689, Entries!A:I,8,false),"")</f>
        <v>0</v>
      </c>
    </row>
    <row r="1690">
      <c r="A1690" s="78" t="s">
        <v>2199</v>
      </c>
      <c r="B1690" s="78" t="s">
        <v>30</v>
      </c>
      <c r="C1690" s="85">
        <v>44632.0</v>
      </c>
      <c r="D1690" s="85">
        <v>44632.0</v>
      </c>
      <c r="E1690" s="86">
        <v>3.81</v>
      </c>
      <c r="F1690" s="87">
        <v>5.35</v>
      </c>
      <c r="G1690" s="88">
        <f t="shared" si="1"/>
        <v>1.54</v>
      </c>
      <c r="H1690" s="89">
        <f t="shared" si="10"/>
        <v>0.2878504673</v>
      </c>
      <c r="I1690" s="78" t="s">
        <v>2209</v>
      </c>
      <c r="J1690" s="78" t="s">
        <v>69</v>
      </c>
      <c r="K1690" s="58">
        <f t="shared" si="3"/>
        <v>0</v>
      </c>
      <c r="L1690" s="91" t="str">
        <f t="shared" si="8"/>
        <v>Sat</v>
      </c>
      <c r="M1690" s="78" t="str">
        <f>IFERROR(VLOOKUP(A1690, Entries!A:B,2,false),"")</f>
        <v>Paradox Interactive</v>
      </c>
      <c r="N1690" s="23" t="str">
        <f>IFERROR(VLOOKUP(A1690, Entries!A:K,11,false),"")</f>
        <v/>
      </c>
      <c r="O1690" s="23" t="b">
        <f>IFERROR(VLOOKUP(A1690, Entries!A:I,8,false),"")</f>
        <v>0</v>
      </c>
    </row>
    <row r="1691">
      <c r="A1691" s="95" t="s">
        <v>2180</v>
      </c>
      <c r="B1691" s="95" t="s">
        <v>27</v>
      </c>
      <c r="C1691" s="85">
        <v>44632.0</v>
      </c>
      <c r="D1691" s="85">
        <v>44632.0</v>
      </c>
      <c r="E1691" s="86">
        <v>5.49</v>
      </c>
      <c r="F1691" s="87">
        <v>8.03</v>
      </c>
      <c r="G1691" s="88">
        <f t="shared" si="1"/>
        <v>2.54</v>
      </c>
      <c r="H1691" s="89">
        <f t="shared" si="10"/>
        <v>0.3163138232</v>
      </c>
      <c r="I1691" s="78" t="s">
        <v>2210</v>
      </c>
      <c r="J1691" s="78" t="s">
        <v>69</v>
      </c>
      <c r="K1691" s="58">
        <f t="shared" si="3"/>
        <v>0</v>
      </c>
      <c r="L1691" s="91" t="str">
        <f t="shared" si="8"/>
        <v>Sat</v>
      </c>
      <c r="M1691" s="78" t="str">
        <f>IFERROR(VLOOKUP(A1691, Entries!A:B,2,false),"")</f>
        <v>Konami</v>
      </c>
      <c r="N1691" s="23" t="str">
        <f>IFERROR(VLOOKUP(A1691, Entries!A:K,11,false),"")</f>
        <v/>
      </c>
      <c r="O1691" s="23" t="b">
        <f>IFERROR(VLOOKUP(A1691, Entries!A:I,8,false),"")</f>
        <v>1</v>
      </c>
    </row>
    <row r="1692">
      <c r="A1692" s="78" t="s">
        <v>2148</v>
      </c>
      <c r="B1692" s="78" t="s">
        <v>21</v>
      </c>
      <c r="C1692" s="85">
        <v>44632.0</v>
      </c>
      <c r="D1692" s="85">
        <v>44632.0</v>
      </c>
      <c r="E1692" s="86">
        <v>18.38</v>
      </c>
      <c r="F1692" s="87">
        <v>24.5</v>
      </c>
      <c r="G1692" s="88">
        <f t="shared" si="1"/>
        <v>6.12</v>
      </c>
      <c r="H1692" s="89">
        <f t="shared" si="10"/>
        <v>0.2497959184</v>
      </c>
      <c r="I1692" s="78" t="s">
        <v>2211</v>
      </c>
      <c r="J1692" s="78" t="s">
        <v>69</v>
      </c>
      <c r="K1692" s="58">
        <f t="shared" si="3"/>
        <v>0</v>
      </c>
      <c r="L1692" s="91" t="str">
        <f t="shared" si="8"/>
        <v>Sat</v>
      </c>
      <c r="M1692" s="78" t="str">
        <f>IFERROR(VLOOKUP(A1692, Entries!A:B,2,false),"")</f>
        <v>Wired Productions</v>
      </c>
      <c r="N1692" s="23" t="str">
        <f>IFERROR(VLOOKUP(A1692, Entries!A:K,11,false),"")</f>
        <v/>
      </c>
      <c r="O1692" s="23" t="b">
        <f>IFERROR(VLOOKUP(A1692, Entries!A:I,8,false),"")</f>
        <v>1</v>
      </c>
    </row>
    <row r="1693">
      <c r="A1693" s="78" t="s">
        <v>2199</v>
      </c>
      <c r="B1693" s="78" t="s">
        <v>30</v>
      </c>
      <c r="C1693" s="85">
        <v>44632.0</v>
      </c>
      <c r="D1693" s="85">
        <v>44632.0</v>
      </c>
      <c r="E1693" s="86">
        <v>3.81</v>
      </c>
      <c r="F1693" s="87">
        <v>5.29</v>
      </c>
      <c r="G1693" s="88">
        <f t="shared" si="1"/>
        <v>1.48</v>
      </c>
      <c r="H1693" s="89">
        <f t="shared" si="10"/>
        <v>0.2797731569</v>
      </c>
      <c r="I1693" s="78" t="s">
        <v>2212</v>
      </c>
      <c r="J1693" s="78" t="s">
        <v>69</v>
      </c>
      <c r="K1693" s="58">
        <f t="shared" si="3"/>
        <v>0</v>
      </c>
      <c r="L1693" s="91" t="str">
        <f t="shared" si="8"/>
        <v>Sat</v>
      </c>
      <c r="M1693" s="78" t="str">
        <f>IFERROR(VLOOKUP(A1693, Entries!A:B,2,false),"")</f>
        <v>Paradox Interactive</v>
      </c>
      <c r="N1693" s="23" t="str">
        <f>IFERROR(VLOOKUP(A1693, Entries!A:K,11,false),"")</f>
        <v/>
      </c>
      <c r="O1693" s="23" t="b">
        <f>IFERROR(VLOOKUP(A1693, Entries!A:I,8,false),"")</f>
        <v>0</v>
      </c>
    </row>
    <row r="1694">
      <c r="A1694" s="95" t="s">
        <v>2180</v>
      </c>
      <c r="B1694" s="95" t="s">
        <v>27</v>
      </c>
      <c r="C1694" s="85">
        <v>44632.0</v>
      </c>
      <c r="D1694" s="85">
        <v>44632.0</v>
      </c>
      <c r="E1694" s="86">
        <v>5.49</v>
      </c>
      <c r="F1694" s="87">
        <v>8.03</v>
      </c>
      <c r="G1694" s="88">
        <f t="shared" si="1"/>
        <v>2.54</v>
      </c>
      <c r="H1694" s="89">
        <f t="shared" si="10"/>
        <v>0.3163138232</v>
      </c>
      <c r="I1694" s="78" t="s">
        <v>2213</v>
      </c>
      <c r="J1694" s="78" t="s">
        <v>69</v>
      </c>
      <c r="K1694" s="58">
        <f t="shared" si="3"/>
        <v>0</v>
      </c>
      <c r="L1694" s="91" t="str">
        <f t="shared" si="8"/>
        <v>Sat</v>
      </c>
      <c r="M1694" s="78" t="str">
        <f>IFERROR(VLOOKUP(A1694, Entries!A:B,2,false),"")</f>
        <v>Konami</v>
      </c>
      <c r="N1694" s="23" t="str">
        <f>IFERROR(VLOOKUP(A1694, Entries!A:K,11,false),"")</f>
        <v/>
      </c>
      <c r="O1694" s="23" t="b">
        <f>IFERROR(VLOOKUP(A1694, Entries!A:I,8,false),"")</f>
        <v>1</v>
      </c>
    </row>
    <row r="1695">
      <c r="A1695" s="78" t="s">
        <v>207</v>
      </c>
      <c r="B1695" s="78" t="s">
        <v>19</v>
      </c>
      <c r="C1695" s="85">
        <v>44632.0</v>
      </c>
      <c r="D1695" s="85">
        <v>44640.0</v>
      </c>
      <c r="E1695" s="86">
        <v>5.05</v>
      </c>
      <c r="F1695" s="87">
        <v>8.59</v>
      </c>
      <c r="G1695" s="88">
        <f t="shared" si="1"/>
        <v>3.54</v>
      </c>
      <c r="H1695" s="89">
        <f t="shared" si="10"/>
        <v>0.4121071013</v>
      </c>
      <c r="I1695" s="78" t="s">
        <v>2214</v>
      </c>
      <c r="J1695" s="78" t="s">
        <v>69</v>
      </c>
      <c r="K1695" s="58">
        <f t="shared" si="3"/>
        <v>8</v>
      </c>
      <c r="L1695" s="91" t="str">
        <f t="shared" si="8"/>
        <v>Sun</v>
      </c>
      <c r="M1695" s="78" t="str">
        <f>IFERROR(VLOOKUP(A1695, Entries!A:B,2,false),"")</f>
        <v>Square Enix</v>
      </c>
      <c r="N1695" s="23" t="str">
        <f>IFERROR(VLOOKUP(A1695, Entries!A:K,11,false),"")</f>
        <v/>
      </c>
      <c r="O1695" s="23" t="b">
        <f>IFERROR(VLOOKUP(A1695, Entries!A:I,8,false),"")</f>
        <v>0</v>
      </c>
    </row>
    <row r="1696">
      <c r="A1696" s="78" t="s">
        <v>1984</v>
      </c>
      <c r="B1696" s="78" t="s">
        <v>23</v>
      </c>
      <c r="C1696" s="85">
        <v>44632.0</v>
      </c>
      <c r="D1696" s="85">
        <v>44635.0</v>
      </c>
      <c r="E1696" s="86">
        <v>6.99</v>
      </c>
      <c r="F1696" s="87">
        <v>8.37</v>
      </c>
      <c r="G1696" s="88">
        <f t="shared" si="1"/>
        <v>1.38</v>
      </c>
      <c r="H1696" s="89">
        <f t="shared" si="10"/>
        <v>0.164874552</v>
      </c>
      <c r="I1696" s="78" t="s">
        <v>2215</v>
      </c>
      <c r="J1696" s="78" t="s">
        <v>69</v>
      </c>
      <c r="K1696" s="58">
        <f t="shared" si="3"/>
        <v>3</v>
      </c>
      <c r="L1696" s="91" t="str">
        <f t="shared" si="8"/>
        <v>Tue</v>
      </c>
      <c r="M1696" s="78" t="str">
        <f>IFERROR(VLOOKUP(A1696, Entries!A:B,2,false),"")</f>
        <v>Offworld Industries</v>
      </c>
      <c r="N1696" s="23" t="str">
        <f>IFERROR(VLOOKUP(A1696, Entries!A:K,11,false),"")</f>
        <v/>
      </c>
      <c r="O1696" s="23" t="b">
        <f>IFERROR(VLOOKUP(A1696, Entries!A:I,8,false),"")</f>
        <v>1</v>
      </c>
    </row>
    <row r="1697">
      <c r="A1697" s="95" t="s">
        <v>2180</v>
      </c>
      <c r="B1697" s="95" t="s">
        <v>27</v>
      </c>
      <c r="C1697" s="85">
        <v>44632.0</v>
      </c>
      <c r="D1697" s="85">
        <v>44632.0</v>
      </c>
      <c r="E1697" s="86">
        <v>5.49</v>
      </c>
      <c r="F1697" s="87">
        <v>8.03</v>
      </c>
      <c r="G1697" s="88">
        <f t="shared" si="1"/>
        <v>2.54</v>
      </c>
      <c r="H1697" s="89">
        <f t="shared" si="10"/>
        <v>0.3163138232</v>
      </c>
      <c r="I1697" s="78" t="s">
        <v>2216</v>
      </c>
      <c r="J1697" s="78" t="s">
        <v>69</v>
      </c>
      <c r="K1697" s="58">
        <f t="shared" si="3"/>
        <v>0</v>
      </c>
      <c r="L1697" s="91" t="str">
        <f t="shared" si="8"/>
        <v>Sat</v>
      </c>
      <c r="M1697" s="78" t="str">
        <f>IFERROR(VLOOKUP(A1697, Entries!A:B,2,false),"")</f>
        <v>Konami</v>
      </c>
      <c r="N1697" s="23" t="str">
        <f>IFERROR(VLOOKUP(A1697, Entries!A:K,11,false),"")</f>
        <v/>
      </c>
      <c r="O1697" s="23" t="b">
        <f>IFERROR(VLOOKUP(A1697, Entries!A:I,8,false),"")</f>
        <v>1</v>
      </c>
    </row>
    <row r="1698">
      <c r="A1698" s="78" t="s">
        <v>2148</v>
      </c>
      <c r="B1698" s="78" t="s">
        <v>21</v>
      </c>
      <c r="C1698" s="85">
        <v>44632.0</v>
      </c>
      <c r="D1698" s="85">
        <v>44633.0</v>
      </c>
      <c r="E1698" s="86">
        <v>18.14</v>
      </c>
      <c r="F1698" s="87">
        <v>27.51</v>
      </c>
      <c r="G1698" s="88">
        <f t="shared" si="1"/>
        <v>9.37</v>
      </c>
      <c r="H1698" s="89">
        <f t="shared" si="10"/>
        <v>0.3406034169</v>
      </c>
      <c r="I1698" s="78" t="s">
        <v>2217</v>
      </c>
      <c r="J1698" s="78" t="s">
        <v>69</v>
      </c>
      <c r="K1698" s="58">
        <f t="shared" si="3"/>
        <v>1</v>
      </c>
      <c r="L1698" s="91" t="str">
        <f t="shared" si="8"/>
        <v>Sun</v>
      </c>
      <c r="M1698" s="78" t="str">
        <f>IFERROR(VLOOKUP(A1698, Entries!A:B,2,false),"")</f>
        <v>Wired Productions</v>
      </c>
      <c r="N1698" s="23" t="str">
        <f>IFERROR(VLOOKUP(A1698, Entries!A:K,11,false),"")</f>
        <v/>
      </c>
      <c r="O1698" s="23" t="b">
        <f>IFERROR(VLOOKUP(A1698, Entries!A:I,8,false),"")</f>
        <v>1</v>
      </c>
    </row>
    <row r="1699">
      <c r="A1699" s="95" t="s">
        <v>2180</v>
      </c>
      <c r="B1699" s="95" t="s">
        <v>27</v>
      </c>
      <c r="C1699" s="85">
        <v>44632.0</v>
      </c>
      <c r="D1699" s="85">
        <v>44632.0</v>
      </c>
      <c r="E1699" s="86">
        <v>5.49</v>
      </c>
      <c r="F1699" s="87">
        <v>8.03</v>
      </c>
      <c r="G1699" s="88">
        <f t="shared" si="1"/>
        <v>2.54</v>
      </c>
      <c r="H1699" s="89">
        <f t="shared" si="10"/>
        <v>0.3163138232</v>
      </c>
      <c r="I1699" s="78" t="s">
        <v>2218</v>
      </c>
      <c r="J1699" s="78" t="s">
        <v>69</v>
      </c>
      <c r="K1699" s="58">
        <f t="shared" si="3"/>
        <v>0</v>
      </c>
      <c r="L1699" s="91" t="str">
        <f t="shared" si="8"/>
        <v>Sat</v>
      </c>
      <c r="M1699" s="78" t="str">
        <f>IFERROR(VLOOKUP(A1699, Entries!A:B,2,false),"")</f>
        <v>Konami</v>
      </c>
      <c r="N1699" s="23" t="str">
        <f>IFERROR(VLOOKUP(A1699, Entries!A:K,11,false),"")</f>
        <v/>
      </c>
      <c r="O1699" s="23" t="b">
        <f>IFERROR(VLOOKUP(A1699, Entries!A:I,8,false),"")</f>
        <v>1</v>
      </c>
    </row>
    <row r="1700">
      <c r="A1700" s="78" t="s">
        <v>2127</v>
      </c>
      <c r="B1700" s="78" t="s">
        <v>27</v>
      </c>
      <c r="C1700" s="85">
        <v>44641.0</v>
      </c>
      <c r="D1700" s="85">
        <v>44643.0</v>
      </c>
      <c r="E1700" s="86">
        <v>20.69</v>
      </c>
      <c r="F1700" s="87">
        <v>21.94</v>
      </c>
      <c r="G1700" s="88">
        <f t="shared" si="1"/>
        <v>1.25</v>
      </c>
      <c r="H1700" s="89">
        <f t="shared" si="10"/>
        <v>0.05697356427</v>
      </c>
      <c r="I1700" s="78" t="s">
        <v>2219</v>
      </c>
      <c r="J1700" s="78" t="s">
        <v>69</v>
      </c>
      <c r="K1700" s="58">
        <f t="shared" si="3"/>
        <v>2</v>
      </c>
      <c r="L1700" s="91" t="str">
        <f t="shared" si="8"/>
        <v>Wed</v>
      </c>
      <c r="M1700" s="78" t="str">
        <f>IFERROR(VLOOKUP(A1700, Entries!A:B,2,false),"")</f>
        <v>Bungie</v>
      </c>
      <c r="N1700" s="23" t="str">
        <f>IFERROR(VLOOKUP(A1700, Entries!A:K,11,false),"")</f>
        <v/>
      </c>
      <c r="O1700" s="23" t="b">
        <f>IFERROR(VLOOKUP(A1700, Entries!A:I,8,false),"")</f>
        <v>1</v>
      </c>
    </row>
    <row r="1701">
      <c r="A1701" s="78" t="s">
        <v>207</v>
      </c>
      <c r="B1701" s="78" t="s">
        <v>19</v>
      </c>
      <c r="C1701" s="85">
        <v>44641.0</v>
      </c>
      <c r="D1701" s="85">
        <v>44642.0</v>
      </c>
      <c r="E1701" s="86">
        <v>5.66</v>
      </c>
      <c r="F1701" s="87">
        <v>8.58</v>
      </c>
      <c r="G1701" s="88">
        <f t="shared" si="1"/>
        <v>2.92</v>
      </c>
      <c r="H1701" s="89">
        <f t="shared" si="10"/>
        <v>0.3403263403</v>
      </c>
      <c r="I1701" s="78" t="s">
        <v>2220</v>
      </c>
      <c r="J1701" s="78" t="s">
        <v>69</v>
      </c>
      <c r="K1701" s="58">
        <f t="shared" si="3"/>
        <v>1</v>
      </c>
      <c r="L1701" s="91" t="str">
        <f t="shared" si="8"/>
        <v>Tue</v>
      </c>
      <c r="M1701" s="78" t="str">
        <f>IFERROR(VLOOKUP(A1701, Entries!A:B,2,false),"")</f>
        <v>Square Enix</v>
      </c>
      <c r="N1701" s="23" t="str">
        <f>IFERROR(VLOOKUP(A1701, Entries!A:K,11,false),"")</f>
        <v/>
      </c>
      <c r="O1701" s="23" t="b">
        <f>IFERROR(VLOOKUP(A1701, Entries!A:I,8,false),"")</f>
        <v>0</v>
      </c>
    </row>
    <row r="1702">
      <c r="A1702" s="78" t="s">
        <v>1922</v>
      </c>
      <c r="B1702" s="78" t="s">
        <v>19</v>
      </c>
      <c r="C1702" s="85">
        <v>44641.0</v>
      </c>
      <c r="D1702" s="85">
        <v>44645.0</v>
      </c>
      <c r="E1702" s="86">
        <v>19.42</v>
      </c>
      <c r="F1702" s="87">
        <v>25.09</v>
      </c>
      <c r="G1702" s="88">
        <f t="shared" si="1"/>
        <v>5.67</v>
      </c>
      <c r="H1702" s="89">
        <f t="shared" si="10"/>
        <v>0.2259864488</v>
      </c>
      <c r="I1702" s="78" t="s">
        <v>2221</v>
      </c>
      <c r="J1702" s="78" t="s">
        <v>69</v>
      </c>
      <c r="K1702" s="58">
        <f t="shared" si="3"/>
        <v>4</v>
      </c>
      <c r="L1702" s="91" t="str">
        <f t="shared" si="8"/>
        <v>Fri</v>
      </c>
      <c r="M1702" s="78" t="str">
        <f>IFERROR(VLOOKUP(A1702, Entries!A:B,2,false),"")</f>
        <v>Rebellion</v>
      </c>
      <c r="N1702" s="23" t="str">
        <f>IFERROR(VLOOKUP(A1702, Entries!A:K,11,false),"")</f>
        <v/>
      </c>
      <c r="O1702" s="23" t="b">
        <f>IFERROR(VLOOKUP(A1702, Entries!A:I,8,false),"")</f>
        <v>0</v>
      </c>
    </row>
    <row r="1703">
      <c r="A1703" s="78" t="s">
        <v>1461</v>
      </c>
      <c r="B1703" s="78" t="s">
        <v>19</v>
      </c>
      <c r="C1703" s="85">
        <v>44641.0</v>
      </c>
      <c r="D1703" s="85">
        <v>44642.0</v>
      </c>
      <c r="E1703" s="86">
        <v>0.0</v>
      </c>
      <c r="F1703" s="87">
        <v>0.64</v>
      </c>
      <c r="G1703" s="88">
        <f t="shared" si="1"/>
        <v>0.64</v>
      </c>
      <c r="H1703" s="89">
        <f t="shared" si="10"/>
        <v>1</v>
      </c>
      <c r="I1703" s="78" t="s">
        <v>2222</v>
      </c>
      <c r="J1703" s="78" t="s">
        <v>69</v>
      </c>
      <c r="K1703" s="58">
        <f t="shared" si="3"/>
        <v>1</v>
      </c>
      <c r="L1703" s="91" t="str">
        <f t="shared" si="8"/>
        <v>Tue</v>
      </c>
      <c r="M1703" s="78" t="str">
        <f>IFERROR(VLOOKUP(A1703, Entries!A:B,2,false),"")</f>
        <v>Fullbright</v>
      </c>
      <c r="N1703" s="23" t="str">
        <f>IFERROR(VLOOKUP(A1703, Entries!A:K,11,false),"")</f>
        <v/>
      </c>
      <c r="O1703" s="23" t="b">
        <f>IFERROR(VLOOKUP(A1703, Entries!A:I,8,false),"")</f>
        <v>0</v>
      </c>
    </row>
    <row r="1704">
      <c r="A1704" s="78" t="s">
        <v>207</v>
      </c>
      <c r="B1704" s="78" t="s">
        <v>19</v>
      </c>
      <c r="C1704" s="85">
        <v>44642.0</v>
      </c>
      <c r="D1704" s="85">
        <v>44974.0</v>
      </c>
      <c r="E1704" s="86">
        <v>5.66</v>
      </c>
      <c r="F1704" s="87">
        <v>8.99</v>
      </c>
      <c r="G1704" s="88">
        <f t="shared" si="1"/>
        <v>3.33</v>
      </c>
      <c r="H1704" s="89">
        <f t="shared" si="10"/>
        <v>0.3704115684</v>
      </c>
      <c r="I1704" s="78" t="s">
        <v>2223</v>
      </c>
      <c r="J1704" s="78" t="s">
        <v>69</v>
      </c>
      <c r="K1704" s="58">
        <f t="shared" si="3"/>
        <v>332</v>
      </c>
      <c r="L1704" s="91" t="str">
        <f t="shared" si="8"/>
        <v>Fri</v>
      </c>
      <c r="M1704" s="78" t="str">
        <f>IFERROR(VLOOKUP(A1704, Entries!A:B,2,false),"")</f>
        <v>Square Enix</v>
      </c>
      <c r="N1704" s="23" t="str">
        <f>IFERROR(VLOOKUP(A1704, Entries!A:K,11,false),"")</f>
        <v/>
      </c>
      <c r="O1704" s="23" t="b">
        <f>IFERROR(VLOOKUP(A1704, Entries!A:I,8,false),"")</f>
        <v>0</v>
      </c>
    </row>
    <row r="1705">
      <c r="A1705" s="78" t="s">
        <v>207</v>
      </c>
      <c r="B1705" s="78" t="s">
        <v>19</v>
      </c>
      <c r="C1705" s="85">
        <v>44642.0</v>
      </c>
      <c r="D1705" s="85">
        <v>44975.0</v>
      </c>
      <c r="E1705" s="86">
        <v>5.66</v>
      </c>
      <c r="F1705" s="87">
        <v>10.59</v>
      </c>
      <c r="G1705" s="88">
        <f t="shared" si="1"/>
        <v>4.93</v>
      </c>
      <c r="H1705" s="89">
        <f t="shared" si="10"/>
        <v>0.4655335222</v>
      </c>
      <c r="I1705" s="78" t="s">
        <v>2224</v>
      </c>
      <c r="J1705" s="78" t="s">
        <v>69</v>
      </c>
      <c r="K1705" s="58">
        <f t="shared" si="3"/>
        <v>333</v>
      </c>
      <c r="L1705" s="91" t="str">
        <f t="shared" si="8"/>
        <v>Sat</v>
      </c>
      <c r="M1705" s="78" t="str">
        <f>IFERROR(VLOOKUP(A1705, Entries!A:B,2,false),"")</f>
        <v>Square Enix</v>
      </c>
      <c r="N1705" s="23" t="str">
        <f>IFERROR(VLOOKUP(A1705, Entries!A:K,11,false),"")</f>
        <v/>
      </c>
      <c r="O1705" s="23" t="b">
        <f>IFERROR(VLOOKUP(A1705, Entries!A:I,8,false),"")</f>
        <v>0</v>
      </c>
    </row>
    <row r="1706">
      <c r="A1706" s="78" t="s">
        <v>1905</v>
      </c>
      <c r="B1706" s="78" t="s">
        <v>19</v>
      </c>
      <c r="C1706" s="85">
        <v>44642.0</v>
      </c>
      <c r="D1706" s="85">
        <v>44643.0</v>
      </c>
      <c r="E1706" s="86">
        <v>9.16</v>
      </c>
      <c r="F1706" s="87">
        <v>12.72</v>
      </c>
      <c r="G1706" s="88">
        <f t="shared" si="1"/>
        <v>3.56</v>
      </c>
      <c r="H1706" s="89">
        <f t="shared" si="10"/>
        <v>0.2798742138</v>
      </c>
      <c r="I1706" s="78" t="s">
        <v>2225</v>
      </c>
      <c r="J1706" s="78" t="s">
        <v>69</v>
      </c>
      <c r="K1706" s="58">
        <f t="shared" si="3"/>
        <v>1</v>
      </c>
      <c r="L1706" s="91" t="str">
        <f t="shared" si="8"/>
        <v>Wed</v>
      </c>
      <c r="M1706" s="78" t="str">
        <f>IFERROR(VLOOKUP(A1706, Entries!A:B,2,false),"")</f>
        <v>Dovetail Games</v>
      </c>
      <c r="N1706" s="23" t="str">
        <f>IFERROR(VLOOKUP(A1706, Entries!A:K,11,false),"")</f>
        <v/>
      </c>
      <c r="O1706" s="23" t="b">
        <f>IFERROR(VLOOKUP(A1706, Entries!A:I,8,false),"")</f>
        <v>1</v>
      </c>
    </row>
    <row r="1707">
      <c r="A1707" s="78" t="s">
        <v>2226</v>
      </c>
      <c r="B1707" s="78" t="s">
        <v>23</v>
      </c>
      <c r="C1707" s="85">
        <v>44642.0</v>
      </c>
      <c r="D1707" s="85">
        <v>44643.0</v>
      </c>
      <c r="E1707" s="86">
        <v>7.35</v>
      </c>
      <c r="F1707" s="87">
        <v>7.51</v>
      </c>
      <c r="G1707" s="88">
        <f t="shared" si="1"/>
        <v>0.16</v>
      </c>
      <c r="H1707" s="89">
        <f t="shared" si="10"/>
        <v>0.02130492676</v>
      </c>
      <c r="I1707" s="78" t="s">
        <v>2227</v>
      </c>
      <c r="J1707" s="78" t="s">
        <v>69</v>
      </c>
      <c r="K1707" s="58">
        <f t="shared" si="3"/>
        <v>1</v>
      </c>
      <c r="L1707" s="91" t="str">
        <f t="shared" si="8"/>
        <v>Wed</v>
      </c>
      <c r="M1707" s="78" t="str">
        <f>IFERROR(VLOOKUP(A1707, Entries!A:B,2,false),"")</f>
        <v>CAPCOM</v>
      </c>
      <c r="N1707" s="23" t="str">
        <f>IFERROR(VLOOKUP(A1707, Entries!A:K,11,false),"")</f>
        <v/>
      </c>
      <c r="O1707" s="23" t="b">
        <f>IFERROR(VLOOKUP(A1707, Entries!A:I,8,false),"")</f>
        <v>0</v>
      </c>
    </row>
    <row r="1708">
      <c r="A1708" s="78" t="s">
        <v>669</v>
      </c>
      <c r="B1708" s="78" t="s">
        <v>19</v>
      </c>
      <c r="C1708" s="85">
        <v>44642.0</v>
      </c>
      <c r="D1708" s="85">
        <v>44648.0</v>
      </c>
      <c r="E1708" s="86">
        <v>3.77</v>
      </c>
      <c r="F1708" s="87">
        <v>4.89</v>
      </c>
      <c r="G1708" s="88">
        <f t="shared" si="1"/>
        <v>1.12</v>
      </c>
      <c r="H1708" s="89">
        <f t="shared" si="10"/>
        <v>0.2290388548</v>
      </c>
      <c r="I1708" s="78" t="s">
        <v>2228</v>
      </c>
      <c r="J1708" s="78" t="s">
        <v>69</v>
      </c>
      <c r="K1708" s="58">
        <f t="shared" si="3"/>
        <v>6</v>
      </c>
      <c r="L1708" s="91" t="str">
        <f t="shared" si="8"/>
        <v>Mon</v>
      </c>
      <c r="M1708" s="78" t="str">
        <f>IFERROR(VLOOKUP(A1708, Entries!A:B,2,false),"")</f>
        <v>Atari</v>
      </c>
      <c r="N1708" s="23" t="str">
        <f>IFERROR(VLOOKUP(A1708, Entries!A:K,11,false),"")</f>
        <v/>
      </c>
      <c r="O1708" s="23" t="b">
        <f>IFERROR(VLOOKUP(A1708, Entries!A:I,8,false),"")</f>
        <v>0</v>
      </c>
    </row>
    <row r="1709">
      <c r="A1709" s="78" t="s">
        <v>326</v>
      </c>
      <c r="B1709" s="78" t="s">
        <v>25</v>
      </c>
      <c r="C1709" s="85">
        <v>44642.0</v>
      </c>
      <c r="D1709" s="85">
        <v>44698.0</v>
      </c>
      <c r="E1709" s="86">
        <v>3.27</v>
      </c>
      <c r="F1709" s="87">
        <v>6.64</v>
      </c>
      <c r="G1709" s="88">
        <f t="shared" si="1"/>
        <v>3.37</v>
      </c>
      <c r="H1709" s="89">
        <f t="shared" si="10"/>
        <v>0.5075301205</v>
      </c>
      <c r="I1709" s="78" t="s">
        <v>2229</v>
      </c>
      <c r="J1709" s="78" t="s">
        <v>69</v>
      </c>
      <c r="K1709" s="58">
        <f t="shared" si="3"/>
        <v>56</v>
      </c>
      <c r="L1709" s="91" t="str">
        <f t="shared" si="8"/>
        <v>Tue</v>
      </c>
      <c r="M1709" s="78" t="str">
        <f>IFERROR(VLOOKUP(A1709, Entries!A:B,2,false),"")</f>
        <v>Aerosoft</v>
      </c>
      <c r="N1709" s="23" t="str">
        <f>IFERROR(VLOOKUP(A1709, Entries!A:K,11,false),"")</f>
        <v/>
      </c>
      <c r="O1709" s="23" t="b">
        <f>IFERROR(VLOOKUP(A1709, Entries!A:I,8,false),"")</f>
        <v>1</v>
      </c>
    </row>
    <row r="1710">
      <c r="A1710" s="78" t="s">
        <v>1905</v>
      </c>
      <c r="B1710" s="78" t="s">
        <v>19</v>
      </c>
      <c r="C1710" s="85">
        <v>44643.0</v>
      </c>
      <c r="D1710" s="85">
        <v>44652.0</v>
      </c>
      <c r="E1710" s="86">
        <v>8.73</v>
      </c>
      <c r="F1710" s="87">
        <v>11.0</v>
      </c>
      <c r="G1710" s="88">
        <f t="shared" si="1"/>
        <v>2.27</v>
      </c>
      <c r="H1710" s="89">
        <f t="shared" si="10"/>
        <v>0.2063636364</v>
      </c>
      <c r="I1710" s="78" t="s">
        <v>2230</v>
      </c>
      <c r="J1710" s="78" t="s">
        <v>69</v>
      </c>
      <c r="K1710" s="58">
        <f t="shared" si="3"/>
        <v>9</v>
      </c>
      <c r="L1710" s="91" t="str">
        <f t="shared" si="8"/>
        <v>Fri</v>
      </c>
      <c r="M1710" s="78" t="str">
        <f>IFERROR(VLOOKUP(A1710, Entries!A:B,2,false),"")</f>
        <v>Dovetail Games</v>
      </c>
      <c r="N1710" s="23" t="str">
        <f>IFERROR(VLOOKUP(A1710, Entries!A:K,11,false),"")</f>
        <v/>
      </c>
      <c r="O1710" s="23" t="b">
        <f>IFERROR(VLOOKUP(A1710, Entries!A:I,8,false),"")</f>
        <v>1</v>
      </c>
    </row>
    <row r="1711">
      <c r="A1711" s="78" t="s">
        <v>1729</v>
      </c>
      <c r="B1711" s="78" t="s">
        <v>27</v>
      </c>
      <c r="C1711" s="85">
        <v>44643.0</v>
      </c>
      <c r="D1711" s="85">
        <v>44683.0</v>
      </c>
      <c r="E1711" s="86">
        <v>8.49</v>
      </c>
      <c r="F1711" s="87">
        <v>11.5</v>
      </c>
      <c r="G1711" s="88">
        <f t="shared" si="1"/>
        <v>3.01</v>
      </c>
      <c r="H1711" s="89">
        <f t="shared" si="10"/>
        <v>0.2617391304</v>
      </c>
      <c r="I1711" s="78" t="s">
        <v>2231</v>
      </c>
      <c r="J1711" s="78" t="s">
        <v>69</v>
      </c>
      <c r="K1711" s="58">
        <f t="shared" si="3"/>
        <v>40</v>
      </c>
      <c r="L1711" s="91" t="str">
        <f t="shared" si="8"/>
        <v>Mon</v>
      </c>
      <c r="M1711" s="78" t="str">
        <f>IFERROR(VLOOKUP(A1711, Entries!A:B,2,false),"")</f>
        <v>Focus Home Interactive</v>
      </c>
      <c r="N1711" s="23" t="str">
        <f>IFERROR(VLOOKUP(A1711, Entries!A:K,11,false),"")</f>
        <v/>
      </c>
      <c r="O1711" s="23" t="b">
        <f>IFERROR(VLOOKUP(A1711, Entries!A:I,8,false),"")</f>
        <v>0</v>
      </c>
    </row>
    <row r="1712">
      <c r="A1712" s="78" t="s">
        <v>1464</v>
      </c>
      <c r="B1712" s="78" t="s">
        <v>19</v>
      </c>
      <c r="C1712" s="85">
        <v>44643.0</v>
      </c>
      <c r="D1712" s="85">
        <v>44646.0</v>
      </c>
      <c r="E1712" s="86">
        <v>0.95</v>
      </c>
      <c r="F1712" s="87">
        <v>1.26</v>
      </c>
      <c r="G1712" s="88">
        <f t="shared" si="1"/>
        <v>0.31</v>
      </c>
      <c r="H1712" s="89">
        <f t="shared" si="10"/>
        <v>0.246031746</v>
      </c>
      <c r="I1712" s="78" t="s">
        <v>2232</v>
      </c>
      <c r="J1712" s="78" t="s">
        <v>69</v>
      </c>
      <c r="K1712" s="58">
        <f t="shared" si="3"/>
        <v>3</v>
      </c>
      <c r="L1712" s="91" t="str">
        <f t="shared" si="8"/>
        <v>Sat</v>
      </c>
      <c r="M1712" s="78" t="str">
        <f>IFERROR(VLOOKUP(A1712, Entries!A:B,2,false),"")</f>
        <v>Oddworld Inhabitants</v>
      </c>
      <c r="N1712" s="23" t="str">
        <f>IFERROR(VLOOKUP(A1712, Entries!A:K,11,false),"")</f>
        <v/>
      </c>
      <c r="O1712" s="23" t="b">
        <f>IFERROR(VLOOKUP(A1712, Entries!A:I,8,false),"")</f>
        <v>0</v>
      </c>
    </row>
    <row r="1713">
      <c r="A1713" s="78" t="s">
        <v>2127</v>
      </c>
      <c r="B1713" s="78" t="s">
        <v>27</v>
      </c>
      <c r="C1713" s="85">
        <v>44643.0</v>
      </c>
      <c r="D1713" s="85">
        <v>44645.0</v>
      </c>
      <c r="E1713" s="86">
        <v>20.69</v>
      </c>
      <c r="F1713" s="87">
        <v>21.74</v>
      </c>
      <c r="G1713" s="88">
        <f t="shared" si="1"/>
        <v>1.05</v>
      </c>
      <c r="H1713" s="89">
        <f t="shared" si="10"/>
        <v>0.04829806808</v>
      </c>
      <c r="I1713" s="78" t="s">
        <v>2233</v>
      </c>
      <c r="J1713" s="78" t="s">
        <v>69</v>
      </c>
      <c r="K1713" s="58">
        <f t="shared" si="3"/>
        <v>2</v>
      </c>
      <c r="L1713" s="91" t="str">
        <f t="shared" si="8"/>
        <v>Fri</v>
      </c>
      <c r="M1713" s="78" t="str">
        <f>IFERROR(VLOOKUP(A1713, Entries!A:B,2,false),"")</f>
        <v>Bungie</v>
      </c>
      <c r="N1713" s="23" t="str">
        <f>IFERROR(VLOOKUP(A1713, Entries!A:K,11,false),"")</f>
        <v/>
      </c>
      <c r="O1713" s="23" t="b">
        <f>IFERROR(VLOOKUP(A1713, Entries!A:I,8,false),"")</f>
        <v>1</v>
      </c>
    </row>
    <row r="1714">
      <c r="A1714" s="78" t="s">
        <v>624</v>
      </c>
      <c r="B1714" s="78" t="s">
        <v>18</v>
      </c>
      <c r="C1714" s="85">
        <v>44643.0</v>
      </c>
      <c r="D1714" s="85">
        <v>44644.0</v>
      </c>
      <c r="E1714" s="86">
        <v>3.9</v>
      </c>
      <c r="F1714" s="87">
        <v>4.82</v>
      </c>
      <c r="G1714" s="88">
        <f t="shared" si="1"/>
        <v>0.92</v>
      </c>
      <c r="H1714" s="89">
        <f t="shared" si="10"/>
        <v>0.1908713693</v>
      </c>
      <c r="I1714" s="78" t="s">
        <v>2234</v>
      </c>
      <c r="J1714" s="78" t="s">
        <v>69</v>
      </c>
      <c r="K1714" s="58">
        <f t="shared" si="3"/>
        <v>1</v>
      </c>
      <c r="L1714" s="91" t="str">
        <f t="shared" si="8"/>
        <v>Thu</v>
      </c>
      <c r="M1714" s="78" t="str">
        <f>IFERROR(VLOOKUP(A1714, Entries!A:B,2,false),"")</f>
        <v>NEXT Studios</v>
      </c>
      <c r="N1714" s="23" t="str">
        <f>IFERROR(VLOOKUP(A1714, Entries!A:K,11,false),"")</f>
        <v/>
      </c>
      <c r="O1714" s="23" t="b">
        <f>IFERROR(VLOOKUP(A1714, Entries!A:I,8,false),"")</f>
        <v>1</v>
      </c>
    </row>
    <row r="1715">
      <c r="A1715" s="94" t="s">
        <v>624</v>
      </c>
      <c r="B1715" s="78" t="s">
        <v>18</v>
      </c>
      <c r="C1715" s="85">
        <v>44643.0</v>
      </c>
      <c r="D1715" s="85">
        <v>45490.0</v>
      </c>
      <c r="E1715" s="86">
        <v>3.9</v>
      </c>
      <c r="F1715" s="87">
        <v>2.01</v>
      </c>
      <c r="G1715" s="88">
        <f t="shared" si="1"/>
        <v>-1.89</v>
      </c>
      <c r="H1715" s="89">
        <f t="shared" si="10"/>
        <v>-0.9402985075</v>
      </c>
      <c r="I1715" s="78" t="s">
        <v>2235</v>
      </c>
      <c r="J1715" s="78" t="s">
        <v>69</v>
      </c>
      <c r="K1715" s="58">
        <f t="shared" si="3"/>
        <v>847</v>
      </c>
      <c r="L1715" s="91" t="str">
        <f t="shared" si="8"/>
        <v>Wed</v>
      </c>
      <c r="M1715" s="78" t="str">
        <f>IFERROR(VLOOKUP(A1715, Entries!A:B,2,false),"")</f>
        <v>NEXT Studios</v>
      </c>
      <c r="N1715" s="23" t="str">
        <f>IFERROR(VLOOKUP(A1715, Entries!A:K,11,false),"")</f>
        <v/>
      </c>
      <c r="O1715" s="23" t="b">
        <f>IFERROR(VLOOKUP(A1715, Entries!A:I,8,false),"")</f>
        <v>1</v>
      </c>
    </row>
    <row r="1716">
      <c r="A1716" s="94" t="s">
        <v>624</v>
      </c>
      <c r="B1716" s="78" t="s">
        <v>18</v>
      </c>
      <c r="C1716" s="85">
        <v>44643.0</v>
      </c>
      <c r="D1716" s="85">
        <v>45490.0</v>
      </c>
      <c r="E1716" s="86">
        <v>3.9</v>
      </c>
      <c r="F1716" s="87">
        <v>2.01</v>
      </c>
      <c r="G1716" s="88">
        <f t="shared" si="1"/>
        <v>-1.89</v>
      </c>
      <c r="H1716" s="89">
        <f t="shared" si="10"/>
        <v>-0.9402985075</v>
      </c>
      <c r="I1716" s="78" t="s">
        <v>2236</v>
      </c>
      <c r="J1716" s="78" t="s">
        <v>69</v>
      </c>
      <c r="K1716" s="58">
        <f t="shared" si="3"/>
        <v>847</v>
      </c>
      <c r="L1716" s="91" t="str">
        <f t="shared" si="8"/>
        <v>Wed</v>
      </c>
      <c r="M1716" s="78" t="str">
        <f>IFERROR(VLOOKUP(A1716, Entries!A:B,2,false),"")</f>
        <v>NEXT Studios</v>
      </c>
      <c r="N1716" s="23" t="str">
        <f>IFERROR(VLOOKUP(A1716, Entries!A:K,11,false),"")</f>
        <v/>
      </c>
      <c r="O1716" s="23" t="b">
        <f>IFERROR(VLOOKUP(A1716, Entries!A:I,8,false),"")</f>
        <v>1</v>
      </c>
    </row>
    <row r="1717">
      <c r="A1717" s="94" t="s">
        <v>624</v>
      </c>
      <c r="B1717" s="78" t="s">
        <v>18</v>
      </c>
      <c r="C1717" s="85">
        <v>44643.0</v>
      </c>
      <c r="D1717" s="85">
        <v>45490.0</v>
      </c>
      <c r="E1717" s="86">
        <v>3.91</v>
      </c>
      <c r="F1717" s="87">
        <v>2.01</v>
      </c>
      <c r="G1717" s="88">
        <f t="shared" si="1"/>
        <v>-1.9</v>
      </c>
      <c r="H1717" s="89">
        <f t="shared" si="10"/>
        <v>-0.9452736318</v>
      </c>
      <c r="I1717" s="78" t="s">
        <v>2237</v>
      </c>
      <c r="J1717" s="78" t="s">
        <v>69</v>
      </c>
      <c r="K1717" s="58">
        <f t="shared" si="3"/>
        <v>847</v>
      </c>
      <c r="L1717" s="91" t="str">
        <f t="shared" si="8"/>
        <v>Wed</v>
      </c>
      <c r="M1717" s="78" t="str">
        <f>IFERROR(VLOOKUP(A1717, Entries!A:B,2,false),"")</f>
        <v>NEXT Studios</v>
      </c>
      <c r="N1717" s="23" t="str">
        <f>IFERROR(VLOOKUP(A1717, Entries!A:K,11,false),"")</f>
        <v/>
      </c>
      <c r="O1717" s="23" t="b">
        <f>IFERROR(VLOOKUP(A1717, Entries!A:I,8,false),"")</f>
        <v>1</v>
      </c>
    </row>
    <row r="1718">
      <c r="A1718" s="78" t="s">
        <v>2238</v>
      </c>
      <c r="B1718" s="78" t="s">
        <v>21</v>
      </c>
      <c r="C1718" s="85">
        <v>44644.0</v>
      </c>
      <c r="D1718" s="85">
        <v>44645.0</v>
      </c>
      <c r="E1718" s="86">
        <v>17.78</v>
      </c>
      <c r="F1718" s="87">
        <v>18.93</v>
      </c>
      <c r="G1718" s="88">
        <f t="shared" si="1"/>
        <v>1.15</v>
      </c>
      <c r="H1718" s="89">
        <f t="shared" si="10"/>
        <v>0.06075013207</v>
      </c>
      <c r="I1718" s="78" t="s">
        <v>2239</v>
      </c>
      <c r="J1718" s="78" t="s">
        <v>69</v>
      </c>
      <c r="K1718" s="58">
        <f t="shared" si="3"/>
        <v>1</v>
      </c>
      <c r="L1718" s="91" t="str">
        <f t="shared" si="8"/>
        <v>Fri</v>
      </c>
      <c r="M1718" s="78" t="str">
        <f>IFERROR(VLOOKUP(A1718, Entries!A:B,2,false),"")</f>
        <v>Shiro Games</v>
      </c>
      <c r="N1718" s="23" t="str">
        <f>IFERROR(VLOOKUP(A1718, Entries!A:K,11,false),"")</f>
        <v/>
      </c>
      <c r="O1718" s="23" t="b">
        <f>IFERROR(VLOOKUP(A1718, Entries!A:I,8,false),"")</f>
        <v>0</v>
      </c>
    </row>
    <row r="1719">
      <c r="A1719" s="78" t="s">
        <v>2240</v>
      </c>
      <c r="B1719" s="78" t="s">
        <v>21</v>
      </c>
      <c r="C1719" s="85">
        <v>44644.0</v>
      </c>
      <c r="D1719" s="85">
        <v>44648.0</v>
      </c>
      <c r="E1719" s="86">
        <v>9.95</v>
      </c>
      <c r="F1719" s="87">
        <v>13.27</v>
      </c>
      <c r="G1719" s="88">
        <f t="shared" si="1"/>
        <v>3.32</v>
      </c>
      <c r="H1719" s="89">
        <f t="shared" si="10"/>
        <v>0.2501883949</v>
      </c>
      <c r="I1719" s="78" t="s">
        <v>2241</v>
      </c>
      <c r="J1719" s="78" t="s">
        <v>69</v>
      </c>
      <c r="K1719" s="58">
        <f t="shared" si="3"/>
        <v>4</v>
      </c>
      <c r="L1719" s="91" t="str">
        <f t="shared" si="8"/>
        <v>Mon</v>
      </c>
      <c r="M1719" s="78" t="str">
        <f>IFERROR(VLOOKUP(A1719, Entries!A:B,2,false),"")</f>
        <v>Daedalic Entertainment</v>
      </c>
      <c r="N1719" s="23" t="str">
        <f>IFERROR(VLOOKUP(A1719, Entries!A:K,11,false),"")</f>
        <v/>
      </c>
      <c r="O1719" s="23" t="b">
        <f>IFERROR(VLOOKUP(A1719, Entries!A:I,8,false),"")</f>
        <v>0</v>
      </c>
    </row>
    <row r="1720">
      <c r="A1720" s="78" t="s">
        <v>2242</v>
      </c>
      <c r="B1720" s="78" t="s">
        <v>18</v>
      </c>
      <c r="C1720" s="85">
        <v>44644.0</v>
      </c>
      <c r="D1720" s="85">
        <v>44652.0</v>
      </c>
      <c r="E1720" s="86">
        <v>5.1</v>
      </c>
      <c r="F1720" s="87">
        <v>11.86</v>
      </c>
      <c r="G1720" s="88">
        <f t="shared" si="1"/>
        <v>6.76</v>
      </c>
      <c r="H1720" s="89">
        <f t="shared" si="10"/>
        <v>0.5699831366</v>
      </c>
      <c r="I1720" s="78" t="s">
        <v>2243</v>
      </c>
      <c r="J1720" s="78" t="s">
        <v>69</v>
      </c>
      <c r="K1720" s="58">
        <f t="shared" si="3"/>
        <v>8</v>
      </c>
      <c r="L1720" s="91" t="str">
        <f t="shared" si="8"/>
        <v>Fri</v>
      </c>
      <c r="M1720" s="78" t="str">
        <f>IFERROR(VLOOKUP(A1720, Entries!A:B,2,false),"")</f>
        <v>Paradox Interactive</v>
      </c>
      <c r="N1720" s="23" t="str">
        <f>IFERROR(VLOOKUP(A1720, Entries!A:K,11,false),"")</f>
        <v/>
      </c>
      <c r="O1720" s="23" t="b">
        <f>IFERROR(VLOOKUP(A1720, Entries!A:I,8,false),"")</f>
        <v>0</v>
      </c>
    </row>
    <row r="1721">
      <c r="A1721" s="78" t="s">
        <v>2242</v>
      </c>
      <c r="B1721" s="78" t="s">
        <v>18</v>
      </c>
      <c r="C1721" s="85">
        <v>44644.0</v>
      </c>
      <c r="D1721" s="85">
        <v>44654.0</v>
      </c>
      <c r="E1721" s="86">
        <v>5.1</v>
      </c>
      <c r="F1721" s="87">
        <v>11.86</v>
      </c>
      <c r="G1721" s="88">
        <f t="shared" si="1"/>
        <v>6.76</v>
      </c>
      <c r="H1721" s="89">
        <f t="shared" si="10"/>
        <v>0.5699831366</v>
      </c>
      <c r="I1721" s="78" t="s">
        <v>2244</v>
      </c>
      <c r="J1721" s="78" t="s">
        <v>69</v>
      </c>
      <c r="K1721" s="58">
        <f t="shared" si="3"/>
        <v>10</v>
      </c>
      <c r="L1721" s="91" t="str">
        <f t="shared" si="8"/>
        <v>Sun</v>
      </c>
      <c r="M1721" s="78" t="str">
        <f>IFERROR(VLOOKUP(A1721, Entries!A:B,2,false),"")</f>
        <v>Paradox Interactive</v>
      </c>
      <c r="N1721" s="23" t="str">
        <f>IFERROR(VLOOKUP(A1721, Entries!A:K,11,false),"")</f>
        <v/>
      </c>
      <c r="O1721" s="23" t="b">
        <f>IFERROR(VLOOKUP(A1721, Entries!A:I,8,false),"")</f>
        <v>0</v>
      </c>
    </row>
    <row r="1722">
      <c r="A1722" s="78" t="s">
        <v>2242</v>
      </c>
      <c r="B1722" s="78" t="s">
        <v>18</v>
      </c>
      <c r="C1722" s="85">
        <v>44644.0</v>
      </c>
      <c r="D1722" s="85">
        <v>44655.0</v>
      </c>
      <c r="E1722" s="86">
        <v>5.1</v>
      </c>
      <c r="F1722" s="87">
        <v>11.86</v>
      </c>
      <c r="G1722" s="88">
        <f t="shared" si="1"/>
        <v>6.76</v>
      </c>
      <c r="H1722" s="89">
        <f t="shared" si="10"/>
        <v>0.5699831366</v>
      </c>
      <c r="I1722" s="78" t="s">
        <v>2245</v>
      </c>
      <c r="J1722" s="78" t="s">
        <v>69</v>
      </c>
      <c r="K1722" s="58">
        <f t="shared" si="3"/>
        <v>11</v>
      </c>
      <c r="L1722" s="91" t="str">
        <f t="shared" si="8"/>
        <v>Mon</v>
      </c>
      <c r="M1722" s="78" t="str">
        <f>IFERROR(VLOOKUP(A1722, Entries!A:B,2,false),"")</f>
        <v>Paradox Interactive</v>
      </c>
      <c r="N1722" s="23" t="str">
        <f>IFERROR(VLOOKUP(A1722, Entries!A:K,11,false),"")</f>
        <v/>
      </c>
      <c r="O1722" s="23" t="b">
        <f>IFERROR(VLOOKUP(A1722, Entries!A:I,8,false),"")</f>
        <v>0</v>
      </c>
    </row>
    <row r="1723">
      <c r="A1723" s="78" t="s">
        <v>2246</v>
      </c>
      <c r="B1723" s="78" t="s">
        <v>21</v>
      </c>
      <c r="C1723" s="85">
        <v>44644.0</v>
      </c>
      <c r="D1723" s="85">
        <v>44678.0</v>
      </c>
      <c r="E1723" s="86">
        <v>10.74</v>
      </c>
      <c r="F1723" s="87">
        <v>13.36</v>
      </c>
      <c r="G1723" s="88">
        <f t="shared" si="1"/>
        <v>2.62</v>
      </c>
      <c r="H1723" s="89">
        <f t="shared" si="10"/>
        <v>0.1961077844</v>
      </c>
      <c r="I1723" s="78" t="s">
        <v>2247</v>
      </c>
      <c r="J1723" s="78" t="s">
        <v>69</v>
      </c>
      <c r="K1723" s="58">
        <f t="shared" si="3"/>
        <v>34</v>
      </c>
      <c r="L1723" s="91" t="str">
        <f t="shared" si="8"/>
        <v>Wed</v>
      </c>
      <c r="M1723" s="78" t="str">
        <f>IFERROR(VLOOKUP(A1723, Entries!A:B,2,false),"")</f>
        <v>Curve Digital</v>
      </c>
      <c r="N1723" s="23" t="str">
        <f>IFERROR(VLOOKUP(A1723, Entries!A:K,11,false),"")</f>
        <v/>
      </c>
      <c r="O1723" s="23" t="b">
        <f>IFERROR(VLOOKUP(A1723, Entries!A:I,8,false),"")</f>
        <v>0</v>
      </c>
    </row>
    <row r="1724">
      <c r="A1724" s="78" t="s">
        <v>2133</v>
      </c>
      <c r="B1724" s="78" t="s">
        <v>25</v>
      </c>
      <c r="C1724" s="85">
        <v>44645.0</v>
      </c>
      <c r="D1724" s="85">
        <v>44645.0</v>
      </c>
      <c r="E1724" s="86">
        <v>0.0</v>
      </c>
      <c r="F1724" s="87">
        <v>0.58</v>
      </c>
      <c r="G1724" s="88">
        <f t="shared" si="1"/>
        <v>0.58</v>
      </c>
      <c r="H1724" s="89">
        <f t="shared" si="10"/>
        <v>1</v>
      </c>
      <c r="I1724" s="78" t="s">
        <v>2248</v>
      </c>
      <c r="J1724" s="78" t="s">
        <v>69</v>
      </c>
      <c r="K1724" s="58">
        <f t="shared" si="3"/>
        <v>0</v>
      </c>
      <c r="L1724" s="91" t="str">
        <f t="shared" si="8"/>
        <v>Fri</v>
      </c>
      <c r="M1724" s="78" t="str">
        <f>IFERROR(VLOOKUP(A1724, Entries!A:B,2,false),"")</f>
        <v>Microids</v>
      </c>
      <c r="N1724" s="23" t="str">
        <f>IFERROR(VLOOKUP(A1724, Entries!A:K,11,false),"")</f>
        <v/>
      </c>
      <c r="O1724" s="23" t="b">
        <f>IFERROR(VLOOKUP(A1724, Entries!A:I,8,false),"")</f>
        <v>0</v>
      </c>
    </row>
    <row r="1725">
      <c r="A1725" s="94" t="s">
        <v>2204</v>
      </c>
      <c r="B1725" s="78" t="s">
        <v>25</v>
      </c>
      <c r="C1725" s="85">
        <v>44645.0</v>
      </c>
      <c r="D1725" s="85">
        <v>45576.0</v>
      </c>
      <c r="E1725" s="86">
        <v>11.81</v>
      </c>
      <c r="F1725" s="87">
        <v>11.97</v>
      </c>
      <c r="G1725" s="88">
        <f t="shared" si="1"/>
        <v>0.16</v>
      </c>
      <c r="H1725" s="89">
        <f t="shared" si="10"/>
        <v>0.01336675021</v>
      </c>
      <c r="I1725" s="78" t="s">
        <v>2249</v>
      </c>
      <c r="J1725" s="78" t="s">
        <v>69</v>
      </c>
      <c r="K1725" s="58">
        <f t="shared" si="3"/>
        <v>931</v>
      </c>
      <c r="L1725" s="91" t="str">
        <f t="shared" si="8"/>
        <v>Fri</v>
      </c>
      <c r="M1725" s="78" t="str">
        <f>IFERROR(VLOOKUP(A1725, Entries!A:B,2,false),"")</f>
        <v>2K</v>
      </c>
      <c r="N1725" s="23" t="str">
        <f>IFERROR(VLOOKUP(A1725, Entries!A:K,11,false),"")</f>
        <v/>
      </c>
      <c r="O1725" s="23" t="b">
        <f>IFERROR(VLOOKUP(A1725, Entries!A:I,8,false),"")</f>
        <v>0</v>
      </c>
    </row>
    <row r="1726">
      <c r="A1726" s="78" t="s">
        <v>2250</v>
      </c>
      <c r="B1726" s="78" t="s">
        <v>25</v>
      </c>
      <c r="C1726" s="85">
        <v>44646.0</v>
      </c>
      <c r="D1726" s="85">
        <v>44656.0</v>
      </c>
      <c r="E1726" s="86">
        <v>13.58</v>
      </c>
      <c r="F1726" s="87">
        <v>15.37</v>
      </c>
      <c r="G1726" s="88">
        <f t="shared" si="1"/>
        <v>1.79</v>
      </c>
      <c r="H1726" s="89">
        <f t="shared" si="10"/>
        <v>0.1164606376</v>
      </c>
      <c r="I1726" s="78" t="s">
        <v>2251</v>
      </c>
      <c r="J1726" s="78" t="s">
        <v>69</v>
      </c>
      <c r="K1726" s="58">
        <f t="shared" si="3"/>
        <v>10</v>
      </c>
      <c r="L1726" s="91" t="str">
        <f t="shared" si="8"/>
        <v>Tue</v>
      </c>
      <c r="M1726" s="78" t="str">
        <f>IFERROR(VLOOKUP(A1726, Entries!A:B,2,false),"")</f>
        <v>SEGA</v>
      </c>
      <c r="N1726" s="23" t="str">
        <f>IFERROR(VLOOKUP(A1726, Entries!A:K,11,false),"")</f>
        <v/>
      </c>
      <c r="O1726" s="23" t="b">
        <f>IFERROR(VLOOKUP(A1726, Entries!A:I,8,false),"")</f>
        <v>1</v>
      </c>
    </row>
    <row r="1727">
      <c r="A1727" s="78" t="s">
        <v>2252</v>
      </c>
      <c r="B1727" s="78" t="s">
        <v>19</v>
      </c>
      <c r="C1727" s="85">
        <v>44646.0</v>
      </c>
      <c r="D1727" s="85">
        <v>44647.0</v>
      </c>
      <c r="E1727" s="86">
        <v>9.47</v>
      </c>
      <c r="F1727" s="87">
        <v>11.09</v>
      </c>
      <c r="G1727" s="88">
        <f t="shared" si="1"/>
        <v>1.62</v>
      </c>
      <c r="H1727" s="89">
        <f t="shared" si="10"/>
        <v>0.1460775473</v>
      </c>
      <c r="I1727" s="78" t="s">
        <v>2253</v>
      </c>
      <c r="J1727" s="78" t="s">
        <v>69</v>
      </c>
      <c r="K1727" s="58">
        <f t="shared" si="3"/>
        <v>1</v>
      </c>
      <c r="L1727" s="91" t="str">
        <f t="shared" si="8"/>
        <v>Sun</v>
      </c>
      <c r="M1727" s="78" t="str">
        <f>IFERROR(VLOOKUP(A1727, Entries!A:B,2,false),"")</f>
        <v>Flashbulb</v>
      </c>
      <c r="N1727" s="23" t="str">
        <f>IFERROR(VLOOKUP(A1727, Entries!A:K,11,false),"")</f>
        <v/>
      </c>
      <c r="O1727" s="23" t="b">
        <f>IFERROR(VLOOKUP(A1727, Entries!A:I,8,false),"")</f>
        <v>0</v>
      </c>
    </row>
    <row r="1728">
      <c r="A1728" s="78" t="s">
        <v>1464</v>
      </c>
      <c r="B1728" s="78" t="s">
        <v>19</v>
      </c>
      <c r="C1728" s="85">
        <v>44646.0</v>
      </c>
      <c r="D1728" s="85">
        <v>44646.0</v>
      </c>
      <c r="E1728" s="86">
        <v>0.95</v>
      </c>
      <c r="F1728" s="87">
        <v>1.26</v>
      </c>
      <c r="G1728" s="88">
        <f t="shared" si="1"/>
        <v>0.31</v>
      </c>
      <c r="H1728" s="89">
        <f t="shared" si="10"/>
        <v>0.246031746</v>
      </c>
      <c r="I1728" s="78" t="s">
        <v>2254</v>
      </c>
      <c r="J1728" s="78" t="s">
        <v>69</v>
      </c>
      <c r="K1728" s="58">
        <f t="shared" si="3"/>
        <v>0</v>
      </c>
      <c r="L1728" s="91" t="str">
        <f t="shared" si="8"/>
        <v>Sat</v>
      </c>
      <c r="M1728" s="78" t="str">
        <f>IFERROR(VLOOKUP(A1728, Entries!A:B,2,false),"")</f>
        <v>Oddworld Inhabitants</v>
      </c>
      <c r="N1728" s="23" t="str">
        <f>IFERROR(VLOOKUP(A1728, Entries!A:K,11,false),"")</f>
        <v/>
      </c>
      <c r="O1728" s="23" t="b">
        <f>IFERROR(VLOOKUP(A1728, Entries!A:I,8,false),"")</f>
        <v>0</v>
      </c>
    </row>
    <row r="1729">
      <c r="A1729" s="78" t="s">
        <v>1464</v>
      </c>
      <c r="B1729" s="78" t="s">
        <v>19</v>
      </c>
      <c r="C1729" s="85">
        <v>44646.0</v>
      </c>
      <c r="D1729" s="85">
        <v>44646.0</v>
      </c>
      <c r="E1729" s="86">
        <v>0.95</v>
      </c>
      <c r="F1729" s="87">
        <v>1.26</v>
      </c>
      <c r="G1729" s="88">
        <f t="shared" si="1"/>
        <v>0.31</v>
      </c>
      <c r="H1729" s="89">
        <f t="shared" si="10"/>
        <v>0.246031746</v>
      </c>
      <c r="I1729" s="78" t="s">
        <v>2255</v>
      </c>
      <c r="J1729" s="78" t="s">
        <v>69</v>
      </c>
      <c r="K1729" s="58">
        <f t="shared" si="3"/>
        <v>0</v>
      </c>
      <c r="L1729" s="91" t="str">
        <f t="shared" si="8"/>
        <v>Sat</v>
      </c>
      <c r="M1729" s="78" t="str">
        <f>IFERROR(VLOOKUP(A1729, Entries!A:B,2,false),"")</f>
        <v>Oddworld Inhabitants</v>
      </c>
      <c r="N1729" s="23" t="str">
        <f>IFERROR(VLOOKUP(A1729, Entries!A:K,11,false),"")</f>
        <v/>
      </c>
      <c r="O1729" s="23" t="b">
        <f>IFERROR(VLOOKUP(A1729, Entries!A:I,8,false),"")</f>
        <v>0</v>
      </c>
    </row>
    <row r="1730">
      <c r="A1730" s="78" t="s">
        <v>2256</v>
      </c>
      <c r="B1730" s="78" t="s">
        <v>25</v>
      </c>
      <c r="C1730" s="85">
        <v>44646.0</v>
      </c>
      <c r="D1730" s="85">
        <v>46186.0</v>
      </c>
      <c r="E1730" s="86">
        <v>10.82</v>
      </c>
      <c r="F1730" s="87">
        <v>5.93</v>
      </c>
      <c r="G1730" s="88">
        <f t="shared" si="1"/>
        <v>-4.89</v>
      </c>
      <c r="H1730" s="89">
        <f t="shared" si="10"/>
        <v>-0.8246205734</v>
      </c>
      <c r="I1730" s="103" t="s">
        <v>2257</v>
      </c>
      <c r="J1730" s="78" t="s">
        <v>69</v>
      </c>
      <c r="K1730" s="58">
        <f t="shared" si="3"/>
        <v>1540</v>
      </c>
      <c r="L1730" s="91" t="str">
        <f t="shared" si="8"/>
        <v>Sat</v>
      </c>
      <c r="M1730" s="78" t="str">
        <f>IFERROR(VLOOKUP(A1730, Entries!A:B,2,false),"")</f>
        <v>Devolver Digital</v>
      </c>
      <c r="N1730" s="23" t="str">
        <f>IFERROR(VLOOKUP(A1730, Entries!A:K,11,false),"")</f>
        <v/>
      </c>
      <c r="O1730" s="23" t="b">
        <f>IFERROR(VLOOKUP(A1730, Entries!A:I,8,false),"")</f>
        <v>0</v>
      </c>
      <c r="S1730" s="23" t="str">
        <f>IF(AND(TODAY()-ROW(A906)+1 &lt;= 30, J906="Closed"), TEXT(TODAY()-ROW(A906)+1, "dd-mm-yyyy"), "")
</f>
        <v/>
      </c>
    </row>
    <row r="1731">
      <c r="A1731" s="78" t="s">
        <v>1913</v>
      </c>
      <c r="B1731" s="78" t="s">
        <v>18</v>
      </c>
      <c r="C1731" s="85">
        <v>44646.0</v>
      </c>
      <c r="D1731" s="85">
        <v>44647.0</v>
      </c>
      <c r="E1731" s="86">
        <v>6.59</v>
      </c>
      <c r="F1731" s="87">
        <v>8.19</v>
      </c>
      <c r="G1731" s="88">
        <f t="shared" si="1"/>
        <v>1.6</v>
      </c>
      <c r="H1731" s="89">
        <f t="shared" si="10"/>
        <v>0.1953601954</v>
      </c>
      <c r="I1731" s="78" t="s">
        <v>2258</v>
      </c>
      <c r="J1731" s="78" t="s">
        <v>69</v>
      </c>
      <c r="K1731" s="58">
        <f t="shared" si="3"/>
        <v>1</v>
      </c>
      <c r="L1731" s="91" t="str">
        <f t="shared" si="8"/>
        <v>Sun</v>
      </c>
      <c r="M1731" s="78" t="str">
        <f>IFERROR(VLOOKUP(A1731, Entries!A:B,2,false),"")</f>
        <v>XREAL Games</v>
      </c>
      <c r="N1731" s="23" t="str">
        <f>IFERROR(VLOOKUP(A1731, Entries!A:K,11,false),"")</f>
        <v/>
      </c>
      <c r="O1731" s="23" t="b">
        <f>IFERROR(VLOOKUP(A1731, Entries!A:I,8,false),"")</f>
        <v>1</v>
      </c>
    </row>
    <row r="1732">
      <c r="A1732" s="78" t="s">
        <v>1913</v>
      </c>
      <c r="B1732" s="78" t="s">
        <v>18</v>
      </c>
      <c r="C1732" s="85">
        <v>44646.0</v>
      </c>
      <c r="D1732" s="85">
        <v>44647.0</v>
      </c>
      <c r="E1732" s="86">
        <v>6.6</v>
      </c>
      <c r="F1732" s="87">
        <v>8.15</v>
      </c>
      <c r="G1732" s="88">
        <f t="shared" si="1"/>
        <v>1.55</v>
      </c>
      <c r="H1732" s="89">
        <f t="shared" si="10"/>
        <v>0.1901840491</v>
      </c>
      <c r="I1732" s="78" t="s">
        <v>2259</v>
      </c>
      <c r="J1732" s="78" t="s">
        <v>69</v>
      </c>
      <c r="K1732" s="58">
        <f t="shared" si="3"/>
        <v>1</v>
      </c>
      <c r="L1732" s="91" t="str">
        <f t="shared" si="8"/>
        <v>Sun</v>
      </c>
      <c r="M1732" s="78" t="str">
        <f>IFERROR(VLOOKUP(A1732, Entries!A:B,2,false),"")</f>
        <v>XREAL Games</v>
      </c>
      <c r="N1732" s="23" t="str">
        <f>IFERROR(VLOOKUP(A1732, Entries!A:K,11,false),"")</f>
        <v/>
      </c>
      <c r="O1732" s="23" t="b">
        <f>IFERROR(VLOOKUP(A1732, Entries!A:I,8,false),"")</f>
        <v>1</v>
      </c>
    </row>
    <row r="1733">
      <c r="A1733" s="78" t="s">
        <v>1913</v>
      </c>
      <c r="B1733" s="78" t="s">
        <v>18</v>
      </c>
      <c r="C1733" s="85">
        <v>44646.0</v>
      </c>
      <c r="D1733" s="85">
        <v>44651.0</v>
      </c>
      <c r="E1733" s="86">
        <v>6.6</v>
      </c>
      <c r="F1733" s="87">
        <v>6.86</v>
      </c>
      <c r="G1733" s="88">
        <f t="shared" si="1"/>
        <v>0.26</v>
      </c>
      <c r="H1733" s="89">
        <f t="shared" si="10"/>
        <v>0.03790087464</v>
      </c>
      <c r="I1733" s="78" t="s">
        <v>2260</v>
      </c>
      <c r="J1733" s="78" t="s">
        <v>69</v>
      </c>
      <c r="K1733" s="58">
        <f t="shared" si="3"/>
        <v>5</v>
      </c>
      <c r="L1733" s="91" t="str">
        <f t="shared" si="8"/>
        <v>Thu</v>
      </c>
      <c r="M1733" s="78" t="str">
        <f>IFERROR(VLOOKUP(A1733, Entries!A:B,2,false),"")</f>
        <v>XREAL Games</v>
      </c>
      <c r="N1733" s="23" t="str">
        <f>IFERROR(VLOOKUP(A1733, Entries!A:K,11,false),"")</f>
        <v/>
      </c>
      <c r="O1733" s="23" t="b">
        <f>IFERROR(VLOOKUP(A1733, Entries!A:I,8,false),"")</f>
        <v>1</v>
      </c>
    </row>
    <row r="1734">
      <c r="A1734" s="78" t="s">
        <v>1913</v>
      </c>
      <c r="B1734" s="78" t="s">
        <v>18</v>
      </c>
      <c r="C1734" s="85">
        <v>44646.0</v>
      </c>
      <c r="D1734" s="85">
        <v>44654.0</v>
      </c>
      <c r="E1734" s="86">
        <v>6.6</v>
      </c>
      <c r="F1734" s="87">
        <v>6.96</v>
      </c>
      <c r="G1734" s="88">
        <f t="shared" si="1"/>
        <v>0.36</v>
      </c>
      <c r="H1734" s="89">
        <f t="shared" si="10"/>
        <v>0.05172413793</v>
      </c>
      <c r="I1734" s="78" t="s">
        <v>2261</v>
      </c>
      <c r="J1734" s="78" t="s">
        <v>69</v>
      </c>
      <c r="K1734" s="58">
        <f t="shared" si="3"/>
        <v>8</v>
      </c>
      <c r="L1734" s="91" t="str">
        <f t="shared" si="8"/>
        <v>Sun</v>
      </c>
      <c r="M1734" s="78" t="str">
        <f>IFERROR(VLOOKUP(A1734, Entries!A:B,2,false),"")</f>
        <v>XREAL Games</v>
      </c>
      <c r="N1734" s="23" t="str">
        <f>IFERROR(VLOOKUP(A1734, Entries!A:K,11,false),"")</f>
        <v/>
      </c>
      <c r="O1734" s="23" t="b">
        <f>IFERROR(VLOOKUP(A1734, Entries!A:I,8,false),"")</f>
        <v>1</v>
      </c>
    </row>
    <row r="1735">
      <c r="A1735" s="78" t="s">
        <v>1464</v>
      </c>
      <c r="B1735" s="78" t="s">
        <v>19</v>
      </c>
      <c r="C1735" s="85">
        <v>44646.0</v>
      </c>
      <c r="D1735" s="85">
        <v>44647.0</v>
      </c>
      <c r="E1735" s="86">
        <v>0.95</v>
      </c>
      <c r="F1735" s="87">
        <v>1.22</v>
      </c>
      <c r="G1735" s="88">
        <f t="shared" si="1"/>
        <v>0.27</v>
      </c>
      <c r="H1735" s="89">
        <f t="shared" si="10"/>
        <v>0.2213114754</v>
      </c>
      <c r="I1735" s="78" t="s">
        <v>2262</v>
      </c>
      <c r="J1735" s="78" t="s">
        <v>69</v>
      </c>
      <c r="K1735" s="58">
        <f t="shared" si="3"/>
        <v>1</v>
      </c>
      <c r="L1735" s="91" t="str">
        <f t="shared" si="8"/>
        <v>Sun</v>
      </c>
      <c r="M1735" s="78" t="str">
        <f>IFERROR(VLOOKUP(A1735, Entries!A:B,2,false),"")</f>
        <v>Oddworld Inhabitants</v>
      </c>
      <c r="N1735" s="23" t="str">
        <f>IFERROR(VLOOKUP(A1735, Entries!A:K,11,false),"")</f>
        <v/>
      </c>
      <c r="O1735" s="23" t="b">
        <f>IFERROR(VLOOKUP(A1735, Entries!A:I,8,false),"")</f>
        <v>0</v>
      </c>
    </row>
    <row r="1736">
      <c r="A1736" s="78" t="s">
        <v>2252</v>
      </c>
      <c r="B1736" s="78" t="s">
        <v>19</v>
      </c>
      <c r="C1736" s="85">
        <v>44647.0</v>
      </c>
      <c r="D1736" s="85">
        <v>44647.0</v>
      </c>
      <c r="E1736" s="86">
        <v>9.47</v>
      </c>
      <c r="F1736" s="87">
        <v>11.09</v>
      </c>
      <c r="G1736" s="88">
        <f t="shared" si="1"/>
        <v>1.62</v>
      </c>
      <c r="H1736" s="89">
        <f t="shared" si="10"/>
        <v>0.1460775473</v>
      </c>
      <c r="I1736" s="78" t="s">
        <v>2263</v>
      </c>
      <c r="J1736" s="78" t="s">
        <v>69</v>
      </c>
      <c r="K1736" s="58">
        <f t="shared" si="3"/>
        <v>0</v>
      </c>
      <c r="L1736" s="91" t="str">
        <f t="shared" si="8"/>
        <v>Sun</v>
      </c>
      <c r="M1736" s="78" t="str">
        <f>IFERROR(VLOOKUP(A1736, Entries!A:B,2,false),"")</f>
        <v>Flashbulb</v>
      </c>
      <c r="N1736" s="23" t="str">
        <f>IFERROR(VLOOKUP(A1736, Entries!A:K,11,false),"")</f>
        <v/>
      </c>
      <c r="O1736" s="23" t="b">
        <f>IFERROR(VLOOKUP(A1736, Entries!A:I,8,false),"")</f>
        <v>0</v>
      </c>
    </row>
    <row r="1737">
      <c r="A1737" s="78" t="s">
        <v>1464</v>
      </c>
      <c r="B1737" s="78" t="s">
        <v>19</v>
      </c>
      <c r="C1737" s="85">
        <v>44647.0</v>
      </c>
      <c r="D1737" s="85">
        <v>44649.0</v>
      </c>
      <c r="E1737" s="86">
        <v>0.89</v>
      </c>
      <c r="F1737" s="87">
        <v>1.19</v>
      </c>
      <c r="G1737" s="88">
        <f t="shared" si="1"/>
        <v>0.3</v>
      </c>
      <c r="H1737" s="89">
        <f t="shared" si="10"/>
        <v>0.2521008403</v>
      </c>
      <c r="I1737" s="78" t="s">
        <v>2264</v>
      </c>
      <c r="J1737" s="78" t="s">
        <v>69</v>
      </c>
      <c r="K1737" s="58">
        <f t="shared" si="3"/>
        <v>2</v>
      </c>
      <c r="L1737" s="91" t="str">
        <f t="shared" si="8"/>
        <v>Tue</v>
      </c>
      <c r="M1737" s="78" t="str">
        <f>IFERROR(VLOOKUP(A1737, Entries!A:B,2,false),"")</f>
        <v>Oddworld Inhabitants</v>
      </c>
      <c r="N1737" s="23" t="str">
        <f>IFERROR(VLOOKUP(A1737, Entries!A:K,11,false),"")</f>
        <v/>
      </c>
      <c r="O1737" s="23" t="b">
        <f>IFERROR(VLOOKUP(A1737, Entries!A:I,8,false),"")</f>
        <v>0</v>
      </c>
    </row>
    <row r="1738">
      <c r="A1738" s="78" t="s">
        <v>1913</v>
      </c>
      <c r="B1738" s="78" t="s">
        <v>18</v>
      </c>
      <c r="C1738" s="85">
        <v>44647.0</v>
      </c>
      <c r="D1738" s="85">
        <v>44655.0</v>
      </c>
      <c r="E1738" s="86">
        <v>6.6</v>
      </c>
      <c r="F1738" s="87">
        <v>6.96</v>
      </c>
      <c r="G1738" s="88">
        <f t="shared" si="1"/>
        <v>0.36</v>
      </c>
      <c r="H1738" s="89">
        <f t="shared" si="10"/>
        <v>0.05172413793</v>
      </c>
      <c r="I1738" s="78" t="s">
        <v>2265</v>
      </c>
      <c r="J1738" s="78" t="s">
        <v>69</v>
      </c>
      <c r="K1738" s="58">
        <f t="shared" si="3"/>
        <v>8</v>
      </c>
      <c r="L1738" s="91" t="str">
        <f t="shared" si="8"/>
        <v>Mon</v>
      </c>
      <c r="M1738" s="78" t="str">
        <f>IFERROR(VLOOKUP(A1738, Entries!A:B,2,false),"")</f>
        <v>XREAL Games</v>
      </c>
      <c r="N1738" s="23" t="str">
        <f>IFERROR(VLOOKUP(A1738, Entries!A:K,11,false),"")</f>
        <v/>
      </c>
      <c r="O1738" s="23" t="b">
        <f>IFERROR(VLOOKUP(A1738, Entries!A:I,8,false),"")</f>
        <v>1</v>
      </c>
    </row>
    <row r="1739">
      <c r="A1739" s="78" t="s">
        <v>1913</v>
      </c>
      <c r="B1739" s="78" t="s">
        <v>18</v>
      </c>
      <c r="C1739" s="85">
        <v>44647.0</v>
      </c>
      <c r="D1739" s="85">
        <v>44655.0</v>
      </c>
      <c r="E1739" s="86">
        <v>6.6</v>
      </c>
      <c r="F1739" s="87">
        <v>6.96</v>
      </c>
      <c r="G1739" s="88">
        <f t="shared" si="1"/>
        <v>0.36</v>
      </c>
      <c r="H1739" s="89">
        <f t="shared" si="10"/>
        <v>0.05172413793</v>
      </c>
      <c r="I1739" s="78" t="s">
        <v>2266</v>
      </c>
      <c r="J1739" s="78" t="s">
        <v>69</v>
      </c>
      <c r="K1739" s="58">
        <f t="shared" si="3"/>
        <v>8</v>
      </c>
      <c r="L1739" s="91" t="str">
        <f t="shared" si="8"/>
        <v>Mon</v>
      </c>
      <c r="M1739" s="78" t="str">
        <f>IFERROR(VLOOKUP(A1739, Entries!A:B,2,false),"")</f>
        <v>XREAL Games</v>
      </c>
      <c r="N1739" s="23" t="str">
        <f>IFERROR(VLOOKUP(A1739, Entries!A:K,11,false),"")</f>
        <v/>
      </c>
      <c r="O1739" s="23" t="b">
        <f>IFERROR(VLOOKUP(A1739, Entries!A:I,8,false),"")</f>
        <v>1</v>
      </c>
    </row>
    <row r="1740">
      <c r="A1740" s="78" t="s">
        <v>1913</v>
      </c>
      <c r="B1740" s="78" t="s">
        <v>18</v>
      </c>
      <c r="C1740" s="85">
        <v>44647.0</v>
      </c>
      <c r="D1740" s="85">
        <v>44655.0</v>
      </c>
      <c r="E1740" s="86">
        <v>6.6</v>
      </c>
      <c r="F1740" s="87">
        <v>6.96</v>
      </c>
      <c r="G1740" s="88">
        <f t="shared" si="1"/>
        <v>0.36</v>
      </c>
      <c r="H1740" s="89">
        <f t="shared" si="10"/>
        <v>0.05172413793</v>
      </c>
      <c r="I1740" s="78" t="s">
        <v>2267</v>
      </c>
      <c r="J1740" s="78" t="s">
        <v>69</v>
      </c>
      <c r="K1740" s="58">
        <f t="shared" si="3"/>
        <v>8</v>
      </c>
      <c r="L1740" s="91" t="str">
        <f t="shared" si="8"/>
        <v>Mon</v>
      </c>
      <c r="M1740" s="78" t="str">
        <f>IFERROR(VLOOKUP(A1740, Entries!A:B,2,false),"")</f>
        <v>XREAL Games</v>
      </c>
      <c r="N1740" s="23" t="str">
        <f>IFERROR(VLOOKUP(A1740, Entries!A:K,11,false),"")</f>
        <v/>
      </c>
      <c r="O1740" s="23" t="b">
        <f>IFERROR(VLOOKUP(A1740, Entries!A:I,8,false),"")</f>
        <v>1</v>
      </c>
    </row>
    <row r="1741">
      <c r="A1741" s="78" t="s">
        <v>1913</v>
      </c>
      <c r="B1741" s="78" t="s">
        <v>18</v>
      </c>
      <c r="C1741" s="85">
        <v>44647.0</v>
      </c>
      <c r="D1741" s="85">
        <v>44655.0</v>
      </c>
      <c r="E1741" s="86">
        <v>6.59</v>
      </c>
      <c r="F1741" s="87">
        <v>6.96</v>
      </c>
      <c r="G1741" s="88">
        <f t="shared" si="1"/>
        <v>0.37</v>
      </c>
      <c r="H1741" s="89">
        <f t="shared" si="10"/>
        <v>0.05316091954</v>
      </c>
      <c r="I1741" s="78" t="s">
        <v>2268</v>
      </c>
      <c r="J1741" s="78" t="s">
        <v>69</v>
      </c>
      <c r="K1741" s="58">
        <f t="shared" si="3"/>
        <v>8</v>
      </c>
      <c r="L1741" s="91" t="str">
        <f t="shared" si="8"/>
        <v>Mon</v>
      </c>
      <c r="M1741" s="78" t="str">
        <f>IFERROR(VLOOKUP(A1741, Entries!A:B,2,false),"")</f>
        <v>XREAL Games</v>
      </c>
      <c r="N1741" s="23" t="str">
        <f>IFERROR(VLOOKUP(A1741, Entries!A:K,11,false),"")</f>
        <v/>
      </c>
      <c r="O1741" s="23" t="b">
        <f>IFERROR(VLOOKUP(A1741, Entries!A:I,8,false),"")</f>
        <v>1</v>
      </c>
    </row>
    <row r="1742">
      <c r="A1742" s="78" t="s">
        <v>2252</v>
      </c>
      <c r="B1742" s="78" t="s">
        <v>19</v>
      </c>
      <c r="C1742" s="85">
        <v>44647.0</v>
      </c>
      <c r="D1742" s="85">
        <v>44654.0</v>
      </c>
      <c r="E1742" s="86">
        <v>9.46</v>
      </c>
      <c r="F1742" s="87">
        <v>10.3</v>
      </c>
      <c r="G1742" s="88">
        <f t="shared" si="1"/>
        <v>0.84</v>
      </c>
      <c r="H1742" s="89">
        <f t="shared" si="10"/>
        <v>0.08155339806</v>
      </c>
      <c r="I1742" s="78" t="s">
        <v>2269</v>
      </c>
      <c r="J1742" s="78" t="s">
        <v>69</v>
      </c>
      <c r="K1742" s="58">
        <f t="shared" si="3"/>
        <v>7</v>
      </c>
      <c r="L1742" s="91" t="str">
        <f t="shared" si="8"/>
        <v>Sun</v>
      </c>
      <c r="M1742" s="78" t="str">
        <f>IFERROR(VLOOKUP(A1742, Entries!A:B,2,false),"")</f>
        <v>Flashbulb</v>
      </c>
      <c r="N1742" s="23" t="str">
        <f>IFERROR(VLOOKUP(A1742, Entries!A:K,11,false),"")</f>
        <v/>
      </c>
      <c r="O1742" s="23" t="b">
        <f>IFERROR(VLOOKUP(A1742, Entries!A:I,8,false),"")</f>
        <v>0</v>
      </c>
    </row>
    <row r="1743">
      <c r="A1743" s="78" t="s">
        <v>805</v>
      </c>
      <c r="B1743" s="78" t="s">
        <v>32</v>
      </c>
      <c r="C1743" s="85">
        <v>44648.0</v>
      </c>
      <c r="D1743" s="85">
        <v>44649.0</v>
      </c>
      <c r="E1743" s="86">
        <v>3.0</v>
      </c>
      <c r="F1743" s="87">
        <v>3.99</v>
      </c>
      <c r="G1743" s="88">
        <f t="shared" si="1"/>
        <v>0.99</v>
      </c>
      <c r="H1743" s="89">
        <f t="shared" si="10"/>
        <v>0.2481203008</v>
      </c>
      <c r="I1743" s="78" t="s">
        <v>2270</v>
      </c>
      <c r="J1743" s="78" t="s">
        <v>69</v>
      </c>
      <c r="K1743" s="58">
        <f t="shared" si="3"/>
        <v>1</v>
      </c>
      <c r="L1743" s="91" t="str">
        <f t="shared" si="8"/>
        <v>Tue</v>
      </c>
      <c r="M1743" s="78" t="str">
        <f>IFERROR(VLOOKUP(A1743, Entries!A:B,2,false),"")</f>
        <v>Paradox Interactive</v>
      </c>
      <c r="N1743" s="23" t="str">
        <f>IFERROR(VLOOKUP(A1743, Entries!A:K,11,false),"")</f>
        <v/>
      </c>
      <c r="O1743" s="23" t="b">
        <f>IFERROR(VLOOKUP(A1743, Entries!A:I,8,false),"")</f>
        <v>1</v>
      </c>
    </row>
    <row r="1744">
      <c r="A1744" s="78" t="s">
        <v>805</v>
      </c>
      <c r="B1744" s="78" t="s">
        <v>32</v>
      </c>
      <c r="C1744" s="85">
        <v>44648.0</v>
      </c>
      <c r="D1744" s="85">
        <v>44649.0</v>
      </c>
      <c r="E1744" s="86">
        <v>3.01</v>
      </c>
      <c r="F1744" s="87">
        <v>3.99</v>
      </c>
      <c r="G1744" s="88">
        <f t="shared" si="1"/>
        <v>0.98</v>
      </c>
      <c r="H1744" s="89">
        <f t="shared" si="10"/>
        <v>0.2456140351</v>
      </c>
      <c r="I1744" s="78" t="s">
        <v>2271</v>
      </c>
      <c r="J1744" s="78" t="s">
        <v>69</v>
      </c>
      <c r="K1744" s="58">
        <f t="shared" si="3"/>
        <v>1</v>
      </c>
      <c r="L1744" s="91" t="str">
        <f t="shared" si="8"/>
        <v>Tue</v>
      </c>
      <c r="M1744" s="78" t="str">
        <f>IFERROR(VLOOKUP(A1744, Entries!A:B,2,false),"")</f>
        <v>Paradox Interactive</v>
      </c>
      <c r="N1744" s="23" t="str">
        <f>IFERROR(VLOOKUP(A1744, Entries!A:K,11,false),"")</f>
        <v/>
      </c>
      <c r="O1744" s="23" t="b">
        <f>IFERROR(VLOOKUP(A1744, Entries!A:I,8,false),"")</f>
        <v>1</v>
      </c>
    </row>
    <row r="1745">
      <c r="A1745" s="78" t="s">
        <v>805</v>
      </c>
      <c r="B1745" s="78" t="s">
        <v>32</v>
      </c>
      <c r="C1745" s="85">
        <v>44648.0</v>
      </c>
      <c r="D1745" s="85">
        <v>44650.0</v>
      </c>
      <c r="E1745" s="86">
        <v>3.01</v>
      </c>
      <c r="F1745" s="87">
        <v>3.99</v>
      </c>
      <c r="G1745" s="88">
        <f t="shared" si="1"/>
        <v>0.98</v>
      </c>
      <c r="H1745" s="89">
        <f t="shared" si="10"/>
        <v>0.2456140351</v>
      </c>
      <c r="I1745" s="78" t="s">
        <v>2272</v>
      </c>
      <c r="J1745" s="78" t="s">
        <v>69</v>
      </c>
      <c r="K1745" s="58">
        <f t="shared" si="3"/>
        <v>2</v>
      </c>
      <c r="L1745" s="91" t="str">
        <f t="shared" si="8"/>
        <v>Wed</v>
      </c>
      <c r="M1745" s="78" t="str">
        <f>IFERROR(VLOOKUP(A1745, Entries!A:B,2,false),"")</f>
        <v>Paradox Interactive</v>
      </c>
      <c r="N1745" s="23" t="str">
        <f>IFERROR(VLOOKUP(A1745, Entries!A:K,11,false),"")</f>
        <v/>
      </c>
      <c r="O1745" s="23" t="b">
        <f>IFERROR(VLOOKUP(A1745, Entries!A:I,8,false),"")</f>
        <v>1</v>
      </c>
    </row>
    <row r="1746">
      <c r="A1746" s="78" t="s">
        <v>1464</v>
      </c>
      <c r="B1746" s="78" t="s">
        <v>19</v>
      </c>
      <c r="C1746" s="85">
        <v>44649.0</v>
      </c>
      <c r="D1746" s="85">
        <v>44649.0</v>
      </c>
      <c r="E1746" s="86">
        <v>0.95</v>
      </c>
      <c r="F1746" s="87">
        <v>1.19</v>
      </c>
      <c r="G1746" s="88">
        <f t="shared" si="1"/>
        <v>0.24</v>
      </c>
      <c r="H1746" s="89">
        <f t="shared" si="10"/>
        <v>0.2016806723</v>
      </c>
      <c r="I1746" s="78" t="s">
        <v>2273</v>
      </c>
      <c r="J1746" s="78" t="s">
        <v>69</v>
      </c>
      <c r="K1746" s="58">
        <f t="shared" si="3"/>
        <v>0</v>
      </c>
      <c r="L1746" s="91" t="str">
        <f t="shared" si="8"/>
        <v>Tue</v>
      </c>
      <c r="M1746" s="78" t="str">
        <f>IFERROR(VLOOKUP(A1746, Entries!A:B,2,false),"")</f>
        <v>Oddworld Inhabitants</v>
      </c>
      <c r="N1746" s="23" t="str">
        <f>IFERROR(VLOOKUP(A1746, Entries!A:K,11,false),"")</f>
        <v/>
      </c>
      <c r="O1746" s="23" t="b">
        <f>IFERROR(VLOOKUP(A1746, Entries!A:I,8,false),"")</f>
        <v>0</v>
      </c>
    </row>
    <row r="1747">
      <c r="A1747" s="78" t="s">
        <v>2127</v>
      </c>
      <c r="B1747" s="78" t="s">
        <v>27</v>
      </c>
      <c r="C1747" s="85">
        <v>44649.0</v>
      </c>
      <c r="D1747" s="85">
        <v>44649.0</v>
      </c>
      <c r="E1747" s="86">
        <v>20.69</v>
      </c>
      <c r="F1747" s="87">
        <v>23.13</v>
      </c>
      <c r="G1747" s="88">
        <f t="shared" si="1"/>
        <v>2.44</v>
      </c>
      <c r="H1747" s="89">
        <f t="shared" si="10"/>
        <v>0.1054907047</v>
      </c>
      <c r="I1747" s="78" t="s">
        <v>2274</v>
      </c>
      <c r="J1747" s="78" t="s">
        <v>69</v>
      </c>
      <c r="K1747" s="58">
        <f t="shared" si="3"/>
        <v>0</v>
      </c>
      <c r="L1747" s="91" t="str">
        <f t="shared" si="8"/>
        <v>Tue</v>
      </c>
      <c r="M1747" s="78" t="str">
        <f>IFERROR(VLOOKUP(A1747, Entries!A:B,2,false),"")</f>
        <v>Bungie</v>
      </c>
      <c r="N1747" s="23" t="str">
        <f>IFERROR(VLOOKUP(A1747, Entries!A:K,11,false),"")</f>
        <v/>
      </c>
      <c r="O1747" s="23" t="b">
        <f>IFERROR(VLOOKUP(A1747, Entries!A:I,8,false),"")</f>
        <v>1</v>
      </c>
    </row>
    <row r="1748">
      <c r="A1748" s="78" t="s">
        <v>2127</v>
      </c>
      <c r="B1748" s="78" t="s">
        <v>27</v>
      </c>
      <c r="C1748" s="85">
        <v>44649.0</v>
      </c>
      <c r="D1748" s="85">
        <v>44649.0</v>
      </c>
      <c r="E1748" s="86">
        <v>20.69</v>
      </c>
      <c r="F1748" s="87">
        <v>23.15</v>
      </c>
      <c r="G1748" s="88">
        <f t="shared" si="1"/>
        <v>2.46</v>
      </c>
      <c r="H1748" s="89">
        <f t="shared" si="10"/>
        <v>0.1062634989</v>
      </c>
      <c r="I1748" s="78" t="s">
        <v>2275</v>
      </c>
      <c r="J1748" s="78" t="s">
        <v>69</v>
      </c>
      <c r="K1748" s="58">
        <f t="shared" si="3"/>
        <v>0</v>
      </c>
      <c r="L1748" s="91" t="str">
        <f t="shared" si="8"/>
        <v>Tue</v>
      </c>
      <c r="M1748" s="78" t="str">
        <f>IFERROR(VLOOKUP(A1748, Entries!A:B,2,false),"")</f>
        <v>Bungie</v>
      </c>
      <c r="N1748" s="23" t="str">
        <f>IFERROR(VLOOKUP(A1748, Entries!A:K,11,false),"")</f>
        <v/>
      </c>
      <c r="O1748" s="23" t="b">
        <f>IFERROR(VLOOKUP(A1748, Entries!A:I,8,false),"")</f>
        <v>1</v>
      </c>
    </row>
    <row r="1749">
      <c r="A1749" s="78" t="s">
        <v>2127</v>
      </c>
      <c r="B1749" s="78" t="s">
        <v>27</v>
      </c>
      <c r="C1749" s="85">
        <v>44649.0</v>
      </c>
      <c r="D1749" s="85">
        <v>44650.0</v>
      </c>
      <c r="E1749" s="86">
        <v>20.69</v>
      </c>
      <c r="F1749" s="87">
        <v>23.09</v>
      </c>
      <c r="G1749" s="88">
        <f t="shared" si="1"/>
        <v>2.4</v>
      </c>
      <c r="H1749" s="89">
        <f t="shared" si="10"/>
        <v>0.1039411</v>
      </c>
      <c r="I1749" s="78" t="s">
        <v>2276</v>
      </c>
      <c r="J1749" s="78" t="s">
        <v>69</v>
      </c>
      <c r="K1749" s="58">
        <f t="shared" si="3"/>
        <v>1</v>
      </c>
      <c r="L1749" s="91" t="str">
        <f t="shared" si="8"/>
        <v>Wed</v>
      </c>
      <c r="M1749" s="78" t="str">
        <f>IFERROR(VLOOKUP(A1749, Entries!A:B,2,false),"")</f>
        <v>Bungie</v>
      </c>
      <c r="N1749" s="23" t="str">
        <f>IFERROR(VLOOKUP(A1749, Entries!A:K,11,false),"")</f>
        <v/>
      </c>
      <c r="O1749" s="23" t="b">
        <f>IFERROR(VLOOKUP(A1749, Entries!A:I,8,false),"")</f>
        <v>1</v>
      </c>
    </row>
    <row r="1750">
      <c r="A1750" s="78" t="s">
        <v>1486</v>
      </c>
      <c r="B1750" s="78" t="s">
        <v>19</v>
      </c>
      <c r="C1750" s="85">
        <v>44649.0</v>
      </c>
      <c r="D1750" s="85">
        <v>44653.0</v>
      </c>
      <c r="E1750" s="86">
        <v>3.62</v>
      </c>
      <c r="F1750" s="87">
        <v>4.51</v>
      </c>
      <c r="G1750" s="88">
        <f t="shared" si="1"/>
        <v>0.89</v>
      </c>
      <c r="H1750" s="89">
        <f t="shared" si="10"/>
        <v>0.1973392461</v>
      </c>
      <c r="I1750" s="78" t="s">
        <v>2277</v>
      </c>
      <c r="J1750" s="78" t="s">
        <v>69</v>
      </c>
      <c r="K1750" s="58">
        <f t="shared" si="3"/>
        <v>4</v>
      </c>
      <c r="L1750" s="91" t="str">
        <f t="shared" si="8"/>
        <v>Sat</v>
      </c>
      <c r="M1750" s="78" t="str">
        <f>IFERROR(VLOOKUP(A1750, Entries!A:B,2,false),"")</f>
        <v>Beamdog</v>
      </c>
      <c r="N1750" s="23" t="str">
        <f>IFERROR(VLOOKUP(A1750, Entries!A:K,11,false),"")</f>
        <v/>
      </c>
      <c r="O1750" s="23" t="b">
        <f>IFERROR(VLOOKUP(A1750, Entries!A:I,8,false),"")</f>
        <v>0</v>
      </c>
    </row>
    <row r="1751">
      <c r="A1751" s="78" t="s">
        <v>1464</v>
      </c>
      <c r="B1751" s="78" t="s">
        <v>19</v>
      </c>
      <c r="C1751" s="85">
        <v>44649.0</v>
      </c>
      <c r="D1751" s="85">
        <v>44651.0</v>
      </c>
      <c r="E1751" s="86">
        <v>0.89</v>
      </c>
      <c r="F1751" s="87">
        <v>1.2</v>
      </c>
      <c r="G1751" s="88">
        <f t="shared" si="1"/>
        <v>0.31</v>
      </c>
      <c r="H1751" s="89">
        <f t="shared" si="10"/>
        <v>0.2583333333</v>
      </c>
      <c r="I1751" s="78" t="s">
        <v>2278</v>
      </c>
      <c r="J1751" s="78" t="s">
        <v>69</v>
      </c>
      <c r="K1751" s="58">
        <f t="shared" si="3"/>
        <v>2</v>
      </c>
      <c r="L1751" s="91" t="str">
        <f t="shared" si="8"/>
        <v>Thu</v>
      </c>
      <c r="M1751" s="78" t="str">
        <f>IFERROR(VLOOKUP(A1751, Entries!A:B,2,false),"")</f>
        <v>Oddworld Inhabitants</v>
      </c>
      <c r="N1751" s="23" t="str">
        <f>IFERROR(VLOOKUP(A1751, Entries!A:K,11,false),"")</f>
        <v/>
      </c>
      <c r="O1751" s="23" t="b">
        <f>IFERROR(VLOOKUP(A1751, Entries!A:I,8,false),"")</f>
        <v>0</v>
      </c>
    </row>
    <row r="1752">
      <c r="A1752" s="78" t="s">
        <v>553</v>
      </c>
      <c r="B1752" s="78" t="s">
        <v>19</v>
      </c>
      <c r="C1752" s="85">
        <v>44649.0</v>
      </c>
      <c r="D1752" s="85">
        <v>44651.0</v>
      </c>
      <c r="E1752" s="86">
        <v>9.03</v>
      </c>
      <c r="F1752" s="87">
        <v>10.79</v>
      </c>
      <c r="G1752" s="88">
        <f t="shared" si="1"/>
        <v>1.76</v>
      </c>
      <c r="H1752" s="89">
        <f t="shared" si="10"/>
        <v>0.1631139944</v>
      </c>
      <c r="I1752" s="78" t="s">
        <v>2279</v>
      </c>
      <c r="J1752" s="78" t="s">
        <v>69</v>
      </c>
      <c r="K1752" s="58">
        <f t="shared" si="3"/>
        <v>2</v>
      </c>
      <c r="L1752" s="91" t="str">
        <f t="shared" si="8"/>
        <v>Thu</v>
      </c>
      <c r="M1752" s="78" t="str">
        <f>IFERROR(VLOOKUP(A1752, Entries!A:B,2,false),"")</f>
        <v>Beamdog</v>
      </c>
      <c r="N1752" s="23" t="str">
        <f>IFERROR(VLOOKUP(A1752, Entries!A:K,11,false),"")</f>
        <v/>
      </c>
      <c r="O1752" s="23" t="b">
        <f>IFERROR(VLOOKUP(A1752, Entries!A:I,8,false),"")</f>
        <v>0</v>
      </c>
    </row>
    <row r="1753">
      <c r="A1753" s="78" t="s">
        <v>2280</v>
      </c>
      <c r="B1753" s="78" t="s">
        <v>22</v>
      </c>
      <c r="C1753" s="85">
        <v>44650.0</v>
      </c>
      <c r="D1753" s="85">
        <v>44667.0</v>
      </c>
      <c r="E1753" s="86">
        <v>15.96</v>
      </c>
      <c r="F1753" s="87">
        <v>18.85</v>
      </c>
      <c r="G1753" s="88">
        <f t="shared" si="1"/>
        <v>2.89</v>
      </c>
      <c r="H1753" s="89">
        <f t="shared" si="10"/>
        <v>0.1533156499</v>
      </c>
      <c r="I1753" s="78" t="s">
        <v>2281</v>
      </c>
      <c r="J1753" s="78" t="s">
        <v>69</v>
      </c>
      <c r="K1753" s="58">
        <f t="shared" si="3"/>
        <v>17</v>
      </c>
      <c r="L1753" s="91" t="str">
        <f t="shared" si="8"/>
        <v>Sat</v>
      </c>
      <c r="M1753" s="78" t="str">
        <f>IFERROR(VLOOKUP(A1753, Entries!A:B,2,false),"")</f>
        <v>Square Enix</v>
      </c>
      <c r="N1753" s="23" t="str">
        <f>IFERROR(VLOOKUP(A1753, Entries!A:K,11,false),"")</f>
        <v/>
      </c>
      <c r="O1753" s="23" t="b">
        <f>IFERROR(VLOOKUP(A1753, Entries!A:I,8,false),"")</f>
        <v>0</v>
      </c>
    </row>
    <row r="1754">
      <c r="A1754" s="78" t="s">
        <v>2282</v>
      </c>
      <c r="B1754" s="78" t="s">
        <v>22</v>
      </c>
      <c r="C1754" s="85">
        <v>44650.0</v>
      </c>
      <c r="D1754" s="85">
        <v>45202.0</v>
      </c>
      <c r="E1754" s="86">
        <v>11.38</v>
      </c>
      <c r="F1754" s="87">
        <v>12.91</v>
      </c>
      <c r="G1754" s="88">
        <f t="shared" si="1"/>
        <v>1.53</v>
      </c>
      <c r="H1754" s="89">
        <f t="shared" si="10"/>
        <v>0.1185127808</v>
      </c>
      <c r="I1754" s="78" t="s">
        <v>2283</v>
      </c>
      <c r="J1754" s="78" t="s">
        <v>69</v>
      </c>
      <c r="K1754" s="58">
        <f t="shared" si="3"/>
        <v>552</v>
      </c>
      <c r="L1754" s="91" t="str">
        <f t="shared" si="8"/>
        <v>Tue</v>
      </c>
      <c r="M1754" s="78" t="str">
        <f>IFERROR(VLOOKUP(A1754, Entries!A:B,2,false),"")</f>
        <v>RyseUp Studios</v>
      </c>
      <c r="N1754" s="23" t="str">
        <f>IFERROR(VLOOKUP(A1754, Entries!A:K,11,false),"")</f>
        <v/>
      </c>
      <c r="O1754" s="23" t="b">
        <f>IFERROR(VLOOKUP(A1754, Entries!A:I,8,false),"")</f>
        <v>0</v>
      </c>
    </row>
    <row r="1755">
      <c r="A1755" s="78" t="s">
        <v>1464</v>
      </c>
      <c r="B1755" s="78" t="s">
        <v>19</v>
      </c>
      <c r="C1755" s="85">
        <v>44651.0</v>
      </c>
      <c r="D1755" s="85">
        <v>44651.0</v>
      </c>
      <c r="E1755" s="86">
        <v>0.89</v>
      </c>
      <c r="F1755" s="87">
        <v>1.2</v>
      </c>
      <c r="G1755" s="88">
        <f t="shared" si="1"/>
        <v>0.31</v>
      </c>
      <c r="H1755" s="89">
        <f t="shared" si="10"/>
        <v>0.2583333333</v>
      </c>
      <c r="I1755" s="78" t="s">
        <v>2284</v>
      </c>
      <c r="J1755" s="78" t="s">
        <v>69</v>
      </c>
      <c r="K1755" s="58">
        <f t="shared" si="3"/>
        <v>0</v>
      </c>
      <c r="L1755" s="91" t="str">
        <f t="shared" si="8"/>
        <v>Thu</v>
      </c>
      <c r="M1755" s="78" t="str">
        <f>IFERROR(VLOOKUP(A1755, Entries!A:B,2,false),"")</f>
        <v>Oddworld Inhabitants</v>
      </c>
      <c r="N1755" s="23" t="str">
        <f>IFERROR(VLOOKUP(A1755, Entries!A:K,11,false),"")</f>
        <v/>
      </c>
      <c r="O1755" s="23" t="b">
        <f>IFERROR(VLOOKUP(A1755, Entries!A:I,8,false),"")</f>
        <v>0</v>
      </c>
    </row>
    <row r="1756">
      <c r="A1756" s="78" t="s">
        <v>375</v>
      </c>
      <c r="B1756" s="78" t="s">
        <v>19</v>
      </c>
      <c r="C1756" s="85">
        <v>44651.0</v>
      </c>
      <c r="D1756" s="85">
        <v>44652.0</v>
      </c>
      <c r="E1756" s="86">
        <v>4.22</v>
      </c>
      <c r="F1756" s="87">
        <v>7.95</v>
      </c>
      <c r="G1756" s="88">
        <f t="shared" si="1"/>
        <v>3.73</v>
      </c>
      <c r="H1756" s="89">
        <f t="shared" si="10"/>
        <v>0.4691823899</v>
      </c>
      <c r="I1756" s="78" t="s">
        <v>2285</v>
      </c>
      <c r="J1756" s="78" t="s">
        <v>69</v>
      </c>
      <c r="K1756" s="58">
        <f t="shared" si="3"/>
        <v>1</v>
      </c>
      <c r="L1756" s="91" t="str">
        <f t="shared" si="8"/>
        <v>Fri</v>
      </c>
      <c r="M1756" s="78" t="str">
        <f>IFERROR(VLOOKUP(A1756, Entries!A:B,2,false),"")</f>
        <v>Survios</v>
      </c>
      <c r="N1756" s="23" t="str">
        <f>IFERROR(VLOOKUP(A1756, Entries!A:K,11,false),"")</f>
        <v/>
      </c>
      <c r="O1756" s="23" t="b">
        <f>IFERROR(VLOOKUP(A1756, Entries!A:I,8,false),"")</f>
        <v>1</v>
      </c>
    </row>
    <row r="1757">
      <c r="A1757" s="78" t="s">
        <v>1464</v>
      </c>
      <c r="B1757" s="78" t="s">
        <v>19</v>
      </c>
      <c r="C1757" s="85">
        <v>44651.0</v>
      </c>
      <c r="D1757" s="85">
        <v>44659.0</v>
      </c>
      <c r="E1757" s="86">
        <v>0.89</v>
      </c>
      <c r="F1757" s="87">
        <v>1.06</v>
      </c>
      <c r="G1757" s="88">
        <f t="shared" si="1"/>
        <v>0.17</v>
      </c>
      <c r="H1757" s="89">
        <f t="shared" si="10"/>
        <v>0.1603773585</v>
      </c>
      <c r="I1757" s="78" t="s">
        <v>2286</v>
      </c>
      <c r="J1757" s="78" t="s">
        <v>69</v>
      </c>
      <c r="K1757" s="58">
        <f t="shared" si="3"/>
        <v>8</v>
      </c>
      <c r="L1757" s="91" t="str">
        <f t="shared" si="8"/>
        <v>Fri</v>
      </c>
      <c r="M1757" s="78" t="str">
        <f>IFERROR(VLOOKUP(A1757, Entries!A:B,2,false),"")</f>
        <v>Oddworld Inhabitants</v>
      </c>
      <c r="N1757" s="23" t="str">
        <f>IFERROR(VLOOKUP(A1757, Entries!A:K,11,false),"")</f>
        <v/>
      </c>
      <c r="O1757" s="23" t="b">
        <f>IFERROR(VLOOKUP(A1757, Entries!A:I,8,false),"")</f>
        <v>0</v>
      </c>
    </row>
    <row r="1758">
      <c r="A1758" s="78" t="s">
        <v>1217</v>
      </c>
      <c r="B1758" s="78" t="s">
        <v>19</v>
      </c>
      <c r="C1758" s="85">
        <v>44651.0</v>
      </c>
      <c r="D1758" s="85">
        <v>44656.0</v>
      </c>
      <c r="E1758" s="86">
        <v>3.74</v>
      </c>
      <c r="F1758" s="87">
        <v>3.97</v>
      </c>
      <c r="G1758" s="88">
        <f t="shared" si="1"/>
        <v>0.23</v>
      </c>
      <c r="H1758" s="89">
        <f t="shared" si="10"/>
        <v>0.05793450882</v>
      </c>
      <c r="I1758" s="78" t="s">
        <v>2287</v>
      </c>
      <c r="J1758" s="78" t="s">
        <v>69</v>
      </c>
      <c r="K1758" s="58">
        <f t="shared" si="3"/>
        <v>5</v>
      </c>
      <c r="L1758" s="91" t="str">
        <f t="shared" si="8"/>
        <v>Tue</v>
      </c>
      <c r="M1758" s="78" t="str">
        <f>IFERROR(VLOOKUP(A1758, Entries!A:B,2,false),"")</f>
        <v>Square Enix</v>
      </c>
      <c r="N1758" s="23" t="str">
        <f>IFERROR(VLOOKUP(A1758, Entries!A:K,11,false),"")</f>
        <v/>
      </c>
      <c r="O1758" s="23" t="b">
        <f>IFERROR(VLOOKUP(A1758, Entries!A:I,8,false),"")</f>
        <v>0</v>
      </c>
    </row>
    <row r="1759">
      <c r="A1759" s="78" t="s">
        <v>553</v>
      </c>
      <c r="B1759" s="78" t="s">
        <v>19</v>
      </c>
      <c r="C1759" s="85">
        <v>44651.0</v>
      </c>
      <c r="D1759" s="85">
        <v>44654.0</v>
      </c>
      <c r="E1759" s="86">
        <v>8.92</v>
      </c>
      <c r="F1759" s="87">
        <v>10.79</v>
      </c>
      <c r="G1759" s="88">
        <f t="shared" si="1"/>
        <v>1.87</v>
      </c>
      <c r="H1759" s="89">
        <f t="shared" si="10"/>
        <v>0.1733086191</v>
      </c>
      <c r="I1759" s="78" t="s">
        <v>2288</v>
      </c>
      <c r="J1759" s="78" t="s">
        <v>69</v>
      </c>
      <c r="K1759" s="58">
        <f t="shared" si="3"/>
        <v>3</v>
      </c>
      <c r="L1759" s="91" t="str">
        <f t="shared" si="8"/>
        <v>Sun</v>
      </c>
      <c r="M1759" s="78" t="str">
        <f>IFERROR(VLOOKUP(A1759, Entries!A:B,2,false),"")</f>
        <v>Beamdog</v>
      </c>
      <c r="N1759" s="23" t="str">
        <f>IFERROR(VLOOKUP(A1759, Entries!A:K,11,false),"")</f>
        <v/>
      </c>
      <c r="O1759" s="23" t="b">
        <f>IFERROR(VLOOKUP(A1759, Entries!A:I,8,false),"")</f>
        <v>0</v>
      </c>
    </row>
    <row r="1760">
      <c r="A1760" s="78" t="s">
        <v>308</v>
      </c>
      <c r="B1760" s="78" t="s">
        <v>25</v>
      </c>
      <c r="C1760" s="85">
        <v>44651.0</v>
      </c>
      <c r="D1760" s="85">
        <v>44689.0</v>
      </c>
      <c r="E1760" s="86">
        <v>3.83</v>
      </c>
      <c r="F1760" s="87">
        <v>3.8</v>
      </c>
      <c r="G1760" s="88">
        <f t="shared" si="1"/>
        <v>-0.03</v>
      </c>
      <c r="H1760" s="89">
        <f t="shared" si="10"/>
        <v>-0.007894736842</v>
      </c>
      <c r="I1760" s="78" t="s">
        <v>2289</v>
      </c>
      <c r="J1760" s="78" t="s">
        <v>69</v>
      </c>
      <c r="K1760" s="58">
        <f t="shared" si="3"/>
        <v>38</v>
      </c>
      <c r="L1760" s="91" t="str">
        <f t="shared" si="8"/>
        <v>Sun</v>
      </c>
      <c r="M1760" s="78" t="str">
        <f>IFERROR(VLOOKUP(A1760, Entries!A:B,2,false),"")</f>
        <v>505 Games</v>
      </c>
      <c r="N1760" s="23" t="str">
        <f>IFERROR(VLOOKUP(A1760, Entries!A:K,11,false),"")</f>
        <v/>
      </c>
      <c r="O1760" s="23" t="b">
        <f>IFERROR(VLOOKUP(A1760, Entries!A:I,8,false),"")</f>
        <v>0</v>
      </c>
    </row>
    <row r="1761">
      <c r="A1761" s="78" t="s">
        <v>2290</v>
      </c>
      <c r="B1761" s="78" t="s">
        <v>27</v>
      </c>
      <c r="C1761" s="85">
        <v>44651.0</v>
      </c>
      <c r="D1761" s="85">
        <v>44703.0</v>
      </c>
      <c r="E1761" s="86">
        <v>20.69</v>
      </c>
      <c r="F1761" s="87">
        <v>22.99</v>
      </c>
      <c r="G1761" s="88">
        <f t="shared" si="1"/>
        <v>2.3</v>
      </c>
      <c r="H1761" s="89">
        <f t="shared" si="10"/>
        <v>0.1000434972</v>
      </c>
      <c r="I1761" s="78" t="s">
        <v>2291</v>
      </c>
      <c r="J1761" s="78" t="s">
        <v>69</v>
      </c>
      <c r="K1761" s="58">
        <f t="shared" si="3"/>
        <v>52</v>
      </c>
      <c r="L1761" s="91" t="str">
        <f t="shared" si="8"/>
        <v>Sun</v>
      </c>
      <c r="M1761" s="78" t="str">
        <f>IFERROR(VLOOKUP(A1761, Entries!A:B,2,false),"")</f>
        <v>Bungie</v>
      </c>
      <c r="N1761" s="23" t="str">
        <f>IFERROR(VLOOKUP(A1761, Entries!A:K,11,false),"")</f>
        <v/>
      </c>
      <c r="O1761" s="23" t="b">
        <f>IFERROR(VLOOKUP(A1761, Entries!A:I,8,false),"")</f>
        <v>0</v>
      </c>
    </row>
    <row r="1762">
      <c r="A1762" s="78" t="s">
        <v>1905</v>
      </c>
      <c r="B1762" s="78" t="s">
        <v>18</v>
      </c>
      <c r="C1762" s="85">
        <v>44652.0</v>
      </c>
      <c r="D1762" s="85">
        <v>44653.0</v>
      </c>
      <c r="E1762" s="86">
        <v>8.98</v>
      </c>
      <c r="F1762" s="87">
        <v>11.82</v>
      </c>
      <c r="G1762" s="88">
        <f t="shared" si="1"/>
        <v>2.84</v>
      </c>
      <c r="H1762" s="89">
        <f t="shared" si="10"/>
        <v>0.2402707276</v>
      </c>
      <c r="I1762" s="78" t="s">
        <v>2292</v>
      </c>
      <c r="J1762" s="78" t="s">
        <v>69</v>
      </c>
      <c r="K1762" s="58">
        <f t="shared" si="3"/>
        <v>1</v>
      </c>
      <c r="L1762" s="91" t="str">
        <f t="shared" si="8"/>
        <v>Sat</v>
      </c>
      <c r="M1762" s="78" t="str">
        <f>IFERROR(VLOOKUP(A1762, Entries!A:B,2,false),"")</f>
        <v>Dovetail Games</v>
      </c>
      <c r="N1762" s="23" t="str">
        <f>IFERROR(VLOOKUP(A1762, Entries!A:K,11,false),"")</f>
        <v/>
      </c>
      <c r="O1762" s="23" t="b">
        <f>IFERROR(VLOOKUP(A1762, Entries!A:I,8,false),"")</f>
        <v>1</v>
      </c>
    </row>
    <row r="1763">
      <c r="A1763" s="78" t="s">
        <v>375</v>
      </c>
      <c r="B1763" s="78" t="s">
        <v>19</v>
      </c>
      <c r="C1763" s="85">
        <v>44652.0</v>
      </c>
      <c r="D1763" s="85">
        <v>44653.0</v>
      </c>
      <c r="E1763" s="86">
        <v>4.23</v>
      </c>
      <c r="F1763" s="87">
        <v>7.62</v>
      </c>
      <c r="G1763" s="88">
        <f t="shared" si="1"/>
        <v>3.39</v>
      </c>
      <c r="H1763" s="89">
        <f t="shared" si="10"/>
        <v>0.4448818898</v>
      </c>
      <c r="I1763" s="78" t="s">
        <v>2293</v>
      </c>
      <c r="J1763" s="78" t="s">
        <v>69</v>
      </c>
      <c r="K1763" s="58">
        <f t="shared" si="3"/>
        <v>1</v>
      </c>
      <c r="L1763" s="91" t="str">
        <f t="shared" si="8"/>
        <v>Sat</v>
      </c>
      <c r="M1763" s="78" t="str">
        <f>IFERROR(VLOOKUP(A1763, Entries!A:B,2,false),"")</f>
        <v>Survios</v>
      </c>
      <c r="N1763" s="23" t="str">
        <f>IFERROR(VLOOKUP(A1763, Entries!A:K,11,false),"")</f>
        <v/>
      </c>
      <c r="O1763" s="23" t="b">
        <f>IFERROR(VLOOKUP(A1763, Entries!A:I,8,false),"")</f>
        <v>1</v>
      </c>
    </row>
    <row r="1764">
      <c r="A1764" s="78" t="s">
        <v>375</v>
      </c>
      <c r="B1764" s="78" t="s">
        <v>19</v>
      </c>
      <c r="C1764" s="85">
        <v>44652.0</v>
      </c>
      <c r="D1764" s="85">
        <v>44654.0</v>
      </c>
      <c r="E1764" s="86">
        <v>4.23</v>
      </c>
      <c r="F1764" s="87">
        <v>7.31</v>
      </c>
      <c r="G1764" s="88">
        <f t="shared" si="1"/>
        <v>3.08</v>
      </c>
      <c r="H1764" s="89">
        <f t="shared" si="10"/>
        <v>0.4213406293</v>
      </c>
      <c r="I1764" s="78" t="s">
        <v>2294</v>
      </c>
      <c r="J1764" s="78" t="s">
        <v>69</v>
      </c>
      <c r="K1764" s="58">
        <f t="shared" si="3"/>
        <v>2</v>
      </c>
      <c r="L1764" s="91" t="str">
        <f t="shared" si="8"/>
        <v>Sun</v>
      </c>
      <c r="M1764" s="78" t="str">
        <f>IFERROR(VLOOKUP(A1764, Entries!A:B,2,false),"")</f>
        <v>Survios</v>
      </c>
      <c r="N1764" s="23" t="str">
        <f>IFERROR(VLOOKUP(A1764, Entries!A:K,11,false),"")</f>
        <v/>
      </c>
      <c r="O1764" s="23" t="b">
        <f>IFERROR(VLOOKUP(A1764, Entries!A:I,8,false),"")</f>
        <v>1</v>
      </c>
    </row>
    <row r="1765">
      <c r="A1765" s="78" t="s">
        <v>2018</v>
      </c>
      <c r="B1765" s="78" t="s">
        <v>27</v>
      </c>
      <c r="C1765" s="85">
        <v>44653.0</v>
      </c>
      <c r="D1765" s="85">
        <v>44658.0</v>
      </c>
      <c r="E1765" s="86">
        <v>9.29</v>
      </c>
      <c r="F1765" s="87">
        <v>9.87</v>
      </c>
      <c r="G1765" s="88">
        <f t="shared" si="1"/>
        <v>0.58</v>
      </c>
      <c r="H1765" s="89">
        <f t="shared" si="10"/>
        <v>0.0587639311</v>
      </c>
      <c r="I1765" s="78" t="s">
        <v>2295</v>
      </c>
      <c r="J1765" s="78" t="s">
        <v>69</v>
      </c>
      <c r="K1765" s="58">
        <f t="shared" si="3"/>
        <v>5</v>
      </c>
      <c r="L1765" s="91" t="str">
        <f t="shared" si="8"/>
        <v>Thu</v>
      </c>
      <c r="M1765" s="78" t="str">
        <f>IFERROR(VLOOKUP(A1765, Entries!A:B,2,false),"")</f>
        <v>Sold Out</v>
      </c>
      <c r="N1765" s="23" t="str">
        <f>IFERROR(VLOOKUP(A1765, Entries!A:K,11,false),"")</f>
        <v/>
      </c>
      <c r="O1765" s="23" t="b">
        <f>IFERROR(VLOOKUP(A1765, Entries!A:I,8,false),"")</f>
        <v>0</v>
      </c>
    </row>
    <row r="1766">
      <c r="A1766" s="78" t="s">
        <v>1905</v>
      </c>
      <c r="B1766" s="78" t="s">
        <v>18</v>
      </c>
      <c r="C1766" s="85">
        <v>44653.0</v>
      </c>
      <c r="D1766" s="85">
        <v>44653.0</v>
      </c>
      <c r="E1766" s="86">
        <v>8.78</v>
      </c>
      <c r="F1766" s="87">
        <v>11.76</v>
      </c>
      <c r="G1766" s="88">
        <f t="shared" si="1"/>
        <v>2.98</v>
      </c>
      <c r="H1766" s="89">
        <f t="shared" si="10"/>
        <v>0.2534013605</v>
      </c>
      <c r="I1766" s="78" t="s">
        <v>2296</v>
      </c>
      <c r="J1766" s="78" t="s">
        <v>69</v>
      </c>
      <c r="K1766" s="58">
        <f t="shared" si="3"/>
        <v>0</v>
      </c>
      <c r="L1766" s="91" t="str">
        <f t="shared" si="8"/>
        <v>Sat</v>
      </c>
      <c r="M1766" s="78" t="str">
        <f>IFERROR(VLOOKUP(A1766, Entries!A:B,2,false),"")</f>
        <v>Dovetail Games</v>
      </c>
      <c r="N1766" s="23" t="str">
        <f>IFERROR(VLOOKUP(A1766, Entries!A:K,11,false),"")</f>
        <v/>
      </c>
      <c r="O1766" s="23" t="b">
        <f>IFERROR(VLOOKUP(A1766, Entries!A:I,8,false),"")</f>
        <v>1</v>
      </c>
    </row>
    <row r="1767">
      <c r="A1767" s="78" t="s">
        <v>1905</v>
      </c>
      <c r="B1767" s="78" t="s">
        <v>18</v>
      </c>
      <c r="C1767" s="85">
        <v>44653.0</v>
      </c>
      <c r="D1767" s="85">
        <v>44654.0</v>
      </c>
      <c r="E1767" s="86">
        <v>8.78</v>
      </c>
      <c r="F1767" s="87">
        <v>11.73</v>
      </c>
      <c r="G1767" s="88">
        <f t="shared" si="1"/>
        <v>2.95</v>
      </c>
      <c r="H1767" s="89">
        <f t="shared" si="10"/>
        <v>0.2514919011</v>
      </c>
      <c r="I1767" s="78" t="s">
        <v>2297</v>
      </c>
      <c r="J1767" s="78" t="s">
        <v>69</v>
      </c>
      <c r="K1767" s="58">
        <f t="shared" si="3"/>
        <v>1</v>
      </c>
      <c r="L1767" s="91" t="str">
        <f t="shared" si="8"/>
        <v>Sun</v>
      </c>
      <c r="M1767" s="78" t="str">
        <f>IFERROR(VLOOKUP(A1767, Entries!A:B,2,false),"")</f>
        <v>Dovetail Games</v>
      </c>
      <c r="N1767" s="23" t="str">
        <f>IFERROR(VLOOKUP(A1767, Entries!A:K,11,false),"")</f>
        <v/>
      </c>
      <c r="O1767" s="23" t="b">
        <f>IFERROR(VLOOKUP(A1767, Entries!A:I,8,false),"")</f>
        <v>1</v>
      </c>
    </row>
    <row r="1768">
      <c r="A1768" s="78" t="s">
        <v>1486</v>
      </c>
      <c r="B1768" s="78" t="s">
        <v>19</v>
      </c>
      <c r="C1768" s="85">
        <v>44653.0</v>
      </c>
      <c r="D1768" s="85">
        <v>44653.0</v>
      </c>
      <c r="E1768" s="86">
        <v>3.58</v>
      </c>
      <c r="F1768" s="87">
        <v>4.49</v>
      </c>
      <c r="G1768" s="88">
        <f t="shared" si="1"/>
        <v>0.91</v>
      </c>
      <c r="H1768" s="89">
        <f t="shared" si="10"/>
        <v>0.2026726058</v>
      </c>
      <c r="I1768" s="78" t="s">
        <v>2298</v>
      </c>
      <c r="J1768" s="78" t="s">
        <v>69</v>
      </c>
      <c r="K1768" s="58">
        <f t="shared" si="3"/>
        <v>0</v>
      </c>
      <c r="L1768" s="91" t="str">
        <f t="shared" si="8"/>
        <v>Sat</v>
      </c>
      <c r="M1768" s="78" t="str">
        <f>IFERROR(VLOOKUP(A1768, Entries!A:B,2,false),"")</f>
        <v>Beamdog</v>
      </c>
      <c r="N1768" s="23" t="str">
        <f>IFERROR(VLOOKUP(A1768, Entries!A:K,11,false),"")</f>
        <v/>
      </c>
      <c r="O1768" s="23" t="b">
        <f>IFERROR(VLOOKUP(A1768, Entries!A:I,8,false),"")</f>
        <v>0</v>
      </c>
    </row>
    <row r="1769">
      <c r="A1769" s="78" t="s">
        <v>1486</v>
      </c>
      <c r="B1769" s="78" t="s">
        <v>19</v>
      </c>
      <c r="C1769" s="85">
        <v>44653.0</v>
      </c>
      <c r="D1769" s="85">
        <v>44653.0</v>
      </c>
      <c r="E1769" s="86">
        <v>3.58</v>
      </c>
      <c r="F1769" s="87">
        <v>4.49</v>
      </c>
      <c r="G1769" s="88">
        <f t="shared" si="1"/>
        <v>0.91</v>
      </c>
      <c r="H1769" s="89">
        <f t="shared" si="10"/>
        <v>0.2026726058</v>
      </c>
      <c r="I1769" s="78" t="s">
        <v>2299</v>
      </c>
      <c r="J1769" s="78" t="s">
        <v>69</v>
      </c>
      <c r="K1769" s="58">
        <f t="shared" si="3"/>
        <v>0</v>
      </c>
      <c r="L1769" s="91" t="str">
        <f t="shared" si="8"/>
        <v>Sat</v>
      </c>
      <c r="M1769" s="78" t="str">
        <f>IFERROR(VLOOKUP(A1769, Entries!A:B,2,false),"")</f>
        <v>Beamdog</v>
      </c>
      <c r="N1769" s="23" t="str">
        <f>IFERROR(VLOOKUP(A1769, Entries!A:K,11,false),"")</f>
        <v/>
      </c>
      <c r="O1769" s="23" t="b">
        <f>IFERROR(VLOOKUP(A1769, Entries!A:I,8,false),"")</f>
        <v>0</v>
      </c>
    </row>
    <row r="1770">
      <c r="A1770" s="78" t="s">
        <v>1486</v>
      </c>
      <c r="B1770" s="78" t="s">
        <v>19</v>
      </c>
      <c r="C1770" s="85">
        <v>44653.0</v>
      </c>
      <c r="D1770" s="85">
        <v>44654.0</v>
      </c>
      <c r="E1770" s="86">
        <v>3.58</v>
      </c>
      <c r="F1770" s="87">
        <v>4.49</v>
      </c>
      <c r="G1770" s="88">
        <f t="shared" si="1"/>
        <v>0.91</v>
      </c>
      <c r="H1770" s="89">
        <f t="shared" si="10"/>
        <v>0.2026726058</v>
      </c>
      <c r="I1770" s="78" t="s">
        <v>2300</v>
      </c>
      <c r="J1770" s="78" t="s">
        <v>69</v>
      </c>
      <c r="K1770" s="58">
        <f t="shared" si="3"/>
        <v>1</v>
      </c>
      <c r="L1770" s="91" t="str">
        <f t="shared" si="8"/>
        <v>Sun</v>
      </c>
      <c r="M1770" s="78" t="str">
        <f>IFERROR(VLOOKUP(A1770, Entries!A:B,2,false),"")</f>
        <v>Beamdog</v>
      </c>
      <c r="N1770" s="23" t="str">
        <f>IFERROR(VLOOKUP(A1770, Entries!A:K,11,false),"")</f>
        <v/>
      </c>
      <c r="O1770" s="23" t="b">
        <f>IFERROR(VLOOKUP(A1770, Entries!A:I,8,false),"")</f>
        <v>0</v>
      </c>
    </row>
    <row r="1771">
      <c r="A1771" s="78" t="s">
        <v>553</v>
      </c>
      <c r="B1771" s="78" t="s">
        <v>19</v>
      </c>
      <c r="C1771" s="85">
        <v>44654.0</v>
      </c>
      <c r="D1771" s="85">
        <v>44656.0</v>
      </c>
      <c r="E1771" s="86">
        <v>8.97</v>
      </c>
      <c r="F1771" s="87">
        <v>10.79</v>
      </c>
      <c r="G1771" s="88">
        <f t="shared" si="1"/>
        <v>1.82</v>
      </c>
      <c r="H1771" s="89">
        <f t="shared" si="10"/>
        <v>0.1686746988</v>
      </c>
      <c r="I1771" s="78" t="s">
        <v>2301</v>
      </c>
      <c r="J1771" s="78" t="s">
        <v>69</v>
      </c>
      <c r="K1771" s="58">
        <f t="shared" si="3"/>
        <v>2</v>
      </c>
      <c r="L1771" s="91" t="str">
        <f t="shared" si="8"/>
        <v>Tue</v>
      </c>
      <c r="M1771" s="78" t="str">
        <f>IFERROR(VLOOKUP(A1771, Entries!A:B,2,false),"")</f>
        <v>Beamdog</v>
      </c>
      <c r="N1771" s="23" t="str">
        <f>IFERROR(VLOOKUP(A1771, Entries!A:K,11,false),"")</f>
        <v/>
      </c>
      <c r="O1771" s="23" t="b">
        <f>IFERROR(VLOOKUP(A1771, Entries!A:I,8,false),"")</f>
        <v>0</v>
      </c>
    </row>
    <row r="1772">
      <c r="A1772" s="78" t="s">
        <v>1486</v>
      </c>
      <c r="B1772" s="78" t="s">
        <v>19</v>
      </c>
      <c r="C1772" s="85">
        <v>44654.0</v>
      </c>
      <c r="D1772" s="85">
        <v>44655.0</v>
      </c>
      <c r="E1772" s="86">
        <v>3.58</v>
      </c>
      <c r="F1772" s="87">
        <v>4.45</v>
      </c>
      <c r="G1772" s="88">
        <f t="shared" si="1"/>
        <v>0.87</v>
      </c>
      <c r="H1772" s="89">
        <f t="shared" si="10"/>
        <v>0.195505618</v>
      </c>
      <c r="I1772" s="78" t="s">
        <v>2302</v>
      </c>
      <c r="J1772" s="78" t="s">
        <v>69</v>
      </c>
      <c r="K1772" s="58">
        <f t="shared" si="3"/>
        <v>1</v>
      </c>
      <c r="L1772" s="91" t="str">
        <f t="shared" si="8"/>
        <v>Mon</v>
      </c>
      <c r="M1772" s="78" t="str">
        <f>IFERROR(VLOOKUP(A1772, Entries!A:B,2,false),"")</f>
        <v>Beamdog</v>
      </c>
      <c r="N1772" s="23" t="str">
        <f>IFERROR(VLOOKUP(A1772, Entries!A:K,11,false),"")</f>
        <v/>
      </c>
      <c r="O1772" s="23" t="b">
        <f>IFERROR(VLOOKUP(A1772, Entries!A:I,8,false),"")</f>
        <v>0</v>
      </c>
    </row>
    <row r="1773">
      <c r="A1773" s="78" t="s">
        <v>2242</v>
      </c>
      <c r="B1773" s="78" t="s">
        <v>18</v>
      </c>
      <c r="C1773" s="85">
        <v>44655.0</v>
      </c>
      <c r="D1773" s="85">
        <v>44663.0</v>
      </c>
      <c r="E1773" s="86">
        <v>5.43</v>
      </c>
      <c r="F1773" s="87">
        <v>11.84</v>
      </c>
      <c r="G1773" s="88">
        <f t="shared" si="1"/>
        <v>6.41</v>
      </c>
      <c r="H1773" s="89">
        <f t="shared" si="10"/>
        <v>0.5413851351</v>
      </c>
      <c r="I1773" s="78" t="s">
        <v>2303</v>
      </c>
      <c r="J1773" s="78" t="s">
        <v>69</v>
      </c>
      <c r="K1773" s="58">
        <f t="shared" si="3"/>
        <v>8</v>
      </c>
      <c r="L1773" s="91" t="str">
        <f t="shared" si="8"/>
        <v>Tue</v>
      </c>
      <c r="M1773" s="78" t="str">
        <f>IFERROR(VLOOKUP(A1773, Entries!A:B,2,false),"")</f>
        <v>Paradox Interactive</v>
      </c>
      <c r="N1773" s="23" t="str">
        <f>IFERROR(VLOOKUP(A1773, Entries!A:K,11,false),"")</f>
        <v/>
      </c>
      <c r="O1773" s="23" t="b">
        <f>IFERROR(VLOOKUP(A1773, Entries!A:I,8,false),"")</f>
        <v>0</v>
      </c>
    </row>
    <row r="1774">
      <c r="A1774" s="78" t="s">
        <v>2242</v>
      </c>
      <c r="B1774" s="78" t="s">
        <v>18</v>
      </c>
      <c r="C1774" s="85">
        <v>44655.0</v>
      </c>
      <c r="D1774" s="85">
        <v>44682.0</v>
      </c>
      <c r="E1774" s="86">
        <v>5.43</v>
      </c>
      <c r="F1774" s="87">
        <v>11.84</v>
      </c>
      <c r="G1774" s="88">
        <f t="shared" si="1"/>
        <v>6.41</v>
      </c>
      <c r="H1774" s="89">
        <f t="shared" si="10"/>
        <v>0.5413851351</v>
      </c>
      <c r="I1774" s="78" t="s">
        <v>2304</v>
      </c>
      <c r="J1774" s="78" t="s">
        <v>69</v>
      </c>
      <c r="K1774" s="58">
        <f t="shared" si="3"/>
        <v>27</v>
      </c>
      <c r="L1774" s="91" t="str">
        <f t="shared" si="8"/>
        <v>Sun</v>
      </c>
      <c r="M1774" s="78" t="str">
        <f>IFERROR(VLOOKUP(A1774, Entries!A:B,2,false),"")</f>
        <v>Paradox Interactive</v>
      </c>
      <c r="N1774" s="23" t="str">
        <f>IFERROR(VLOOKUP(A1774, Entries!A:K,11,false),"")</f>
        <v/>
      </c>
      <c r="O1774" s="23" t="b">
        <f>IFERROR(VLOOKUP(A1774, Entries!A:I,8,false),"")</f>
        <v>0</v>
      </c>
    </row>
    <row r="1775">
      <c r="A1775" s="78" t="s">
        <v>2242</v>
      </c>
      <c r="B1775" s="78" t="s">
        <v>18</v>
      </c>
      <c r="C1775" s="85">
        <v>44655.0</v>
      </c>
      <c r="D1775" s="85">
        <v>44682.0</v>
      </c>
      <c r="E1775" s="86">
        <v>6.04</v>
      </c>
      <c r="F1775" s="87">
        <v>11.84</v>
      </c>
      <c r="G1775" s="88">
        <f t="shared" si="1"/>
        <v>5.8</v>
      </c>
      <c r="H1775" s="89">
        <f t="shared" si="10"/>
        <v>0.4898648649</v>
      </c>
      <c r="I1775" s="78" t="s">
        <v>2305</v>
      </c>
      <c r="J1775" s="78" t="s">
        <v>69</v>
      </c>
      <c r="K1775" s="58">
        <f t="shared" si="3"/>
        <v>27</v>
      </c>
      <c r="L1775" s="91" t="str">
        <f t="shared" si="8"/>
        <v>Sun</v>
      </c>
      <c r="M1775" s="78" t="str">
        <f>IFERROR(VLOOKUP(A1775, Entries!A:B,2,false),"")</f>
        <v>Paradox Interactive</v>
      </c>
      <c r="N1775" s="23" t="str">
        <f>IFERROR(VLOOKUP(A1775, Entries!A:K,11,false),"")</f>
        <v/>
      </c>
      <c r="O1775" s="23" t="b">
        <f>IFERROR(VLOOKUP(A1775, Entries!A:I,8,false),"")</f>
        <v>0</v>
      </c>
    </row>
    <row r="1776">
      <c r="A1776" s="78" t="s">
        <v>2242</v>
      </c>
      <c r="B1776" s="78" t="s">
        <v>18</v>
      </c>
      <c r="C1776" s="85">
        <v>44655.0</v>
      </c>
      <c r="D1776" s="85">
        <v>44691.0</v>
      </c>
      <c r="E1776" s="86">
        <v>6.05</v>
      </c>
      <c r="F1776" s="87">
        <v>15.0</v>
      </c>
      <c r="G1776" s="88">
        <f t="shared" si="1"/>
        <v>8.95</v>
      </c>
      <c r="H1776" s="89">
        <f t="shared" si="10"/>
        <v>0.5966666667</v>
      </c>
      <c r="I1776" s="78" t="s">
        <v>2306</v>
      </c>
      <c r="J1776" s="78" t="s">
        <v>69</v>
      </c>
      <c r="K1776" s="58">
        <f t="shared" si="3"/>
        <v>36</v>
      </c>
      <c r="L1776" s="91" t="str">
        <f t="shared" si="8"/>
        <v>Tue</v>
      </c>
      <c r="M1776" s="78" t="str">
        <f>IFERROR(VLOOKUP(A1776, Entries!A:B,2,false),"")</f>
        <v>Paradox Interactive</v>
      </c>
      <c r="N1776" s="23" t="str">
        <f>IFERROR(VLOOKUP(A1776, Entries!A:K,11,false),"")</f>
        <v/>
      </c>
      <c r="O1776" s="23" t="b">
        <f>IFERROR(VLOOKUP(A1776, Entries!A:I,8,false),"")</f>
        <v>0</v>
      </c>
    </row>
    <row r="1777">
      <c r="A1777" s="78" t="s">
        <v>2242</v>
      </c>
      <c r="B1777" s="78" t="s">
        <v>18</v>
      </c>
      <c r="C1777" s="85">
        <v>44655.0</v>
      </c>
      <c r="D1777" s="85">
        <v>44704.0</v>
      </c>
      <c r="E1777" s="86">
        <v>6.05</v>
      </c>
      <c r="F1777" s="87">
        <v>13.99</v>
      </c>
      <c r="G1777" s="88">
        <f t="shared" si="1"/>
        <v>7.94</v>
      </c>
      <c r="H1777" s="89">
        <f t="shared" si="10"/>
        <v>0.5675482487</v>
      </c>
      <c r="I1777" s="78" t="s">
        <v>2307</v>
      </c>
      <c r="J1777" s="78" t="s">
        <v>69</v>
      </c>
      <c r="K1777" s="58">
        <f t="shared" si="3"/>
        <v>49</v>
      </c>
      <c r="L1777" s="91" t="str">
        <f t="shared" si="8"/>
        <v>Mon</v>
      </c>
      <c r="M1777" s="78" t="str">
        <f>IFERROR(VLOOKUP(A1777, Entries!A:B,2,false),"")</f>
        <v>Paradox Interactive</v>
      </c>
      <c r="N1777" s="23" t="str">
        <f>IFERROR(VLOOKUP(A1777, Entries!A:K,11,false),"")</f>
        <v/>
      </c>
      <c r="O1777" s="23" t="b">
        <f>IFERROR(VLOOKUP(A1777, Entries!A:I,8,false),"")</f>
        <v>0</v>
      </c>
    </row>
    <row r="1778">
      <c r="A1778" s="78" t="s">
        <v>1486</v>
      </c>
      <c r="B1778" s="78" t="s">
        <v>19</v>
      </c>
      <c r="C1778" s="85">
        <v>44655.0</v>
      </c>
      <c r="D1778" s="85">
        <v>44656.0</v>
      </c>
      <c r="E1778" s="86">
        <v>3.58</v>
      </c>
      <c r="F1778" s="87">
        <v>4.43</v>
      </c>
      <c r="G1778" s="88">
        <f t="shared" si="1"/>
        <v>0.85</v>
      </c>
      <c r="H1778" s="89">
        <f t="shared" si="10"/>
        <v>0.1918735892</v>
      </c>
      <c r="I1778" s="78" t="s">
        <v>2308</v>
      </c>
      <c r="J1778" s="78" t="s">
        <v>69</v>
      </c>
      <c r="K1778" s="58">
        <f t="shared" si="3"/>
        <v>1</v>
      </c>
      <c r="L1778" s="91" t="str">
        <f t="shared" si="8"/>
        <v>Tue</v>
      </c>
      <c r="M1778" s="78" t="str">
        <f>IFERROR(VLOOKUP(A1778, Entries!A:B,2,false),"")</f>
        <v>Beamdog</v>
      </c>
      <c r="N1778" s="23" t="str">
        <f>IFERROR(VLOOKUP(A1778, Entries!A:K,11,false),"")</f>
        <v/>
      </c>
      <c r="O1778" s="23" t="b">
        <f>IFERROR(VLOOKUP(A1778, Entries!A:I,8,false),"")</f>
        <v>0</v>
      </c>
    </row>
    <row r="1779">
      <c r="A1779" s="78" t="s">
        <v>1486</v>
      </c>
      <c r="B1779" s="78" t="s">
        <v>19</v>
      </c>
      <c r="C1779" s="85">
        <v>44656.0</v>
      </c>
      <c r="D1779" s="85">
        <v>44660.0</v>
      </c>
      <c r="E1779" s="86">
        <v>3.6</v>
      </c>
      <c r="F1779" s="87">
        <v>4.06</v>
      </c>
      <c r="G1779" s="88">
        <f t="shared" si="1"/>
        <v>0.46</v>
      </c>
      <c r="H1779" s="89">
        <f t="shared" si="10"/>
        <v>0.1133004926</v>
      </c>
      <c r="I1779" s="78" t="s">
        <v>2309</v>
      </c>
      <c r="J1779" s="78" t="s">
        <v>69</v>
      </c>
      <c r="K1779" s="58">
        <f t="shared" si="3"/>
        <v>4</v>
      </c>
      <c r="L1779" s="91" t="str">
        <f t="shared" si="8"/>
        <v>Sat</v>
      </c>
      <c r="M1779" s="78" t="str">
        <f>IFERROR(VLOOKUP(A1779, Entries!A:B,2,false),"")</f>
        <v>Beamdog</v>
      </c>
      <c r="N1779" s="23" t="str">
        <f>IFERROR(VLOOKUP(A1779, Entries!A:K,11,false),"")</f>
        <v/>
      </c>
      <c r="O1779" s="23" t="b">
        <f>IFERROR(VLOOKUP(A1779, Entries!A:I,8,false),"")</f>
        <v>0</v>
      </c>
    </row>
    <row r="1780">
      <c r="A1780" s="78" t="s">
        <v>553</v>
      </c>
      <c r="B1780" s="78" t="s">
        <v>19</v>
      </c>
      <c r="C1780" s="85">
        <v>44656.0</v>
      </c>
      <c r="D1780" s="85">
        <v>44658.0</v>
      </c>
      <c r="E1780" s="86">
        <v>9.02</v>
      </c>
      <c r="F1780" s="87">
        <v>10.79</v>
      </c>
      <c r="G1780" s="88">
        <f t="shared" si="1"/>
        <v>1.77</v>
      </c>
      <c r="H1780" s="89">
        <f t="shared" si="10"/>
        <v>0.1640407785</v>
      </c>
      <c r="I1780" s="78" t="s">
        <v>2310</v>
      </c>
      <c r="J1780" s="78" t="s">
        <v>69</v>
      </c>
      <c r="K1780" s="58">
        <f t="shared" si="3"/>
        <v>2</v>
      </c>
      <c r="L1780" s="91" t="str">
        <f t="shared" si="8"/>
        <v>Thu</v>
      </c>
      <c r="M1780" s="78" t="str">
        <f>IFERROR(VLOOKUP(A1780, Entries!A:B,2,false),"")</f>
        <v>Beamdog</v>
      </c>
      <c r="N1780" s="23" t="str">
        <f>IFERROR(VLOOKUP(A1780, Entries!A:K,11,false),"")</f>
        <v/>
      </c>
      <c r="O1780" s="23" t="b">
        <f>IFERROR(VLOOKUP(A1780, Entries!A:I,8,false),"")</f>
        <v>0</v>
      </c>
    </row>
    <row r="1781">
      <c r="A1781" s="78" t="s">
        <v>2311</v>
      </c>
      <c r="B1781" s="78" t="s">
        <v>21</v>
      </c>
      <c r="C1781" s="85">
        <v>44656.0</v>
      </c>
      <c r="D1781" s="85">
        <v>44658.0</v>
      </c>
      <c r="E1781" s="86">
        <v>33.33</v>
      </c>
      <c r="F1781" s="87">
        <v>34.47</v>
      </c>
      <c r="G1781" s="88">
        <f t="shared" si="1"/>
        <v>1.14</v>
      </c>
      <c r="H1781" s="89">
        <f t="shared" si="10"/>
        <v>0.03307223673</v>
      </c>
      <c r="I1781" s="78" t="s">
        <v>2312</v>
      </c>
      <c r="J1781" s="78" t="s">
        <v>69</v>
      </c>
      <c r="K1781" s="58">
        <f t="shared" si="3"/>
        <v>2</v>
      </c>
      <c r="L1781" s="91" t="str">
        <f t="shared" si="8"/>
        <v>Thu</v>
      </c>
      <c r="M1781" s="78" t="str">
        <f>IFERROR(VLOOKUP(A1781, Entries!A:B,2,false),"")</f>
        <v>SEGA</v>
      </c>
      <c r="N1781" s="23" t="str">
        <f>IFERROR(VLOOKUP(A1781, Entries!A:K,11,false),"")</f>
        <v/>
      </c>
      <c r="O1781" s="23" t="b">
        <f>IFERROR(VLOOKUP(A1781, Entries!A:I,8,false),"")</f>
        <v>0</v>
      </c>
    </row>
    <row r="1782">
      <c r="A1782" s="78" t="s">
        <v>326</v>
      </c>
      <c r="B1782" s="78" t="s">
        <v>25</v>
      </c>
      <c r="C1782" s="85">
        <v>44656.0</v>
      </c>
      <c r="D1782" s="85">
        <v>44709.0</v>
      </c>
      <c r="E1782" s="86">
        <v>4.52</v>
      </c>
      <c r="F1782" s="87">
        <v>5.57</v>
      </c>
      <c r="G1782" s="88">
        <f t="shared" si="1"/>
        <v>1.05</v>
      </c>
      <c r="H1782" s="89">
        <f t="shared" si="10"/>
        <v>0.1885098743</v>
      </c>
      <c r="I1782" s="78" t="s">
        <v>2313</v>
      </c>
      <c r="J1782" s="78" t="s">
        <v>69</v>
      </c>
      <c r="K1782" s="58">
        <f t="shared" si="3"/>
        <v>53</v>
      </c>
      <c r="L1782" s="91" t="str">
        <f t="shared" si="8"/>
        <v>Sat</v>
      </c>
      <c r="M1782" s="78" t="str">
        <f>IFERROR(VLOOKUP(A1782, Entries!A:B,2,false),"")</f>
        <v>Aerosoft</v>
      </c>
      <c r="N1782" s="23" t="str">
        <f>IFERROR(VLOOKUP(A1782, Entries!A:K,11,false),"")</f>
        <v/>
      </c>
      <c r="O1782" s="23" t="b">
        <f>IFERROR(VLOOKUP(A1782, Entries!A:I,8,false),"")</f>
        <v>1</v>
      </c>
    </row>
    <row r="1783">
      <c r="A1783" s="78" t="s">
        <v>326</v>
      </c>
      <c r="B1783" s="78" t="s">
        <v>25</v>
      </c>
      <c r="C1783" s="85">
        <v>44656.0</v>
      </c>
      <c r="D1783" s="85">
        <v>44737.0</v>
      </c>
      <c r="E1783" s="86">
        <v>4.52</v>
      </c>
      <c r="F1783" s="87">
        <v>5.81</v>
      </c>
      <c r="G1783" s="88">
        <f t="shared" si="1"/>
        <v>1.29</v>
      </c>
      <c r="H1783" s="89">
        <f t="shared" si="10"/>
        <v>0.2220309811</v>
      </c>
      <c r="I1783" s="78" t="s">
        <v>2314</v>
      </c>
      <c r="J1783" s="78" t="s">
        <v>69</v>
      </c>
      <c r="K1783" s="58">
        <f t="shared" si="3"/>
        <v>81</v>
      </c>
      <c r="L1783" s="91" t="str">
        <f t="shared" si="8"/>
        <v>Sat</v>
      </c>
      <c r="M1783" s="78" t="str">
        <f>IFERROR(VLOOKUP(A1783, Entries!A:B,2,false),"")</f>
        <v>Aerosoft</v>
      </c>
      <c r="N1783" s="23" t="str">
        <f>IFERROR(VLOOKUP(A1783, Entries!A:K,11,false),"")</f>
        <v/>
      </c>
      <c r="O1783" s="23" t="b">
        <f>IFERROR(VLOOKUP(A1783, Entries!A:I,8,false),"")</f>
        <v>1</v>
      </c>
    </row>
    <row r="1784">
      <c r="A1784" s="78" t="s">
        <v>1217</v>
      </c>
      <c r="B1784" s="78" t="s">
        <v>19</v>
      </c>
      <c r="C1784" s="85">
        <v>44657.0</v>
      </c>
      <c r="D1784" s="85">
        <v>44661.0</v>
      </c>
      <c r="E1784" s="86">
        <v>3.78</v>
      </c>
      <c r="F1784" s="87">
        <v>4.12</v>
      </c>
      <c r="G1784" s="88">
        <f t="shared" si="1"/>
        <v>0.34</v>
      </c>
      <c r="H1784" s="89">
        <f t="shared" si="10"/>
        <v>0.08252427184</v>
      </c>
      <c r="I1784" s="78" t="s">
        <v>2315</v>
      </c>
      <c r="J1784" s="78" t="s">
        <v>69</v>
      </c>
      <c r="K1784" s="58">
        <f t="shared" si="3"/>
        <v>4</v>
      </c>
      <c r="L1784" s="91" t="str">
        <f t="shared" si="8"/>
        <v>Sun</v>
      </c>
      <c r="M1784" s="78" t="str">
        <f>IFERROR(VLOOKUP(A1784, Entries!A:B,2,false),"")</f>
        <v>Square Enix</v>
      </c>
      <c r="N1784" s="23" t="str">
        <f>IFERROR(VLOOKUP(A1784, Entries!A:K,11,false),"")</f>
        <v/>
      </c>
      <c r="O1784" s="23" t="b">
        <f>IFERROR(VLOOKUP(A1784, Entries!A:I,8,false),"")</f>
        <v>0</v>
      </c>
    </row>
    <row r="1785">
      <c r="A1785" s="78" t="s">
        <v>2316</v>
      </c>
      <c r="B1785" s="78" t="s">
        <v>22</v>
      </c>
      <c r="C1785" s="85">
        <v>44657.0</v>
      </c>
      <c r="D1785" s="85">
        <v>44658.0</v>
      </c>
      <c r="E1785" s="86">
        <v>12.16</v>
      </c>
      <c r="F1785" s="87">
        <v>17.56</v>
      </c>
      <c r="G1785" s="88">
        <f t="shared" si="1"/>
        <v>5.4</v>
      </c>
      <c r="H1785" s="89">
        <f t="shared" si="10"/>
        <v>0.3075170843</v>
      </c>
      <c r="I1785" s="78" t="s">
        <v>2317</v>
      </c>
      <c r="J1785" s="78" t="s">
        <v>69</v>
      </c>
      <c r="K1785" s="58">
        <f t="shared" si="3"/>
        <v>1</v>
      </c>
      <c r="L1785" s="91" t="str">
        <f t="shared" si="8"/>
        <v>Thu</v>
      </c>
      <c r="M1785" s="78" t="str">
        <f>IFERROR(VLOOKUP(A1785, Entries!A:B,2,false),"")</f>
        <v>Freedom Games</v>
      </c>
      <c r="N1785" s="23" t="str">
        <f>IFERROR(VLOOKUP(A1785, Entries!A:K,11,false),"")</f>
        <v/>
      </c>
      <c r="O1785" s="23" t="b">
        <f>IFERROR(VLOOKUP(A1785, Entries!A:I,8,false),"")</f>
        <v>0</v>
      </c>
    </row>
    <row r="1786">
      <c r="A1786" s="78" t="s">
        <v>2318</v>
      </c>
      <c r="B1786" s="78" t="s">
        <v>27</v>
      </c>
      <c r="C1786" s="85">
        <v>44657.0</v>
      </c>
      <c r="D1786" s="85">
        <v>44662.0</v>
      </c>
      <c r="E1786" s="86">
        <v>10.89</v>
      </c>
      <c r="F1786" s="87">
        <v>12.16</v>
      </c>
      <c r="G1786" s="88">
        <f t="shared" si="1"/>
        <v>1.27</v>
      </c>
      <c r="H1786" s="89">
        <f t="shared" si="10"/>
        <v>0.1044407895</v>
      </c>
      <c r="I1786" s="78" t="s">
        <v>2319</v>
      </c>
      <c r="J1786" s="78" t="s">
        <v>69</v>
      </c>
      <c r="K1786" s="58">
        <f t="shared" si="3"/>
        <v>5</v>
      </c>
      <c r="L1786" s="91" t="str">
        <f t="shared" si="8"/>
        <v>Mon</v>
      </c>
      <c r="M1786" s="78" t="str">
        <f>IFERROR(VLOOKUP(A1786, Entries!A:B,2,false),"")</f>
        <v>Eek! Games</v>
      </c>
      <c r="N1786" s="23" t="str">
        <f>IFERROR(VLOOKUP(A1786, Entries!A:K,11,false),"")</f>
        <v/>
      </c>
      <c r="O1786" s="23" t="b">
        <f>IFERROR(VLOOKUP(A1786, Entries!A:I,8,false),"")</f>
        <v>0</v>
      </c>
    </row>
    <row r="1787">
      <c r="A1787" s="78" t="s">
        <v>2320</v>
      </c>
      <c r="B1787" s="78" t="s">
        <v>23</v>
      </c>
      <c r="C1787" s="85">
        <v>44657.0</v>
      </c>
      <c r="D1787" s="85">
        <v>44659.0</v>
      </c>
      <c r="E1787" s="86">
        <v>14.99</v>
      </c>
      <c r="F1787" s="87">
        <v>17.52</v>
      </c>
      <c r="G1787" s="88">
        <f t="shared" si="1"/>
        <v>2.53</v>
      </c>
      <c r="H1787" s="89">
        <f t="shared" si="10"/>
        <v>0.1444063927</v>
      </c>
      <c r="I1787" s="78" t="s">
        <v>2321</v>
      </c>
      <c r="J1787" s="78" t="s">
        <v>69</v>
      </c>
      <c r="K1787" s="58">
        <f t="shared" si="3"/>
        <v>2</v>
      </c>
      <c r="L1787" s="91" t="str">
        <f t="shared" si="8"/>
        <v>Fri</v>
      </c>
      <c r="M1787" s="78" t="str">
        <f>IFERROR(VLOOKUP(A1787, Entries!A:B,2,false),"")</f>
        <v>Konami</v>
      </c>
      <c r="N1787" s="23" t="str">
        <f>IFERROR(VLOOKUP(A1787, Entries!A:K,11,false),"")</f>
        <v/>
      </c>
      <c r="O1787" s="23" t="b">
        <f>IFERROR(VLOOKUP(A1787, Entries!A:I,8,false),"")</f>
        <v>0</v>
      </c>
    </row>
    <row r="1788">
      <c r="A1788" s="78" t="s">
        <v>1568</v>
      </c>
      <c r="B1788" s="78" t="s">
        <v>19</v>
      </c>
      <c r="C1788" s="85">
        <v>44657.0</v>
      </c>
      <c r="D1788" s="85">
        <v>44665.0</v>
      </c>
      <c r="E1788" s="86">
        <v>3.17</v>
      </c>
      <c r="F1788" s="87">
        <v>3.34</v>
      </c>
      <c r="G1788" s="88">
        <f t="shared" si="1"/>
        <v>0.17</v>
      </c>
      <c r="H1788" s="89">
        <f t="shared" si="10"/>
        <v>0.05089820359</v>
      </c>
      <c r="I1788" s="78" t="s">
        <v>2322</v>
      </c>
      <c r="J1788" s="78" t="s">
        <v>69</v>
      </c>
      <c r="K1788" s="58">
        <f t="shared" si="3"/>
        <v>8</v>
      </c>
      <c r="L1788" s="91" t="str">
        <f t="shared" si="8"/>
        <v>Thu</v>
      </c>
      <c r="M1788" s="78" t="str">
        <f>IFERROR(VLOOKUP(A1788, Entries!A:B,2,false),"")</f>
        <v>Natsume</v>
      </c>
      <c r="N1788" s="23" t="str">
        <f>IFERROR(VLOOKUP(A1788, Entries!A:K,11,false),"")</f>
        <v/>
      </c>
      <c r="O1788" s="23" t="b">
        <f>IFERROR(VLOOKUP(A1788, Entries!A:I,8,false),"")</f>
        <v>0</v>
      </c>
    </row>
    <row r="1789">
      <c r="A1789" s="78" t="s">
        <v>2323</v>
      </c>
      <c r="B1789" s="78" t="s">
        <v>19</v>
      </c>
      <c r="C1789" s="85">
        <v>44657.0</v>
      </c>
      <c r="D1789" s="85">
        <v>44658.0</v>
      </c>
      <c r="E1789" s="86">
        <v>3.18</v>
      </c>
      <c r="F1789" s="87">
        <v>7.76</v>
      </c>
      <c r="G1789" s="88">
        <f t="shared" si="1"/>
        <v>4.58</v>
      </c>
      <c r="H1789" s="89">
        <f t="shared" si="10"/>
        <v>0.5902061856</v>
      </c>
      <c r="I1789" s="78" t="s">
        <v>2324</v>
      </c>
      <c r="J1789" s="78" t="s">
        <v>69</v>
      </c>
      <c r="K1789" s="58">
        <f t="shared" si="3"/>
        <v>1</v>
      </c>
      <c r="L1789" s="91" t="str">
        <f t="shared" si="8"/>
        <v>Thu</v>
      </c>
      <c r="M1789" s="78" t="str">
        <f>IFERROR(VLOOKUP(A1789, Entries!A:B,2,false),"")</f>
        <v>tinyBuild</v>
      </c>
      <c r="N1789" s="23" t="str">
        <f>IFERROR(VLOOKUP(A1789, Entries!A:K,11,false),"")</f>
        <v/>
      </c>
      <c r="O1789" s="23" t="b">
        <f>IFERROR(VLOOKUP(A1789, Entries!A:I,8,false),"")</f>
        <v>1</v>
      </c>
    </row>
    <row r="1790">
      <c r="A1790" s="78" t="s">
        <v>2164</v>
      </c>
      <c r="B1790" s="78" t="s">
        <v>25</v>
      </c>
      <c r="C1790" s="85">
        <v>44657.0</v>
      </c>
      <c r="D1790" s="85">
        <v>44658.0</v>
      </c>
      <c r="E1790" s="86">
        <v>1.76</v>
      </c>
      <c r="F1790" s="87">
        <v>2.29</v>
      </c>
      <c r="G1790" s="88">
        <f t="shared" si="1"/>
        <v>0.53</v>
      </c>
      <c r="H1790" s="89">
        <f t="shared" si="10"/>
        <v>0.231441048</v>
      </c>
      <c r="I1790" s="78" t="s">
        <v>2325</v>
      </c>
      <c r="J1790" s="78" t="s">
        <v>69</v>
      </c>
      <c r="K1790" s="58">
        <f t="shared" si="3"/>
        <v>1</v>
      </c>
      <c r="L1790" s="91" t="str">
        <f t="shared" si="8"/>
        <v>Thu</v>
      </c>
      <c r="M1790" s="78" t="str">
        <f>IFERROR(VLOOKUP(A1790, Entries!A:B,2,false),"")</f>
        <v>Paradox Interactive</v>
      </c>
      <c r="N1790" s="23" t="str">
        <f>IFERROR(VLOOKUP(A1790, Entries!A:K,11,false),"")</f>
        <v/>
      </c>
      <c r="O1790" s="23" t="b">
        <f>IFERROR(VLOOKUP(A1790, Entries!A:I,8,false),"")</f>
        <v>0</v>
      </c>
    </row>
    <row r="1791">
      <c r="A1791" s="78" t="s">
        <v>1568</v>
      </c>
      <c r="B1791" s="78" t="s">
        <v>19</v>
      </c>
      <c r="C1791" s="85">
        <v>44658.0</v>
      </c>
      <c r="D1791" s="85">
        <v>44665.0</v>
      </c>
      <c r="E1791" s="86">
        <v>3.18</v>
      </c>
      <c r="F1791" s="87">
        <v>3.34</v>
      </c>
      <c r="G1791" s="88">
        <f t="shared" si="1"/>
        <v>0.16</v>
      </c>
      <c r="H1791" s="89">
        <f t="shared" si="10"/>
        <v>0.04790419162</v>
      </c>
      <c r="I1791" s="78" t="s">
        <v>2326</v>
      </c>
      <c r="J1791" s="78" t="s">
        <v>69</v>
      </c>
      <c r="K1791" s="58">
        <f t="shared" si="3"/>
        <v>7</v>
      </c>
      <c r="L1791" s="91" t="str">
        <f t="shared" si="8"/>
        <v>Thu</v>
      </c>
      <c r="M1791" s="78" t="str">
        <f>IFERROR(VLOOKUP(A1791, Entries!A:B,2,false),"")</f>
        <v>Natsume</v>
      </c>
      <c r="N1791" s="23" t="str">
        <f>IFERROR(VLOOKUP(A1791, Entries!A:K,11,false),"")</f>
        <v/>
      </c>
      <c r="O1791" s="23" t="b">
        <f>IFERROR(VLOOKUP(A1791, Entries!A:I,8,false),"")</f>
        <v>0</v>
      </c>
    </row>
    <row r="1792">
      <c r="A1792" s="78" t="s">
        <v>2323</v>
      </c>
      <c r="B1792" s="78" t="s">
        <v>19</v>
      </c>
      <c r="C1792" s="85">
        <v>44658.0</v>
      </c>
      <c r="D1792" s="85">
        <v>44658.0</v>
      </c>
      <c r="E1792" s="86">
        <v>3.18</v>
      </c>
      <c r="F1792" s="87">
        <v>7.76</v>
      </c>
      <c r="G1792" s="88">
        <f t="shared" si="1"/>
        <v>4.58</v>
      </c>
      <c r="H1792" s="89">
        <f t="shared" si="10"/>
        <v>0.5902061856</v>
      </c>
      <c r="I1792" s="78" t="s">
        <v>2327</v>
      </c>
      <c r="J1792" s="78" t="s">
        <v>69</v>
      </c>
      <c r="K1792" s="58">
        <f t="shared" si="3"/>
        <v>0</v>
      </c>
      <c r="L1792" s="91" t="str">
        <f t="shared" si="8"/>
        <v>Thu</v>
      </c>
      <c r="M1792" s="78" t="str">
        <f>IFERROR(VLOOKUP(A1792, Entries!A:B,2,false),"")</f>
        <v>tinyBuild</v>
      </c>
      <c r="N1792" s="23" t="str">
        <f>IFERROR(VLOOKUP(A1792, Entries!A:K,11,false),"")</f>
        <v/>
      </c>
      <c r="O1792" s="23" t="b">
        <f>IFERROR(VLOOKUP(A1792, Entries!A:I,8,false),"")</f>
        <v>1</v>
      </c>
    </row>
    <row r="1793">
      <c r="A1793" s="78" t="s">
        <v>2018</v>
      </c>
      <c r="B1793" s="78" t="s">
        <v>27</v>
      </c>
      <c r="C1793" s="85">
        <v>44658.0</v>
      </c>
      <c r="D1793" s="85">
        <v>44670.0</v>
      </c>
      <c r="E1793" s="86">
        <v>9.19</v>
      </c>
      <c r="F1793" s="87">
        <v>10.2</v>
      </c>
      <c r="G1793" s="88">
        <f t="shared" si="1"/>
        <v>1.01</v>
      </c>
      <c r="H1793" s="89">
        <f t="shared" si="10"/>
        <v>0.09901960784</v>
      </c>
      <c r="I1793" s="78" t="s">
        <v>2328</v>
      </c>
      <c r="J1793" s="78" t="s">
        <v>69</v>
      </c>
      <c r="K1793" s="58">
        <f t="shared" si="3"/>
        <v>12</v>
      </c>
      <c r="L1793" s="91" t="str">
        <f t="shared" si="8"/>
        <v>Tue</v>
      </c>
      <c r="M1793" s="78" t="str">
        <f>IFERROR(VLOOKUP(A1793, Entries!A:B,2,false),"")</f>
        <v>Sold Out</v>
      </c>
      <c r="N1793" s="23" t="str">
        <f>IFERROR(VLOOKUP(A1793, Entries!A:K,11,false),"")</f>
        <v/>
      </c>
      <c r="O1793" s="23" t="b">
        <f>IFERROR(VLOOKUP(A1793, Entries!A:I,8,false),"")</f>
        <v>0</v>
      </c>
    </row>
    <row r="1794">
      <c r="A1794" s="78" t="s">
        <v>2164</v>
      </c>
      <c r="B1794" s="78" t="s">
        <v>25</v>
      </c>
      <c r="C1794" s="85">
        <v>44658.0</v>
      </c>
      <c r="D1794" s="85">
        <v>44665.0</v>
      </c>
      <c r="E1794" s="86">
        <v>1.76</v>
      </c>
      <c r="F1794" s="87">
        <v>2.19</v>
      </c>
      <c r="G1794" s="88">
        <f t="shared" si="1"/>
        <v>0.43</v>
      </c>
      <c r="H1794" s="89">
        <f t="shared" si="10"/>
        <v>0.196347032</v>
      </c>
      <c r="I1794" s="78" t="s">
        <v>2329</v>
      </c>
      <c r="J1794" s="78" t="s">
        <v>69</v>
      </c>
      <c r="K1794" s="58">
        <f t="shared" si="3"/>
        <v>7</v>
      </c>
      <c r="L1794" s="91" t="str">
        <f t="shared" si="8"/>
        <v>Thu</v>
      </c>
      <c r="M1794" s="78" t="str">
        <f>IFERROR(VLOOKUP(A1794, Entries!A:B,2,false),"")</f>
        <v>Paradox Interactive</v>
      </c>
      <c r="N1794" s="23" t="str">
        <f>IFERROR(VLOOKUP(A1794, Entries!A:K,11,false),"")</f>
        <v/>
      </c>
      <c r="O1794" s="23" t="b">
        <f>IFERROR(VLOOKUP(A1794, Entries!A:I,8,false),"")</f>
        <v>0</v>
      </c>
    </row>
    <row r="1795">
      <c r="A1795" s="78" t="s">
        <v>1922</v>
      </c>
      <c r="B1795" s="78" t="s">
        <v>27</v>
      </c>
      <c r="C1795" s="85">
        <v>44658.0</v>
      </c>
      <c r="D1795" s="85">
        <v>44731.0</v>
      </c>
      <c r="E1795" s="86">
        <v>30.19</v>
      </c>
      <c r="F1795" s="87">
        <v>35.33</v>
      </c>
      <c r="G1795" s="88">
        <f t="shared" si="1"/>
        <v>5.14</v>
      </c>
      <c r="H1795" s="89">
        <f t="shared" si="10"/>
        <v>0.1454854232</v>
      </c>
      <c r="I1795" s="78" t="s">
        <v>2330</v>
      </c>
      <c r="J1795" s="78" t="s">
        <v>69</v>
      </c>
      <c r="K1795" s="58">
        <f t="shared" si="3"/>
        <v>73</v>
      </c>
      <c r="L1795" s="91" t="str">
        <f t="shared" si="8"/>
        <v>Sun</v>
      </c>
      <c r="M1795" s="78" t="str">
        <f>IFERROR(VLOOKUP(A1795, Entries!A:B,2,false),"")</f>
        <v>Rebellion</v>
      </c>
      <c r="N1795" s="23" t="str">
        <f>IFERROR(VLOOKUP(A1795, Entries!A:K,11,false),"")</f>
        <v/>
      </c>
      <c r="O1795" s="23" t="b">
        <f>IFERROR(VLOOKUP(A1795, Entries!A:I,8,false),"")</f>
        <v>0</v>
      </c>
    </row>
    <row r="1796">
      <c r="A1796" s="78" t="s">
        <v>1568</v>
      </c>
      <c r="B1796" s="78" t="s">
        <v>19</v>
      </c>
      <c r="C1796" s="85">
        <v>44658.0</v>
      </c>
      <c r="D1796" s="85">
        <v>44766.0</v>
      </c>
      <c r="E1796" s="86">
        <v>3.18</v>
      </c>
      <c r="F1796" s="87">
        <v>4.79</v>
      </c>
      <c r="G1796" s="88">
        <f t="shared" si="1"/>
        <v>1.61</v>
      </c>
      <c r="H1796" s="89">
        <f t="shared" si="10"/>
        <v>0.3361169102</v>
      </c>
      <c r="I1796" s="78" t="s">
        <v>2331</v>
      </c>
      <c r="J1796" s="78" t="s">
        <v>69</v>
      </c>
      <c r="K1796" s="58">
        <f t="shared" si="3"/>
        <v>108</v>
      </c>
      <c r="L1796" s="91" t="str">
        <f t="shared" si="8"/>
        <v>Sun</v>
      </c>
      <c r="M1796" s="78" t="str">
        <f>IFERROR(VLOOKUP(A1796, Entries!A:B,2,false),"")</f>
        <v>Natsume</v>
      </c>
      <c r="N1796" s="23" t="str">
        <f>IFERROR(VLOOKUP(A1796, Entries!A:K,11,false),"")</f>
        <v/>
      </c>
      <c r="O1796" s="23" t="b">
        <f>IFERROR(VLOOKUP(A1796, Entries!A:I,8,false),"")</f>
        <v>0</v>
      </c>
    </row>
    <row r="1797">
      <c r="A1797" s="78" t="s">
        <v>2323</v>
      </c>
      <c r="B1797" s="78" t="s">
        <v>19</v>
      </c>
      <c r="C1797" s="85">
        <v>44658.0</v>
      </c>
      <c r="D1797" s="85">
        <v>44659.0</v>
      </c>
      <c r="E1797" s="86">
        <v>3.18</v>
      </c>
      <c r="F1797" s="87">
        <v>7.22</v>
      </c>
      <c r="G1797" s="88">
        <f t="shared" si="1"/>
        <v>4.04</v>
      </c>
      <c r="H1797" s="89">
        <f t="shared" si="10"/>
        <v>0.5595567867</v>
      </c>
      <c r="I1797" s="78" t="s">
        <v>2332</v>
      </c>
      <c r="J1797" s="78" t="s">
        <v>69</v>
      </c>
      <c r="K1797" s="58">
        <f t="shared" si="3"/>
        <v>1</v>
      </c>
      <c r="L1797" s="91" t="str">
        <f t="shared" si="8"/>
        <v>Fri</v>
      </c>
      <c r="M1797" s="78" t="str">
        <f>IFERROR(VLOOKUP(A1797, Entries!A:B,2,false),"")</f>
        <v>tinyBuild</v>
      </c>
      <c r="N1797" s="23" t="str">
        <f>IFERROR(VLOOKUP(A1797, Entries!A:K,11,false),"")</f>
        <v/>
      </c>
      <c r="O1797" s="23" t="b">
        <f>IFERROR(VLOOKUP(A1797, Entries!A:I,8,false),"")</f>
        <v>1</v>
      </c>
    </row>
    <row r="1798">
      <c r="A1798" s="78" t="s">
        <v>2316</v>
      </c>
      <c r="B1798" s="78" t="s">
        <v>22</v>
      </c>
      <c r="C1798" s="85">
        <v>44658.0</v>
      </c>
      <c r="D1798" s="85">
        <v>44675.0</v>
      </c>
      <c r="E1798" s="86">
        <v>12.25</v>
      </c>
      <c r="F1798" s="87">
        <v>14.47</v>
      </c>
      <c r="G1798" s="88">
        <f t="shared" si="1"/>
        <v>2.22</v>
      </c>
      <c r="H1798" s="89">
        <f t="shared" si="10"/>
        <v>0.1534208708</v>
      </c>
      <c r="I1798" s="78" t="s">
        <v>2333</v>
      </c>
      <c r="J1798" s="78" t="s">
        <v>69</v>
      </c>
      <c r="K1798" s="58">
        <f t="shared" si="3"/>
        <v>17</v>
      </c>
      <c r="L1798" s="91" t="str">
        <f t="shared" si="8"/>
        <v>Sun</v>
      </c>
      <c r="M1798" s="78" t="str">
        <f>IFERROR(VLOOKUP(A1798, Entries!A:B,2,false),"")</f>
        <v>Freedom Games</v>
      </c>
      <c r="N1798" s="23" t="str">
        <f>IFERROR(VLOOKUP(A1798, Entries!A:K,11,false),"")</f>
        <v/>
      </c>
      <c r="O1798" s="23" t="b">
        <f>IFERROR(VLOOKUP(A1798, Entries!A:I,8,false),"")</f>
        <v>0</v>
      </c>
    </row>
    <row r="1799">
      <c r="A1799" s="78" t="s">
        <v>2316</v>
      </c>
      <c r="B1799" s="78" t="s">
        <v>22</v>
      </c>
      <c r="C1799" s="85">
        <v>44658.0</v>
      </c>
      <c r="D1799" s="85">
        <v>44675.0</v>
      </c>
      <c r="E1799" s="86">
        <v>12.25</v>
      </c>
      <c r="F1799" s="87">
        <v>14.47</v>
      </c>
      <c r="G1799" s="88">
        <f t="shared" si="1"/>
        <v>2.22</v>
      </c>
      <c r="H1799" s="89">
        <f t="shared" si="10"/>
        <v>0.1534208708</v>
      </c>
      <c r="I1799" s="78" t="s">
        <v>2334</v>
      </c>
      <c r="J1799" s="78" t="s">
        <v>69</v>
      </c>
      <c r="K1799" s="58">
        <f t="shared" si="3"/>
        <v>17</v>
      </c>
      <c r="L1799" s="91" t="str">
        <f t="shared" si="8"/>
        <v>Sun</v>
      </c>
      <c r="M1799" s="78" t="str">
        <f>IFERROR(VLOOKUP(A1799, Entries!A:B,2,false),"")</f>
        <v>Freedom Games</v>
      </c>
      <c r="N1799" s="23" t="str">
        <f>IFERROR(VLOOKUP(A1799, Entries!A:K,11,false),"")</f>
        <v/>
      </c>
      <c r="O1799" s="23" t="b">
        <f>IFERROR(VLOOKUP(A1799, Entries!A:I,8,false),"")</f>
        <v>0</v>
      </c>
    </row>
    <row r="1800">
      <c r="A1800" s="78" t="s">
        <v>1984</v>
      </c>
      <c r="B1800" s="78" t="s">
        <v>27</v>
      </c>
      <c r="C1800" s="85">
        <v>44659.0</v>
      </c>
      <c r="D1800" s="85">
        <v>44660.0</v>
      </c>
      <c r="E1800" s="86">
        <v>7.29</v>
      </c>
      <c r="F1800" s="87">
        <v>8.28</v>
      </c>
      <c r="G1800" s="88">
        <f t="shared" si="1"/>
        <v>0.99</v>
      </c>
      <c r="H1800" s="89">
        <f t="shared" si="10"/>
        <v>0.1195652174</v>
      </c>
      <c r="I1800" s="78" t="s">
        <v>2335</v>
      </c>
      <c r="J1800" s="78" t="s">
        <v>69</v>
      </c>
      <c r="K1800" s="58">
        <f t="shared" si="3"/>
        <v>1</v>
      </c>
      <c r="L1800" s="91" t="str">
        <f t="shared" si="8"/>
        <v>Sat</v>
      </c>
      <c r="M1800" s="78" t="str">
        <f>IFERROR(VLOOKUP(A1800, Entries!A:B,2,false),"")</f>
        <v>Offworld Industries</v>
      </c>
      <c r="N1800" s="23" t="str">
        <f>IFERROR(VLOOKUP(A1800, Entries!A:K,11,false),"")</f>
        <v/>
      </c>
      <c r="O1800" s="23" t="b">
        <f>IFERROR(VLOOKUP(A1800, Entries!A:I,8,false),"")</f>
        <v>1</v>
      </c>
    </row>
    <row r="1801">
      <c r="A1801" s="78" t="s">
        <v>719</v>
      </c>
      <c r="B1801" s="78" t="s">
        <v>25</v>
      </c>
      <c r="C1801" s="85">
        <v>44659.0</v>
      </c>
      <c r="D1801" s="85">
        <v>44677.0</v>
      </c>
      <c r="E1801" s="86">
        <v>9.83</v>
      </c>
      <c r="F1801" s="87">
        <v>11.51</v>
      </c>
      <c r="G1801" s="88">
        <f t="shared" si="1"/>
        <v>1.68</v>
      </c>
      <c r="H1801" s="89">
        <f t="shared" si="10"/>
        <v>0.1459600348</v>
      </c>
      <c r="I1801" s="78" t="s">
        <v>2336</v>
      </c>
      <c r="J1801" s="78" t="s">
        <v>69</v>
      </c>
      <c r="K1801" s="58">
        <f t="shared" si="3"/>
        <v>18</v>
      </c>
      <c r="L1801" s="91" t="str">
        <f t="shared" si="8"/>
        <v>Tue</v>
      </c>
      <c r="M1801" s="78" t="str">
        <f>IFERROR(VLOOKUP(A1801, Entries!A:B,2,false),"")</f>
        <v>Lukas Rustemeyer</v>
      </c>
      <c r="N1801" s="23" t="str">
        <f>IFERROR(VLOOKUP(A1801, Entries!A:K,11,false),"")</f>
        <v/>
      </c>
      <c r="O1801" s="23" t="b">
        <f>IFERROR(VLOOKUP(A1801, Entries!A:I,8,false),"")</f>
        <v>1</v>
      </c>
    </row>
    <row r="1802">
      <c r="A1802" s="78" t="s">
        <v>1909</v>
      </c>
      <c r="B1802" s="78" t="s">
        <v>25</v>
      </c>
      <c r="C1802" s="85">
        <v>44659.0</v>
      </c>
      <c r="D1802" s="85">
        <v>44663.0</v>
      </c>
      <c r="E1802" s="86">
        <v>2.31</v>
      </c>
      <c r="F1802" s="87">
        <v>2.54</v>
      </c>
      <c r="G1802" s="88">
        <f t="shared" si="1"/>
        <v>0.23</v>
      </c>
      <c r="H1802" s="89">
        <f t="shared" si="10"/>
        <v>0.0905511811</v>
      </c>
      <c r="I1802" s="78" t="s">
        <v>2337</v>
      </c>
      <c r="J1802" s="78" t="s">
        <v>69</v>
      </c>
      <c r="K1802" s="58">
        <f t="shared" si="3"/>
        <v>4</v>
      </c>
      <c r="L1802" s="91" t="str">
        <f t="shared" si="8"/>
        <v>Tue</v>
      </c>
      <c r="M1802" s="78" t="str">
        <f>IFERROR(VLOOKUP(A1802, Entries!A:B,2,false),"")</f>
        <v>PlayWay</v>
      </c>
      <c r="N1802" s="23" t="str">
        <f>IFERROR(VLOOKUP(A1802, Entries!A:K,11,false),"")</f>
        <v/>
      </c>
      <c r="O1802" s="23" t="b">
        <f>IFERROR(VLOOKUP(A1802, Entries!A:I,8,false),"")</f>
        <v>1</v>
      </c>
    </row>
    <row r="1803">
      <c r="A1803" s="78" t="s">
        <v>1909</v>
      </c>
      <c r="B1803" s="78" t="s">
        <v>25</v>
      </c>
      <c r="C1803" s="85">
        <v>44659.0</v>
      </c>
      <c r="D1803" s="85">
        <v>44667.0</v>
      </c>
      <c r="E1803" s="86">
        <v>2.31</v>
      </c>
      <c r="F1803" s="87">
        <v>2.41</v>
      </c>
      <c r="G1803" s="88">
        <f t="shared" si="1"/>
        <v>0.1</v>
      </c>
      <c r="H1803" s="89">
        <f t="shared" si="10"/>
        <v>0.04149377593</v>
      </c>
      <c r="I1803" s="78" t="s">
        <v>2338</v>
      </c>
      <c r="J1803" s="78" t="s">
        <v>69</v>
      </c>
      <c r="K1803" s="58">
        <f t="shared" si="3"/>
        <v>8</v>
      </c>
      <c r="L1803" s="91" t="str">
        <f t="shared" si="8"/>
        <v>Sat</v>
      </c>
      <c r="M1803" s="78" t="str">
        <f>IFERROR(VLOOKUP(A1803, Entries!A:B,2,false),"")</f>
        <v>PlayWay</v>
      </c>
      <c r="N1803" s="23" t="str">
        <f>IFERROR(VLOOKUP(A1803, Entries!A:K,11,false),"")</f>
        <v/>
      </c>
      <c r="O1803" s="23" t="b">
        <f>IFERROR(VLOOKUP(A1803, Entries!A:I,8,false),"")</f>
        <v>1</v>
      </c>
    </row>
    <row r="1804">
      <c r="A1804" s="78" t="s">
        <v>2339</v>
      </c>
      <c r="B1804" s="78" t="s">
        <v>30</v>
      </c>
      <c r="C1804" s="85">
        <v>44659.0</v>
      </c>
      <c r="D1804" s="85">
        <v>44659.0</v>
      </c>
      <c r="E1804" s="86">
        <v>7.66</v>
      </c>
      <c r="F1804" s="87">
        <v>9.92</v>
      </c>
      <c r="G1804" s="88">
        <f t="shared" si="1"/>
        <v>2.26</v>
      </c>
      <c r="H1804" s="89">
        <f t="shared" si="10"/>
        <v>0.2278225806</v>
      </c>
      <c r="I1804" s="78" t="s">
        <v>2340</v>
      </c>
      <c r="J1804" s="78" t="s">
        <v>69</v>
      </c>
      <c r="K1804" s="58">
        <f t="shared" si="3"/>
        <v>0</v>
      </c>
      <c r="L1804" s="91" t="str">
        <f t="shared" si="8"/>
        <v>Fri</v>
      </c>
      <c r="M1804" s="78" t="str">
        <f>IFERROR(VLOOKUP(A1804, Entries!A:B,2,false),"")</f>
        <v>PlayWay</v>
      </c>
      <c r="N1804" s="23" t="str">
        <f>IFERROR(VLOOKUP(A1804, Entries!A:K,11,false),"")</f>
        <v/>
      </c>
      <c r="O1804" s="23" t="b">
        <f>IFERROR(VLOOKUP(A1804, Entries!A:I,8,false),"")</f>
        <v>0</v>
      </c>
    </row>
    <row r="1805">
      <c r="A1805" s="78" t="s">
        <v>2339</v>
      </c>
      <c r="B1805" s="78" t="s">
        <v>30</v>
      </c>
      <c r="C1805" s="85">
        <v>44659.0</v>
      </c>
      <c r="D1805" s="85">
        <v>44689.0</v>
      </c>
      <c r="E1805" s="86">
        <v>7.66</v>
      </c>
      <c r="F1805" s="87">
        <v>8.43</v>
      </c>
      <c r="G1805" s="88">
        <f t="shared" si="1"/>
        <v>0.77</v>
      </c>
      <c r="H1805" s="89">
        <f t="shared" si="10"/>
        <v>0.09134045077</v>
      </c>
      <c r="I1805" s="78" t="s">
        <v>2341</v>
      </c>
      <c r="J1805" s="78" t="s">
        <v>69</v>
      </c>
      <c r="K1805" s="58">
        <f t="shared" si="3"/>
        <v>30</v>
      </c>
      <c r="L1805" s="91" t="str">
        <f t="shared" si="8"/>
        <v>Sun</v>
      </c>
      <c r="M1805" s="78" t="str">
        <f>IFERROR(VLOOKUP(A1805, Entries!A:B,2,false),"")</f>
        <v>PlayWay</v>
      </c>
      <c r="N1805" s="23" t="str">
        <f>IFERROR(VLOOKUP(A1805, Entries!A:K,11,false),"")</f>
        <v/>
      </c>
      <c r="O1805" s="23" t="b">
        <f>IFERROR(VLOOKUP(A1805, Entries!A:I,8,false),"")</f>
        <v>0</v>
      </c>
    </row>
    <row r="1806">
      <c r="A1806" s="78" t="s">
        <v>2339</v>
      </c>
      <c r="B1806" s="78" t="s">
        <v>30</v>
      </c>
      <c r="C1806" s="85">
        <v>44659.0</v>
      </c>
      <c r="D1806" s="85">
        <v>44689.0</v>
      </c>
      <c r="E1806" s="86">
        <v>7.66</v>
      </c>
      <c r="F1806" s="87">
        <v>8.43</v>
      </c>
      <c r="G1806" s="88">
        <f t="shared" si="1"/>
        <v>0.77</v>
      </c>
      <c r="H1806" s="89">
        <f t="shared" si="10"/>
        <v>0.09134045077</v>
      </c>
      <c r="I1806" s="78" t="s">
        <v>2342</v>
      </c>
      <c r="J1806" s="78" t="s">
        <v>69</v>
      </c>
      <c r="K1806" s="58">
        <f t="shared" si="3"/>
        <v>30</v>
      </c>
      <c r="L1806" s="91" t="str">
        <f t="shared" si="8"/>
        <v>Sun</v>
      </c>
      <c r="M1806" s="78" t="str">
        <f>IFERROR(VLOOKUP(A1806, Entries!A:B,2,false),"")</f>
        <v>PlayWay</v>
      </c>
      <c r="N1806" s="23" t="str">
        <f>IFERROR(VLOOKUP(A1806, Entries!A:K,11,false),"")</f>
        <v/>
      </c>
      <c r="O1806" s="23" t="b">
        <f>IFERROR(VLOOKUP(A1806, Entries!A:I,8,false),"")</f>
        <v>0</v>
      </c>
    </row>
    <row r="1807">
      <c r="A1807" s="78" t="s">
        <v>84</v>
      </c>
      <c r="B1807" s="78" t="s">
        <v>19</v>
      </c>
      <c r="C1807" s="85">
        <v>44659.0</v>
      </c>
      <c r="D1807" s="85">
        <v>44661.0</v>
      </c>
      <c r="E1807" s="86">
        <v>20.49</v>
      </c>
      <c r="F1807" s="87">
        <v>22.76</v>
      </c>
      <c r="G1807" s="88">
        <f t="shared" si="1"/>
        <v>2.27</v>
      </c>
      <c r="H1807" s="89">
        <f t="shared" si="10"/>
        <v>0.09973637961</v>
      </c>
      <c r="I1807" s="78" t="s">
        <v>2343</v>
      </c>
      <c r="J1807" s="78" t="s">
        <v>69</v>
      </c>
      <c r="K1807" s="58">
        <f t="shared" si="3"/>
        <v>2</v>
      </c>
      <c r="L1807" s="91" t="str">
        <f t="shared" si="8"/>
        <v>Sun</v>
      </c>
      <c r="M1807" s="78" t="str">
        <f>IFERROR(VLOOKUP(A1807, Entries!A:B,2,false),"")</f>
        <v>Siege Camp</v>
      </c>
      <c r="N1807" s="23" t="str">
        <f>IFERROR(VLOOKUP(A1807, Entries!A:K,11,false),"")</f>
        <v/>
      </c>
      <c r="O1807" s="23" t="b">
        <f>IFERROR(VLOOKUP(A1807, Entries!A:I,8,false),"")</f>
        <v>1</v>
      </c>
    </row>
    <row r="1808">
      <c r="A1808" s="78" t="s">
        <v>1488</v>
      </c>
      <c r="B1808" s="78" t="s">
        <v>32</v>
      </c>
      <c r="C1808" s="85">
        <v>44659.0</v>
      </c>
      <c r="D1808" s="85">
        <v>44659.0</v>
      </c>
      <c r="E1808" s="86">
        <v>13.66</v>
      </c>
      <c r="F1808" s="87">
        <v>18.07</v>
      </c>
      <c r="G1808" s="88">
        <f t="shared" si="1"/>
        <v>4.41</v>
      </c>
      <c r="H1808" s="89">
        <f t="shared" si="10"/>
        <v>0.2440509131</v>
      </c>
      <c r="I1808" s="78" t="s">
        <v>2344</v>
      </c>
      <c r="J1808" s="78" t="s">
        <v>69</v>
      </c>
      <c r="K1808" s="58">
        <f t="shared" si="3"/>
        <v>0</v>
      </c>
      <c r="L1808" s="91" t="str">
        <f t="shared" si="8"/>
        <v>Fri</v>
      </c>
      <c r="M1808" s="78" t="str">
        <f>IFERROR(VLOOKUP(A1808, Entries!A:B,2,false),"")</f>
        <v>Perfect World Entertainment</v>
      </c>
      <c r="N1808" s="23" t="str">
        <f>IFERROR(VLOOKUP(A1808, Entries!A:K,11,false),"")</f>
        <v/>
      </c>
      <c r="O1808" s="23" t="b">
        <f>IFERROR(VLOOKUP(A1808, Entries!A:I,8,false),"")</f>
        <v>1</v>
      </c>
    </row>
    <row r="1809">
      <c r="A1809" s="78" t="s">
        <v>1488</v>
      </c>
      <c r="B1809" s="78" t="s">
        <v>32</v>
      </c>
      <c r="C1809" s="85">
        <v>44659.0</v>
      </c>
      <c r="D1809" s="85">
        <v>44659.0</v>
      </c>
      <c r="E1809" s="86">
        <v>13.67</v>
      </c>
      <c r="F1809" s="87">
        <v>18.07</v>
      </c>
      <c r="G1809" s="88">
        <f t="shared" si="1"/>
        <v>4.4</v>
      </c>
      <c r="H1809" s="89">
        <f t="shared" si="10"/>
        <v>0.2434975097</v>
      </c>
      <c r="I1809" s="78" t="s">
        <v>2345</v>
      </c>
      <c r="J1809" s="78" t="s">
        <v>69</v>
      </c>
      <c r="K1809" s="58">
        <f t="shared" si="3"/>
        <v>0</v>
      </c>
      <c r="L1809" s="91" t="str">
        <f t="shared" si="8"/>
        <v>Fri</v>
      </c>
      <c r="M1809" s="78" t="str">
        <f>IFERROR(VLOOKUP(A1809, Entries!A:B,2,false),"")</f>
        <v>Perfect World Entertainment</v>
      </c>
      <c r="N1809" s="23" t="str">
        <f>IFERROR(VLOOKUP(A1809, Entries!A:K,11,false),"")</f>
        <v/>
      </c>
      <c r="O1809" s="23" t="b">
        <f>IFERROR(VLOOKUP(A1809, Entries!A:I,8,false),"")</f>
        <v>1</v>
      </c>
    </row>
    <row r="1810">
      <c r="A1810" s="78" t="s">
        <v>1488</v>
      </c>
      <c r="B1810" s="78" t="s">
        <v>32</v>
      </c>
      <c r="C1810" s="85">
        <v>44659.0</v>
      </c>
      <c r="D1810" s="85">
        <v>44726.0</v>
      </c>
      <c r="E1810" s="86">
        <v>13.67</v>
      </c>
      <c r="F1810" s="87">
        <v>18.13</v>
      </c>
      <c r="G1810" s="88">
        <f t="shared" si="1"/>
        <v>4.46</v>
      </c>
      <c r="H1810" s="89">
        <f t="shared" si="10"/>
        <v>0.2460011031</v>
      </c>
      <c r="I1810" s="78" t="s">
        <v>2346</v>
      </c>
      <c r="J1810" s="78" t="s">
        <v>69</v>
      </c>
      <c r="K1810" s="58">
        <f t="shared" si="3"/>
        <v>67</v>
      </c>
      <c r="L1810" s="91" t="str">
        <f t="shared" si="8"/>
        <v>Tue</v>
      </c>
      <c r="M1810" s="78" t="str">
        <f>IFERROR(VLOOKUP(A1810, Entries!A:B,2,false),"")</f>
        <v>Perfect World Entertainment</v>
      </c>
      <c r="N1810" s="23" t="str">
        <f>IFERROR(VLOOKUP(A1810, Entries!A:K,11,false),"")</f>
        <v/>
      </c>
      <c r="O1810" s="23" t="b">
        <f>IFERROR(VLOOKUP(A1810, Entries!A:I,8,false),"")</f>
        <v>1</v>
      </c>
    </row>
    <row r="1811">
      <c r="A1811" s="78" t="s">
        <v>1464</v>
      </c>
      <c r="B1811" s="78" t="s">
        <v>19</v>
      </c>
      <c r="C1811" s="85">
        <v>44659.0</v>
      </c>
      <c r="D1811" s="85">
        <v>44660.0</v>
      </c>
      <c r="E1811" s="86">
        <v>0.96</v>
      </c>
      <c r="F1811" s="87">
        <v>1.06</v>
      </c>
      <c r="G1811" s="88">
        <f t="shared" si="1"/>
        <v>0.1</v>
      </c>
      <c r="H1811" s="89">
        <f t="shared" si="10"/>
        <v>0.09433962264</v>
      </c>
      <c r="I1811" s="78" t="s">
        <v>2347</v>
      </c>
      <c r="J1811" s="78" t="s">
        <v>69</v>
      </c>
      <c r="K1811" s="58">
        <f t="shared" si="3"/>
        <v>1</v>
      </c>
      <c r="L1811" s="91" t="str">
        <f t="shared" si="8"/>
        <v>Sat</v>
      </c>
      <c r="M1811" s="78" t="str">
        <f>IFERROR(VLOOKUP(A1811, Entries!A:B,2,false),"")</f>
        <v>Oddworld Inhabitants</v>
      </c>
      <c r="N1811" s="23" t="str">
        <f>IFERROR(VLOOKUP(A1811, Entries!A:K,11,false),"")</f>
        <v/>
      </c>
      <c r="O1811" s="23" t="b">
        <f>IFERROR(VLOOKUP(A1811, Entries!A:I,8,false),"")</f>
        <v>0</v>
      </c>
    </row>
    <row r="1812">
      <c r="A1812" s="78" t="s">
        <v>2320</v>
      </c>
      <c r="B1812" s="78" t="s">
        <v>23</v>
      </c>
      <c r="C1812" s="85">
        <v>44659.0</v>
      </c>
      <c r="D1812" s="85">
        <v>44660.0</v>
      </c>
      <c r="E1812" s="86">
        <v>14.99</v>
      </c>
      <c r="F1812" s="87">
        <v>17.75</v>
      </c>
      <c r="G1812" s="88">
        <f t="shared" si="1"/>
        <v>2.76</v>
      </c>
      <c r="H1812" s="89">
        <f t="shared" si="10"/>
        <v>0.1554929577</v>
      </c>
      <c r="I1812" s="78" t="s">
        <v>2348</v>
      </c>
      <c r="J1812" s="78" t="s">
        <v>69</v>
      </c>
      <c r="K1812" s="58">
        <f t="shared" si="3"/>
        <v>1</v>
      </c>
      <c r="L1812" s="91" t="str">
        <f t="shared" si="8"/>
        <v>Sat</v>
      </c>
      <c r="M1812" s="78" t="str">
        <f>IFERROR(VLOOKUP(A1812, Entries!A:B,2,false),"")</f>
        <v>Konami</v>
      </c>
      <c r="N1812" s="23" t="str">
        <f>IFERROR(VLOOKUP(A1812, Entries!A:K,11,false),"")</f>
        <v/>
      </c>
      <c r="O1812" s="23" t="b">
        <f>IFERROR(VLOOKUP(A1812, Entries!A:I,8,false),"")</f>
        <v>0</v>
      </c>
    </row>
    <row r="1813">
      <c r="A1813" s="78" t="s">
        <v>2323</v>
      </c>
      <c r="B1813" s="78" t="s">
        <v>19</v>
      </c>
      <c r="C1813" s="85">
        <v>44659.0</v>
      </c>
      <c r="D1813" s="85">
        <v>44660.0</v>
      </c>
      <c r="E1813" s="86">
        <v>3.19</v>
      </c>
      <c r="F1813" s="87">
        <v>7.22</v>
      </c>
      <c r="G1813" s="88">
        <f t="shared" si="1"/>
        <v>4.03</v>
      </c>
      <c r="H1813" s="89">
        <f t="shared" si="10"/>
        <v>0.5581717452</v>
      </c>
      <c r="I1813" s="78" t="s">
        <v>2349</v>
      </c>
      <c r="J1813" s="78" t="s">
        <v>69</v>
      </c>
      <c r="K1813" s="58">
        <f t="shared" si="3"/>
        <v>1</v>
      </c>
      <c r="L1813" s="91" t="str">
        <f t="shared" si="8"/>
        <v>Sat</v>
      </c>
      <c r="M1813" s="78" t="str">
        <f>IFERROR(VLOOKUP(A1813, Entries!A:B,2,false),"")</f>
        <v>tinyBuild</v>
      </c>
      <c r="N1813" s="23" t="str">
        <f>IFERROR(VLOOKUP(A1813, Entries!A:K,11,false),"")</f>
        <v/>
      </c>
      <c r="O1813" s="23" t="b">
        <f>IFERROR(VLOOKUP(A1813, Entries!A:I,8,false),"")</f>
        <v>1</v>
      </c>
    </row>
    <row r="1814">
      <c r="A1814" s="78" t="s">
        <v>2350</v>
      </c>
      <c r="B1814" s="78" t="s">
        <v>19</v>
      </c>
      <c r="C1814" s="85">
        <v>44659.0</v>
      </c>
      <c r="D1814" s="85">
        <v>44726.0</v>
      </c>
      <c r="E1814" s="86">
        <v>3.18</v>
      </c>
      <c r="F1814" s="87">
        <v>3.63</v>
      </c>
      <c r="G1814" s="88">
        <f t="shared" si="1"/>
        <v>0.45</v>
      </c>
      <c r="H1814" s="89">
        <f t="shared" si="10"/>
        <v>0.1239669421</v>
      </c>
      <c r="I1814" s="78" t="s">
        <v>2351</v>
      </c>
      <c r="J1814" s="78" t="s">
        <v>69</v>
      </c>
      <c r="K1814" s="58">
        <f t="shared" si="3"/>
        <v>67</v>
      </c>
      <c r="L1814" s="91" t="str">
        <f t="shared" si="8"/>
        <v>Tue</v>
      </c>
      <c r="M1814" s="78" t="str">
        <f>IFERROR(VLOOKUP(A1814, Entries!A:B,2,false),"")</f>
        <v>Kasedo Games</v>
      </c>
      <c r="N1814" s="23" t="str">
        <f>IFERROR(VLOOKUP(A1814, Entries!A:K,11,false),"")</f>
        <v/>
      </c>
      <c r="O1814" s="23" t="b">
        <f>IFERROR(VLOOKUP(A1814, Entries!A:I,8,false),"")</f>
        <v>0</v>
      </c>
    </row>
    <row r="1815">
      <c r="A1815" s="78" t="s">
        <v>2320</v>
      </c>
      <c r="B1815" s="78" t="s">
        <v>23</v>
      </c>
      <c r="C1815" s="85">
        <v>44659.0</v>
      </c>
      <c r="D1815" s="85">
        <v>44661.0</v>
      </c>
      <c r="E1815" s="86">
        <v>14.99</v>
      </c>
      <c r="F1815" s="87">
        <v>17.92</v>
      </c>
      <c r="G1815" s="88">
        <f t="shared" si="1"/>
        <v>2.93</v>
      </c>
      <c r="H1815" s="89">
        <f t="shared" si="10"/>
        <v>0.1635044643</v>
      </c>
      <c r="I1815" s="78" t="s">
        <v>2352</v>
      </c>
      <c r="J1815" s="78" t="s">
        <v>69</v>
      </c>
      <c r="K1815" s="58">
        <f t="shared" si="3"/>
        <v>2</v>
      </c>
      <c r="L1815" s="91" t="str">
        <f t="shared" si="8"/>
        <v>Sun</v>
      </c>
      <c r="M1815" s="78" t="str">
        <f>IFERROR(VLOOKUP(A1815, Entries!A:B,2,false),"")</f>
        <v>Konami</v>
      </c>
      <c r="N1815" s="23" t="str">
        <f>IFERROR(VLOOKUP(A1815, Entries!A:K,11,false),"")</f>
        <v/>
      </c>
      <c r="O1815" s="23" t="b">
        <f>IFERROR(VLOOKUP(A1815, Entries!A:I,8,false),"")</f>
        <v>0</v>
      </c>
    </row>
    <row r="1816">
      <c r="A1816" s="78" t="s">
        <v>1488</v>
      </c>
      <c r="B1816" s="78" t="s">
        <v>18</v>
      </c>
      <c r="C1816" s="85">
        <v>44659.0</v>
      </c>
      <c r="D1816" s="85">
        <v>44729.0</v>
      </c>
      <c r="E1816" s="86">
        <v>14.4</v>
      </c>
      <c r="F1816" s="87">
        <v>18.33</v>
      </c>
      <c r="G1816" s="88">
        <f t="shared" si="1"/>
        <v>3.93</v>
      </c>
      <c r="H1816" s="89">
        <f t="shared" si="10"/>
        <v>0.2144026187</v>
      </c>
      <c r="I1816" s="78" t="s">
        <v>2353</v>
      </c>
      <c r="J1816" s="78" t="s">
        <v>69</v>
      </c>
      <c r="K1816" s="58">
        <f t="shared" si="3"/>
        <v>70</v>
      </c>
      <c r="L1816" s="91" t="str">
        <f t="shared" si="8"/>
        <v>Fri</v>
      </c>
      <c r="M1816" s="78" t="str">
        <f>IFERROR(VLOOKUP(A1816, Entries!A:B,2,false),"")</f>
        <v>Perfect World Entertainment</v>
      </c>
      <c r="N1816" s="23" t="str">
        <f>IFERROR(VLOOKUP(A1816, Entries!A:K,11,false),"")</f>
        <v/>
      </c>
      <c r="O1816" s="23" t="b">
        <f>IFERROR(VLOOKUP(A1816, Entries!A:I,8,false),"")</f>
        <v>1</v>
      </c>
    </row>
    <row r="1817">
      <c r="A1817" s="78" t="s">
        <v>1488</v>
      </c>
      <c r="B1817" s="78" t="s">
        <v>18</v>
      </c>
      <c r="C1817" s="85">
        <v>44659.0</v>
      </c>
      <c r="D1817" s="85">
        <v>44775.0</v>
      </c>
      <c r="E1817" s="86">
        <v>14.4</v>
      </c>
      <c r="F1817" s="87">
        <v>18.33</v>
      </c>
      <c r="G1817" s="88">
        <f t="shared" si="1"/>
        <v>3.93</v>
      </c>
      <c r="H1817" s="89">
        <f t="shared" si="10"/>
        <v>0.2144026187</v>
      </c>
      <c r="I1817" s="78" t="s">
        <v>2354</v>
      </c>
      <c r="J1817" s="78" t="s">
        <v>69</v>
      </c>
      <c r="K1817" s="58">
        <f t="shared" si="3"/>
        <v>116</v>
      </c>
      <c r="L1817" s="91" t="str">
        <f t="shared" si="8"/>
        <v>Tue</v>
      </c>
      <c r="M1817" s="78" t="str">
        <f>IFERROR(VLOOKUP(A1817, Entries!A:B,2,false),"")</f>
        <v>Perfect World Entertainment</v>
      </c>
      <c r="N1817" s="23" t="str">
        <f>IFERROR(VLOOKUP(A1817, Entries!A:K,11,false),"")</f>
        <v/>
      </c>
      <c r="O1817" s="23" t="b">
        <f>IFERROR(VLOOKUP(A1817, Entries!A:I,8,false),"")</f>
        <v>1</v>
      </c>
    </row>
    <row r="1818">
      <c r="A1818" s="78" t="s">
        <v>1488</v>
      </c>
      <c r="B1818" s="78" t="s">
        <v>18</v>
      </c>
      <c r="C1818" s="85">
        <v>44659.0</v>
      </c>
      <c r="D1818" s="85">
        <v>44906.0</v>
      </c>
      <c r="E1818" s="86">
        <v>14.41</v>
      </c>
      <c r="F1818" s="87">
        <v>18.22</v>
      </c>
      <c r="G1818" s="88">
        <f t="shared" si="1"/>
        <v>3.81</v>
      </c>
      <c r="H1818" s="89">
        <f t="shared" si="10"/>
        <v>0.2091108672</v>
      </c>
      <c r="I1818" s="78" t="s">
        <v>2355</v>
      </c>
      <c r="J1818" s="78" t="s">
        <v>69</v>
      </c>
      <c r="K1818" s="58">
        <f t="shared" si="3"/>
        <v>247</v>
      </c>
      <c r="L1818" s="91" t="str">
        <f t="shared" si="8"/>
        <v>Sun</v>
      </c>
      <c r="M1818" s="78" t="str">
        <f>IFERROR(VLOOKUP(A1818, Entries!A:B,2,false),"")</f>
        <v>Perfect World Entertainment</v>
      </c>
      <c r="N1818" s="23" t="str">
        <f>IFERROR(VLOOKUP(A1818, Entries!A:K,11,false),"")</f>
        <v/>
      </c>
      <c r="O1818" s="23" t="b">
        <f>IFERROR(VLOOKUP(A1818, Entries!A:I,8,false),"")</f>
        <v>1</v>
      </c>
    </row>
    <row r="1819">
      <c r="A1819" s="78" t="s">
        <v>1984</v>
      </c>
      <c r="B1819" s="78" t="s">
        <v>27</v>
      </c>
      <c r="C1819" s="85">
        <v>44660.0</v>
      </c>
      <c r="D1819" s="85">
        <v>44662.0</v>
      </c>
      <c r="E1819" s="86">
        <v>7.29</v>
      </c>
      <c r="F1819" s="87">
        <v>10.1</v>
      </c>
      <c r="G1819" s="88">
        <f t="shared" si="1"/>
        <v>2.81</v>
      </c>
      <c r="H1819" s="89">
        <f t="shared" si="10"/>
        <v>0.2782178218</v>
      </c>
      <c r="I1819" s="78" t="s">
        <v>2356</v>
      </c>
      <c r="J1819" s="78" t="s">
        <v>69</v>
      </c>
      <c r="K1819" s="58">
        <f t="shared" si="3"/>
        <v>2</v>
      </c>
      <c r="L1819" s="91" t="str">
        <f t="shared" si="8"/>
        <v>Mon</v>
      </c>
      <c r="M1819" s="78" t="str">
        <f>IFERROR(VLOOKUP(A1819, Entries!A:B,2,false),"")</f>
        <v>Offworld Industries</v>
      </c>
      <c r="N1819" s="23" t="str">
        <f>IFERROR(VLOOKUP(A1819, Entries!A:K,11,false),"")</f>
        <v/>
      </c>
      <c r="O1819" s="23" t="b">
        <f>IFERROR(VLOOKUP(A1819, Entries!A:I,8,false),"")</f>
        <v>1</v>
      </c>
    </row>
    <row r="1820">
      <c r="A1820" s="78" t="s">
        <v>2323</v>
      </c>
      <c r="B1820" s="78" t="s">
        <v>19</v>
      </c>
      <c r="C1820" s="85">
        <v>44660.0</v>
      </c>
      <c r="D1820" s="85">
        <v>44660.0</v>
      </c>
      <c r="E1820" s="86">
        <v>3.19</v>
      </c>
      <c r="F1820" s="87">
        <v>7.22</v>
      </c>
      <c r="G1820" s="88">
        <f t="shared" si="1"/>
        <v>4.03</v>
      </c>
      <c r="H1820" s="89">
        <f t="shared" si="10"/>
        <v>0.5581717452</v>
      </c>
      <c r="I1820" s="78" t="s">
        <v>2357</v>
      </c>
      <c r="J1820" s="78" t="s">
        <v>69</v>
      </c>
      <c r="K1820" s="58">
        <f t="shared" si="3"/>
        <v>0</v>
      </c>
      <c r="L1820" s="91" t="str">
        <f t="shared" si="8"/>
        <v>Sat</v>
      </c>
      <c r="M1820" s="78" t="str">
        <f>IFERROR(VLOOKUP(A1820, Entries!A:B,2,false),"")</f>
        <v>tinyBuild</v>
      </c>
      <c r="N1820" s="23" t="str">
        <f>IFERROR(VLOOKUP(A1820, Entries!A:K,11,false),"")</f>
        <v/>
      </c>
      <c r="O1820" s="23" t="b">
        <f>IFERROR(VLOOKUP(A1820, Entries!A:I,8,false),"")</f>
        <v>1</v>
      </c>
    </row>
    <row r="1821">
      <c r="A1821" s="78" t="s">
        <v>1568</v>
      </c>
      <c r="B1821" s="78" t="s">
        <v>19</v>
      </c>
      <c r="C1821" s="85">
        <v>44660.0</v>
      </c>
      <c r="D1821" s="85">
        <v>44785.0</v>
      </c>
      <c r="E1821" s="86">
        <v>3.19</v>
      </c>
      <c r="F1821" s="87">
        <v>4.79</v>
      </c>
      <c r="G1821" s="88">
        <f t="shared" si="1"/>
        <v>1.6</v>
      </c>
      <c r="H1821" s="89">
        <f t="shared" si="10"/>
        <v>0.3340292276</v>
      </c>
      <c r="I1821" s="78" t="s">
        <v>2358</v>
      </c>
      <c r="J1821" s="78" t="s">
        <v>69</v>
      </c>
      <c r="K1821" s="58">
        <f t="shared" si="3"/>
        <v>125</v>
      </c>
      <c r="L1821" s="91" t="str">
        <f t="shared" si="8"/>
        <v>Fri</v>
      </c>
      <c r="M1821" s="78" t="str">
        <f>IFERROR(VLOOKUP(A1821, Entries!A:B,2,false),"")</f>
        <v>Natsume</v>
      </c>
      <c r="N1821" s="23" t="str">
        <f>IFERROR(VLOOKUP(A1821, Entries!A:K,11,false),"")</f>
        <v/>
      </c>
      <c r="O1821" s="23" t="b">
        <f>IFERROR(VLOOKUP(A1821, Entries!A:I,8,false),"")</f>
        <v>0</v>
      </c>
    </row>
    <row r="1822">
      <c r="A1822" s="78" t="s">
        <v>2359</v>
      </c>
      <c r="B1822" s="78" t="s">
        <v>22</v>
      </c>
      <c r="C1822" s="85">
        <v>44660.0</v>
      </c>
      <c r="D1822" s="85">
        <v>44660.0</v>
      </c>
      <c r="E1822" s="86">
        <v>16.15</v>
      </c>
      <c r="F1822" s="87">
        <v>23.13</v>
      </c>
      <c r="G1822" s="88">
        <f t="shared" si="1"/>
        <v>6.98</v>
      </c>
      <c r="H1822" s="89">
        <f t="shared" si="10"/>
        <v>0.3017725897</v>
      </c>
      <c r="I1822" s="78" t="s">
        <v>2360</v>
      </c>
      <c r="J1822" s="78" t="s">
        <v>69</v>
      </c>
      <c r="K1822" s="58">
        <f t="shared" si="3"/>
        <v>0</v>
      </c>
      <c r="L1822" s="91" t="str">
        <f t="shared" si="8"/>
        <v>Sat</v>
      </c>
      <c r="M1822" s="78" t="str">
        <f>IFERROR(VLOOKUP(A1822, Entries!A:B,2,false),"")</f>
        <v>Good Shepherd Entertainment</v>
      </c>
      <c r="N1822" s="23" t="str">
        <f>IFERROR(VLOOKUP(A1822, Entries!A:K,11,false),"")</f>
        <v/>
      </c>
      <c r="O1822" s="23" t="b">
        <f>IFERROR(VLOOKUP(A1822, Entries!A:I,8,false),"")</f>
        <v>0</v>
      </c>
    </row>
    <row r="1823">
      <c r="A1823" s="78" t="s">
        <v>2359</v>
      </c>
      <c r="B1823" s="78" t="s">
        <v>22</v>
      </c>
      <c r="C1823" s="85">
        <v>44660.0</v>
      </c>
      <c r="D1823" s="85">
        <v>44660.0</v>
      </c>
      <c r="E1823" s="86">
        <v>16.15</v>
      </c>
      <c r="F1823" s="87">
        <v>23.14</v>
      </c>
      <c r="G1823" s="88">
        <f t="shared" si="1"/>
        <v>6.99</v>
      </c>
      <c r="H1823" s="89">
        <f t="shared" si="10"/>
        <v>0.3020743302</v>
      </c>
      <c r="I1823" s="78" t="s">
        <v>2361</v>
      </c>
      <c r="J1823" s="78" t="s">
        <v>69</v>
      </c>
      <c r="K1823" s="58">
        <f t="shared" si="3"/>
        <v>0</v>
      </c>
      <c r="L1823" s="91" t="str">
        <f t="shared" si="8"/>
        <v>Sat</v>
      </c>
      <c r="M1823" s="78" t="str">
        <f>IFERROR(VLOOKUP(A1823, Entries!A:B,2,false),"")</f>
        <v>Good Shepherd Entertainment</v>
      </c>
      <c r="N1823" s="23" t="str">
        <f>IFERROR(VLOOKUP(A1823, Entries!A:K,11,false),"")</f>
        <v/>
      </c>
      <c r="O1823" s="23" t="b">
        <f>IFERROR(VLOOKUP(A1823, Entries!A:I,8,false),"")</f>
        <v>0</v>
      </c>
    </row>
    <row r="1824">
      <c r="A1824" s="78" t="s">
        <v>2323</v>
      </c>
      <c r="B1824" s="78" t="s">
        <v>19</v>
      </c>
      <c r="C1824" s="85">
        <v>44660.0</v>
      </c>
      <c r="D1824" s="85">
        <v>44660.0</v>
      </c>
      <c r="E1824" s="86">
        <v>3.19</v>
      </c>
      <c r="F1824" s="87">
        <v>8.29</v>
      </c>
      <c r="G1824" s="88">
        <f t="shared" si="1"/>
        <v>5.1</v>
      </c>
      <c r="H1824" s="89">
        <f t="shared" si="10"/>
        <v>0.615199035</v>
      </c>
      <c r="I1824" s="78" t="s">
        <v>2362</v>
      </c>
      <c r="J1824" s="78" t="s">
        <v>69</v>
      </c>
      <c r="K1824" s="58">
        <f t="shared" si="3"/>
        <v>0</v>
      </c>
      <c r="L1824" s="91" t="str">
        <f t="shared" si="8"/>
        <v>Sat</v>
      </c>
      <c r="M1824" s="78" t="str">
        <f>IFERROR(VLOOKUP(A1824, Entries!A:B,2,false),"")</f>
        <v>tinyBuild</v>
      </c>
      <c r="N1824" s="23" t="str">
        <f>IFERROR(VLOOKUP(A1824, Entries!A:K,11,false),"")</f>
        <v/>
      </c>
      <c r="O1824" s="23" t="b">
        <f>IFERROR(VLOOKUP(A1824, Entries!A:I,8,false),"")</f>
        <v>1</v>
      </c>
    </row>
    <row r="1825">
      <c r="A1825" s="78" t="s">
        <v>2363</v>
      </c>
      <c r="B1825" s="78" t="s">
        <v>19</v>
      </c>
      <c r="C1825" s="85">
        <v>44660.0</v>
      </c>
      <c r="D1825" s="85">
        <v>44661.0</v>
      </c>
      <c r="E1825" s="86">
        <v>3.19</v>
      </c>
      <c r="F1825" s="87">
        <v>4.83</v>
      </c>
      <c r="G1825" s="88">
        <f t="shared" si="1"/>
        <v>1.64</v>
      </c>
      <c r="H1825" s="89">
        <f t="shared" si="10"/>
        <v>0.3395445135</v>
      </c>
      <c r="I1825" s="78" t="s">
        <v>2364</v>
      </c>
      <c r="J1825" s="78" t="s">
        <v>69</v>
      </c>
      <c r="K1825" s="58">
        <f t="shared" si="3"/>
        <v>1</v>
      </c>
      <c r="L1825" s="91" t="str">
        <f t="shared" si="8"/>
        <v>Sun</v>
      </c>
      <c r="M1825" s="78" t="str">
        <f>IFERROR(VLOOKUP(A1825, Entries!A:B,2,false),"")</f>
        <v>HandyGames</v>
      </c>
      <c r="N1825" s="23" t="str">
        <f>IFERROR(VLOOKUP(A1825, Entries!A:K,11,false),"")</f>
        <v/>
      </c>
      <c r="O1825" s="23" t="b">
        <f>IFERROR(VLOOKUP(A1825, Entries!A:I,8,false),"")</f>
        <v>0</v>
      </c>
    </row>
    <row r="1826">
      <c r="A1826" s="78" t="s">
        <v>2323</v>
      </c>
      <c r="B1826" s="78" t="s">
        <v>19</v>
      </c>
      <c r="C1826" s="85">
        <v>44660.0</v>
      </c>
      <c r="D1826" s="85">
        <v>44662.0</v>
      </c>
      <c r="E1826" s="86">
        <v>3.19</v>
      </c>
      <c r="F1826" s="87">
        <v>7.43</v>
      </c>
      <c r="G1826" s="88">
        <f t="shared" si="1"/>
        <v>4.24</v>
      </c>
      <c r="H1826" s="89">
        <f t="shared" si="10"/>
        <v>0.5706594886</v>
      </c>
      <c r="I1826" s="78" t="s">
        <v>2365</v>
      </c>
      <c r="J1826" s="78" t="s">
        <v>69</v>
      </c>
      <c r="K1826" s="58">
        <f t="shared" si="3"/>
        <v>2</v>
      </c>
      <c r="L1826" s="91" t="str">
        <f t="shared" si="8"/>
        <v>Mon</v>
      </c>
      <c r="M1826" s="78" t="str">
        <f>IFERROR(VLOOKUP(A1826, Entries!A:B,2,false),"")</f>
        <v>tinyBuild</v>
      </c>
      <c r="N1826" s="23" t="str">
        <f>IFERROR(VLOOKUP(A1826, Entries!A:K,11,false),"")</f>
        <v/>
      </c>
      <c r="O1826" s="23" t="b">
        <f>IFERROR(VLOOKUP(A1826, Entries!A:I,8,false),"")</f>
        <v>1</v>
      </c>
    </row>
    <row r="1827">
      <c r="A1827" s="78" t="s">
        <v>2363</v>
      </c>
      <c r="B1827" s="78" t="s">
        <v>19</v>
      </c>
      <c r="C1827" s="85">
        <v>44660.0</v>
      </c>
      <c r="D1827" s="85">
        <v>44662.0</v>
      </c>
      <c r="E1827" s="86">
        <v>3.19</v>
      </c>
      <c r="F1827" s="87">
        <v>4.77</v>
      </c>
      <c r="G1827" s="88">
        <f t="shared" si="1"/>
        <v>1.58</v>
      </c>
      <c r="H1827" s="89">
        <f t="shared" si="10"/>
        <v>0.3312368973</v>
      </c>
      <c r="I1827" s="78" t="s">
        <v>2366</v>
      </c>
      <c r="J1827" s="78" t="s">
        <v>69</v>
      </c>
      <c r="K1827" s="58">
        <f t="shared" si="3"/>
        <v>2</v>
      </c>
      <c r="L1827" s="91" t="str">
        <f t="shared" si="8"/>
        <v>Mon</v>
      </c>
      <c r="M1827" s="78" t="str">
        <f>IFERROR(VLOOKUP(A1827, Entries!A:B,2,false),"")</f>
        <v>HandyGames</v>
      </c>
      <c r="N1827" s="23" t="str">
        <f>IFERROR(VLOOKUP(A1827, Entries!A:K,11,false),"")</f>
        <v/>
      </c>
      <c r="O1827" s="23" t="b">
        <f>IFERROR(VLOOKUP(A1827, Entries!A:I,8,false),"")</f>
        <v>0</v>
      </c>
    </row>
    <row r="1828">
      <c r="A1828" s="78" t="s">
        <v>1316</v>
      </c>
      <c r="B1828" s="78" t="s">
        <v>25</v>
      </c>
      <c r="C1828" s="85">
        <v>44660.0</v>
      </c>
      <c r="D1828" s="85">
        <v>44662.0</v>
      </c>
      <c r="E1828" s="86">
        <v>13.81</v>
      </c>
      <c r="F1828" s="87">
        <v>16.11</v>
      </c>
      <c r="G1828" s="88">
        <f t="shared" si="1"/>
        <v>2.3</v>
      </c>
      <c r="H1828" s="89">
        <f t="shared" si="10"/>
        <v>0.1427684668</v>
      </c>
      <c r="I1828" s="78" t="s">
        <v>2367</v>
      </c>
      <c r="J1828" s="78" t="s">
        <v>69</v>
      </c>
      <c r="K1828" s="58">
        <f t="shared" si="3"/>
        <v>2</v>
      </c>
      <c r="L1828" s="91" t="str">
        <f t="shared" si="8"/>
        <v>Mon</v>
      </c>
      <c r="M1828" s="78" t="str">
        <f>IFERROR(VLOOKUP(A1828, Entries!A:B,2,false),"")</f>
        <v>Schell Games</v>
      </c>
      <c r="N1828" s="23" t="str">
        <f>IFERROR(VLOOKUP(A1828, Entries!A:K,11,false),"")</f>
        <v/>
      </c>
      <c r="O1828" s="23" t="b">
        <f>IFERROR(VLOOKUP(A1828, Entries!A:I,8,false),"")</f>
        <v>1</v>
      </c>
    </row>
    <row r="1829">
      <c r="A1829" s="78" t="s">
        <v>2250</v>
      </c>
      <c r="B1829" s="78" t="s">
        <v>25</v>
      </c>
      <c r="C1829" s="85">
        <v>44661.0</v>
      </c>
      <c r="D1829" s="85">
        <v>44661.0</v>
      </c>
      <c r="E1829" s="86">
        <v>14.57</v>
      </c>
      <c r="F1829" s="87">
        <v>16.48</v>
      </c>
      <c r="G1829" s="88">
        <f t="shared" si="1"/>
        <v>1.91</v>
      </c>
      <c r="H1829" s="89">
        <f t="shared" si="10"/>
        <v>0.1158980583</v>
      </c>
      <c r="I1829" s="78" t="s">
        <v>2368</v>
      </c>
      <c r="J1829" s="78" t="s">
        <v>69</v>
      </c>
      <c r="K1829" s="58">
        <f t="shared" si="3"/>
        <v>0</v>
      </c>
      <c r="L1829" s="91" t="str">
        <f t="shared" si="8"/>
        <v>Sun</v>
      </c>
      <c r="M1829" s="78" t="str">
        <f>IFERROR(VLOOKUP(A1829, Entries!A:B,2,false),"")</f>
        <v>SEGA</v>
      </c>
      <c r="N1829" s="23" t="str">
        <f>IFERROR(VLOOKUP(A1829, Entries!A:K,11,false),"")</f>
        <v/>
      </c>
      <c r="O1829" s="23" t="b">
        <f>IFERROR(VLOOKUP(A1829, Entries!A:I,8,false),"")</f>
        <v>1</v>
      </c>
    </row>
    <row r="1830">
      <c r="A1830" s="78" t="s">
        <v>2320</v>
      </c>
      <c r="B1830" s="78" t="s">
        <v>23</v>
      </c>
      <c r="C1830" s="85">
        <v>44661.0</v>
      </c>
      <c r="D1830" s="85">
        <v>44662.0</v>
      </c>
      <c r="E1830" s="86">
        <v>14.99</v>
      </c>
      <c r="F1830" s="87">
        <v>17.85</v>
      </c>
      <c r="G1830" s="88">
        <f t="shared" si="1"/>
        <v>2.86</v>
      </c>
      <c r="H1830" s="89">
        <f t="shared" si="10"/>
        <v>0.1602240896</v>
      </c>
      <c r="I1830" s="78" t="s">
        <v>2369</v>
      </c>
      <c r="J1830" s="78" t="s">
        <v>69</v>
      </c>
      <c r="K1830" s="58">
        <f t="shared" si="3"/>
        <v>1</v>
      </c>
      <c r="L1830" s="91" t="str">
        <f t="shared" si="8"/>
        <v>Mon</v>
      </c>
      <c r="M1830" s="78" t="str">
        <f>IFERROR(VLOOKUP(A1830, Entries!A:B,2,false),"")</f>
        <v>Konami</v>
      </c>
      <c r="N1830" s="23" t="str">
        <f>IFERROR(VLOOKUP(A1830, Entries!A:K,11,false),"")</f>
        <v/>
      </c>
      <c r="O1830" s="23" t="b">
        <f>IFERROR(VLOOKUP(A1830, Entries!A:I,8,false),"")</f>
        <v>0</v>
      </c>
    </row>
    <row r="1831">
      <c r="A1831" s="78" t="s">
        <v>84</v>
      </c>
      <c r="B1831" s="78" t="s">
        <v>19</v>
      </c>
      <c r="C1831" s="85">
        <v>44661.0</v>
      </c>
      <c r="D1831" s="85">
        <v>44670.0</v>
      </c>
      <c r="E1831" s="86">
        <v>20.54</v>
      </c>
      <c r="F1831" s="87">
        <v>21.56</v>
      </c>
      <c r="G1831" s="88">
        <f t="shared" si="1"/>
        <v>1.02</v>
      </c>
      <c r="H1831" s="89">
        <f t="shared" si="10"/>
        <v>0.04730983302</v>
      </c>
      <c r="I1831" s="78" t="s">
        <v>2370</v>
      </c>
      <c r="J1831" s="78" t="s">
        <v>69</v>
      </c>
      <c r="K1831" s="58">
        <f t="shared" si="3"/>
        <v>9</v>
      </c>
      <c r="L1831" s="91" t="str">
        <f t="shared" si="8"/>
        <v>Tue</v>
      </c>
      <c r="M1831" s="78" t="str">
        <f>IFERROR(VLOOKUP(A1831, Entries!A:B,2,false),"")</f>
        <v>Siege Camp</v>
      </c>
      <c r="N1831" s="23" t="str">
        <f>IFERROR(VLOOKUP(A1831, Entries!A:K,11,false),"")</f>
        <v/>
      </c>
      <c r="O1831" s="23" t="b">
        <f>IFERROR(VLOOKUP(A1831, Entries!A:I,8,false),"")</f>
        <v>1</v>
      </c>
    </row>
    <row r="1832">
      <c r="A1832" s="78" t="s">
        <v>1096</v>
      </c>
      <c r="B1832" s="78" t="s">
        <v>25</v>
      </c>
      <c r="C1832" s="85">
        <v>44661.0</v>
      </c>
      <c r="D1832" s="85">
        <v>44662.0</v>
      </c>
      <c r="E1832" s="86">
        <v>22.0</v>
      </c>
      <c r="F1832" s="87">
        <v>24.89</v>
      </c>
      <c r="G1832" s="88">
        <f t="shared" si="1"/>
        <v>2.89</v>
      </c>
      <c r="H1832" s="89">
        <f t="shared" si="10"/>
        <v>0.1161108879</v>
      </c>
      <c r="I1832" s="78" t="s">
        <v>2371</v>
      </c>
      <c r="J1832" s="78" t="s">
        <v>69</v>
      </c>
      <c r="K1832" s="58">
        <f t="shared" si="3"/>
        <v>1</v>
      </c>
      <c r="L1832" s="91" t="str">
        <f t="shared" si="8"/>
        <v>Mon</v>
      </c>
      <c r="M1832" s="78" t="str">
        <f>IFERROR(VLOOKUP(A1832, Entries!A:B,2,false),"")</f>
        <v>Good Shepherd Entertainment</v>
      </c>
      <c r="N1832" s="23" t="str">
        <f>IFERROR(VLOOKUP(A1832, Entries!A:K,11,false),"")</f>
        <v/>
      </c>
      <c r="O1832" s="23" t="b">
        <f>IFERROR(VLOOKUP(A1832, Entries!A:I,8,false),"")</f>
        <v>0</v>
      </c>
    </row>
    <row r="1833">
      <c r="A1833" s="78" t="s">
        <v>1217</v>
      </c>
      <c r="B1833" s="78" t="s">
        <v>19</v>
      </c>
      <c r="C1833" s="85">
        <v>44661.0</v>
      </c>
      <c r="D1833" s="85">
        <v>44662.0</v>
      </c>
      <c r="E1833" s="86">
        <v>3.83</v>
      </c>
      <c r="F1833" s="87">
        <v>4.13</v>
      </c>
      <c r="G1833" s="88">
        <f t="shared" si="1"/>
        <v>0.3</v>
      </c>
      <c r="H1833" s="89">
        <f t="shared" si="10"/>
        <v>0.07263922518</v>
      </c>
      <c r="I1833" s="78" t="s">
        <v>2372</v>
      </c>
      <c r="J1833" s="78" t="s">
        <v>69</v>
      </c>
      <c r="K1833" s="58">
        <f t="shared" si="3"/>
        <v>1</v>
      </c>
      <c r="L1833" s="91" t="str">
        <f t="shared" si="8"/>
        <v>Mon</v>
      </c>
      <c r="M1833" s="78" t="str">
        <f>IFERROR(VLOOKUP(A1833, Entries!A:B,2,false),"")</f>
        <v>Square Enix</v>
      </c>
      <c r="N1833" s="23" t="str">
        <f>IFERROR(VLOOKUP(A1833, Entries!A:K,11,false),"")</f>
        <v/>
      </c>
      <c r="O1833" s="23" t="b">
        <f>IFERROR(VLOOKUP(A1833, Entries!A:I,8,false),"")</f>
        <v>0</v>
      </c>
    </row>
    <row r="1834">
      <c r="A1834" s="78" t="s">
        <v>2320</v>
      </c>
      <c r="B1834" s="78" t="s">
        <v>23</v>
      </c>
      <c r="C1834" s="85">
        <v>44662.0</v>
      </c>
      <c r="D1834" s="85">
        <v>44663.0</v>
      </c>
      <c r="E1834" s="86">
        <v>14.99</v>
      </c>
      <c r="F1834" s="87">
        <v>17.9</v>
      </c>
      <c r="G1834" s="88">
        <f t="shared" si="1"/>
        <v>2.91</v>
      </c>
      <c r="H1834" s="89">
        <f t="shared" si="10"/>
        <v>0.1625698324</v>
      </c>
      <c r="I1834" s="78" t="s">
        <v>2373</v>
      </c>
      <c r="J1834" s="78" t="s">
        <v>69</v>
      </c>
      <c r="K1834" s="58">
        <f t="shared" si="3"/>
        <v>1</v>
      </c>
      <c r="L1834" s="91" t="str">
        <f t="shared" si="8"/>
        <v>Tue</v>
      </c>
      <c r="M1834" s="78" t="str">
        <f>IFERROR(VLOOKUP(A1834, Entries!A:B,2,false),"")</f>
        <v>Konami</v>
      </c>
      <c r="N1834" s="23" t="str">
        <f>IFERROR(VLOOKUP(A1834, Entries!A:K,11,false),"")</f>
        <v/>
      </c>
      <c r="O1834" s="23" t="b">
        <f>IFERROR(VLOOKUP(A1834, Entries!A:I,8,false),"")</f>
        <v>0</v>
      </c>
    </row>
    <row r="1835">
      <c r="A1835" s="78" t="s">
        <v>553</v>
      </c>
      <c r="B1835" s="78" t="s">
        <v>19</v>
      </c>
      <c r="C1835" s="85">
        <v>44662.0</v>
      </c>
      <c r="D1835" s="85">
        <v>44679.0</v>
      </c>
      <c r="E1835" s="86">
        <v>9.12</v>
      </c>
      <c r="F1835" s="87">
        <v>10.73</v>
      </c>
      <c r="G1835" s="88">
        <f t="shared" si="1"/>
        <v>1.61</v>
      </c>
      <c r="H1835" s="89">
        <f t="shared" si="10"/>
        <v>0.1500465983</v>
      </c>
      <c r="I1835" s="78" t="s">
        <v>2374</v>
      </c>
      <c r="J1835" s="78" t="s">
        <v>69</v>
      </c>
      <c r="K1835" s="58">
        <f t="shared" si="3"/>
        <v>17</v>
      </c>
      <c r="L1835" s="91" t="str">
        <f t="shared" si="8"/>
        <v>Thu</v>
      </c>
      <c r="M1835" s="78" t="str">
        <f>IFERROR(VLOOKUP(A1835, Entries!A:B,2,false),"")</f>
        <v>Beamdog</v>
      </c>
      <c r="N1835" s="23" t="str">
        <f>IFERROR(VLOOKUP(A1835, Entries!A:K,11,false),"")</f>
        <v/>
      </c>
      <c r="O1835" s="23" t="b">
        <f>IFERROR(VLOOKUP(A1835, Entries!A:I,8,false),"")</f>
        <v>0</v>
      </c>
    </row>
    <row r="1836">
      <c r="A1836" s="78" t="s">
        <v>2359</v>
      </c>
      <c r="B1836" s="78" t="s">
        <v>19</v>
      </c>
      <c r="C1836" s="85">
        <v>44662.0</v>
      </c>
      <c r="D1836" s="85">
        <v>44663.0</v>
      </c>
      <c r="E1836" s="86">
        <v>18.25</v>
      </c>
      <c r="F1836" s="87">
        <v>24.0</v>
      </c>
      <c r="G1836" s="88">
        <f t="shared" si="1"/>
        <v>5.75</v>
      </c>
      <c r="H1836" s="89">
        <f t="shared" si="10"/>
        <v>0.2395833333</v>
      </c>
      <c r="I1836" s="78" t="s">
        <v>2375</v>
      </c>
      <c r="J1836" s="78" t="s">
        <v>69</v>
      </c>
      <c r="K1836" s="58">
        <f t="shared" si="3"/>
        <v>1</v>
      </c>
      <c r="L1836" s="91" t="str">
        <f t="shared" si="8"/>
        <v>Tue</v>
      </c>
      <c r="M1836" s="78" t="str">
        <f>IFERROR(VLOOKUP(A1836, Entries!A:B,2,false),"")</f>
        <v>Good Shepherd Entertainment</v>
      </c>
      <c r="N1836" s="23" t="str">
        <f>IFERROR(VLOOKUP(A1836, Entries!A:K,11,false),"")</f>
        <v/>
      </c>
      <c r="O1836" s="23" t="b">
        <f>IFERROR(VLOOKUP(A1836, Entries!A:I,8,false),"")</f>
        <v>0</v>
      </c>
    </row>
    <row r="1837">
      <c r="A1837" s="78" t="s">
        <v>1217</v>
      </c>
      <c r="B1837" s="78" t="s">
        <v>19</v>
      </c>
      <c r="C1837" s="85">
        <v>44662.0</v>
      </c>
      <c r="D1837" s="85">
        <v>44992.0</v>
      </c>
      <c r="E1837" s="86">
        <v>4.24</v>
      </c>
      <c r="F1837" s="87">
        <v>4.89</v>
      </c>
      <c r="G1837" s="88">
        <f t="shared" si="1"/>
        <v>0.65</v>
      </c>
      <c r="H1837" s="89">
        <f t="shared" si="10"/>
        <v>0.1329243354</v>
      </c>
      <c r="I1837" s="78" t="s">
        <v>2376</v>
      </c>
      <c r="J1837" s="78" t="s">
        <v>69</v>
      </c>
      <c r="K1837" s="58">
        <f t="shared" si="3"/>
        <v>330</v>
      </c>
      <c r="L1837" s="91" t="str">
        <f t="shared" si="8"/>
        <v>Tue</v>
      </c>
      <c r="M1837" s="78" t="str">
        <f>IFERROR(VLOOKUP(A1837, Entries!A:B,2,false),"")</f>
        <v>Square Enix</v>
      </c>
      <c r="N1837" s="23" t="str">
        <f>IFERROR(VLOOKUP(A1837, Entries!A:K,11,false),"")</f>
        <v/>
      </c>
      <c r="O1837" s="23" t="b">
        <f>IFERROR(VLOOKUP(A1837, Entries!A:I,8,false),"")</f>
        <v>0</v>
      </c>
    </row>
    <row r="1838">
      <c r="A1838" s="78" t="s">
        <v>2323</v>
      </c>
      <c r="B1838" s="78" t="s">
        <v>19</v>
      </c>
      <c r="C1838" s="85">
        <v>44662.0</v>
      </c>
      <c r="D1838" s="85">
        <v>44662.0</v>
      </c>
      <c r="E1838" s="86">
        <v>3.19</v>
      </c>
      <c r="F1838" s="87">
        <v>6.69</v>
      </c>
      <c r="G1838" s="88">
        <f t="shared" si="1"/>
        <v>3.5</v>
      </c>
      <c r="H1838" s="89">
        <f t="shared" si="10"/>
        <v>0.5231689088</v>
      </c>
      <c r="I1838" s="78" t="s">
        <v>2377</v>
      </c>
      <c r="J1838" s="78" t="s">
        <v>69</v>
      </c>
      <c r="K1838" s="58">
        <f t="shared" si="3"/>
        <v>0</v>
      </c>
      <c r="L1838" s="91" t="str">
        <f t="shared" si="8"/>
        <v>Mon</v>
      </c>
      <c r="M1838" s="78" t="str">
        <f>IFERROR(VLOOKUP(A1838, Entries!A:B,2,false),"")</f>
        <v>tinyBuild</v>
      </c>
      <c r="N1838" s="23" t="str">
        <f>IFERROR(VLOOKUP(A1838, Entries!A:K,11,false),"")</f>
        <v/>
      </c>
      <c r="O1838" s="23" t="b">
        <f>IFERROR(VLOOKUP(A1838, Entries!A:I,8,false),"")</f>
        <v>1</v>
      </c>
    </row>
    <row r="1839">
      <c r="A1839" s="78" t="s">
        <v>2363</v>
      </c>
      <c r="B1839" s="78" t="s">
        <v>19</v>
      </c>
      <c r="C1839" s="85">
        <v>44662.0</v>
      </c>
      <c r="D1839" s="85">
        <v>44666.0</v>
      </c>
      <c r="E1839" s="86">
        <v>3.19</v>
      </c>
      <c r="F1839" s="87">
        <v>4.57</v>
      </c>
      <c r="G1839" s="88">
        <f t="shared" si="1"/>
        <v>1.38</v>
      </c>
      <c r="H1839" s="89">
        <f t="shared" si="10"/>
        <v>0.3019693654</v>
      </c>
      <c r="I1839" s="78" t="s">
        <v>2378</v>
      </c>
      <c r="J1839" s="78" t="s">
        <v>69</v>
      </c>
      <c r="K1839" s="58">
        <f t="shared" si="3"/>
        <v>4</v>
      </c>
      <c r="L1839" s="91" t="str">
        <f t="shared" si="8"/>
        <v>Fri</v>
      </c>
      <c r="M1839" s="78" t="str">
        <f>IFERROR(VLOOKUP(A1839, Entries!A:B,2,false),"")</f>
        <v>HandyGames</v>
      </c>
      <c r="N1839" s="23" t="str">
        <f>IFERROR(VLOOKUP(A1839, Entries!A:K,11,false),"")</f>
        <v/>
      </c>
      <c r="O1839" s="23" t="b">
        <f>IFERROR(VLOOKUP(A1839, Entries!A:I,8,false),"")</f>
        <v>0</v>
      </c>
    </row>
    <row r="1840">
      <c r="A1840" s="78" t="s">
        <v>1010</v>
      </c>
      <c r="B1840" s="78" t="s">
        <v>21</v>
      </c>
      <c r="C1840" s="85">
        <v>44662.0</v>
      </c>
      <c r="D1840" s="85">
        <v>44670.0</v>
      </c>
      <c r="E1840" s="86">
        <v>18.63</v>
      </c>
      <c r="F1840" s="87">
        <v>22.71</v>
      </c>
      <c r="G1840" s="88">
        <f t="shared" si="1"/>
        <v>4.08</v>
      </c>
      <c r="H1840" s="89">
        <f t="shared" si="10"/>
        <v>0.179656539</v>
      </c>
      <c r="I1840" s="78" t="s">
        <v>2379</v>
      </c>
      <c r="J1840" s="78" t="s">
        <v>69</v>
      </c>
      <c r="K1840" s="58">
        <f t="shared" si="3"/>
        <v>8</v>
      </c>
      <c r="L1840" s="91" t="str">
        <f t="shared" si="8"/>
        <v>Tue</v>
      </c>
      <c r="M1840" s="78" t="str">
        <f>IFERROR(VLOOKUP(A1840, Entries!A:B,2,false),"")</f>
        <v>Konami</v>
      </c>
      <c r="N1840" s="23" t="str">
        <f>IFERROR(VLOOKUP(A1840, Entries!A:K,11,false),"")</f>
        <v/>
      </c>
      <c r="O1840" s="23" t="b">
        <f>IFERROR(VLOOKUP(A1840, Entries!A:I,8,false),"")</f>
        <v>1</v>
      </c>
    </row>
    <row r="1841">
      <c r="A1841" s="78" t="s">
        <v>2380</v>
      </c>
      <c r="B1841" s="78" t="s">
        <v>19</v>
      </c>
      <c r="C1841" s="85">
        <v>44662.0</v>
      </c>
      <c r="D1841" s="85">
        <v>44677.0</v>
      </c>
      <c r="E1841" s="86">
        <v>12.47</v>
      </c>
      <c r="F1841" s="87">
        <v>13.39</v>
      </c>
      <c r="G1841" s="88">
        <f t="shared" si="1"/>
        <v>0.92</v>
      </c>
      <c r="H1841" s="89">
        <f t="shared" si="10"/>
        <v>0.06870799104</v>
      </c>
      <c r="I1841" s="78" t="s">
        <v>2381</v>
      </c>
      <c r="J1841" s="78" t="s">
        <v>69</v>
      </c>
      <c r="K1841" s="58">
        <f t="shared" si="3"/>
        <v>15</v>
      </c>
      <c r="L1841" s="91" t="str">
        <f t="shared" si="8"/>
        <v>Tue</v>
      </c>
      <c r="M1841" s="78" t="str">
        <f>IFERROR(VLOOKUP(A1841, Entries!A:B,2,false),"")</f>
        <v>Brightrock Games</v>
      </c>
      <c r="N1841" s="23" t="str">
        <f>IFERROR(VLOOKUP(A1841, Entries!A:K,11,false),"")</f>
        <v/>
      </c>
      <c r="O1841" s="23" t="b">
        <f>IFERROR(VLOOKUP(A1841, Entries!A:I,8,false),"")</f>
        <v>0</v>
      </c>
    </row>
    <row r="1842">
      <c r="A1842" s="78" t="s">
        <v>1548</v>
      </c>
      <c r="B1842" s="78" t="s">
        <v>19</v>
      </c>
      <c r="C1842" s="85">
        <v>44662.0</v>
      </c>
      <c r="D1842" s="85">
        <v>44662.0</v>
      </c>
      <c r="E1842" s="86">
        <v>4.1</v>
      </c>
      <c r="F1842" s="87">
        <v>5.76</v>
      </c>
      <c r="G1842" s="88">
        <f t="shared" si="1"/>
        <v>1.66</v>
      </c>
      <c r="H1842" s="89">
        <f t="shared" si="10"/>
        <v>0.2881944444</v>
      </c>
      <c r="I1842" s="78" t="s">
        <v>2382</v>
      </c>
      <c r="J1842" s="78" t="s">
        <v>69</v>
      </c>
      <c r="K1842" s="58">
        <f t="shared" si="3"/>
        <v>0</v>
      </c>
      <c r="L1842" s="91" t="str">
        <f t="shared" si="8"/>
        <v>Mon</v>
      </c>
      <c r="M1842" s="78" t="str">
        <f>IFERROR(VLOOKUP(A1842, Entries!A:B,2,false),"")</f>
        <v>Devolver Digital</v>
      </c>
      <c r="N1842" s="23" t="str">
        <f>IFERROR(VLOOKUP(A1842, Entries!A:K,11,false),"")</f>
        <v/>
      </c>
      <c r="O1842" s="23" t="b">
        <f>IFERROR(VLOOKUP(A1842, Entries!A:I,8,false),"")</f>
        <v>0</v>
      </c>
    </row>
    <row r="1843">
      <c r="A1843" s="78" t="s">
        <v>1548</v>
      </c>
      <c r="B1843" s="78" t="s">
        <v>19</v>
      </c>
      <c r="C1843" s="85">
        <v>44662.0</v>
      </c>
      <c r="D1843" s="85">
        <v>44828.0</v>
      </c>
      <c r="E1843" s="86">
        <v>4.1</v>
      </c>
      <c r="F1843" s="87">
        <v>4.9</v>
      </c>
      <c r="G1843" s="88">
        <f t="shared" si="1"/>
        <v>0.8</v>
      </c>
      <c r="H1843" s="89">
        <f t="shared" si="10"/>
        <v>0.1632653061</v>
      </c>
      <c r="I1843" s="78" t="s">
        <v>2383</v>
      </c>
      <c r="J1843" s="78" t="s">
        <v>69</v>
      </c>
      <c r="K1843" s="58">
        <f t="shared" si="3"/>
        <v>166</v>
      </c>
      <c r="L1843" s="91" t="str">
        <f t="shared" si="8"/>
        <v>Sat</v>
      </c>
      <c r="M1843" s="78" t="str">
        <f>IFERROR(VLOOKUP(A1843, Entries!A:B,2,false),"")</f>
        <v>Devolver Digital</v>
      </c>
      <c r="N1843" s="23" t="str">
        <f>IFERROR(VLOOKUP(A1843, Entries!A:K,11,false),"")</f>
        <v/>
      </c>
      <c r="O1843" s="23" t="b">
        <f>IFERROR(VLOOKUP(A1843, Entries!A:I,8,false),"")</f>
        <v>0</v>
      </c>
    </row>
    <row r="1844">
      <c r="A1844" s="78" t="s">
        <v>1984</v>
      </c>
      <c r="B1844" s="78" t="s">
        <v>27</v>
      </c>
      <c r="C1844" s="85">
        <v>44662.0</v>
      </c>
      <c r="D1844" s="85">
        <v>44663.0</v>
      </c>
      <c r="E1844" s="86">
        <v>7.29</v>
      </c>
      <c r="F1844" s="87">
        <v>10.03</v>
      </c>
      <c r="G1844" s="88">
        <f t="shared" si="1"/>
        <v>2.74</v>
      </c>
      <c r="H1844" s="89">
        <f t="shared" si="10"/>
        <v>0.2731804586</v>
      </c>
      <c r="I1844" s="78" t="s">
        <v>2384</v>
      </c>
      <c r="J1844" s="78" t="s">
        <v>69</v>
      </c>
      <c r="K1844" s="58">
        <f t="shared" si="3"/>
        <v>1</v>
      </c>
      <c r="L1844" s="91" t="str">
        <f t="shared" si="8"/>
        <v>Tue</v>
      </c>
      <c r="M1844" s="78" t="str">
        <f>IFERROR(VLOOKUP(A1844, Entries!A:B,2,false),"")</f>
        <v>Offworld Industries</v>
      </c>
      <c r="N1844" s="23" t="str">
        <f>IFERROR(VLOOKUP(A1844, Entries!A:K,11,false),"")</f>
        <v/>
      </c>
      <c r="O1844" s="23" t="b">
        <f>IFERROR(VLOOKUP(A1844, Entries!A:I,8,false),"")</f>
        <v>1</v>
      </c>
    </row>
    <row r="1845">
      <c r="A1845" s="78" t="s">
        <v>2323</v>
      </c>
      <c r="B1845" s="78" t="s">
        <v>19</v>
      </c>
      <c r="C1845" s="85">
        <v>44662.0</v>
      </c>
      <c r="D1845" s="85">
        <v>44663.0</v>
      </c>
      <c r="E1845" s="86">
        <v>3.19</v>
      </c>
      <c r="F1845" s="87">
        <v>8.03</v>
      </c>
      <c r="G1845" s="88">
        <f t="shared" si="1"/>
        <v>4.84</v>
      </c>
      <c r="H1845" s="89">
        <f t="shared" si="10"/>
        <v>0.602739726</v>
      </c>
      <c r="I1845" s="78" t="s">
        <v>2385</v>
      </c>
      <c r="J1845" s="78" t="s">
        <v>69</v>
      </c>
      <c r="K1845" s="58">
        <f t="shared" si="3"/>
        <v>1</v>
      </c>
      <c r="L1845" s="91" t="str">
        <f t="shared" si="8"/>
        <v>Tue</v>
      </c>
      <c r="M1845" s="78" t="str">
        <f>IFERROR(VLOOKUP(A1845, Entries!A:B,2,false),"")</f>
        <v>tinyBuild</v>
      </c>
      <c r="N1845" s="23" t="str">
        <f>IFERROR(VLOOKUP(A1845, Entries!A:K,11,false),"")</f>
        <v/>
      </c>
      <c r="O1845" s="23" t="b">
        <f>IFERROR(VLOOKUP(A1845, Entries!A:I,8,false),"")</f>
        <v>1</v>
      </c>
    </row>
    <row r="1846">
      <c r="A1846" s="78" t="s">
        <v>2363</v>
      </c>
      <c r="B1846" s="78" t="s">
        <v>19</v>
      </c>
      <c r="C1846" s="85">
        <v>44662.0</v>
      </c>
      <c r="D1846" s="85">
        <v>44668.0</v>
      </c>
      <c r="E1846" s="86">
        <v>3.19</v>
      </c>
      <c r="F1846" s="87">
        <v>4.36</v>
      </c>
      <c r="G1846" s="88">
        <f t="shared" si="1"/>
        <v>1.17</v>
      </c>
      <c r="H1846" s="89">
        <f t="shared" si="10"/>
        <v>0.2683486239</v>
      </c>
      <c r="I1846" s="78" t="s">
        <v>2386</v>
      </c>
      <c r="J1846" s="78" t="s">
        <v>69</v>
      </c>
      <c r="K1846" s="58">
        <f t="shared" si="3"/>
        <v>6</v>
      </c>
      <c r="L1846" s="91" t="str">
        <f t="shared" si="8"/>
        <v>Sun</v>
      </c>
      <c r="M1846" s="78" t="str">
        <f>IFERROR(VLOOKUP(A1846, Entries!A:B,2,false),"")</f>
        <v>HandyGames</v>
      </c>
      <c r="N1846" s="23" t="str">
        <f>IFERROR(VLOOKUP(A1846, Entries!A:K,11,false),"")</f>
        <v/>
      </c>
      <c r="O1846" s="23" t="b">
        <f>IFERROR(VLOOKUP(A1846, Entries!A:I,8,false),"")</f>
        <v>0</v>
      </c>
    </row>
    <row r="1847">
      <c r="A1847" s="78" t="s">
        <v>2323</v>
      </c>
      <c r="B1847" s="78" t="s">
        <v>19</v>
      </c>
      <c r="C1847" s="85">
        <v>44663.0</v>
      </c>
      <c r="D1847" s="85">
        <v>44663.0</v>
      </c>
      <c r="E1847" s="86">
        <v>3.19</v>
      </c>
      <c r="F1847" s="87">
        <v>7.94</v>
      </c>
      <c r="G1847" s="88">
        <f t="shared" si="1"/>
        <v>4.75</v>
      </c>
      <c r="H1847" s="89">
        <f t="shared" si="10"/>
        <v>0.5982367758</v>
      </c>
      <c r="I1847" s="78" t="s">
        <v>2387</v>
      </c>
      <c r="J1847" s="78" t="s">
        <v>69</v>
      </c>
      <c r="K1847" s="58">
        <f t="shared" si="3"/>
        <v>0</v>
      </c>
      <c r="L1847" s="91" t="str">
        <f t="shared" si="8"/>
        <v>Tue</v>
      </c>
      <c r="M1847" s="78" t="str">
        <f>IFERROR(VLOOKUP(A1847, Entries!A:B,2,false),"")</f>
        <v>tinyBuild</v>
      </c>
      <c r="N1847" s="23" t="str">
        <f>IFERROR(VLOOKUP(A1847, Entries!A:K,11,false),"")</f>
        <v/>
      </c>
      <c r="O1847" s="23" t="b">
        <f>IFERROR(VLOOKUP(A1847, Entries!A:I,8,false),"")</f>
        <v>1</v>
      </c>
    </row>
    <row r="1848">
      <c r="A1848" s="78" t="s">
        <v>2363</v>
      </c>
      <c r="B1848" s="78" t="s">
        <v>19</v>
      </c>
      <c r="C1848" s="85">
        <v>44663.0</v>
      </c>
      <c r="D1848" s="85">
        <v>44668.0</v>
      </c>
      <c r="E1848" s="86">
        <v>3.19</v>
      </c>
      <c r="F1848" s="87">
        <v>4.36</v>
      </c>
      <c r="G1848" s="88">
        <f t="shared" si="1"/>
        <v>1.17</v>
      </c>
      <c r="H1848" s="89">
        <f t="shared" si="10"/>
        <v>0.2683486239</v>
      </c>
      <c r="I1848" s="78" t="s">
        <v>2388</v>
      </c>
      <c r="J1848" s="78" t="s">
        <v>69</v>
      </c>
      <c r="K1848" s="58">
        <f t="shared" si="3"/>
        <v>5</v>
      </c>
      <c r="L1848" s="91" t="str">
        <f t="shared" si="8"/>
        <v>Sun</v>
      </c>
      <c r="M1848" s="78" t="str">
        <f>IFERROR(VLOOKUP(A1848, Entries!A:B,2,false),"")</f>
        <v>HandyGames</v>
      </c>
      <c r="N1848" s="23" t="str">
        <f>IFERROR(VLOOKUP(A1848, Entries!A:K,11,false),"")</f>
        <v/>
      </c>
      <c r="O1848" s="23" t="b">
        <f>IFERROR(VLOOKUP(A1848, Entries!A:I,8,false),"")</f>
        <v>0</v>
      </c>
    </row>
    <row r="1849">
      <c r="A1849" s="78" t="s">
        <v>2359</v>
      </c>
      <c r="B1849" s="78" t="s">
        <v>19</v>
      </c>
      <c r="C1849" s="85">
        <v>44663.0</v>
      </c>
      <c r="D1849" s="85">
        <v>44664.0</v>
      </c>
      <c r="E1849" s="86">
        <v>18.2</v>
      </c>
      <c r="F1849" s="87">
        <v>24.88</v>
      </c>
      <c r="G1849" s="88">
        <f t="shared" si="1"/>
        <v>6.68</v>
      </c>
      <c r="H1849" s="89">
        <f t="shared" si="10"/>
        <v>0.268488746</v>
      </c>
      <c r="I1849" s="78" t="s">
        <v>2389</v>
      </c>
      <c r="J1849" s="78" t="s">
        <v>69</v>
      </c>
      <c r="K1849" s="58">
        <f t="shared" si="3"/>
        <v>1</v>
      </c>
      <c r="L1849" s="91" t="str">
        <f t="shared" si="8"/>
        <v>Wed</v>
      </c>
      <c r="M1849" s="78" t="str">
        <f>IFERROR(VLOOKUP(A1849, Entries!A:B,2,false),"")</f>
        <v>Good Shepherd Entertainment</v>
      </c>
      <c r="N1849" s="23" t="str">
        <f>IFERROR(VLOOKUP(A1849, Entries!A:K,11,false),"")</f>
        <v/>
      </c>
      <c r="O1849" s="23" t="b">
        <f>IFERROR(VLOOKUP(A1849, Entries!A:I,8,false),"")</f>
        <v>0</v>
      </c>
    </row>
    <row r="1850">
      <c r="A1850" s="78" t="s">
        <v>2101</v>
      </c>
      <c r="B1850" s="78" t="s">
        <v>27</v>
      </c>
      <c r="C1850" s="85">
        <v>44663.0</v>
      </c>
      <c r="D1850" s="85">
        <v>44665.0</v>
      </c>
      <c r="E1850" s="86">
        <v>10.29</v>
      </c>
      <c r="F1850" s="87">
        <v>12.38</v>
      </c>
      <c r="G1850" s="88">
        <f t="shared" si="1"/>
        <v>2.09</v>
      </c>
      <c r="H1850" s="89">
        <f t="shared" si="10"/>
        <v>0.1688206785</v>
      </c>
      <c r="I1850" s="78" t="s">
        <v>2390</v>
      </c>
      <c r="J1850" s="78" t="s">
        <v>69</v>
      </c>
      <c r="K1850" s="58">
        <f t="shared" si="3"/>
        <v>2</v>
      </c>
      <c r="L1850" s="91" t="str">
        <f t="shared" si="8"/>
        <v>Thu</v>
      </c>
      <c r="M1850" s="78" t="str">
        <f>IFERROR(VLOOKUP(A1850, Entries!A:B,2,false),"")</f>
        <v>Offworld Industries</v>
      </c>
      <c r="N1850" s="23" t="str">
        <f>IFERROR(VLOOKUP(A1850, Entries!A:K,11,false),"")</f>
        <v/>
      </c>
      <c r="O1850" s="23" t="b">
        <f>IFERROR(VLOOKUP(A1850, Entries!A:I,8,false),"")</f>
        <v>0</v>
      </c>
    </row>
    <row r="1851">
      <c r="A1851" s="78" t="s">
        <v>2323</v>
      </c>
      <c r="B1851" s="78" t="s">
        <v>19</v>
      </c>
      <c r="C1851" s="85">
        <v>44663.0</v>
      </c>
      <c r="D1851" s="85">
        <v>44664.0</v>
      </c>
      <c r="E1851" s="86">
        <v>3.18</v>
      </c>
      <c r="F1851" s="87">
        <v>6.64</v>
      </c>
      <c r="G1851" s="88">
        <f t="shared" si="1"/>
        <v>3.46</v>
      </c>
      <c r="H1851" s="89">
        <f t="shared" si="10"/>
        <v>0.5210843373</v>
      </c>
      <c r="I1851" s="78" t="s">
        <v>2391</v>
      </c>
      <c r="J1851" s="78" t="s">
        <v>69</v>
      </c>
      <c r="K1851" s="58">
        <f t="shared" si="3"/>
        <v>1</v>
      </c>
      <c r="L1851" s="91" t="str">
        <f t="shared" si="8"/>
        <v>Wed</v>
      </c>
      <c r="M1851" s="78" t="str">
        <f>IFERROR(VLOOKUP(A1851, Entries!A:B,2,false),"")</f>
        <v>tinyBuild</v>
      </c>
      <c r="N1851" s="23" t="str">
        <f>IFERROR(VLOOKUP(A1851, Entries!A:K,11,false),"")</f>
        <v/>
      </c>
      <c r="O1851" s="23" t="b">
        <f>IFERROR(VLOOKUP(A1851, Entries!A:I,8,false),"")</f>
        <v>1</v>
      </c>
    </row>
    <row r="1852">
      <c r="A1852" s="78" t="s">
        <v>2363</v>
      </c>
      <c r="B1852" s="78" t="s">
        <v>19</v>
      </c>
      <c r="C1852" s="85">
        <v>44663.0</v>
      </c>
      <c r="D1852" s="85">
        <v>44669.0</v>
      </c>
      <c r="E1852" s="86">
        <v>3.18</v>
      </c>
      <c r="F1852" s="87">
        <v>4.36</v>
      </c>
      <c r="G1852" s="88">
        <f t="shared" si="1"/>
        <v>1.18</v>
      </c>
      <c r="H1852" s="89">
        <f t="shared" si="10"/>
        <v>0.2706422018</v>
      </c>
      <c r="I1852" s="78" t="s">
        <v>2392</v>
      </c>
      <c r="J1852" s="78" t="s">
        <v>69</v>
      </c>
      <c r="K1852" s="58">
        <f t="shared" si="3"/>
        <v>6</v>
      </c>
      <c r="L1852" s="91" t="str">
        <f t="shared" si="8"/>
        <v>Mon</v>
      </c>
      <c r="M1852" s="78" t="str">
        <f>IFERROR(VLOOKUP(A1852, Entries!A:B,2,false),"")</f>
        <v>HandyGames</v>
      </c>
      <c r="N1852" s="23" t="str">
        <f>IFERROR(VLOOKUP(A1852, Entries!A:K,11,false),"")</f>
        <v/>
      </c>
      <c r="O1852" s="23" t="b">
        <f>IFERROR(VLOOKUP(A1852, Entries!A:I,8,false),"")</f>
        <v>0</v>
      </c>
    </row>
    <row r="1853">
      <c r="A1853" s="78" t="s">
        <v>1984</v>
      </c>
      <c r="B1853" s="78" t="s">
        <v>27</v>
      </c>
      <c r="C1853" s="85">
        <v>44663.0</v>
      </c>
      <c r="D1853" s="85">
        <v>44664.0</v>
      </c>
      <c r="E1853" s="86">
        <v>7.29</v>
      </c>
      <c r="F1853" s="87">
        <v>9.95</v>
      </c>
      <c r="G1853" s="88">
        <f t="shared" si="1"/>
        <v>2.66</v>
      </c>
      <c r="H1853" s="89">
        <f t="shared" si="10"/>
        <v>0.2673366834</v>
      </c>
      <c r="I1853" s="78" t="s">
        <v>2393</v>
      </c>
      <c r="J1853" s="78" t="s">
        <v>69</v>
      </c>
      <c r="K1853" s="58">
        <f t="shared" si="3"/>
        <v>1</v>
      </c>
      <c r="L1853" s="91" t="str">
        <f t="shared" si="8"/>
        <v>Wed</v>
      </c>
      <c r="M1853" s="78" t="str">
        <f>IFERROR(VLOOKUP(A1853, Entries!A:B,2,false),"")</f>
        <v>Offworld Industries</v>
      </c>
      <c r="N1853" s="23" t="str">
        <f>IFERROR(VLOOKUP(A1853, Entries!A:K,11,false),"")</f>
        <v/>
      </c>
      <c r="O1853" s="23" t="b">
        <f>IFERROR(VLOOKUP(A1853, Entries!A:I,8,false),"")</f>
        <v>1</v>
      </c>
    </row>
    <row r="1854">
      <c r="A1854" s="78" t="s">
        <v>622</v>
      </c>
      <c r="B1854" s="78" t="s">
        <v>19</v>
      </c>
      <c r="C1854" s="85">
        <v>44664.0</v>
      </c>
      <c r="D1854" s="85">
        <v>44670.0</v>
      </c>
      <c r="E1854" s="86">
        <v>2.92</v>
      </c>
      <c r="F1854" s="87">
        <v>4.96</v>
      </c>
      <c r="G1854" s="88">
        <f t="shared" si="1"/>
        <v>2.04</v>
      </c>
      <c r="H1854" s="89">
        <f t="shared" si="10"/>
        <v>0.4112903226</v>
      </c>
      <c r="I1854" s="78" t="s">
        <v>2394</v>
      </c>
      <c r="J1854" s="78" t="s">
        <v>69</v>
      </c>
      <c r="K1854" s="58">
        <f t="shared" si="3"/>
        <v>6</v>
      </c>
      <c r="L1854" s="91" t="str">
        <f t="shared" si="8"/>
        <v>Tue</v>
      </c>
      <c r="M1854" s="78" t="str">
        <f>IFERROR(VLOOKUP(A1854, Entries!A:B,2,false),"")</f>
        <v>Blue Brain Games</v>
      </c>
      <c r="N1854" s="23" t="str">
        <f>IFERROR(VLOOKUP(A1854, Entries!A:K,11,false),"")</f>
        <v/>
      </c>
      <c r="O1854" s="23" t="b">
        <f>IFERROR(VLOOKUP(A1854, Entries!A:I,8,false),"")</f>
        <v>1</v>
      </c>
    </row>
    <row r="1855">
      <c r="A1855" s="78" t="s">
        <v>2395</v>
      </c>
      <c r="B1855" s="78" t="s">
        <v>19</v>
      </c>
      <c r="C1855" s="85">
        <v>44664.0</v>
      </c>
      <c r="D1855" s="85">
        <v>44666.0</v>
      </c>
      <c r="E1855" s="86">
        <v>7.3</v>
      </c>
      <c r="F1855" s="87">
        <v>10.83</v>
      </c>
      <c r="G1855" s="88">
        <f t="shared" si="1"/>
        <v>3.53</v>
      </c>
      <c r="H1855" s="89">
        <f t="shared" si="10"/>
        <v>0.3259464451</v>
      </c>
      <c r="I1855" s="78" t="s">
        <v>2396</v>
      </c>
      <c r="J1855" s="78" t="s">
        <v>69</v>
      </c>
      <c r="K1855" s="58">
        <f t="shared" si="3"/>
        <v>2</v>
      </c>
      <c r="L1855" s="91" t="str">
        <f t="shared" si="8"/>
        <v>Fri</v>
      </c>
      <c r="M1855" s="78" t="str">
        <f>IFERROR(VLOOKUP(A1855, Entries!A:B,2,false),"")</f>
        <v>Blue Brain Games</v>
      </c>
      <c r="N1855" s="23" t="str">
        <f>IFERROR(VLOOKUP(A1855, Entries!A:K,11,false),"")</f>
        <v/>
      </c>
      <c r="O1855" s="23" t="b">
        <f>IFERROR(VLOOKUP(A1855, Entries!A:I,8,false),"")</f>
        <v>0</v>
      </c>
    </row>
    <row r="1856">
      <c r="A1856" s="78" t="s">
        <v>1832</v>
      </c>
      <c r="B1856" s="78" t="s">
        <v>22</v>
      </c>
      <c r="C1856" s="85">
        <v>44664.0</v>
      </c>
      <c r="D1856" s="85">
        <v>44716.0</v>
      </c>
      <c r="E1856" s="86">
        <v>19.18</v>
      </c>
      <c r="F1856" s="87">
        <v>22.9</v>
      </c>
      <c r="G1856" s="88">
        <f t="shared" si="1"/>
        <v>3.72</v>
      </c>
      <c r="H1856" s="89">
        <f t="shared" si="10"/>
        <v>0.1624454148</v>
      </c>
      <c r="I1856" s="78" t="s">
        <v>2397</v>
      </c>
      <c r="J1856" s="78" t="s">
        <v>69</v>
      </c>
      <c r="K1856" s="58">
        <f t="shared" si="3"/>
        <v>52</v>
      </c>
      <c r="L1856" s="91" t="str">
        <f t="shared" si="8"/>
        <v>Sat</v>
      </c>
      <c r="M1856" s="78" t="str">
        <f>IFERROR(VLOOKUP(A1856, Entries!A:B,2,false),"")</f>
        <v>Bethesda Softworks</v>
      </c>
      <c r="N1856" s="23" t="str">
        <f>IFERROR(VLOOKUP(A1856, Entries!A:K,11,false),"")</f>
        <v/>
      </c>
      <c r="O1856" s="23" t="b">
        <f>IFERROR(VLOOKUP(A1856, Entries!A:I,8,false),"")</f>
        <v>1</v>
      </c>
    </row>
    <row r="1857">
      <c r="A1857" s="78" t="s">
        <v>1984</v>
      </c>
      <c r="B1857" s="78" t="s">
        <v>27</v>
      </c>
      <c r="C1857" s="85">
        <v>44664.0</v>
      </c>
      <c r="D1857" s="85">
        <v>44665.0</v>
      </c>
      <c r="E1857" s="86">
        <v>7.29</v>
      </c>
      <c r="F1857" s="87">
        <v>9.69</v>
      </c>
      <c r="G1857" s="88">
        <f t="shared" si="1"/>
        <v>2.4</v>
      </c>
      <c r="H1857" s="89">
        <f t="shared" si="10"/>
        <v>0.2476780186</v>
      </c>
      <c r="I1857" s="78" t="s">
        <v>2398</v>
      </c>
      <c r="J1857" s="78" t="s">
        <v>69</v>
      </c>
      <c r="K1857" s="58">
        <f t="shared" si="3"/>
        <v>1</v>
      </c>
      <c r="L1857" s="91" t="str">
        <f t="shared" si="8"/>
        <v>Thu</v>
      </c>
      <c r="M1857" s="78" t="str">
        <f>IFERROR(VLOOKUP(A1857, Entries!A:B,2,false),"")</f>
        <v>Offworld Industries</v>
      </c>
      <c r="N1857" s="23" t="str">
        <f>IFERROR(VLOOKUP(A1857, Entries!A:K,11,false),"")</f>
        <v/>
      </c>
      <c r="O1857" s="23" t="b">
        <f>IFERROR(VLOOKUP(A1857, Entries!A:I,8,false),"")</f>
        <v>1</v>
      </c>
    </row>
    <row r="1858">
      <c r="A1858" s="78" t="s">
        <v>2399</v>
      </c>
      <c r="B1858" s="78" t="s">
        <v>27</v>
      </c>
      <c r="C1858" s="85">
        <v>44664.0</v>
      </c>
      <c r="D1858" s="85">
        <v>44685.0</v>
      </c>
      <c r="E1858" s="86">
        <v>16.89</v>
      </c>
      <c r="F1858" s="87">
        <v>24.87</v>
      </c>
      <c r="G1858" s="88">
        <f t="shared" si="1"/>
        <v>7.98</v>
      </c>
      <c r="H1858" s="89">
        <f t="shared" si="10"/>
        <v>0.3208685163</v>
      </c>
      <c r="I1858" s="78" t="s">
        <v>2400</v>
      </c>
      <c r="J1858" s="78" t="s">
        <v>69</v>
      </c>
      <c r="K1858" s="58">
        <f t="shared" si="3"/>
        <v>21</v>
      </c>
      <c r="L1858" s="91" t="str">
        <f t="shared" si="8"/>
        <v>Wed</v>
      </c>
      <c r="M1858" s="78" t="str">
        <f>IFERROR(VLOOKUP(A1858, Entries!A:B,2,false),"")</f>
        <v>BANDAI NAMCO</v>
      </c>
      <c r="N1858" s="23" t="str">
        <f>IFERROR(VLOOKUP(A1858, Entries!A:K,11,false),"")</f>
        <v/>
      </c>
      <c r="O1858" s="23" t="b">
        <f>IFERROR(VLOOKUP(A1858, Entries!A:I,8,false),"")</f>
        <v>0</v>
      </c>
    </row>
    <row r="1859">
      <c r="A1859" s="78" t="s">
        <v>2359</v>
      </c>
      <c r="B1859" s="78" t="s">
        <v>19</v>
      </c>
      <c r="C1859" s="85">
        <v>44664.0</v>
      </c>
      <c r="D1859" s="85">
        <v>44664.0</v>
      </c>
      <c r="E1859" s="86">
        <v>18.28</v>
      </c>
      <c r="F1859" s="87">
        <v>24.88</v>
      </c>
      <c r="G1859" s="88">
        <f t="shared" si="1"/>
        <v>6.6</v>
      </c>
      <c r="H1859" s="89">
        <f t="shared" si="10"/>
        <v>0.2652733119</v>
      </c>
      <c r="I1859" s="78" t="s">
        <v>2401</v>
      </c>
      <c r="J1859" s="78" t="s">
        <v>69</v>
      </c>
      <c r="K1859" s="58">
        <f t="shared" si="3"/>
        <v>0</v>
      </c>
      <c r="L1859" s="91" t="str">
        <f t="shared" si="8"/>
        <v>Wed</v>
      </c>
      <c r="M1859" s="78" t="str">
        <f>IFERROR(VLOOKUP(A1859, Entries!A:B,2,false),"")</f>
        <v>Good Shepherd Entertainment</v>
      </c>
      <c r="N1859" s="23" t="str">
        <f>IFERROR(VLOOKUP(A1859, Entries!A:K,11,false),"")</f>
        <v/>
      </c>
      <c r="O1859" s="23" t="b">
        <f>IFERROR(VLOOKUP(A1859, Entries!A:I,8,false),"")</f>
        <v>0</v>
      </c>
    </row>
    <row r="1860">
      <c r="A1860" s="78" t="s">
        <v>2323</v>
      </c>
      <c r="B1860" s="78" t="s">
        <v>19</v>
      </c>
      <c r="C1860" s="85">
        <v>44664.0</v>
      </c>
      <c r="D1860" s="85">
        <v>44665.0</v>
      </c>
      <c r="E1860" s="86">
        <v>3.2</v>
      </c>
      <c r="F1860" s="87">
        <v>6.64</v>
      </c>
      <c r="G1860" s="88">
        <f t="shared" si="1"/>
        <v>3.44</v>
      </c>
      <c r="H1860" s="89">
        <f t="shared" si="10"/>
        <v>0.5180722892</v>
      </c>
      <c r="I1860" s="78" t="s">
        <v>2402</v>
      </c>
      <c r="J1860" s="78" t="s">
        <v>69</v>
      </c>
      <c r="K1860" s="58">
        <f t="shared" si="3"/>
        <v>1</v>
      </c>
      <c r="L1860" s="91" t="str">
        <f t="shared" si="8"/>
        <v>Thu</v>
      </c>
      <c r="M1860" s="78" t="str">
        <f>IFERROR(VLOOKUP(A1860, Entries!A:B,2,false),"")</f>
        <v>tinyBuild</v>
      </c>
      <c r="N1860" s="23" t="str">
        <f>IFERROR(VLOOKUP(A1860, Entries!A:K,11,false),"")</f>
        <v/>
      </c>
      <c r="O1860" s="23" t="b">
        <f>IFERROR(VLOOKUP(A1860, Entries!A:I,8,false),"")</f>
        <v>1</v>
      </c>
    </row>
    <row r="1861">
      <c r="A1861" s="78" t="s">
        <v>2363</v>
      </c>
      <c r="B1861" s="78" t="s">
        <v>19</v>
      </c>
      <c r="C1861" s="85">
        <v>44664.0</v>
      </c>
      <c r="D1861" s="85">
        <v>44669.0</v>
      </c>
      <c r="E1861" s="86">
        <v>3.19</v>
      </c>
      <c r="F1861" s="87">
        <v>4.32</v>
      </c>
      <c r="G1861" s="88">
        <f t="shared" si="1"/>
        <v>1.13</v>
      </c>
      <c r="H1861" s="89">
        <f t="shared" si="10"/>
        <v>0.2615740741</v>
      </c>
      <c r="I1861" s="78" t="s">
        <v>2403</v>
      </c>
      <c r="J1861" s="78" t="s">
        <v>69</v>
      </c>
      <c r="K1861" s="58">
        <f t="shared" si="3"/>
        <v>5</v>
      </c>
      <c r="L1861" s="91" t="str">
        <f t="shared" si="8"/>
        <v>Mon</v>
      </c>
      <c r="M1861" s="78" t="str">
        <f>IFERROR(VLOOKUP(A1861, Entries!A:B,2,false),"")</f>
        <v>HandyGames</v>
      </c>
      <c r="N1861" s="23" t="str">
        <f>IFERROR(VLOOKUP(A1861, Entries!A:K,11,false),"")</f>
        <v/>
      </c>
      <c r="O1861" s="23" t="b">
        <f>IFERROR(VLOOKUP(A1861, Entries!A:I,8,false),"")</f>
        <v>0</v>
      </c>
    </row>
    <row r="1862">
      <c r="A1862" s="78" t="s">
        <v>2359</v>
      </c>
      <c r="B1862" s="78" t="s">
        <v>19</v>
      </c>
      <c r="C1862" s="85">
        <v>44664.0</v>
      </c>
      <c r="D1862" s="85">
        <v>44667.0</v>
      </c>
      <c r="E1862" s="86">
        <v>18.28</v>
      </c>
      <c r="F1862" s="87">
        <v>24.65</v>
      </c>
      <c r="G1862" s="88">
        <f t="shared" si="1"/>
        <v>6.37</v>
      </c>
      <c r="H1862" s="89">
        <f t="shared" si="10"/>
        <v>0.2584178499</v>
      </c>
      <c r="I1862" s="78" t="s">
        <v>2404</v>
      </c>
      <c r="J1862" s="78" t="s">
        <v>69</v>
      </c>
      <c r="K1862" s="58">
        <f t="shared" si="3"/>
        <v>3</v>
      </c>
      <c r="L1862" s="91" t="str">
        <f t="shared" si="8"/>
        <v>Sat</v>
      </c>
      <c r="M1862" s="78" t="str">
        <f>IFERROR(VLOOKUP(A1862, Entries!A:B,2,false),"")</f>
        <v>Good Shepherd Entertainment</v>
      </c>
      <c r="N1862" s="23" t="str">
        <f>IFERROR(VLOOKUP(A1862, Entries!A:K,11,false),"")</f>
        <v/>
      </c>
      <c r="O1862" s="23" t="b">
        <f>IFERROR(VLOOKUP(A1862, Entries!A:I,8,false),"")</f>
        <v>0</v>
      </c>
    </row>
    <row r="1863">
      <c r="A1863" s="78" t="s">
        <v>1984</v>
      </c>
      <c r="B1863" s="78" t="s">
        <v>27</v>
      </c>
      <c r="C1863" s="85">
        <v>44665.0</v>
      </c>
      <c r="D1863" s="85">
        <v>44840.0</v>
      </c>
      <c r="E1863" s="86">
        <v>7.29</v>
      </c>
      <c r="F1863" s="87">
        <v>15.11</v>
      </c>
      <c r="G1863" s="88">
        <f t="shared" si="1"/>
        <v>7.82</v>
      </c>
      <c r="H1863" s="89">
        <f t="shared" si="10"/>
        <v>0.5175380543</v>
      </c>
      <c r="I1863" s="78" t="s">
        <v>2405</v>
      </c>
      <c r="J1863" s="78" t="s">
        <v>69</v>
      </c>
      <c r="K1863" s="58">
        <f t="shared" si="3"/>
        <v>175</v>
      </c>
      <c r="L1863" s="91" t="str">
        <f t="shared" si="8"/>
        <v>Thu</v>
      </c>
      <c r="M1863" s="78" t="str">
        <f>IFERROR(VLOOKUP(A1863, Entries!A:B,2,false),"")</f>
        <v>Offworld Industries</v>
      </c>
      <c r="N1863" s="23" t="str">
        <f>IFERROR(VLOOKUP(A1863, Entries!A:K,11,false),"")</f>
        <v/>
      </c>
      <c r="O1863" s="23" t="b">
        <f>IFERROR(VLOOKUP(A1863, Entries!A:I,8,false),"")</f>
        <v>1</v>
      </c>
    </row>
    <row r="1864">
      <c r="A1864" s="78" t="s">
        <v>1984</v>
      </c>
      <c r="B1864" s="78" t="s">
        <v>23</v>
      </c>
      <c r="C1864" s="85">
        <v>44665.0</v>
      </c>
      <c r="D1864" s="85">
        <v>45254.0</v>
      </c>
      <c r="E1864" s="86">
        <v>6.99</v>
      </c>
      <c r="F1864" s="87">
        <v>10.55</v>
      </c>
      <c r="G1864" s="88">
        <f t="shared" si="1"/>
        <v>3.56</v>
      </c>
      <c r="H1864" s="89">
        <f t="shared" si="10"/>
        <v>0.3374407583</v>
      </c>
      <c r="I1864" s="78" t="s">
        <v>2406</v>
      </c>
      <c r="J1864" s="78" t="s">
        <v>69</v>
      </c>
      <c r="K1864" s="58">
        <f t="shared" si="3"/>
        <v>589</v>
      </c>
      <c r="L1864" s="91" t="str">
        <f t="shared" si="8"/>
        <v>Fri</v>
      </c>
      <c r="M1864" s="78" t="str">
        <f>IFERROR(VLOOKUP(A1864, Entries!A:B,2,false),"")</f>
        <v>Offworld Industries</v>
      </c>
      <c r="N1864" s="23" t="str">
        <f>IFERROR(VLOOKUP(A1864, Entries!A:K,11,false),"")</f>
        <v/>
      </c>
      <c r="O1864" s="23" t="b">
        <f>IFERROR(VLOOKUP(A1864, Entries!A:I,8,false),"")</f>
        <v>1</v>
      </c>
    </row>
    <row r="1865">
      <c r="A1865" s="78" t="s">
        <v>2180</v>
      </c>
      <c r="B1865" s="78" t="s">
        <v>23</v>
      </c>
      <c r="C1865" s="85">
        <v>44665.0</v>
      </c>
      <c r="D1865" s="85">
        <v>44665.0</v>
      </c>
      <c r="E1865" s="86">
        <v>6.74</v>
      </c>
      <c r="F1865" s="87">
        <v>16.52</v>
      </c>
      <c r="G1865" s="88">
        <f t="shared" si="1"/>
        <v>9.78</v>
      </c>
      <c r="H1865" s="89">
        <f t="shared" si="10"/>
        <v>0.5920096852</v>
      </c>
      <c r="I1865" s="78" t="s">
        <v>2407</v>
      </c>
      <c r="J1865" s="78" t="s">
        <v>69</v>
      </c>
      <c r="K1865" s="58">
        <f t="shared" si="3"/>
        <v>0</v>
      </c>
      <c r="L1865" s="91" t="str">
        <f t="shared" si="8"/>
        <v>Thu</v>
      </c>
      <c r="M1865" s="78" t="str">
        <f>IFERROR(VLOOKUP(A1865, Entries!A:B,2,false),"")</f>
        <v>Konami</v>
      </c>
      <c r="N1865" s="23" t="str">
        <f>IFERROR(VLOOKUP(A1865, Entries!A:K,11,false),"")</f>
        <v/>
      </c>
      <c r="O1865" s="23" t="b">
        <f>IFERROR(VLOOKUP(A1865, Entries!A:I,8,false),"")</f>
        <v>1</v>
      </c>
    </row>
    <row r="1866">
      <c r="A1866" s="78" t="s">
        <v>2180</v>
      </c>
      <c r="B1866" s="78" t="s">
        <v>23</v>
      </c>
      <c r="C1866" s="85">
        <v>44665.0</v>
      </c>
      <c r="D1866" s="85">
        <v>44665.0</v>
      </c>
      <c r="E1866" s="86">
        <v>6.74</v>
      </c>
      <c r="F1866" s="87">
        <v>16.29</v>
      </c>
      <c r="G1866" s="88">
        <f t="shared" si="1"/>
        <v>9.55</v>
      </c>
      <c r="H1866" s="89">
        <f t="shared" si="10"/>
        <v>0.5862492327</v>
      </c>
      <c r="I1866" s="78" t="s">
        <v>2408</v>
      </c>
      <c r="J1866" s="78" t="s">
        <v>69</v>
      </c>
      <c r="K1866" s="58">
        <f t="shared" si="3"/>
        <v>0</v>
      </c>
      <c r="L1866" s="91" t="str">
        <f t="shared" si="8"/>
        <v>Thu</v>
      </c>
      <c r="M1866" s="78" t="str">
        <f>IFERROR(VLOOKUP(A1866, Entries!A:B,2,false),"")</f>
        <v>Konami</v>
      </c>
      <c r="N1866" s="23" t="str">
        <f>IFERROR(VLOOKUP(A1866, Entries!A:K,11,false),"")</f>
        <v/>
      </c>
      <c r="O1866" s="23" t="b">
        <f>IFERROR(VLOOKUP(A1866, Entries!A:I,8,false),"")</f>
        <v>1</v>
      </c>
    </row>
    <row r="1867">
      <c r="A1867" s="78" t="s">
        <v>2101</v>
      </c>
      <c r="B1867" s="78" t="s">
        <v>27</v>
      </c>
      <c r="C1867" s="85">
        <v>44665.0</v>
      </c>
      <c r="D1867" s="85">
        <v>44707.0</v>
      </c>
      <c r="E1867" s="86">
        <v>10.29</v>
      </c>
      <c r="F1867" s="87">
        <v>12.03</v>
      </c>
      <c r="G1867" s="88">
        <f t="shared" si="1"/>
        <v>1.74</v>
      </c>
      <c r="H1867" s="89">
        <f t="shared" si="10"/>
        <v>0.144638404</v>
      </c>
      <c r="I1867" s="78" t="s">
        <v>2409</v>
      </c>
      <c r="J1867" s="78" t="s">
        <v>69</v>
      </c>
      <c r="K1867" s="58">
        <f t="shared" si="3"/>
        <v>42</v>
      </c>
      <c r="L1867" s="91" t="str">
        <f t="shared" si="8"/>
        <v>Thu</v>
      </c>
      <c r="M1867" s="78" t="str">
        <f>IFERROR(VLOOKUP(A1867, Entries!A:B,2,false),"")</f>
        <v>Offworld Industries</v>
      </c>
      <c r="N1867" s="23" t="str">
        <f>IFERROR(VLOOKUP(A1867, Entries!A:K,11,false),"")</f>
        <v/>
      </c>
      <c r="O1867" s="23" t="b">
        <f>IFERROR(VLOOKUP(A1867, Entries!A:I,8,false),"")</f>
        <v>0</v>
      </c>
    </row>
    <row r="1868">
      <c r="A1868" s="78" t="s">
        <v>2180</v>
      </c>
      <c r="B1868" s="78" t="s">
        <v>23</v>
      </c>
      <c r="C1868" s="85">
        <v>44665.0</v>
      </c>
      <c r="D1868" s="85">
        <v>44666.0</v>
      </c>
      <c r="E1868" s="86">
        <v>6.74</v>
      </c>
      <c r="F1868" s="87">
        <v>14.38</v>
      </c>
      <c r="G1868" s="88">
        <f t="shared" si="1"/>
        <v>7.64</v>
      </c>
      <c r="H1868" s="89">
        <f t="shared" si="10"/>
        <v>0.5312934631</v>
      </c>
      <c r="I1868" s="78" t="s">
        <v>2410</v>
      </c>
      <c r="J1868" s="78" t="s">
        <v>69</v>
      </c>
      <c r="K1868" s="58">
        <f t="shared" si="3"/>
        <v>1</v>
      </c>
      <c r="L1868" s="91" t="str">
        <f t="shared" si="8"/>
        <v>Fri</v>
      </c>
      <c r="M1868" s="78" t="str">
        <f>IFERROR(VLOOKUP(A1868, Entries!A:B,2,false),"")</f>
        <v>Konami</v>
      </c>
      <c r="N1868" s="23" t="str">
        <f>IFERROR(VLOOKUP(A1868, Entries!A:K,11,false),"")</f>
        <v/>
      </c>
      <c r="O1868" s="23" t="b">
        <f>IFERROR(VLOOKUP(A1868, Entries!A:I,8,false),"")</f>
        <v>1</v>
      </c>
    </row>
    <row r="1869">
      <c r="A1869" s="78" t="s">
        <v>2180</v>
      </c>
      <c r="B1869" s="78" t="s">
        <v>23</v>
      </c>
      <c r="C1869" s="85">
        <v>44666.0</v>
      </c>
      <c r="D1869" s="85">
        <v>45142.0</v>
      </c>
      <c r="E1869" s="86">
        <v>6.77</v>
      </c>
      <c r="F1869" s="87">
        <v>6.33</v>
      </c>
      <c r="G1869" s="88">
        <f t="shared" si="1"/>
        <v>-0.44</v>
      </c>
      <c r="H1869" s="89">
        <f t="shared" si="10"/>
        <v>-0.06951026856</v>
      </c>
      <c r="I1869" s="78" t="s">
        <v>2411</v>
      </c>
      <c r="J1869" s="78" t="s">
        <v>69</v>
      </c>
      <c r="K1869" s="58">
        <f t="shared" si="3"/>
        <v>476</v>
      </c>
      <c r="L1869" s="91" t="str">
        <f t="shared" si="8"/>
        <v>Fri</v>
      </c>
      <c r="M1869" s="78" t="str">
        <f>IFERROR(VLOOKUP(A1869, Entries!A:B,2,false),"")</f>
        <v>Konami</v>
      </c>
      <c r="N1869" s="23" t="str">
        <f>IFERROR(VLOOKUP(A1869, Entries!A:K,11,false),"")</f>
        <v/>
      </c>
      <c r="O1869" s="23" t="b">
        <f>IFERROR(VLOOKUP(A1869, Entries!A:I,8,false),"")</f>
        <v>1</v>
      </c>
    </row>
    <row r="1870">
      <c r="A1870" s="78" t="s">
        <v>2412</v>
      </c>
      <c r="B1870" s="78" t="s">
        <v>21</v>
      </c>
      <c r="C1870" s="85">
        <v>44666.0</v>
      </c>
      <c r="D1870" s="85">
        <v>44670.0</v>
      </c>
      <c r="E1870" s="86">
        <v>13.82</v>
      </c>
      <c r="F1870" s="87">
        <v>17.65</v>
      </c>
      <c r="G1870" s="88">
        <f t="shared" si="1"/>
        <v>3.83</v>
      </c>
      <c r="H1870" s="89">
        <f t="shared" si="10"/>
        <v>0.2169971671</v>
      </c>
      <c r="I1870" s="78" t="s">
        <v>2413</v>
      </c>
      <c r="J1870" s="78" t="s">
        <v>69</v>
      </c>
      <c r="K1870" s="58">
        <f t="shared" si="3"/>
        <v>4</v>
      </c>
      <c r="L1870" s="91" t="str">
        <f t="shared" si="8"/>
        <v>Tue</v>
      </c>
      <c r="M1870" s="78" t="str">
        <f>IFERROR(VLOOKUP(A1870, Entries!A:B,2,false),"")</f>
        <v>BANDAI NAMCO</v>
      </c>
      <c r="N1870" s="23" t="str">
        <f>IFERROR(VLOOKUP(A1870, Entries!A:K,11,false),"")</f>
        <v/>
      </c>
      <c r="O1870" s="23" t="b">
        <f>IFERROR(VLOOKUP(A1870, Entries!A:I,8,false),"")</f>
        <v>0</v>
      </c>
    </row>
    <row r="1871">
      <c r="A1871" s="78" t="s">
        <v>2412</v>
      </c>
      <c r="B1871" s="78" t="s">
        <v>21</v>
      </c>
      <c r="C1871" s="85">
        <v>44666.0</v>
      </c>
      <c r="D1871" s="85">
        <v>44671.0</v>
      </c>
      <c r="E1871" s="86">
        <v>13.82</v>
      </c>
      <c r="F1871" s="87">
        <v>17.66</v>
      </c>
      <c r="G1871" s="88">
        <f t="shared" si="1"/>
        <v>3.84</v>
      </c>
      <c r="H1871" s="89">
        <f t="shared" si="10"/>
        <v>0.2174405436</v>
      </c>
      <c r="I1871" s="78" t="s">
        <v>2414</v>
      </c>
      <c r="J1871" s="78" t="s">
        <v>69</v>
      </c>
      <c r="K1871" s="58">
        <f t="shared" si="3"/>
        <v>5</v>
      </c>
      <c r="L1871" s="91" t="str">
        <f t="shared" si="8"/>
        <v>Wed</v>
      </c>
      <c r="M1871" s="78" t="str">
        <f>IFERROR(VLOOKUP(A1871, Entries!A:B,2,false),"")</f>
        <v>BANDAI NAMCO</v>
      </c>
      <c r="N1871" s="23" t="str">
        <f>IFERROR(VLOOKUP(A1871, Entries!A:K,11,false),"")</f>
        <v/>
      </c>
      <c r="O1871" s="23" t="b">
        <f>IFERROR(VLOOKUP(A1871, Entries!A:I,8,false),"")</f>
        <v>0</v>
      </c>
    </row>
    <row r="1872">
      <c r="A1872" s="78" t="s">
        <v>2395</v>
      </c>
      <c r="B1872" s="78" t="s">
        <v>19</v>
      </c>
      <c r="C1872" s="85">
        <v>44666.0</v>
      </c>
      <c r="D1872" s="85">
        <v>44675.0</v>
      </c>
      <c r="E1872" s="86">
        <v>7.35</v>
      </c>
      <c r="F1872" s="87">
        <v>9.92</v>
      </c>
      <c r="G1872" s="88">
        <f t="shared" si="1"/>
        <v>2.57</v>
      </c>
      <c r="H1872" s="89">
        <f t="shared" si="10"/>
        <v>0.2590725806</v>
      </c>
      <c r="I1872" s="78" t="s">
        <v>2415</v>
      </c>
      <c r="J1872" s="78" t="s">
        <v>69</v>
      </c>
      <c r="K1872" s="58">
        <f t="shared" si="3"/>
        <v>9</v>
      </c>
      <c r="L1872" s="91" t="str">
        <f t="shared" si="8"/>
        <v>Sun</v>
      </c>
      <c r="M1872" s="78" t="str">
        <f>IFERROR(VLOOKUP(A1872, Entries!A:B,2,false),"")</f>
        <v>Blue Brain Games</v>
      </c>
      <c r="N1872" s="23" t="str">
        <f>IFERROR(VLOOKUP(A1872, Entries!A:K,11,false),"")</f>
        <v/>
      </c>
      <c r="O1872" s="23" t="b">
        <f>IFERROR(VLOOKUP(A1872, Entries!A:I,8,false),"")</f>
        <v>0</v>
      </c>
    </row>
    <row r="1873">
      <c r="A1873" s="78" t="s">
        <v>2323</v>
      </c>
      <c r="B1873" s="78" t="s">
        <v>18</v>
      </c>
      <c r="C1873" s="85">
        <v>44667.0</v>
      </c>
      <c r="D1873" s="85">
        <v>44671.0</v>
      </c>
      <c r="E1873" s="86">
        <v>5.17</v>
      </c>
      <c r="F1873" s="87">
        <v>6.38</v>
      </c>
      <c r="G1873" s="88">
        <f t="shared" si="1"/>
        <v>1.21</v>
      </c>
      <c r="H1873" s="89">
        <f t="shared" si="10"/>
        <v>0.1896551724</v>
      </c>
      <c r="I1873" s="78" t="s">
        <v>2416</v>
      </c>
      <c r="J1873" s="78" t="s">
        <v>69</v>
      </c>
      <c r="K1873" s="58">
        <f t="shared" si="3"/>
        <v>4</v>
      </c>
      <c r="L1873" s="91" t="str">
        <f t="shared" si="8"/>
        <v>Wed</v>
      </c>
      <c r="M1873" s="78" t="str">
        <f>IFERROR(VLOOKUP(A1873, Entries!A:B,2,false),"")</f>
        <v>tinyBuild</v>
      </c>
      <c r="N1873" s="23" t="str">
        <f>IFERROR(VLOOKUP(A1873, Entries!A:K,11,false),"")</f>
        <v/>
      </c>
      <c r="O1873" s="23" t="b">
        <f>IFERROR(VLOOKUP(A1873, Entries!A:I,8,false),"")</f>
        <v>1</v>
      </c>
    </row>
    <row r="1874">
      <c r="A1874" s="78" t="s">
        <v>2323</v>
      </c>
      <c r="B1874" s="78" t="s">
        <v>18</v>
      </c>
      <c r="C1874" s="85">
        <v>44667.0</v>
      </c>
      <c r="D1874" s="85">
        <v>44671.0</v>
      </c>
      <c r="E1874" s="86">
        <v>5.18</v>
      </c>
      <c r="F1874" s="87">
        <v>6.38</v>
      </c>
      <c r="G1874" s="88">
        <f t="shared" si="1"/>
        <v>1.2</v>
      </c>
      <c r="H1874" s="89">
        <f t="shared" si="10"/>
        <v>0.1880877743</v>
      </c>
      <c r="I1874" s="78" t="s">
        <v>2417</v>
      </c>
      <c r="J1874" s="78" t="s">
        <v>69</v>
      </c>
      <c r="K1874" s="58">
        <f t="shared" si="3"/>
        <v>4</v>
      </c>
      <c r="L1874" s="91" t="str">
        <f t="shared" si="8"/>
        <v>Wed</v>
      </c>
      <c r="M1874" s="78" t="str">
        <f>IFERROR(VLOOKUP(A1874, Entries!A:B,2,false),"")</f>
        <v>tinyBuild</v>
      </c>
      <c r="N1874" s="23" t="str">
        <f>IFERROR(VLOOKUP(A1874, Entries!A:K,11,false),"")</f>
        <v/>
      </c>
      <c r="O1874" s="23" t="b">
        <f>IFERROR(VLOOKUP(A1874, Entries!A:I,8,false),"")</f>
        <v>1</v>
      </c>
    </row>
    <row r="1875">
      <c r="A1875" s="78" t="s">
        <v>2323</v>
      </c>
      <c r="B1875" s="78" t="s">
        <v>18</v>
      </c>
      <c r="C1875" s="85">
        <v>44667.0</v>
      </c>
      <c r="D1875" s="85">
        <v>44697.0</v>
      </c>
      <c r="E1875" s="86">
        <v>5.18</v>
      </c>
      <c r="F1875" s="87">
        <v>6.21</v>
      </c>
      <c r="G1875" s="88">
        <f t="shared" si="1"/>
        <v>1.03</v>
      </c>
      <c r="H1875" s="89">
        <f t="shared" si="10"/>
        <v>0.1658615137</v>
      </c>
      <c r="I1875" s="78" t="s">
        <v>2418</v>
      </c>
      <c r="J1875" s="78" t="s">
        <v>69</v>
      </c>
      <c r="K1875" s="58">
        <f t="shared" si="3"/>
        <v>30</v>
      </c>
      <c r="L1875" s="91" t="str">
        <f t="shared" si="8"/>
        <v>Mon</v>
      </c>
      <c r="M1875" s="78" t="str">
        <f>IFERROR(VLOOKUP(A1875, Entries!A:B,2,false),"")</f>
        <v>tinyBuild</v>
      </c>
      <c r="N1875" s="23" t="str">
        <f>IFERROR(VLOOKUP(A1875, Entries!A:K,11,false),"")</f>
        <v/>
      </c>
      <c r="O1875" s="23" t="b">
        <f>IFERROR(VLOOKUP(A1875, Entries!A:I,8,false),"")</f>
        <v>1</v>
      </c>
    </row>
    <row r="1876">
      <c r="A1876" s="78" t="s">
        <v>2323</v>
      </c>
      <c r="B1876" s="78" t="s">
        <v>18</v>
      </c>
      <c r="C1876" s="85">
        <v>44667.0</v>
      </c>
      <c r="D1876" s="85">
        <v>44697.0</v>
      </c>
      <c r="E1876" s="86">
        <v>5.18</v>
      </c>
      <c r="F1876" s="87">
        <v>6.21</v>
      </c>
      <c r="G1876" s="88">
        <f t="shared" si="1"/>
        <v>1.03</v>
      </c>
      <c r="H1876" s="89">
        <f t="shared" si="10"/>
        <v>0.1658615137</v>
      </c>
      <c r="I1876" s="78" t="s">
        <v>2419</v>
      </c>
      <c r="J1876" s="78" t="s">
        <v>69</v>
      </c>
      <c r="K1876" s="58">
        <f t="shared" si="3"/>
        <v>30</v>
      </c>
      <c r="L1876" s="91" t="str">
        <f t="shared" si="8"/>
        <v>Mon</v>
      </c>
      <c r="M1876" s="78" t="str">
        <f>IFERROR(VLOOKUP(A1876, Entries!A:B,2,false),"")</f>
        <v>tinyBuild</v>
      </c>
      <c r="N1876" s="23" t="str">
        <f>IFERROR(VLOOKUP(A1876, Entries!A:K,11,false),"")</f>
        <v/>
      </c>
      <c r="O1876" s="23" t="b">
        <f>IFERROR(VLOOKUP(A1876, Entries!A:I,8,false),"")</f>
        <v>1</v>
      </c>
    </row>
    <row r="1877">
      <c r="A1877" s="78" t="s">
        <v>67</v>
      </c>
      <c r="B1877" s="78" t="s">
        <v>19</v>
      </c>
      <c r="C1877" s="85">
        <v>44669.0</v>
      </c>
      <c r="D1877" s="85">
        <v>44671.0</v>
      </c>
      <c r="E1877" s="86">
        <v>3.85</v>
      </c>
      <c r="F1877" s="87">
        <v>6.86</v>
      </c>
      <c r="G1877" s="88">
        <f t="shared" si="1"/>
        <v>3.01</v>
      </c>
      <c r="H1877" s="89">
        <f t="shared" si="10"/>
        <v>0.4387755102</v>
      </c>
      <c r="I1877" s="78" t="s">
        <v>2420</v>
      </c>
      <c r="J1877" s="78" t="s">
        <v>69</v>
      </c>
      <c r="K1877" s="58">
        <f t="shared" si="3"/>
        <v>2</v>
      </c>
      <c r="L1877" s="91" t="str">
        <f t="shared" si="8"/>
        <v>Wed</v>
      </c>
      <c r="M1877" s="78" t="str">
        <f>IFERROR(VLOOKUP(A1877, Entries!A:B,2,false),"")</f>
        <v>SEGA</v>
      </c>
      <c r="N1877" s="23" t="str">
        <f>IFERROR(VLOOKUP(A1877, Entries!A:K,11,false),"")</f>
        <v/>
      </c>
      <c r="O1877" s="23" t="b">
        <f>IFERROR(VLOOKUP(A1877, Entries!A:I,8,false),"")</f>
        <v>0</v>
      </c>
    </row>
    <row r="1878">
      <c r="A1878" s="78" t="s">
        <v>622</v>
      </c>
      <c r="B1878" s="78" t="s">
        <v>19</v>
      </c>
      <c r="C1878" s="85">
        <v>44670.0</v>
      </c>
      <c r="D1878" s="85">
        <v>44671.0</v>
      </c>
      <c r="E1878" s="86">
        <v>2.93</v>
      </c>
      <c r="F1878" s="87">
        <v>4.89</v>
      </c>
      <c r="G1878" s="88">
        <f t="shared" si="1"/>
        <v>1.96</v>
      </c>
      <c r="H1878" s="89">
        <f t="shared" si="10"/>
        <v>0.4008179959</v>
      </c>
      <c r="I1878" s="78" t="s">
        <v>2421</v>
      </c>
      <c r="J1878" s="78" t="s">
        <v>69</v>
      </c>
      <c r="K1878" s="58">
        <f t="shared" si="3"/>
        <v>1</v>
      </c>
      <c r="L1878" s="91" t="str">
        <f t="shared" si="8"/>
        <v>Wed</v>
      </c>
      <c r="M1878" s="78" t="str">
        <f>IFERROR(VLOOKUP(A1878, Entries!A:B,2,false),"")</f>
        <v>Blue Brain Games</v>
      </c>
      <c r="N1878" s="23" t="str">
        <f>IFERROR(VLOOKUP(A1878, Entries!A:K,11,false),"")</f>
        <v/>
      </c>
      <c r="O1878" s="23" t="b">
        <f>IFERROR(VLOOKUP(A1878, Entries!A:I,8,false),"")</f>
        <v>1</v>
      </c>
    </row>
    <row r="1879">
      <c r="A1879" s="78" t="s">
        <v>2422</v>
      </c>
      <c r="B1879" s="78" t="s">
        <v>22</v>
      </c>
      <c r="C1879" s="85">
        <v>44670.0</v>
      </c>
      <c r="D1879" s="85">
        <v>44679.0</v>
      </c>
      <c r="E1879" s="86">
        <v>3.1</v>
      </c>
      <c r="F1879" s="87">
        <v>3.6</v>
      </c>
      <c r="G1879" s="88">
        <f t="shared" si="1"/>
        <v>0.5</v>
      </c>
      <c r="H1879" s="89">
        <f t="shared" si="10"/>
        <v>0.1388888889</v>
      </c>
      <c r="I1879" s="78" t="s">
        <v>2423</v>
      </c>
      <c r="J1879" s="78" t="s">
        <v>69</v>
      </c>
      <c r="K1879" s="58">
        <f t="shared" si="3"/>
        <v>9</v>
      </c>
      <c r="L1879" s="91" t="str">
        <f t="shared" si="8"/>
        <v>Thu</v>
      </c>
      <c r="M1879" s="78" t="str">
        <f>IFERROR(VLOOKUP(A1879, Entries!A:B,2,false),"")</f>
        <v>Skybound Games</v>
      </c>
      <c r="N1879" s="23" t="str">
        <f>IFERROR(VLOOKUP(A1879, Entries!A:K,11,false),"")</f>
        <v/>
      </c>
      <c r="O1879" s="23" t="b">
        <f>IFERROR(VLOOKUP(A1879, Entries!A:I,8,false),"")</f>
        <v>0</v>
      </c>
    </row>
    <row r="1880">
      <c r="A1880" s="94" t="s">
        <v>2359</v>
      </c>
      <c r="B1880" s="78" t="s">
        <v>19</v>
      </c>
      <c r="C1880" s="85">
        <v>44670.0</v>
      </c>
      <c r="D1880" s="85">
        <v>45558.0</v>
      </c>
      <c r="E1880" s="86">
        <v>18.37</v>
      </c>
      <c r="F1880" s="87">
        <v>10.56</v>
      </c>
      <c r="G1880" s="88">
        <f t="shared" si="1"/>
        <v>-7.81</v>
      </c>
      <c r="H1880" s="89">
        <f t="shared" si="10"/>
        <v>-0.7395833333</v>
      </c>
      <c r="I1880" s="78" t="s">
        <v>2424</v>
      </c>
      <c r="J1880" s="78" t="s">
        <v>69</v>
      </c>
      <c r="K1880" s="58">
        <f t="shared" si="3"/>
        <v>888</v>
      </c>
      <c r="L1880" s="91" t="str">
        <f t="shared" si="8"/>
        <v>Mon</v>
      </c>
      <c r="M1880" s="78" t="str">
        <f>IFERROR(VLOOKUP(A1880, Entries!A:B,2,false),"")</f>
        <v>Good Shepherd Entertainment</v>
      </c>
      <c r="N1880" s="23" t="str">
        <f>IFERROR(VLOOKUP(A1880, Entries!A:K,11,false),"")</f>
        <v/>
      </c>
      <c r="O1880" s="23" t="b">
        <f>IFERROR(VLOOKUP(A1880, Entries!A:I,8,false),"")</f>
        <v>0</v>
      </c>
    </row>
    <row r="1881">
      <c r="A1881" s="78" t="s">
        <v>2066</v>
      </c>
      <c r="B1881" s="78" t="s">
        <v>34</v>
      </c>
      <c r="C1881" s="85">
        <v>44670.0</v>
      </c>
      <c r="D1881" s="85">
        <v>44671.0</v>
      </c>
      <c r="E1881" s="86">
        <v>12.87</v>
      </c>
      <c r="F1881" s="87">
        <v>15.31</v>
      </c>
      <c r="G1881" s="88">
        <f t="shared" si="1"/>
        <v>2.44</v>
      </c>
      <c r="H1881" s="89">
        <f t="shared" si="10"/>
        <v>0.1593729589</v>
      </c>
      <c r="I1881" s="78" t="s">
        <v>2425</v>
      </c>
      <c r="J1881" s="78" t="s">
        <v>69</v>
      </c>
      <c r="K1881" s="58">
        <f t="shared" si="3"/>
        <v>1</v>
      </c>
      <c r="L1881" s="91" t="str">
        <f t="shared" si="8"/>
        <v>Wed</v>
      </c>
      <c r="M1881" s="78" t="str">
        <f>IFERROR(VLOOKUP(A1881, Entries!A:B,2,false),"")</f>
        <v>Annapurna Interactive</v>
      </c>
      <c r="N1881" s="23" t="str">
        <f>IFERROR(VLOOKUP(A1881, Entries!A:K,11,false),"")</f>
        <v/>
      </c>
      <c r="O1881" s="23" t="b">
        <f>IFERROR(VLOOKUP(A1881, Entries!A:I,8,false),"")</f>
        <v>0</v>
      </c>
    </row>
    <row r="1882">
      <c r="A1882" s="78" t="s">
        <v>2029</v>
      </c>
      <c r="B1882" s="78" t="s">
        <v>19</v>
      </c>
      <c r="C1882" s="85">
        <v>44670.0</v>
      </c>
      <c r="D1882" s="85">
        <v>44671.0</v>
      </c>
      <c r="E1882" s="86">
        <v>13.92</v>
      </c>
      <c r="F1882" s="87">
        <v>17.01</v>
      </c>
      <c r="G1882" s="88">
        <f t="shared" si="1"/>
        <v>3.09</v>
      </c>
      <c r="H1882" s="89">
        <f t="shared" si="10"/>
        <v>0.1816578483</v>
      </c>
      <c r="I1882" s="78" t="s">
        <v>2426</v>
      </c>
      <c r="J1882" s="78" t="s">
        <v>69</v>
      </c>
      <c r="K1882" s="58">
        <f t="shared" si="3"/>
        <v>1</v>
      </c>
      <c r="L1882" s="91" t="str">
        <f t="shared" si="8"/>
        <v>Wed</v>
      </c>
      <c r="M1882" s="78" t="str">
        <f>IFERROR(VLOOKUP(A1882, Entries!A:B,2,false),"")</f>
        <v>Playstack</v>
      </c>
      <c r="N1882" s="23" t="str">
        <f>IFERROR(VLOOKUP(A1882, Entries!A:K,11,false),"")</f>
        <v/>
      </c>
      <c r="O1882" s="23" t="b">
        <f>IFERROR(VLOOKUP(A1882, Entries!A:I,8,false),"")</f>
        <v>0</v>
      </c>
    </row>
    <row r="1883">
      <c r="A1883" s="78" t="s">
        <v>2029</v>
      </c>
      <c r="B1883" s="78" t="s">
        <v>19</v>
      </c>
      <c r="C1883" s="85">
        <v>44671.0</v>
      </c>
      <c r="D1883" s="85">
        <v>44672.0</v>
      </c>
      <c r="E1883" s="86">
        <v>13.93</v>
      </c>
      <c r="F1883" s="87">
        <v>16.87</v>
      </c>
      <c r="G1883" s="88">
        <f t="shared" si="1"/>
        <v>2.94</v>
      </c>
      <c r="H1883" s="89">
        <f t="shared" si="10"/>
        <v>0.1742738589</v>
      </c>
      <c r="I1883" s="78" t="s">
        <v>2427</v>
      </c>
      <c r="J1883" s="78" t="s">
        <v>69</v>
      </c>
      <c r="K1883" s="58">
        <f t="shared" si="3"/>
        <v>1</v>
      </c>
      <c r="L1883" s="91" t="str">
        <f t="shared" si="8"/>
        <v>Thu</v>
      </c>
      <c r="M1883" s="78" t="str">
        <f>IFERROR(VLOOKUP(A1883, Entries!A:B,2,false),"")</f>
        <v>Playstack</v>
      </c>
      <c r="N1883" s="23" t="str">
        <f>IFERROR(VLOOKUP(A1883, Entries!A:K,11,false),"")</f>
        <v/>
      </c>
      <c r="O1883" s="23" t="b">
        <f>IFERROR(VLOOKUP(A1883, Entries!A:I,8,false),"")</f>
        <v>0</v>
      </c>
    </row>
    <row r="1884">
      <c r="A1884" s="78" t="s">
        <v>67</v>
      </c>
      <c r="B1884" s="78" t="s">
        <v>19</v>
      </c>
      <c r="C1884" s="85">
        <v>44671.0</v>
      </c>
      <c r="D1884" s="85">
        <v>44678.0</v>
      </c>
      <c r="E1884" s="86">
        <v>3.85</v>
      </c>
      <c r="F1884" s="87">
        <v>5.76</v>
      </c>
      <c r="G1884" s="88">
        <f t="shared" si="1"/>
        <v>1.91</v>
      </c>
      <c r="H1884" s="89">
        <f t="shared" si="10"/>
        <v>0.3315972222</v>
      </c>
      <c r="I1884" s="78" t="s">
        <v>2428</v>
      </c>
      <c r="J1884" s="78" t="s">
        <v>69</v>
      </c>
      <c r="K1884" s="58">
        <f t="shared" si="3"/>
        <v>7</v>
      </c>
      <c r="L1884" s="91" t="str">
        <f t="shared" si="8"/>
        <v>Wed</v>
      </c>
      <c r="M1884" s="78" t="str">
        <f>IFERROR(VLOOKUP(A1884, Entries!A:B,2,false),"")</f>
        <v>SEGA</v>
      </c>
      <c r="N1884" s="23" t="str">
        <f>IFERROR(VLOOKUP(A1884, Entries!A:K,11,false),"")</f>
        <v/>
      </c>
      <c r="O1884" s="23" t="b">
        <f>IFERROR(VLOOKUP(A1884, Entries!A:I,8,false),"")</f>
        <v>0</v>
      </c>
    </row>
    <row r="1885">
      <c r="A1885" s="78" t="s">
        <v>622</v>
      </c>
      <c r="B1885" s="78" t="s">
        <v>19</v>
      </c>
      <c r="C1885" s="85">
        <v>44671.0</v>
      </c>
      <c r="D1885" s="85">
        <v>44677.0</v>
      </c>
      <c r="E1885" s="86">
        <v>2.93</v>
      </c>
      <c r="F1885" s="87">
        <v>4.7</v>
      </c>
      <c r="G1885" s="88">
        <f t="shared" si="1"/>
        <v>1.77</v>
      </c>
      <c r="H1885" s="89">
        <f t="shared" si="10"/>
        <v>0.3765957447</v>
      </c>
      <c r="I1885" s="78" t="s">
        <v>2429</v>
      </c>
      <c r="J1885" s="78" t="s">
        <v>69</v>
      </c>
      <c r="K1885" s="58">
        <f t="shared" si="3"/>
        <v>6</v>
      </c>
      <c r="L1885" s="91" t="str">
        <f t="shared" si="8"/>
        <v>Tue</v>
      </c>
      <c r="M1885" s="78" t="str">
        <f>IFERROR(VLOOKUP(A1885, Entries!A:B,2,false),"")</f>
        <v>Blue Brain Games</v>
      </c>
      <c r="N1885" s="23" t="str">
        <f>IFERROR(VLOOKUP(A1885, Entries!A:K,11,false),"")</f>
        <v/>
      </c>
      <c r="O1885" s="23" t="b">
        <f>IFERROR(VLOOKUP(A1885, Entries!A:I,8,false),"")</f>
        <v>1</v>
      </c>
    </row>
    <row r="1886">
      <c r="A1886" s="78" t="s">
        <v>1715</v>
      </c>
      <c r="B1886" s="78" t="s">
        <v>27</v>
      </c>
      <c r="C1886" s="85">
        <v>44671.0</v>
      </c>
      <c r="D1886" s="25"/>
      <c r="E1886" s="86">
        <v>25.39</v>
      </c>
      <c r="F1886" s="88"/>
      <c r="G1886" s="88">
        <f t="shared" si="1"/>
        <v>-25.39</v>
      </c>
      <c r="H1886" s="89" t="str">
        <f t="shared" si="10"/>
        <v/>
      </c>
      <c r="I1886" s="103" t="s">
        <v>2430</v>
      </c>
      <c r="J1886" s="78" t="s">
        <v>1129</v>
      </c>
      <c r="K1886" s="58" t="str">
        <f t="shared" si="3"/>
        <v/>
      </c>
      <c r="L1886" s="91" t="str">
        <f t="shared" si="8"/>
        <v/>
      </c>
      <c r="M1886" s="78" t="str">
        <f>IFERROR(VLOOKUP(A1886, Entries!A:B,2,false),"")</f>
        <v>Deep Silver</v>
      </c>
      <c r="N1886" s="23" t="str">
        <f>IFERROR(VLOOKUP(A1886, Entries!A:K,11,false),"")</f>
        <v/>
      </c>
      <c r="O1886" s="23" t="b">
        <f>IFERROR(VLOOKUP(A1886, Entries!A:I,8,false),"")</f>
        <v>0</v>
      </c>
      <c r="S1886" s="23" t="str">
        <f>IF(AND(TODAY()-ROW(A1062)+1 &lt;= 30, J1062="Closed"), TEXT(TODAY()-ROW(A1062)+1, "dd-mm-yyyy"), "")
</f>
        <v/>
      </c>
    </row>
    <row r="1887">
      <c r="A1887" s="78" t="s">
        <v>2431</v>
      </c>
      <c r="B1887" s="78" t="s">
        <v>22</v>
      </c>
      <c r="C1887" s="85">
        <v>44672.0</v>
      </c>
      <c r="D1887" s="85">
        <v>44673.0</v>
      </c>
      <c r="E1887" s="86">
        <v>10.81</v>
      </c>
      <c r="F1887" s="87">
        <v>12.54</v>
      </c>
      <c r="G1887" s="88">
        <f t="shared" si="1"/>
        <v>1.73</v>
      </c>
      <c r="H1887" s="89">
        <f t="shared" si="10"/>
        <v>0.1379585327</v>
      </c>
      <c r="I1887" s="78" t="s">
        <v>2432</v>
      </c>
      <c r="J1887" s="78" t="s">
        <v>69</v>
      </c>
      <c r="K1887" s="58">
        <f t="shared" si="3"/>
        <v>1</v>
      </c>
      <c r="L1887" s="91" t="str">
        <f t="shared" si="8"/>
        <v>Fri</v>
      </c>
      <c r="M1887" s="78" t="str">
        <f>IFERROR(VLOOKUP(A1887, Entries!A:B,2,false),"")</f>
        <v>South East Games</v>
      </c>
      <c r="N1887" s="23" t="str">
        <f>IFERROR(VLOOKUP(A1887, Entries!A:K,11,false),"")</f>
        <v/>
      </c>
      <c r="O1887" s="23" t="b">
        <f>IFERROR(VLOOKUP(A1887, Entries!A:I,8,false),"")</f>
        <v>0</v>
      </c>
    </row>
    <row r="1888">
      <c r="A1888" s="78" t="s">
        <v>1389</v>
      </c>
      <c r="B1888" s="78" t="s">
        <v>23</v>
      </c>
      <c r="C1888" s="85">
        <v>44673.0</v>
      </c>
      <c r="D1888" s="85">
        <v>44674.0</v>
      </c>
      <c r="E1888" s="86">
        <v>9.62</v>
      </c>
      <c r="F1888" s="87">
        <v>18.96</v>
      </c>
      <c r="G1888" s="88">
        <f t="shared" si="1"/>
        <v>9.34</v>
      </c>
      <c r="H1888" s="89">
        <f t="shared" si="10"/>
        <v>0.4926160338</v>
      </c>
      <c r="I1888" s="78" t="s">
        <v>2433</v>
      </c>
      <c r="J1888" s="78" t="s">
        <v>69</v>
      </c>
      <c r="K1888" s="58">
        <f t="shared" si="3"/>
        <v>1</v>
      </c>
      <c r="L1888" s="91" t="str">
        <f t="shared" si="8"/>
        <v>Sat</v>
      </c>
      <c r="M1888" s="78" t="str">
        <f>IFERROR(VLOOKUP(A1888, Entries!A:B,2,false),"")</f>
        <v>Eugen Systems</v>
      </c>
      <c r="N1888" s="23" t="str">
        <f>IFERROR(VLOOKUP(A1888, Entries!A:K,11,false),"")</f>
        <v/>
      </c>
      <c r="O1888" s="23" t="b">
        <f>IFERROR(VLOOKUP(A1888, Entries!A:I,8,false),"")</f>
        <v>1</v>
      </c>
    </row>
    <row r="1889">
      <c r="A1889" s="78" t="s">
        <v>1406</v>
      </c>
      <c r="B1889" s="78" t="s">
        <v>23</v>
      </c>
      <c r="C1889" s="85">
        <v>44673.0</v>
      </c>
      <c r="D1889" s="85">
        <v>44674.0</v>
      </c>
      <c r="E1889" s="86">
        <v>19.24</v>
      </c>
      <c r="F1889" s="87">
        <v>33.37</v>
      </c>
      <c r="G1889" s="88">
        <f t="shared" si="1"/>
        <v>14.13</v>
      </c>
      <c r="H1889" s="89">
        <f t="shared" si="10"/>
        <v>0.4234342224</v>
      </c>
      <c r="I1889" s="78" t="s">
        <v>2434</v>
      </c>
      <c r="J1889" s="78" t="s">
        <v>69</v>
      </c>
      <c r="K1889" s="58">
        <f t="shared" si="3"/>
        <v>1</v>
      </c>
      <c r="L1889" s="91" t="str">
        <f t="shared" si="8"/>
        <v>Sat</v>
      </c>
      <c r="M1889" s="78" t="str">
        <f>IFERROR(VLOOKUP(A1889, Entries!A:B,2,false),"")</f>
        <v>Eugen Systems</v>
      </c>
      <c r="N1889" s="23" t="str">
        <f>IFERROR(VLOOKUP(A1889, Entries!A:K,11,false),"")</f>
        <v/>
      </c>
      <c r="O1889" s="23" t="b">
        <f>IFERROR(VLOOKUP(A1889, Entries!A:I,8,false),"")</f>
        <v>1</v>
      </c>
    </row>
    <row r="1890">
      <c r="A1890" s="78" t="s">
        <v>2431</v>
      </c>
      <c r="B1890" s="78" t="s">
        <v>22</v>
      </c>
      <c r="C1890" s="85">
        <v>44673.0</v>
      </c>
      <c r="D1890" s="85">
        <v>45067.0</v>
      </c>
      <c r="E1890" s="86">
        <v>10.77</v>
      </c>
      <c r="F1890" s="87">
        <v>10.99</v>
      </c>
      <c r="G1890" s="88">
        <f t="shared" si="1"/>
        <v>0.22</v>
      </c>
      <c r="H1890" s="89">
        <f t="shared" si="10"/>
        <v>0.02001819836</v>
      </c>
      <c r="I1890" s="78" t="s">
        <v>2435</v>
      </c>
      <c r="J1890" s="78" t="s">
        <v>69</v>
      </c>
      <c r="K1890" s="58">
        <f t="shared" si="3"/>
        <v>394</v>
      </c>
      <c r="L1890" s="91" t="str">
        <f t="shared" si="8"/>
        <v>Sun</v>
      </c>
      <c r="M1890" s="78" t="str">
        <f>IFERROR(VLOOKUP(A1890, Entries!A:B,2,false),"")</f>
        <v>South East Games</v>
      </c>
      <c r="N1890" s="23" t="str">
        <f>IFERROR(VLOOKUP(A1890, Entries!A:K,11,false),"")</f>
        <v/>
      </c>
      <c r="O1890" s="23" t="b">
        <f>IFERROR(VLOOKUP(A1890, Entries!A:I,8,false),"")</f>
        <v>0</v>
      </c>
    </row>
    <row r="1891">
      <c r="A1891" s="78" t="s">
        <v>1389</v>
      </c>
      <c r="B1891" s="78" t="s">
        <v>23</v>
      </c>
      <c r="C1891" s="85">
        <v>44674.0</v>
      </c>
      <c r="D1891" s="85">
        <v>44675.0</v>
      </c>
      <c r="E1891" s="86">
        <v>9.66</v>
      </c>
      <c r="F1891" s="87">
        <v>18.48</v>
      </c>
      <c r="G1891" s="88">
        <f t="shared" si="1"/>
        <v>8.82</v>
      </c>
      <c r="H1891" s="89">
        <f t="shared" si="10"/>
        <v>0.4772727273</v>
      </c>
      <c r="I1891" s="78" t="s">
        <v>2436</v>
      </c>
      <c r="J1891" s="78" t="s">
        <v>69</v>
      </c>
      <c r="K1891" s="58">
        <f t="shared" si="3"/>
        <v>1</v>
      </c>
      <c r="L1891" s="91" t="str">
        <f t="shared" si="8"/>
        <v>Sun</v>
      </c>
      <c r="M1891" s="78" t="str">
        <f>IFERROR(VLOOKUP(A1891, Entries!A:B,2,false),"")</f>
        <v>Eugen Systems</v>
      </c>
      <c r="N1891" s="23" t="str">
        <f>IFERROR(VLOOKUP(A1891, Entries!A:K,11,false),"")</f>
        <v/>
      </c>
      <c r="O1891" s="23" t="b">
        <f>IFERROR(VLOOKUP(A1891, Entries!A:I,8,false),"")</f>
        <v>1</v>
      </c>
    </row>
    <row r="1892">
      <c r="A1892" s="78" t="s">
        <v>2437</v>
      </c>
      <c r="B1892" s="78" t="s">
        <v>23</v>
      </c>
      <c r="C1892" s="85">
        <v>44674.0</v>
      </c>
      <c r="D1892" s="85">
        <v>44674.0</v>
      </c>
      <c r="E1892" s="86">
        <v>6.76</v>
      </c>
      <c r="F1892" s="87">
        <v>14.77</v>
      </c>
      <c r="G1892" s="88">
        <f t="shared" si="1"/>
        <v>8.01</v>
      </c>
      <c r="H1892" s="89">
        <f t="shared" si="10"/>
        <v>0.5423155044</v>
      </c>
      <c r="I1892" s="78" t="s">
        <v>2438</v>
      </c>
      <c r="J1892" s="78" t="s">
        <v>69</v>
      </c>
      <c r="K1892" s="58">
        <f t="shared" si="3"/>
        <v>0</v>
      </c>
      <c r="L1892" s="91" t="str">
        <f t="shared" si="8"/>
        <v>Sat</v>
      </c>
      <c r="M1892" s="78" t="str">
        <f>IFERROR(VLOOKUP(A1892, Entries!A:B,2,false),"")</f>
        <v>Shiro Games</v>
      </c>
      <c r="N1892" s="23" t="str">
        <f>IFERROR(VLOOKUP(A1892, Entries!A:K,11,false),"")</f>
        <v/>
      </c>
      <c r="O1892" s="23" t="b">
        <f>IFERROR(VLOOKUP(A1892, Entries!A:I,8,false),"")</f>
        <v>1</v>
      </c>
    </row>
    <row r="1893">
      <c r="A1893" s="78" t="s">
        <v>1406</v>
      </c>
      <c r="B1893" s="78" t="s">
        <v>23</v>
      </c>
      <c r="C1893" s="85">
        <v>44674.0</v>
      </c>
      <c r="D1893" s="85">
        <v>44674.0</v>
      </c>
      <c r="E1893" s="86">
        <v>19.33</v>
      </c>
      <c r="F1893" s="87">
        <v>31.72</v>
      </c>
      <c r="G1893" s="88">
        <f t="shared" si="1"/>
        <v>12.39</v>
      </c>
      <c r="H1893" s="89">
        <f t="shared" si="10"/>
        <v>0.3906052963</v>
      </c>
      <c r="I1893" s="78" t="s">
        <v>2439</v>
      </c>
      <c r="J1893" s="78" t="s">
        <v>69</v>
      </c>
      <c r="K1893" s="58">
        <f t="shared" si="3"/>
        <v>0</v>
      </c>
      <c r="L1893" s="91" t="str">
        <f t="shared" si="8"/>
        <v>Sat</v>
      </c>
      <c r="M1893" s="78" t="str">
        <f>IFERROR(VLOOKUP(A1893, Entries!A:B,2,false),"")</f>
        <v>Eugen Systems</v>
      </c>
      <c r="N1893" s="23" t="str">
        <f>IFERROR(VLOOKUP(A1893, Entries!A:K,11,false),"")</f>
        <v/>
      </c>
      <c r="O1893" s="23" t="b">
        <f>IFERROR(VLOOKUP(A1893, Entries!A:I,8,false),"")</f>
        <v>1</v>
      </c>
    </row>
    <row r="1894">
      <c r="A1894" s="78" t="s">
        <v>2437</v>
      </c>
      <c r="B1894" s="78" t="s">
        <v>23</v>
      </c>
      <c r="C1894" s="85">
        <v>44674.0</v>
      </c>
      <c r="D1894" s="85">
        <v>44674.0</v>
      </c>
      <c r="E1894" s="86">
        <v>6.76</v>
      </c>
      <c r="F1894" s="87">
        <v>14.7</v>
      </c>
      <c r="G1894" s="88">
        <f t="shared" si="1"/>
        <v>7.94</v>
      </c>
      <c r="H1894" s="89">
        <f t="shared" si="10"/>
        <v>0.5401360544</v>
      </c>
      <c r="I1894" s="78" t="s">
        <v>2440</v>
      </c>
      <c r="J1894" s="78" t="s">
        <v>69</v>
      </c>
      <c r="K1894" s="58">
        <f t="shared" si="3"/>
        <v>0</v>
      </c>
      <c r="L1894" s="91" t="str">
        <f t="shared" si="8"/>
        <v>Sat</v>
      </c>
      <c r="M1894" s="78" t="str">
        <f>IFERROR(VLOOKUP(A1894, Entries!A:B,2,false),"")</f>
        <v>Shiro Games</v>
      </c>
      <c r="N1894" s="23" t="str">
        <f>IFERROR(VLOOKUP(A1894, Entries!A:K,11,false),"")</f>
        <v/>
      </c>
      <c r="O1894" s="23" t="b">
        <f>IFERROR(VLOOKUP(A1894, Entries!A:I,8,false),"")</f>
        <v>1</v>
      </c>
    </row>
    <row r="1895">
      <c r="A1895" s="78" t="s">
        <v>2164</v>
      </c>
      <c r="B1895" s="78" t="s">
        <v>25</v>
      </c>
      <c r="C1895" s="85">
        <v>44676.0</v>
      </c>
      <c r="D1895" s="85">
        <v>44686.0</v>
      </c>
      <c r="E1895" s="86">
        <v>1.93</v>
      </c>
      <c r="F1895" s="87">
        <v>2.13</v>
      </c>
      <c r="G1895" s="88">
        <f t="shared" si="1"/>
        <v>0.2</v>
      </c>
      <c r="H1895" s="89">
        <f t="shared" si="10"/>
        <v>0.09389671362</v>
      </c>
      <c r="I1895" s="78" t="s">
        <v>2441</v>
      </c>
      <c r="J1895" s="78" t="s">
        <v>69</v>
      </c>
      <c r="K1895" s="58">
        <f t="shared" si="3"/>
        <v>10</v>
      </c>
      <c r="L1895" s="91" t="str">
        <f t="shared" si="8"/>
        <v>Thu</v>
      </c>
      <c r="M1895" s="78" t="str">
        <f>IFERROR(VLOOKUP(A1895, Entries!A:B,2,false),"")</f>
        <v>Paradox Interactive</v>
      </c>
      <c r="N1895" s="23" t="str">
        <f>IFERROR(VLOOKUP(A1895, Entries!A:K,11,false),"")</f>
        <v/>
      </c>
      <c r="O1895" s="23" t="b">
        <f>IFERROR(VLOOKUP(A1895, Entries!A:I,8,false),"")</f>
        <v>0</v>
      </c>
    </row>
    <row r="1896">
      <c r="A1896" s="78" t="s">
        <v>2036</v>
      </c>
      <c r="B1896" s="78" t="s">
        <v>30</v>
      </c>
      <c r="C1896" s="85">
        <v>44676.0</v>
      </c>
      <c r="D1896" s="85">
        <v>44676.0</v>
      </c>
      <c r="E1896" s="86">
        <v>0.23</v>
      </c>
      <c r="F1896" s="87">
        <v>7.48</v>
      </c>
      <c r="G1896" s="88">
        <f t="shared" si="1"/>
        <v>7.25</v>
      </c>
      <c r="H1896" s="89">
        <f t="shared" si="10"/>
        <v>0.9692513369</v>
      </c>
      <c r="I1896" s="78" t="s">
        <v>2442</v>
      </c>
      <c r="J1896" s="78" t="s">
        <v>69</v>
      </c>
      <c r="K1896" s="58">
        <f t="shared" si="3"/>
        <v>0</v>
      </c>
      <c r="L1896" s="91" t="str">
        <f t="shared" si="8"/>
        <v>Mon</v>
      </c>
      <c r="M1896" s="78" t="str">
        <f>IFERROR(VLOOKUP(A1896, Entries!A:B,2,false),"")</f>
        <v>WeirdBeard</v>
      </c>
      <c r="N1896" s="23" t="str">
        <f>IFERROR(VLOOKUP(A1896, Entries!A:K,11,false),"")</f>
        <v/>
      </c>
      <c r="O1896" s="23" t="b">
        <f>IFERROR(VLOOKUP(A1896, Entries!A:I,8,false),"")</f>
        <v>1</v>
      </c>
    </row>
    <row r="1897">
      <c r="A1897" s="78" t="s">
        <v>2036</v>
      </c>
      <c r="B1897" s="78" t="s">
        <v>30</v>
      </c>
      <c r="C1897" s="85">
        <v>44677.0</v>
      </c>
      <c r="D1897" s="85">
        <v>44678.0</v>
      </c>
      <c r="E1897" s="86">
        <v>5.1</v>
      </c>
      <c r="F1897" s="87">
        <v>7.45</v>
      </c>
      <c r="G1897" s="88">
        <f t="shared" si="1"/>
        <v>2.35</v>
      </c>
      <c r="H1897" s="89">
        <f t="shared" si="10"/>
        <v>0.3154362416</v>
      </c>
      <c r="I1897" s="78" t="s">
        <v>2443</v>
      </c>
      <c r="J1897" s="78" t="s">
        <v>69</v>
      </c>
      <c r="K1897" s="58">
        <f t="shared" si="3"/>
        <v>1</v>
      </c>
      <c r="L1897" s="91" t="str">
        <f t="shared" si="8"/>
        <v>Wed</v>
      </c>
      <c r="M1897" s="78" t="str">
        <f>IFERROR(VLOOKUP(A1897, Entries!A:B,2,false),"")</f>
        <v>WeirdBeard</v>
      </c>
      <c r="N1897" s="23" t="str">
        <f>IFERROR(VLOOKUP(A1897, Entries!A:K,11,false),"")</f>
        <v/>
      </c>
      <c r="O1897" s="23" t="b">
        <f>IFERROR(VLOOKUP(A1897, Entries!A:I,8,false),"")</f>
        <v>1</v>
      </c>
    </row>
    <row r="1898">
      <c r="A1898" s="78" t="s">
        <v>1389</v>
      </c>
      <c r="B1898" s="78" t="s">
        <v>23</v>
      </c>
      <c r="C1898" s="85">
        <v>44677.0</v>
      </c>
      <c r="D1898" s="85">
        <v>44686.0</v>
      </c>
      <c r="E1898" s="86">
        <v>9.73</v>
      </c>
      <c r="F1898" s="87">
        <v>16.43</v>
      </c>
      <c r="G1898" s="88">
        <f t="shared" si="1"/>
        <v>6.7</v>
      </c>
      <c r="H1898" s="89">
        <f t="shared" si="10"/>
        <v>0.4077906269</v>
      </c>
      <c r="I1898" s="78" t="s">
        <v>2444</v>
      </c>
      <c r="J1898" s="78" t="s">
        <v>69</v>
      </c>
      <c r="K1898" s="58">
        <f t="shared" si="3"/>
        <v>9</v>
      </c>
      <c r="L1898" s="91" t="str">
        <f t="shared" si="8"/>
        <v>Thu</v>
      </c>
      <c r="M1898" s="78" t="str">
        <f>IFERROR(VLOOKUP(A1898, Entries!A:B,2,false),"")</f>
        <v>Eugen Systems</v>
      </c>
      <c r="N1898" s="23" t="str">
        <f>IFERROR(VLOOKUP(A1898, Entries!A:K,11,false),"")</f>
        <v/>
      </c>
      <c r="O1898" s="23" t="b">
        <f>IFERROR(VLOOKUP(A1898, Entries!A:I,8,false),"")</f>
        <v>1</v>
      </c>
    </row>
    <row r="1899">
      <c r="A1899" s="78" t="s">
        <v>1406</v>
      </c>
      <c r="B1899" s="78" t="s">
        <v>23</v>
      </c>
      <c r="C1899" s="85">
        <v>44677.0</v>
      </c>
      <c r="D1899" s="85">
        <v>44678.0</v>
      </c>
      <c r="E1899" s="86">
        <v>19.46</v>
      </c>
      <c r="F1899" s="87">
        <v>29.54</v>
      </c>
      <c r="G1899" s="88">
        <f t="shared" si="1"/>
        <v>10.08</v>
      </c>
      <c r="H1899" s="89">
        <f t="shared" si="10"/>
        <v>0.3412322275</v>
      </c>
      <c r="I1899" s="78" t="s">
        <v>2445</v>
      </c>
      <c r="J1899" s="78" t="s">
        <v>69</v>
      </c>
      <c r="K1899" s="58">
        <f t="shared" si="3"/>
        <v>1</v>
      </c>
      <c r="L1899" s="91" t="str">
        <f t="shared" si="8"/>
        <v>Wed</v>
      </c>
      <c r="M1899" s="78" t="str">
        <f>IFERROR(VLOOKUP(A1899, Entries!A:B,2,false),"")</f>
        <v>Eugen Systems</v>
      </c>
      <c r="N1899" s="23" t="str">
        <f>IFERROR(VLOOKUP(A1899, Entries!A:K,11,false),"")</f>
        <v/>
      </c>
      <c r="O1899" s="23" t="b">
        <f>IFERROR(VLOOKUP(A1899, Entries!A:I,8,false),"")</f>
        <v>1</v>
      </c>
    </row>
    <row r="1900">
      <c r="A1900" s="78" t="s">
        <v>2437</v>
      </c>
      <c r="B1900" s="78" t="s">
        <v>23</v>
      </c>
      <c r="C1900" s="85">
        <v>44677.0</v>
      </c>
      <c r="D1900" s="85">
        <v>44678.0</v>
      </c>
      <c r="E1900" s="86">
        <v>7.29</v>
      </c>
      <c r="F1900" s="87">
        <v>9.71</v>
      </c>
      <c r="G1900" s="88">
        <f t="shared" si="1"/>
        <v>2.42</v>
      </c>
      <c r="H1900" s="89">
        <f t="shared" si="10"/>
        <v>0.2492276004</v>
      </c>
      <c r="I1900" s="78" t="s">
        <v>2446</v>
      </c>
      <c r="J1900" s="78" t="s">
        <v>69</v>
      </c>
      <c r="K1900" s="58">
        <f t="shared" si="3"/>
        <v>1</v>
      </c>
      <c r="L1900" s="91" t="str">
        <f t="shared" si="8"/>
        <v>Wed</v>
      </c>
      <c r="M1900" s="78" t="str">
        <f>IFERROR(VLOOKUP(A1900, Entries!A:B,2,false),"")</f>
        <v>Shiro Games</v>
      </c>
      <c r="N1900" s="23" t="str">
        <f>IFERROR(VLOOKUP(A1900, Entries!A:K,11,false),"")</f>
        <v/>
      </c>
      <c r="O1900" s="23" t="b">
        <f>IFERROR(VLOOKUP(A1900, Entries!A:I,8,false),"")</f>
        <v>1</v>
      </c>
    </row>
    <row r="1901">
      <c r="A1901" s="78" t="s">
        <v>1966</v>
      </c>
      <c r="B1901" s="78" t="s">
        <v>21</v>
      </c>
      <c r="C1901" s="85">
        <v>44677.0</v>
      </c>
      <c r="D1901" s="85">
        <v>44679.0</v>
      </c>
      <c r="E1901" s="86">
        <v>1.13</v>
      </c>
      <c r="F1901" s="87">
        <v>2.28</v>
      </c>
      <c r="G1901" s="88">
        <f t="shared" si="1"/>
        <v>1.15</v>
      </c>
      <c r="H1901" s="89">
        <f t="shared" si="10"/>
        <v>0.5043859649</v>
      </c>
      <c r="I1901" s="78" t="s">
        <v>2447</v>
      </c>
      <c r="J1901" s="78" t="s">
        <v>69</v>
      </c>
      <c r="K1901" s="58">
        <f t="shared" si="3"/>
        <v>2</v>
      </c>
      <c r="L1901" s="91" t="str">
        <f t="shared" si="8"/>
        <v>Thu</v>
      </c>
      <c r="M1901" s="78" t="str">
        <f>IFERROR(VLOOKUP(A1901, Entries!A:B,2,false),"")</f>
        <v>Playstack</v>
      </c>
      <c r="N1901" s="23" t="str">
        <f>IFERROR(VLOOKUP(A1901, Entries!A:K,11,false),"")</f>
        <v/>
      </c>
      <c r="O1901" s="23" t="b">
        <f>IFERROR(VLOOKUP(A1901, Entries!A:I,8,false),"")</f>
        <v>0</v>
      </c>
    </row>
    <row r="1902">
      <c r="A1902" s="78" t="s">
        <v>1966</v>
      </c>
      <c r="B1902" s="78" t="s">
        <v>21</v>
      </c>
      <c r="C1902" s="85">
        <v>44677.0</v>
      </c>
      <c r="D1902" s="85">
        <v>44695.0</v>
      </c>
      <c r="E1902" s="86">
        <v>1.13</v>
      </c>
      <c r="F1902" s="87">
        <v>2.27</v>
      </c>
      <c r="G1902" s="88">
        <f t="shared" si="1"/>
        <v>1.14</v>
      </c>
      <c r="H1902" s="89">
        <f t="shared" si="10"/>
        <v>0.5022026432</v>
      </c>
      <c r="I1902" s="78" t="s">
        <v>2448</v>
      </c>
      <c r="J1902" s="78" t="s">
        <v>69</v>
      </c>
      <c r="K1902" s="58">
        <f t="shared" si="3"/>
        <v>18</v>
      </c>
      <c r="L1902" s="91" t="str">
        <f t="shared" si="8"/>
        <v>Sat</v>
      </c>
      <c r="M1902" s="78" t="str">
        <f>IFERROR(VLOOKUP(A1902, Entries!A:B,2,false),"")</f>
        <v>Playstack</v>
      </c>
      <c r="N1902" s="23" t="str">
        <f>IFERROR(VLOOKUP(A1902, Entries!A:K,11,false),"")</f>
        <v/>
      </c>
      <c r="O1902" s="23" t="b">
        <f>IFERROR(VLOOKUP(A1902, Entries!A:I,8,false),"")</f>
        <v>0</v>
      </c>
    </row>
    <row r="1903">
      <c r="A1903" s="78" t="s">
        <v>1966</v>
      </c>
      <c r="B1903" s="78" t="s">
        <v>21</v>
      </c>
      <c r="C1903" s="85">
        <v>44677.0</v>
      </c>
      <c r="D1903" s="85">
        <v>44700.0</v>
      </c>
      <c r="E1903" s="86">
        <v>1.13</v>
      </c>
      <c r="F1903" s="87">
        <v>2.27</v>
      </c>
      <c r="G1903" s="88">
        <f t="shared" si="1"/>
        <v>1.14</v>
      </c>
      <c r="H1903" s="89">
        <f t="shared" si="10"/>
        <v>0.5022026432</v>
      </c>
      <c r="I1903" s="78" t="s">
        <v>2449</v>
      </c>
      <c r="J1903" s="78" t="s">
        <v>69</v>
      </c>
      <c r="K1903" s="58">
        <f t="shared" si="3"/>
        <v>23</v>
      </c>
      <c r="L1903" s="91" t="str">
        <f t="shared" si="8"/>
        <v>Thu</v>
      </c>
      <c r="M1903" s="78" t="str">
        <f>IFERROR(VLOOKUP(A1903, Entries!A:B,2,false),"")</f>
        <v>Playstack</v>
      </c>
      <c r="N1903" s="23" t="str">
        <f>IFERROR(VLOOKUP(A1903, Entries!A:K,11,false),"")</f>
        <v/>
      </c>
      <c r="O1903" s="23" t="b">
        <f>IFERROR(VLOOKUP(A1903, Entries!A:I,8,false),"")</f>
        <v>0</v>
      </c>
    </row>
    <row r="1904">
      <c r="A1904" s="78" t="s">
        <v>2036</v>
      </c>
      <c r="B1904" s="78" t="s">
        <v>30</v>
      </c>
      <c r="C1904" s="85">
        <v>44678.0</v>
      </c>
      <c r="D1904" s="85">
        <v>44679.0</v>
      </c>
      <c r="E1904" s="86">
        <v>5.13</v>
      </c>
      <c r="F1904" s="87">
        <v>7.29</v>
      </c>
      <c r="G1904" s="88">
        <f t="shared" si="1"/>
        <v>2.16</v>
      </c>
      <c r="H1904" s="89">
        <f t="shared" si="10"/>
        <v>0.2962962963</v>
      </c>
      <c r="I1904" s="78" t="s">
        <v>2450</v>
      </c>
      <c r="J1904" s="78" t="s">
        <v>69</v>
      </c>
      <c r="K1904" s="58">
        <f t="shared" si="3"/>
        <v>1</v>
      </c>
      <c r="L1904" s="91" t="str">
        <f t="shared" si="8"/>
        <v>Thu</v>
      </c>
      <c r="M1904" s="78" t="str">
        <f>IFERROR(VLOOKUP(A1904, Entries!A:B,2,false),"")</f>
        <v>WeirdBeard</v>
      </c>
      <c r="N1904" s="23" t="str">
        <f>IFERROR(VLOOKUP(A1904, Entries!A:K,11,false),"")</f>
        <v/>
      </c>
      <c r="O1904" s="23" t="b">
        <f>IFERROR(VLOOKUP(A1904, Entries!A:I,8,false),"")</f>
        <v>1</v>
      </c>
    </row>
    <row r="1905">
      <c r="A1905" s="78" t="s">
        <v>2437</v>
      </c>
      <c r="B1905" s="78" t="s">
        <v>23</v>
      </c>
      <c r="C1905" s="85">
        <v>44678.0</v>
      </c>
      <c r="D1905" s="85">
        <v>44678.0</v>
      </c>
      <c r="E1905" s="86">
        <v>7.34</v>
      </c>
      <c r="F1905" s="87">
        <v>8.82</v>
      </c>
      <c r="G1905" s="88">
        <f t="shared" si="1"/>
        <v>1.48</v>
      </c>
      <c r="H1905" s="89">
        <f t="shared" si="10"/>
        <v>0.1678004535</v>
      </c>
      <c r="I1905" s="78" t="s">
        <v>2451</v>
      </c>
      <c r="J1905" s="78" t="s">
        <v>69</v>
      </c>
      <c r="K1905" s="58">
        <f t="shared" si="3"/>
        <v>0</v>
      </c>
      <c r="L1905" s="91" t="str">
        <f t="shared" si="8"/>
        <v>Wed</v>
      </c>
      <c r="M1905" s="78" t="str">
        <f>IFERROR(VLOOKUP(A1905, Entries!A:B,2,false),"")</f>
        <v>Shiro Games</v>
      </c>
      <c r="N1905" s="23" t="str">
        <f>IFERROR(VLOOKUP(A1905, Entries!A:K,11,false),"")</f>
        <v/>
      </c>
      <c r="O1905" s="23" t="b">
        <f>IFERROR(VLOOKUP(A1905, Entries!A:I,8,false),"")</f>
        <v>1</v>
      </c>
    </row>
    <row r="1906">
      <c r="A1906" s="78" t="s">
        <v>1034</v>
      </c>
      <c r="B1906" s="78" t="s">
        <v>23</v>
      </c>
      <c r="C1906" s="85">
        <v>44678.0</v>
      </c>
      <c r="D1906" s="85">
        <v>44679.0</v>
      </c>
      <c r="E1906" s="86">
        <v>5.87</v>
      </c>
      <c r="F1906" s="87">
        <v>8.81</v>
      </c>
      <c r="G1906" s="88">
        <f t="shared" si="1"/>
        <v>2.94</v>
      </c>
      <c r="H1906" s="89">
        <f t="shared" si="10"/>
        <v>0.3337116913</v>
      </c>
      <c r="I1906" s="78" t="s">
        <v>2452</v>
      </c>
      <c r="J1906" s="78" t="s">
        <v>69</v>
      </c>
      <c r="K1906" s="58">
        <f t="shared" si="3"/>
        <v>1</v>
      </c>
      <c r="L1906" s="91" t="str">
        <f t="shared" si="8"/>
        <v>Thu</v>
      </c>
      <c r="M1906" s="78" t="str">
        <f>IFERROR(VLOOKUP(A1906, Entries!A:B,2,false),"")</f>
        <v>Eugen Systems</v>
      </c>
      <c r="N1906" s="23" t="str">
        <f>IFERROR(VLOOKUP(A1906, Entries!A:K,11,false),"")</f>
        <v/>
      </c>
      <c r="O1906" s="23" t="b">
        <f>IFERROR(VLOOKUP(A1906, Entries!A:I,8,false),"")</f>
        <v>1</v>
      </c>
    </row>
    <row r="1907">
      <c r="A1907" s="78" t="s">
        <v>2437</v>
      </c>
      <c r="B1907" s="78" t="s">
        <v>23</v>
      </c>
      <c r="C1907" s="85">
        <v>44678.0</v>
      </c>
      <c r="D1907" s="85">
        <v>44678.0</v>
      </c>
      <c r="E1907" s="86">
        <v>7.34</v>
      </c>
      <c r="F1907" s="87">
        <v>9.51</v>
      </c>
      <c r="G1907" s="88">
        <f t="shared" si="1"/>
        <v>2.17</v>
      </c>
      <c r="H1907" s="89">
        <f t="shared" si="10"/>
        <v>0.2281808623</v>
      </c>
      <c r="I1907" s="78" t="s">
        <v>2453</v>
      </c>
      <c r="J1907" s="78" t="s">
        <v>69</v>
      </c>
      <c r="K1907" s="58">
        <f t="shared" si="3"/>
        <v>0</v>
      </c>
      <c r="L1907" s="91" t="str">
        <f t="shared" si="8"/>
        <v>Wed</v>
      </c>
      <c r="M1907" s="78" t="str">
        <f>IFERROR(VLOOKUP(A1907, Entries!A:B,2,false),"")</f>
        <v>Shiro Games</v>
      </c>
      <c r="N1907" s="23" t="str">
        <f>IFERROR(VLOOKUP(A1907, Entries!A:K,11,false),"")</f>
        <v/>
      </c>
      <c r="O1907" s="23" t="b">
        <f>IFERROR(VLOOKUP(A1907, Entries!A:I,8,false),"")</f>
        <v>1</v>
      </c>
    </row>
    <row r="1908">
      <c r="A1908" s="78" t="s">
        <v>719</v>
      </c>
      <c r="B1908" s="78" t="s">
        <v>19</v>
      </c>
      <c r="C1908" s="85">
        <v>44678.0</v>
      </c>
      <c r="D1908" s="85">
        <v>44681.0</v>
      </c>
      <c r="E1908" s="86">
        <v>11.16</v>
      </c>
      <c r="F1908" s="87">
        <v>13.89</v>
      </c>
      <c r="G1908" s="88">
        <f t="shared" si="1"/>
        <v>2.73</v>
      </c>
      <c r="H1908" s="89">
        <f t="shared" si="10"/>
        <v>0.1965442765</v>
      </c>
      <c r="I1908" s="78" t="s">
        <v>2454</v>
      </c>
      <c r="J1908" s="78" t="s">
        <v>69</v>
      </c>
      <c r="K1908" s="58">
        <f t="shared" si="3"/>
        <v>3</v>
      </c>
      <c r="L1908" s="91" t="str">
        <f t="shared" si="8"/>
        <v>Sat</v>
      </c>
      <c r="M1908" s="78" t="str">
        <f>IFERROR(VLOOKUP(A1908, Entries!A:B,2,false),"")</f>
        <v>Lukas Rustemeyer</v>
      </c>
      <c r="N1908" s="23" t="str">
        <f>IFERROR(VLOOKUP(A1908, Entries!A:K,11,false),"")</f>
        <v/>
      </c>
      <c r="O1908" s="23" t="b">
        <f>IFERROR(VLOOKUP(A1908, Entries!A:I,8,false),"")</f>
        <v>1</v>
      </c>
    </row>
    <row r="1909">
      <c r="A1909" s="78" t="s">
        <v>2437</v>
      </c>
      <c r="B1909" s="78" t="s">
        <v>23</v>
      </c>
      <c r="C1909" s="85">
        <v>44678.0</v>
      </c>
      <c r="D1909" s="85">
        <v>44678.0</v>
      </c>
      <c r="E1909" s="86">
        <v>7.34</v>
      </c>
      <c r="F1909" s="87">
        <v>9.48</v>
      </c>
      <c r="G1909" s="88">
        <f t="shared" si="1"/>
        <v>2.14</v>
      </c>
      <c r="H1909" s="89">
        <f t="shared" si="10"/>
        <v>0.2257383966</v>
      </c>
      <c r="I1909" s="78" t="s">
        <v>2455</v>
      </c>
      <c r="J1909" s="78" t="s">
        <v>69</v>
      </c>
      <c r="K1909" s="58">
        <f t="shared" si="3"/>
        <v>0</v>
      </c>
      <c r="L1909" s="91" t="str">
        <f t="shared" si="8"/>
        <v>Wed</v>
      </c>
      <c r="M1909" s="78" t="str">
        <f>IFERROR(VLOOKUP(A1909, Entries!A:B,2,false),"")</f>
        <v>Shiro Games</v>
      </c>
      <c r="N1909" s="23" t="str">
        <f>IFERROR(VLOOKUP(A1909, Entries!A:K,11,false),"")</f>
        <v/>
      </c>
      <c r="O1909" s="23" t="b">
        <f>IFERROR(VLOOKUP(A1909, Entries!A:I,8,false),"")</f>
        <v>1</v>
      </c>
    </row>
    <row r="1910">
      <c r="A1910" s="78" t="s">
        <v>2437</v>
      </c>
      <c r="B1910" s="78" t="s">
        <v>23</v>
      </c>
      <c r="C1910" s="85">
        <v>44678.0</v>
      </c>
      <c r="D1910" s="85">
        <v>44679.0</v>
      </c>
      <c r="E1910" s="86">
        <v>7.34</v>
      </c>
      <c r="F1910" s="87">
        <v>9.45</v>
      </c>
      <c r="G1910" s="88">
        <f t="shared" si="1"/>
        <v>2.11</v>
      </c>
      <c r="H1910" s="89">
        <f t="shared" si="10"/>
        <v>0.2232804233</v>
      </c>
      <c r="I1910" s="78" t="s">
        <v>2456</v>
      </c>
      <c r="J1910" s="78" t="s">
        <v>69</v>
      </c>
      <c r="K1910" s="58">
        <f t="shared" si="3"/>
        <v>1</v>
      </c>
      <c r="L1910" s="91" t="str">
        <f t="shared" si="8"/>
        <v>Thu</v>
      </c>
      <c r="M1910" s="78" t="str">
        <f>IFERROR(VLOOKUP(A1910, Entries!A:B,2,false),"")</f>
        <v>Shiro Games</v>
      </c>
      <c r="N1910" s="23" t="str">
        <f>IFERROR(VLOOKUP(A1910, Entries!A:K,11,false),"")</f>
        <v/>
      </c>
      <c r="O1910" s="23" t="b">
        <f>IFERROR(VLOOKUP(A1910, Entries!A:I,8,false),"")</f>
        <v>1</v>
      </c>
    </row>
    <row r="1911">
      <c r="A1911" s="78" t="s">
        <v>2437</v>
      </c>
      <c r="B1911" s="78" t="s">
        <v>23</v>
      </c>
      <c r="C1911" s="85">
        <v>44679.0</v>
      </c>
      <c r="D1911" s="85">
        <v>44679.0</v>
      </c>
      <c r="E1911" s="86">
        <v>7.34</v>
      </c>
      <c r="F1911" s="87">
        <v>9.34</v>
      </c>
      <c r="G1911" s="88">
        <f t="shared" si="1"/>
        <v>2</v>
      </c>
      <c r="H1911" s="89">
        <f t="shared" si="10"/>
        <v>0.2141327623</v>
      </c>
      <c r="I1911" s="78" t="s">
        <v>2457</v>
      </c>
      <c r="J1911" s="78" t="s">
        <v>69</v>
      </c>
      <c r="K1911" s="58">
        <f t="shared" si="3"/>
        <v>0</v>
      </c>
      <c r="L1911" s="91" t="str">
        <f t="shared" si="8"/>
        <v>Thu</v>
      </c>
      <c r="M1911" s="78" t="str">
        <f>IFERROR(VLOOKUP(A1911, Entries!A:B,2,false),"")</f>
        <v>Shiro Games</v>
      </c>
      <c r="N1911" s="23" t="str">
        <f>IFERROR(VLOOKUP(A1911, Entries!A:K,11,false),"")</f>
        <v/>
      </c>
      <c r="O1911" s="23" t="b">
        <f>IFERROR(VLOOKUP(A1911, Entries!A:I,8,false),"")</f>
        <v>1</v>
      </c>
    </row>
    <row r="1912">
      <c r="A1912" s="78" t="s">
        <v>1034</v>
      </c>
      <c r="B1912" s="78" t="s">
        <v>23</v>
      </c>
      <c r="C1912" s="85">
        <v>44679.0</v>
      </c>
      <c r="D1912" s="85">
        <v>44681.0</v>
      </c>
      <c r="E1912" s="86">
        <v>5.93</v>
      </c>
      <c r="F1912" s="87">
        <v>10.0</v>
      </c>
      <c r="G1912" s="88">
        <f t="shared" si="1"/>
        <v>4.07</v>
      </c>
      <c r="H1912" s="89">
        <f t="shared" si="10"/>
        <v>0.407</v>
      </c>
      <c r="I1912" s="78" t="s">
        <v>2458</v>
      </c>
      <c r="J1912" s="78" t="s">
        <v>69</v>
      </c>
      <c r="K1912" s="58">
        <f t="shared" si="3"/>
        <v>2</v>
      </c>
      <c r="L1912" s="91" t="str">
        <f t="shared" si="8"/>
        <v>Sat</v>
      </c>
      <c r="M1912" s="78" t="str">
        <f>IFERROR(VLOOKUP(A1912, Entries!A:B,2,false),"")</f>
        <v>Eugen Systems</v>
      </c>
      <c r="N1912" s="23" t="str">
        <f>IFERROR(VLOOKUP(A1912, Entries!A:K,11,false),"")</f>
        <v/>
      </c>
      <c r="O1912" s="23" t="b">
        <f>IFERROR(VLOOKUP(A1912, Entries!A:I,8,false),"")</f>
        <v>1</v>
      </c>
    </row>
    <row r="1913">
      <c r="A1913" s="78" t="s">
        <v>2437</v>
      </c>
      <c r="B1913" s="78" t="s">
        <v>23</v>
      </c>
      <c r="C1913" s="85">
        <v>44679.0</v>
      </c>
      <c r="D1913" s="85">
        <v>44679.0</v>
      </c>
      <c r="E1913" s="86">
        <v>6.99</v>
      </c>
      <c r="F1913" s="87">
        <v>9.27</v>
      </c>
      <c r="G1913" s="88">
        <f t="shared" si="1"/>
        <v>2.28</v>
      </c>
      <c r="H1913" s="89">
        <f t="shared" si="10"/>
        <v>0.2459546926</v>
      </c>
      <c r="I1913" s="78" t="s">
        <v>2459</v>
      </c>
      <c r="J1913" s="78" t="s">
        <v>69</v>
      </c>
      <c r="K1913" s="58">
        <f t="shared" si="3"/>
        <v>0</v>
      </c>
      <c r="L1913" s="91" t="str">
        <f t="shared" si="8"/>
        <v>Thu</v>
      </c>
      <c r="M1913" s="78" t="str">
        <f>IFERROR(VLOOKUP(A1913, Entries!A:B,2,false),"")</f>
        <v>Shiro Games</v>
      </c>
      <c r="N1913" s="23" t="str">
        <f>IFERROR(VLOOKUP(A1913, Entries!A:K,11,false),"")</f>
        <v/>
      </c>
      <c r="O1913" s="23" t="b">
        <f>IFERROR(VLOOKUP(A1913, Entries!A:I,8,false),"")</f>
        <v>1</v>
      </c>
    </row>
    <row r="1914">
      <c r="A1914" s="78" t="s">
        <v>2437</v>
      </c>
      <c r="B1914" s="78" t="s">
        <v>23</v>
      </c>
      <c r="C1914" s="85">
        <v>44679.0</v>
      </c>
      <c r="D1914" s="85">
        <v>44781.0</v>
      </c>
      <c r="E1914" s="86">
        <v>6.99</v>
      </c>
      <c r="F1914" s="87">
        <v>7.39</v>
      </c>
      <c r="G1914" s="88">
        <f t="shared" si="1"/>
        <v>0.4</v>
      </c>
      <c r="H1914" s="89">
        <f t="shared" si="10"/>
        <v>0.05412719892</v>
      </c>
      <c r="I1914" s="78" t="s">
        <v>2460</v>
      </c>
      <c r="J1914" s="78" t="s">
        <v>69</v>
      </c>
      <c r="K1914" s="58">
        <f t="shared" si="3"/>
        <v>102</v>
      </c>
      <c r="L1914" s="91" t="str">
        <f t="shared" si="8"/>
        <v>Mon</v>
      </c>
      <c r="M1914" s="78" t="str">
        <f>IFERROR(VLOOKUP(A1914, Entries!A:B,2,false),"")</f>
        <v>Shiro Games</v>
      </c>
      <c r="N1914" s="23" t="str">
        <f>IFERROR(VLOOKUP(A1914, Entries!A:K,11,false),"")</f>
        <v/>
      </c>
      <c r="O1914" s="23" t="b">
        <f>IFERROR(VLOOKUP(A1914, Entries!A:I,8,false),"")</f>
        <v>1</v>
      </c>
    </row>
    <row r="1915">
      <c r="A1915" s="94" t="s">
        <v>2461</v>
      </c>
      <c r="B1915" s="78" t="s">
        <v>32</v>
      </c>
      <c r="C1915" s="85">
        <v>44679.0</v>
      </c>
      <c r="D1915" s="85">
        <v>45720.0</v>
      </c>
      <c r="E1915" s="86">
        <v>6.66</v>
      </c>
      <c r="F1915" s="87">
        <v>1.98</v>
      </c>
      <c r="G1915" s="88">
        <f t="shared" si="1"/>
        <v>-4.68</v>
      </c>
      <c r="H1915" s="89">
        <f t="shared" si="10"/>
        <v>-2.363636364</v>
      </c>
      <c r="I1915" s="78" t="s">
        <v>2462</v>
      </c>
      <c r="J1915" s="78" t="s">
        <v>69</v>
      </c>
      <c r="K1915" s="58">
        <f t="shared" si="3"/>
        <v>1041</v>
      </c>
      <c r="L1915" s="91" t="str">
        <f t="shared" si="8"/>
        <v>Tue</v>
      </c>
      <c r="M1915" s="78" t="str">
        <f>IFERROR(VLOOKUP(A1915, Entries!A:B,2,false),"")</f>
        <v>Prime Matter</v>
      </c>
      <c r="N1915" s="23" t="str">
        <f>IFERROR(VLOOKUP(A1915, Entries!A:K,11,false),"")</f>
        <v/>
      </c>
      <c r="O1915" s="23" t="b">
        <f>IFERROR(VLOOKUP(A1915, Entries!A:I,8,false),"")</f>
        <v>0</v>
      </c>
      <c r="S1915" s="23" t="str">
        <f t="shared" ref="S1915:S1916" si="11">IF(AND(TODAY()-ROW(A1091)+1 &lt;= 30, J1091="Closed"), TEXT(TODAY()-ROW(A1091)+1, "dd-mm-yyyy"), "")
</f>
        <v/>
      </c>
    </row>
    <row r="1916">
      <c r="A1916" s="94" t="s">
        <v>2461</v>
      </c>
      <c r="B1916" s="78" t="s">
        <v>32</v>
      </c>
      <c r="C1916" s="85">
        <v>44679.0</v>
      </c>
      <c r="D1916" s="85">
        <v>45721.0</v>
      </c>
      <c r="E1916" s="86">
        <v>6.67</v>
      </c>
      <c r="F1916" s="87">
        <v>1.98</v>
      </c>
      <c r="G1916" s="88">
        <f t="shared" si="1"/>
        <v>-4.69</v>
      </c>
      <c r="H1916" s="89">
        <f t="shared" si="10"/>
        <v>-2.368686869</v>
      </c>
      <c r="I1916" s="78" t="s">
        <v>2463</v>
      </c>
      <c r="J1916" s="78" t="s">
        <v>69</v>
      </c>
      <c r="K1916" s="58">
        <f t="shared" si="3"/>
        <v>1042</v>
      </c>
      <c r="L1916" s="91" t="str">
        <f t="shared" si="8"/>
        <v>Wed</v>
      </c>
      <c r="M1916" s="78" t="str">
        <f>IFERROR(VLOOKUP(A1916, Entries!A:B,2,false),"")</f>
        <v>Prime Matter</v>
      </c>
      <c r="N1916" s="23" t="str">
        <f>IFERROR(VLOOKUP(A1916, Entries!A:K,11,false),"")</f>
        <v/>
      </c>
      <c r="O1916" s="23" t="b">
        <f>IFERROR(VLOOKUP(A1916, Entries!A:I,8,false),"")</f>
        <v>0</v>
      </c>
      <c r="S1916" s="23" t="str">
        <f t="shared" si="11"/>
        <v/>
      </c>
    </row>
    <row r="1917">
      <c r="A1917" s="78" t="s">
        <v>2464</v>
      </c>
      <c r="B1917" s="78" t="s">
        <v>23</v>
      </c>
      <c r="C1917" s="85">
        <v>44681.0</v>
      </c>
      <c r="D1917" s="85">
        <v>44681.0</v>
      </c>
      <c r="E1917" s="86">
        <v>8.75</v>
      </c>
      <c r="F1917" s="87">
        <v>10.98</v>
      </c>
      <c r="G1917" s="88">
        <f t="shared" si="1"/>
        <v>2.23</v>
      </c>
      <c r="H1917" s="89">
        <f t="shared" si="10"/>
        <v>0.2030965392</v>
      </c>
      <c r="I1917" s="78" t="s">
        <v>2465</v>
      </c>
      <c r="J1917" s="78" t="s">
        <v>69</v>
      </c>
      <c r="K1917" s="58">
        <f t="shared" si="3"/>
        <v>0</v>
      </c>
      <c r="L1917" s="91" t="str">
        <f t="shared" si="8"/>
        <v>Sat</v>
      </c>
      <c r="M1917" s="78" t="str">
        <f>IFERROR(VLOOKUP(A1917, Entries!A:B,2,false),"")</f>
        <v>FireFly Studios</v>
      </c>
      <c r="N1917" s="23" t="str">
        <f>IFERROR(VLOOKUP(A1917, Entries!A:K,11,false),"")</f>
        <v/>
      </c>
      <c r="O1917" s="23" t="b">
        <f>IFERROR(VLOOKUP(A1917, Entries!A:I,8,false),"")</f>
        <v>0</v>
      </c>
    </row>
    <row r="1918">
      <c r="A1918" s="78" t="s">
        <v>2466</v>
      </c>
      <c r="B1918" s="78" t="s">
        <v>27</v>
      </c>
      <c r="C1918" s="85">
        <v>44681.0</v>
      </c>
      <c r="D1918" s="85">
        <v>44720.0</v>
      </c>
      <c r="E1918" s="86">
        <v>9.69</v>
      </c>
      <c r="F1918" s="87">
        <v>14.2</v>
      </c>
      <c r="G1918" s="88">
        <f t="shared" si="1"/>
        <v>4.51</v>
      </c>
      <c r="H1918" s="89">
        <f t="shared" si="10"/>
        <v>0.3176056338</v>
      </c>
      <c r="I1918" s="78" t="s">
        <v>2312</v>
      </c>
      <c r="J1918" s="78" t="s">
        <v>69</v>
      </c>
      <c r="K1918" s="58">
        <f t="shared" si="3"/>
        <v>39</v>
      </c>
      <c r="L1918" s="91" t="str">
        <f t="shared" si="8"/>
        <v>Wed</v>
      </c>
      <c r="M1918" s="78" t="str">
        <f>IFERROR(VLOOKUP(A1918, Entries!A:B,2,false),"")</f>
        <v>Bethesda Softworks</v>
      </c>
      <c r="N1918" s="23" t="str">
        <f>IFERROR(VLOOKUP(A1918, Entries!A:K,11,false),"")</f>
        <v/>
      </c>
      <c r="O1918" s="23" t="b">
        <f>IFERROR(VLOOKUP(A1918, Entries!A:I,8,false),"")</f>
        <v>1</v>
      </c>
    </row>
    <row r="1919">
      <c r="A1919" s="78" t="s">
        <v>2467</v>
      </c>
      <c r="B1919" s="78" t="s">
        <v>18</v>
      </c>
      <c r="C1919" s="85">
        <v>44681.0</v>
      </c>
      <c r="D1919" s="85">
        <v>44693.0</v>
      </c>
      <c r="E1919" s="86">
        <v>15.63</v>
      </c>
      <c r="F1919" s="87">
        <v>20.45</v>
      </c>
      <c r="G1919" s="88">
        <f t="shared" si="1"/>
        <v>4.82</v>
      </c>
      <c r="H1919" s="89">
        <f t="shared" si="10"/>
        <v>0.2356968215</v>
      </c>
      <c r="I1919" s="78" t="s">
        <v>2468</v>
      </c>
      <c r="J1919" s="78" t="s">
        <v>69</v>
      </c>
      <c r="K1919" s="58">
        <f t="shared" si="3"/>
        <v>12</v>
      </c>
      <c r="L1919" s="91" t="str">
        <f t="shared" si="8"/>
        <v>Thu</v>
      </c>
      <c r="M1919" s="78" t="str">
        <f>IFERROR(VLOOKUP(A1919, Entries!A:B,2,false),"")</f>
        <v>Saber Interactive</v>
      </c>
      <c r="N1919" s="23" t="str">
        <f>IFERROR(VLOOKUP(A1919, Entries!A:K,11,false),"")</f>
        <v/>
      </c>
      <c r="O1919" s="23" t="b">
        <f>IFERROR(VLOOKUP(A1919, Entries!A:I,8,false),"")</f>
        <v>0</v>
      </c>
    </row>
    <row r="1920">
      <c r="A1920" s="78" t="s">
        <v>2467</v>
      </c>
      <c r="B1920" s="78" t="s">
        <v>18</v>
      </c>
      <c r="C1920" s="85">
        <v>44681.0</v>
      </c>
      <c r="D1920" s="85">
        <v>44693.0</v>
      </c>
      <c r="E1920" s="86">
        <v>15.63</v>
      </c>
      <c r="F1920" s="87">
        <v>20.45</v>
      </c>
      <c r="G1920" s="88">
        <f t="shared" si="1"/>
        <v>4.82</v>
      </c>
      <c r="H1920" s="89">
        <f t="shared" si="10"/>
        <v>0.2356968215</v>
      </c>
      <c r="I1920" s="78" t="s">
        <v>2469</v>
      </c>
      <c r="J1920" s="78" t="s">
        <v>69</v>
      </c>
      <c r="K1920" s="58">
        <f t="shared" si="3"/>
        <v>12</v>
      </c>
      <c r="L1920" s="91" t="str">
        <f t="shared" si="8"/>
        <v>Thu</v>
      </c>
      <c r="M1920" s="78" t="str">
        <f>IFERROR(VLOOKUP(A1920, Entries!A:B,2,false),"")</f>
        <v>Saber Interactive</v>
      </c>
      <c r="N1920" s="23" t="str">
        <f>IFERROR(VLOOKUP(A1920, Entries!A:K,11,false),"")</f>
        <v/>
      </c>
      <c r="O1920" s="23" t="b">
        <f>IFERROR(VLOOKUP(A1920, Entries!A:I,8,false),"")</f>
        <v>0</v>
      </c>
    </row>
    <row r="1921">
      <c r="A1921" s="78" t="s">
        <v>1034</v>
      </c>
      <c r="B1921" s="78" t="s">
        <v>23</v>
      </c>
      <c r="C1921" s="85">
        <v>44681.0</v>
      </c>
      <c r="D1921" s="85">
        <v>44681.0</v>
      </c>
      <c r="E1921" s="86">
        <v>5.95</v>
      </c>
      <c r="F1921" s="87">
        <v>9.91</v>
      </c>
      <c r="G1921" s="88">
        <f t="shared" si="1"/>
        <v>3.96</v>
      </c>
      <c r="H1921" s="89">
        <f t="shared" si="10"/>
        <v>0.3995963673</v>
      </c>
      <c r="I1921" s="78" t="s">
        <v>2470</v>
      </c>
      <c r="J1921" s="78" t="s">
        <v>69</v>
      </c>
      <c r="K1921" s="58">
        <f t="shared" si="3"/>
        <v>0</v>
      </c>
      <c r="L1921" s="91" t="str">
        <f t="shared" si="8"/>
        <v>Sat</v>
      </c>
      <c r="M1921" s="78" t="str">
        <f>IFERROR(VLOOKUP(A1921, Entries!A:B,2,false),"")</f>
        <v>Eugen Systems</v>
      </c>
      <c r="N1921" s="23" t="str">
        <f>IFERROR(VLOOKUP(A1921, Entries!A:K,11,false),"")</f>
        <v/>
      </c>
      <c r="O1921" s="23" t="b">
        <f>IFERROR(VLOOKUP(A1921, Entries!A:I,8,false),"")</f>
        <v>1</v>
      </c>
    </row>
    <row r="1922">
      <c r="A1922" s="78" t="s">
        <v>719</v>
      </c>
      <c r="B1922" s="78" t="s">
        <v>19</v>
      </c>
      <c r="C1922" s="85">
        <v>44681.0</v>
      </c>
      <c r="D1922" s="85">
        <v>44693.0</v>
      </c>
      <c r="E1922" s="86">
        <v>11.31</v>
      </c>
      <c r="F1922" s="87">
        <v>14.71</v>
      </c>
      <c r="G1922" s="88">
        <f t="shared" si="1"/>
        <v>3.4</v>
      </c>
      <c r="H1922" s="89">
        <f t="shared" si="10"/>
        <v>0.2311352821</v>
      </c>
      <c r="I1922" s="78" t="s">
        <v>2471</v>
      </c>
      <c r="J1922" s="78" t="s">
        <v>69</v>
      </c>
      <c r="K1922" s="58">
        <f t="shared" si="3"/>
        <v>12</v>
      </c>
      <c r="L1922" s="91" t="str">
        <f t="shared" si="8"/>
        <v>Thu</v>
      </c>
      <c r="M1922" s="78" t="str">
        <f>IFERROR(VLOOKUP(A1922, Entries!A:B,2,false),"")</f>
        <v>Lukas Rustemeyer</v>
      </c>
      <c r="N1922" s="23" t="str">
        <f>IFERROR(VLOOKUP(A1922, Entries!A:K,11,false),"")</f>
        <v/>
      </c>
      <c r="O1922" s="23" t="b">
        <f>IFERROR(VLOOKUP(A1922, Entries!A:I,8,false),"")</f>
        <v>1</v>
      </c>
    </row>
    <row r="1923">
      <c r="A1923" s="78" t="s">
        <v>2472</v>
      </c>
      <c r="B1923" s="78" t="s">
        <v>23</v>
      </c>
      <c r="C1923" s="85">
        <v>44681.0</v>
      </c>
      <c r="D1923" s="85">
        <v>44692.0</v>
      </c>
      <c r="E1923" s="86">
        <v>4.25</v>
      </c>
      <c r="F1923" s="87">
        <v>7.29</v>
      </c>
      <c r="G1923" s="88">
        <f t="shared" si="1"/>
        <v>3.04</v>
      </c>
      <c r="H1923" s="89">
        <f t="shared" si="10"/>
        <v>0.4170096022</v>
      </c>
      <c r="I1923" s="78" t="s">
        <v>2473</v>
      </c>
      <c r="J1923" s="78" t="s">
        <v>69</v>
      </c>
      <c r="K1923" s="58">
        <f t="shared" si="3"/>
        <v>11</v>
      </c>
      <c r="L1923" s="91" t="str">
        <f t="shared" si="8"/>
        <v>Wed</v>
      </c>
      <c r="M1923" s="78" t="str">
        <f>IFERROR(VLOOKUP(A1923, Entries!A:B,2,false),"")</f>
        <v>Merge Games</v>
      </c>
      <c r="N1923" s="23" t="str">
        <f>IFERROR(VLOOKUP(A1923, Entries!A:K,11,false),"")</f>
        <v/>
      </c>
      <c r="O1923" s="23" t="b">
        <f>IFERROR(VLOOKUP(A1923, Entries!A:I,8,false),"")</f>
        <v>1</v>
      </c>
    </row>
    <row r="1924">
      <c r="A1924" s="78" t="s">
        <v>773</v>
      </c>
      <c r="B1924" s="78" t="s">
        <v>23</v>
      </c>
      <c r="C1924" s="85">
        <v>44681.0</v>
      </c>
      <c r="D1924" s="85">
        <v>44682.0</v>
      </c>
      <c r="E1924" s="86">
        <v>5.46</v>
      </c>
      <c r="F1924" s="87">
        <v>6.54</v>
      </c>
      <c r="G1924" s="88">
        <f t="shared" si="1"/>
        <v>1.08</v>
      </c>
      <c r="H1924" s="89">
        <f t="shared" si="10"/>
        <v>0.1651376147</v>
      </c>
      <c r="I1924" s="78" t="s">
        <v>2474</v>
      </c>
      <c r="J1924" s="78" t="s">
        <v>69</v>
      </c>
      <c r="K1924" s="58">
        <f t="shared" si="3"/>
        <v>1</v>
      </c>
      <c r="L1924" s="91" t="str">
        <f t="shared" si="8"/>
        <v>Sun</v>
      </c>
      <c r="M1924" s="78" t="str">
        <f>IFERROR(VLOOKUP(A1924, Entries!A:B,2,false),"")</f>
        <v>Focus Home Interactive</v>
      </c>
      <c r="N1924" s="23" t="str">
        <f>IFERROR(VLOOKUP(A1924, Entries!A:K,11,false),"")</f>
        <v/>
      </c>
      <c r="O1924" s="23" t="b">
        <f>IFERROR(VLOOKUP(A1924, Entries!A:I,8,false),"")</f>
        <v>0</v>
      </c>
    </row>
    <row r="1925">
      <c r="A1925" s="78" t="s">
        <v>2464</v>
      </c>
      <c r="B1925" s="78" t="s">
        <v>23</v>
      </c>
      <c r="C1925" s="85">
        <v>44681.0</v>
      </c>
      <c r="D1925" s="85">
        <v>44686.0</v>
      </c>
      <c r="E1925" s="86">
        <v>8.75</v>
      </c>
      <c r="F1925" s="87">
        <v>9.47</v>
      </c>
      <c r="G1925" s="88">
        <f t="shared" si="1"/>
        <v>0.72</v>
      </c>
      <c r="H1925" s="89">
        <f t="shared" si="10"/>
        <v>0.07602956705</v>
      </c>
      <c r="I1925" s="78" t="s">
        <v>2475</v>
      </c>
      <c r="J1925" s="78" t="s">
        <v>69</v>
      </c>
      <c r="K1925" s="58">
        <f t="shared" si="3"/>
        <v>5</v>
      </c>
      <c r="L1925" s="91" t="str">
        <f t="shared" si="8"/>
        <v>Thu</v>
      </c>
      <c r="M1925" s="78" t="str">
        <f>IFERROR(VLOOKUP(A1925, Entries!A:B,2,false),"")</f>
        <v>FireFly Studios</v>
      </c>
      <c r="N1925" s="23" t="str">
        <f>IFERROR(VLOOKUP(A1925, Entries!A:K,11,false),"")</f>
        <v/>
      </c>
      <c r="O1925" s="23" t="b">
        <f>IFERROR(VLOOKUP(A1925, Entries!A:I,8,false),"")</f>
        <v>0</v>
      </c>
    </row>
    <row r="1926">
      <c r="A1926" s="78" t="s">
        <v>773</v>
      </c>
      <c r="B1926" s="78" t="s">
        <v>23</v>
      </c>
      <c r="C1926" s="85">
        <v>44682.0</v>
      </c>
      <c r="D1926" s="85">
        <v>44684.0</v>
      </c>
      <c r="E1926" s="86">
        <v>5.46</v>
      </c>
      <c r="F1926" s="87">
        <v>5.87</v>
      </c>
      <c r="G1926" s="88">
        <f t="shared" si="1"/>
        <v>0.41</v>
      </c>
      <c r="H1926" s="89">
        <f t="shared" si="10"/>
        <v>0.06984667802</v>
      </c>
      <c r="I1926" s="78" t="s">
        <v>2476</v>
      </c>
      <c r="J1926" s="78" t="s">
        <v>69</v>
      </c>
      <c r="K1926" s="58">
        <f t="shared" si="3"/>
        <v>2</v>
      </c>
      <c r="L1926" s="91" t="str">
        <f t="shared" si="8"/>
        <v>Tue</v>
      </c>
      <c r="M1926" s="78" t="str">
        <f>IFERROR(VLOOKUP(A1926, Entries!A:B,2,false),"")</f>
        <v>Focus Home Interactive</v>
      </c>
      <c r="N1926" s="23" t="str">
        <f>IFERROR(VLOOKUP(A1926, Entries!A:K,11,false),"")</f>
        <v/>
      </c>
      <c r="O1926" s="23" t="b">
        <f>IFERROR(VLOOKUP(A1926, Entries!A:I,8,false),"")</f>
        <v>0</v>
      </c>
    </row>
    <row r="1927">
      <c r="A1927" s="78" t="s">
        <v>2477</v>
      </c>
      <c r="B1927" s="78" t="s">
        <v>23</v>
      </c>
      <c r="C1927" s="85">
        <v>44682.0</v>
      </c>
      <c r="D1927" s="85">
        <v>44682.0</v>
      </c>
      <c r="E1927" s="86">
        <v>4.02</v>
      </c>
      <c r="F1927" s="87">
        <v>6.38</v>
      </c>
      <c r="G1927" s="88">
        <f t="shared" si="1"/>
        <v>2.36</v>
      </c>
      <c r="H1927" s="89">
        <f t="shared" si="10"/>
        <v>0.3699059561</v>
      </c>
      <c r="I1927" s="78" t="s">
        <v>2478</v>
      </c>
      <c r="J1927" s="78" t="s">
        <v>69</v>
      </c>
      <c r="K1927" s="58">
        <f t="shared" si="3"/>
        <v>0</v>
      </c>
      <c r="L1927" s="91" t="str">
        <f t="shared" si="8"/>
        <v>Sun</v>
      </c>
      <c r="M1927" s="78" t="str">
        <f>IFERROR(VLOOKUP(A1927, Entries!A:B,2,false),"")</f>
        <v>Devolver Digital</v>
      </c>
      <c r="N1927" s="23" t="str">
        <f>IFERROR(VLOOKUP(A1927, Entries!A:K,11,false),"")</f>
        <v/>
      </c>
      <c r="O1927" s="23" t="b">
        <f>IFERROR(VLOOKUP(A1927, Entries!A:I,8,false),"")</f>
        <v>0</v>
      </c>
    </row>
    <row r="1928">
      <c r="A1928" s="78" t="s">
        <v>2477</v>
      </c>
      <c r="B1928" s="78" t="s">
        <v>23</v>
      </c>
      <c r="C1928" s="85">
        <v>44682.0</v>
      </c>
      <c r="D1928" s="85">
        <v>44684.0</v>
      </c>
      <c r="E1928" s="86">
        <v>4.02</v>
      </c>
      <c r="F1928" s="87">
        <v>6.21</v>
      </c>
      <c r="G1928" s="88">
        <f t="shared" si="1"/>
        <v>2.19</v>
      </c>
      <c r="H1928" s="89">
        <f t="shared" si="10"/>
        <v>0.3526570048</v>
      </c>
      <c r="I1928" s="78" t="s">
        <v>2479</v>
      </c>
      <c r="J1928" s="78" t="s">
        <v>69</v>
      </c>
      <c r="K1928" s="58">
        <f t="shared" si="3"/>
        <v>2</v>
      </c>
      <c r="L1928" s="91" t="str">
        <f t="shared" si="8"/>
        <v>Tue</v>
      </c>
      <c r="M1928" s="78" t="str">
        <f>IFERROR(VLOOKUP(A1928, Entries!A:B,2,false),"")</f>
        <v>Devolver Digital</v>
      </c>
      <c r="N1928" s="23" t="str">
        <f>IFERROR(VLOOKUP(A1928, Entries!A:K,11,false),"")</f>
        <v/>
      </c>
      <c r="O1928" s="23" t="b">
        <f>IFERROR(VLOOKUP(A1928, Entries!A:I,8,false),"")</f>
        <v>0</v>
      </c>
    </row>
    <row r="1929">
      <c r="A1929" s="78" t="s">
        <v>2477</v>
      </c>
      <c r="B1929" s="78" t="s">
        <v>23</v>
      </c>
      <c r="C1929" s="85">
        <v>44682.0</v>
      </c>
      <c r="D1929" s="85">
        <v>44808.0</v>
      </c>
      <c r="E1929" s="86">
        <v>4.02</v>
      </c>
      <c r="F1929" s="87">
        <v>8.57</v>
      </c>
      <c r="G1929" s="88">
        <f t="shared" si="1"/>
        <v>4.55</v>
      </c>
      <c r="H1929" s="89">
        <f t="shared" si="10"/>
        <v>0.5309218203</v>
      </c>
      <c r="I1929" s="78" t="s">
        <v>2480</v>
      </c>
      <c r="J1929" s="78" t="s">
        <v>69</v>
      </c>
      <c r="K1929" s="58">
        <f t="shared" si="3"/>
        <v>126</v>
      </c>
      <c r="L1929" s="91" t="str">
        <f t="shared" si="8"/>
        <v>Sun</v>
      </c>
      <c r="M1929" s="78" t="str">
        <f>IFERROR(VLOOKUP(A1929, Entries!A:B,2,false),"")</f>
        <v>Devolver Digital</v>
      </c>
      <c r="N1929" s="23" t="str">
        <f>IFERROR(VLOOKUP(A1929, Entries!A:K,11,false),"")</f>
        <v/>
      </c>
      <c r="O1929" s="23" t="b">
        <f>IFERROR(VLOOKUP(A1929, Entries!A:I,8,false),"")</f>
        <v>0</v>
      </c>
    </row>
    <row r="1930">
      <c r="A1930" s="78" t="s">
        <v>2242</v>
      </c>
      <c r="B1930" s="78" t="s">
        <v>32</v>
      </c>
      <c r="C1930" s="85">
        <v>44682.0</v>
      </c>
      <c r="D1930" s="85">
        <v>44715.0</v>
      </c>
      <c r="E1930" s="86">
        <v>6.18</v>
      </c>
      <c r="F1930" s="87">
        <v>13.6</v>
      </c>
      <c r="G1930" s="88">
        <f t="shared" si="1"/>
        <v>7.42</v>
      </c>
      <c r="H1930" s="89">
        <f t="shared" si="10"/>
        <v>0.5455882353</v>
      </c>
      <c r="I1930" s="78" t="s">
        <v>2481</v>
      </c>
      <c r="J1930" s="78" t="s">
        <v>69</v>
      </c>
      <c r="K1930" s="58">
        <f t="shared" si="3"/>
        <v>33</v>
      </c>
      <c r="L1930" s="91" t="str">
        <f t="shared" si="8"/>
        <v>Fri</v>
      </c>
      <c r="M1930" s="78" t="str">
        <f>IFERROR(VLOOKUP(A1930, Entries!A:B,2,false),"")</f>
        <v>Paradox Interactive</v>
      </c>
      <c r="N1930" s="23" t="str">
        <f>IFERROR(VLOOKUP(A1930, Entries!A:K,11,false),"")</f>
        <v/>
      </c>
      <c r="O1930" s="23" t="b">
        <f>IFERROR(VLOOKUP(A1930, Entries!A:I,8,false),"")</f>
        <v>0</v>
      </c>
    </row>
    <row r="1931">
      <c r="A1931" s="78" t="s">
        <v>2242</v>
      </c>
      <c r="B1931" s="78" t="s">
        <v>32</v>
      </c>
      <c r="C1931" s="85">
        <v>44682.0</v>
      </c>
      <c r="D1931" s="85">
        <v>44717.0</v>
      </c>
      <c r="E1931" s="86">
        <v>6.19</v>
      </c>
      <c r="F1931" s="87">
        <v>16.21</v>
      </c>
      <c r="G1931" s="88">
        <f t="shared" si="1"/>
        <v>10.02</v>
      </c>
      <c r="H1931" s="89">
        <f t="shared" si="10"/>
        <v>0.6181369525</v>
      </c>
      <c r="I1931" s="78" t="s">
        <v>2482</v>
      </c>
      <c r="J1931" s="78" t="s">
        <v>69</v>
      </c>
      <c r="K1931" s="58">
        <f t="shared" si="3"/>
        <v>35</v>
      </c>
      <c r="L1931" s="91" t="str">
        <f t="shared" si="8"/>
        <v>Sun</v>
      </c>
      <c r="M1931" s="78" t="str">
        <f>IFERROR(VLOOKUP(A1931, Entries!A:B,2,false),"")</f>
        <v>Paradox Interactive</v>
      </c>
      <c r="N1931" s="23" t="str">
        <f>IFERROR(VLOOKUP(A1931, Entries!A:K,11,false),"")</f>
        <v/>
      </c>
      <c r="O1931" s="23" t="b">
        <f>IFERROR(VLOOKUP(A1931, Entries!A:I,8,false),"")</f>
        <v>0</v>
      </c>
    </row>
    <row r="1932">
      <c r="A1932" s="78" t="s">
        <v>1553</v>
      </c>
      <c r="B1932" s="78" t="s">
        <v>23</v>
      </c>
      <c r="C1932" s="85">
        <v>44682.0</v>
      </c>
      <c r="D1932" s="85">
        <v>44684.0</v>
      </c>
      <c r="E1932" s="86">
        <v>21.83</v>
      </c>
      <c r="F1932" s="87">
        <v>26.63</v>
      </c>
      <c r="G1932" s="88">
        <f t="shared" si="1"/>
        <v>4.8</v>
      </c>
      <c r="H1932" s="89">
        <f t="shared" si="10"/>
        <v>0.1802478408</v>
      </c>
      <c r="I1932" s="78" t="s">
        <v>2483</v>
      </c>
      <c r="J1932" s="78" t="s">
        <v>69</v>
      </c>
      <c r="K1932" s="58">
        <f t="shared" si="3"/>
        <v>2</v>
      </c>
      <c r="L1932" s="91" t="str">
        <f t="shared" si="8"/>
        <v>Tue</v>
      </c>
      <c r="M1932" s="78" t="str">
        <f>IFERROR(VLOOKUP(A1932, Entries!A:B,2,false),"")</f>
        <v>Focus Home Interactive</v>
      </c>
      <c r="N1932" s="23" t="str">
        <f>IFERROR(VLOOKUP(A1932, Entries!A:K,11,false),"")</f>
        <v/>
      </c>
      <c r="O1932" s="23" t="b">
        <f>IFERROR(VLOOKUP(A1932, Entries!A:I,8,false),"")</f>
        <v>1</v>
      </c>
    </row>
    <row r="1933">
      <c r="A1933" s="78" t="s">
        <v>1729</v>
      </c>
      <c r="B1933" s="78" t="s">
        <v>18</v>
      </c>
      <c r="C1933" s="85">
        <v>44683.0</v>
      </c>
      <c r="D1933" s="85">
        <v>44685.0</v>
      </c>
      <c r="E1933" s="86">
        <v>8.59</v>
      </c>
      <c r="F1933" s="87">
        <v>11.5</v>
      </c>
      <c r="G1933" s="88">
        <f t="shared" si="1"/>
        <v>2.91</v>
      </c>
      <c r="H1933" s="89">
        <f t="shared" si="10"/>
        <v>0.2530434783</v>
      </c>
      <c r="I1933" s="78" t="s">
        <v>2484</v>
      </c>
      <c r="J1933" s="78" t="s">
        <v>69</v>
      </c>
      <c r="K1933" s="58">
        <f t="shared" si="3"/>
        <v>2</v>
      </c>
      <c r="L1933" s="91" t="str">
        <f t="shared" si="8"/>
        <v>Wed</v>
      </c>
      <c r="M1933" s="78" t="str">
        <f>IFERROR(VLOOKUP(A1933, Entries!A:B,2,false),"")</f>
        <v>Focus Home Interactive</v>
      </c>
      <c r="N1933" s="23" t="str">
        <f>IFERROR(VLOOKUP(A1933, Entries!A:K,11,false),"")</f>
        <v/>
      </c>
      <c r="O1933" s="23" t="b">
        <f>IFERROR(VLOOKUP(A1933, Entries!A:I,8,false),"")</f>
        <v>0</v>
      </c>
    </row>
    <row r="1934">
      <c r="A1934" s="78" t="s">
        <v>1729</v>
      </c>
      <c r="B1934" s="78" t="s">
        <v>18</v>
      </c>
      <c r="C1934" s="85">
        <v>44683.0</v>
      </c>
      <c r="D1934" s="85">
        <v>44690.0</v>
      </c>
      <c r="E1934" s="86">
        <v>8.6</v>
      </c>
      <c r="F1934" s="87">
        <v>11.16</v>
      </c>
      <c r="G1934" s="88">
        <f t="shared" si="1"/>
        <v>2.56</v>
      </c>
      <c r="H1934" s="89">
        <f t="shared" si="10"/>
        <v>0.229390681</v>
      </c>
      <c r="I1934" s="78" t="s">
        <v>2485</v>
      </c>
      <c r="J1934" s="78" t="s">
        <v>69</v>
      </c>
      <c r="K1934" s="58">
        <f t="shared" si="3"/>
        <v>7</v>
      </c>
      <c r="L1934" s="91" t="str">
        <f t="shared" si="8"/>
        <v>Mon</v>
      </c>
      <c r="M1934" s="78" t="str">
        <f>IFERROR(VLOOKUP(A1934, Entries!A:B,2,false),"")</f>
        <v>Focus Home Interactive</v>
      </c>
      <c r="N1934" s="23" t="str">
        <f>IFERROR(VLOOKUP(A1934, Entries!A:K,11,false),"")</f>
        <v/>
      </c>
      <c r="O1934" s="23" t="b">
        <f>IFERROR(VLOOKUP(A1934, Entries!A:I,8,false),"")</f>
        <v>0</v>
      </c>
    </row>
    <row r="1935">
      <c r="A1935" s="78" t="s">
        <v>385</v>
      </c>
      <c r="B1935" s="78" t="s">
        <v>19</v>
      </c>
      <c r="C1935" s="85">
        <v>44684.0</v>
      </c>
      <c r="D1935" s="85">
        <v>44684.0</v>
      </c>
      <c r="E1935" s="86">
        <v>0.95</v>
      </c>
      <c r="F1935" s="87">
        <v>3.63</v>
      </c>
      <c r="G1935" s="88">
        <f t="shared" si="1"/>
        <v>2.68</v>
      </c>
      <c r="H1935" s="89">
        <f t="shared" si="10"/>
        <v>0.738292011</v>
      </c>
      <c r="I1935" s="78" t="s">
        <v>2486</v>
      </c>
      <c r="J1935" s="78" t="s">
        <v>69</v>
      </c>
      <c r="K1935" s="58">
        <f t="shared" si="3"/>
        <v>0</v>
      </c>
      <c r="L1935" s="91" t="str">
        <f t="shared" si="8"/>
        <v>Tue</v>
      </c>
      <c r="M1935" s="78" t="str">
        <f>IFERROR(VLOOKUP(A1935, Entries!A:B,2,false),"")</f>
        <v>Cheesecake Dev</v>
      </c>
      <c r="N1935" s="23" t="str">
        <f>IFERROR(VLOOKUP(A1935, Entries!A:K,11,false),"")</f>
        <v/>
      </c>
      <c r="O1935" s="23" t="b">
        <f>IFERROR(VLOOKUP(A1935, Entries!A:I,8,false),"")</f>
        <v>1</v>
      </c>
    </row>
    <row r="1936">
      <c r="A1936" s="78" t="s">
        <v>809</v>
      </c>
      <c r="B1936" s="78" t="s">
        <v>19</v>
      </c>
      <c r="C1936" s="85">
        <v>44684.0</v>
      </c>
      <c r="D1936" s="85">
        <v>44784.0</v>
      </c>
      <c r="E1936" s="86">
        <v>0.94</v>
      </c>
      <c r="F1936" s="87">
        <v>1.96</v>
      </c>
      <c r="G1936" s="88">
        <f t="shared" si="1"/>
        <v>1.02</v>
      </c>
      <c r="H1936" s="89">
        <f t="shared" si="10"/>
        <v>0.5204081633</v>
      </c>
      <c r="I1936" s="78" t="s">
        <v>2487</v>
      </c>
      <c r="J1936" s="78" t="s">
        <v>69</v>
      </c>
      <c r="K1936" s="58">
        <f t="shared" si="3"/>
        <v>100</v>
      </c>
      <c r="L1936" s="91" t="str">
        <f t="shared" si="8"/>
        <v>Thu</v>
      </c>
      <c r="M1936" s="78" t="str">
        <f>IFERROR(VLOOKUP(A1936, Entries!A:B,2,false),"")</f>
        <v>Modus Games</v>
      </c>
      <c r="N1936" s="23" t="str">
        <f>IFERROR(VLOOKUP(A1936, Entries!A:K,11,false),"")</f>
        <v/>
      </c>
      <c r="O1936" s="23" t="b">
        <f>IFERROR(VLOOKUP(A1936, Entries!A:I,8,false),"")</f>
        <v>0</v>
      </c>
    </row>
    <row r="1937">
      <c r="A1937" s="78" t="s">
        <v>385</v>
      </c>
      <c r="B1937" s="78" t="s">
        <v>19</v>
      </c>
      <c r="C1937" s="85">
        <v>44684.0</v>
      </c>
      <c r="D1937" s="85">
        <v>44684.0</v>
      </c>
      <c r="E1937" s="86">
        <v>0.99</v>
      </c>
      <c r="F1937" s="87">
        <v>3.68</v>
      </c>
      <c r="G1937" s="88">
        <f t="shared" si="1"/>
        <v>2.69</v>
      </c>
      <c r="H1937" s="89">
        <f t="shared" si="10"/>
        <v>0.7309782609</v>
      </c>
      <c r="I1937" s="78" t="s">
        <v>2488</v>
      </c>
      <c r="J1937" s="78" t="s">
        <v>69</v>
      </c>
      <c r="K1937" s="58">
        <f t="shared" si="3"/>
        <v>0</v>
      </c>
      <c r="L1937" s="91" t="str">
        <f t="shared" si="8"/>
        <v>Tue</v>
      </c>
      <c r="M1937" s="78" t="str">
        <f>IFERROR(VLOOKUP(A1937, Entries!A:B,2,false),"")</f>
        <v>Cheesecake Dev</v>
      </c>
      <c r="N1937" s="23" t="str">
        <f>IFERROR(VLOOKUP(A1937, Entries!A:K,11,false),"")</f>
        <v/>
      </c>
      <c r="O1937" s="23" t="b">
        <f>IFERROR(VLOOKUP(A1937, Entries!A:I,8,false),"")</f>
        <v>1</v>
      </c>
    </row>
    <row r="1938">
      <c r="A1938" s="78" t="s">
        <v>385</v>
      </c>
      <c r="B1938" s="78" t="s">
        <v>19</v>
      </c>
      <c r="C1938" s="85">
        <v>44684.0</v>
      </c>
      <c r="D1938" s="85">
        <v>44685.0</v>
      </c>
      <c r="E1938" s="86">
        <v>0.99</v>
      </c>
      <c r="F1938" s="87">
        <v>2.7</v>
      </c>
      <c r="G1938" s="88">
        <f t="shared" si="1"/>
        <v>1.71</v>
      </c>
      <c r="H1938" s="89">
        <f t="shared" si="10"/>
        <v>0.6333333333</v>
      </c>
      <c r="I1938" s="78" t="s">
        <v>2489</v>
      </c>
      <c r="J1938" s="78" t="s">
        <v>69</v>
      </c>
      <c r="K1938" s="58">
        <f t="shared" si="3"/>
        <v>1</v>
      </c>
      <c r="L1938" s="91" t="str">
        <f t="shared" si="8"/>
        <v>Wed</v>
      </c>
      <c r="M1938" s="78" t="str">
        <f>IFERROR(VLOOKUP(A1938, Entries!A:B,2,false),"")</f>
        <v>Cheesecake Dev</v>
      </c>
      <c r="N1938" s="23" t="str">
        <f>IFERROR(VLOOKUP(A1938, Entries!A:K,11,false),"")</f>
        <v/>
      </c>
      <c r="O1938" s="23" t="b">
        <f>IFERROR(VLOOKUP(A1938, Entries!A:I,8,false),"")</f>
        <v>1</v>
      </c>
    </row>
    <row r="1939">
      <c r="A1939" s="78" t="s">
        <v>1553</v>
      </c>
      <c r="B1939" s="78" t="s">
        <v>27</v>
      </c>
      <c r="C1939" s="85">
        <v>44684.0</v>
      </c>
      <c r="D1939" s="85">
        <v>44685.0</v>
      </c>
      <c r="E1939" s="86">
        <v>22.99</v>
      </c>
      <c r="F1939" s="87">
        <v>26.63</v>
      </c>
      <c r="G1939" s="88">
        <f t="shared" si="1"/>
        <v>3.64</v>
      </c>
      <c r="H1939" s="89">
        <f t="shared" si="10"/>
        <v>0.1366879459</v>
      </c>
      <c r="I1939" s="78" t="s">
        <v>2490</v>
      </c>
      <c r="J1939" s="78" t="s">
        <v>69</v>
      </c>
      <c r="K1939" s="58">
        <f t="shared" si="3"/>
        <v>1</v>
      </c>
      <c r="L1939" s="91" t="str">
        <f t="shared" si="8"/>
        <v>Wed</v>
      </c>
      <c r="M1939" s="78" t="str">
        <f>IFERROR(VLOOKUP(A1939, Entries!A:B,2,false),"")</f>
        <v>Focus Home Interactive</v>
      </c>
      <c r="N1939" s="23" t="str">
        <f>IFERROR(VLOOKUP(A1939, Entries!A:K,11,false),"")</f>
        <v/>
      </c>
      <c r="O1939" s="23" t="b">
        <f>IFERROR(VLOOKUP(A1939, Entries!A:I,8,false),"")</f>
        <v>1</v>
      </c>
    </row>
    <row r="1940">
      <c r="A1940" s="78" t="s">
        <v>2399</v>
      </c>
      <c r="B1940" s="78" t="s">
        <v>27</v>
      </c>
      <c r="C1940" s="85">
        <v>44685.0</v>
      </c>
      <c r="D1940" s="85">
        <v>44702.0</v>
      </c>
      <c r="E1940" s="86">
        <v>16.89</v>
      </c>
      <c r="F1940" s="87">
        <v>20.1</v>
      </c>
      <c r="G1940" s="88">
        <f t="shared" si="1"/>
        <v>3.21</v>
      </c>
      <c r="H1940" s="89">
        <f t="shared" si="10"/>
        <v>0.1597014925</v>
      </c>
      <c r="I1940" s="78" t="s">
        <v>2491</v>
      </c>
      <c r="J1940" s="78" t="s">
        <v>69</v>
      </c>
      <c r="K1940" s="58">
        <f t="shared" si="3"/>
        <v>17</v>
      </c>
      <c r="L1940" s="91" t="str">
        <f t="shared" si="8"/>
        <v>Sat</v>
      </c>
      <c r="M1940" s="78" t="str">
        <f>IFERROR(VLOOKUP(A1940, Entries!A:B,2,false),"")</f>
        <v>BANDAI NAMCO</v>
      </c>
      <c r="N1940" s="23" t="str">
        <f>IFERROR(VLOOKUP(A1940, Entries!A:K,11,false),"")</f>
        <v/>
      </c>
      <c r="O1940" s="23" t="b">
        <f>IFERROR(VLOOKUP(A1940, Entries!A:I,8,false),"")</f>
        <v>0</v>
      </c>
    </row>
    <row r="1941">
      <c r="A1941" s="78" t="s">
        <v>385</v>
      </c>
      <c r="B1941" s="78" t="s">
        <v>19</v>
      </c>
      <c r="C1941" s="85">
        <v>44685.0</v>
      </c>
      <c r="D1941" s="85">
        <v>44693.0</v>
      </c>
      <c r="E1941" s="86">
        <v>0.99</v>
      </c>
      <c r="F1941" s="87">
        <v>1.61</v>
      </c>
      <c r="G1941" s="88">
        <f t="shared" si="1"/>
        <v>0.62</v>
      </c>
      <c r="H1941" s="89">
        <f t="shared" si="10"/>
        <v>0.3850931677</v>
      </c>
      <c r="I1941" s="78" t="s">
        <v>2492</v>
      </c>
      <c r="J1941" s="78" t="s">
        <v>69</v>
      </c>
      <c r="K1941" s="58">
        <f t="shared" si="3"/>
        <v>8</v>
      </c>
      <c r="L1941" s="91" t="str">
        <f t="shared" si="8"/>
        <v>Thu</v>
      </c>
      <c r="M1941" s="78" t="str">
        <f>IFERROR(VLOOKUP(A1941, Entries!A:B,2,false),"")</f>
        <v>Cheesecake Dev</v>
      </c>
      <c r="N1941" s="23" t="str">
        <f>IFERROR(VLOOKUP(A1941, Entries!A:K,11,false),"")</f>
        <v/>
      </c>
      <c r="O1941" s="23" t="b">
        <f>IFERROR(VLOOKUP(A1941, Entries!A:I,8,false),"")</f>
        <v>1</v>
      </c>
    </row>
    <row r="1942">
      <c r="A1942" s="78" t="s">
        <v>1553</v>
      </c>
      <c r="B1942" s="78" t="s">
        <v>27</v>
      </c>
      <c r="C1942" s="85">
        <v>44686.0</v>
      </c>
      <c r="D1942" s="85">
        <v>44686.0</v>
      </c>
      <c r="E1942" s="86">
        <v>22.99</v>
      </c>
      <c r="F1942" s="87">
        <v>26.63</v>
      </c>
      <c r="G1942" s="88">
        <f t="shared" si="1"/>
        <v>3.64</v>
      </c>
      <c r="H1942" s="89">
        <f t="shared" si="10"/>
        <v>0.1366879459</v>
      </c>
      <c r="I1942" s="78" t="s">
        <v>2493</v>
      </c>
      <c r="J1942" s="78" t="s">
        <v>69</v>
      </c>
      <c r="K1942" s="58">
        <f t="shared" si="3"/>
        <v>0</v>
      </c>
      <c r="L1942" s="91" t="str">
        <f t="shared" si="8"/>
        <v>Thu</v>
      </c>
      <c r="M1942" s="78" t="str">
        <f>IFERROR(VLOOKUP(A1942, Entries!A:B,2,false),"")</f>
        <v>Focus Home Interactive</v>
      </c>
      <c r="N1942" s="23" t="str">
        <f>IFERROR(VLOOKUP(A1942, Entries!A:K,11,false),"")</f>
        <v/>
      </c>
      <c r="O1942" s="23" t="b">
        <f>IFERROR(VLOOKUP(A1942, Entries!A:I,8,false),"")</f>
        <v>1</v>
      </c>
    </row>
    <row r="1943">
      <c r="A1943" s="78" t="s">
        <v>1034</v>
      </c>
      <c r="B1943" s="78" t="s">
        <v>18</v>
      </c>
      <c r="C1943" s="85">
        <v>44686.0</v>
      </c>
      <c r="D1943" s="85">
        <v>44688.0</v>
      </c>
      <c r="E1943" s="86">
        <v>10.01</v>
      </c>
      <c r="F1943" s="87">
        <v>11.36</v>
      </c>
      <c r="G1943" s="88">
        <f t="shared" si="1"/>
        <v>1.35</v>
      </c>
      <c r="H1943" s="89">
        <f t="shared" si="10"/>
        <v>0.1188380282</v>
      </c>
      <c r="I1943" s="78" t="s">
        <v>2494</v>
      </c>
      <c r="J1943" s="78" t="s">
        <v>69</v>
      </c>
      <c r="K1943" s="58">
        <f t="shared" si="3"/>
        <v>2</v>
      </c>
      <c r="L1943" s="91" t="str">
        <f t="shared" si="8"/>
        <v>Sat</v>
      </c>
      <c r="M1943" s="78" t="str">
        <f>IFERROR(VLOOKUP(A1943, Entries!A:B,2,false),"")</f>
        <v>Eugen Systems</v>
      </c>
      <c r="N1943" s="23" t="str">
        <f>IFERROR(VLOOKUP(A1943, Entries!A:K,11,false),"")</f>
        <v/>
      </c>
      <c r="O1943" s="23" t="b">
        <f>IFERROR(VLOOKUP(A1943, Entries!A:I,8,false),"")</f>
        <v>1</v>
      </c>
    </row>
    <row r="1944">
      <c r="A1944" s="78" t="s">
        <v>1034</v>
      </c>
      <c r="B1944" s="78" t="s">
        <v>18</v>
      </c>
      <c r="C1944" s="85">
        <v>44686.0</v>
      </c>
      <c r="D1944" s="85">
        <v>44689.0</v>
      </c>
      <c r="E1944" s="86">
        <v>10.02</v>
      </c>
      <c r="F1944" s="87">
        <v>11.36</v>
      </c>
      <c r="G1944" s="88">
        <f t="shared" si="1"/>
        <v>1.34</v>
      </c>
      <c r="H1944" s="89">
        <f t="shared" si="10"/>
        <v>0.1179577465</v>
      </c>
      <c r="I1944" s="78" t="s">
        <v>2495</v>
      </c>
      <c r="J1944" s="78" t="s">
        <v>69</v>
      </c>
      <c r="K1944" s="58">
        <f t="shared" si="3"/>
        <v>3</v>
      </c>
      <c r="L1944" s="91" t="str">
        <f t="shared" si="8"/>
        <v>Sun</v>
      </c>
      <c r="M1944" s="78" t="str">
        <f>IFERROR(VLOOKUP(A1944, Entries!A:B,2,false),"")</f>
        <v>Eugen Systems</v>
      </c>
      <c r="N1944" s="23" t="str">
        <f>IFERROR(VLOOKUP(A1944, Entries!A:K,11,false),"")</f>
        <v/>
      </c>
      <c r="O1944" s="23" t="b">
        <f>IFERROR(VLOOKUP(A1944, Entries!A:I,8,false),"")</f>
        <v>1</v>
      </c>
    </row>
    <row r="1945">
      <c r="A1945" s="78" t="s">
        <v>1387</v>
      </c>
      <c r="B1945" s="78" t="s">
        <v>19</v>
      </c>
      <c r="C1945" s="85">
        <v>44686.0</v>
      </c>
      <c r="D1945" s="85">
        <v>44686.0</v>
      </c>
      <c r="E1945" s="86">
        <v>2.95</v>
      </c>
      <c r="F1945" s="87">
        <v>4.36</v>
      </c>
      <c r="G1945" s="88">
        <f t="shared" si="1"/>
        <v>1.41</v>
      </c>
      <c r="H1945" s="89">
        <f t="shared" si="10"/>
        <v>0.3233944954</v>
      </c>
      <c r="I1945" s="78" t="s">
        <v>2496</v>
      </c>
      <c r="J1945" s="78" t="s">
        <v>69</v>
      </c>
      <c r="K1945" s="58">
        <f t="shared" si="3"/>
        <v>0</v>
      </c>
      <c r="L1945" s="91" t="str">
        <f t="shared" si="8"/>
        <v>Thu</v>
      </c>
      <c r="M1945" s="78" t="str">
        <f>IFERROR(VLOOKUP(A1945, Entries!A:B,2,false),"")</f>
        <v>Eugen Systems</v>
      </c>
      <c r="N1945" s="23" t="str">
        <f>IFERROR(VLOOKUP(A1945, Entries!A:K,11,false),"")</f>
        <v/>
      </c>
      <c r="O1945" s="23" t="b">
        <f>IFERROR(VLOOKUP(A1945, Entries!A:I,8,false),"")</f>
        <v>0</v>
      </c>
    </row>
    <row r="1946">
      <c r="A1946" s="78" t="s">
        <v>572</v>
      </c>
      <c r="B1946" s="78" t="s">
        <v>19</v>
      </c>
      <c r="C1946" s="85">
        <v>44686.0</v>
      </c>
      <c r="D1946" s="85">
        <v>44687.0</v>
      </c>
      <c r="E1946" s="86">
        <v>1.0</v>
      </c>
      <c r="F1946" s="87">
        <v>1.49</v>
      </c>
      <c r="G1946" s="88">
        <f t="shared" si="1"/>
        <v>0.49</v>
      </c>
      <c r="H1946" s="89">
        <f t="shared" si="10"/>
        <v>0.3288590604</v>
      </c>
      <c r="I1946" s="78" t="s">
        <v>2497</v>
      </c>
      <c r="J1946" s="78" t="s">
        <v>69</v>
      </c>
      <c r="K1946" s="58">
        <f t="shared" si="3"/>
        <v>1</v>
      </c>
      <c r="L1946" s="91" t="str">
        <f t="shared" si="8"/>
        <v>Fri</v>
      </c>
      <c r="M1946" s="78" t="str">
        <f>IFERROR(VLOOKUP(A1946, Entries!A:B,2,false),"")</f>
        <v>Eugen Systems</v>
      </c>
      <c r="N1946" s="23" t="str">
        <f>IFERROR(VLOOKUP(A1946, Entries!A:K,11,false),"")</f>
        <v/>
      </c>
      <c r="O1946" s="23" t="b">
        <f>IFERROR(VLOOKUP(A1946, Entries!A:I,8,false),"")</f>
        <v>0</v>
      </c>
    </row>
    <row r="1947">
      <c r="A1947" s="78" t="s">
        <v>2498</v>
      </c>
      <c r="B1947" s="78" t="s">
        <v>19</v>
      </c>
      <c r="C1947" s="85">
        <v>44686.0</v>
      </c>
      <c r="D1947" s="85">
        <v>44688.0</v>
      </c>
      <c r="E1947" s="86">
        <v>1.0</v>
      </c>
      <c r="F1947" s="87">
        <v>1.52</v>
      </c>
      <c r="G1947" s="88">
        <f t="shared" si="1"/>
        <v>0.52</v>
      </c>
      <c r="H1947" s="89">
        <f t="shared" si="10"/>
        <v>0.3421052632</v>
      </c>
      <c r="I1947" s="78" t="s">
        <v>2499</v>
      </c>
      <c r="J1947" s="78" t="s">
        <v>69</v>
      </c>
      <c r="K1947" s="58">
        <f t="shared" si="3"/>
        <v>2</v>
      </c>
      <c r="L1947" s="91" t="str">
        <f t="shared" si="8"/>
        <v>Sat</v>
      </c>
      <c r="M1947" s="78" t="str">
        <f>IFERROR(VLOOKUP(A1947, Entries!A:B,2,false),"")</f>
        <v>Eugen Systems</v>
      </c>
      <c r="N1947" s="23" t="str">
        <f>IFERROR(VLOOKUP(A1947, Entries!A:K,11,false),"")</f>
        <v/>
      </c>
      <c r="O1947" s="23" t="b">
        <f>IFERROR(VLOOKUP(A1947, Entries!A:I,8,false),"")</f>
        <v>0</v>
      </c>
    </row>
    <row r="1948">
      <c r="A1948" s="78" t="s">
        <v>1553</v>
      </c>
      <c r="B1948" s="78" t="s">
        <v>27</v>
      </c>
      <c r="C1948" s="85">
        <v>44686.0</v>
      </c>
      <c r="D1948" s="85">
        <v>44712.0</v>
      </c>
      <c r="E1948" s="86">
        <v>22.99</v>
      </c>
      <c r="F1948" s="87">
        <v>24.31</v>
      </c>
      <c r="G1948" s="88">
        <f t="shared" si="1"/>
        <v>1.32</v>
      </c>
      <c r="H1948" s="89">
        <f t="shared" si="10"/>
        <v>0.05429864253</v>
      </c>
      <c r="I1948" s="78" t="s">
        <v>2500</v>
      </c>
      <c r="J1948" s="78" t="s">
        <v>69</v>
      </c>
      <c r="K1948" s="58">
        <f t="shared" si="3"/>
        <v>26</v>
      </c>
      <c r="L1948" s="91" t="str">
        <f t="shared" si="8"/>
        <v>Tue</v>
      </c>
      <c r="M1948" s="78" t="str">
        <f>IFERROR(VLOOKUP(A1948, Entries!A:B,2,false),"")</f>
        <v>Focus Home Interactive</v>
      </c>
      <c r="N1948" s="23" t="str">
        <f>IFERROR(VLOOKUP(A1948, Entries!A:K,11,false),"")</f>
        <v/>
      </c>
      <c r="O1948" s="23" t="b">
        <f>IFERROR(VLOOKUP(A1948, Entries!A:I,8,false),"")</f>
        <v>1</v>
      </c>
    </row>
    <row r="1949">
      <c r="A1949" s="78" t="s">
        <v>1387</v>
      </c>
      <c r="B1949" s="78" t="s">
        <v>19</v>
      </c>
      <c r="C1949" s="85">
        <v>44687.0</v>
      </c>
      <c r="D1949" s="85">
        <v>44700.0</v>
      </c>
      <c r="E1949" s="86">
        <v>2.95</v>
      </c>
      <c r="F1949" s="87">
        <v>3.6</v>
      </c>
      <c r="G1949" s="88">
        <f t="shared" si="1"/>
        <v>0.65</v>
      </c>
      <c r="H1949" s="89">
        <f t="shared" si="10"/>
        <v>0.1805555556</v>
      </c>
      <c r="I1949" s="78" t="s">
        <v>2501</v>
      </c>
      <c r="J1949" s="78" t="s">
        <v>69</v>
      </c>
      <c r="K1949" s="58">
        <f t="shared" si="3"/>
        <v>13</v>
      </c>
      <c r="L1949" s="91" t="str">
        <f t="shared" si="8"/>
        <v>Thu</v>
      </c>
      <c r="M1949" s="78" t="str">
        <f>IFERROR(VLOOKUP(A1949, Entries!A:B,2,false),"")</f>
        <v>Eugen Systems</v>
      </c>
      <c r="N1949" s="23" t="str">
        <f>IFERROR(VLOOKUP(A1949, Entries!A:K,11,false),"")</f>
        <v/>
      </c>
      <c r="O1949" s="23" t="b">
        <f>IFERROR(VLOOKUP(A1949, Entries!A:I,8,false),"")</f>
        <v>0</v>
      </c>
    </row>
    <row r="1950">
      <c r="A1950" s="78" t="s">
        <v>572</v>
      </c>
      <c r="B1950" s="78" t="s">
        <v>19</v>
      </c>
      <c r="C1950" s="85">
        <v>44687.0</v>
      </c>
      <c r="D1950" s="85">
        <v>44691.0</v>
      </c>
      <c r="E1950" s="86">
        <v>1.0</v>
      </c>
      <c r="F1950" s="87">
        <v>1.39</v>
      </c>
      <c r="G1950" s="88">
        <f t="shared" si="1"/>
        <v>0.39</v>
      </c>
      <c r="H1950" s="89">
        <f t="shared" si="10"/>
        <v>0.2805755396</v>
      </c>
      <c r="I1950" s="78" t="s">
        <v>2502</v>
      </c>
      <c r="J1950" s="78" t="s">
        <v>69</v>
      </c>
      <c r="K1950" s="58">
        <f t="shared" si="3"/>
        <v>4</v>
      </c>
      <c r="L1950" s="91" t="str">
        <f t="shared" si="8"/>
        <v>Tue</v>
      </c>
      <c r="M1950" s="78" t="str">
        <f>IFERROR(VLOOKUP(A1950, Entries!A:B,2,false),"")</f>
        <v>Eugen Systems</v>
      </c>
      <c r="N1950" s="23" t="str">
        <f>IFERROR(VLOOKUP(A1950, Entries!A:K,11,false),"")</f>
        <v/>
      </c>
      <c r="O1950" s="23" t="b">
        <f>IFERROR(VLOOKUP(A1950, Entries!A:I,8,false),"")</f>
        <v>0</v>
      </c>
    </row>
    <row r="1951">
      <c r="A1951" s="78" t="s">
        <v>2498</v>
      </c>
      <c r="B1951" s="78" t="s">
        <v>19</v>
      </c>
      <c r="C1951" s="85">
        <v>44687.0</v>
      </c>
      <c r="D1951" s="85">
        <v>44691.0</v>
      </c>
      <c r="E1951" s="86">
        <v>1.0</v>
      </c>
      <c r="F1951" s="87">
        <v>1.52</v>
      </c>
      <c r="G1951" s="88">
        <f t="shared" si="1"/>
        <v>0.52</v>
      </c>
      <c r="H1951" s="89">
        <f t="shared" si="10"/>
        <v>0.3421052632</v>
      </c>
      <c r="I1951" s="78" t="s">
        <v>2503</v>
      </c>
      <c r="J1951" s="78" t="s">
        <v>69</v>
      </c>
      <c r="K1951" s="58">
        <f t="shared" si="3"/>
        <v>4</v>
      </c>
      <c r="L1951" s="91" t="str">
        <f t="shared" si="8"/>
        <v>Tue</v>
      </c>
      <c r="M1951" s="78" t="str">
        <f>IFERROR(VLOOKUP(A1951, Entries!A:B,2,false),"")</f>
        <v>Eugen Systems</v>
      </c>
      <c r="N1951" s="23" t="str">
        <f>IFERROR(VLOOKUP(A1951, Entries!A:K,11,false),"")</f>
        <v/>
      </c>
      <c r="O1951" s="23" t="b">
        <f>IFERROR(VLOOKUP(A1951, Entries!A:I,8,false),"")</f>
        <v>0</v>
      </c>
    </row>
    <row r="1952">
      <c r="A1952" s="78" t="s">
        <v>1387</v>
      </c>
      <c r="B1952" s="78" t="s">
        <v>19</v>
      </c>
      <c r="C1952" s="85">
        <v>44687.0</v>
      </c>
      <c r="D1952" s="85">
        <v>44705.0</v>
      </c>
      <c r="E1952" s="86">
        <v>2.95</v>
      </c>
      <c r="F1952" s="87">
        <v>3.53</v>
      </c>
      <c r="G1952" s="88">
        <f t="shared" si="1"/>
        <v>0.58</v>
      </c>
      <c r="H1952" s="89">
        <f t="shared" si="10"/>
        <v>0.164305949</v>
      </c>
      <c r="I1952" s="78" t="s">
        <v>2504</v>
      </c>
      <c r="J1952" s="78" t="s">
        <v>69</v>
      </c>
      <c r="K1952" s="58">
        <f t="shared" si="3"/>
        <v>18</v>
      </c>
      <c r="L1952" s="91" t="str">
        <f t="shared" si="8"/>
        <v>Tue</v>
      </c>
      <c r="M1952" s="78" t="str">
        <f>IFERROR(VLOOKUP(A1952, Entries!A:B,2,false),"")</f>
        <v>Eugen Systems</v>
      </c>
      <c r="N1952" s="23" t="str">
        <f>IFERROR(VLOOKUP(A1952, Entries!A:K,11,false),"")</f>
        <v/>
      </c>
      <c r="O1952" s="23" t="b">
        <f>IFERROR(VLOOKUP(A1952, Entries!A:I,8,false),"")</f>
        <v>0</v>
      </c>
    </row>
    <row r="1953">
      <c r="A1953" s="78" t="s">
        <v>572</v>
      </c>
      <c r="B1953" s="78" t="s">
        <v>19</v>
      </c>
      <c r="C1953" s="85">
        <v>44687.0</v>
      </c>
      <c r="D1953" s="85">
        <v>44696.0</v>
      </c>
      <c r="E1953" s="86">
        <v>1.0</v>
      </c>
      <c r="F1953" s="87">
        <v>1.3</v>
      </c>
      <c r="G1953" s="88">
        <f t="shared" si="1"/>
        <v>0.3</v>
      </c>
      <c r="H1953" s="89">
        <f t="shared" si="10"/>
        <v>0.2307692308</v>
      </c>
      <c r="I1953" s="78" t="s">
        <v>2505</v>
      </c>
      <c r="J1953" s="78" t="s">
        <v>69</v>
      </c>
      <c r="K1953" s="58">
        <f t="shared" si="3"/>
        <v>9</v>
      </c>
      <c r="L1953" s="91" t="str">
        <f t="shared" si="8"/>
        <v>Sun</v>
      </c>
      <c r="M1953" s="78" t="str">
        <f>IFERROR(VLOOKUP(A1953, Entries!A:B,2,false),"")</f>
        <v>Eugen Systems</v>
      </c>
      <c r="N1953" s="23" t="str">
        <f>IFERROR(VLOOKUP(A1953, Entries!A:K,11,false),"")</f>
        <v/>
      </c>
      <c r="O1953" s="23" t="b">
        <f>IFERROR(VLOOKUP(A1953, Entries!A:I,8,false),"")</f>
        <v>0</v>
      </c>
    </row>
    <row r="1954">
      <c r="A1954" s="78" t="s">
        <v>2498</v>
      </c>
      <c r="B1954" s="78" t="s">
        <v>19</v>
      </c>
      <c r="C1954" s="85">
        <v>44687.0</v>
      </c>
      <c r="D1954" s="85">
        <v>44693.0</v>
      </c>
      <c r="E1954" s="86">
        <v>1.0</v>
      </c>
      <c r="F1954" s="87">
        <v>1.52</v>
      </c>
      <c r="G1954" s="88">
        <f t="shared" si="1"/>
        <v>0.52</v>
      </c>
      <c r="H1954" s="89">
        <f t="shared" si="10"/>
        <v>0.3421052632</v>
      </c>
      <c r="I1954" s="78" t="s">
        <v>2506</v>
      </c>
      <c r="J1954" s="78" t="s">
        <v>69</v>
      </c>
      <c r="K1954" s="58">
        <f t="shared" si="3"/>
        <v>6</v>
      </c>
      <c r="L1954" s="91" t="str">
        <f t="shared" si="8"/>
        <v>Thu</v>
      </c>
      <c r="M1954" s="78" t="str">
        <f>IFERROR(VLOOKUP(A1954, Entries!A:B,2,false),"")</f>
        <v>Eugen Systems</v>
      </c>
      <c r="N1954" s="23" t="str">
        <f>IFERROR(VLOOKUP(A1954, Entries!A:K,11,false),"")</f>
        <v/>
      </c>
      <c r="O1954" s="23" t="b">
        <f>IFERROR(VLOOKUP(A1954, Entries!A:I,8,false),"")</f>
        <v>0</v>
      </c>
    </row>
    <row r="1955">
      <c r="A1955" s="78" t="s">
        <v>2051</v>
      </c>
      <c r="B1955" s="78" t="s">
        <v>27</v>
      </c>
      <c r="C1955" s="85">
        <v>44687.0</v>
      </c>
      <c r="D1955" s="85">
        <v>44690.0</v>
      </c>
      <c r="E1955" s="86">
        <v>7.29</v>
      </c>
      <c r="F1955" s="87">
        <v>12.77</v>
      </c>
      <c r="G1955" s="88">
        <f t="shared" si="1"/>
        <v>5.48</v>
      </c>
      <c r="H1955" s="89">
        <f t="shared" si="10"/>
        <v>0.4291307753</v>
      </c>
      <c r="I1955" s="78" t="s">
        <v>2507</v>
      </c>
      <c r="J1955" s="78" t="s">
        <v>69</v>
      </c>
      <c r="K1955" s="58">
        <f t="shared" si="3"/>
        <v>3</v>
      </c>
      <c r="L1955" s="91" t="str">
        <f t="shared" si="8"/>
        <v>Mon</v>
      </c>
      <c r="M1955" s="78" t="str">
        <f>IFERROR(VLOOKUP(A1955, Entries!A:B,2,false),"")</f>
        <v>Nacon</v>
      </c>
      <c r="N1955" s="23" t="str">
        <f>IFERROR(VLOOKUP(A1955, Entries!A:K,11,false),"")</f>
        <v/>
      </c>
      <c r="O1955" s="23" t="b">
        <f>IFERROR(VLOOKUP(A1955, Entries!A:I,8,false),"")</f>
        <v>0</v>
      </c>
    </row>
    <row r="1956">
      <c r="A1956" s="78" t="s">
        <v>2498</v>
      </c>
      <c r="B1956" s="78" t="s">
        <v>19</v>
      </c>
      <c r="C1956" s="85">
        <v>44687.0</v>
      </c>
      <c r="D1956" s="85">
        <v>44694.0</v>
      </c>
      <c r="E1956" s="86">
        <v>1.0</v>
      </c>
      <c r="F1956" s="87">
        <v>1.52</v>
      </c>
      <c r="G1956" s="88">
        <f t="shared" si="1"/>
        <v>0.52</v>
      </c>
      <c r="H1956" s="89">
        <f t="shared" si="10"/>
        <v>0.3421052632</v>
      </c>
      <c r="I1956" s="78" t="s">
        <v>2508</v>
      </c>
      <c r="J1956" s="78" t="s">
        <v>69</v>
      </c>
      <c r="K1956" s="58">
        <f t="shared" si="3"/>
        <v>7</v>
      </c>
      <c r="L1956" s="91" t="str">
        <f t="shared" si="8"/>
        <v>Fri</v>
      </c>
      <c r="M1956" s="78" t="str">
        <f>IFERROR(VLOOKUP(A1956, Entries!A:B,2,false),"")</f>
        <v>Eugen Systems</v>
      </c>
      <c r="N1956" s="23" t="str">
        <f>IFERROR(VLOOKUP(A1956, Entries!A:K,11,false),"")</f>
        <v/>
      </c>
      <c r="O1956" s="23" t="b">
        <f>IFERROR(VLOOKUP(A1956, Entries!A:I,8,false),"")</f>
        <v>0</v>
      </c>
    </row>
    <row r="1957">
      <c r="A1957" s="78" t="s">
        <v>1387</v>
      </c>
      <c r="B1957" s="78" t="s">
        <v>19</v>
      </c>
      <c r="C1957" s="85">
        <v>44687.0</v>
      </c>
      <c r="D1957" s="85">
        <v>44705.0</v>
      </c>
      <c r="E1957" s="86">
        <v>2.95</v>
      </c>
      <c r="F1957" s="87">
        <v>3.5</v>
      </c>
      <c r="G1957" s="88">
        <f t="shared" si="1"/>
        <v>0.55</v>
      </c>
      <c r="H1957" s="89">
        <f t="shared" si="10"/>
        <v>0.1571428571</v>
      </c>
      <c r="I1957" s="78" t="s">
        <v>2509</v>
      </c>
      <c r="J1957" s="78" t="s">
        <v>69</v>
      </c>
      <c r="K1957" s="58">
        <f t="shared" si="3"/>
        <v>18</v>
      </c>
      <c r="L1957" s="91" t="str">
        <f t="shared" si="8"/>
        <v>Tue</v>
      </c>
      <c r="M1957" s="78" t="str">
        <f>IFERROR(VLOOKUP(A1957, Entries!A:B,2,false),"")</f>
        <v>Eugen Systems</v>
      </c>
      <c r="N1957" s="23" t="str">
        <f>IFERROR(VLOOKUP(A1957, Entries!A:K,11,false),"")</f>
        <v/>
      </c>
      <c r="O1957" s="23" t="b">
        <f>IFERROR(VLOOKUP(A1957, Entries!A:I,8,false),"")</f>
        <v>0</v>
      </c>
    </row>
    <row r="1958">
      <c r="A1958" s="78" t="s">
        <v>572</v>
      </c>
      <c r="B1958" s="78" t="s">
        <v>19</v>
      </c>
      <c r="C1958" s="85">
        <v>44687.0</v>
      </c>
      <c r="D1958" s="85">
        <v>44696.0</v>
      </c>
      <c r="E1958" s="86">
        <v>1.0</v>
      </c>
      <c r="F1958" s="87">
        <v>1.3</v>
      </c>
      <c r="G1958" s="88">
        <f t="shared" si="1"/>
        <v>0.3</v>
      </c>
      <c r="H1958" s="89">
        <f t="shared" si="10"/>
        <v>0.2307692308</v>
      </c>
      <c r="I1958" s="78" t="s">
        <v>2510</v>
      </c>
      <c r="J1958" s="78" t="s">
        <v>69</v>
      </c>
      <c r="K1958" s="58">
        <f t="shared" si="3"/>
        <v>9</v>
      </c>
      <c r="L1958" s="91" t="str">
        <f t="shared" si="8"/>
        <v>Sun</v>
      </c>
      <c r="M1958" s="78" t="str">
        <f>IFERROR(VLOOKUP(A1958, Entries!A:B,2,false),"")</f>
        <v>Eugen Systems</v>
      </c>
      <c r="N1958" s="23" t="str">
        <f>IFERROR(VLOOKUP(A1958, Entries!A:K,11,false),"")</f>
        <v/>
      </c>
      <c r="O1958" s="23" t="b">
        <f>IFERROR(VLOOKUP(A1958, Entries!A:I,8,false),"")</f>
        <v>0</v>
      </c>
    </row>
    <row r="1959">
      <c r="A1959" s="78" t="s">
        <v>385</v>
      </c>
      <c r="B1959" s="78" t="s">
        <v>19</v>
      </c>
      <c r="C1959" s="85">
        <v>44687.0</v>
      </c>
      <c r="D1959" s="85">
        <v>44693.0</v>
      </c>
      <c r="E1959" s="86">
        <v>0.95</v>
      </c>
      <c r="F1959" s="87">
        <v>1.61</v>
      </c>
      <c r="G1959" s="88">
        <f t="shared" si="1"/>
        <v>0.66</v>
      </c>
      <c r="H1959" s="89">
        <f t="shared" si="10"/>
        <v>0.4099378882</v>
      </c>
      <c r="I1959" s="78" t="s">
        <v>2511</v>
      </c>
      <c r="J1959" s="78" t="s">
        <v>69</v>
      </c>
      <c r="K1959" s="58">
        <f t="shared" si="3"/>
        <v>6</v>
      </c>
      <c r="L1959" s="91" t="str">
        <f t="shared" si="8"/>
        <v>Thu</v>
      </c>
      <c r="M1959" s="78" t="str">
        <f>IFERROR(VLOOKUP(A1959, Entries!A:B,2,false),"")</f>
        <v>Cheesecake Dev</v>
      </c>
      <c r="N1959" s="23" t="str">
        <f>IFERROR(VLOOKUP(A1959, Entries!A:K,11,false),"")</f>
        <v/>
      </c>
      <c r="O1959" s="23" t="b">
        <f>IFERROR(VLOOKUP(A1959, Entries!A:I,8,false),"")</f>
        <v>1</v>
      </c>
    </row>
    <row r="1960">
      <c r="A1960" s="78" t="s">
        <v>2498</v>
      </c>
      <c r="B1960" s="78" t="s">
        <v>19</v>
      </c>
      <c r="C1960" s="85">
        <v>44688.0</v>
      </c>
      <c r="D1960" s="85">
        <v>44696.0</v>
      </c>
      <c r="E1960" s="86">
        <v>1.0</v>
      </c>
      <c r="F1960" s="87">
        <v>1.67</v>
      </c>
      <c r="G1960" s="88">
        <f t="shared" si="1"/>
        <v>0.67</v>
      </c>
      <c r="H1960" s="89">
        <f t="shared" si="10"/>
        <v>0.4011976048</v>
      </c>
      <c r="I1960" s="78" t="s">
        <v>2512</v>
      </c>
      <c r="J1960" s="78" t="s">
        <v>69</v>
      </c>
      <c r="K1960" s="58">
        <f t="shared" si="3"/>
        <v>8</v>
      </c>
      <c r="L1960" s="91" t="str">
        <f t="shared" si="8"/>
        <v>Sun</v>
      </c>
      <c r="M1960" s="78" t="str">
        <f>IFERROR(VLOOKUP(A1960, Entries!A:B,2,false),"")</f>
        <v>Eugen Systems</v>
      </c>
      <c r="N1960" s="23" t="str">
        <f>IFERROR(VLOOKUP(A1960, Entries!A:K,11,false),"")</f>
        <v/>
      </c>
      <c r="O1960" s="23" t="b">
        <f>IFERROR(VLOOKUP(A1960, Entries!A:I,8,false),"")</f>
        <v>0</v>
      </c>
    </row>
    <row r="1961">
      <c r="A1961" s="78" t="s">
        <v>1387</v>
      </c>
      <c r="B1961" s="78" t="s">
        <v>19</v>
      </c>
      <c r="C1961" s="85">
        <v>44688.0</v>
      </c>
      <c r="D1961" s="85">
        <v>44705.0</v>
      </c>
      <c r="E1961" s="86">
        <v>2.96</v>
      </c>
      <c r="F1961" s="87">
        <v>3.5</v>
      </c>
      <c r="G1961" s="88">
        <f t="shared" si="1"/>
        <v>0.54</v>
      </c>
      <c r="H1961" s="89">
        <f t="shared" si="10"/>
        <v>0.1542857143</v>
      </c>
      <c r="I1961" s="78" t="s">
        <v>2513</v>
      </c>
      <c r="J1961" s="78" t="s">
        <v>69</v>
      </c>
      <c r="K1961" s="58">
        <f t="shared" si="3"/>
        <v>17</v>
      </c>
      <c r="L1961" s="91" t="str">
        <f t="shared" si="8"/>
        <v>Tue</v>
      </c>
      <c r="M1961" s="78" t="str">
        <f>IFERROR(VLOOKUP(A1961, Entries!A:B,2,false),"")</f>
        <v>Eugen Systems</v>
      </c>
      <c r="N1961" s="23" t="str">
        <f>IFERROR(VLOOKUP(A1961, Entries!A:K,11,false),"")</f>
        <v/>
      </c>
      <c r="O1961" s="23" t="b">
        <f>IFERROR(VLOOKUP(A1961, Entries!A:I,8,false),"")</f>
        <v>0</v>
      </c>
    </row>
    <row r="1962">
      <c r="A1962" s="78" t="s">
        <v>572</v>
      </c>
      <c r="B1962" s="78" t="s">
        <v>19</v>
      </c>
      <c r="C1962" s="85">
        <v>44688.0</v>
      </c>
      <c r="D1962" s="85">
        <v>44696.0</v>
      </c>
      <c r="E1962" s="86">
        <v>1.0</v>
      </c>
      <c r="F1962" s="87">
        <v>1.3</v>
      </c>
      <c r="G1962" s="88">
        <f t="shared" si="1"/>
        <v>0.3</v>
      </c>
      <c r="H1962" s="89">
        <f t="shared" si="10"/>
        <v>0.2307692308</v>
      </c>
      <c r="I1962" s="78" t="s">
        <v>2514</v>
      </c>
      <c r="J1962" s="78" t="s">
        <v>69</v>
      </c>
      <c r="K1962" s="58">
        <f t="shared" si="3"/>
        <v>8</v>
      </c>
      <c r="L1962" s="91" t="str">
        <f t="shared" si="8"/>
        <v>Sun</v>
      </c>
      <c r="M1962" s="78" t="str">
        <f>IFERROR(VLOOKUP(A1962, Entries!A:B,2,false),"")</f>
        <v>Eugen Systems</v>
      </c>
      <c r="N1962" s="23" t="str">
        <f>IFERROR(VLOOKUP(A1962, Entries!A:K,11,false),"")</f>
        <v/>
      </c>
      <c r="O1962" s="23" t="b">
        <f>IFERROR(VLOOKUP(A1962, Entries!A:I,8,false),"")</f>
        <v>0</v>
      </c>
    </row>
    <row r="1963">
      <c r="A1963" s="78" t="s">
        <v>2515</v>
      </c>
      <c r="B1963" s="78" t="s">
        <v>23</v>
      </c>
      <c r="C1963" s="85">
        <v>44689.0</v>
      </c>
      <c r="D1963" s="85">
        <v>44692.0</v>
      </c>
      <c r="E1963" s="86">
        <v>9.09</v>
      </c>
      <c r="F1963" s="87">
        <v>9.6</v>
      </c>
      <c r="G1963" s="88">
        <f t="shared" si="1"/>
        <v>0.51</v>
      </c>
      <c r="H1963" s="89">
        <f t="shared" si="10"/>
        <v>0.053125</v>
      </c>
      <c r="I1963" s="78" t="s">
        <v>2516</v>
      </c>
      <c r="J1963" s="78" t="s">
        <v>69</v>
      </c>
      <c r="K1963" s="58">
        <f t="shared" si="3"/>
        <v>3</v>
      </c>
      <c r="L1963" s="91" t="str">
        <f t="shared" si="8"/>
        <v>Wed</v>
      </c>
      <c r="M1963" s="78" t="str">
        <f>IFERROR(VLOOKUP(A1963, Entries!A:B,2,false),"")</f>
        <v>Toukana Interactive</v>
      </c>
      <c r="N1963" s="23" t="str">
        <f>IFERROR(VLOOKUP(A1963, Entries!A:K,11,false),"")</f>
        <v/>
      </c>
      <c r="O1963" s="23" t="b">
        <f>IFERROR(VLOOKUP(A1963, Entries!A:I,8,false),"")</f>
        <v>0</v>
      </c>
    </row>
    <row r="1964">
      <c r="A1964" s="78" t="s">
        <v>2517</v>
      </c>
      <c r="B1964" s="78" t="s">
        <v>19</v>
      </c>
      <c r="C1964" s="85">
        <v>44690.0</v>
      </c>
      <c r="D1964" s="85">
        <v>44690.0</v>
      </c>
      <c r="E1964" s="86">
        <v>16.42</v>
      </c>
      <c r="F1964" s="87">
        <v>28.26</v>
      </c>
      <c r="G1964" s="88">
        <f t="shared" si="1"/>
        <v>11.84</v>
      </c>
      <c r="H1964" s="89">
        <f t="shared" si="10"/>
        <v>0.4189667374</v>
      </c>
      <c r="I1964" s="78" t="s">
        <v>2518</v>
      </c>
      <c r="J1964" s="78" t="s">
        <v>69</v>
      </c>
      <c r="K1964" s="58">
        <f t="shared" si="3"/>
        <v>0</v>
      </c>
      <c r="L1964" s="91" t="str">
        <f t="shared" si="8"/>
        <v>Mon</v>
      </c>
      <c r="M1964" s="78" t="str">
        <f>IFERROR(VLOOKUP(A1964, Entries!A:B,2,false),"")</f>
        <v>Bethesda Softworks</v>
      </c>
      <c r="N1964" s="23" t="str">
        <f>IFERROR(VLOOKUP(A1964, Entries!A:K,11,false),"")</f>
        <v/>
      </c>
      <c r="O1964" s="23" t="b">
        <f>IFERROR(VLOOKUP(A1964, Entries!A:I,8,false),"")</f>
        <v>0</v>
      </c>
    </row>
    <row r="1965">
      <c r="A1965" s="78" t="s">
        <v>75</v>
      </c>
      <c r="B1965" s="78" t="s">
        <v>19</v>
      </c>
      <c r="C1965" s="85">
        <v>44690.0</v>
      </c>
      <c r="D1965" s="85">
        <v>44690.0</v>
      </c>
      <c r="E1965" s="86">
        <v>12.45</v>
      </c>
      <c r="F1965" s="87">
        <v>17.25</v>
      </c>
      <c r="G1965" s="88">
        <f t="shared" si="1"/>
        <v>4.8</v>
      </c>
      <c r="H1965" s="89">
        <f t="shared" si="10"/>
        <v>0.2782608696</v>
      </c>
      <c r="I1965" s="78" t="s">
        <v>2519</v>
      </c>
      <c r="J1965" s="78" t="s">
        <v>69</v>
      </c>
      <c r="K1965" s="58">
        <f t="shared" si="3"/>
        <v>0</v>
      </c>
      <c r="L1965" s="91" t="str">
        <f t="shared" si="8"/>
        <v>Mon</v>
      </c>
      <c r="M1965" s="78" t="str">
        <f>IFERROR(VLOOKUP(A1965, Entries!A:B,2,false),"")</f>
        <v>Square Enix</v>
      </c>
      <c r="N1965" s="23" t="str">
        <f>IFERROR(VLOOKUP(A1965, Entries!A:K,11,false),"")</f>
        <v/>
      </c>
      <c r="O1965" s="23" t="b">
        <f>IFERROR(VLOOKUP(A1965, Entries!A:I,8,false),"")</f>
        <v>1</v>
      </c>
    </row>
    <row r="1966">
      <c r="A1966" s="78" t="s">
        <v>553</v>
      </c>
      <c r="B1966" s="78" t="s">
        <v>19</v>
      </c>
      <c r="C1966" s="85">
        <v>44690.0</v>
      </c>
      <c r="D1966" s="85">
        <v>44696.0</v>
      </c>
      <c r="E1966" s="86">
        <v>9.43</v>
      </c>
      <c r="F1966" s="87">
        <v>10.67</v>
      </c>
      <c r="G1966" s="88">
        <f t="shared" si="1"/>
        <v>1.24</v>
      </c>
      <c r="H1966" s="89">
        <f t="shared" si="10"/>
        <v>0.1162136832</v>
      </c>
      <c r="I1966" s="78" t="s">
        <v>2520</v>
      </c>
      <c r="J1966" s="78" t="s">
        <v>69</v>
      </c>
      <c r="K1966" s="58">
        <f t="shared" si="3"/>
        <v>6</v>
      </c>
      <c r="L1966" s="91" t="str">
        <f t="shared" si="8"/>
        <v>Sun</v>
      </c>
      <c r="M1966" s="78" t="str">
        <f>IFERROR(VLOOKUP(A1966, Entries!A:B,2,false),"")</f>
        <v>Beamdog</v>
      </c>
      <c r="N1966" s="23" t="str">
        <f>IFERROR(VLOOKUP(A1966, Entries!A:K,11,false),"")</f>
        <v/>
      </c>
      <c r="O1966" s="23" t="b">
        <f>IFERROR(VLOOKUP(A1966, Entries!A:I,8,false),"")</f>
        <v>0</v>
      </c>
    </row>
    <row r="1967">
      <c r="A1967" s="78" t="s">
        <v>75</v>
      </c>
      <c r="B1967" s="78" t="s">
        <v>19</v>
      </c>
      <c r="C1967" s="85">
        <v>44690.0</v>
      </c>
      <c r="D1967" s="85">
        <v>44874.0</v>
      </c>
      <c r="E1967" s="86">
        <v>12.45</v>
      </c>
      <c r="F1967" s="87">
        <v>14.83</v>
      </c>
      <c r="G1967" s="88">
        <f t="shared" si="1"/>
        <v>2.38</v>
      </c>
      <c r="H1967" s="89">
        <f t="shared" si="10"/>
        <v>0.1604855024</v>
      </c>
      <c r="I1967" s="78" t="s">
        <v>2521</v>
      </c>
      <c r="J1967" s="78" t="s">
        <v>69</v>
      </c>
      <c r="K1967" s="58">
        <f t="shared" si="3"/>
        <v>184</v>
      </c>
      <c r="L1967" s="91" t="str">
        <f t="shared" si="8"/>
        <v>Wed</v>
      </c>
      <c r="M1967" s="78" t="str">
        <f>IFERROR(VLOOKUP(A1967, Entries!A:B,2,false),"")</f>
        <v>Square Enix</v>
      </c>
      <c r="N1967" s="23" t="str">
        <f>IFERROR(VLOOKUP(A1967, Entries!A:K,11,false),"")</f>
        <v/>
      </c>
      <c r="O1967" s="23" t="b">
        <f>IFERROR(VLOOKUP(A1967, Entries!A:I,8,false),"")</f>
        <v>1</v>
      </c>
    </row>
    <row r="1968">
      <c r="A1968" s="78" t="s">
        <v>2051</v>
      </c>
      <c r="B1968" s="78" t="s">
        <v>27</v>
      </c>
      <c r="C1968" s="85">
        <v>44690.0</v>
      </c>
      <c r="D1968" s="85">
        <v>44709.0</v>
      </c>
      <c r="E1968" s="86">
        <v>7.19</v>
      </c>
      <c r="F1968" s="87">
        <v>10.99</v>
      </c>
      <c r="G1968" s="88">
        <f t="shared" si="1"/>
        <v>3.8</v>
      </c>
      <c r="H1968" s="89">
        <f t="shared" si="10"/>
        <v>0.3457688808</v>
      </c>
      <c r="I1968" s="78" t="s">
        <v>2522</v>
      </c>
      <c r="J1968" s="78" t="s">
        <v>69</v>
      </c>
      <c r="K1968" s="58">
        <f t="shared" si="3"/>
        <v>19</v>
      </c>
      <c r="L1968" s="91" t="str">
        <f t="shared" si="8"/>
        <v>Sat</v>
      </c>
      <c r="M1968" s="78" t="str">
        <f>IFERROR(VLOOKUP(A1968, Entries!A:B,2,false),"")</f>
        <v>Nacon</v>
      </c>
      <c r="N1968" s="23" t="str">
        <f>IFERROR(VLOOKUP(A1968, Entries!A:K,11,false),"")</f>
        <v/>
      </c>
      <c r="O1968" s="23" t="b">
        <f>IFERROR(VLOOKUP(A1968, Entries!A:I,8,false),"")</f>
        <v>0</v>
      </c>
    </row>
    <row r="1969">
      <c r="A1969" s="78" t="s">
        <v>1482</v>
      </c>
      <c r="B1969" s="78" t="s">
        <v>19</v>
      </c>
      <c r="C1969" s="85">
        <v>44690.0</v>
      </c>
      <c r="D1969" s="85">
        <v>44690.0</v>
      </c>
      <c r="E1969" s="86">
        <v>13.28</v>
      </c>
      <c r="F1969" s="87">
        <v>18.72</v>
      </c>
      <c r="G1969" s="88">
        <f t="shared" si="1"/>
        <v>5.44</v>
      </c>
      <c r="H1969" s="89">
        <f t="shared" si="10"/>
        <v>0.2905982906</v>
      </c>
      <c r="I1969" s="78" t="s">
        <v>2523</v>
      </c>
      <c r="J1969" s="78" t="s">
        <v>69</v>
      </c>
      <c r="K1969" s="58">
        <f t="shared" si="3"/>
        <v>0</v>
      </c>
      <c r="L1969" s="91" t="str">
        <f t="shared" si="8"/>
        <v>Mon</v>
      </c>
      <c r="M1969" s="78" t="str">
        <f>IFERROR(VLOOKUP(A1969, Entries!A:B,2,false),"")</f>
        <v>Beamdog</v>
      </c>
      <c r="N1969" s="23" t="str">
        <f>IFERROR(VLOOKUP(A1969, Entries!A:K,11,false),"")</f>
        <v/>
      </c>
      <c r="O1969" s="23" t="b">
        <f>IFERROR(VLOOKUP(A1969, Entries!A:I,8,false),"")</f>
        <v>0</v>
      </c>
    </row>
    <row r="1970">
      <c r="A1970" s="78" t="s">
        <v>2280</v>
      </c>
      <c r="B1970" s="78" t="s">
        <v>22</v>
      </c>
      <c r="C1970" s="85">
        <v>44690.0</v>
      </c>
      <c r="D1970" s="85">
        <v>45169.0</v>
      </c>
      <c r="E1970" s="86">
        <v>15.34</v>
      </c>
      <c r="F1970" s="87">
        <v>15.49</v>
      </c>
      <c r="G1970" s="88">
        <f t="shared" si="1"/>
        <v>0.15</v>
      </c>
      <c r="H1970" s="89">
        <f t="shared" si="10"/>
        <v>0.009683666882</v>
      </c>
      <c r="I1970" s="78" t="s">
        <v>2524</v>
      </c>
      <c r="J1970" s="78" t="s">
        <v>69</v>
      </c>
      <c r="K1970" s="58">
        <f t="shared" si="3"/>
        <v>479</v>
      </c>
      <c r="L1970" s="91" t="str">
        <f t="shared" si="8"/>
        <v>Thu</v>
      </c>
      <c r="M1970" s="78" t="str">
        <f>IFERROR(VLOOKUP(A1970, Entries!A:B,2,false),"")</f>
        <v>Square Enix</v>
      </c>
      <c r="N1970" s="23" t="str">
        <f>IFERROR(VLOOKUP(A1970, Entries!A:K,11,false),"")</f>
        <v/>
      </c>
      <c r="O1970" s="23" t="b">
        <f>IFERROR(VLOOKUP(A1970, Entries!A:I,8,false),"")</f>
        <v>0</v>
      </c>
    </row>
    <row r="1971">
      <c r="A1971" s="78" t="s">
        <v>1482</v>
      </c>
      <c r="B1971" s="78" t="s">
        <v>19</v>
      </c>
      <c r="C1971" s="85">
        <v>44691.0</v>
      </c>
      <c r="D1971" s="85">
        <v>44712.0</v>
      </c>
      <c r="E1971" s="86">
        <v>13.26</v>
      </c>
      <c r="F1971" s="87">
        <v>14.27</v>
      </c>
      <c r="G1971" s="88">
        <f t="shared" si="1"/>
        <v>1.01</v>
      </c>
      <c r="H1971" s="89">
        <f t="shared" si="10"/>
        <v>0.07077785564</v>
      </c>
      <c r="I1971" s="78" t="s">
        <v>2525</v>
      </c>
      <c r="J1971" s="78" t="s">
        <v>69</v>
      </c>
      <c r="K1971" s="58">
        <f t="shared" si="3"/>
        <v>21</v>
      </c>
      <c r="L1971" s="91" t="str">
        <f t="shared" si="8"/>
        <v>Tue</v>
      </c>
      <c r="M1971" s="78" t="str">
        <f>IFERROR(VLOOKUP(A1971, Entries!A:B,2,false),"")</f>
        <v>Beamdog</v>
      </c>
      <c r="N1971" s="23" t="str">
        <f>IFERROR(VLOOKUP(A1971, Entries!A:K,11,false),"")</f>
        <v/>
      </c>
      <c r="O1971" s="23" t="b">
        <f>IFERROR(VLOOKUP(A1971, Entries!A:I,8,false),"")</f>
        <v>0</v>
      </c>
    </row>
    <row r="1972">
      <c r="A1972" s="78" t="s">
        <v>106</v>
      </c>
      <c r="B1972" s="78" t="s">
        <v>19</v>
      </c>
      <c r="C1972" s="85">
        <v>44691.0</v>
      </c>
      <c r="D1972" s="85">
        <v>44692.0</v>
      </c>
      <c r="E1972" s="86">
        <v>3.32</v>
      </c>
      <c r="F1972" s="87">
        <v>6.72</v>
      </c>
      <c r="G1972" s="88">
        <f t="shared" si="1"/>
        <v>3.4</v>
      </c>
      <c r="H1972" s="89">
        <f t="shared" si="10"/>
        <v>0.505952381</v>
      </c>
      <c r="I1972" s="78" t="s">
        <v>2526</v>
      </c>
      <c r="J1972" s="78" t="s">
        <v>69</v>
      </c>
      <c r="K1972" s="58">
        <f t="shared" si="3"/>
        <v>1</v>
      </c>
      <c r="L1972" s="91" t="str">
        <f t="shared" si="8"/>
        <v>Wed</v>
      </c>
      <c r="M1972" s="78" t="str">
        <f>IFERROR(VLOOKUP(A1972, Entries!A:B,2,false),"")</f>
        <v>Excalibur Games</v>
      </c>
      <c r="N1972" s="23" t="str">
        <f>IFERROR(VLOOKUP(A1972, Entries!A:K,11,false),"")</f>
        <v/>
      </c>
      <c r="O1972" s="23" t="b">
        <f>IFERROR(VLOOKUP(A1972, Entries!A:I,8,false),"")</f>
        <v>1</v>
      </c>
    </row>
    <row r="1973">
      <c r="A1973" s="78" t="s">
        <v>1077</v>
      </c>
      <c r="B1973" s="78" t="s">
        <v>19</v>
      </c>
      <c r="C1973" s="85">
        <v>44691.0</v>
      </c>
      <c r="D1973" s="85">
        <v>44692.0</v>
      </c>
      <c r="E1973" s="86">
        <v>3.32</v>
      </c>
      <c r="F1973" s="87">
        <v>4.19</v>
      </c>
      <c r="G1973" s="88">
        <f t="shared" si="1"/>
        <v>0.87</v>
      </c>
      <c r="H1973" s="89">
        <f t="shared" si="10"/>
        <v>0.2076372315</v>
      </c>
      <c r="I1973" s="78" t="s">
        <v>2527</v>
      </c>
      <c r="J1973" s="78" t="s">
        <v>69</v>
      </c>
      <c r="K1973" s="58">
        <f t="shared" si="3"/>
        <v>1</v>
      </c>
      <c r="L1973" s="91" t="str">
        <f t="shared" si="8"/>
        <v>Wed</v>
      </c>
      <c r="M1973" s="78" t="str">
        <f>IFERROR(VLOOKUP(A1973, Entries!A:B,2,false),"")</f>
        <v>Weather Factory</v>
      </c>
      <c r="N1973" s="23" t="str">
        <f>IFERROR(VLOOKUP(A1973, Entries!A:K,11,false),"")</f>
        <v/>
      </c>
      <c r="O1973" s="23" t="b">
        <f>IFERROR(VLOOKUP(A1973, Entries!A:I,8,false),"")</f>
        <v>0</v>
      </c>
    </row>
    <row r="1974">
      <c r="A1974" s="78" t="s">
        <v>2528</v>
      </c>
      <c r="B1974" s="78" t="s">
        <v>19</v>
      </c>
      <c r="C1974" s="85">
        <v>44691.0</v>
      </c>
      <c r="D1974" s="85">
        <v>44692.0</v>
      </c>
      <c r="E1974" s="86">
        <v>3.32</v>
      </c>
      <c r="F1974" s="87">
        <v>4.55</v>
      </c>
      <c r="G1974" s="88">
        <f t="shared" si="1"/>
        <v>1.23</v>
      </c>
      <c r="H1974" s="89">
        <f t="shared" si="10"/>
        <v>0.2703296703</v>
      </c>
      <c r="I1974" s="78" t="s">
        <v>2529</v>
      </c>
      <c r="J1974" s="78" t="s">
        <v>69</v>
      </c>
      <c r="K1974" s="58">
        <f t="shared" si="3"/>
        <v>1</v>
      </c>
      <c r="L1974" s="91" t="str">
        <f t="shared" si="8"/>
        <v>Wed</v>
      </c>
      <c r="M1974" s="78" t="str">
        <f>IFERROR(VLOOKUP(A1974, Entries!A:B,2,false),"")</f>
        <v>Cheesecake Dev</v>
      </c>
      <c r="N1974" s="23" t="str">
        <f>IFERROR(VLOOKUP(A1974, Entries!A:K,11,false),"")</f>
        <v/>
      </c>
      <c r="O1974" s="23" t="b">
        <f>IFERROR(VLOOKUP(A1974, Entries!A:I,8,false),"")</f>
        <v>0</v>
      </c>
    </row>
    <row r="1975">
      <c r="A1975" s="78" t="s">
        <v>2530</v>
      </c>
      <c r="B1975" s="78" t="s">
        <v>19</v>
      </c>
      <c r="C1975" s="85">
        <v>44691.0</v>
      </c>
      <c r="D1975" s="85">
        <v>44728.0</v>
      </c>
      <c r="E1975" s="86">
        <v>2.47</v>
      </c>
      <c r="F1975" s="87">
        <v>3.91</v>
      </c>
      <c r="G1975" s="88">
        <f t="shared" si="1"/>
        <v>1.44</v>
      </c>
      <c r="H1975" s="89">
        <f t="shared" si="10"/>
        <v>0.368286445</v>
      </c>
      <c r="I1975" s="78" t="s">
        <v>2531</v>
      </c>
      <c r="J1975" s="78" t="s">
        <v>69</v>
      </c>
      <c r="K1975" s="58">
        <f t="shared" si="3"/>
        <v>37</v>
      </c>
      <c r="L1975" s="91" t="str">
        <f t="shared" si="8"/>
        <v>Thu</v>
      </c>
      <c r="M1975" s="78" t="str">
        <f>IFERROR(VLOOKUP(A1975, Entries!A:B,2,false),"")</f>
        <v>Skybound Games</v>
      </c>
      <c r="N1975" s="23" t="str">
        <f>IFERROR(VLOOKUP(A1975, Entries!A:K,11,false),"")</f>
        <v/>
      </c>
      <c r="O1975" s="23" t="b">
        <f>IFERROR(VLOOKUP(A1975, Entries!A:I,8,false),"")</f>
        <v>0</v>
      </c>
    </row>
    <row r="1976">
      <c r="A1976" s="78" t="s">
        <v>385</v>
      </c>
      <c r="B1976" s="78" t="s">
        <v>19</v>
      </c>
      <c r="C1976" s="85">
        <v>44691.0</v>
      </c>
      <c r="D1976" s="85">
        <v>44693.0</v>
      </c>
      <c r="E1976" s="86">
        <v>0.5</v>
      </c>
      <c r="F1976" s="87">
        <v>1.61</v>
      </c>
      <c r="G1976" s="88">
        <f t="shared" si="1"/>
        <v>1.11</v>
      </c>
      <c r="H1976" s="89">
        <f t="shared" si="10"/>
        <v>0.6894409938</v>
      </c>
      <c r="I1976" s="78" t="s">
        <v>2532</v>
      </c>
      <c r="J1976" s="78" t="s">
        <v>69</v>
      </c>
      <c r="K1976" s="58">
        <f t="shared" si="3"/>
        <v>2</v>
      </c>
      <c r="L1976" s="91" t="str">
        <f t="shared" si="8"/>
        <v>Thu</v>
      </c>
      <c r="M1976" s="78" t="str">
        <f>IFERROR(VLOOKUP(A1976, Entries!A:B,2,false),"")</f>
        <v>Cheesecake Dev</v>
      </c>
      <c r="N1976" s="23" t="str">
        <f>IFERROR(VLOOKUP(A1976, Entries!A:K,11,false),"")</f>
        <v/>
      </c>
      <c r="O1976" s="23" t="b">
        <f>IFERROR(VLOOKUP(A1976, Entries!A:I,8,false),"")</f>
        <v>1</v>
      </c>
    </row>
    <row r="1977">
      <c r="A1977" s="78" t="s">
        <v>2339</v>
      </c>
      <c r="B1977" s="78" t="s">
        <v>19</v>
      </c>
      <c r="C1977" s="85">
        <v>44691.0</v>
      </c>
      <c r="D1977" s="85">
        <v>44698.0</v>
      </c>
      <c r="E1977" s="86">
        <v>7.53</v>
      </c>
      <c r="F1977" s="87">
        <v>8.39</v>
      </c>
      <c r="G1977" s="88">
        <f t="shared" si="1"/>
        <v>0.86</v>
      </c>
      <c r="H1977" s="89">
        <f t="shared" si="10"/>
        <v>0.1025029797</v>
      </c>
      <c r="I1977" s="78" t="s">
        <v>2533</v>
      </c>
      <c r="J1977" s="78" t="s">
        <v>69</v>
      </c>
      <c r="K1977" s="58">
        <f t="shared" si="3"/>
        <v>7</v>
      </c>
      <c r="L1977" s="91" t="str">
        <f t="shared" si="8"/>
        <v>Tue</v>
      </c>
      <c r="M1977" s="78" t="str">
        <f>IFERROR(VLOOKUP(A1977, Entries!A:B,2,false),"")</f>
        <v>PlayWay</v>
      </c>
      <c r="N1977" s="23" t="str">
        <f>IFERROR(VLOOKUP(A1977, Entries!A:K,11,false),"")</f>
        <v/>
      </c>
      <c r="O1977" s="23" t="b">
        <f>IFERROR(VLOOKUP(A1977, Entries!A:I,8,false),"")</f>
        <v>0</v>
      </c>
    </row>
    <row r="1978">
      <c r="A1978" s="78" t="s">
        <v>2515</v>
      </c>
      <c r="B1978" s="78" t="s">
        <v>23</v>
      </c>
      <c r="C1978" s="85">
        <v>44692.0</v>
      </c>
      <c r="D1978" s="85">
        <v>44694.0</v>
      </c>
      <c r="E1978" s="86">
        <v>9.09</v>
      </c>
      <c r="F1978" s="87">
        <v>11.26</v>
      </c>
      <c r="G1978" s="88">
        <f t="shared" si="1"/>
        <v>2.17</v>
      </c>
      <c r="H1978" s="89">
        <f t="shared" si="10"/>
        <v>0.1927175844</v>
      </c>
      <c r="I1978" s="78" t="s">
        <v>2534</v>
      </c>
      <c r="J1978" s="78" t="s">
        <v>69</v>
      </c>
      <c r="K1978" s="58">
        <f t="shared" si="3"/>
        <v>2</v>
      </c>
      <c r="L1978" s="91" t="str">
        <f t="shared" si="8"/>
        <v>Fri</v>
      </c>
      <c r="M1978" s="78" t="str">
        <f>IFERROR(VLOOKUP(A1978, Entries!A:B,2,false),"")</f>
        <v>Toukana Interactive</v>
      </c>
      <c r="N1978" s="23" t="str">
        <f>IFERROR(VLOOKUP(A1978, Entries!A:K,11,false),"")</f>
        <v/>
      </c>
      <c r="O1978" s="23" t="b">
        <f>IFERROR(VLOOKUP(A1978, Entries!A:I,8,false),"")</f>
        <v>0</v>
      </c>
    </row>
    <row r="1979">
      <c r="A1979" s="78" t="s">
        <v>2127</v>
      </c>
      <c r="B1979" s="78" t="s">
        <v>27</v>
      </c>
      <c r="C1979" s="85">
        <v>44692.0</v>
      </c>
      <c r="D1979" s="85">
        <v>44692.0</v>
      </c>
      <c r="E1979" s="86">
        <v>18.59</v>
      </c>
      <c r="F1979" s="87">
        <v>22.71</v>
      </c>
      <c r="G1979" s="88">
        <f t="shared" si="1"/>
        <v>4.12</v>
      </c>
      <c r="H1979" s="89">
        <f t="shared" si="10"/>
        <v>0.1814178776</v>
      </c>
      <c r="I1979" s="78" t="s">
        <v>2535</v>
      </c>
      <c r="J1979" s="78" t="s">
        <v>69</v>
      </c>
      <c r="K1979" s="58">
        <f t="shared" si="3"/>
        <v>0</v>
      </c>
      <c r="L1979" s="91" t="str">
        <f t="shared" si="8"/>
        <v>Wed</v>
      </c>
      <c r="M1979" s="78" t="str">
        <f>IFERROR(VLOOKUP(A1979, Entries!A:B,2,false),"")</f>
        <v>Bungie</v>
      </c>
      <c r="N1979" s="23" t="str">
        <f>IFERROR(VLOOKUP(A1979, Entries!A:K,11,false),"")</f>
        <v/>
      </c>
      <c r="O1979" s="23" t="b">
        <f>IFERROR(VLOOKUP(A1979, Entries!A:I,8,false),"")</f>
        <v>1</v>
      </c>
    </row>
    <row r="1980">
      <c r="A1980" s="78" t="s">
        <v>1859</v>
      </c>
      <c r="B1980" s="78" t="s">
        <v>27</v>
      </c>
      <c r="C1980" s="85">
        <v>44692.0</v>
      </c>
      <c r="D1980" s="25"/>
      <c r="E1980" s="86">
        <v>15.59</v>
      </c>
      <c r="F1980" s="88"/>
      <c r="G1980" s="88">
        <f t="shared" si="1"/>
        <v>-15.59</v>
      </c>
      <c r="H1980" s="89" t="str">
        <f t="shared" si="10"/>
        <v/>
      </c>
      <c r="I1980" s="103" t="s">
        <v>2536</v>
      </c>
      <c r="J1980" s="78" t="s">
        <v>1129</v>
      </c>
      <c r="K1980" s="58" t="str">
        <f t="shared" si="3"/>
        <v/>
      </c>
      <c r="L1980" s="91" t="str">
        <f t="shared" si="8"/>
        <v/>
      </c>
      <c r="M1980" s="78" t="str">
        <f>IFERROR(VLOOKUP(A1980, Entries!A:B,2,false),"")</f>
        <v>CAPCOM</v>
      </c>
      <c r="N1980" s="23" t="str">
        <f>IFERROR(VLOOKUP(A1980, Entries!A:K,11,false),"")</f>
        <v/>
      </c>
      <c r="O1980" s="23" t="b">
        <f>IFERROR(VLOOKUP(A1980, Entries!A:I,8,false),"")</f>
        <v>0</v>
      </c>
      <c r="S1980" s="23" t="str">
        <f>IF(AND(TODAY()-ROW(A1156)+1 &lt;= 30, J1156="Closed"), TEXT(TODAY()-ROW(A1156)+1, "dd-mm-yyyy"), "")
</f>
        <v/>
      </c>
    </row>
    <row r="1981">
      <c r="A1981" s="78" t="s">
        <v>106</v>
      </c>
      <c r="B1981" s="78" t="s">
        <v>19</v>
      </c>
      <c r="C1981" s="85">
        <v>44692.0</v>
      </c>
      <c r="D1981" s="85">
        <v>44694.0</v>
      </c>
      <c r="E1981" s="86">
        <v>1.0</v>
      </c>
      <c r="F1981" s="87">
        <v>5.04</v>
      </c>
      <c r="G1981" s="88">
        <f t="shared" si="1"/>
        <v>4.04</v>
      </c>
      <c r="H1981" s="89">
        <f t="shared" si="10"/>
        <v>0.8015873016</v>
      </c>
      <c r="I1981" s="78" t="s">
        <v>2537</v>
      </c>
      <c r="J1981" s="78" t="s">
        <v>69</v>
      </c>
      <c r="K1981" s="58">
        <f t="shared" si="3"/>
        <v>2</v>
      </c>
      <c r="L1981" s="91" t="str">
        <f t="shared" si="8"/>
        <v>Fri</v>
      </c>
      <c r="M1981" s="78" t="str">
        <f>IFERROR(VLOOKUP(A1981, Entries!A:B,2,false),"")</f>
        <v>Excalibur Games</v>
      </c>
      <c r="N1981" s="23" t="str">
        <f>IFERROR(VLOOKUP(A1981, Entries!A:K,11,false),"")</f>
        <v/>
      </c>
      <c r="O1981" s="23" t="b">
        <f>IFERROR(VLOOKUP(A1981, Entries!A:I,8,false),"")</f>
        <v>1</v>
      </c>
    </row>
    <row r="1982">
      <c r="A1982" s="78" t="s">
        <v>1077</v>
      </c>
      <c r="B1982" s="78" t="s">
        <v>19</v>
      </c>
      <c r="C1982" s="85">
        <v>44692.0</v>
      </c>
      <c r="D1982" s="85">
        <v>44693.0</v>
      </c>
      <c r="E1982" s="86">
        <v>1.0</v>
      </c>
      <c r="F1982" s="87">
        <v>3.41</v>
      </c>
      <c r="G1982" s="88">
        <f t="shared" si="1"/>
        <v>2.41</v>
      </c>
      <c r="H1982" s="89">
        <f t="shared" si="10"/>
        <v>0.706744868</v>
      </c>
      <c r="I1982" s="78" t="s">
        <v>2538</v>
      </c>
      <c r="J1982" s="78" t="s">
        <v>69</v>
      </c>
      <c r="K1982" s="58">
        <f t="shared" si="3"/>
        <v>1</v>
      </c>
      <c r="L1982" s="91" t="str">
        <f t="shared" si="8"/>
        <v>Thu</v>
      </c>
      <c r="M1982" s="78" t="str">
        <f>IFERROR(VLOOKUP(A1982, Entries!A:B,2,false),"")</f>
        <v>Weather Factory</v>
      </c>
      <c r="N1982" s="23" t="str">
        <f>IFERROR(VLOOKUP(A1982, Entries!A:K,11,false),"")</f>
        <v/>
      </c>
      <c r="O1982" s="23" t="b">
        <f>IFERROR(VLOOKUP(A1982, Entries!A:I,8,false),"")</f>
        <v>0</v>
      </c>
    </row>
    <row r="1983">
      <c r="A1983" s="78" t="s">
        <v>2528</v>
      </c>
      <c r="B1983" s="78" t="s">
        <v>19</v>
      </c>
      <c r="C1983" s="85">
        <v>44692.0</v>
      </c>
      <c r="D1983" s="85">
        <v>44692.0</v>
      </c>
      <c r="E1983" s="86">
        <v>1.0</v>
      </c>
      <c r="F1983" s="87">
        <v>4.55</v>
      </c>
      <c r="G1983" s="88">
        <f t="shared" si="1"/>
        <v>3.55</v>
      </c>
      <c r="H1983" s="89">
        <f t="shared" si="10"/>
        <v>0.7802197802</v>
      </c>
      <c r="I1983" s="78" t="s">
        <v>2539</v>
      </c>
      <c r="J1983" s="78" t="s">
        <v>69</v>
      </c>
      <c r="K1983" s="58">
        <f t="shared" si="3"/>
        <v>0</v>
      </c>
      <c r="L1983" s="91" t="str">
        <f t="shared" si="8"/>
        <v>Wed</v>
      </c>
      <c r="M1983" s="78" t="str">
        <f>IFERROR(VLOOKUP(A1983, Entries!A:B,2,false),"")</f>
        <v>Cheesecake Dev</v>
      </c>
      <c r="N1983" s="23" t="str">
        <f>IFERROR(VLOOKUP(A1983, Entries!A:K,11,false),"")</f>
        <v/>
      </c>
      <c r="O1983" s="23" t="b">
        <f>IFERROR(VLOOKUP(A1983, Entries!A:I,8,false),"")</f>
        <v>0</v>
      </c>
    </row>
    <row r="1984">
      <c r="A1984" s="78" t="s">
        <v>669</v>
      </c>
      <c r="B1984" s="78" t="s">
        <v>19</v>
      </c>
      <c r="C1984" s="85">
        <v>44692.0</v>
      </c>
      <c r="D1984" s="85">
        <v>44694.0</v>
      </c>
      <c r="E1984" s="86">
        <v>1.93</v>
      </c>
      <c r="F1984" s="87">
        <v>4.89</v>
      </c>
      <c r="G1984" s="88">
        <f t="shared" si="1"/>
        <v>2.96</v>
      </c>
      <c r="H1984" s="89">
        <f t="shared" si="10"/>
        <v>0.6053169734</v>
      </c>
      <c r="I1984" s="78" t="s">
        <v>2540</v>
      </c>
      <c r="J1984" s="78" t="s">
        <v>69</v>
      </c>
      <c r="K1984" s="58">
        <f t="shared" si="3"/>
        <v>2</v>
      </c>
      <c r="L1984" s="91" t="str">
        <f t="shared" si="8"/>
        <v>Fri</v>
      </c>
      <c r="M1984" s="78" t="str">
        <f>IFERROR(VLOOKUP(A1984, Entries!A:B,2,false),"")</f>
        <v>Atari</v>
      </c>
      <c r="N1984" s="23" t="str">
        <f>IFERROR(VLOOKUP(A1984, Entries!A:K,11,false),"")</f>
        <v/>
      </c>
      <c r="O1984" s="23" t="b">
        <f>IFERROR(VLOOKUP(A1984, Entries!A:I,8,false),"")</f>
        <v>0</v>
      </c>
    </row>
    <row r="1985">
      <c r="A1985" s="78" t="s">
        <v>106</v>
      </c>
      <c r="B1985" s="78" t="s">
        <v>19</v>
      </c>
      <c r="C1985" s="85">
        <v>44692.0</v>
      </c>
      <c r="D1985" s="85">
        <v>44694.0</v>
      </c>
      <c r="E1985" s="86">
        <v>3.13</v>
      </c>
      <c r="F1985" s="87">
        <v>5.04</v>
      </c>
      <c r="G1985" s="88">
        <f t="shared" si="1"/>
        <v>1.91</v>
      </c>
      <c r="H1985" s="89">
        <f t="shared" si="10"/>
        <v>0.378968254</v>
      </c>
      <c r="I1985" s="78" t="s">
        <v>2541</v>
      </c>
      <c r="J1985" s="78" t="s">
        <v>69</v>
      </c>
      <c r="K1985" s="58">
        <f t="shared" si="3"/>
        <v>2</v>
      </c>
      <c r="L1985" s="91" t="str">
        <f t="shared" si="8"/>
        <v>Fri</v>
      </c>
      <c r="M1985" s="78" t="str">
        <f>IFERROR(VLOOKUP(A1985, Entries!A:B,2,false),"")</f>
        <v>Excalibur Games</v>
      </c>
      <c r="N1985" s="23" t="str">
        <f>IFERROR(VLOOKUP(A1985, Entries!A:K,11,false),"")</f>
        <v/>
      </c>
      <c r="O1985" s="23" t="b">
        <f>IFERROR(VLOOKUP(A1985, Entries!A:I,8,false),"")</f>
        <v>1</v>
      </c>
    </row>
    <row r="1986">
      <c r="A1986" s="78" t="s">
        <v>1077</v>
      </c>
      <c r="B1986" s="78" t="s">
        <v>19</v>
      </c>
      <c r="C1986" s="85">
        <v>44692.0</v>
      </c>
      <c r="D1986" s="85">
        <v>44697.0</v>
      </c>
      <c r="E1986" s="86">
        <v>3.13</v>
      </c>
      <c r="F1986" s="87">
        <v>3.53</v>
      </c>
      <c r="G1986" s="88">
        <f t="shared" si="1"/>
        <v>0.4</v>
      </c>
      <c r="H1986" s="89">
        <f t="shared" si="10"/>
        <v>0.1133144476</v>
      </c>
      <c r="I1986" s="78" t="s">
        <v>2542</v>
      </c>
      <c r="J1986" s="78" t="s">
        <v>69</v>
      </c>
      <c r="K1986" s="58">
        <f t="shared" si="3"/>
        <v>5</v>
      </c>
      <c r="L1986" s="91" t="str">
        <f t="shared" si="8"/>
        <v>Mon</v>
      </c>
      <c r="M1986" s="78" t="str">
        <f>IFERROR(VLOOKUP(A1986, Entries!A:B,2,false),"")</f>
        <v>Weather Factory</v>
      </c>
      <c r="N1986" s="23" t="str">
        <f>IFERROR(VLOOKUP(A1986, Entries!A:K,11,false),"")</f>
        <v/>
      </c>
      <c r="O1986" s="23" t="b">
        <f>IFERROR(VLOOKUP(A1986, Entries!A:I,8,false),"")</f>
        <v>0</v>
      </c>
    </row>
    <row r="1987">
      <c r="A1987" s="78" t="s">
        <v>2528</v>
      </c>
      <c r="B1987" s="78" t="s">
        <v>19</v>
      </c>
      <c r="C1987" s="85">
        <v>44692.0</v>
      </c>
      <c r="D1987" s="85">
        <v>44693.0</v>
      </c>
      <c r="E1987" s="86">
        <v>3.13</v>
      </c>
      <c r="F1987" s="87">
        <v>3.4</v>
      </c>
      <c r="G1987" s="88">
        <f t="shared" si="1"/>
        <v>0.27</v>
      </c>
      <c r="H1987" s="89">
        <f t="shared" si="10"/>
        <v>0.07941176471</v>
      </c>
      <c r="I1987" s="78" t="s">
        <v>2543</v>
      </c>
      <c r="J1987" s="78" t="s">
        <v>69</v>
      </c>
      <c r="K1987" s="58">
        <f t="shared" si="3"/>
        <v>1</v>
      </c>
      <c r="L1987" s="91" t="str">
        <f t="shared" si="8"/>
        <v>Thu</v>
      </c>
      <c r="M1987" s="78" t="str">
        <f>IFERROR(VLOOKUP(A1987, Entries!A:B,2,false),"")</f>
        <v>Cheesecake Dev</v>
      </c>
      <c r="N1987" s="23" t="str">
        <f>IFERROR(VLOOKUP(A1987, Entries!A:K,11,false),"")</f>
        <v/>
      </c>
      <c r="O1987" s="23" t="b">
        <f>IFERROR(VLOOKUP(A1987, Entries!A:I,8,false),"")</f>
        <v>0</v>
      </c>
    </row>
    <row r="1988">
      <c r="A1988" s="78" t="s">
        <v>2127</v>
      </c>
      <c r="B1988" s="78" t="s">
        <v>27</v>
      </c>
      <c r="C1988" s="85">
        <v>44693.0</v>
      </c>
      <c r="D1988" s="85">
        <v>44693.0</v>
      </c>
      <c r="E1988" s="86">
        <v>18.59</v>
      </c>
      <c r="F1988" s="87">
        <v>22.71</v>
      </c>
      <c r="G1988" s="88">
        <f t="shared" si="1"/>
        <v>4.12</v>
      </c>
      <c r="H1988" s="89">
        <f t="shared" si="10"/>
        <v>0.1814178776</v>
      </c>
      <c r="I1988" s="78" t="s">
        <v>2544</v>
      </c>
      <c r="J1988" s="78" t="s">
        <v>69</v>
      </c>
      <c r="K1988" s="58">
        <f t="shared" si="3"/>
        <v>0</v>
      </c>
      <c r="L1988" s="91" t="str">
        <f t="shared" si="8"/>
        <v>Thu</v>
      </c>
      <c r="M1988" s="78" t="str">
        <f>IFERROR(VLOOKUP(A1988, Entries!A:B,2,false),"")</f>
        <v>Bungie</v>
      </c>
      <c r="N1988" s="23" t="str">
        <f>IFERROR(VLOOKUP(A1988, Entries!A:K,11,false),"")</f>
        <v/>
      </c>
      <c r="O1988" s="23" t="b">
        <f>IFERROR(VLOOKUP(A1988, Entries!A:I,8,false),"")</f>
        <v>1</v>
      </c>
    </row>
    <row r="1989">
      <c r="A1989" s="78" t="s">
        <v>2127</v>
      </c>
      <c r="B1989" s="78" t="s">
        <v>27</v>
      </c>
      <c r="C1989" s="85">
        <v>44693.0</v>
      </c>
      <c r="D1989" s="85">
        <v>44693.0</v>
      </c>
      <c r="E1989" s="86">
        <v>18.59</v>
      </c>
      <c r="F1989" s="87">
        <v>22.71</v>
      </c>
      <c r="G1989" s="88">
        <f t="shared" si="1"/>
        <v>4.12</v>
      </c>
      <c r="H1989" s="89">
        <f t="shared" si="10"/>
        <v>0.1814178776</v>
      </c>
      <c r="I1989" s="78" t="s">
        <v>2545</v>
      </c>
      <c r="J1989" s="78" t="s">
        <v>69</v>
      </c>
      <c r="K1989" s="58">
        <f t="shared" si="3"/>
        <v>0</v>
      </c>
      <c r="L1989" s="91" t="str">
        <f t="shared" si="8"/>
        <v>Thu</v>
      </c>
      <c r="M1989" s="78" t="str">
        <f>IFERROR(VLOOKUP(A1989, Entries!A:B,2,false),"")</f>
        <v>Bungie</v>
      </c>
      <c r="N1989" s="23" t="str">
        <f>IFERROR(VLOOKUP(A1989, Entries!A:K,11,false),"")</f>
        <v/>
      </c>
      <c r="O1989" s="23" t="b">
        <f>IFERROR(VLOOKUP(A1989, Entries!A:I,8,false),"")</f>
        <v>1</v>
      </c>
    </row>
    <row r="1990">
      <c r="A1990" s="78" t="s">
        <v>2127</v>
      </c>
      <c r="B1990" s="78" t="s">
        <v>27</v>
      </c>
      <c r="C1990" s="85">
        <v>44693.0</v>
      </c>
      <c r="D1990" s="85">
        <v>44694.0</v>
      </c>
      <c r="E1990" s="86">
        <v>18.59</v>
      </c>
      <c r="F1990" s="87">
        <v>22.27</v>
      </c>
      <c r="G1990" s="88">
        <f t="shared" si="1"/>
        <v>3.68</v>
      </c>
      <c r="H1990" s="89">
        <f t="shared" si="10"/>
        <v>0.1652447238</v>
      </c>
      <c r="I1990" s="78" t="s">
        <v>2546</v>
      </c>
      <c r="J1990" s="78" t="s">
        <v>69</v>
      </c>
      <c r="K1990" s="58">
        <f t="shared" si="3"/>
        <v>1</v>
      </c>
      <c r="L1990" s="91" t="str">
        <f t="shared" si="8"/>
        <v>Fri</v>
      </c>
      <c r="M1990" s="78" t="str">
        <f>IFERROR(VLOOKUP(A1990, Entries!A:B,2,false),"")</f>
        <v>Bungie</v>
      </c>
      <c r="N1990" s="23" t="str">
        <f>IFERROR(VLOOKUP(A1990, Entries!A:K,11,false),"")</f>
        <v/>
      </c>
      <c r="O1990" s="23" t="b">
        <f>IFERROR(VLOOKUP(A1990, Entries!A:I,8,false),"")</f>
        <v>1</v>
      </c>
    </row>
    <row r="1991">
      <c r="A1991" s="78" t="s">
        <v>719</v>
      </c>
      <c r="B1991" s="78" t="s">
        <v>19</v>
      </c>
      <c r="C1991" s="85">
        <v>44693.0</v>
      </c>
      <c r="D1991" s="85">
        <v>44695.0</v>
      </c>
      <c r="E1991" s="86">
        <v>11.3</v>
      </c>
      <c r="F1991" s="87">
        <v>15.08</v>
      </c>
      <c r="G1991" s="88">
        <f t="shared" si="1"/>
        <v>3.78</v>
      </c>
      <c r="H1991" s="89">
        <f t="shared" si="10"/>
        <v>0.25066313</v>
      </c>
      <c r="I1991" s="78" t="s">
        <v>2547</v>
      </c>
      <c r="J1991" s="78" t="s">
        <v>69</v>
      </c>
      <c r="K1991" s="58">
        <f t="shared" si="3"/>
        <v>2</v>
      </c>
      <c r="L1991" s="91" t="str">
        <f t="shared" si="8"/>
        <v>Sat</v>
      </c>
      <c r="M1991" s="78" t="str">
        <f>IFERROR(VLOOKUP(A1991, Entries!A:B,2,false),"")</f>
        <v>Lukas Rustemeyer</v>
      </c>
      <c r="N1991" s="23" t="str">
        <f>IFERROR(VLOOKUP(A1991, Entries!A:K,11,false),"")</f>
        <v/>
      </c>
      <c r="O1991" s="23" t="b">
        <f>IFERROR(VLOOKUP(A1991, Entries!A:I,8,false),"")</f>
        <v>1</v>
      </c>
    </row>
    <row r="1992">
      <c r="A1992" s="78" t="s">
        <v>2467</v>
      </c>
      <c r="B1992" s="78" t="s">
        <v>18</v>
      </c>
      <c r="C1992" s="85">
        <v>44693.0</v>
      </c>
      <c r="D1992" s="85">
        <v>44696.0</v>
      </c>
      <c r="E1992" s="86">
        <v>15.95</v>
      </c>
      <c r="F1992" s="87">
        <v>21.32</v>
      </c>
      <c r="G1992" s="88">
        <f t="shared" si="1"/>
        <v>5.37</v>
      </c>
      <c r="H1992" s="89">
        <f t="shared" si="10"/>
        <v>0.2518761726</v>
      </c>
      <c r="I1992" s="78" t="s">
        <v>2548</v>
      </c>
      <c r="J1992" s="78" t="s">
        <v>69</v>
      </c>
      <c r="K1992" s="58">
        <f t="shared" si="3"/>
        <v>3</v>
      </c>
      <c r="L1992" s="91" t="str">
        <f t="shared" si="8"/>
        <v>Sun</v>
      </c>
      <c r="M1992" s="78" t="str">
        <f>IFERROR(VLOOKUP(A1992, Entries!A:B,2,false),"")</f>
        <v>Saber Interactive</v>
      </c>
      <c r="N1992" s="23" t="str">
        <f>IFERROR(VLOOKUP(A1992, Entries!A:K,11,false),"")</f>
        <v/>
      </c>
      <c r="O1992" s="23" t="b">
        <f>IFERROR(VLOOKUP(A1992, Entries!A:I,8,false),"")</f>
        <v>0</v>
      </c>
    </row>
    <row r="1993">
      <c r="A1993" s="78" t="s">
        <v>2467</v>
      </c>
      <c r="B1993" s="78" t="s">
        <v>18</v>
      </c>
      <c r="C1993" s="85">
        <v>44693.0</v>
      </c>
      <c r="D1993" s="85">
        <v>44696.0</v>
      </c>
      <c r="E1993" s="86">
        <v>15.95</v>
      </c>
      <c r="F1993" s="87">
        <v>21.65</v>
      </c>
      <c r="G1993" s="88">
        <f t="shared" si="1"/>
        <v>5.7</v>
      </c>
      <c r="H1993" s="89">
        <f t="shared" si="10"/>
        <v>0.2632794457</v>
      </c>
      <c r="I1993" s="78" t="s">
        <v>2549</v>
      </c>
      <c r="J1993" s="78" t="s">
        <v>69</v>
      </c>
      <c r="K1993" s="58">
        <f t="shared" si="3"/>
        <v>3</v>
      </c>
      <c r="L1993" s="91" t="str">
        <f t="shared" si="8"/>
        <v>Sun</v>
      </c>
      <c r="M1993" s="78" t="str">
        <f>IFERROR(VLOOKUP(A1993, Entries!A:B,2,false),"")</f>
        <v>Saber Interactive</v>
      </c>
      <c r="N1993" s="23" t="str">
        <f>IFERROR(VLOOKUP(A1993, Entries!A:K,11,false),"")</f>
        <v/>
      </c>
      <c r="O1993" s="23" t="b">
        <f>IFERROR(VLOOKUP(A1993, Entries!A:I,8,false),"")</f>
        <v>0</v>
      </c>
    </row>
    <row r="1994">
      <c r="A1994" s="78" t="s">
        <v>2550</v>
      </c>
      <c r="B1994" s="78" t="s">
        <v>19</v>
      </c>
      <c r="C1994" s="85">
        <v>44693.0</v>
      </c>
      <c r="D1994" s="85">
        <v>44713.0</v>
      </c>
      <c r="E1994" s="86">
        <v>16.06</v>
      </c>
      <c r="F1994" s="87">
        <v>18.02</v>
      </c>
      <c r="G1994" s="88">
        <f t="shared" si="1"/>
        <v>1.96</v>
      </c>
      <c r="H1994" s="89">
        <f t="shared" si="10"/>
        <v>0.1087680355</v>
      </c>
      <c r="I1994" s="78" t="s">
        <v>2551</v>
      </c>
      <c r="J1994" s="78" t="s">
        <v>69</v>
      </c>
      <c r="K1994" s="58">
        <f t="shared" si="3"/>
        <v>20</v>
      </c>
      <c r="L1994" s="91" t="str">
        <f t="shared" si="8"/>
        <v>Wed</v>
      </c>
      <c r="M1994" s="78" t="str">
        <f>IFERROR(VLOOKUP(A1994, Entries!A:B,2,false),"")</f>
        <v>Square Enix</v>
      </c>
      <c r="N1994" s="23" t="str">
        <f>IFERROR(VLOOKUP(A1994, Entries!A:K,11,false),"")</f>
        <v/>
      </c>
      <c r="O1994" s="23" t="b">
        <f>IFERROR(VLOOKUP(A1994, Entries!A:I,8,false),"")</f>
        <v>0</v>
      </c>
    </row>
    <row r="1995">
      <c r="A1995" s="78" t="s">
        <v>584</v>
      </c>
      <c r="B1995" s="78" t="s">
        <v>19</v>
      </c>
      <c r="C1995" s="85">
        <v>44693.0</v>
      </c>
      <c r="D1995" s="85">
        <v>44724.0</v>
      </c>
      <c r="E1995" s="86">
        <v>0.0</v>
      </c>
      <c r="F1995" s="87">
        <v>0.23</v>
      </c>
      <c r="G1995" s="88">
        <f t="shared" si="1"/>
        <v>0.23</v>
      </c>
      <c r="H1995" s="89">
        <f t="shared" si="10"/>
        <v>1</v>
      </c>
      <c r="I1995" s="78" t="s">
        <v>2552</v>
      </c>
      <c r="J1995" s="78" t="s">
        <v>69</v>
      </c>
      <c r="K1995" s="58">
        <f t="shared" si="3"/>
        <v>31</v>
      </c>
      <c r="L1995" s="91" t="str">
        <f t="shared" si="8"/>
        <v>Sun</v>
      </c>
      <c r="M1995" s="78" t="str">
        <f>IFERROR(VLOOKUP(A1995, Entries!A:B,2,false),"")</f>
        <v>Runic Games</v>
      </c>
      <c r="N1995" s="23" t="str">
        <f>IFERROR(VLOOKUP(A1995, Entries!A:K,11,false),"")</f>
        <v/>
      </c>
      <c r="O1995" s="23" t="b">
        <f>IFERROR(VLOOKUP(A1995, Entries!A:I,8,false),"")</f>
        <v>0</v>
      </c>
    </row>
    <row r="1996">
      <c r="A1996" s="78" t="s">
        <v>2127</v>
      </c>
      <c r="B1996" s="78" t="s">
        <v>27</v>
      </c>
      <c r="C1996" s="85">
        <v>44694.0</v>
      </c>
      <c r="D1996" s="85">
        <v>44694.0</v>
      </c>
      <c r="E1996" s="86">
        <v>18.59</v>
      </c>
      <c r="F1996" s="87">
        <v>22.28</v>
      </c>
      <c r="G1996" s="88">
        <f t="shared" si="1"/>
        <v>3.69</v>
      </c>
      <c r="H1996" s="89">
        <f t="shared" si="10"/>
        <v>0.1656193896</v>
      </c>
      <c r="I1996" s="78" t="s">
        <v>2553</v>
      </c>
      <c r="J1996" s="78" t="s">
        <v>69</v>
      </c>
      <c r="K1996" s="58">
        <f t="shared" si="3"/>
        <v>0</v>
      </c>
      <c r="L1996" s="91" t="str">
        <f t="shared" si="8"/>
        <v>Fri</v>
      </c>
      <c r="M1996" s="78" t="str">
        <f>IFERROR(VLOOKUP(A1996, Entries!A:B,2,false),"")</f>
        <v>Bungie</v>
      </c>
      <c r="N1996" s="23" t="str">
        <f>IFERROR(VLOOKUP(A1996, Entries!A:K,11,false),"")</f>
        <v/>
      </c>
      <c r="O1996" s="23" t="b">
        <f>IFERROR(VLOOKUP(A1996, Entries!A:I,8,false),"")</f>
        <v>1</v>
      </c>
    </row>
    <row r="1997">
      <c r="A1997" s="78" t="s">
        <v>2127</v>
      </c>
      <c r="B1997" s="78" t="s">
        <v>27</v>
      </c>
      <c r="C1997" s="85">
        <v>44694.0</v>
      </c>
      <c r="D1997" s="85">
        <v>44694.0</v>
      </c>
      <c r="E1997" s="86">
        <v>18.59</v>
      </c>
      <c r="F1997" s="87">
        <v>22.29</v>
      </c>
      <c r="G1997" s="88">
        <f t="shared" si="1"/>
        <v>3.7</v>
      </c>
      <c r="H1997" s="89">
        <f t="shared" si="10"/>
        <v>0.1659937192</v>
      </c>
      <c r="I1997" s="78" t="s">
        <v>2554</v>
      </c>
      <c r="J1997" s="78" t="s">
        <v>69</v>
      </c>
      <c r="K1997" s="58">
        <f t="shared" si="3"/>
        <v>0</v>
      </c>
      <c r="L1997" s="91" t="str">
        <f t="shared" si="8"/>
        <v>Fri</v>
      </c>
      <c r="M1997" s="78" t="str">
        <f>IFERROR(VLOOKUP(A1997, Entries!A:B,2,false),"")</f>
        <v>Bungie</v>
      </c>
      <c r="N1997" s="23" t="str">
        <f>IFERROR(VLOOKUP(A1997, Entries!A:K,11,false),"")</f>
        <v/>
      </c>
      <c r="O1997" s="23" t="b">
        <f>IFERROR(VLOOKUP(A1997, Entries!A:I,8,false),"")</f>
        <v>1</v>
      </c>
    </row>
    <row r="1998">
      <c r="A1998" s="78" t="s">
        <v>2127</v>
      </c>
      <c r="B1998" s="78" t="s">
        <v>27</v>
      </c>
      <c r="C1998" s="85">
        <v>44694.0</v>
      </c>
      <c r="D1998" s="85">
        <v>44694.0</v>
      </c>
      <c r="E1998" s="86">
        <v>18.59</v>
      </c>
      <c r="F1998" s="87">
        <v>22.29</v>
      </c>
      <c r="G1998" s="88">
        <f t="shared" si="1"/>
        <v>3.7</v>
      </c>
      <c r="H1998" s="89">
        <f t="shared" si="10"/>
        <v>0.1659937192</v>
      </c>
      <c r="I1998" s="78" t="s">
        <v>2555</v>
      </c>
      <c r="J1998" s="78" t="s">
        <v>69</v>
      </c>
      <c r="K1998" s="58">
        <f t="shared" si="3"/>
        <v>0</v>
      </c>
      <c r="L1998" s="91" t="str">
        <f t="shared" si="8"/>
        <v>Fri</v>
      </c>
      <c r="M1998" s="78" t="str">
        <f>IFERROR(VLOOKUP(A1998, Entries!A:B,2,false),"")</f>
        <v>Bungie</v>
      </c>
      <c r="N1998" s="23" t="str">
        <f>IFERROR(VLOOKUP(A1998, Entries!A:K,11,false),"")</f>
        <v/>
      </c>
      <c r="O1998" s="23" t="b">
        <f>IFERROR(VLOOKUP(A1998, Entries!A:I,8,false),"")</f>
        <v>1</v>
      </c>
    </row>
    <row r="1999">
      <c r="A1999" s="78" t="s">
        <v>1849</v>
      </c>
      <c r="B1999" s="78" t="s">
        <v>22</v>
      </c>
      <c r="C1999" s="85">
        <v>44694.0</v>
      </c>
      <c r="D1999" s="85">
        <v>44806.0</v>
      </c>
      <c r="E1999" s="86">
        <v>4.75</v>
      </c>
      <c r="F1999" s="87">
        <v>7.43</v>
      </c>
      <c r="G1999" s="88">
        <f t="shared" si="1"/>
        <v>2.68</v>
      </c>
      <c r="H1999" s="89">
        <f t="shared" si="10"/>
        <v>0.3606998654</v>
      </c>
      <c r="I1999" s="78" t="s">
        <v>2556</v>
      </c>
      <c r="J1999" s="78" t="s">
        <v>69</v>
      </c>
      <c r="K1999" s="58">
        <f t="shared" si="3"/>
        <v>112</v>
      </c>
      <c r="L1999" s="91" t="str">
        <f t="shared" si="8"/>
        <v>Fri</v>
      </c>
      <c r="M1999" s="78" t="str">
        <f>IFERROR(VLOOKUP(A1999, Entries!A:B,2,false),"")</f>
        <v>Marmalade Game Studio</v>
      </c>
      <c r="N1999" s="23" t="str">
        <f>IFERROR(VLOOKUP(A1999, Entries!A:K,11,false),"")</f>
        <v/>
      </c>
      <c r="O1999" s="23" t="b">
        <f>IFERROR(VLOOKUP(A1999, Entries!A:I,8,false),"")</f>
        <v>0</v>
      </c>
    </row>
    <row r="2000">
      <c r="A2000" s="78" t="s">
        <v>1849</v>
      </c>
      <c r="B2000" s="78" t="s">
        <v>22</v>
      </c>
      <c r="C2000" s="85">
        <v>44694.0</v>
      </c>
      <c r="D2000" s="85">
        <v>44814.0</v>
      </c>
      <c r="E2000" s="86">
        <v>4.76</v>
      </c>
      <c r="F2000" s="87">
        <v>7.66</v>
      </c>
      <c r="G2000" s="88">
        <f t="shared" si="1"/>
        <v>2.9</v>
      </c>
      <c r="H2000" s="89">
        <f t="shared" si="10"/>
        <v>0.3785900783</v>
      </c>
      <c r="I2000" s="78" t="s">
        <v>2557</v>
      </c>
      <c r="J2000" s="78" t="s">
        <v>69</v>
      </c>
      <c r="K2000" s="58">
        <f t="shared" si="3"/>
        <v>120</v>
      </c>
      <c r="L2000" s="91" t="str">
        <f t="shared" si="8"/>
        <v>Sat</v>
      </c>
      <c r="M2000" s="78" t="str">
        <f>IFERROR(VLOOKUP(A2000, Entries!A:B,2,false),"")</f>
        <v>Marmalade Game Studio</v>
      </c>
      <c r="N2000" s="23" t="str">
        <f>IFERROR(VLOOKUP(A2000, Entries!A:K,11,false),"")</f>
        <v/>
      </c>
      <c r="O2000" s="23" t="b">
        <f>IFERROR(VLOOKUP(A2000, Entries!A:I,8,false),"")</f>
        <v>0</v>
      </c>
    </row>
    <row r="2001">
      <c r="A2001" s="78" t="s">
        <v>2558</v>
      </c>
      <c r="B2001" s="78" t="s">
        <v>22</v>
      </c>
      <c r="C2001" s="85">
        <v>44694.0</v>
      </c>
      <c r="D2001" s="85">
        <v>44695.0</v>
      </c>
      <c r="E2001" s="86">
        <v>4.83</v>
      </c>
      <c r="F2001" s="87">
        <v>6.54</v>
      </c>
      <c r="G2001" s="88">
        <f t="shared" si="1"/>
        <v>1.71</v>
      </c>
      <c r="H2001" s="89">
        <f t="shared" si="10"/>
        <v>0.2614678899</v>
      </c>
      <c r="I2001" s="78" t="s">
        <v>2559</v>
      </c>
      <c r="J2001" s="78" t="s">
        <v>69</v>
      </c>
      <c r="K2001" s="58">
        <f t="shared" si="3"/>
        <v>1</v>
      </c>
      <c r="L2001" s="91" t="str">
        <f t="shared" si="8"/>
        <v>Sat</v>
      </c>
      <c r="M2001" s="78" t="str">
        <f>IFERROR(VLOOKUP(A2001, Entries!A:B,2,false),"")</f>
        <v>Daedalic Entertainment</v>
      </c>
      <c r="N2001" s="23" t="str">
        <f>IFERROR(VLOOKUP(A2001, Entries!A:K,11,false),"")</f>
        <v/>
      </c>
      <c r="O2001" s="23" t="b">
        <f>IFERROR(VLOOKUP(A2001, Entries!A:I,8,false),"")</f>
        <v>0</v>
      </c>
    </row>
    <row r="2002">
      <c r="A2002" s="78" t="s">
        <v>2127</v>
      </c>
      <c r="B2002" s="78" t="s">
        <v>27</v>
      </c>
      <c r="C2002" s="85">
        <v>44694.0</v>
      </c>
      <c r="D2002" s="85">
        <v>44694.0</v>
      </c>
      <c r="E2002" s="86">
        <v>18.59</v>
      </c>
      <c r="F2002" s="87">
        <v>21.81</v>
      </c>
      <c r="G2002" s="88">
        <f t="shared" si="1"/>
        <v>3.22</v>
      </c>
      <c r="H2002" s="89">
        <f t="shared" si="10"/>
        <v>0.1476386978</v>
      </c>
      <c r="I2002" s="78" t="s">
        <v>2560</v>
      </c>
      <c r="J2002" s="78" t="s">
        <v>69</v>
      </c>
      <c r="K2002" s="58">
        <f t="shared" si="3"/>
        <v>0</v>
      </c>
      <c r="L2002" s="91" t="str">
        <f t="shared" si="8"/>
        <v>Fri</v>
      </c>
      <c r="M2002" s="78" t="str">
        <f>IFERROR(VLOOKUP(A2002, Entries!A:B,2,false),"")</f>
        <v>Bungie</v>
      </c>
      <c r="N2002" s="23" t="str">
        <f>IFERROR(VLOOKUP(A2002, Entries!A:K,11,false),"")</f>
        <v/>
      </c>
      <c r="O2002" s="23" t="b">
        <f>IFERROR(VLOOKUP(A2002, Entries!A:I,8,false),"")</f>
        <v>1</v>
      </c>
    </row>
    <row r="2003">
      <c r="A2003" s="78" t="s">
        <v>2561</v>
      </c>
      <c r="B2003" s="78" t="s">
        <v>27</v>
      </c>
      <c r="C2003" s="85">
        <v>44694.0</v>
      </c>
      <c r="D2003" s="85">
        <v>44696.0</v>
      </c>
      <c r="E2003" s="86">
        <v>16.79</v>
      </c>
      <c r="F2003" s="87">
        <v>18.78</v>
      </c>
      <c r="G2003" s="88">
        <f t="shared" si="1"/>
        <v>1.99</v>
      </c>
      <c r="H2003" s="89">
        <f t="shared" si="10"/>
        <v>0.1059637913</v>
      </c>
      <c r="I2003" s="78" t="s">
        <v>2562</v>
      </c>
      <c r="J2003" s="78" t="s">
        <v>69</v>
      </c>
      <c r="K2003" s="58">
        <f t="shared" si="3"/>
        <v>2</v>
      </c>
      <c r="L2003" s="91" t="str">
        <f t="shared" si="8"/>
        <v>Sun</v>
      </c>
      <c r="M2003" s="78" t="str">
        <f>IFERROR(VLOOKUP(A2003, Entries!A:B,2,false),"")</f>
        <v>Private Division</v>
      </c>
      <c r="N2003" s="23" t="str">
        <f>IFERROR(VLOOKUP(A2003, Entries!A:K,11,false),"")</f>
        <v/>
      </c>
      <c r="O2003" s="23" t="b">
        <f>IFERROR(VLOOKUP(A2003, Entries!A:I,8,false),"")</f>
        <v>0</v>
      </c>
    </row>
    <row r="2004">
      <c r="A2004" s="78" t="s">
        <v>2563</v>
      </c>
      <c r="B2004" s="78" t="s">
        <v>27</v>
      </c>
      <c r="C2004" s="85">
        <v>44694.0</v>
      </c>
      <c r="D2004" s="85">
        <v>44702.0</v>
      </c>
      <c r="E2004" s="86">
        <v>3.99</v>
      </c>
      <c r="F2004" s="87">
        <v>4.98</v>
      </c>
      <c r="G2004" s="88">
        <f t="shared" si="1"/>
        <v>0.99</v>
      </c>
      <c r="H2004" s="89">
        <f t="shared" si="10"/>
        <v>0.1987951807</v>
      </c>
      <c r="I2004" s="78" t="s">
        <v>2564</v>
      </c>
      <c r="J2004" s="78" t="s">
        <v>69</v>
      </c>
      <c r="K2004" s="58">
        <f t="shared" si="3"/>
        <v>8</v>
      </c>
      <c r="L2004" s="91" t="str">
        <f t="shared" si="8"/>
        <v>Sat</v>
      </c>
      <c r="M2004" s="78" t="str">
        <f>IFERROR(VLOOKUP(A2004, Entries!A:B,2,false),"")</f>
        <v>Annapurna Interactive</v>
      </c>
      <c r="N2004" s="23" t="str">
        <f>IFERROR(VLOOKUP(A2004, Entries!A:K,11,false),"")</f>
        <v/>
      </c>
      <c r="O2004" s="23" t="b">
        <f>IFERROR(VLOOKUP(A2004, Entries!A:I,8,false),"")</f>
        <v>0</v>
      </c>
    </row>
    <row r="2005">
      <c r="A2005" s="78" t="s">
        <v>106</v>
      </c>
      <c r="B2005" s="78" t="s">
        <v>19</v>
      </c>
      <c r="C2005" s="85">
        <v>44694.0</v>
      </c>
      <c r="D2005" s="85">
        <v>44695.0</v>
      </c>
      <c r="E2005" s="86">
        <v>3.18</v>
      </c>
      <c r="F2005" s="87">
        <v>5.01</v>
      </c>
      <c r="G2005" s="88">
        <f t="shared" si="1"/>
        <v>1.83</v>
      </c>
      <c r="H2005" s="89">
        <f t="shared" si="10"/>
        <v>0.3652694611</v>
      </c>
      <c r="I2005" s="78" t="s">
        <v>2565</v>
      </c>
      <c r="J2005" s="78" t="s">
        <v>69</v>
      </c>
      <c r="K2005" s="58">
        <f t="shared" si="3"/>
        <v>1</v>
      </c>
      <c r="L2005" s="91" t="str">
        <f t="shared" si="8"/>
        <v>Sat</v>
      </c>
      <c r="M2005" s="78" t="str">
        <f>IFERROR(VLOOKUP(A2005, Entries!A:B,2,false),"")</f>
        <v>Excalibur Games</v>
      </c>
      <c r="N2005" s="23" t="str">
        <f>IFERROR(VLOOKUP(A2005, Entries!A:K,11,false),"")</f>
        <v/>
      </c>
      <c r="O2005" s="23" t="b">
        <f>IFERROR(VLOOKUP(A2005, Entries!A:I,8,false),"")</f>
        <v>1</v>
      </c>
    </row>
    <row r="2006">
      <c r="A2006" s="78" t="s">
        <v>1077</v>
      </c>
      <c r="B2006" s="78" t="s">
        <v>19</v>
      </c>
      <c r="C2006" s="85">
        <v>44694.0</v>
      </c>
      <c r="D2006" s="85">
        <v>44695.0</v>
      </c>
      <c r="E2006" s="86">
        <v>3.16</v>
      </c>
      <c r="F2006" s="87">
        <v>3.73</v>
      </c>
      <c r="G2006" s="88">
        <f t="shared" si="1"/>
        <v>0.57</v>
      </c>
      <c r="H2006" s="89">
        <f t="shared" si="10"/>
        <v>0.1528150134</v>
      </c>
      <c r="I2006" s="78" t="s">
        <v>2566</v>
      </c>
      <c r="J2006" s="78" t="s">
        <v>69</v>
      </c>
      <c r="K2006" s="58">
        <f t="shared" si="3"/>
        <v>1</v>
      </c>
      <c r="L2006" s="91" t="str">
        <f t="shared" si="8"/>
        <v>Sat</v>
      </c>
      <c r="M2006" s="78" t="str">
        <f>IFERROR(VLOOKUP(A2006, Entries!A:B,2,false),"")</f>
        <v>Weather Factory</v>
      </c>
      <c r="N2006" s="23" t="str">
        <f>IFERROR(VLOOKUP(A2006, Entries!A:K,11,false),"")</f>
        <v/>
      </c>
      <c r="O2006" s="23" t="b">
        <f>IFERROR(VLOOKUP(A2006, Entries!A:I,8,false),"")</f>
        <v>0</v>
      </c>
    </row>
    <row r="2007">
      <c r="A2007" s="78" t="s">
        <v>2528</v>
      </c>
      <c r="B2007" s="78" t="s">
        <v>19</v>
      </c>
      <c r="C2007" s="85">
        <v>44694.0</v>
      </c>
      <c r="D2007" s="85">
        <v>44695.0</v>
      </c>
      <c r="E2007" s="86">
        <v>3.16</v>
      </c>
      <c r="F2007" s="87">
        <v>4.09</v>
      </c>
      <c r="G2007" s="88">
        <f t="shared" si="1"/>
        <v>0.93</v>
      </c>
      <c r="H2007" s="89">
        <f t="shared" si="10"/>
        <v>0.2273838631</v>
      </c>
      <c r="I2007" s="78" t="s">
        <v>2567</v>
      </c>
      <c r="J2007" s="78" t="s">
        <v>69</v>
      </c>
      <c r="K2007" s="58">
        <f t="shared" si="3"/>
        <v>1</v>
      </c>
      <c r="L2007" s="91" t="str">
        <f t="shared" si="8"/>
        <v>Sat</v>
      </c>
      <c r="M2007" s="78" t="str">
        <f>IFERROR(VLOOKUP(A2007, Entries!A:B,2,false),"")</f>
        <v>Cheesecake Dev</v>
      </c>
      <c r="N2007" s="23" t="str">
        <f>IFERROR(VLOOKUP(A2007, Entries!A:K,11,false),"")</f>
        <v/>
      </c>
      <c r="O2007" s="23" t="b">
        <f>IFERROR(VLOOKUP(A2007, Entries!A:I,8,false),"")</f>
        <v>0</v>
      </c>
    </row>
    <row r="2008">
      <c r="A2008" s="78" t="s">
        <v>385</v>
      </c>
      <c r="B2008" s="78" t="s">
        <v>19</v>
      </c>
      <c r="C2008" s="85">
        <v>44694.0</v>
      </c>
      <c r="D2008" s="85">
        <v>44695.0</v>
      </c>
      <c r="E2008" s="86">
        <v>0.99</v>
      </c>
      <c r="F2008" s="87">
        <v>1.6</v>
      </c>
      <c r="G2008" s="88">
        <f t="shared" si="1"/>
        <v>0.61</v>
      </c>
      <c r="H2008" s="89">
        <f t="shared" si="10"/>
        <v>0.38125</v>
      </c>
      <c r="I2008" s="78" t="s">
        <v>2568</v>
      </c>
      <c r="J2008" s="78" t="s">
        <v>69</v>
      </c>
      <c r="K2008" s="58">
        <f t="shared" si="3"/>
        <v>1</v>
      </c>
      <c r="L2008" s="91" t="str">
        <f t="shared" si="8"/>
        <v>Sat</v>
      </c>
      <c r="M2008" s="78" t="str">
        <f>IFERROR(VLOOKUP(A2008, Entries!A:B,2,false),"")</f>
        <v>Cheesecake Dev</v>
      </c>
      <c r="N2008" s="23" t="str">
        <f>IFERROR(VLOOKUP(A2008, Entries!A:K,11,false),"")</f>
        <v/>
      </c>
      <c r="O2008" s="23" t="b">
        <f>IFERROR(VLOOKUP(A2008, Entries!A:I,8,false),"")</f>
        <v>1</v>
      </c>
    </row>
    <row r="2009">
      <c r="A2009" s="78" t="s">
        <v>2569</v>
      </c>
      <c r="B2009" s="78" t="s">
        <v>19</v>
      </c>
      <c r="C2009" s="85">
        <v>44694.0</v>
      </c>
      <c r="D2009" s="85">
        <v>44925.0</v>
      </c>
      <c r="E2009" s="86">
        <v>0.0</v>
      </c>
      <c r="F2009" s="87">
        <v>0.04</v>
      </c>
      <c r="G2009" s="88">
        <f t="shared" si="1"/>
        <v>0.04</v>
      </c>
      <c r="H2009" s="89">
        <f t="shared" si="10"/>
        <v>1</v>
      </c>
      <c r="I2009" s="78" t="s">
        <v>2570</v>
      </c>
      <c r="J2009" s="78" t="s">
        <v>69</v>
      </c>
      <c r="K2009" s="58">
        <f t="shared" si="3"/>
        <v>231</v>
      </c>
      <c r="L2009" s="91" t="str">
        <f t="shared" si="8"/>
        <v>Fri</v>
      </c>
      <c r="M2009" s="78" t="str">
        <f>IFERROR(VLOOKUP(A2009, Entries!A:B,2,false),"")</f>
        <v>LimboLane</v>
      </c>
      <c r="N2009" s="23" t="str">
        <f>IFERROR(VLOOKUP(A2009, Entries!A:K,11,false),"")</f>
        <v/>
      </c>
      <c r="O2009" s="23" t="b">
        <f>IFERROR(VLOOKUP(A2009, Entries!A:I,8,false),"")</f>
        <v>0</v>
      </c>
    </row>
    <row r="2010">
      <c r="A2010" s="78" t="s">
        <v>2127</v>
      </c>
      <c r="B2010" s="78" t="s">
        <v>27</v>
      </c>
      <c r="C2010" s="85">
        <v>44695.0</v>
      </c>
      <c r="D2010" s="85">
        <v>44695.0</v>
      </c>
      <c r="E2010" s="86">
        <v>18.59</v>
      </c>
      <c r="F2010" s="87">
        <v>21.59</v>
      </c>
      <c r="G2010" s="88">
        <f t="shared" si="1"/>
        <v>3</v>
      </c>
      <c r="H2010" s="89">
        <f t="shared" si="10"/>
        <v>0.1389532191</v>
      </c>
      <c r="I2010" s="78" t="s">
        <v>2571</v>
      </c>
      <c r="J2010" s="78" t="s">
        <v>69</v>
      </c>
      <c r="K2010" s="58">
        <f t="shared" si="3"/>
        <v>0</v>
      </c>
      <c r="L2010" s="91" t="str">
        <f t="shared" si="8"/>
        <v>Sat</v>
      </c>
      <c r="M2010" s="78" t="str">
        <f>IFERROR(VLOOKUP(A2010, Entries!A:B,2,false),"")</f>
        <v>Bungie</v>
      </c>
      <c r="N2010" s="23" t="str">
        <f>IFERROR(VLOOKUP(A2010, Entries!A:K,11,false),"")</f>
        <v/>
      </c>
      <c r="O2010" s="23" t="b">
        <f>IFERROR(VLOOKUP(A2010, Entries!A:I,8,false),"")</f>
        <v>1</v>
      </c>
    </row>
    <row r="2011">
      <c r="A2011" s="78" t="s">
        <v>106</v>
      </c>
      <c r="B2011" s="78" t="s">
        <v>19</v>
      </c>
      <c r="C2011" s="85">
        <v>44695.0</v>
      </c>
      <c r="D2011" s="85">
        <v>44695.0</v>
      </c>
      <c r="E2011" s="86">
        <v>3.2</v>
      </c>
      <c r="F2011" s="87">
        <v>5.09</v>
      </c>
      <c r="G2011" s="88">
        <f t="shared" si="1"/>
        <v>1.89</v>
      </c>
      <c r="H2011" s="89">
        <f t="shared" si="10"/>
        <v>0.3713163065</v>
      </c>
      <c r="I2011" s="78" t="s">
        <v>2572</v>
      </c>
      <c r="J2011" s="78" t="s">
        <v>69</v>
      </c>
      <c r="K2011" s="58">
        <f t="shared" si="3"/>
        <v>0</v>
      </c>
      <c r="L2011" s="91" t="str">
        <f t="shared" si="8"/>
        <v>Sat</v>
      </c>
      <c r="M2011" s="78" t="str">
        <f>IFERROR(VLOOKUP(A2011, Entries!A:B,2,false),"")</f>
        <v>Excalibur Games</v>
      </c>
      <c r="N2011" s="23" t="str">
        <f>IFERROR(VLOOKUP(A2011, Entries!A:K,11,false),"")</f>
        <v/>
      </c>
      <c r="O2011" s="23" t="b">
        <f>IFERROR(VLOOKUP(A2011, Entries!A:I,8,false),"")</f>
        <v>1</v>
      </c>
    </row>
    <row r="2012">
      <c r="A2012" s="78" t="s">
        <v>1077</v>
      </c>
      <c r="B2012" s="78" t="s">
        <v>19</v>
      </c>
      <c r="C2012" s="85">
        <v>44695.0</v>
      </c>
      <c r="D2012" s="85">
        <v>44696.0</v>
      </c>
      <c r="E2012" s="86">
        <v>3.16</v>
      </c>
      <c r="F2012" s="87">
        <v>3.64</v>
      </c>
      <c r="G2012" s="88">
        <f t="shared" si="1"/>
        <v>0.48</v>
      </c>
      <c r="H2012" s="89">
        <f t="shared" si="10"/>
        <v>0.1318681319</v>
      </c>
      <c r="I2012" s="78" t="s">
        <v>2573</v>
      </c>
      <c r="J2012" s="78" t="s">
        <v>69</v>
      </c>
      <c r="K2012" s="58">
        <f t="shared" si="3"/>
        <v>1</v>
      </c>
      <c r="L2012" s="91" t="str">
        <f t="shared" si="8"/>
        <v>Sun</v>
      </c>
      <c r="M2012" s="78" t="str">
        <f>IFERROR(VLOOKUP(A2012, Entries!A:B,2,false),"")</f>
        <v>Weather Factory</v>
      </c>
      <c r="N2012" s="23" t="str">
        <f>IFERROR(VLOOKUP(A2012, Entries!A:K,11,false),"")</f>
        <v/>
      </c>
      <c r="O2012" s="23" t="b">
        <f>IFERROR(VLOOKUP(A2012, Entries!A:I,8,false),"")</f>
        <v>0</v>
      </c>
    </row>
    <row r="2013">
      <c r="A2013" s="78" t="s">
        <v>2528</v>
      </c>
      <c r="B2013" s="78" t="s">
        <v>19</v>
      </c>
      <c r="C2013" s="85">
        <v>44695.0</v>
      </c>
      <c r="D2013" s="85">
        <v>44695.0</v>
      </c>
      <c r="E2013" s="86">
        <v>3.16</v>
      </c>
      <c r="F2013" s="87">
        <v>3.97</v>
      </c>
      <c r="G2013" s="88">
        <f t="shared" si="1"/>
        <v>0.81</v>
      </c>
      <c r="H2013" s="89">
        <f t="shared" si="10"/>
        <v>0.2040302267</v>
      </c>
      <c r="I2013" s="78" t="s">
        <v>2574</v>
      </c>
      <c r="J2013" s="78" t="s">
        <v>69</v>
      </c>
      <c r="K2013" s="58">
        <f t="shared" si="3"/>
        <v>0</v>
      </c>
      <c r="L2013" s="91" t="str">
        <f t="shared" si="8"/>
        <v>Sat</v>
      </c>
      <c r="M2013" s="78" t="str">
        <f>IFERROR(VLOOKUP(A2013, Entries!A:B,2,false),"")</f>
        <v>Cheesecake Dev</v>
      </c>
      <c r="N2013" s="23" t="str">
        <f>IFERROR(VLOOKUP(A2013, Entries!A:K,11,false),"")</f>
        <v/>
      </c>
      <c r="O2013" s="23" t="b">
        <f>IFERROR(VLOOKUP(A2013, Entries!A:I,8,false),"")</f>
        <v>0</v>
      </c>
    </row>
    <row r="2014">
      <c r="A2014" s="78" t="s">
        <v>385</v>
      </c>
      <c r="B2014" s="78" t="s">
        <v>19</v>
      </c>
      <c r="C2014" s="85">
        <v>44695.0</v>
      </c>
      <c r="D2014" s="85">
        <v>44696.0</v>
      </c>
      <c r="E2014" s="86">
        <v>0.99</v>
      </c>
      <c r="F2014" s="87">
        <v>1.6</v>
      </c>
      <c r="G2014" s="88">
        <f t="shared" si="1"/>
        <v>0.61</v>
      </c>
      <c r="H2014" s="89">
        <f t="shared" si="10"/>
        <v>0.38125</v>
      </c>
      <c r="I2014" s="78" t="s">
        <v>2575</v>
      </c>
      <c r="J2014" s="78" t="s">
        <v>69</v>
      </c>
      <c r="K2014" s="58">
        <f t="shared" si="3"/>
        <v>1</v>
      </c>
      <c r="L2014" s="91" t="str">
        <f t="shared" si="8"/>
        <v>Sun</v>
      </c>
      <c r="M2014" s="78" t="str">
        <f>IFERROR(VLOOKUP(A2014, Entries!A:B,2,false),"")</f>
        <v>Cheesecake Dev</v>
      </c>
      <c r="N2014" s="23" t="str">
        <f>IFERROR(VLOOKUP(A2014, Entries!A:K,11,false),"")</f>
        <v/>
      </c>
      <c r="O2014" s="23" t="b">
        <f>IFERROR(VLOOKUP(A2014, Entries!A:I,8,false),"")</f>
        <v>1</v>
      </c>
    </row>
    <row r="2015">
      <c r="A2015" s="78" t="s">
        <v>719</v>
      </c>
      <c r="B2015" s="78" t="s">
        <v>19</v>
      </c>
      <c r="C2015" s="85">
        <v>44695.0</v>
      </c>
      <c r="D2015" s="85">
        <v>44718.0</v>
      </c>
      <c r="E2015" s="86">
        <v>10.86</v>
      </c>
      <c r="F2015" s="87">
        <v>15.17</v>
      </c>
      <c r="G2015" s="88">
        <f t="shared" si="1"/>
        <v>4.31</v>
      </c>
      <c r="H2015" s="89">
        <f t="shared" si="10"/>
        <v>0.2841133817</v>
      </c>
      <c r="I2015" s="78" t="s">
        <v>2576</v>
      </c>
      <c r="J2015" s="78" t="s">
        <v>69</v>
      </c>
      <c r="K2015" s="58">
        <f t="shared" si="3"/>
        <v>23</v>
      </c>
      <c r="L2015" s="91" t="str">
        <f t="shared" si="8"/>
        <v>Mon</v>
      </c>
      <c r="M2015" s="78" t="str">
        <f>IFERROR(VLOOKUP(A2015, Entries!A:B,2,false),"")</f>
        <v>Lukas Rustemeyer</v>
      </c>
      <c r="N2015" s="23" t="str">
        <f>IFERROR(VLOOKUP(A2015, Entries!A:K,11,false),"")</f>
        <v/>
      </c>
      <c r="O2015" s="23" t="b">
        <f>IFERROR(VLOOKUP(A2015, Entries!A:I,8,false),"")</f>
        <v>1</v>
      </c>
    </row>
    <row r="2016">
      <c r="A2016" s="78" t="s">
        <v>2558</v>
      </c>
      <c r="B2016" s="78" t="s">
        <v>22</v>
      </c>
      <c r="C2016" s="85">
        <v>44695.0</v>
      </c>
      <c r="D2016" s="85">
        <v>44695.0</v>
      </c>
      <c r="E2016" s="86">
        <v>4.83</v>
      </c>
      <c r="F2016" s="87">
        <v>6.54</v>
      </c>
      <c r="G2016" s="88">
        <f t="shared" si="1"/>
        <v>1.71</v>
      </c>
      <c r="H2016" s="89">
        <f t="shared" si="10"/>
        <v>0.2614678899</v>
      </c>
      <c r="I2016" s="78" t="s">
        <v>2577</v>
      </c>
      <c r="J2016" s="78" t="s">
        <v>69</v>
      </c>
      <c r="K2016" s="58">
        <f t="shared" si="3"/>
        <v>0</v>
      </c>
      <c r="L2016" s="91" t="str">
        <f t="shared" si="8"/>
        <v>Sat</v>
      </c>
      <c r="M2016" s="78" t="str">
        <f>IFERROR(VLOOKUP(A2016, Entries!A:B,2,false),"")</f>
        <v>Daedalic Entertainment</v>
      </c>
      <c r="N2016" s="23" t="str">
        <f>IFERROR(VLOOKUP(A2016, Entries!A:K,11,false),"")</f>
        <v/>
      </c>
      <c r="O2016" s="23" t="b">
        <f>IFERROR(VLOOKUP(A2016, Entries!A:I,8,false),"")</f>
        <v>0</v>
      </c>
    </row>
    <row r="2017">
      <c r="A2017" s="78" t="s">
        <v>2558</v>
      </c>
      <c r="B2017" s="78" t="s">
        <v>22</v>
      </c>
      <c r="C2017" s="85">
        <v>44695.0</v>
      </c>
      <c r="D2017" s="85">
        <v>44697.0</v>
      </c>
      <c r="E2017" s="86">
        <v>4.83</v>
      </c>
      <c r="F2017" s="87">
        <v>7.05</v>
      </c>
      <c r="G2017" s="88">
        <f t="shared" si="1"/>
        <v>2.22</v>
      </c>
      <c r="H2017" s="89">
        <f t="shared" si="10"/>
        <v>0.314893617</v>
      </c>
      <c r="I2017" s="78" t="s">
        <v>2578</v>
      </c>
      <c r="J2017" s="78" t="s">
        <v>69</v>
      </c>
      <c r="K2017" s="58">
        <f t="shared" si="3"/>
        <v>2</v>
      </c>
      <c r="L2017" s="91" t="str">
        <f t="shared" si="8"/>
        <v>Mon</v>
      </c>
      <c r="M2017" s="78" t="str">
        <f>IFERROR(VLOOKUP(A2017, Entries!A:B,2,false),"")</f>
        <v>Daedalic Entertainment</v>
      </c>
      <c r="N2017" s="23" t="str">
        <f>IFERROR(VLOOKUP(A2017, Entries!A:K,11,false),"")</f>
        <v/>
      </c>
      <c r="O2017" s="23" t="b">
        <f>IFERROR(VLOOKUP(A2017, Entries!A:I,8,false),"")</f>
        <v>0</v>
      </c>
    </row>
    <row r="2018">
      <c r="A2018" s="78" t="s">
        <v>2127</v>
      </c>
      <c r="B2018" s="78" t="s">
        <v>27</v>
      </c>
      <c r="C2018" s="85">
        <v>44695.0</v>
      </c>
      <c r="D2018" s="85">
        <v>44695.0</v>
      </c>
      <c r="E2018" s="86">
        <v>18.59</v>
      </c>
      <c r="F2018" s="87">
        <v>21.59</v>
      </c>
      <c r="G2018" s="88">
        <f t="shared" si="1"/>
        <v>3</v>
      </c>
      <c r="H2018" s="89">
        <f t="shared" si="10"/>
        <v>0.1389532191</v>
      </c>
      <c r="I2018" s="78" t="s">
        <v>2579</v>
      </c>
      <c r="J2018" s="78" t="s">
        <v>69</v>
      </c>
      <c r="K2018" s="58">
        <f t="shared" si="3"/>
        <v>0</v>
      </c>
      <c r="L2018" s="91" t="str">
        <f t="shared" si="8"/>
        <v>Sat</v>
      </c>
      <c r="M2018" s="78" t="str">
        <f>IFERROR(VLOOKUP(A2018, Entries!A:B,2,false),"")</f>
        <v>Bungie</v>
      </c>
      <c r="N2018" s="23" t="str">
        <f>IFERROR(VLOOKUP(A2018, Entries!A:K,11,false),"")</f>
        <v/>
      </c>
      <c r="O2018" s="23" t="b">
        <f>IFERROR(VLOOKUP(A2018, Entries!A:I,8,false),"")</f>
        <v>1</v>
      </c>
    </row>
    <row r="2019">
      <c r="A2019" s="78" t="s">
        <v>2127</v>
      </c>
      <c r="B2019" s="78" t="s">
        <v>27</v>
      </c>
      <c r="C2019" s="85">
        <v>44695.0</v>
      </c>
      <c r="D2019" s="85">
        <v>44696.0</v>
      </c>
      <c r="E2019" s="86">
        <v>18.59</v>
      </c>
      <c r="F2019" s="87">
        <v>21.57</v>
      </c>
      <c r="G2019" s="88">
        <f t="shared" si="1"/>
        <v>2.98</v>
      </c>
      <c r="H2019" s="89">
        <f t="shared" si="10"/>
        <v>0.1381548447</v>
      </c>
      <c r="I2019" s="78" t="s">
        <v>2580</v>
      </c>
      <c r="J2019" s="78" t="s">
        <v>69</v>
      </c>
      <c r="K2019" s="58">
        <f t="shared" si="3"/>
        <v>1</v>
      </c>
      <c r="L2019" s="91" t="str">
        <f t="shared" si="8"/>
        <v>Sun</v>
      </c>
      <c r="M2019" s="78" t="str">
        <f>IFERROR(VLOOKUP(A2019, Entries!A:B,2,false),"")</f>
        <v>Bungie</v>
      </c>
      <c r="N2019" s="23" t="str">
        <f>IFERROR(VLOOKUP(A2019, Entries!A:K,11,false),"")</f>
        <v/>
      </c>
      <c r="O2019" s="23" t="b">
        <f>IFERROR(VLOOKUP(A2019, Entries!A:I,8,false),"")</f>
        <v>1</v>
      </c>
    </row>
    <row r="2020">
      <c r="A2020" s="78" t="s">
        <v>2127</v>
      </c>
      <c r="B2020" s="78" t="s">
        <v>27</v>
      </c>
      <c r="C2020" s="85">
        <v>44696.0</v>
      </c>
      <c r="D2020" s="85">
        <v>44696.0</v>
      </c>
      <c r="E2020" s="86">
        <v>18.59</v>
      </c>
      <c r="F2020" s="87">
        <v>23.14</v>
      </c>
      <c r="G2020" s="88">
        <f t="shared" si="1"/>
        <v>4.55</v>
      </c>
      <c r="H2020" s="89">
        <f t="shared" si="10"/>
        <v>0.1966292135</v>
      </c>
      <c r="I2020" s="78" t="s">
        <v>2581</v>
      </c>
      <c r="J2020" s="78" t="s">
        <v>69</v>
      </c>
      <c r="K2020" s="58">
        <f t="shared" si="3"/>
        <v>0</v>
      </c>
      <c r="L2020" s="91" t="str">
        <f t="shared" si="8"/>
        <v>Sun</v>
      </c>
      <c r="M2020" s="78" t="str">
        <f>IFERROR(VLOOKUP(A2020, Entries!A:B,2,false),"")</f>
        <v>Bungie</v>
      </c>
      <c r="N2020" s="23" t="str">
        <f>IFERROR(VLOOKUP(A2020, Entries!A:K,11,false),"")</f>
        <v/>
      </c>
      <c r="O2020" s="23" t="b">
        <f>IFERROR(VLOOKUP(A2020, Entries!A:I,8,false),"")</f>
        <v>1</v>
      </c>
    </row>
    <row r="2021">
      <c r="A2021" s="78" t="s">
        <v>2561</v>
      </c>
      <c r="B2021" s="78" t="s">
        <v>27</v>
      </c>
      <c r="C2021" s="85">
        <v>44696.0</v>
      </c>
      <c r="D2021" s="85">
        <v>44697.0</v>
      </c>
      <c r="E2021" s="86">
        <v>16.79</v>
      </c>
      <c r="F2021" s="87">
        <v>18.76</v>
      </c>
      <c r="G2021" s="88">
        <f t="shared" si="1"/>
        <v>1.97</v>
      </c>
      <c r="H2021" s="89">
        <f t="shared" si="10"/>
        <v>0.105010661</v>
      </c>
      <c r="I2021" s="78" t="s">
        <v>2582</v>
      </c>
      <c r="J2021" s="78" t="s">
        <v>69</v>
      </c>
      <c r="K2021" s="58">
        <f t="shared" si="3"/>
        <v>1</v>
      </c>
      <c r="L2021" s="91" t="str">
        <f t="shared" si="8"/>
        <v>Mon</v>
      </c>
      <c r="M2021" s="78" t="str">
        <f>IFERROR(VLOOKUP(A2021, Entries!A:B,2,false),"")</f>
        <v>Private Division</v>
      </c>
      <c r="N2021" s="23" t="str">
        <f>IFERROR(VLOOKUP(A2021, Entries!A:K,11,false),"")</f>
        <v/>
      </c>
      <c r="O2021" s="23" t="b">
        <f>IFERROR(VLOOKUP(A2021, Entries!A:I,8,false),"")</f>
        <v>0</v>
      </c>
    </row>
    <row r="2022">
      <c r="A2022" s="78" t="s">
        <v>2127</v>
      </c>
      <c r="B2022" s="78" t="s">
        <v>27</v>
      </c>
      <c r="C2022" s="85">
        <v>44696.0</v>
      </c>
      <c r="D2022" s="85">
        <v>44696.0</v>
      </c>
      <c r="E2022" s="86">
        <v>18.59</v>
      </c>
      <c r="F2022" s="87">
        <v>23.14</v>
      </c>
      <c r="G2022" s="88">
        <f t="shared" si="1"/>
        <v>4.55</v>
      </c>
      <c r="H2022" s="89">
        <f t="shared" si="10"/>
        <v>0.1966292135</v>
      </c>
      <c r="I2022" s="78" t="s">
        <v>2583</v>
      </c>
      <c r="J2022" s="78" t="s">
        <v>69</v>
      </c>
      <c r="K2022" s="58">
        <f t="shared" si="3"/>
        <v>0</v>
      </c>
      <c r="L2022" s="91" t="str">
        <f t="shared" si="8"/>
        <v>Sun</v>
      </c>
      <c r="M2022" s="78" t="str">
        <f>IFERROR(VLOOKUP(A2022, Entries!A:B,2,false),"")</f>
        <v>Bungie</v>
      </c>
      <c r="N2022" s="23" t="str">
        <f>IFERROR(VLOOKUP(A2022, Entries!A:K,11,false),"")</f>
        <v/>
      </c>
      <c r="O2022" s="23" t="b">
        <f>IFERROR(VLOOKUP(A2022, Entries!A:I,8,false),"")</f>
        <v>1</v>
      </c>
    </row>
    <row r="2023">
      <c r="A2023" s="78" t="s">
        <v>2127</v>
      </c>
      <c r="B2023" s="78" t="s">
        <v>27</v>
      </c>
      <c r="C2023" s="85">
        <v>44696.0</v>
      </c>
      <c r="D2023" s="85">
        <v>44696.0</v>
      </c>
      <c r="E2023" s="86">
        <v>18.59</v>
      </c>
      <c r="F2023" s="87">
        <v>21.56</v>
      </c>
      <c r="G2023" s="88">
        <f t="shared" si="1"/>
        <v>2.97</v>
      </c>
      <c r="H2023" s="89">
        <f t="shared" si="10"/>
        <v>0.137755102</v>
      </c>
      <c r="I2023" s="78" t="s">
        <v>2584</v>
      </c>
      <c r="J2023" s="78" t="s">
        <v>69</v>
      </c>
      <c r="K2023" s="58">
        <f t="shared" si="3"/>
        <v>0</v>
      </c>
      <c r="L2023" s="91" t="str">
        <f t="shared" si="8"/>
        <v>Sun</v>
      </c>
      <c r="M2023" s="78" t="str">
        <f>IFERROR(VLOOKUP(A2023, Entries!A:B,2,false),"")</f>
        <v>Bungie</v>
      </c>
      <c r="N2023" s="23" t="str">
        <f>IFERROR(VLOOKUP(A2023, Entries!A:K,11,false),"")</f>
        <v/>
      </c>
      <c r="O2023" s="23" t="b">
        <f>IFERROR(VLOOKUP(A2023, Entries!A:I,8,false),"")</f>
        <v>1</v>
      </c>
    </row>
    <row r="2024">
      <c r="A2024" s="78" t="s">
        <v>2127</v>
      </c>
      <c r="B2024" s="78" t="s">
        <v>27</v>
      </c>
      <c r="C2024" s="85">
        <v>44696.0</v>
      </c>
      <c r="D2024" s="85">
        <v>44696.0</v>
      </c>
      <c r="E2024" s="86">
        <v>18.59</v>
      </c>
      <c r="F2024" s="87">
        <v>21.56</v>
      </c>
      <c r="G2024" s="88">
        <f t="shared" si="1"/>
        <v>2.97</v>
      </c>
      <c r="H2024" s="89">
        <f t="shared" si="10"/>
        <v>0.137755102</v>
      </c>
      <c r="I2024" s="78" t="s">
        <v>2585</v>
      </c>
      <c r="J2024" s="78" t="s">
        <v>69</v>
      </c>
      <c r="K2024" s="58">
        <f t="shared" si="3"/>
        <v>0</v>
      </c>
      <c r="L2024" s="91" t="str">
        <f t="shared" si="8"/>
        <v>Sun</v>
      </c>
      <c r="M2024" s="78" t="str">
        <f>IFERROR(VLOOKUP(A2024, Entries!A:B,2,false),"")</f>
        <v>Bungie</v>
      </c>
      <c r="N2024" s="23" t="str">
        <f>IFERROR(VLOOKUP(A2024, Entries!A:K,11,false),"")</f>
        <v/>
      </c>
      <c r="O2024" s="23" t="b">
        <f>IFERROR(VLOOKUP(A2024, Entries!A:I,8,false),"")</f>
        <v>1</v>
      </c>
    </row>
    <row r="2025">
      <c r="A2025" s="78" t="s">
        <v>2528</v>
      </c>
      <c r="B2025" s="78" t="s">
        <v>19</v>
      </c>
      <c r="C2025" s="85">
        <v>44696.0</v>
      </c>
      <c r="D2025" s="85">
        <v>44699.0</v>
      </c>
      <c r="E2025" s="86">
        <v>3.0</v>
      </c>
      <c r="F2025" s="87">
        <v>3.79</v>
      </c>
      <c r="G2025" s="88">
        <f t="shared" si="1"/>
        <v>0.79</v>
      </c>
      <c r="H2025" s="89">
        <f t="shared" si="10"/>
        <v>0.2084432718</v>
      </c>
      <c r="I2025" s="78" t="s">
        <v>2586</v>
      </c>
      <c r="J2025" s="78" t="s">
        <v>69</v>
      </c>
      <c r="K2025" s="58">
        <f t="shared" si="3"/>
        <v>3</v>
      </c>
      <c r="L2025" s="91" t="str">
        <f t="shared" si="8"/>
        <v>Wed</v>
      </c>
      <c r="M2025" s="78" t="str">
        <f>IFERROR(VLOOKUP(A2025, Entries!A:B,2,false),"")</f>
        <v>Cheesecake Dev</v>
      </c>
      <c r="N2025" s="23" t="str">
        <f>IFERROR(VLOOKUP(A2025, Entries!A:K,11,false),"")</f>
        <v/>
      </c>
      <c r="O2025" s="23" t="b">
        <f>IFERROR(VLOOKUP(A2025, Entries!A:I,8,false),"")</f>
        <v>0</v>
      </c>
    </row>
    <row r="2026">
      <c r="A2026" s="78" t="s">
        <v>1077</v>
      </c>
      <c r="B2026" s="78" t="s">
        <v>19</v>
      </c>
      <c r="C2026" s="85">
        <v>44696.0</v>
      </c>
      <c r="D2026" s="85">
        <v>44698.0</v>
      </c>
      <c r="E2026" s="86">
        <v>3.0</v>
      </c>
      <c r="F2026" s="87">
        <v>3.5</v>
      </c>
      <c r="G2026" s="88">
        <f t="shared" si="1"/>
        <v>0.5</v>
      </c>
      <c r="H2026" s="89">
        <f t="shared" si="10"/>
        <v>0.1428571429</v>
      </c>
      <c r="I2026" s="78" t="s">
        <v>2587</v>
      </c>
      <c r="J2026" s="78" t="s">
        <v>69</v>
      </c>
      <c r="K2026" s="58">
        <f t="shared" si="3"/>
        <v>2</v>
      </c>
      <c r="L2026" s="91" t="str">
        <f t="shared" si="8"/>
        <v>Tue</v>
      </c>
      <c r="M2026" s="78" t="str">
        <f>IFERROR(VLOOKUP(A2026, Entries!A:B,2,false),"")</f>
        <v>Weather Factory</v>
      </c>
      <c r="N2026" s="23" t="str">
        <f>IFERROR(VLOOKUP(A2026, Entries!A:K,11,false),"")</f>
        <v/>
      </c>
      <c r="O2026" s="23" t="b">
        <f>IFERROR(VLOOKUP(A2026, Entries!A:I,8,false),"")</f>
        <v>0</v>
      </c>
    </row>
    <row r="2027">
      <c r="A2027" s="78" t="s">
        <v>106</v>
      </c>
      <c r="B2027" s="78" t="s">
        <v>19</v>
      </c>
      <c r="C2027" s="85">
        <v>44696.0</v>
      </c>
      <c r="D2027" s="85">
        <v>44696.0</v>
      </c>
      <c r="E2027" s="86">
        <v>3.0</v>
      </c>
      <c r="F2027" s="87">
        <v>6.04</v>
      </c>
      <c r="G2027" s="88">
        <f t="shared" si="1"/>
        <v>3.04</v>
      </c>
      <c r="H2027" s="89">
        <f t="shared" si="10"/>
        <v>0.5033112583</v>
      </c>
      <c r="I2027" s="78" t="s">
        <v>2588</v>
      </c>
      <c r="J2027" s="78" t="s">
        <v>69</v>
      </c>
      <c r="K2027" s="58">
        <f t="shared" si="3"/>
        <v>0</v>
      </c>
      <c r="L2027" s="91" t="str">
        <f t="shared" si="8"/>
        <v>Sun</v>
      </c>
      <c r="M2027" s="78" t="str">
        <f>IFERROR(VLOOKUP(A2027, Entries!A:B,2,false),"")</f>
        <v>Excalibur Games</v>
      </c>
      <c r="N2027" s="23" t="str">
        <f>IFERROR(VLOOKUP(A2027, Entries!A:K,11,false),"")</f>
        <v/>
      </c>
      <c r="O2027" s="23" t="b">
        <f>IFERROR(VLOOKUP(A2027, Entries!A:I,8,false),"")</f>
        <v>1</v>
      </c>
    </row>
    <row r="2028">
      <c r="A2028" s="78" t="s">
        <v>385</v>
      </c>
      <c r="B2028" s="78" t="s">
        <v>19</v>
      </c>
      <c r="C2028" s="85">
        <v>44696.0</v>
      </c>
      <c r="D2028" s="85">
        <v>44697.0</v>
      </c>
      <c r="E2028" s="86">
        <v>0.95</v>
      </c>
      <c r="F2028" s="87">
        <v>1.6</v>
      </c>
      <c r="G2028" s="88">
        <f t="shared" si="1"/>
        <v>0.65</v>
      </c>
      <c r="H2028" s="89">
        <f t="shared" si="10"/>
        <v>0.40625</v>
      </c>
      <c r="I2028" s="78" t="s">
        <v>2589</v>
      </c>
      <c r="J2028" s="78" t="s">
        <v>69</v>
      </c>
      <c r="K2028" s="58">
        <f t="shared" si="3"/>
        <v>1</v>
      </c>
      <c r="L2028" s="91" t="str">
        <f t="shared" si="8"/>
        <v>Mon</v>
      </c>
      <c r="M2028" s="78" t="str">
        <f>IFERROR(VLOOKUP(A2028, Entries!A:B,2,false),"")</f>
        <v>Cheesecake Dev</v>
      </c>
      <c r="N2028" s="23" t="str">
        <f>IFERROR(VLOOKUP(A2028, Entries!A:K,11,false),"")</f>
        <v/>
      </c>
      <c r="O2028" s="23" t="b">
        <f>IFERROR(VLOOKUP(A2028, Entries!A:I,8,false),"")</f>
        <v>1</v>
      </c>
    </row>
    <row r="2029">
      <c r="A2029" s="78" t="s">
        <v>2127</v>
      </c>
      <c r="B2029" s="78" t="s">
        <v>27</v>
      </c>
      <c r="C2029" s="85">
        <v>44696.0</v>
      </c>
      <c r="D2029" s="85">
        <v>44696.0</v>
      </c>
      <c r="E2029" s="86">
        <v>18.59</v>
      </c>
      <c r="F2029" s="87">
        <v>21.56</v>
      </c>
      <c r="G2029" s="88">
        <f t="shared" si="1"/>
        <v>2.97</v>
      </c>
      <c r="H2029" s="89">
        <f t="shared" si="10"/>
        <v>0.137755102</v>
      </c>
      <c r="I2029" s="78" t="s">
        <v>2590</v>
      </c>
      <c r="J2029" s="78" t="s">
        <v>69</v>
      </c>
      <c r="K2029" s="58">
        <f t="shared" si="3"/>
        <v>0</v>
      </c>
      <c r="L2029" s="91" t="str">
        <f t="shared" si="8"/>
        <v>Sun</v>
      </c>
      <c r="M2029" s="78" t="str">
        <f>IFERROR(VLOOKUP(A2029, Entries!A:B,2,false),"")</f>
        <v>Bungie</v>
      </c>
      <c r="N2029" s="23" t="str">
        <f>IFERROR(VLOOKUP(A2029, Entries!A:K,11,false),"")</f>
        <v/>
      </c>
      <c r="O2029" s="23" t="b">
        <f>IFERROR(VLOOKUP(A2029, Entries!A:I,8,false),"")</f>
        <v>1</v>
      </c>
    </row>
    <row r="2030">
      <c r="A2030" s="78" t="s">
        <v>2467</v>
      </c>
      <c r="B2030" s="78" t="s">
        <v>27</v>
      </c>
      <c r="C2030" s="85">
        <v>44696.0</v>
      </c>
      <c r="D2030" s="85">
        <v>44698.0</v>
      </c>
      <c r="E2030" s="86">
        <v>16.79</v>
      </c>
      <c r="F2030" s="87">
        <v>22.67</v>
      </c>
      <c r="G2030" s="88">
        <f t="shared" si="1"/>
        <v>5.88</v>
      </c>
      <c r="H2030" s="89">
        <f t="shared" si="10"/>
        <v>0.2593736215</v>
      </c>
      <c r="I2030" s="78" t="s">
        <v>2591</v>
      </c>
      <c r="J2030" s="78" t="s">
        <v>69</v>
      </c>
      <c r="K2030" s="58">
        <f t="shared" si="3"/>
        <v>2</v>
      </c>
      <c r="L2030" s="91" t="str">
        <f t="shared" si="8"/>
        <v>Tue</v>
      </c>
      <c r="M2030" s="78" t="str">
        <f>IFERROR(VLOOKUP(A2030, Entries!A:B,2,false),"")</f>
        <v>Saber Interactive</v>
      </c>
      <c r="N2030" s="23" t="str">
        <f>IFERROR(VLOOKUP(A2030, Entries!A:K,11,false),"")</f>
        <v/>
      </c>
      <c r="O2030" s="23" t="b">
        <f>IFERROR(VLOOKUP(A2030, Entries!A:I,8,false),"")</f>
        <v>0</v>
      </c>
    </row>
    <row r="2031">
      <c r="A2031" s="78" t="s">
        <v>2127</v>
      </c>
      <c r="B2031" s="78" t="s">
        <v>27</v>
      </c>
      <c r="C2031" s="85">
        <v>44696.0</v>
      </c>
      <c r="D2031" s="85">
        <v>44697.0</v>
      </c>
      <c r="E2031" s="86">
        <v>18.59</v>
      </c>
      <c r="F2031" s="87">
        <v>21.56</v>
      </c>
      <c r="G2031" s="88">
        <f t="shared" si="1"/>
        <v>2.97</v>
      </c>
      <c r="H2031" s="89">
        <f t="shared" si="10"/>
        <v>0.137755102</v>
      </c>
      <c r="I2031" s="78" t="s">
        <v>2592</v>
      </c>
      <c r="J2031" s="78" t="s">
        <v>69</v>
      </c>
      <c r="K2031" s="58">
        <f t="shared" si="3"/>
        <v>1</v>
      </c>
      <c r="L2031" s="91" t="str">
        <f t="shared" si="8"/>
        <v>Mon</v>
      </c>
      <c r="M2031" s="78" t="str">
        <f>IFERROR(VLOOKUP(A2031, Entries!A:B,2,false),"")</f>
        <v>Bungie</v>
      </c>
      <c r="N2031" s="23" t="str">
        <f>IFERROR(VLOOKUP(A2031, Entries!A:K,11,false),"")</f>
        <v/>
      </c>
      <c r="O2031" s="23" t="b">
        <f>IFERROR(VLOOKUP(A2031, Entries!A:I,8,false),"")</f>
        <v>1</v>
      </c>
    </row>
    <row r="2032">
      <c r="A2032" s="78" t="s">
        <v>2127</v>
      </c>
      <c r="B2032" s="78" t="s">
        <v>27</v>
      </c>
      <c r="C2032" s="85">
        <v>44697.0</v>
      </c>
      <c r="D2032" s="85">
        <v>44697.0</v>
      </c>
      <c r="E2032" s="86">
        <v>18.59</v>
      </c>
      <c r="F2032" s="87">
        <v>23.15</v>
      </c>
      <c r="G2032" s="88">
        <f t="shared" si="1"/>
        <v>4.56</v>
      </c>
      <c r="H2032" s="89">
        <f t="shared" si="10"/>
        <v>0.1969762419</v>
      </c>
      <c r="I2032" s="78" t="s">
        <v>2593</v>
      </c>
      <c r="J2032" s="78" t="s">
        <v>69</v>
      </c>
      <c r="K2032" s="58">
        <f t="shared" si="3"/>
        <v>0</v>
      </c>
      <c r="L2032" s="91" t="str">
        <f t="shared" si="8"/>
        <v>Mon</v>
      </c>
      <c r="M2032" s="78" t="str">
        <f>IFERROR(VLOOKUP(A2032, Entries!A:B,2,false),"")</f>
        <v>Bungie</v>
      </c>
      <c r="N2032" s="23" t="str">
        <f>IFERROR(VLOOKUP(A2032, Entries!A:K,11,false),"")</f>
        <v/>
      </c>
      <c r="O2032" s="23" t="b">
        <f>IFERROR(VLOOKUP(A2032, Entries!A:I,8,false),"")</f>
        <v>1</v>
      </c>
    </row>
    <row r="2033">
      <c r="A2033" s="78" t="s">
        <v>2558</v>
      </c>
      <c r="B2033" s="78" t="s">
        <v>22</v>
      </c>
      <c r="C2033" s="85">
        <v>44697.0</v>
      </c>
      <c r="D2033" s="85">
        <v>44697.0</v>
      </c>
      <c r="E2033" s="86">
        <v>4.83</v>
      </c>
      <c r="F2033" s="87">
        <v>6.63</v>
      </c>
      <c r="G2033" s="88">
        <f t="shared" si="1"/>
        <v>1.8</v>
      </c>
      <c r="H2033" s="89">
        <f t="shared" si="10"/>
        <v>0.2714932127</v>
      </c>
      <c r="I2033" s="78" t="s">
        <v>2594</v>
      </c>
      <c r="J2033" s="78" t="s">
        <v>69</v>
      </c>
      <c r="K2033" s="58">
        <f t="shared" si="3"/>
        <v>0</v>
      </c>
      <c r="L2033" s="91" t="str">
        <f t="shared" si="8"/>
        <v>Mon</v>
      </c>
      <c r="M2033" s="78" t="str">
        <f>IFERROR(VLOOKUP(A2033, Entries!A:B,2,false),"")</f>
        <v>Daedalic Entertainment</v>
      </c>
      <c r="N2033" s="23" t="str">
        <f>IFERROR(VLOOKUP(A2033, Entries!A:K,11,false),"")</f>
        <v/>
      </c>
      <c r="O2033" s="23" t="b">
        <f>IFERROR(VLOOKUP(A2033, Entries!A:I,8,false),"")</f>
        <v>0</v>
      </c>
    </row>
    <row r="2034">
      <c r="A2034" s="78" t="s">
        <v>2127</v>
      </c>
      <c r="B2034" s="78" t="s">
        <v>27</v>
      </c>
      <c r="C2034" s="85">
        <v>44698.0</v>
      </c>
      <c r="D2034" s="85">
        <v>44699.0</v>
      </c>
      <c r="E2034" s="86">
        <v>18.59</v>
      </c>
      <c r="F2034" s="87">
        <v>21.56</v>
      </c>
      <c r="G2034" s="88">
        <f t="shared" si="1"/>
        <v>2.97</v>
      </c>
      <c r="H2034" s="89">
        <f t="shared" si="10"/>
        <v>0.137755102</v>
      </c>
      <c r="I2034" s="78" t="s">
        <v>2595</v>
      </c>
      <c r="J2034" s="78" t="s">
        <v>69</v>
      </c>
      <c r="K2034" s="58">
        <f t="shared" si="3"/>
        <v>1</v>
      </c>
      <c r="L2034" s="91" t="str">
        <f t="shared" si="8"/>
        <v>Wed</v>
      </c>
      <c r="M2034" s="78" t="str">
        <f>IFERROR(VLOOKUP(A2034, Entries!A:B,2,false),"")</f>
        <v>Bungie</v>
      </c>
      <c r="N2034" s="23" t="str">
        <f>IFERROR(VLOOKUP(A2034, Entries!A:K,11,false),"")</f>
        <v/>
      </c>
      <c r="O2034" s="23" t="b">
        <f>IFERROR(VLOOKUP(A2034, Entries!A:I,8,false),"")</f>
        <v>1</v>
      </c>
    </row>
    <row r="2035">
      <c r="A2035" s="78" t="s">
        <v>1729</v>
      </c>
      <c r="B2035" s="78" t="s">
        <v>19</v>
      </c>
      <c r="C2035" s="85">
        <v>44698.0</v>
      </c>
      <c r="D2035" s="85">
        <v>44722.0</v>
      </c>
      <c r="E2035" s="86">
        <v>6.27</v>
      </c>
      <c r="F2035" s="87">
        <v>11.09</v>
      </c>
      <c r="G2035" s="88">
        <f t="shared" si="1"/>
        <v>4.82</v>
      </c>
      <c r="H2035" s="89">
        <f t="shared" si="10"/>
        <v>0.434625789</v>
      </c>
      <c r="I2035" s="78" t="s">
        <v>2596</v>
      </c>
      <c r="J2035" s="78" t="s">
        <v>69</v>
      </c>
      <c r="K2035" s="58">
        <f t="shared" si="3"/>
        <v>24</v>
      </c>
      <c r="L2035" s="91" t="str">
        <f t="shared" si="8"/>
        <v>Fri</v>
      </c>
      <c r="M2035" s="78" t="str">
        <f>IFERROR(VLOOKUP(A2035, Entries!A:B,2,false),"")</f>
        <v>Focus Home Interactive</v>
      </c>
      <c r="N2035" s="23" t="str">
        <f>IFERROR(VLOOKUP(A2035, Entries!A:K,11,false),"")</f>
        <v/>
      </c>
      <c r="O2035" s="23" t="b">
        <f>IFERROR(VLOOKUP(A2035, Entries!A:I,8,false),"")</f>
        <v>0</v>
      </c>
    </row>
    <row r="2036">
      <c r="A2036" s="78" t="s">
        <v>553</v>
      </c>
      <c r="B2036" s="78" t="s">
        <v>19</v>
      </c>
      <c r="C2036" s="85">
        <v>44698.0</v>
      </c>
      <c r="D2036" s="85">
        <v>44702.0</v>
      </c>
      <c r="E2036" s="86">
        <v>9.43</v>
      </c>
      <c r="F2036" s="87">
        <v>10.63</v>
      </c>
      <c r="G2036" s="88">
        <f t="shared" si="1"/>
        <v>1.2</v>
      </c>
      <c r="H2036" s="89">
        <f t="shared" si="10"/>
        <v>0.1128880527</v>
      </c>
      <c r="I2036" s="78" t="s">
        <v>2597</v>
      </c>
      <c r="J2036" s="78" t="s">
        <v>69</v>
      </c>
      <c r="K2036" s="58">
        <f t="shared" si="3"/>
        <v>4</v>
      </c>
      <c r="L2036" s="91" t="str">
        <f t="shared" si="8"/>
        <v>Sat</v>
      </c>
      <c r="M2036" s="78" t="str">
        <f>IFERROR(VLOOKUP(A2036, Entries!A:B,2,false),"")</f>
        <v>Beamdog</v>
      </c>
      <c r="N2036" s="23" t="str">
        <f>IFERROR(VLOOKUP(A2036, Entries!A:K,11,false),"")</f>
        <v/>
      </c>
      <c r="O2036" s="23" t="b">
        <f>IFERROR(VLOOKUP(A2036, Entries!A:I,8,false),"")</f>
        <v>0</v>
      </c>
    </row>
    <row r="2037">
      <c r="A2037" s="78" t="s">
        <v>1729</v>
      </c>
      <c r="B2037" s="78" t="s">
        <v>19</v>
      </c>
      <c r="C2037" s="85">
        <v>44698.0</v>
      </c>
      <c r="D2037" s="85">
        <v>44759.0</v>
      </c>
      <c r="E2037" s="86">
        <v>5.87</v>
      </c>
      <c r="F2037" s="87">
        <v>10.72</v>
      </c>
      <c r="G2037" s="88">
        <f t="shared" si="1"/>
        <v>4.85</v>
      </c>
      <c r="H2037" s="89">
        <f t="shared" si="10"/>
        <v>0.4524253731</v>
      </c>
      <c r="I2037" s="78" t="s">
        <v>2598</v>
      </c>
      <c r="J2037" s="78" t="s">
        <v>69</v>
      </c>
      <c r="K2037" s="58">
        <f t="shared" si="3"/>
        <v>61</v>
      </c>
      <c r="L2037" s="91" t="str">
        <f t="shared" si="8"/>
        <v>Sun</v>
      </c>
      <c r="M2037" s="78" t="str">
        <f>IFERROR(VLOOKUP(A2037, Entries!A:B,2,false),"")</f>
        <v>Focus Home Interactive</v>
      </c>
      <c r="N2037" s="23" t="str">
        <f>IFERROR(VLOOKUP(A2037, Entries!A:K,11,false),"")</f>
        <v/>
      </c>
      <c r="O2037" s="23" t="b">
        <f>IFERROR(VLOOKUP(A2037, Entries!A:I,8,false),"")</f>
        <v>0</v>
      </c>
    </row>
    <row r="2038">
      <c r="A2038" s="78" t="s">
        <v>2528</v>
      </c>
      <c r="B2038" s="78" t="s">
        <v>19</v>
      </c>
      <c r="C2038" s="85">
        <v>44698.0</v>
      </c>
      <c r="D2038" s="85">
        <v>44700.0</v>
      </c>
      <c r="E2038" s="86">
        <v>3.0</v>
      </c>
      <c r="F2038" s="87">
        <v>3.76</v>
      </c>
      <c r="G2038" s="88">
        <f t="shared" si="1"/>
        <v>0.76</v>
      </c>
      <c r="H2038" s="89">
        <f t="shared" si="10"/>
        <v>0.2021276596</v>
      </c>
      <c r="I2038" s="78" t="s">
        <v>2599</v>
      </c>
      <c r="J2038" s="78" t="s">
        <v>69</v>
      </c>
      <c r="K2038" s="58">
        <f t="shared" si="3"/>
        <v>2</v>
      </c>
      <c r="L2038" s="91" t="str">
        <f t="shared" si="8"/>
        <v>Thu</v>
      </c>
      <c r="M2038" s="78" t="str">
        <f>IFERROR(VLOOKUP(A2038, Entries!A:B,2,false),"")</f>
        <v>Cheesecake Dev</v>
      </c>
      <c r="N2038" s="23" t="str">
        <f>IFERROR(VLOOKUP(A2038, Entries!A:K,11,false),"")</f>
        <v/>
      </c>
      <c r="O2038" s="23" t="b">
        <f>IFERROR(VLOOKUP(A2038, Entries!A:I,8,false),"")</f>
        <v>0</v>
      </c>
    </row>
    <row r="2039">
      <c r="A2039" s="78" t="s">
        <v>1077</v>
      </c>
      <c r="B2039" s="78" t="s">
        <v>19</v>
      </c>
      <c r="C2039" s="85">
        <v>44698.0</v>
      </c>
      <c r="D2039" s="85">
        <v>44698.0</v>
      </c>
      <c r="E2039" s="86">
        <v>3.0</v>
      </c>
      <c r="F2039" s="87">
        <v>3.45</v>
      </c>
      <c r="G2039" s="88">
        <f t="shared" si="1"/>
        <v>0.45</v>
      </c>
      <c r="H2039" s="89">
        <f t="shared" si="10"/>
        <v>0.1304347826</v>
      </c>
      <c r="I2039" s="78" t="s">
        <v>2600</v>
      </c>
      <c r="J2039" s="78" t="s">
        <v>69</v>
      </c>
      <c r="K2039" s="58">
        <f t="shared" si="3"/>
        <v>0</v>
      </c>
      <c r="L2039" s="91" t="str">
        <f t="shared" si="8"/>
        <v>Tue</v>
      </c>
      <c r="M2039" s="78" t="str">
        <f>IFERROR(VLOOKUP(A2039, Entries!A:B,2,false),"")</f>
        <v>Weather Factory</v>
      </c>
      <c r="N2039" s="23" t="str">
        <f>IFERROR(VLOOKUP(A2039, Entries!A:K,11,false),"")</f>
        <v/>
      </c>
      <c r="O2039" s="23" t="b">
        <f>IFERROR(VLOOKUP(A2039, Entries!A:I,8,false),"")</f>
        <v>0</v>
      </c>
    </row>
    <row r="2040">
      <c r="A2040" s="78" t="s">
        <v>106</v>
      </c>
      <c r="B2040" s="78" t="s">
        <v>19</v>
      </c>
      <c r="C2040" s="85">
        <v>44698.0</v>
      </c>
      <c r="D2040" s="85">
        <v>44699.0</v>
      </c>
      <c r="E2040" s="86">
        <v>3.0</v>
      </c>
      <c r="F2040" s="87">
        <v>5.92</v>
      </c>
      <c r="G2040" s="88">
        <f t="shared" si="1"/>
        <v>2.92</v>
      </c>
      <c r="H2040" s="89">
        <f t="shared" si="10"/>
        <v>0.4932432432</v>
      </c>
      <c r="I2040" s="78" t="s">
        <v>2601</v>
      </c>
      <c r="J2040" s="78" t="s">
        <v>69</v>
      </c>
      <c r="K2040" s="58">
        <f t="shared" si="3"/>
        <v>1</v>
      </c>
      <c r="L2040" s="91" t="str">
        <f t="shared" si="8"/>
        <v>Wed</v>
      </c>
      <c r="M2040" s="78" t="str">
        <f>IFERROR(VLOOKUP(A2040, Entries!A:B,2,false),"")</f>
        <v>Excalibur Games</v>
      </c>
      <c r="N2040" s="23" t="str">
        <f>IFERROR(VLOOKUP(A2040, Entries!A:K,11,false),"")</f>
        <v/>
      </c>
      <c r="O2040" s="23" t="b">
        <f>IFERROR(VLOOKUP(A2040, Entries!A:I,8,false),"")</f>
        <v>1</v>
      </c>
    </row>
    <row r="2041">
      <c r="A2041" s="78" t="s">
        <v>2558</v>
      </c>
      <c r="B2041" s="78" t="s">
        <v>22</v>
      </c>
      <c r="C2041" s="85">
        <v>44698.0</v>
      </c>
      <c r="D2041" s="85">
        <v>44699.0</v>
      </c>
      <c r="E2041" s="86">
        <v>4.74</v>
      </c>
      <c r="F2041" s="87">
        <v>6.55</v>
      </c>
      <c r="G2041" s="88">
        <f t="shared" si="1"/>
        <v>1.81</v>
      </c>
      <c r="H2041" s="89">
        <f t="shared" si="10"/>
        <v>0.2763358779</v>
      </c>
      <c r="I2041" s="78" t="s">
        <v>2602</v>
      </c>
      <c r="J2041" s="78" t="s">
        <v>69</v>
      </c>
      <c r="K2041" s="58">
        <f t="shared" si="3"/>
        <v>1</v>
      </c>
      <c r="L2041" s="91" t="str">
        <f t="shared" si="8"/>
        <v>Wed</v>
      </c>
      <c r="M2041" s="78" t="str">
        <f>IFERROR(VLOOKUP(A2041, Entries!A:B,2,false),"")</f>
        <v>Daedalic Entertainment</v>
      </c>
      <c r="N2041" s="23" t="str">
        <f>IFERROR(VLOOKUP(A2041, Entries!A:K,11,false),"")</f>
        <v/>
      </c>
      <c r="O2041" s="23" t="b">
        <f>IFERROR(VLOOKUP(A2041, Entries!A:I,8,false),"")</f>
        <v>0</v>
      </c>
    </row>
    <row r="2042">
      <c r="A2042" s="78" t="s">
        <v>2558</v>
      </c>
      <c r="B2042" s="78" t="s">
        <v>22</v>
      </c>
      <c r="C2042" s="85">
        <v>44698.0</v>
      </c>
      <c r="D2042" s="85">
        <v>44699.0</v>
      </c>
      <c r="E2042" s="86">
        <v>4.75</v>
      </c>
      <c r="F2042" s="87">
        <v>6.55</v>
      </c>
      <c r="G2042" s="88">
        <f t="shared" si="1"/>
        <v>1.8</v>
      </c>
      <c r="H2042" s="89">
        <f t="shared" si="10"/>
        <v>0.2748091603</v>
      </c>
      <c r="I2042" s="78" t="s">
        <v>2603</v>
      </c>
      <c r="J2042" s="78" t="s">
        <v>69</v>
      </c>
      <c r="K2042" s="58">
        <f t="shared" si="3"/>
        <v>1</v>
      </c>
      <c r="L2042" s="91" t="str">
        <f t="shared" si="8"/>
        <v>Wed</v>
      </c>
      <c r="M2042" s="78" t="str">
        <f>IFERROR(VLOOKUP(A2042, Entries!A:B,2,false),"")</f>
        <v>Daedalic Entertainment</v>
      </c>
      <c r="N2042" s="23" t="str">
        <f>IFERROR(VLOOKUP(A2042, Entries!A:K,11,false),"")</f>
        <v/>
      </c>
      <c r="O2042" s="23" t="b">
        <f>IFERROR(VLOOKUP(A2042, Entries!A:I,8,false),"")</f>
        <v>0</v>
      </c>
    </row>
    <row r="2043">
      <c r="A2043" s="78" t="s">
        <v>2467</v>
      </c>
      <c r="B2043" s="78" t="s">
        <v>27</v>
      </c>
      <c r="C2043" s="85">
        <v>44698.0</v>
      </c>
      <c r="D2043" s="85">
        <v>45114.0</v>
      </c>
      <c r="E2043" s="86">
        <v>16.79</v>
      </c>
      <c r="F2043" s="87">
        <v>17.91</v>
      </c>
      <c r="G2043" s="88">
        <f t="shared" si="1"/>
        <v>1.12</v>
      </c>
      <c r="H2043" s="89">
        <f t="shared" si="10"/>
        <v>0.06253489671</v>
      </c>
      <c r="I2043" s="78" t="s">
        <v>2604</v>
      </c>
      <c r="J2043" s="78" t="s">
        <v>69</v>
      </c>
      <c r="K2043" s="58">
        <f t="shared" si="3"/>
        <v>416</v>
      </c>
      <c r="L2043" s="91" t="str">
        <f t="shared" si="8"/>
        <v>Fri</v>
      </c>
      <c r="M2043" s="78" t="str">
        <f>IFERROR(VLOOKUP(A2043, Entries!A:B,2,false),"")</f>
        <v>Saber Interactive</v>
      </c>
      <c r="N2043" s="23" t="str">
        <f>IFERROR(VLOOKUP(A2043, Entries!A:K,11,false),"")</f>
        <v/>
      </c>
      <c r="O2043" s="23" t="b">
        <f>IFERROR(VLOOKUP(A2043, Entries!A:I,8,false),"")</f>
        <v>0</v>
      </c>
    </row>
    <row r="2044">
      <c r="A2044" s="78" t="s">
        <v>669</v>
      </c>
      <c r="B2044" s="78" t="s">
        <v>19</v>
      </c>
      <c r="C2044" s="85">
        <v>44699.0</v>
      </c>
      <c r="D2044" s="85">
        <v>44704.0</v>
      </c>
      <c r="E2044" s="86">
        <v>4.47</v>
      </c>
      <c r="F2044" s="87">
        <v>5.0</v>
      </c>
      <c r="G2044" s="88">
        <f t="shared" si="1"/>
        <v>0.53</v>
      </c>
      <c r="H2044" s="89">
        <f t="shared" si="10"/>
        <v>0.106</v>
      </c>
      <c r="I2044" s="78" t="s">
        <v>2605</v>
      </c>
      <c r="J2044" s="78" t="s">
        <v>69</v>
      </c>
      <c r="K2044" s="58">
        <f t="shared" si="3"/>
        <v>5</v>
      </c>
      <c r="L2044" s="91" t="str">
        <f t="shared" si="8"/>
        <v>Mon</v>
      </c>
      <c r="M2044" s="78" t="str">
        <f>IFERROR(VLOOKUP(A2044, Entries!A:B,2,false),"")</f>
        <v>Atari</v>
      </c>
      <c r="N2044" s="23" t="str">
        <f>IFERROR(VLOOKUP(A2044, Entries!A:K,11,false),"")</f>
        <v/>
      </c>
      <c r="O2044" s="23" t="b">
        <f>IFERROR(VLOOKUP(A2044, Entries!A:I,8,false),"")</f>
        <v>0</v>
      </c>
    </row>
    <row r="2045">
      <c r="A2045" s="78" t="s">
        <v>375</v>
      </c>
      <c r="B2045" s="78" t="s">
        <v>19</v>
      </c>
      <c r="C2045" s="85">
        <v>44699.0</v>
      </c>
      <c r="D2045" s="85">
        <v>44703.0</v>
      </c>
      <c r="E2045" s="86">
        <v>7.6</v>
      </c>
      <c r="F2045" s="87">
        <v>10.92</v>
      </c>
      <c r="G2045" s="88">
        <f t="shared" si="1"/>
        <v>3.32</v>
      </c>
      <c r="H2045" s="89">
        <f t="shared" si="10"/>
        <v>0.304029304</v>
      </c>
      <c r="I2045" s="78" t="s">
        <v>2606</v>
      </c>
      <c r="J2045" s="78" t="s">
        <v>69</v>
      </c>
      <c r="K2045" s="58">
        <f t="shared" si="3"/>
        <v>4</v>
      </c>
      <c r="L2045" s="91" t="str">
        <f t="shared" si="8"/>
        <v>Sun</v>
      </c>
      <c r="M2045" s="78" t="str">
        <f>IFERROR(VLOOKUP(A2045, Entries!A:B,2,false),"")</f>
        <v>Survios</v>
      </c>
      <c r="N2045" s="23" t="str">
        <f>IFERROR(VLOOKUP(A2045, Entries!A:K,11,false),"")</f>
        <v/>
      </c>
      <c r="O2045" s="23" t="b">
        <f>IFERROR(VLOOKUP(A2045, Entries!A:I,8,false),"")</f>
        <v>1</v>
      </c>
    </row>
    <row r="2046">
      <c r="A2046" s="78" t="s">
        <v>2607</v>
      </c>
      <c r="B2046" s="78" t="s">
        <v>19</v>
      </c>
      <c r="C2046" s="85">
        <v>44699.0</v>
      </c>
      <c r="D2046" s="85">
        <v>44699.0</v>
      </c>
      <c r="E2046" s="86">
        <v>0.0</v>
      </c>
      <c r="F2046" s="87">
        <v>0.46</v>
      </c>
      <c r="G2046" s="88">
        <f t="shared" si="1"/>
        <v>0.46</v>
      </c>
      <c r="H2046" s="89">
        <f t="shared" si="10"/>
        <v>1</v>
      </c>
      <c r="I2046" s="78" t="s">
        <v>2608</v>
      </c>
      <c r="J2046" s="78" t="s">
        <v>69</v>
      </c>
      <c r="K2046" s="58">
        <f t="shared" si="3"/>
        <v>0</v>
      </c>
      <c r="L2046" s="91" t="str">
        <f t="shared" si="8"/>
        <v>Wed</v>
      </c>
      <c r="M2046" s="78" t="str">
        <f>IFERROR(VLOOKUP(A2046, Entries!A:B,2,false),"")</f>
        <v>Double Damage Games</v>
      </c>
      <c r="N2046" s="23" t="str">
        <f>IFERROR(VLOOKUP(A2046, Entries!A:K,11,false),"")</f>
        <v/>
      </c>
      <c r="O2046" s="23" t="b">
        <f>IFERROR(VLOOKUP(A2046, Entries!A:I,8,false),"")</f>
        <v>0</v>
      </c>
    </row>
    <row r="2047">
      <c r="A2047" s="78" t="s">
        <v>2127</v>
      </c>
      <c r="B2047" s="78" t="s">
        <v>27</v>
      </c>
      <c r="C2047" s="85">
        <v>44699.0</v>
      </c>
      <c r="D2047" s="85">
        <v>44699.0</v>
      </c>
      <c r="E2047" s="86">
        <v>18.59</v>
      </c>
      <c r="F2047" s="87">
        <v>23.14</v>
      </c>
      <c r="G2047" s="88">
        <f t="shared" si="1"/>
        <v>4.55</v>
      </c>
      <c r="H2047" s="89">
        <f t="shared" si="10"/>
        <v>0.1966292135</v>
      </c>
      <c r="I2047" s="78" t="s">
        <v>2609</v>
      </c>
      <c r="J2047" s="78" t="s">
        <v>69</v>
      </c>
      <c r="K2047" s="58">
        <f t="shared" si="3"/>
        <v>0</v>
      </c>
      <c r="L2047" s="91" t="str">
        <f t="shared" si="8"/>
        <v>Wed</v>
      </c>
      <c r="M2047" s="78" t="str">
        <f>IFERROR(VLOOKUP(A2047, Entries!A:B,2,false),"")</f>
        <v>Bungie</v>
      </c>
      <c r="N2047" s="23" t="str">
        <f>IFERROR(VLOOKUP(A2047, Entries!A:K,11,false),"")</f>
        <v/>
      </c>
      <c r="O2047" s="23" t="b">
        <f>IFERROR(VLOOKUP(A2047, Entries!A:I,8,false),"")</f>
        <v>1</v>
      </c>
    </row>
    <row r="2048">
      <c r="A2048" s="78" t="s">
        <v>2127</v>
      </c>
      <c r="B2048" s="78" t="s">
        <v>27</v>
      </c>
      <c r="C2048" s="85">
        <v>44699.0</v>
      </c>
      <c r="D2048" s="85">
        <v>44700.0</v>
      </c>
      <c r="E2048" s="86">
        <v>18.59</v>
      </c>
      <c r="F2048" s="87">
        <v>21.53</v>
      </c>
      <c r="G2048" s="88">
        <f t="shared" si="1"/>
        <v>2.94</v>
      </c>
      <c r="H2048" s="89">
        <f t="shared" si="10"/>
        <v>0.1365536461</v>
      </c>
      <c r="I2048" s="78" t="s">
        <v>2610</v>
      </c>
      <c r="J2048" s="78" t="s">
        <v>69</v>
      </c>
      <c r="K2048" s="58">
        <f t="shared" si="3"/>
        <v>1</v>
      </c>
      <c r="L2048" s="91" t="str">
        <f t="shared" si="8"/>
        <v>Thu</v>
      </c>
      <c r="M2048" s="78" t="str">
        <f>IFERROR(VLOOKUP(A2048, Entries!A:B,2,false),"")</f>
        <v>Bungie</v>
      </c>
      <c r="N2048" s="23" t="str">
        <f>IFERROR(VLOOKUP(A2048, Entries!A:K,11,false),"")</f>
        <v/>
      </c>
      <c r="O2048" s="23" t="b">
        <f>IFERROR(VLOOKUP(A2048, Entries!A:I,8,false),"")</f>
        <v>1</v>
      </c>
    </row>
    <row r="2049">
      <c r="A2049" s="78" t="s">
        <v>2611</v>
      </c>
      <c r="B2049" s="78" t="s">
        <v>22</v>
      </c>
      <c r="C2049" s="85">
        <v>44699.0</v>
      </c>
      <c r="D2049" s="85">
        <v>44702.0</v>
      </c>
      <c r="E2049" s="86">
        <v>4.99</v>
      </c>
      <c r="F2049" s="87">
        <v>5.69</v>
      </c>
      <c r="G2049" s="88">
        <f t="shared" si="1"/>
        <v>0.7</v>
      </c>
      <c r="H2049" s="89">
        <f t="shared" si="10"/>
        <v>0.1230228471</v>
      </c>
      <c r="I2049" s="78" t="s">
        <v>2612</v>
      </c>
      <c r="J2049" s="78" t="s">
        <v>69</v>
      </c>
      <c r="K2049" s="58">
        <f t="shared" si="3"/>
        <v>3</v>
      </c>
      <c r="L2049" s="91" t="str">
        <f t="shared" si="8"/>
        <v>Sat</v>
      </c>
      <c r="M2049" s="78" t="str">
        <f>IFERROR(VLOOKUP(A2049, Entries!A:B,2,false),"")</f>
        <v>Ninja Kiwi</v>
      </c>
      <c r="N2049" s="23" t="str">
        <f>IFERROR(VLOOKUP(A2049, Entries!A:K,11,false),"")</f>
        <v/>
      </c>
      <c r="O2049" s="23" t="b">
        <f>IFERROR(VLOOKUP(A2049, Entries!A:I,8,false),"")</f>
        <v>0</v>
      </c>
    </row>
    <row r="2050">
      <c r="A2050" s="78" t="s">
        <v>2395</v>
      </c>
      <c r="B2050" s="78" t="s">
        <v>21</v>
      </c>
      <c r="C2050" s="85">
        <v>44699.0</v>
      </c>
      <c r="D2050" s="85">
        <v>44709.0</v>
      </c>
      <c r="E2050" s="86">
        <v>11.91</v>
      </c>
      <c r="F2050" s="87">
        <v>16.06</v>
      </c>
      <c r="G2050" s="88">
        <f t="shared" si="1"/>
        <v>4.15</v>
      </c>
      <c r="H2050" s="89">
        <f t="shared" si="10"/>
        <v>0.2584059776</v>
      </c>
      <c r="I2050" s="78" t="s">
        <v>2613</v>
      </c>
      <c r="J2050" s="78" t="s">
        <v>69</v>
      </c>
      <c r="K2050" s="58">
        <f t="shared" si="3"/>
        <v>10</v>
      </c>
      <c r="L2050" s="91" t="str">
        <f t="shared" si="8"/>
        <v>Sat</v>
      </c>
      <c r="M2050" s="78" t="str">
        <f>IFERROR(VLOOKUP(A2050, Entries!A:B,2,false),"")</f>
        <v>Blue Brain Games</v>
      </c>
      <c r="N2050" s="23" t="str">
        <f>IFERROR(VLOOKUP(A2050, Entries!A:K,11,false),"")</f>
        <v/>
      </c>
      <c r="O2050" s="23" t="b">
        <f>IFERROR(VLOOKUP(A2050, Entries!A:I,8,false),"")</f>
        <v>0</v>
      </c>
    </row>
    <row r="2051">
      <c r="A2051" s="78" t="s">
        <v>1713</v>
      </c>
      <c r="B2051" s="78" t="s">
        <v>27</v>
      </c>
      <c r="C2051" s="85">
        <v>44699.0</v>
      </c>
      <c r="D2051" s="85">
        <v>44708.0</v>
      </c>
      <c r="E2051" s="86">
        <v>5.39</v>
      </c>
      <c r="F2051" s="87">
        <v>7.99</v>
      </c>
      <c r="G2051" s="88">
        <f t="shared" si="1"/>
        <v>2.6</v>
      </c>
      <c r="H2051" s="89">
        <f t="shared" si="10"/>
        <v>0.3254067584</v>
      </c>
      <c r="I2051" s="78" t="s">
        <v>2312</v>
      </c>
      <c r="J2051" s="78" t="s">
        <v>69</v>
      </c>
      <c r="K2051" s="58">
        <f t="shared" si="3"/>
        <v>9</v>
      </c>
      <c r="L2051" s="91" t="str">
        <f t="shared" si="8"/>
        <v>Fri</v>
      </c>
      <c r="M2051" s="78" t="str">
        <f>IFERROR(VLOOKUP(A2051, Entries!A:B,2,false),"")</f>
        <v>11 bit studios</v>
      </c>
      <c r="N2051" s="23" t="str">
        <f>IFERROR(VLOOKUP(A2051, Entries!A:K,11,false),"")</f>
        <v/>
      </c>
      <c r="O2051" s="23" t="b">
        <f>IFERROR(VLOOKUP(A2051, Entries!A:I,8,false),"")</f>
        <v>0</v>
      </c>
    </row>
    <row r="2052">
      <c r="A2052" s="78" t="s">
        <v>1077</v>
      </c>
      <c r="B2052" s="78" t="s">
        <v>19</v>
      </c>
      <c r="C2052" s="85">
        <v>44700.0</v>
      </c>
      <c r="D2052" s="85">
        <v>44700.0</v>
      </c>
      <c r="E2052" s="86">
        <v>3.13</v>
      </c>
      <c r="F2052" s="87">
        <v>3.42</v>
      </c>
      <c r="G2052" s="88">
        <f t="shared" si="1"/>
        <v>0.29</v>
      </c>
      <c r="H2052" s="89">
        <f t="shared" si="10"/>
        <v>0.08479532164</v>
      </c>
      <c r="I2052" s="78" t="s">
        <v>2614</v>
      </c>
      <c r="J2052" s="78" t="s">
        <v>69</v>
      </c>
      <c r="K2052" s="58">
        <f t="shared" si="3"/>
        <v>0</v>
      </c>
      <c r="L2052" s="91" t="str">
        <f t="shared" si="8"/>
        <v>Thu</v>
      </c>
      <c r="M2052" s="78" t="str">
        <f>IFERROR(VLOOKUP(A2052, Entries!A:B,2,false),"")</f>
        <v>Weather Factory</v>
      </c>
      <c r="N2052" s="23" t="str">
        <f>IFERROR(VLOOKUP(A2052, Entries!A:K,11,false),"")</f>
        <v/>
      </c>
      <c r="O2052" s="23" t="b">
        <f>IFERROR(VLOOKUP(A2052, Entries!A:I,8,false),"")</f>
        <v>0</v>
      </c>
    </row>
    <row r="2053">
      <c r="A2053" s="78" t="s">
        <v>106</v>
      </c>
      <c r="B2053" s="78" t="s">
        <v>19</v>
      </c>
      <c r="C2053" s="85">
        <v>44700.0</v>
      </c>
      <c r="D2053" s="85">
        <v>44702.0</v>
      </c>
      <c r="E2053" s="86">
        <v>3.15</v>
      </c>
      <c r="F2053" s="87">
        <v>5.77</v>
      </c>
      <c r="G2053" s="88">
        <f t="shared" si="1"/>
        <v>2.62</v>
      </c>
      <c r="H2053" s="89">
        <f t="shared" si="10"/>
        <v>0.4540727903</v>
      </c>
      <c r="I2053" s="78" t="s">
        <v>2615</v>
      </c>
      <c r="J2053" s="78" t="s">
        <v>69</v>
      </c>
      <c r="K2053" s="58">
        <f t="shared" si="3"/>
        <v>2</v>
      </c>
      <c r="L2053" s="91" t="str">
        <f t="shared" si="8"/>
        <v>Sat</v>
      </c>
      <c r="M2053" s="78" t="str">
        <f>IFERROR(VLOOKUP(A2053, Entries!A:B,2,false),"")</f>
        <v>Excalibur Games</v>
      </c>
      <c r="N2053" s="23" t="str">
        <f>IFERROR(VLOOKUP(A2053, Entries!A:K,11,false),"")</f>
        <v/>
      </c>
      <c r="O2053" s="23" t="b">
        <f>IFERROR(VLOOKUP(A2053, Entries!A:I,8,false),"")</f>
        <v>1</v>
      </c>
    </row>
    <row r="2054">
      <c r="A2054" s="78" t="s">
        <v>2528</v>
      </c>
      <c r="B2054" s="78" t="s">
        <v>19</v>
      </c>
      <c r="C2054" s="85">
        <v>44700.0</v>
      </c>
      <c r="D2054" s="85">
        <v>44700.0</v>
      </c>
      <c r="E2054" s="86">
        <v>3.13</v>
      </c>
      <c r="F2054" s="87">
        <v>3.76</v>
      </c>
      <c r="G2054" s="88">
        <f t="shared" si="1"/>
        <v>0.63</v>
      </c>
      <c r="H2054" s="89">
        <f t="shared" si="10"/>
        <v>0.1675531915</v>
      </c>
      <c r="I2054" s="78" t="s">
        <v>2616</v>
      </c>
      <c r="J2054" s="78" t="s">
        <v>69</v>
      </c>
      <c r="K2054" s="58">
        <f t="shared" si="3"/>
        <v>0</v>
      </c>
      <c r="L2054" s="91" t="str">
        <f t="shared" si="8"/>
        <v>Thu</v>
      </c>
      <c r="M2054" s="78" t="str">
        <f>IFERROR(VLOOKUP(A2054, Entries!A:B,2,false),"")</f>
        <v>Cheesecake Dev</v>
      </c>
      <c r="N2054" s="23" t="str">
        <f>IFERROR(VLOOKUP(A2054, Entries!A:K,11,false),"")</f>
        <v/>
      </c>
      <c r="O2054" s="23" t="b">
        <f>IFERROR(VLOOKUP(A2054, Entries!A:I,8,false),"")</f>
        <v>0</v>
      </c>
    </row>
    <row r="2055">
      <c r="A2055" s="78" t="s">
        <v>385</v>
      </c>
      <c r="B2055" s="78" t="s">
        <v>19</v>
      </c>
      <c r="C2055" s="85">
        <v>44700.0</v>
      </c>
      <c r="D2055" s="85">
        <v>44700.0</v>
      </c>
      <c r="E2055" s="86">
        <v>0.99</v>
      </c>
      <c r="F2055" s="87">
        <v>1.65</v>
      </c>
      <c r="G2055" s="88">
        <f t="shared" si="1"/>
        <v>0.66</v>
      </c>
      <c r="H2055" s="89">
        <f t="shared" si="10"/>
        <v>0.4</v>
      </c>
      <c r="I2055" s="78" t="s">
        <v>2617</v>
      </c>
      <c r="J2055" s="78" t="s">
        <v>69</v>
      </c>
      <c r="K2055" s="58">
        <f t="shared" si="3"/>
        <v>0</v>
      </c>
      <c r="L2055" s="91" t="str">
        <f t="shared" si="8"/>
        <v>Thu</v>
      </c>
      <c r="M2055" s="78" t="str">
        <f>IFERROR(VLOOKUP(A2055, Entries!A:B,2,false),"")</f>
        <v>Cheesecake Dev</v>
      </c>
      <c r="N2055" s="23" t="str">
        <f>IFERROR(VLOOKUP(A2055, Entries!A:K,11,false),"")</f>
        <v/>
      </c>
      <c r="O2055" s="23" t="b">
        <f>IFERROR(VLOOKUP(A2055, Entries!A:I,8,false),"")</f>
        <v>1</v>
      </c>
    </row>
    <row r="2056">
      <c r="A2056" s="78" t="s">
        <v>2127</v>
      </c>
      <c r="B2056" s="78" t="s">
        <v>27</v>
      </c>
      <c r="C2056" s="85">
        <v>44700.0</v>
      </c>
      <c r="D2056" s="85">
        <v>44700.0</v>
      </c>
      <c r="E2056" s="86">
        <v>18.59</v>
      </c>
      <c r="F2056" s="87">
        <v>21.53</v>
      </c>
      <c r="G2056" s="88">
        <f t="shared" si="1"/>
        <v>2.94</v>
      </c>
      <c r="H2056" s="89">
        <f t="shared" si="10"/>
        <v>0.1365536461</v>
      </c>
      <c r="I2056" s="78" t="s">
        <v>2618</v>
      </c>
      <c r="J2056" s="78" t="s">
        <v>69</v>
      </c>
      <c r="K2056" s="58">
        <f t="shared" si="3"/>
        <v>0</v>
      </c>
      <c r="L2056" s="91" t="str">
        <f t="shared" si="8"/>
        <v>Thu</v>
      </c>
      <c r="M2056" s="78" t="str">
        <f>IFERROR(VLOOKUP(A2056, Entries!A:B,2,false),"")</f>
        <v>Bungie</v>
      </c>
      <c r="N2056" s="23" t="str">
        <f>IFERROR(VLOOKUP(A2056, Entries!A:K,11,false),"")</f>
        <v/>
      </c>
      <c r="O2056" s="23" t="b">
        <f>IFERROR(VLOOKUP(A2056, Entries!A:I,8,false),"")</f>
        <v>1</v>
      </c>
    </row>
    <row r="2057">
      <c r="A2057" s="78" t="s">
        <v>2127</v>
      </c>
      <c r="B2057" s="78" t="s">
        <v>27</v>
      </c>
      <c r="C2057" s="85">
        <v>44700.0</v>
      </c>
      <c r="D2057" s="85">
        <v>44700.0</v>
      </c>
      <c r="E2057" s="86">
        <v>18.59</v>
      </c>
      <c r="F2057" s="87">
        <v>21.53</v>
      </c>
      <c r="G2057" s="88">
        <f t="shared" si="1"/>
        <v>2.94</v>
      </c>
      <c r="H2057" s="89">
        <f t="shared" si="10"/>
        <v>0.1365536461</v>
      </c>
      <c r="I2057" s="78" t="s">
        <v>2619</v>
      </c>
      <c r="J2057" s="78" t="s">
        <v>69</v>
      </c>
      <c r="K2057" s="58">
        <f t="shared" si="3"/>
        <v>0</v>
      </c>
      <c r="L2057" s="91" t="str">
        <f t="shared" si="8"/>
        <v>Thu</v>
      </c>
      <c r="M2057" s="78" t="str">
        <f>IFERROR(VLOOKUP(A2057, Entries!A:B,2,false),"")</f>
        <v>Bungie</v>
      </c>
      <c r="N2057" s="23" t="str">
        <f>IFERROR(VLOOKUP(A2057, Entries!A:K,11,false),"")</f>
        <v/>
      </c>
      <c r="O2057" s="23" t="b">
        <f>IFERROR(VLOOKUP(A2057, Entries!A:I,8,false),"")</f>
        <v>1</v>
      </c>
    </row>
    <row r="2058">
      <c r="A2058" s="78" t="s">
        <v>2127</v>
      </c>
      <c r="B2058" s="78" t="s">
        <v>27</v>
      </c>
      <c r="C2058" s="85">
        <v>44700.0</v>
      </c>
      <c r="D2058" s="85">
        <v>44701.0</v>
      </c>
      <c r="E2058" s="86">
        <v>18.59</v>
      </c>
      <c r="F2058" s="87">
        <v>21.53</v>
      </c>
      <c r="G2058" s="88">
        <f t="shared" si="1"/>
        <v>2.94</v>
      </c>
      <c r="H2058" s="89">
        <f t="shared" si="10"/>
        <v>0.1365536461</v>
      </c>
      <c r="I2058" s="78" t="s">
        <v>2620</v>
      </c>
      <c r="J2058" s="78" t="s">
        <v>69</v>
      </c>
      <c r="K2058" s="58">
        <f t="shared" si="3"/>
        <v>1</v>
      </c>
      <c r="L2058" s="91" t="str">
        <f t="shared" si="8"/>
        <v>Fri</v>
      </c>
      <c r="M2058" s="78" t="str">
        <f>IFERROR(VLOOKUP(A2058, Entries!A:B,2,false),"")</f>
        <v>Bungie</v>
      </c>
      <c r="N2058" s="23" t="str">
        <f>IFERROR(VLOOKUP(A2058, Entries!A:K,11,false),"")</f>
        <v/>
      </c>
      <c r="O2058" s="23" t="b">
        <f>IFERROR(VLOOKUP(A2058, Entries!A:I,8,false),"")</f>
        <v>1</v>
      </c>
    </row>
    <row r="2059">
      <c r="A2059" s="78" t="s">
        <v>1213</v>
      </c>
      <c r="B2059" s="78" t="s">
        <v>18</v>
      </c>
      <c r="C2059" s="85">
        <v>44701.0</v>
      </c>
      <c r="D2059" s="85">
        <v>44704.0</v>
      </c>
      <c r="E2059" s="86">
        <v>18.22</v>
      </c>
      <c r="F2059" s="87">
        <v>20.51</v>
      </c>
      <c r="G2059" s="88">
        <f t="shared" si="1"/>
        <v>2.29</v>
      </c>
      <c r="H2059" s="89">
        <f t="shared" si="10"/>
        <v>0.1116528523</v>
      </c>
      <c r="I2059" s="78" t="s">
        <v>2621</v>
      </c>
      <c r="J2059" s="78" t="s">
        <v>69</v>
      </c>
      <c r="K2059" s="58">
        <f t="shared" si="3"/>
        <v>3</v>
      </c>
      <c r="L2059" s="91" t="str">
        <f t="shared" si="8"/>
        <v>Mon</v>
      </c>
      <c r="M2059" s="78" t="str">
        <f>IFERROR(VLOOKUP(A2059, Entries!A:B,2,false),"")</f>
        <v>SadSquare Studio</v>
      </c>
      <c r="N2059" s="23" t="str">
        <f>IFERROR(VLOOKUP(A2059, Entries!A:K,11,false),"")</f>
        <v/>
      </c>
      <c r="O2059" s="23" t="b">
        <f>IFERROR(VLOOKUP(A2059, Entries!A:I,8,false),"")</f>
        <v>1</v>
      </c>
    </row>
    <row r="2060">
      <c r="A2060" s="78" t="s">
        <v>2127</v>
      </c>
      <c r="B2060" s="78" t="s">
        <v>27</v>
      </c>
      <c r="C2060" s="85">
        <v>44701.0</v>
      </c>
      <c r="D2060" s="85">
        <v>44701.0</v>
      </c>
      <c r="E2060" s="86">
        <v>18.59</v>
      </c>
      <c r="F2060" s="87">
        <v>21.6</v>
      </c>
      <c r="G2060" s="88">
        <f t="shared" si="1"/>
        <v>3.01</v>
      </c>
      <c r="H2060" s="89">
        <f t="shared" si="10"/>
        <v>0.1393518519</v>
      </c>
      <c r="I2060" s="78" t="s">
        <v>2622</v>
      </c>
      <c r="J2060" s="78" t="s">
        <v>69</v>
      </c>
      <c r="K2060" s="58">
        <f t="shared" si="3"/>
        <v>0</v>
      </c>
      <c r="L2060" s="91" t="str">
        <f t="shared" si="8"/>
        <v>Fri</v>
      </c>
      <c r="M2060" s="78" t="str">
        <f>IFERROR(VLOOKUP(A2060, Entries!A:B,2,false),"")</f>
        <v>Bungie</v>
      </c>
      <c r="N2060" s="23" t="str">
        <f>IFERROR(VLOOKUP(A2060, Entries!A:K,11,false),"")</f>
        <v/>
      </c>
      <c r="O2060" s="23" t="b">
        <f>IFERROR(VLOOKUP(A2060, Entries!A:I,8,false),"")</f>
        <v>1</v>
      </c>
    </row>
    <row r="2061">
      <c r="A2061" s="78" t="s">
        <v>2127</v>
      </c>
      <c r="B2061" s="78" t="s">
        <v>27</v>
      </c>
      <c r="C2061" s="85">
        <v>44701.0</v>
      </c>
      <c r="D2061" s="85">
        <v>44701.0</v>
      </c>
      <c r="E2061" s="86">
        <v>18.59</v>
      </c>
      <c r="F2061" s="87">
        <v>21.6</v>
      </c>
      <c r="G2061" s="88">
        <f t="shared" si="1"/>
        <v>3.01</v>
      </c>
      <c r="H2061" s="89">
        <f t="shared" si="10"/>
        <v>0.1393518519</v>
      </c>
      <c r="I2061" s="78" t="s">
        <v>2623</v>
      </c>
      <c r="J2061" s="78" t="s">
        <v>69</v>
      </c>
      <c r="K2061" s="58">
        <f t="shared" si="3"/>
        <v>0</v>
      </c>
      <c r="L2061" s="91" t="str">
        <f t="shared" si="8"/>
        <v>Fri</v>
      </c>
      <c r="M2061" s="78" t="str">
        <f>IFERROR(VLOOKUP(A2061, Entries!A:B,2,false),"")</f>
        <v>Bungie</v>
      </c>
      <c r="N2061" s="23" t="str">
        <f>IFERROR(VLOOKUP(A2061, Entries!A:K,11,false),"")</f>
        <v/>
      </c>
      <c r="O2061" s="23" t="b">
        <f>IFERROR(VLOOKUP(A2061, Entries!A:I,8,false),"")</f>
        <v>1</v>
      </c>
    </row>
    <row r="2062">
      <c r="A2062" s="78" t="s">
        <v>2624</v>
      </c>
      <c r="B2062" s="78" t="s">
        <v>32</v>
      </c>
      <c r="C2062" s="85">
        <v>44701.0</v>
      </c>
      <c r="D2062" s="85">
        <v>44701.0</v>
      </c>
      <c r="E2062" s="86">
        <v>5.48</v>
      </c>
      <c r="F2062" s="87">
        <v>6.52</v>
      </c>
      <c r="G2062" s="88">
        <f t="shared" si="1"/>
        <v>1.04</v>
      </c>
      <c r="H2062" s="89">
        <f t="shared" si="10"/>
        <v>0.1595092025</v>
      </c>
      <c r="I2062" s="78" t="s">
        <v>2625</v>
      </c>
      <c r="J2062" s="78" t="s">
        <v>69</v>
      </c>
      <c r="K2062" s="58">
        <f t="shared" si="3"/>
        <v>0</v>
      </c>
      <c r="L2062" s="91" t="str">
        <f t="shared" si="8"/>
        <v>Fri</v>
      </c>
      <c r="M2062" s="78" t="str">
        <f>IFERROR(VLOOKUP(A2062, Entries!A:B,2,false),"")</f>
        <v>Daedalic Entertainment</v>
      </c>
      <c r="N2062" s="23" t="str">
        <f>IFERROR(VLOOKUP(A2062, Entries!A:K,11,false),"")</f>
        <v/>
      </c>
      <c r="O2062" s="23" t="b">
        <f>IFERROR(VLOOKUP(A2062, Entries!A:I,8,false),"")</f>
        <v>0</v>
      </c>
    </row>
    <row r="2063">
      <c r="A2063" s="78" t="s">
        <v>2339</v>
      </c>
      <c r="B2063" s="78" t="s">
        <v>19</v>
      </c>
      <c r="C2063" s="85">
        <v>44701.0</v>
      </c>
      <c r="D2063" s="85">
        <v>44701.0</v>
      </c>
      <c r="E2063" s="86">
        <v>7.46</v>
      </c>
      <c r="F2063" s="87">
        <v>8.45</v>
      </c>
      <c r="G2063" s="88">
        <f t="shared" si="1"/>
        <v>0.99</v>
      </c>
      <c r="H2063" s="89">
        <f t="shared" si="10"/>
        <v>0.1171597633</v>
      </c>
      <c r="I2063" s="78" t="s">
        <v>2626</v>
      </c>
      <c r="J2063" s="78" t="s">
        <v>69</v>
      </c>
      <c r="K2063" s="58">
        <f t="shared" si="3"/>
        <v>0</v>
      </c>
      <c r="L2063" s="91" t="str">
        <f t="shared" si="8"/>
        <v>Fri</v>
      </c>
      <c r="M2063" s="78" t="str">
        <f>IFERROR(VLOOKUP(A2063, Entries!A:B,2,false),"")</f>
        <v>PlayWay</v>
      </c>
      <c r="N2063" s="23" t="str">
        <f>IFERROR(VLOOKUP(A2063, Entries!A:K,11,false),"")</f>
        <v/>
      </c>
      <c r="O2063" s="23" t="b">
        <f>IFERROR(VLOOKUP(A2063, Entries!A:I,8,false),"")</f>
        <v>0</v>
      </c>
    </row>
    <row r="2064">
      <c r="A2064" s="78" t="s">
        <v>2127</v>
      </c>
      <c r="B2064" s="78" t="s">
        <v>27</v>
      </c>
      <c r="C2064" s="85">
        <v>44701.0</v>
      </c>
      <c r="D2064" s="85">
        <v>44702.0</v>
      </c>
      <c r="E2064" s="86">
        <v>18.59</v>
      </c>
      <c r="F2064" s="87">
        <v>21.6</v>
      </c>
      <c r="G2064" s="88">
        <f t="shared" si="1"/>
        <v>3.01</v>
      </c>
      <c r="H2064" s="89">
        <f t="shared" si="10"/>
        <v>0.1393518519</v>
      </c>
      <c r="I2064" s="78" t="s">
        <v>2627</v>
      </c>
      <c r="J2064" s="78" t="s">
        <v>69</v>
      </c>
      <c r="K2064" s="58">
        <f t="shared" si="3"/>
        <v>1</v>
      </c>
      <c r="L2064" s="91" t="str">
        <f t="shared" si="8"/>
        <v>Sat</v>
      </c>
      <c r="M2064" s="78" t="str">
        <f>IFERROR(VLOOKUP(A2064, Entries!A:B,2,false),"")</f>
        <v>Bungie</v>
      </c>
      <c r="N2064" s="23" t="str">
        <f>IFERROR(VLOOKUP(A2064, Entries!A:K,11,false),"")</f>
        <v/>
      </c>
      <c r="O2064" s="23" t="b">
        <f>IFERROR(VLOOKUP(A2064, Entries!A:I,8,false),"")</f>
        <v>1</v>
      </c>
    </row>
    <row r="2065">
      <c r="A2065" s="78" t="s">
        <v>385</v>
      </c>
      <c r="B2065" s="78" t="s">
        <v>19</v>
      </c>
      <c r="C2065" s="85">
        <v>44701.0</v>
      </c>
      <c r="D2065" s="85">
        <v>44703.0</v>
      </c>
      <c r="E2065" s="86">
        <v>0.99</v>
      </c>
      <c r="F2065" s="87">
        <v>1.58</v>
      </c>
      <c r="G2065" s="88">
        <f t="shared" si="1"/>
        <v>0.59</v>
      </c>
      <c r="H2065" s="89">
        <f t="shared" si="10"/>
        <v>0.3734177215</v>
      </c>
      <c r="I2065" s="78" t="s">
        <v>2628</v>
      </c>
      <c r="J2065" s="78" t="s">
        <v>69</v>
      </c>
      <c r="K2065" s="58">
        <f t="shared" si="3"/>
        <v>2</v>
      </c>
      <c r="L2065" s="91" t="str">
        <f t="shared" si="8"/>
        <v>Sun</v>
      </c>
      <c r="M2065" s="78" t="str">
        <f>IFERROR(VLOOKUP(A2065, Entries!A:B,2,false),"")</f>
        <v>Cheesecake Dev</v>
      </c>
      <c r="N2065" s="23" t="str">
        <f>IFERROR(VLOOKUP(A2065, Entries!A:K,11,false),"")</f>
        <v/>
      </c>
      <c r="O2065" s="23" t="b">
        <f>IFERROR(VLOOKUP(A2065, Entries!A:I,8,false),"")</f>
        <v>1</v>
      </c>
    </row>
    <row r="2066">
      <c r="A2066" s="78" t="s">
        <v>2528</v>
      </c>
      <c r="B2066" s="78" t="s">
        <v>19</v>
      </c>
      <c r="C2066" s="85">
        <v>44701.0</v>
      </c>
      <c r="D2066" s="85">
        <v>44702.0</v>
      </c>
      <c r="E2066" s="86">
        <v>3.13</v>
      </c>
      <c r="F2066" s="87">
        <v>3.69</v>
      </c>
      <c r="G2066" s="88">
        <f t="shared" si="1"/>
        <v>0.56</v>
      </c>
      <c r="H2066" s="89">
        <f t="shared" si="10"/>
        <v>0.1517615176</v>
      </c>
      <c r="I2066" s="78" t="s">
        <v>2629</v>
      </c>
      <c r="J2066" s="78" t="s">
        <v>69</v>
      </c>
      <c r="K2066" s="58">
        <f t="shared" si="3"/>
        <v>1</v>
      </c>
      <c r="L2066" s="91" t="str">
        <f t="shared" si="8"/>
        <v>Sat</v>
      </c>
      <c r="M2066" s="78" t="str">
        <f>IFERROR(VLOOKUP(A2066, Entries!A:B,2,false),"")</f>
        <v>Cheesecake Dev</v>
      </c>
      <c r="N2066" s="23" t="str">
        <f>IFERROR(VLOOKUP(A2066, Entries!A:K,11,false),"")</f>
        <v/>
      </c>
      <c r="O2066" s="23" t="b">
        <f>IFERROR(VLOOKUP(A2066, Entries!A:I,8,false),"")</f>
        <v>0</v>
      </c>
    </row>
    <row r="2067">
      <c r="A2067" s="78" t="s">
        <v>1077</v>
      </c>
      <c r="B2067" s="78" t="s">
        <v>19</v>
      </c>
      <c r="C2067" s="85">
        <v>44701.0</v>
      </c>
      <c r="D2067" s="85">
        <v>44702.0</v>
      </c>
      <c r="E2067" s="86">
        <v>3.13</v>
      </c>
      <c r="F2067" s="87">
        <v>3.34</v>
      </c>
      <c r="G2067" s="88">
        <f t="shared" si="1"/>
        <v>0.21</v>
      </c>
      <c r="H2067" s="89">
        <f t="shared" si="10"/>
        <v>0.0628742515</v>
      </c>
      <c r="I2067" s="78" t="s">
        <v>2630</v>
      </c>
      <c r="J2067" s="78" t="s">
        <v>69</v>
      </c>
      <c r="K2067" s="58">
        <f t="shared" si="3"/>
        <v>1</v>
      </c>
      <c r="L2067" s="91" t="str">
        <f t="shared" si="8"/>
        <v>Sat</v>
      </c>
      <c r="M2067" s="78" t="str">
        <f>IFERROR(VLOOKUP(A2067, Entries!A:B,2,false),"")</f>
        <v>Weather Factory</v>
      </c>
      <c r="N2067" s="23" t="str">
        <f>IFERROR(VLOOKUP(A2067, Entries!A:K,11,false),"")</f>
        <v/>
      </c>
      <c r="O2067" s="23" t="b">
        <f>IFERROR(VLOOKUP(A2067, Entries!A:I,8,false),"")</f>
        <v>0</v>
      </c>
    </row>
    <row r="2068">
      <c r="A2068" s="78" t="s">
        <v>2339</v>
      </c>
      <c r="B2068" s="78" t="s">
        <v>19</v>
      </c>
      <c r="C2068" s="85">
        <v>44701.0</v>
      </c>
      <c r="D2068" s="85">
        <v>44701.0</v>
      </c>
      <c r="E2068" s="86">
        <v>7.46</v>
      </c>
      <c r="F2068" s="87">
        <v>8.45</v>
      </c>
      <c r="G2068" s="88">
        <f t="shared" si="1"/>
        <v>0.99</v>
      </c>
      <c r="H2068" s="89">
        <f t="shared" si="10"/>
        <v>0.1171597633</v>
      </c>
      <c r="I2068" s="78" t="s">
        <v>2631</v>
      </c>
      <c r="J2068" s="78" t="s">
        <v>69</v>
      </c>
      <c r="K2068" s="58">
        <f t="shared" si="3"/>
        <v>0</v>
      </c>
      <c r="L2068" s="91" t="str">
        <f t="shared" si="8"/>
        <v>Fri</v>
      </c>
      <c r="M2068" s="78" t="str">
        <f>IFERROR(VLOOKUP(A2068, Entries!A:B,2,false),"")</f>
        <v>PlayWay</v>
      </c>
      <c r="N2068" s="23" t="str">
        <f>IFERROR(VLOOKUP(A2068, Entries!A:K,11,false),"")</f>
        <v/>
      </c>
      <c r="O2068" s="23" t="b">
        <f>IFERROR(VLOOKUP(A2068, Entries!A:I,8,false),"")</f>
        <v>0</v>
      </c>
    </row>
    <row r="2069">
      <c r="A2069" s="78" t="s">
        <v>106</v>
      </c>
      <c r="B2069" s="78" t="s">
        <v>19</v>
      </c>
      <c r="C2069" s="85">
        <v>44701.0</v>
      </c>
      <c r="D2069" s="85">
        <v>44703.0</v>
      </c>
      <c r="E2069" s="86">
        <v>3.24</v>
      </c>
      <c r="F2069" s="87">
        <v>5.66</v>
      </c>
      <c r="G2069" s="88">
        <f t="shared" si="1"/>
        <v>2.42</v>
      </c>
      <c r="H2069" s="89">
        <f t="shared" si="10"/>
        <v>0.4275618375</v>
      </c>
      <c r="I2069" s="78" t="s">
        <v>2632</v>
      </c>
      <c r="J2069" s="78" t="s">
        <v>69</v>
      </c>
      <c r="K2069" s="58">
        <f t="shared" si="3"/>
        <v>2</v>
      </c>
      <c r="L2069" s="91" t="str">
        <f t="shared" si="8"/>
        <v>Sun</v>
      </c>
      <c r="M2069" s="78" t="str">
        <f>IFERROR(VLOOKUP(A2069, Entries!A:B,2,false),"")</f>
        <v>Excalibur Games</v>
      </c>
      <c r="N2069" s="23" t="str">
        <f>IFERROR(VLOOKUP(A2069, Entries!A:K,11,false),"")</f>
        <v/>
      </c>
      <c r="O2069" s="23" t="b">
        <f>IFERROR(VLOOKUP(A2069, Entries!A:I,8,false),"")</f>
        <v>1</v>
      </c>
    </row>
    <row r="2070">
      <c r="A2070" s="78" t="s">
        <v>2339</v>
      </c>
      <c r="B2070" s="78" t="s">
        <v>19</v>
      </c>
      <c r="C2070" s="85">
        <v>44702.0</v>
      </c>
      <c r="D2070" s="85">
        <v>44703.0</v>
      </c>
      <c r="E2070" s="86">
        <v>6.96</v>
      </c>
      <c r="F2070" s="87">
        <v>8.96</v>
      </c>
      <c r="G2070" s="88">
        <f t="shared" si="1"/>
        <v>2</v>
      </c>
      <c r="H2070" s="89">
        <f t="shared" si="10"/>
        <v>0.2232142857</v>
      </c>
      <c r="I2070" s="78" t="s">
        <v>2633</v>
      </c>
      <c r="J2070" s="78" t="s">
        <v>69</v>
      </c>
      <c r="K2070" s="58">
        <f t="shared" si="3"/>
        <v>1</v>
      </c>
      <c r="L2070" s="91" t="str">
        <f t="shared" si="8"/>
        <v>Sun</v>
      </c>
      <c r="M2070" s="78" t="str">
        <f>IFERROR(VLOOKUP(A2070, Entries!A:B,2,false),"")</f>
        <v>PlayWay</v>
      </c>
      <c r="N2070" s="23" t="str">
        <f>IFERROR(VLOOKUP(A2070, Entries!A:K,11,false),"")</f>
        <v/>
      </c>
      <c r="O2070" s="23" t="b">
        <f>IFERROR(VLOOKUP(A2070, Entries!A:I,8,false),"")</f>
        <v>0</v>
      </c>
    </row>
    <row r="2071">
      <c r="A2071" s="78" t="s">
        <v>2563</v>
      </c>
      <c r="B2071" s="78" t="s">
        <v>27</v>
      </c>
      <c r="C2071" s="85">
        <v>44702.0</v>
      </c>
      <c r="D2071" s="85">
        <v>44781.0</v>
      </c>
      <c r="E2071" s="86">
        <v>3.99</v>
      </c>
      <c r="F2071" s="87">
        <v>4.46</v>
      </c>
      <c r="G2071" s="88">
        <f t="shared" si="1"/>
        <v>0.47</v>
      </c>
      <c r="H2071" s="89">
        <f t="shared" si="10"/>
        <v>0.1053811659</v>
      </c>
      <c r="I2071" s="78" t="s">
        <v>2634</v>
      </c>
      <c r="J2071" s="78" t="s">
        <v>69</v>
      </c>
      <c r="K2071" s="58">
        <f t="shared" si="3"/>
        <v>79</v>
      </c>
      <c r="L2071" s="91" t="str">
        <f t="shared" si="8"/>
        <v>Mon</v>
      </c>
      <c r="M2071" s="78" t="str">
        <f>IFERROR(VLOOKUP(A2071, Entries!A:B,2,false),"")</f>
        <v>Annapurna Interactive</v>
      </c>
      <c r="N2071" s="23" t="str">
        <f>IFERROR(VLOOKUP(A2071, Entries!A:K,11,false),"")</f>
        <v/>
      </c>
      <c r="O2071" s="23" t="b">
        <f>IFERROR(VLOOKUP(A2071, Entries!A:I,8,false),"")</f>
        <v>0</v>
      </c>
    </row>
    <row r="2072">
      <c r="A2072" s="78" t="s">
        <v>2611</v>
      </c>
      <c r="B2072" s="78" t="s">
        <v>22</v>
      </c>
      <c r="C2072" s="85">
        <v>44702.0</v>
      </c>
      <c r="D2072" s="85">
        <v>44702.0</v>
      </c>
      <c r="E2072" s="86">
        <v>4.95</v>
      </c>
      <c r="F2072" s="87">
        <v>5.56</v>
      </c>
      <c r="G2072" s="88">
        <f t="shared" si="1"/>
        <v>0.61</v>
      </c>
      <c r="H2072" s="89">
        <f t="shared" si="10"/>
        <v>0.1097122302</v>
      </c>
      <c r="I2072" s="78" t="s">
        <v>2635</v>
      </c>
      <c r="J2072" s="78" t="s">
        <v>69</v>
      </c>
      <c r="K2072" s="58">
        <f t="shared" si="3"/>
        <v>0</v>
      </c>
      <c r="L2072" s="91" t="str">
        <f t="shared" si="8"/>
        <v>Sat</v>
      </c>
      <c r="M2072" s="78" t="str">
        <f>IFERROR(VLOOKUP(A2072, Entries!A:B,2,false),"")</f>
        <v>Ninja Kiwi</v>
      </c>
      <c r="N2072" s="23" t="str">
        <f>IFERROR(VLOOKUP(A2072, Entries!A:K,11,false),"")</f>
        <v/>
      </c>
      <c r="O2072" s="23" t="b">
        <f>IFERROR(VLOOKUP(A2072, Entries!A:I,8,false),"")</f>
        <v>0</v>
      </c>
    </row>
    <row r="2073">
      <c r="A2073" s="78" t="s">
        <v>2127</v>
      </c>
      <c r="B2073" s="78" t="s">
        <v>27</v>
      </c>
      <c r="C2073" s="85">
        <v>44702.0</v>
      </c>
      <c r="D2073" s="85">
        <v>44703.0</v>
      </c>
      <c r="E2073" s="86">
        <v>18.59</v>
      </c>
      <c r="F2073" s="87">
        <v>23.14</v>
      </c>
      <c r="G2073" s="88">
        <f t="shared" si="1"/>
        <v>4.55</v>
      </c>
      <c r="H2073" s="89">
        <f t="shared" si="10"/>
        <v>0.1966292135</v>
      </c>
      <c r="I2073" s="78" t="s">
        <v>2636</v>
      </c>
      <c r="J2073" s="78" t="s">
        <v>69</v>
      </c>
      <c r="K2073" s="58">
        <f t="shared" si="3"/>
        <v>1</v>
      </c>
      <c r="L2073" s="91" t="str">
        <f t="shared" si="8"/>
        <v>Sun</v>
      </c>
      <c r="M2073" s="78" t="str">
        <f>IFERROR(VLOOKUP(A2073, Entries!A:B,2,false),"")</f>
        <v>Bungie</v>
      </c>
      <c r="N2073" s="23" t="str">
        <f>IFERROR(VLOOKUP(A2073, Entries!A:K,11,false),"")</f>
        <v/>
      </c>
      <c r="O2073" s="23" t="b">
        <f>IFERROR(VLOOKUP(A2073, Entries!A:I,8,false),"")</f>
        <v>1</v>
      </c>
    </row>
    <row r="2074">
      <c r="A2074" s="78" t="s">
        <v>2611</v>
      </c>
      <c r="B2074" s="78" t="s">
        <v>22</v>
      </c>
      <c r="C2074" s="85">
        <v>44702.0</v>
      </c>
      <c r="D2074" s="85">
        <v>44703.0</v>
      </c>
      <c r="E2074" s="86">
        <v>4.95</v>
      </c>
      <c r="F2074" s="87">
        <v>5.64</v>
      </c>
      <c r="G2074" s="88">
        <f t="shared" si="1"/>
        <v>0.69</v>
      </c>
      <c r="H2074" s="89">
        <f t="shared" si="10"/>
        <v>0.1223404255</v>
      </c>
      <c r="I2074" s="78" t="s">
        <v>2637</v>
      </c>
      <c r="J2074" s="78" t="s">
        <v>69</v>
      </c>
      <c r="K2074" s="58">
        <f t="shared" si="3"/>
        <v>1</v>
      </c>
      <c r="L2074" s="91" t="str">
        <f t="shared" si="8"/>
        <v>Sun</v>
      </c>
      <c r="M2074" s="78" t="str">
        <f>IFERROR(VLOOKUP(A2074, Entries!A:B,2,false),"")</f>
        <v>Ninja Kiwi</v>
      </c>
      <c r="N2074" s="23" t="str">
        <f>IFERROR(VLOOKUP(A2074, Entries!A:K,11,false),"")</f>
        <v/>
      </c>
      <c r="O2074" s="23" t="b">
        <f>IFERROR(VLOOKUP(A2074, Entries!A:I,8,false),"")</f>
        <v>0</v>
      </c>
    </row>
    <row r="2075">
      <c r="A2075" s="78" t="s">
        <v>2528</v>
      </c>
      <c r="B2075" s="78" t="s">
        <v>19</v>
      </c>
      <c r="C2075" s="85">
        <v>44703.0</v>
      </c>
      <c r="D2075" s="85">
        <v>44703.0</v>
      </c>
      <c r="E2075" s="86">
        <v>3.11</v>
      </c>
      <c r="F2075" s="87">
        <v>3.69</v>
      </c>
      <c r="G2075" s="88">
        <f t="shared" si="1"/>
        <v>0.58</v>
      </c>
      <c r="H2075" s="89">
        <f t="shared" si="10"/>
        <v>0.1571815718</v>
      </c>
      <c r="I2075" s="78" t="s">
        <v>2638</v>
      </c>
      <c r="J2075" s="78" t="s">
        <v>69</v>
      </c>
      <c r="K2075" s="58">
        <f t="shared" si="3"/>
        <v>0</v>
      </c>
      <c r="L2075" s="91" t="str">
        <f t="shared" si="8"/>
        <v>Sun</v>
      </c>
      <c r="M2075" s="78" t="str">
        <f>IFERROR(VLOOKUP(A2075, Entries!A:B,2,false),"")</f>
        <v>Cheesecake Dev</v>
      </c>
      <c r="N2075" s="23" t="str">
        <f>IFERROR(VLOOKUP(A2075, Entries!A:K,11,false),"")</f>
        <v/>
      </c>
      <c r="O2075" s="23" t="b">
        <f>IFERROR(VLOOKUP(A2075, Entries!A:I,8,false),"")</f>
        <v>0</v>
      </c>
    </row>
    <row r="2076">
      <c r="A2076" s="78" t="s">
        <v>1077</v>
      </c>
      <c r="B2076" s="78" t="s">
        <v>19</v>
      </c>
      <c r="C2076" s="85">
        <v>44703.0</v>
      </c>
      <c r="D2076" s="85">
        <v>44703.0</v>
      </c>
      <c r="E2076" s="86">
        <v>3.11</v>
      </c>
      <c r="F2076" s="87">
        <v>3.32</v>
      </c>
      <c r="G2076" s="88">
        <f t="shared" si="1"/>
        <v>0.21</v>
      </c>
      <c r="H2076" s="89">
        <f t="shared" si="10"/>
        <v>0.06325301205</v>
      </c>
      <c r="I2076" s="78" t="s">
        <v>2639</v>
      </c>
      <c r="J2076" s="78" t="s">
        <v>69</v>
      </c>
      <c r="K2076" s="58">
        <f t="shared" si="3"/>
        <v>0</v>
      </c>
      <c r="L2076" s="91" t="str">
        <f t="shared" si="8"/>
        <v>Sun</v>
      </c>
      <c r="M2076" s="78" t="str">
        <f>IFERROR(VLOOKUP(A2076, Entries!A:B,2,false),"")</f>
        <v>Weather Factory</v>
      </c>
      <c r="N2076" s="23" t="str">
        <f>IFERROR(VLOOKUP(A2076, Entries!A:K,11,false),"")</f>
        <v/>
      </c>
      <c r="O2076" s="23" t="b">
        <f>IFERROR(VLOOKUP(A2076, Entries!A:I,8,false),"")</f>
        <v>0</v>
      </c>
    </row>
    <row r="2077">
      <c r="A2077" s="78" t="s">
        <v>106</v>
      </c>
      <c r="B2077" s="78" t="s">
        <v>19</v>
      </c>
      <c r="C2077" s="85">
        <v>44703.0</v>
      </c>
      <c r="D2077" s="85">
        <v>44703.0</v>
      </c>
      <c r="E2077" s="86">
        <v>3.12</v>
      </c>
      <c r="F2077" s="87">
        <v>5.66</v>
      </c>
      <c r="G2077" s="88">
        <f t="shared" si="1"/>
        <v>2.54</v>
      </c>
      <c r="H2077" s="89">
        <f t="shared" si="10"/>
        <v>0.4487632509</v>
      </c>
      <c r="I2077" s="78" t="s">
        <v>2640</v>
      </c>
      <c r="J2077" s="78" t="s">
        <v>69</v>
      </c>
      <c r="K2077" s="58">
        <f t="shared" si="3"/>
        <v>0</v>
      </c>
      <c r="L2077" s="91" t="str">
        <f t="shared" si="8"/>
        <v>Sun</v>
      </c>
      <c r="M2077" s="78" t="str">
        <f>IFERROR(VLOOKUP(A2077, Entries!A:B,2,false),"")</f>
        <v>Excalibur Games</v>
      </c>
      <c r="N2077" s="23" t="str">
        <f>IFERROR(VLOOKUP(A2077, Entries!A:K,11,false),"")</f>
        <v/>
      </c>
      <c r="O2077" s="23" t="b">
        <f>IFERROR(VLOOKUP(A2077, Entries!A:I,8,false),"")</f>
        <v>1</v>
      </c>
    </row>
    <row r="2078">
      <c r="A2078" s="78" t="s">
        <v>385</v>
      </c>
      <c r="B2078" s="78" t="s">
        <v>19</v>
      </c>
      <c r="C2078" s="85">
        <v>44703.0</v>
      </c>
      <c r="D2078" s="85">
        <v>44704.0</v>
      </c>
      <c r="E2078" s="86">
        <v>0.99</v>
      </c>
      <c r="F2078" s="87">
        <v>1.58</v>
      </c>
      <c r="G2078" s="88">
        <f t="shared" si="1"/>
        <v>0.59</v>
      </c>
      <c r="H2078" s="89">
        <f t="shared" si="10"/>
        <v>0.3734177215</v>
      </c>
      <c r="I2078" s="78" t="s">
        <v>2641</v>
      </c>
      <c r="J2078" s="78" t="s">
        <v>69</v>
      </c>
      <c r="K2078" s="58">
        <f t="shared" si="3"/>
        <v>1</v>
      </c>
      <c r="L2078" s="91" t="str">
        <f t="shared" si="8"/>
        <v>Mon</v>
      </c>
      <c r="M2078" s="78" t="str">
        <f>IFERROR(VLOOKUP(A2078, Entries!A:B,2,false),"")</f>
        <v>Cheesecake Dev</v>
      </c>
      <c r="N2078" s="23" t="str">
        <f>IFERROR(VLOOKUP(A2078, Entries!A:K,11,false),"")</f>
        <v/>
      </c>
      <c r="O2078" s="23" t="b">
        <f>IFERROR(VLOOKUP(A2078, Entries!A:I,8,false),"")</f>
        <v>1</v>
      </c>
    </row>
    <row r="2079">
      <c r="A2079" s="78" t="s">
        <v>2642</v>
      </c>
      <c r="B2079" s="78" t="s">
        <v>19</v>
      </c>
      <c r="C2079" s="85">
        <v>44703.0</v>
      </c>
      <c r="D2079" s="85">
        <v>44709.0</v>
      </c>
      <c r="E2079" s="86">
        <v>0.0</v>
      </c>
      <c r="F2079" s="87">
        <v>0.54</v>
      </c>
      <c r="G2079" s="88">
        <f t="shared" si="1"/>
        <v>0.54</v>
      </c>
      <c r="H2079" s="89">
        <f t="shared" si="10"/>
        <v>1</v>
      </c>
      <c r="I2079" s="78" t="s">
        <v>2643</v>
      </c>
      <c r="J2079" s="78" t="s">
        <v>69</v>
      </c>
      <c r="K2079" s="58">
        <f t="shared" si="3"/>
        <v>6</v>
      </c>
      <c r="L2079" s="91" t="str">
        <f t="shared" si="8"/>
        <v>Sat</v>
      </c>
      <c r="M2079" s="78" t="str">
        <f>IFERROR(VLOOKUP(A2079, Entries!A:B,2,false),"")</f>
        <v>Dotemu</v>
      </c>
      <c r="N2079" s="23" t="str">
        <f>IFERROR(VLOOKUP(A2079, Entries!A:K,11,false),"")</f>
        <v/>
      </c>
      <c r="O2079" s="23" t="b">
        <f>IFERROR(VLOOKUP(A2079, Entries!A:I,8,false),"")</f>
        <v>0</v>
      </c>
    </row>
    <row r="2080">
      <c r="A2080" s="78" t="s">
        <v>2127</v>
      </c>
      <c r="B2080" s="78" t="s">
        <v>27</v>
      </c>
      <c r="C2080" s="85">
        <v>44703.0</v>
      </c>
      <c r="D2080" s="85">
        <v>44703.0</v>
      </c>
      <c r="E2080" s="86">
        <v>18.59</v>
      </c>
      <c r="F2080" s="87">
        <v>21.6</v>
      </c>
      <c r="G2080" s="88">
        <f t="shared" si="1"/>
        <v>3.01</v>
      </c>
      <c r="H2080" s="89">
        <f t="shared" si="10"/>
        <v>0.1393518519</v>
      </c>
      <c r="I2080" s="78" t="s">
        <v>2644</v>
      </c>
      <c r="J2080" s="78" t="s">
        <v>69</v>
      </c>
      <c r="K2080" s="58">
        <f t="shared" si="3"/>
        <v>0</v>
      </c>
      <c r="L2080" s="91" t="str">
        <f t="shared" si="8"/>
        <v>Sun</v>
      </c>
      <c r="M2080" s="78" t="str">
        <f>IFERROR(VLOOKUP(A2080, Entries!A:B,2,false),"")</f>
        <v>Bungie</v>
      </c>
      <c r="N2080" s="23" t="str">
        <f>IFERROR(VLOOKUP(A2080, Entries!A:K,11,false),"")</f>
        <v/>
      </c>
      <c r="O2080" s="23" t="b">
        <f>IFERROR(VLOOKUP(A2080, Entries!A:I,8,false),"")</f>
        <v>1</v>
      </c>
    </row>
    <row r="2081">
      <c r="A2081" s="78" t="s">
        <v>2127</v>
      </c>
      <c r="B2081" s="78" t="s">
        <v>27</v>
      </c>
      <c r="C2081" s="85">
        <v>44703.0</v>
      </c>
      <c r="D2081" s="85">
        <v>44703.0</v>
      </c>
      <c r="E2081" s="86">
        <v>18.59</v>
      </c>
      <c r="F2081" s="87">
        <v>21.6</v>
      </c>
      <c r="G2081" s="88">
        <f t="shared" si="1"/>
        <v>3.01</v>
      </c>
      <c r="H2081" s="89">
        <f t="shared" si="10"/>
        <v>0.1393518519</v>
      </c>
      <c r="I2081" s="78" t="s">
        <v>2645</v>
      </c>
      <c r="J2081" s="78" t="s">
        <v>69</v>
      </c>
      <c r="K2081" s="58">
        <f t="shared" si="3"/>
        <v>0</v>
      </c>
      <c r="L2081" s="91" t="str">
        <f t="shared" si="8"/>
        <v>Sun</v>
      </c>
      <c r="M2081" s="78" t="str">
        <f>IFERROR(VLOOKUP(A2081, Entries!A:B,2,false),"")</f>
        <v>Bungie</v>
      </c>
      <c r="N2081" s="23" t="str">
        <f>IFERROR(VLOOKUP(A2081, Entries!A:K,11,false),"")</f>
        <v/>
      </c>
      <c r="O2081" s="23" t="b">
        <f>IFERROR(VLOOKUP(A2081, Entries!A:I,8,false),"")</f>
        <v>1</v>
      </c>
    </row>
    <row r="2082">
      <c r="A2082" s="78" t="s">
        <v>375</v>
      </c>
      <c r="B2082" s="78" t="s">
        <v>19</v>
      </c>
      <c r="C2082" s="85">
        <v>44703.0</v>
      </c>
      <c r="D2082" s="85">
        <v>44705.0</v>
      </c>
      <c r="E2082" s="86">
        <v>7.88</v>
      </c>
      <c r="F2082" s="87">
        <v>10.09</v>
      </c>
      <c r="G2082" s="88">
        <f t="shared" si="1"/>
        <v>2.21</v>
      </c>
      <c r="H2082" s="89">
        <f t="shared" si="10"/>
        <v>0.2190287413</v>
      </c>
      <c r="I2082" s="78" t="s">
        <v>2646</v>
      </c>
      <c r="J2082" s="78" t="s">
        <v>69</v>
      </c>
      <c r="K2082" s="58">
        <f t="shared" si="3"/>
        <v>2</v>
      </c>
      <c r="L2082" s="91" t="str">
        <f t="shared" si="8"/>
        <v>Tue</v>
      </c>
      <c r="M2082" s="78" t="str">
        <f>IFERROR(VLOOKUP(A2082, Entries!A:B,2,false),"")</f>
        <v>Survios</v>
      </c>
      <c r="N2082" s="23" t="str">
        <f>IFERROR(VLOOKUP(A2082, Entries!A:K,11,false),"")</f>
        <v/>
      </c>
      <c r="O2082" s="23" t="b">
        <f>IFERROR(VLOOKUP(A2082, Entries!A:I,8,false),"")</f>
        <v>1</v>
      </c>
    </row>
    <row r="2083">
      <c r="A2083" s="78" t="s">
        <v>2611</v>
      </c>
      <c r="B2083" s="78" t="s">
        <v>22</v>
      </c>
      <c r="C2083" s="85">
        <v>44703.0</v>
      </c>
      <c r="D2083" s="85">
        <v>44703.0</v>
      </c>
      <c r="E2083" s="86">
        <v>4.95</v>
      </c>
      <c r="F2083" s="87">
        <v>6.92</v>
      </c>
      <c r="G2083" s="88">
        <f t="shared" si="1"/>
        <v>1.97</v>
      </c>
      <c r="H2083" s="89">
        <f t="shared" si="10"/>
        <v>0.2846820809</v>
      </c>
      <c r="I2083" s="78" t="s">
        <v>2647</v>
      </c>
      <c r="J2083" s="78" t="s">
        <v>69</v>
      </c>
      <c r="K2083" s="58">
        <f t="shared" si="3"/>
        <v>0</v>
      </c>
      <c r="L2083" s="91" t="str">
        <f t="shared" si="8"/>
        <v>Sun</v>
      </c>
      <c r="M2083" s="78" t="str">
        <f>IFERROR(VLOOKUP(A2083, Entries!A:B,2,false),"")</f>
        <v>Ninja Kiwi</v>
      </c>
      <c r="N2083" s="23" t="str">
        <f>IFERROR(VLOOKUP(A2083, Entries!A:K,11,false),"")</f>
        <v/>
      </c>
      <c r="O2083" s="23" t="b">
        <f>IFERROR(VLOOKUP(A2083, Entries!A:I,8,false),"")</f>
        <v>0</v>
      </c>
    </row>
    <row r="2084">
      <c r="A2084" s="78" t="s">
        <v>2611</v>
      </c>
      <c r="B2084" s="78" t="s">
        <v>22</v>
      </c>
      <c r="C2084" s="85">
        <v>44703.0</v>
      </c>
      <c r="D2084" s="85">
        <v>44705.0</v>
      </c>
      <c r="E2084" s="86">
        <v>4.95</v>
      </c>
      <c r="F2084" s="87">
        <v>5.47</v>
      </c>
      <c r="G2084" s="88">
        <f t="shared" si="1"/>
        <v>0.52</v>
      </c>
      <c r="H2084" s="89">
        <f t="shared" si="10"/>
        <v>0.09506398537</v>
      </c>
      <c r="I2084" s="78" t="s">
        <v>2648</v>
      </c>
      <c r="J2084" s="78" t="s">
        <v>69</v>
      </c>
      <c r="K2084" s="58">
        <f t="shared" si="3"/>
        <v>2</v>
      </c>
      <c r="L2084" s="91" t="str">
        <f t="shared" si="8"/>
        <v>Tue</v>
      </c>
      <c r="M2084" s="78" t="str">
        <f>IFERROR(VLOOKUP(A2084, Entries!A:B,2,false),"")</f>
        <v>Ninja Kiwi</v>
      </c>
      <c r="N2084" s="23" t="str">
        <f>IFERROR(VLOOKUP(A2084, Entries!A:K,11,false),"")</f>
        <v/>
      </c>
      <c r="O2084" s="23" t="b">
        <f>IFERROR(VLOOKUP(A2084, Entries!A:I,8,false),"")</f>
        <v>0</v>
      </c>
    </row>
    <row r="2085">
      <c r="A2085" s="78" t="s">
        <v>2127</v>
      </c>
      <c r="B2085" s="78" t="s">
        <v>27</v>
      </c>
      <c r="C2085" s="85">
        <v>44703.0</v>
      </c>
      <c r="D2085" s="85">
        <v>44704.0</v>
      </c>
      <c r="E2085" s="86">
        <v>18.59</v>
      </c>
      <c r="F2085" s="87">
        <v>23.14</v>
      </c>
      <c r="G2085" s="88">
        <f t="shared" si="1"/>
        <v>4.55</v>
      </c>
      <c r="H2085" s="89">
        <f t="shared" si="10"/>
        <v>0.1966292135</v>
      </c>
      <c r="I2085" s="78" t="s">
        <v>2649</v>
      </c>
      <c r="J2085" s="78" t="s">
        <v>69</v>
      </c>
      <c r="K2085" s="58">
        <f t="shared" si="3"/>
        <v>1</v>
      </c>
      <c r="L2085" s="91" t="str">
        <f t="shared" si="8"/>
        <v>Mon</v>
      </c>
      <c r="M2085" s="78" t="str">
        <f>IFERROR(VLOOKUP(A2085, Entries!A:B,2,false),"")</f>
        <v>Bungie</v>
      </c>
      <c r="N2085" s="23" t="str">
        <f>IFERROR(VLOOKUP(A2085, Entries!A:K,11,false),"")</f>
        <v/>
      </c>
      <c r="O2085" s="23" t="b">
        <f>IFERROR(VLOOKUP(A2085, Entries!A:I,8,false),"")</f>
        <v>1</v>
      </c>
    </row>
    <row r="2086">
      <c r="A2086" s="78" t="s">
        <v>2650</v>
      </c>
      <c r="B2086" s="78" t="s">
        <v>23</v>
      </c>
      <c r="C2086" s="85">
        <v>44704.0</v>
      </c>
      <c r="D2086" s="85">
        <v>44819.0</v>
      </c>
      <c r="E2086" s="86">
        <v>13.56</v>
      </c>
      <c r="F2086" s="87">
        <v>16.06</v>
      </c>
      <c r="G2086" s="88">
        <f t="shared" si="1"/>
        <v>2.5</v>
      </c>
      <c r="H2086" s="89">
        <f t="shared" si="10"/>
        <v>0.1556662516</v>
      </c>
      <c r="I2086" s="78" t="s">
        <v>2651</v>
      </c>
      <c r="J2086" s="78" t="s">
        <v>69</v>
      </c>
      <c r="K2086" s="58">
        <f t="shared" si="3"/>
        <v>115</v>
      </c>
      <c r="L2086" s="91" t="str">
        <f t="shared" si="8"/>
        <v>Thu</v>
      </c>
      <c r="M2086" s="78" t="str">
        <f>IFERROR(VLOOKUP(A2086, Entries!A:B,2,false),"")</f>
        <v>Tactical Adventures</v>
      </c>
      <c r="N2086" s="23" t="str">
        <f>IFERROR(VLOOKUP(A2086, Entries!A:K,11,false),"")</f>
        <v/>
      </c>
      <c r="O2086" s="23" t="b">
        <f>IFERROR(VLOOKUP(A2086, Entries!A:I,8,false),"")</f>
        <v>0</v>
      </c>
    </row>
    <row r="2087">
      <c r="A2087" s="78" t="s">
        <v>2127</v>
      </c>
      <c r="B2087" s="78" t="s">
        <v>27</v>
      </c>
      <c r="C2087" s="85">
        <v>44704.0</v>
      </c>
      <c r="D2087" s="85">
        <v>44732.0</v>
      </c>
      <c r="E2087" s="86">
        <v>18.59</v>
      </c>
      <c r="F2087" s="87">
        <v>23.12</v>
      </c>
      <c r="G2087" s="88">
        <f t="shared" si="1"/>
        <v>4.53</v>
      </c>
      <c r="H2087" s="89">
        <f t="shared" si="10"/>
        <v>0.1959342561</v>
      </c>
      <c r="I2087" s="78" t="s">
        <v>2652</v>
      </c>
      <c r="J2087" s="78" t="s">
        <v>69</v>
      </c>
      <c r="K2087" s="58">
        <f t="shared" si="3"/>
        <v>28</v>
      </c>
      <c r="L2087" s="91" t="str">
        <f t="shared" si="8"/>
        <v>Mon</v>
      </c>
      <c r="M2087" s="78" t="str">
        <f>IFERROR(VLOOKUP(A2087, Entries!A:B,2,false),"")</f>
        <v>Bungie</v>
      </c>
      <c r="N2087" s="23" t="str">
        <f>IFERROR(VLOOKUP(A2087, Entries!A:K,11,false),"")</f>
        <v/>
      </c>
      <c r="O2087" s="23" t="b">
        <f>IFERROR(VLOOKUP(A2087, Entries!A:I,8,false),"")</f>
        <v>1</v>
      </c>
    </row>
    <row r="2088">
      <c r="A2088" s="96" t="s">
        <v>2123</v>
      </c>
      <c r="B2088" s="78" t="s">
        <v>29</v>
      </c>
      <c r="C2088" s="85">
        <v>44705.0</v>
      </c>
      <c r="D2088" s="85">
        <v>44835.0</v>
      </c>
      <c r="E2088" s="86">
        <v>2.93</v>
      </c>
      <c r="F2088" s="87">
        <v>2.78</v>
      </c>
      <c r="G2088" s="88">
        <f t="shared" si="1"/>
        <v>-0.15</v>
      </c>
      <c r="H2088" s="89">
        <f t="shared" si="10"/>
        <v>-0.05395683453</v>
      </c>
      <c r="I2088" s="78" t="s">
        <v>2653</v>
      </c>
      <c r="J2088" s="78" t="s">
        <v>69</v>
      </c>
      <c r="K2088" s="58">
        <f t="shared" si="3"/>
        <v>130</v>
      </c>
      <c r="L2088" s="91" t="str">
        <f t="shared" si="8"/>
        <v>Sat</v>
      </c>
      <c r="M2088" s="78" t="str">
        <f>IFERROR(VLOOKUP(A2088, Entries!A:B,2,false),"")</f>
        <v>CAPCOM</v>
      </c>
      <c r="N2088" s="23" t="str">
        <f>IFERROR(VLOOKUP(A2088, Entries!A:K,11,false),"")</f>
        <v/>
      </c>
      <c r="O2088" s="23" t="b">
        <f>IFERROR(VLOOKUP(A2088, Entries!A:I,8,false),"")</f>
        <v>0</v>
      </c>
    </row>
    <row r="2089">
      <c r="A2089" s="78" t="s">
        <v>2123</v>
      </c>
      <c r="B2089" s="78" t="s">
        <v>29</v>
      </c>
      <c r="C2089" s="85">
        <v>44705.0</v>
      </c>
      <c r="D2089" s="85">
        <v>45186.0</v>
      </c>
      <c r="E2089" s="86">
        <v>2.94</v>
      </c>
      <c r="F2089" s="87">
        <v>2.47</v>
      </c>
      <c r="G2089" s="88">
        <f t="shared" si="1"/>
        <v>-0.47</v>
      </c>
      <c r="H2089" s="89">
        <f t="shared" si="10"/>
        <v>-0.1902834008</v>
      </c>
      <c r="I2089" s="78" t="s">
        <v>2654</v>
      </c>
      <c r="J2089" s="78" t="s">
        <v>69</v>
      </c>
      <c r="K2089" s="58">
        <f t="shared" si="3"/>
        <v>481</v>
      </c>
      <c r="L2089" s="91" t="str">
        <f t="shared" si="8"/>
        <v>Sun</v>
      </c>
      <c r="M2089" s="78" t="str">
        <f>IFERROR(VLOOKUP(A2089, Entries!A:B,2,false),"")</f>
        <v>CAPCOM</v>
      </c>
      <c r="N2089" s="23" t="str">
        <f>IFERROR(VLOOKUP(A2089, Entries!A:K,11,false),"")</f>
        <v/>
      </c>
      <c r="O2089" s="23" t="b">
        <f>IFERROR(VLOOKUP(A2089, Entries!A:I,8,false),"")</f>
        <v>0</v>
      </c>
    </row>
    <row r="2090">
      <c r="A2090" s="78" t="s">
        <v>2123</v>
      </c>
      <c r="B2090" s="78" t="s">
        <v>29</v>
      </c>
      <c r="C2090" s="85">
        <v>44705.0</v>
      </c>
      <c r="D2090" s="85">
        <v>45190.0</v>
      </c>
      <c r="E2090" s="86">
        <v>2.94</v>
      </c>
      <c r="F2090" s="87">
        <v>2.47</v>
      </c>
      <c r="G2090" s="88">
        <f t="shared" si="1"/>
        <v>-0.47</v>
      </c>
      <c r="H2090" s="89">
        <f t="shared" si="10"/>
        <v>-0.1902834008</v>
      </c>
      <c r="I2090" s="78" t="s">
        <v>2655</v>
      </c>
      <c r="J2090" s="78" t="s">
        <v>69</v>
      </c>
      <c r="K2090" s="58">
        <f t="shared" si="3"/>
        <v>485</v>
      </c>
      <c r="L2090" s="91" t="str">
        <f t="shared" si="8"/>
        <v>Thu</v>
      </c>
      <c r="M2090" s="78" t="str">
        <f>IFERROR(VLOOKUP(A2090, Entries!A:B,2,false),"")</f>
        <v>CAPCOM</v>
      </c>
      <c r="N2090" s="23" t="str">
        <f>IFERROR(VLOOKUP(A2090, Entries!A:K,11,false),"")</f>
        <v/>
      </c>
      <c r="O2090" s="23" t="b">
        <f>IFERROR(VLOOKUP(A2090, Entries!A:I,8,false),"")</f>
        <v>0</v>
      </c>
    </row>
    <row r="2091">
      <c r="A2091" s="78" t="s">
        <v>2611</v>
      </c>
      <c r="B2091" s="78" t="s">
        <v>22</v>
      </c>
      <c r="C2091" s="85">
        <v>44706.0</v>
      </c>
      <c r="D2091" s="85">
        <v>44707.0</v>
      </c>
      <c r="E2091" s="86">
        <v>4.89</v>
      </c>
      <c r="F2091" s="87">
        <v>5.32</v>
      </c>
      <c r="G2091" s="88">
        <f t="shared" si="1"/>
        <v>0.43</v>
      </c>
      <c r="H2091" s="89">
        <f t="shared" si="10"/>
        <v>0.08082706767</v>
      </c>
      <c r="I2091" s="78" t="s">
        <v>2656</v>
      </c>
      <c r="J2091" s="78" t="s">
        <v>69</v>
      </c>
      <c r="K2091" s="58">
        <f t="shared" si="3"/>
        <v>1</v>
      </c>
      <c r="L2091" s="91" t="str">
        <f t="shared" si="8"/>
        <v>Thu</v>
      </c>
      <c r="M2091" s="78" t="str">
        <f>IFERROR(VLOOKUP(A2091, Entries!A:B,2,false),"")</f>
        <v>Ninja Kiwi</v>
      </c>
      <c r="N2091" s="23" t="str">
        <f>IFERROR(VLOOKUP(A2091, Entries!A:K,11,false),"")</f>
        <v/>
      </c>
      <c r="O2091" s="23" t="b">
        <f>IFERROR(VLOOKUP(A2091, Entries!A:I,8,false),"")</f>
        <v>0</v>
      </c>
    </row>
    <row r="2092">
      <c r="A2092" s="78" t="s">
        <v>2611</v>
      </c>
      <c r="B2092" s="78" t="s">
        <v>22</v>
      </c>
      <c r="C2092" s="85">
        <v>44707.0</v>
      </c>
      <c r="D2092" s="85">
        <v>44753.0</v>
      </c>
      <c r="E2092" s="86">
        <v>4.89</v>
      </c>
      <c r="F2092" s="87">
        <v>5.65</v>
      </c>
      <c r="G2092" s="88">
        <f t="shared" si="1"/>
        <v>0.76</v>
      </c>
      <c r="H2092" s="89">
        <f t="shared" si="10"/>
        <v>0.1345132743</v>
      </c>
      <c r="I2092" s="78" t="s">
        <v>2657</v>
      </c>
      <c r="J2092" s="78" t="s">
        <v>69</v>
      </c>
      <c r="K2092" s="58">
        <f t="shared" si="3"/>
        <v>46</v>
      </c>
      <c r="L2092" s="91" t="str">
        <f t="shared" si="8"/>
        <v>Mon</v>
      </c>
      <c r="M2092" s="78" t="str">
        <f>IFERROR(VLOOKUP(A2092, Entries!A:B,2,false),"")</f>
        <v>Ninja Kiwi</v>
      </c>
      <c r="N2092" s="23" t="str">
        <f>IFERROR(VLOOKUP(A2092, Entries!A:K,11,false),"")</f>
        <v/>
      </c>
      <c r="O2092" s="23" t="b">
        <f>IFERROR(VLOOKUP(A2092, Entries!A:I,8,false),"")</f>
        <v>0</v>
      </c>
    </row>
    <row r="2093">
      <c r="A2093" s="78" t="s">
        <v>106</v>
      </c>
      <c r="B2093" s="78" t="s">
        <v>19</v>
      </c>
      <c r="C2093" s="85">
        <v>44708.0</v>
      </c>
      <c r="D2093" s="85">
        <v>44708.0</v>
      </c>
      <c r="E2093" s="86">
        <v>3.1</v>
      </c>
      <c r="F2093" s="87">
        <v>5.56</v>
      </c>
      <c r="G2093" s="88">
        <f t="shared" si="1"/>
        <v>2.46</v>
      </c>
      <c r="H2093" s="89">
        <f t="shared" si="10"/>
        <v>0.4424460432</v>
      </c>
      <c r="I2093" s="78" t="s">
        <v>2658</v>
      </c>
      <c r="J2093" s="78" t="s">
        <v>69</v>
      </c>
      <c r="K2093" s="58">
        <f t="shared" si="3"/>
        <v>0</v>
      </c>
      <c r="L2093" s="91" t="str">
        <f t="shared" si="8"/>
        <v>Fri</v>
      </c>
      <c r="M2093" s="78" t="str">
        <f>IFERROR(VLOOKUP(A2093, Entries!A:B,2,false),"")</f>
        <v>Excalibur Games</v>
      </c>
      <c r="N2093" s="23" t="str">
        <f>IFERROR(VLOOKUP(A2093, Entries!A:K,11,false),"")</f>
        <v/>
      </c>
      <c r="O2093" s="23" t="b">
        <f>IFERROR(VLOOKUP(A2093, Entries!A:I,8,false),"")</f>
        <v>1</v>
      </c>
    </row>
    <row r="2094">
      <c r="A2094" s="78" t="s">
        <v>1077</v>
      </c>
      <c r="B2094" s="78" t="s">
        <v>19</v>
      </c>
      <c r="C2094" s="85">
        <v>44708.0</v>
      </c>
      <c r="D2094" s="85">
        <v>44708.0</v>
      </c>
      <c r="E2094" s="86">
        <v>3.06</v>
      </c>
      <c r="F2094" s="87">
        <v>3.31</v>
      </c>
      <c r="G2094" s="88">
        <f t="shared" si="1"/>
        <v>0.25</v>
      </c>
      <c r="H2094" s="89">
        <f t="shared" si="10"/>
        <v>0.07552870091</v>
      </c>
      <c r="I2094" s="78" t="s">
        <v>2659</v>
      </c>
      <c r="J2094" s="78" t="s">
        <v>69</v>
      </c>
      <c r="K2094" s="58">
        <f t="shared" si="3"/>
        <v>0</v>
      </c>
      <c r="L2094" s="91" t="str">
        <f t="shared" si="8"/>
        <v>Fri</v>
      </c>
      <c r="M2094" s="78" t="str">
        <f>IFERROR(VLOOKUP(A2094, Entries!A:B,2,false),"")</f>
        <v>Weather Factory</v>
      </c>
      <c r="N2094" s="23" t="str">
        <f>IFERROR(VLOOKUP(A2094, Entries!A:K,11,false),"")</f>
        <v/>
      </c>
      <c r="O2094" s="23" t="b">
        <f>IFERROR(VLOOKUP(A2094, Entries!A:I,8,false),"")</f>
        <v>0</v>
      </c>
    </row>
    <row r="2095">
      <c r="A2095" s="78" t="s">
        <v>2528</v>
      </c>
      <c r="B2095" s="78" t="s">
        <v>19</v>
      </c>
      <c r="C2095" s="85">
        <v>44708.0</v>
      </c>
      <c r="D2095" s="85">
        <v>44708.0</v>
      </c>
      <c r="E2095" s="86">
        <v>3.07</v>
      </c>
      <c r="F2095" s="87">
        <v>4.03</v>
      </c>
      <c r="G2095" s="88">
        <f t="shared" si="1"/>
        <v>0.96</v>
      </c>
      <c r="H2095" s="89">
        <f t="shared" si="10"/>
        <v>0.2382133995</v>
      </c>
      <c r="I2095" s="78" t="s">
        <v>2660</v>
      </c>
      <c r="J2095" s="78" t="s">
        <v>69</v>
      </c>
      <c r="K2095" s="58">
        <f t="shared" si="3"/>
        <v>0</v>
      </c>
      <c r="L2095" s="91" t="str">
        <f t="shared" si="8"/>
        <v>Fri</v>
      </c>
      <c r="M2095" s="78" t="str">
        <f>IFERROR(VLOOKUP(A2095, Entries!A:B,2,false),"")</f>
        <v>Cheesecake Dev</v>
      </c>
      <c r="N2095" s="23" t="str">
        <f>IFERROR(VLOOKUP(A2095, Entries!A:K,11,false),"")</f>
        <v/>
      </c>
      <c r="O2095" s="23" t="b">
        <f>IFERROR(VLOOKUP(A2095, Entries!A:I,8,false),"")</f>
        <v>0</v>
      </c>
    </row>
    <row r="2096">
      <c r="A2096" s="78" t="s">
        <v>385</v>
      </c>
      <c r="B2096" s="78" t="s">
        <v>19</v>
      </c>
      <c r="C2096" s="85">
        <v>44708.0</v>
      </c>
      <c r="D2096" s="85">
        <v>44708.0</v>
      </c>
      <c r="E2096" s="86">
        <v>0.99</v>
      </c>
      <c r="F2096" s="87">
        <v>1.5</v>
      </c>
      <c r="G2096" s="88">
        <f t="shared" si="1"/>
        <v>0.51</v>
      </c>
      <c r="H2096" s="89">
        <f t="shared" si="10"/>
        <v>0.34</v>
      </c>
      <c r="I2096" s="78" t="s">
        <v>2661</v>
      </c>
      <c r="J2096" s="78" t="s">
        <v>69</v>
      </c>
      <c r="K2096" s="58">
        <f t="shared" si="3"/>
        <v>0</v>
      </c>
      <c r="L2096" s="91" t="str">
        <f t="shared" si="8"/>
        <v>Fri</v>
      </c>
      <c r="M2096" s="78" t="str">
        <f>IFERROR(VLOOKUP(A2096, Entries!A:B,2,false),"")</f>
        <v>Cheesecake Dev</v>
      </c>
      <c r="N2096" s="23" t="str">
        <f>IFERROR(VLOOKUP(A2096, Entries!A:K,11,false),"")</f>
        <v/>
      </c>
      <c r="O2096" s="23" t="b">
        <f>IFERROR(VLOOKUP(A2096, Entries!A:I,8,false),"")</f>
        <v>1</v>
      </c>
    </row>
    <row r="2097">
      <c r="A2097" s="78" t="s">
        <v>2472</v>
      </c>
      <c r="B2097" s="78" t="s">
        <v>27</v>
      </c>
      <c r="C2097" s="85">
        <v>44708.0</v>
      </c>
      <c r="D2097" s="85">
        <v>44716.0</v>
      </c>
      <c r="E2097" s="86">
        <v>4.79</v>
      </c>
      <c r="F2097" s="87">
        <v>7.77</v>
      </c>
      <c r="G2097" s="88">
        <f t="shared" si="1"/>
        <v>2.98</v>
      </c>
      <c r="H2097" s="89">
        <f t="shared" si="10"/>
        <v>0.3835263835</v>
      </c>
      <c r="I2097" s="78" t="s">
        <v>2662</v>
      </c>
      <c r="J2097" s="78" t="s">
        <v>69</v>
      </c>
      <c r="K2097" s="58">
        <f t="shared" si="3"/>
        <v>8</v>
      </c>
      <c r="L2097" s="91" t="str">
        <f t="shared" si="8"/>
        <v>Sat</v>
      </c>
      <c r="M2097" s="78" t="str">
        <f>IFERROR(VLOOKUP(A2097, Entries!A:B,2,false),"")</f>
        <v>Merge Games</v>
      </c>
      <c r="N2097" s="23" t="str">
        <f>IFERROR(VLOOKUP(A2097, Entries!A:K,11,false),"")</f>
        <v/>
      </c>
      <c r="O2097" s="23" t="b">
        <f>IFERROR(VLOOKUP(A2097, Entries!A:I,8,false),"")</f>
        <v>1</v>
      </c>
    </row>
    <row r="2098">
      <c r="A2098" s="78" t="s">
        <v>1989</v>
      </c>
      <c r="B2098" s="78" t="s">
        <v>27</v>
      </c>
      <c r="C2098" s="85">
        <v>44708.0</v>
      </c>
      <c r="D2098" s="85">
        <v>44708.0</v>
      </c>
      <c r="E2098" s="86">
        <v>9.19</v>
      </c>
      <c r="F2098" s="87">
        <v>12.36</v>
      </c>
      <c r="G2098" s="88">
        <f t="shared" si="1"/>
        <v>3.17</v>
      </c>
      <c r="H2098" s="89">
        <f t="shared" si="10"/>
        <v>0.2564724919</v>
      </c>
      <c r="I2098" s="78" t="s">
        <v>2663</v>
      </c>
      <c r="J2098" s="78" t="s">
        <v>69</v>
      </c>
      <c r="K2098" s="58">
        <f t="shared" si="3"/>
        <v>0</v>
      </c>
      <c r="L2098" s="91" t="str">
        <f t="shared" si="8"/>
        <v>Fri</v>
      </c>
      <c r="M2098" s="78" t="str">
        <f>IFERROR(VLOOKUP(A2098, Entries!A:B,2,false),"")</f>
        <v>Rebellion</v>
      </c>
      <c r="N2098" s="23" t="str">
        <f>IFERROR(VLOOKUP(A2098, Entries!A:K,11,false),"")</f>
        <v/>
      </c>
      <c r="O2098" s="23" t="b">
        <f>IFERROR(VLOOKUP(A2098, Entries!A:I,8,false),"")</f>
        <v>1</v>
      </c>
    </row>
    <row r="2099">
      <c r="A2099" s="78" t="s">
        <v>553</v>
      </c>
      <c r="B2099" s="78" t="s">
        <v>21</v>
      </c>
      <c r="C2099" s="85">
        <v>44708.0</v>
      </c>
      <c r="D2099" s="85">
        <v>45366.0</v>
      </c>
      <c r="E2099" s="86">
        <v>7.57</v>
      </c>
      <c r="F2099" s="87">
        <v>5.52</v>
      </c>
      <c r="G2099" s="88">
        <f t="shared" si="1"/>
        <v>-2.05</v>
      </c>
      <c r="H2099" s="89">
        <f t="shared" si="10"/>
        <v>-0.3713768116</v>
      </c>
      <c r="I2099" s="78" t="s">
        <v>2664</v>
      </c>
      <c r="J2099" s="78" t="s">
        <v>69</v>
      </c>
      <c r="K2099" s="58">
        <f t="shared" si="3"/>
        <v>658</v>
      </c>
      <c r="L2099" s="91" t="str">
        <f t="shared" si="8"/>
        <v>Fri</v>
      </c>
      <c r="M2099" s="78" t="str">
        <f>IFERROR(VLOOKUP(A2099, Entries!A:B,2,false),"")</f>
        <v>Beamdog</v>
      </c>
      <c r="N2099" s="23" t="str">
        <f>IFERROR(VLOOKUP(A2099, Entries!A:K,11,false),"")</f>
        <v/>
      </c>
      <c r="O2099" s="23" t="b">
        <f>IFERROR(VLOOKUP(A2099, Entries!A:I,8,false),"")</f>
        <v>0</v>
      </c>
    </row>
    <row r="2100">
      <c r="A2100" s="78" t="s">
        <v>2665</v>
      </c>
      <c r="B2100" s="78" t="s">
        <v>19</v>
      </c>
      <c r="C2100" s="85">
        <v>44708.0</v>
      </c>
      <c r="D2100" s="85">
        <v>44721.0</v>
      </c>
      <c r="E2100" s="86">
        <v>3.09</v>
      </c>
      <c r="F2100" s="87">
        <v>3.34</v>
      </c>
      <c r="G2100" s="88">
        <f t="shared" si="1"/>
        <v>0.25</v>
      </c>
      <c r="H2100" s="89">
        <f t="shared" si="10"/>
        <v>0.0748502994</v>
      </c>
      <c r="I2100" s="78" t="s">
        <v>2666</v>
      </c>
      <c r="J2100" s="78" t="s">
        <v>69</v>
      </c>
      <c r="K2100" s="58">
        <f t="shared" si="3"/>
        <v>13</v>
      </c>
      <c r="L2100" s="91" t="str">
        <f t="shared" si="8"/>
        <v>Thu</v>
      </c>
      <c r="M2100" s="78" t="str">
        <f>IFERROR(VLOOKUP(A2100, Entries!A:B,2,false),"")</f>
        <v>Maximum Entertainment</v>
      </c>
      <c r="N2100" s="23" t="str">
        <f>IFERROR(VLOOKUP(A2100, Entries!A:K,11,false),"")</f>
        <v/>
      </c>
      <c r="O2100" s="23" t="b">
        <f>IFERROR(VLOOKUP(A2100, Entries!A:I,8,false),"")</f>
        <v>0</v>
      </c>
    </row>
    <row r="2101">
      <c r="A2101" s="78" t="s">
        <v>2528</v>
      </c>
      <c r="B2101" s="78" t="s">
        <v>19</v>
      </c>
      <c r="C2101" s="85">
        <v>44708.0</v>
      </c>
      <c r="D2101" s="85">
        <v>44708.0</v>
      </c>
      <c r="E2101" s="86">
        <v>3.09</v>
      </c>
      <c r="F2101" s="87">
        <v>4.03</v>
      </c>
      <c r="G2101" s="88">
        <f t="shared" si="1"/>
        <v>0.94</v>
      </c>
      <c r="H2101" s="89">
        <f t="shared" si="10"/>
        <v>0.2332506203</v>
      </c>
      <c r="I2101" s="78" t="s">
        <v>2667</v>
      </c>
      <c r="J2101" s="78" t="s">
        <v>69</v>
      </c>
      <c r="K2101" s="58">
        <f t="shared" si="3"/>
        <v>0</v>
      </c>
      <c r="L2101" s="91" t="str">
        <f t="shared" si="8"/>
        <v>Fri</v>
      </c>
      <c r="M2101" s="78" t="str">
        <f>IFERROR(VLOOKUP(A2101, Entries!A:B,2,false),"")</f>
        <v>Cheesecake Dev</v>
      </c>
      <c r="N2101" s="23" t="str">
        <f>IFERROR(VLOOKUP(A2101, Entries!A:K,11,false),"")</f>
        <v/>
      </c>
      <c r="O2101" s="23" t="b">
        <f>IFERROR(VLOOKUP(A2101, Entries!A:I,8,false),"")</f>
        <v>0</v>
      </c>
    </row>
    <row r="2102">
      <c r="A2102" s="78" t="s">
        <v>106</v>
      </c>
      <c r="B2102" s="78" t="s">
        <v>19</v>
      </c>
      <c r="C2102" s="85">
        <v>44708.0</v>
      </c>
      <c r="D2102" s="85">
        <v>44709.0</v>
      </c>
      <c r="E2102" s="86">
        <v>3.09</v>
      </c>
      <c r="F2102" s="87">
        <v>5.56</v>
      </c>
      <c r="G2102" s="88">
        <f t="shared" si="1"/>
        <v>2.47</v>
      </c>
      <c r="H2102" s="89">
        <f t="shared" si="10"/>
        <v>0.4442446043</v>
      </c>
      <c r="I2102" s="78" t="s">
        <v>2668</v>
      </c>
      <c r="J2102" s="78" t="s">
        <v>69</v>
      </c>
      <c r="K2102" s="58">
        <f t="shared" si="3"/>
        <v>1</v>
      </c>
      <c r="L2102" s="91" t="str">
        <f t="shared" si="8"/>
        <v>Sat</v>
      </c>
      <c r="M2102" s="78" t="str">
        <f>IFERROR(VLOOKUP(A2102, Entries!A:B,2,false),"")</f>
        <v>Excalibur Games</v>
      </c>
      <c r="N2102" s="23" t="str">
        <f>IFERROR(VLOOKUP(A2102, Entries!A:K,11,false),"")</f>
        <v/>
      </c>
      <c r="O2102" s="23" t="b">
        <f>IFERROR(VLOOKUP(A2102, Entries!A:I,8,false),"")</f>
        <v>1</v>
      </c>
    </row>
    <row r="2103">
      <c r="A2103" s="78" t="s">
        <v>1713</v>
      </c>
      <c r="B2103" s="78" t="s">
        <v>27</v>
      </c>
      <c r="C2103" s="85">
        <v>44708.0</v>
      </c>
      <c r="D2103" s="85">
        <v>45819.0</v>
      </c>
      <c r="E2103" s="86">
        <v>5.39</v>
      </c>
      <c r="F2103" s="87">
        <v>2.81</v>
      </c>
      <c r="G2103" s="88">
        <f t="shared" si="1"/>
        <v>-2.58</v>
      </c>
      <c r="H2103" s="89">
        <f t="shared" si="10"/>
        <v>-0.9181494662</v>
      </c>
      <c r="I2103" s="103" t="s">
        <v>2312</v>
      </c>
      <c r="J2103" s="78" t="s">
        <v>69</v>
      </c>
      <c r="K2103" s="58">
        <f t="shared" si="3"/>
        <v>1111</v>
      </c>
      <c r="L2103" s="91" t="str">
        <f t="shared" si="8"/>
        <v>Wed</v>
      </c>
      <c r="M2103" s="78" t="str">
        <f>IFERROR(VLOOKUP(A2103, Entries!A:B,2,false),"")</f>
        <v>11 bit studios</v>
      </c>
      <c r="N2103" s="23" t="str">
        <f>IFERROR(VLOOKUP(A2103, Entries!A:K,11,false),"")</f>
        <v/>
      </c>
      <c r="O2103" s="23" t="b">
        <f>IFERROR(VLOOKUP(A2103, Entries!A:I,8,false),"")</f>
        <v>0</v>
      </c>
      <c r="S2103" s="23" t="str">
        <f>IF(AND(TODAY()-ROW(A1279)+1 &lt;= 30, J1279="Closed"), TEXT(TODAY()-ROW(A1279)+1, "dd-mm-yyyy"), "")
</f>
        <v/>
      </c>
    </row>
    <row r="2104">
      <c r="A2104" s="78" t="s">
        <v>1989</v>
      </c>
      <c r="B2104" s="78" t="s">
        <v>27</v>
      </c>
      <c r="C2104" s="85">
        <v>44708.0</v>
      </c>
      <c r="D2104" s="85">
        <v>44708.0</v>
      </c>
      <c r="E2104" s="86">
        <v>9.19</v>
      </c>
      <c r="F2104" s="87">
        <v>12.36</v>
      </c>
      <c r="G2104" s="88">
        <f t="shared" si="1"/>
        <v>3.17</v>
      </c>
      <c r="H2104" s="89">
        <f t="shared" si="10"/>
        <v>0.2564724919</v>
      </c>
      <c r="I2104" s="78" t="s">
        <v>2669</v>
      </c>
      <c r="J2104" s="78" t="s">
        <v>69</v>
      </c>
      <c r="K2104" s="58">
        <f t="shared" si="3"/>
        <v>0</v>
      </c>
      <c r="L2104" s="91" t="str">
        <f t="shared" si="8"/>
        <v>Fri</v>
      </c>
      <c r="M2104" s="78" t="str">
        <f>IFERROR(VLOOKUP(A2104, Entries!A:B,2,false),"")</f>
        <v>Rebellion</v>
      </c>
      <c r="N2104" s="23" t="str">
        <f>IFERROR(VLOOKUP(A2104, Entries!A:K,11,false),"")</f>
        <v/>
      </c>
      <c r="O2104" s="23" t="b">
        <f>IFERROR(VLOOKUP(A2104, Entries!A:I,8,false),"")</f>
        <v>1</v>
      </c>
    </row>
    <row r="2105">
      <c r="A2105" s="78" t="s">
        <v>1989</v>
      </c>
      <c r="B2105" s="78" t="s">
        <v>27</v>
      </c>
      <c r="C2105" s="85">
        <v>44708.0</v>
      </c>
      <c r="D2105" s="85">
        <v>44709.0</v>
      </c>
      <c r="E2105" s="86">
        <v>9.19</v>
      </c>
      <c r="F2105" s="87">
        <v>12.34</v>
      </c>
      <c r="G2105" s="88">
        <f t="shared" si="1"/>
        <v>3.15</v>
      </c>
      <c r="H2105" s="89">
        <f t="shared" si="10"/>
        <v>0.255267423</v>
      </c>
      <c r="I2105" s="78" t="s">
        <v>2670</v>
      </c>
      <c r="J2105" s="78" t="s">
        <v>69</v>
      </c>
      <c r="K2105" s="58">
        <f t="shared" si="3"/>
        <v>1</v>
      </c>
      <c r="L2105" s="91" t="str">
        <f t="shared" si="8"/>
        <v>Sat</v>
      </c>
      <c r="M2105" s="78" t="str">
        <f>IFERROR(VLOOKUP(A2105, Entries!A:B,2,false),"")</f>
        <v>Rebellion</v>
      </c>
      <c r="N2105" s="23" t="str">
        <f>IFERROR(VLOOKUP(A2105, Entries!A:K,11,false),"")</f>
        <v/>
      </c>
      <c r="O2105" s="23" t="b">
        <f>IFERROR(VLOOKUP(A2105, Entries!A:I,8,false),"")</f>
        <v>1</v>
      </c>
    </row>
    <row r="2106">
      <c r="A2106" s="78" t="s">
        <v>1989</v>
      </c>
      <c r="B2106" s="78" t="s">
        <v>27</v>
      </c>
      <c r="C2106" s="85">
        <v>44709.0</v>
      </c>
      <c r="D2106" s="85">
        <v>44709.0</v>
      </c>
      <c r="E2106" s="86">
        <v>9.19</v>
      </c>
      <c r="F2106" s="87">
        <v>12.34</v>
      </c>
      <c r="G2106" s="88">
        <f t="shared" si="1"/>
        <v>3.15</v>
      </c>
      <c r="H2106" s="89">
        <f t="shared" si="10"/>
        <v>0.255267423</v>
      </c>
      <c r="I2106" s="78" t="s">
        <v>2671</v>
      </c>
      <c r="J2106" s="78" t="s">
        <v>69</v>
      </c>
      <c r="K2106" s="58">
        <f t="shared" si="3"/>
        <v>0</v>
      </c>
      <c r="L2106" s="91" t="str">
        <f t="shared" si="8"/>
        <v>Sat</v>
      </c>
      <c r="M2106" s="78" t="str">
        <f>IFERROR(VLOOKUP(A2106, Entries!A:B,2,false),"")</f>
        <v>Rebellion</v>
      </c>
      <c r="N2106" s="23" t="str">
        <f>IFERROR(VLOOKUP(A2106, Entries!A:K,11,false),"")</f>
        <v/>
      </c>
      <c r="O2106" s="23" t="b">
        <f>IFERROR(VLOOKUP(A2106, Entries!A:I,8,false),"")</f>
        <v>1</v>
      </c>
    </row>
    <row r="2107">
      <c r="A2107" s="78" t="s">
        <v>1989</v>
      </c>
      <c r="B2107" s="78" t="s">
        <v>27</v>
      </c>
      <c r="C2107" s="85">
        <v>44709.0</v>
      </c>
      <c r="D2107" s="85">
        <v>44709.0</v>
      </c>
      <c r="E2107" s="86">
        <v>9.19</v>
      </c>
      <c r="F2107" s="87">
        <v>12.34</v>
      </c>
      <c r="G2107" s="88">
        <f t="shared" si="1"/>
        <v>3.15</v>
      </c>
      <c r="H2107" s="89">
        <f t="shared" si="10"/>
        <v>0.255267423</v>
      </c>
      <c r="I2107" s="78" t="s">
        <v>2672</v>
      </c>
      <c r="J2107" s="78" t="s">
        <v>69</v>
      </c>
      <c r="K2107" s="58">
        <f t="shared" si="3"/>
        <v>0</v>
      </c>
      <c r="L2107" s="91" t="str">
        <f t="shared" si="8"/>
        <v>Sat</v>
      </c>
      <c r="M2107" s="78" t="str">
        <f>IFERROR(VLOOKUP(A2107, Entries!A:B,2,false),"")</f>
        <v>Rebellion</v>
      </c>
      <c r="N2107" s="23" t="str">
        <f>IFERROR(VLOOKUP(A2107, Entries!A:K,11,false),"")</f>
        <v/>
      </c>
      <c r="O2107" s="23" t="b">
        <f>IFERROR(VLOOKUP(A2107, Entries!A:I,8,false),"")</f>
        <v>1</v>
      </c>
    </row>
    <row r="2108">
      <c r="A2108" s="78" t="s">
        <v>1989</v>
      </c>
      <c r="B2108" s="78" t="s">
        <v>27</v>
      </c>
      <c r="C2108" s="85">
        <v>44709.0</v>
      </c>
      <c r="D2108" s="85">
        <v>44709.0</v>
      </c>
      <c r="E2108" s="86">
        <v>9.19</v>
      </c>
      <c r="F2108" s="87">
        <v>12.32</v>
      </c>
      <c r="G2108" s="88">
        <f t="shared" si="1"/>
        <v>3.13</v>
      </c>
      <c r="H2108" s="89">
        <f t="shared" si="10"/>
        <v>0.2540584416</v>
      </c>
      <c r="I2108" s="78" t="s">
        <v>2673</v>
      </c>
      <c r="J2108" s="78" t="s">
        <v>69</v>
      </c>
      <c r="K2108" s="58">
        <f t="shared" si="3"/>
        <v>0</v>
      </c>
      <c r="L2108" s="91" t="str">
        <f t="shared" si="8"/>
        <v>Sat</v>
      </c>
      <c r="M2108" s="78" t="str">
        <f>IFERROR(VLOOKUP(A2108, Entries!A:B,2,false),"")</f>
        <v>Rebellion</v>
      </c>
      <c r="N2108" s="23" t="str">
        <f>IFERROR(VLOOKUP(A2108, Entries!A:K,11,false),"")</f>
        <v/>
      </c>
      <c r="O2108" s="23" t="b">
        <f>IFERROR(VLOOKUP(A2108, Entries!A:I,8,false),"")</f>
        <v>1</v>
      </c>
    </row>
    <row r="2109">
      <c r="A2109" s="78" t="s">
        <v>1989</v>
      </c>
      <c r="B2109" s="78" t="s">
        <v>27</v>
      </c>
      <c r="C2109" s="85">
        <v>44709.0</v>
      </c>
      <c r="D2109" s="85">
        <v>44709.0</v>
      </c>
      <c r="E2109" s="86">
        <v>9.19</v>
      </c>
      <c r="F2109" s="87">
        <v>12.32</v>
      </c>
      <c r="G2109" s="88">
        <f t="shared" si="1"/>
        <v>3.13</v>
      </c>
      <c r="H2109" s="89">
        <f t="shared" si="10"/>
        <v>0.2540584416</v>
      </c>
      <c r="I2109" s="78" t="s">
        <v>2674</v>
      </c>
      <c r="J2109" s="78" t="s">
        <v>69</v>
      </c>
      <c r="K2109" s="58">
        <f t="shared" si="3"/>
        <v>0</v>
      </c>
      <c r="L2109" s="91" t="str">
        <f t="shared" si="8"/>
        <v>Sat</v>
      </c>
      <c r="M2109" s="78" t="str">
        <f>IFERROR(VLOOKUP(A2109, Entries!A:B,2,false),"")</f>
        <v>Rebellion</v>
      </c>
      <c r="N2109" s="23" t="str">
        <f>IFERROR(VLOOKUP(A2109, Entries!A:K,11,false),"")</f>
        <v/>
      </c>
      <c r="O2109" s="23" t="b">
        <f>IFERROR(VLOOKUP(A2109, Entries!A:I,8,false),"")</f>
        <v>1</v>
      </c>
    </row>
    <row r="2110">
      <c r="A2110" s="78" t="s">
        <v>1989</v>
      </c>
      <c r="B2110" s="78" t="s">
        <v>27</v>
      </c>
      <c r="C2110" s="85">
        <v>44709.0</v>
      </c>
      <c r="D2110" s="85">
        <v>44709.0</v>
      </c>
      <c r="E2110" s="86">
        <v>9.19</v>
      </c>
      <c r="F2110" s="87">
        <v>12.32</v>
      </c>
      <c r="G2110" s="88">
        <f t="shared" si="1"/>
        <v>3.13</v>
      </c>
      <c r="H2110" s="89">
        <f t="shared" si="10"/>
        <v>0.2540584416</v>
      </c>
      <c r="I2110" s="78" t="s">
        <v>2675</v>
      </c>
      <c r="J2110" s="78" t="s">
        <v>69</v>
      </c>
      <c r="K2110" s="58">
        <f t="shared" si="3"/>
        <v>0</v>
      </c>
      <c r="L2110" s="91" t="str">
        <f t="shared" si="8"/>
        <v>Sat</v>
      </c>
      <c r="M2110" s="78" t="str">
        <f>IFERROR(VLOOKUP(A2110, Entries!A:B,2,false),"")</f>
        <v>Rebellion</v>
      </c>
      <c r="N2110" s="23" t="str">
        <f>IFERROR(VLOOKUP(A2110, Entries!A:K,11,false),"")</f>
        <v/>
      </c>
      <c r="O2110" s="23" t="b">
        <f>IFERROR(VLOOKUP(A2110, Entries!A:I,8,false),"")</f>
        <v>1</v>
      </c>
    </row>
    <row r="2111">
      <c r="A2111" s="78" t="s">
        <v>1989</v>
      </c>
      <c r="B2111" s="78" t="s">
        <v>27</v>
      </c>
      <c r="C2111" s="85">
        <v>44709.0</v>
      </c>
      <c r="D2111" s="85">
        <v>44709.0</v>
      </c>
      <c r="E2111" s="86">
        <v>9.19</v>
      </c>
      <c r="F2111" s="87">
        <v>12.29</v>
      </c>
      <c r="G2111" s="88">
        <f t="shared" si="1"/>
        <v>3.1</v>
      </c>
      <c r="H2111" s="89">
        <f t="shared" si="10"/>
        <v>0.2522375915</v>
      </c>
      <c r="I2111" s="78" t="s">
        <v>2676</v>
      </c>
      <c r="J2111" s="78" t="s">
        <v>69</v>
      </c>
      <c r="K2111" s="58">
        <f t="shared" si="3"/>
        <v>0</v>
      </c>
      <c r="L2111" s="91" t="str">
        <f t="shared" si="8"/>
        <v>Sat</v>
      </c>
      <c r="M2111" s="78" t="str">
        <f>IFERROR(VLOOKUP(A2111, Entries!A:B,2,false),"")</f>
        <v>Rebellion</v>
      </c>
      <c r="N2111" s="23" t="str">
        <f>IFERROR(VLOOKUP(A2111, Entries!A:K,11,false),"")</f>
        <v/>
      </c>
      <c r="O2111" s="23" t="b">
        <f>IFERROR(VLOOKUP(A2111, Entries!A:I,8,false),"")</f>
        <v>1</v>
      </c>
    </row>
    <row r="2112">
      <c r="A2112" s="78" t="s">
        <v>1989</v>
      </c>
      <c r="B2112" s="78" t="s">
        <v>27</v>
      </c>
      <c r="C2112" s="85">
        <v>44709.0</v>
      </c>
      <c r="D2112" s="85">
        <v>44710.0</v>
      </c>
      <c r="E2112" s="86">
        <v>9.19</v>
      </c>
      <c r="F2112" s="87">
        <v>12.29</v>
      </c>
      <c r="G2112" s="88">
        <f t="shared" si="1"/>
        <v>3.1</v>
      </c>
      <c r="H2112" s="89">
        <f t="shared" si="10"/>
        <v>0.2522375915</v>
      </c>
      <c r="I2112" s="78" t="s">
        <v>2677</v>
      </c>
      <c r="J2112" s="78" t="s">
        <v>69</v>
      </c>
      <c r="K2112" s="58">
        <f t="shared" si="3"/>
        <v>1</v>
      </c>
      <c r="L2112" s="91" t="str">
        <f t="shared" si="8"/>
        <v>Sun</v>
      </c>
      <c r="M2112" s="78" t="str">
        <f>IFERROR(VLOOKUP(A2112, Entries!A:B,2,false),"")</f>
        <v>Rebellion</v>
      </c>
      <c r="N2112" s="23" t="str">
        <f>IFERROR(VLOOKUP(A2112, Entries!A:K,11,false),"")</f>
        <v/>
      </c>
      <c r="O2112" s="23" t="b">
        <f>IFERROR(VLOOKUP(A2112, Entries!A:I,8,false),"")</f>
        <v>1</v>
      </c>
    </row>
    <row r="2113">
      <c r="A2113" s="78" t="s">
        <v>2051</v>
      </c>
      <c r="B2113" s="78" t="s">
        <v>18</v>
      </c>
      <c r="C2113" s="85">
        <v>44710.0</v>
      </c>
      <c r="D2113" s="85">
        <v>44716.0</v>
      </c>
      <c r="E2113" s="86">
        <v>7.56</v>
      </c>
      <c r="F2113" s="87">
        <v>10.36</v>
      </c>
      <c r="G2113" s="88">
        <f t="shared" si="1"/>
        <v>2.8</v>
      </c>
      <c r="H2113" s="89">
        <f t="shared" si="10"/>
        <v>0.2702702703</v>
      </c>
      <c r="I2113" s="78" t="s">
        <v>2678</v>
      </c>
      <c r="J2113" s="78" t="s">
        <v>69</v>
      </c>
      <c r="K2113" s="58">
        <f t="shared" si="3"/>
        <v>6</v>
      </c>
      <c r="L2113" s="91" t="str">
        <f t="shared" si="8"/>
        <v>Sat</v>
      </c>
      <c r="M2113" s="78" t="str">
        <f>IFERROR(VLOOKUP(A2113, Entries!A:B,2,false),"")</f>
        <v>Nacon</v>
      </c>
      <c r="N2113" s="23" t="str">
        <f>IFERROR(VLOOKUP(A2113, Entries!A:K,11,false),"")</f>
        <v/>
      </c>
      <c r="O2113" s="23" t="b">
        <f>IFERROR(VLOOKUP(A2113, Entries!A:I,8,false),"")</f>
        <v>0</v>
      </c>
    </row>
    <row r="2114">
      <c r="A2114" s="78" t="s">
        <v>2051</v>
      </c>
      <c r="B2114" s="78" t="s">
        <v>18</v>
      </c>
      <c r="C2114" s="85">
        <v>44710.0</v>
      </c>
      <c r="D2114" s="85">
        <v>44716.0</v>
      </c>
      <c r="E2114" s="86">
        <v>7.57</v>
      </c>
      <c r="F2114" s="87">
        <v>10.36</v>
      </c>
      <c r="G2114" s="88">
        <f t="shared" si="1"/>
        <v>2.79</v>
      </c>
      <c r="H2114" s="89">
        <f t="shared" si="10"/>
        <v>0.2693050193</v>
      </c>
      <c r="I2114" s="78" t="s">
        <v>2679</v>
      </c>
      <c r="J2114" s="78" t="s">
        <v>69</v>
      </c>
      <c r="K2114" s="58">
        <f t="shared" si="3"/>
        <v>6</v>
      </c>
      <c r="L2114" s="91" t="str">
        <f t="shared" si="8"/>
        <v>Sat</v>
      </c>
      <c r="M2114" s="78" t="str">
        <f>IFERROR(VLOOKUP(A2114, Entries!A:B,2,false),"")</f>
        <v>Nacon</v>
      </c>
      <c r="N2114" s="23" t="str">
        <f>IFERROR(VLOOKUP(A2114, Entries!A:K,11,false),"")</f>
        <v/>
      </c>
      <c r="O2114" s="23" t="b">
        <f>IFERROR(VLOOKUP(A2114, Entries!A:I,8,false),"")</f>
        <v>0</v>
      </c>
    </row>
    <row r="2115">
      <c r="A2115" s="78" t="s">
        <v>1989</v>
      </c>
      <c r="B2115" s="78" t="s">
        <v>27</v>
      </c>
      <c r="C2115" s="85">
        <v>44710.0</v>
      </c>
      <c r="D2115" s="85">
        <v>44710.0</v>
      </c>
      <c r="E2115" s="86">
        <v>9.19</v>
      </c>
      <c r="F2115" s="87">
        <v>12.23</v>
      </c>
      <c r="G2115" s="88">
        <f t="shared" si="1"/>
        <v>3.04</v>
      </c>
      <c r="H2115" s="89">
        <f t="shared" si="10"/>
        <v>0.2485690924</v>
      </c>
      <c r="I2115" s="78" t="s">
        <v>2680</v>
      </c>
      <c r="J2115" s="78" t="s">
        <v>69</v>
      </c>
      <c r="K2115" s="58">
        <f t="shared" si="3"/>
        <v>0</v>
      </c>
      <c r="L2115" s="91" t="str">
        <f t="shared" si="8"/>
        <v>Sun</v>
      </c>
      <c r="M2115" s="78" t="str">
        <f>IFERROR(VLOOKUP(A2115, Entries!A:B,2,false),"")</f>
        <v>Rebellion</v>
      </c>
      <c r="N2115" s="23" t="str">
        <f>IFERROR(VLOOKUP(A2115, Entries!A:K,11,false),"")</f>
        <v/>
      </c>
      <c r="O2115" s="23" t="b">
        <f>IFERROR(VLOOKUP(A2115, Entries!A:I,8,false),"")</f>
        <v>1</v>
      </c>
    </row>
    <row r="2116">
      <c r="A2116" s="78" t="s">
        <v>1989</v>
      </c>
      <c r="B2116" s="78" t="s">
        <v>27</v>
      </c>
      <c r="C2116" s="85">
        <v>44710.0</v>
      </c>
      <c r="D2116" s="85">
        <v>44711.0</v>
      </c>
      <c r="E2116" s="86">
        <v>9.19</v>
      </c>
      <c r="F2116" s="87">
        <v>11.33</v>
      </c>
      <c r="G2116" s="88">
        <f t="shared" si="1"/>
        <v>2.14</v>
      </c>
      <c r="H2116" s="89">
        <f t="shared" si="10"/>
        <v>0.1888790821</v>
      </c>
      <c r="I2116" s="78" t="s">
        <v>2681</v>
      </c>
      <c r="J2116" s="78" t="s">
        <v>69</v>
      </c>
      <c r="K2116" s="58">
        <f t="shared" si="3"/>
        <v>1</v>
      </c>
      <c r="L2116" s="91" t="str">
        <f t="shared" si="8"/>
        <v>Mon</v>
      </c>
      <c r="M2116" s="78" t="str">
        <f>IFERROR(VLOOKUP(A2116, Entries!A:B,2,false),"")</f>
        <v>Rebellion</v>
      </c>
      <c r="N2116" s="23" t="str">
        <f>IFERROR(VLOOKUP(A2116, Entries!A:K,11,false),"")</f>
        <v/>
      </c>
      <c r="O2116" s="23" t="b">
        <f>IFERROR(VLOOKUP(A2116, Entries!A:I,8,false),"")</f>
        <v>1</v>
      </c>
    </row>
    <row r="2117">
      <c r="A2117" s="78" t="s">
        <v>385</v>
      </c>
      <c r="B2117" s="78" t="s">
        <v>19</v>
      </c>
      <c r="C2117" s="85">
        <v>44710.0</v>
      </c>
      <c r="D2117" s="85">
        <v>44810.0</v>
      </c>
      <c r="E2117" s="86">
        <v>0.9</v>
      </c>
      <c r="F2117" s="87">
        <v>1.38</v>
      </c>
      <c r="G2117" s="88">
        <f t="shared" si="1"/>
        <v>0.48</v>
      </c>
      <c r="H2117" s="89">
        <f t="shared" si="10"/>
        <v>0.347826087</v>
      </c>
      <c r="I2117" s="78" t="s">
        <v>2682</v>
      </c>
      <c r="J2117" s="78" t="s">
        <v>69</v>
      </c>
      <c r="K2117" s="58">
        <f t="shared" si="3"/>
        <v>100</v>
      </c>
      <c r="L2117" s="91" t="str">
        <f t="shared" si="8"/>
        <v>Tue</v>
      </c>
      <c r="M2117" s="78" t="str">
        <f>IFERROR(VLOOKUP(A2117, Entries!A:B,2,false),"")</f>
        <v>Cheesecake Dev</v>
      </c>
      <c r="N2117" s="23" t="str">
        <f>IFERROR(VLOOKUP(A2117, Entries!A:K,11,false),"")</f>
        <v/>
      </c>
      <c r="O2117" s="23" t="b">
        <f>IFERROR(VLOOKUP(A2117, Entries!A:I,8,false),"")</f>
        <v>1</v>
      </c>
    </row>
    <row r="2118">
      <c r="A2118" s="78" t="s">
        <v>106</v>
      </c>
      <c r="B2118" s="78" t="s">
        <v>19</v>
      </c>
      <c r="C2118" s="85">
        <v>44710.0</v>
      </c>
      <c r="D2118" s="85">
        <v>44712.0</v>
      </c>
      <c r="E2118" s="86">
        <v>3.09</v>
      </c>
      <c r="F2118" s="87">
        <v>4.87</v>
      </c>
      <c r="G2118" s="88">
        <f t="shared" si="1"/>
        <v>1.78</v>
      </c>
      <c r="H2118" s="89">
        <f t="shared" si="10"/>
        <v>0.3655030801</v>
      </c>
      <c r="I2118" s="78" t="s">
        <v>2683</v>
      </c>
      <c r="J2118" s="78" t="s">
        <v>69</v>
      </c>
      <c r="K2118" s="58">
        <f t="shared" si="3"/>
        <v>2</v>
      </c>
      <c r="L2118" s="91" t="str">
        <f t="shared" si="8"/>
        <v>Tue</v>
      </c>
      <c r="M2118" s="78" t="str">
        <f>IFERROR(VLOOKUP(A2118, Entries!A:B,2,false),"")</f>
        <v>Excalibur Games</v>
      </c>
      <c r="N2118" s="23" t="str">
        <f>IFERROR(VLOOKUP(A2118, Entries!A:K,11,false),"")</f>
        <v/>
      </c>
      <c r="O2118" s="23" t="b">
        <f>IFERROR(VLOOKUP(A2118, Entries!A:I,8,false),"")</f>
        <v>1</v>
      </c>
    </row>
    <row r="2119">
      <c r="A2119" s="78" t="s">
        <v>2528</v>
      </c>
      <c r="B2119" s="78" t="s">
        <v>19</v>
      </c>
      <c r="C2119" s="85">
        <v>44710.0</v>
      </c>
      <c r="D2119" s="85">
        <v>44710.0</v>
      </c>
      <c r="E2119" s="86">
        <v>3.09</v>
      </c>
      <c r="F2119" s="87">
        <v>4.03</v>
      </c>
      <c r="G2119" s="88">
        <f t="shared" si="1"/>
        <v>0.94</v>
      </c>
      <c r="H2119" s="89">
        <f t="shared" si="10"/>
        <v>0.2332506203</v>
      </c>
      <c r="I2119" s="78" t="s">
        <v>2684</v>
      </c>
      <c r="J2119" s="78" t="s">
        <v>69</v>
      </c>
      <c r="K2119" s="58">
        <f t="shared" si="3"/>
        <v>0</v>
      </c>
      <c r="L2119" s="91" t="str">
        <f t="shared" si="8"/>
        <v>Sun</v>
      </c>
      <c r="M2119" s="78" t="str">
        <f>IFERROR(VLOOKUP(A2119, Entries!A:B,2,false),"")</f>
        <v>Cheesecake Dev</v>
      </c>
      <c r="N2119" s="23" t="str">
        <f>IFERROR(VLOOKUP(A2119, Entries!A:K,11,false),"")</f>
        <v/>
      </c>
      <c r="O2119" s="23" t="b">
        <f>IFERROR(VLOOKUP(A2119, Entries!A:I,8,false),"")</f>
        <v>0</v>
      </c>
    </row>
    <row r="2120">
      <c r="A2120" s="78" t="s">
        <v>1077</v>
      </c>
      <c r="B2120" s="78" t="s">
        <v>19</v>
      </c>
      <c r="C2120" s="85">
        <v>44710.0</v>
      </c>
      <c r="D2120" s="85">
        <v>44711.0</v>
      </c>
      <c r="E2120" s="86">
        <v>3.09</v>
      </c>
      <c r="F2120" s="87">
        <v>3.29</v>
      </c>
      <c r="G2120" s="88">
        <f t="shared" si="1"/>
        <v>0.2</v>
      </c>
      <c r="H2120" s="89">
        <f t="shared" si="10"/>
        <v>0.06079027356</v>
      </c>
      <c r="I2120" s="78" t="s">
        <v>2685</v>
      </c>
      <c r="J2120" s="78" t="s">
        <v>69</v>
      </c>
      <c r="K2120" s="58">
        <f t="shared" si="3"/>
        <v>1</v>
      </c>
      <c r="L2120" s="91" t="str">
        <f t="shared" si="8"/>
        <v>Mon</v>
      </c>
      <c r="M2120" s="78" t="str">
        <f>IFERROR(VLOOKUP(A2120, Entries!A:B,2,false),"")</f>
        <v>Weather Factory</v>
      </c>
      <c r="N2120" s="23" t="str">
        <f>IFERROR(VLOOKUP(A2120, Entries!A:K,11,false),"")</f>
        <v/>
      </c>
      <c r="O2120" s="23" t="b">
        <f>IFERROR(VLOOKUP(A2120, Entries!A:I,8,false),"")</f>
        <v>0</v>
      </c>
    </row>
    <row r="2121">
      <c r="A2121" s="78" t="s">
        <v>1989</v>
      </c>
      <c r="B2121" s="78" t="s">
        <v>27</v>
      </c>
      <c r="C2121" s="85">
        <v>44711.0</v>
      </c>
      <c r="D2121" s="85">
        <v>44717.0</v>
      </c>
      <c r="E2121" s="86">
        <v>9.59</v>
      </c>
      <c r="F2121" s="87">
        <v>12.07</v>
      </c>
      <c r="G2121" s="88">
        <f t="shared" si="1"/>
        <v>2.48</v>
      </c>
      <c r="H2121" s="89">
        <f t="shared" si="10"/>
        <v>0.2054681027</v>
      </c>
      <c r="I2121" s="78" t="s">
        <v>2686</v>
      </c>
      <c r="J2121" s="78" t="s">
        <v>69</v>
      </c>
      <c r="K2121" s="58">
        <f t="shared" si="3"/>
        <v>6</v>
      </c>
      <c r="L2121" s="91" t="str">
        <f t="shared" si="8"/>
        <v>Sun</v>
      </c>
      <c r="M2121" s="78" t="str">
        <f>IFERROR(VLOOKUP(A2121, Entries!A:B,2,false),"")</f>
        <v>Rebellion</v>
      </c>
      <c r="N2121" s="23" t="str">
        <f>IFERROR(VLOOKUP(A2121, Entries!A:K,11,false),"")</f>
        <v/>
      </c>
      <c r="O2121" s="23" t="b">
        <f>IFERROR(VLOOKUP(A2121, Entries!A:I,8,false),"")</f>
        <v>1</v>
      </c>
    </row>
    <row r="2122">
      <c r="A2122" s="78" t="s">
        <v>1077</v>
      </c>
      <c r="B2122" s="78" t="s">
        <v>19</v>
      </c>
      <c r="C2122" s="85">
        <v>44712.0</v>
      </c>
      <c r="D2122" s="85">
        <v>44714.0</v>
      </c>
      <c r="E2122" s="86">
        <v>3.07</v>
      </c>
      <c r="F2122" s="87">
        <v>3.99</v>
      </c>
      <c r="G2122" s="88">
        <f t="shared" si="1"/>
        <v>0.92</v>
      </c>
      <c r="H2122" s="89">
        <f t="shared" si="10"/>
        <v>0.2305764411</v>
      </c>
      <c r="I2122" s="78" t="s">
        <v>2687</v>
      </c>
      <c r="J2122" s="78" t="s">
        <v>69</v>
      </c>
      <c r="K2122" s="58">
        <f t="shared" si="3"/>
        <v>2</v>
      </c>
      <c r="L2122" s="91" t="str">
        <f t="shared" si="8"/>
        <v>Thu</v>
      </c>
      <c r="M2122" s="78" t="str">
        <f>IFERROR(VLOOKUP(A2122, Entries!A:B,2,false),"")</f>
        <v>Weather Factory</v>
      </c>
      <c r="N2122" s="23" t="str">
        <f>IFERROR(VLOOKUP(A2122, Entries!A:K,11,false),"")</f>
        <v/>
      </c>
      <c r="O2122" s="23" t="b">
        <f>IFERROR(VLOOKUP(A2122, Entries!A:I,8,false),"")</f>
        <v>0</v>
      </c>
    </row>
    <row r="2123">
      <c r="A2123" s="78" t="s">
        <v>2528</v>
      </c>
      <c r="B2123" s="78" t="s">
        <v>19</v>
      </c>
      <c r="C2123" s="85">
        <v>44712.0</v>
      </c>
      <c r="D2123" s="85">
        <v>44712.0</v>
      </c>
      <c r="E2123" s="86">
        <v>3.07</v>
      </c>
      <c r="F2123" s="87">
        <v>4.03</v>
      </c>
      <c r="G2123" s="88">
        <f t="shared" si="1"/>
        <v>0.96</v>
      </c>
      <c r="H2123" s="89">
        <f t="shared" si="10"/>
        <v>0.2382133995</v>
      </c>
      <c r="I2123" s="78" t="s">
        <v>2688</v>
      </c>
      <c r="J2123" s="78" t="s">
        <v>69</v>
      </c>
      <c r="K2123" s="58">
        <f t="shared" si="3"/>
        <v>0</v>
      </c>
      <c r="L2123" s="91" t="str">
        <f t="shared" si="8"/>
        <v>Tue</v>
      </c>
      <c r="M2123" s="78" t="str">
        <f>IFERROR(VLOOKUP(A2123, Entries!A:B,2,false),"")</f>
        <v>Cheesecake Dev</v>
      </c>
      <c r="N2123" s="23" t="str">
        <f>IFERROR(VLOOKUP(A2123, Entries!A:K,11,false),"")</f>
        <v/>
      </c>
      <c r="O2123" s="23" t="b">
        <f>IFERROR(VLOOKUP(A2123, Entries!A:I,8,false),"")</f>
        <v>0</v>
      </c>
    </row>
    <row r="2124">
      <c r="A2124" s="78" t="s">
        <v>106</v>
      </c>
      <c r="B2124" s="78" t="s">
        <v>19</v>
      </c>
      <c r="C2124" s="85">
        <v>44712.0</v>
      </c>
      <c r="D2124" s="85">
        <v>44712.0</v>
      </c>
      <c r="E2124" s="86">
        <v>3.08</v>
      </c>
      <c r="F2124" s="87">
        <v>4.56</v>
      </c>
      <c r="G2124" s="88">
        <f t="shared" si="1"/>
        <v>1.48</v>
      </c>
      <c r="H2124" s="89">
        <f t="shared" si="10"/>
        <v>0.3245614035</v>
      </c>
      <c r="I2124" s="78" t="s">
        <v>2689</v>
      </c>
      <c r="J2124" s="78" t="s">
        <v>69</v>
      </c>
      <c r="K2124" s="58">
        <f t="shared" si="3"/>
        <v>0</v>
      </c>
      <c r="L2124" s="91" t="str">
        <f t="shared" si="8"/>
        <v>Tue</v>
      </c>
      <c r="M2124" s="78" t="str">
        <f>IFERROR(VLOOKUP(A2124, Entries!A:B,2,false),"")</f>
        <v>Excalibur Games</v>
      </c>
      <c r="N2124" s="23" t="str">
        <f>IFERROR(VLOOKUP(A2124, Entries!A:K,11,false),"")</f>
        <v/>
      </c>
      <c r="O2124" s="23" t="b">
        <f>IFERROR(VLOOKUP(A2124, Entries!A:I,8,false),"")</f>
        <v>1</v>
      </c>
    </row>
    <row r="2125">
      <c r="A2125" s="78" t="s">
        <v>1213</v>
      </c>
      <c r="B2125" s="78" t="s">
        <v>18</v>
      </c>
      <c r="C2125" s="85">
        <v>44712.0</v>
      </c>
      <c r="D2125" s="85">
        <v>44714.0</v>
      </c>
      <c r="E2125" s="86">
        <v>17.97</v>
      </c>
      <c r="F2125" s="87">
        <v>20.46</v>
      </c>
      <c r="G2125" s="88">
        <f t="shared" si="1"/>
        <v>2.49</v>
      </c>
      <c r="H2125" s="89">
        <f t="shared" si="10"/>
        <v>0.1217008798</v>
      </c>
      <c r="I2125" s="78" t="s">
        <v>2690</v>
      </c>
      <c r="J2125" s="78" t="s">
        <v>69</v>
      </c>
      <c r="K2125" s="58">
        <f t="shared" si="3"/>
        <v>2</v>
      </c>
      <c r="L2125" s="91" t="str">
        <f t="shared" si="8"/>
        <v>Thu</v>
      </c>
      <c r="M2125" s="78" t="str">
        <f>IFERROR(VLOOKUP(A2125, Entries!A:B,2,false),"")</f>
        <v>SadSquare Studio</v>
      </c>
      <c r="N2125" s="23" t="str">
        <f>IFERROR(VLOOKUP(A2125, Entries!A:K,11,false),"")</f>
        <v/>
      </c>
      <c r="O2125" s="23" t="b">
        <f>IFERROR(VLOOKUP(A2125, Entries!A:I,8,false),"")</f>
        <v>1</v>
      </c>
    </row>
    <row r="2126">
      <c r="A2126" s="78" t="s">
        <v>2311</v>
      </c>
      <c r="B2126" s="78" t="s">
        <v>33</v>
      </c>
      <c r="C2126" s="85">
        <v>44712.0</v>
      </c>
      <c r="D2126" s="85">
        <v>44713.0</v>
      </c>
      <c r="E2126" s="86">
        <v>25.3</v>
      </c>
      <c r="F2126" s="87">
        <v>33.8</v>
      </c>
      <c r="G2126" s="88">
        <f t="shared" si="1"/>
        <v>8.5</v>
      </c>
      <c r="H2126" s="89">
        <f t="shared" si="10"/>
        <v>0.2514792899</v>
      </c>
      <c r="I2126" s="78" t="s">
        <v>561</v>
      </c>
      <c r="J2126" s="78" t="s">
        <v>69</v>
      </c>
      <c r="K2126" s="58">
        <f t="shared" si="3"/>
        <v>1</v>
      </c>
      <c r="L2126" s="91" t="str">
        <f t="shared" si="8"/>
        <v>Wed</v>
      </c>
      <c r="M2126" s="78" t="str">
        <f>IFERROR(VLOOKUP(A2126, Entries!A:B,2,false),"")</f>
        <v>SEGA</v>
      </c>
      <c r="N2126" s="23" t="str">
        <f>IFERROR(VLOOKUP(A2126, Entries!A:K,11,false),"")</f>
        <v/>
      </c>
      <c r="O2126" s="23" t="b">
        <f>IFERROR(VLOOKUP(A2126, Entries!A:I,8,false),"")</f>
        <v>0</v>
      </c>
    </row>
    <row r="2127">
      <c r="A2127" s="78" t="s">
        <v>1553</v>
      </c>
      <c r="B2127" s="78" t="s">
        <v>22</v>
      </c>
      <c r="C2127" s="85">
        <v>44713.0</v>
      </c>
      <c r="D2127" s="85">
        <v>46088.0</v>
      </c>
      <c r="E2127" s="86">
        <v>16.58</v>
      </c>
      <c r="F2127" s="87">
        <v>3.4</v>
      </c>
      <c r="G2127" s="88">
        <f t="shared" si="1"/>
        <v>-13.18</v>
      </c>
      <c r="H2127" s="89">
        <f t="shared" si="10"/>
        <v>-3.876470588</v>
      </c>
      <c r="I2127" s="103" t="s">
        <v>2691</v>
      </c>
      <c r="J2127" s="78" t="s">
        <v>69</v>
      </c>
      <c r="K2127" s="58">
        <f t="shared" si="3"/>
        <v>1375</v>
      </c>
      <c r="L2127" s="91" t="str">
        <f t="shared" si="8"/>
        <v>Sat</v>
      </c>
      <c r="M2127" s="78" t="str">
        <f>IFERROR(VLOOKUP(A2127, Entries!A:B,2,false),"")</f>
        <v>Focus Home Interactive</v>
      </c>
      <c r="N2127" s="23" t="str">
        <f>IFERROR(VLOOKUP(A2127, Entries!A:K,11,false),"")</f>
        <v/>
      </c>
      <c r="O2127" s="23" t="b">
        <f>IFERROR(VLOOKUP(A2127, Entries!A:I,8,false),"")</f>
        <v>1</v>
      </c>
      <c r="S2127" s="23" t="str">
        <f>IF(AND(TODAY()-ROW(A1303)+1 &lt;= 30, J1303="Closed"), TEXT(TODAY()-ROW(A1303)+1, "dd-mm-yyyy"), "")
</f>
        <v/>
      </c>
    </row>
    <row r="2128">
      <c r="A2128" s="78" t="s">
        <v>432</v>
      </c>
      <c r="B2128" s="78" t="s">
        <v>22</v>
      </c>
      <c r="C2128" s="85">
        <v>44713.0</v>
      </c>
      <c r="D2128" s="85">
        <v>45043.0</v>
      </c>
      <c r="E2128" s="86">
        <v>4.98</v>
      </c>
      <c r="F2128" s="87">
        <v>7.03</v>
      </c>
      <c r="G2128" s="88">
        <f t="shared" si="1"/>
        <v>2.05</v>
      </c>
      <c r="H2128" s="89">
        <f t="shared" si="10"/>
        <v>0.2916073969</v>
      </c>
      <c r="I2128" s="78" t="s">
        <v>2692</v>
      </c>
      <c r="J2128" s="78" t="s">
        <v>69</v>
      </c>
      <c r="K2128" s="58">
        <f t="shared" si="3"/>
        <v>330</v>
      </c>
      <c r="L2128" s="91" t="str">
        <f t="shared" si="8"/>
        <v>Thu</v>
      </c>
      <c r="M2128" s="78" t="str">
        <f>IFERROR(VLOOKUP(A2128, Entries!A:B,2,false),"")</f>
        <v>Focus Home Interactive</v>
      </c>
      <c r="N2128" s="23" t="str">
        <f>IFERROR(VLOOKUP(A2128, Entries!A:K,11,false),"")</f>
        <v/>
      </c>
      <c r="O2128" s="23" t="b">
        <f>IFERROR(VLOOKUP(A2128, Entries!A:I,8,false),"")</f>
        <v>0</v>
      </c>
    </row>
    <row r="2129">
      <c r="A2129" s="78" t="s">
        <v>2693</v>
      </c>
      <c r="B2129" s="78" t="s">
        <v>23</v>
      </c>
      <c r="C2129" s="85">
        <v>44713.0</v>
      </c>
      <c r="D2129" s="85">
        <v>44713.0</v>
      </c>
      <c r="E2129" s="86">
        <v>8.89</v>
      </c>
      <c r="F2129" s="87">
        <v>10.59</v>
      </c>
      <c r="G2129" s="88">
        <f t="shared" si="1"/>
        <v>1.7</v>
      </c>
      <c r="H2129" s="89">
        <f t="shared" si="10"/>
        <v>0.1605288008</v>
      </c>
      <c r="I2129" s="78" t="s">
        <v>2694</v>
      </c>
      <c r="J2129" s="78" t="s">
        <v>69</v>
      </c>
      <c r="K2129" s="58">
        <f t="shared" si="3"/>
        <v>0</v>
      </c>
      <c r="L2129" s="91" t="str">
        <f t="shared" si="8"/>
        <v>Wed</v>
      </c>
      <c r="M2129" s="78" t="str">
        <f>IFERROR(VLOOKUP(A2129, Entries!A:B,2,false),"")</f>
        <v>Clever Plays</v>
      </c>
      <c r="N2129" s="23" t="str">
        <f>IFERROR(VLOOKUP(A2129, Entries!A:K,11,false),"")</f>
        <v/>
      </c>
      <c r="O2129" s="23" t="b">
        <f>IFERROR(VLOOKUP(A2129, Entries!A:I,8,false),"")</f>
        <v>0</v>
      </c>
    </row>
    <row r="2130">
      <c r="A2130" s="78" t="s">
        <v>2693</v>
      </c>
      <c r="B2130" s="78" t="s">
        <v>22</v>
      </c>
      <c r="C2130" s="85">
        <v>44713.0</v>
      </c>
      <c r="D2130" s="85">
        <v>44713.0</v>
      </c>
      <c r="E2130" s="86">
        <v>8.33</v>
      </c>
      <c r="F2130" s="87">
        <v>10.44</v>
      </c>
      <c r="G2130" s="88">
        <f t="shared" si="1"/>
        <v>2.11</v>
      </c>
      <c r="H2130" s="89">
        <f t="shared" si="10"/>
        <v>0.2021072797</v>
      </c>
      <c r="I2130" s="78" t="s">
        <v>2695</v>
      </c>
      <c r="J2130" s="78" t="s">
        <v>69</v>
      </c>
      <c r="K2130" s="58">
        <f t="shared" si="3"/>
        <v>0</v>
      </c>
      <c r="L2130" s="91" t="str">
        <f t="shared" si="8"/>
        <v>Wed</v>
      </c>
      <c r="M2130" s="78" t="str">
        <f>IFERROR(VLOOKUP(A2130, Entries!A:B,2,false),"")</f>
        <v>Clever Plays</v>
      </c>
      <c r="N2130" s="23" t="str">
        <f>IFERROR(VLOOKUP(A2130, Entries!A:K,11,false),"")</f>
        <v/>
      </c>
      <c r="O2130" s="23" t="b">
        <f>IFERROR(VLOOKUP(A2130, Entries!A:I,8,false),"")</f>
        <v>0</v>
      </c>
    </row>
    <row r="2131">
      <c r="A2131" s="78" t="s">
        <v>2693</v>
      </c>
      <c r="B2131" s="78" t="s">
        <v>22</v>
      </c>
      <c r="C2131" s="85">
        <v>44713.0</v>
      </c>
      <c r="D2131" s="85">
        <v>44714.0</v>
      </c>
      <c r="E2131" s="86">
        <v>8.33</v>
      </c>
      <c r="F2131" s="87">
        <v>9.68</v>
      </c>
      <c r="G2131" s="88">
        <f t="shared" si="1"/>
        <v>1.35</v>
      </c>
      <c r="H2131" s="89">
        <f t="shared" si="10"/>
        <v>0.1394628099</v>
      </c>
      <c r="I2131" s="78" t="s">
        <v>2696</v>
      </c>
      <c r="J2131" s="78" t="s">
        <v>69</v>
      </c>
      <c r="K2131" s="58">
        <f t="shared" si="3"/>
        <v>1</v>
      </c>
      <c r="L2131" s="91" t="str">
        <f t="shared" si="8"/>
        <v>Thu</v>
      </c>
      <c r="M2131" s="78" t="str">
        <f>IFERROR(VLOOKUP(A2131, Entries!A:B,2,false),"")</f>
        <v>Clever Plays</v>
      </c>
      <c r="N2131" s="23" t="str">
        <f>IFERROR(VLOOKUP(A2131, Entries!A:K,11,false),"")</f>
        <v/>
      </c>
      <c r="O2131" s="23" t="b">
        <f>IFERROR(VLOOKUP(A2131, Entries!A:I,8,false),"")</f>
        <v>0</v>
      </c>
    </row>
    <row r="2132">
      <c r="A2132" s="78" t="s">
        <v>2697</v>
      </c>
      <c r="B2132" s="78" t="s">
        <v>27</v>
      </c>
      <c r="C2132" s="85">
        <v>44714.0</v>
      </c>
      <c r="D2132" s="85">
        <v>44885.0</v>
      </c>
      <c r="E2132" s="86">
        <v>2.79</v>
      </c>
      <c r="F2132" s="87">
        <v>5.16</v>
      </c>
      <c r="G2132" s="88">
        <f t="shared" si="1"/>
        <v>2.37</v>
      </c>
      <c r="H2132" s="89">
        <f t="shared" si="10"/>
        <v>0.4593023256</v>
      </c>
      <c r="I2132" s="78" t="s">
        <v>2698</v>
      </c>
      <c r="J2132" s="78" t="s">
        <v>69</v>
      </c>
      <c r="K2132" s="58">
        <f t="shared" si="3"/>
        <v>171</v>
      </c>
      <c r="L2132" s="91" t="str">
        <f t="shared" si="8"/>
        <v>Sun</v>
      </c>
      <c r="M2132" s="78" t="str">
        <f>IFERROR(VLOOKUP(A2132, Entries!A:B,2,false),"")</f>
        <v>Annapurna Interactive</v>
      </c>
      <c r="N2132" s="23" t="str">
        <f>IFERROR(VLOOKUP(A2132, Entries!A:K,11,false),"")</f>
        <v/>
      </c>
      <c r="O2132" s="23" t="b">
        <f>IFERROR(VLOOKUP(A2132, Entries!A:I,8,false),"")</f>
        <v>0</v>
      </c>
    </row>
    <row r="2133">
      <c r="A2133" s="78" t="s">
        <v>1213</v>
      </c>
      <c r="B2133" s="78" t="s">
        <v>25</v>
      </c>
      <c r="C2133" s="85">
        <v>44714.0</v>
      </c>
      <c r="D2133" s="85">
        <v>44715.0</v>
      </c>
      <c r="E2133" s="86">
        <v>15.45</v>
      </c>
      <c r="F2133" s="87">
        <v>20.43</v>
      </c>
      <c r="G2133" s="88">
        <f t="shared" si="1"/>
        <v>4.98</v>
      </c>
      <c r="H2133" s="89">
        <f t="shared" si="10"/>
        <v>0.2437591777</v>
      </c>
      <c r="I2133" s="78" t="s">
        <v>2699</v>
      </c>
      <c r="J2133" s="78" t="s">
        <v>69</v>
      </c>
      <c r="K2133" s="58">
        <f t="shared" si="3"/>
        <v>1</v>
      </c>
      <c r="L2133" s="91" t="str">
        <f t="shared" si="8"/>
        <v>Fri</v>
      </c>
      <c r="M2133" s="78" t="str">
        <f>IFERROR(VLOOKUP(A2133, Entries!A:B,2,false),"")</f>
        <v>SadSquare Studio</v>
      </c>
      <c r="N2133" s="23" t="str">
        <f>IFERROR(VLOOKUP(A2133, Entries!A:K,11,false),"")</f>
        <v/>
      </c>
      <c r="O2133" s="23" t="b">
        <f>IFERROR(VLOOKUP(A2133, Entries!A:I,8,false),"")</f>
        <v>1</v>
      </c>
    </row>
    <row r="2134">
      <c r="A2134" s="78" t="s">
        <v>1213</v>
      </c>
      <c r="B2134" s="78" t="s">
        <v>25</v>
      </c>
      <c r="C2134" s="85">
        <v>44714.0</v>
      </c>
      <c r="D2134" s="85">
        <v>44717.0</v>
      </c>
      <c r="E2134" s="86">
        <v>15.45</v>
      </c>
      <c r="F2134" s="87">
        <v>20.4</v>
      </c>
      <c r="G2134" s="88">
        <f t="shared" si="1"/>
        <v>4.95</v>
      </c>
      <c r="H2134" s="89">
        <f t="shared" si="10"/>
        <v>0.2426470588</v>
      </c>
      <c r="I2134" s="78" t="s">
        <v>2700</v>
      </c>
      <c r="J2134" s="78" t="s">
        <v>69</v>
      </c>
      <c r="K2134" s="58">
        <f t="shared" si="3"/>
        <v>3</v>
      </c>
      <c r="L2134" s="91" t="str">
        <f t="shared" si="8"/>
        <v>Sun</v>
      </c>
      <c r="M2134" s="78" t="str">
        <f>IFERROR(VLOOKUP(A2134, Entries!A:B,2,false),"")</f>
        <v>SadSquare Studio</v>
      </c>
      <c r="N2134" s="23" t="str">
        <f>IFERROR(VLOOKUP(A2134, Entries!A:K,11,false),"")</f>
        <v/>
      </c>
      <c r="O2134" s="23" t="b">
        <f>IFERROR(VLOOKUP(A2134, Entries!A:I,8,false),"")</f>
        <v>1</v>
      </c>
    </row>
    <row r="2135">
      <c r="A2135" s="78" t="s">
        <v>2701</v>
      </c>
      <c r="B2135" s="78" t="s">
        <v>25</v>
      </c>
      <c r="C2135" s="85">
        <v>44714.0</v>
      </c>
      <c r="D2135" s="85">
        <v>44715.0</v>
      </c>
      <c r="E2135" s="86">
        <v>0.0</v>
      </c>
      <c r="F2135" s="87">
        <v>0.29</v>
      </c>
      <c r="G2135" s="88">
        <f t="shared" si="1"/>
        <v>0.29</v>
      </c>
      <c r="H2135" s="89">
        <f t="shared" si="10"/>
        <v>1</v>
      </c>
      <c r="I2135" s="78" t="s">
        <v>2702</v>
      </c>
      <c r="J2135" s="78" t="s">
        <v>69</v>
      </c>
      <c r="K2135" s="58">
        <f t="shared" si="3"/>
        <v>1</v>
      </c>
      <c r="L2135" s="91" t="str">
        <f t="shared" si="8"/>
        <v>Fri</v>
      </c>
      <c r="M2135" s="78" t="str">
        <f>IFERROR(VLOOKUP(A2135, Entries!A:B,2,false),"")</f>
        <v>Codemasters</v>
      </c>
      <c r="N2135" s="23" t="str">
        <f>IFERROR(VLOOKUP(A2135, Entries!A:K,11,false),"")</f>
        <v/>
      </c>
      <c r="O2135" s="23" t="b">
        <f>IFERROR(VLOOKUP(A2135, Entries!A:I,8,false),"")</f>
        <v>0</v>
      </c>
    </row>
    <row r="2136">
      <c r="A2136" s="78" t="s">
        <v>2703</v>
      </c>
      <c r="B2136" s="78" t="s">
        <v>27</v>
      </c>
      <c r="C2136" s="85">
        <v>44715.0</v>
      </c>
      <c r="D2136" s="85">
        <v>45082.0</v>
      </c>
      <c r="E2136" s="86">
        <v>15.59</v>
      </c>
      <c r="F2136" s="87">
        <v>17.08</v>
      </c>
      <c r="G2136" s="88">
        <f t="shared" si="1"/>
        <v>1.49</v>
      </c>
      <c r="H2136" s="89">
        <f t="shared" si="10"/>
        <v>0.08723653396</v>
      </c>
      <c r="I2136" s="78" t="s">
        <v>2704</v>
      </c>
      <c r="J2136" s="78" t="s">
        <v>69</v>
      </c>
      <c r="K2136" s="58">
        <f t="shared" si="3"/>
        <v>367</v>
      </c>
      <c r="L2136" s="91" t="str">
        <f t="shared" si="8"/>
        <v>Mon</v>
      </c>
      <c r="M2136" s="78" t="str">
        <f>IFERROR(VLOOKUP(A2136, Entries!A:B,2,false),"")</f>
        <v>Pathea Games</v>
      </c>
      <c r="N2136" s="23" t="str">
        <f>IFERROR(VLOOKUP(A2136, Entries!A:K,11,false),"")</f>
        <v/>
      </c>
      <c r="O2136" s="23" t="b">
        <f>IFERROR(VLOOKUP(A2136, Entries!A:I,8,false),"")</f>
        <v>0</v>
      </c>
    </row>
    <row r="2137">
      <c r="A2137" s="78" t="s">
        <v>2242</v>
      </c>
      <c r="B2137" s="78" t="s">
        <v>30</v>
      </c>
      <c r="C2137" s="85">
        <v>44715.0</v>
      </c>
      <c r="D2137" s="85">
        <v>44729.0</v>
      </c>
      <c r="E2137" s="86">
        <v>10.09</v>
      </c>
      <c r="F2137" s="87">
        <v>15.91</v>
      </c>
      <c r="G2137" s="88">
        <f t="shared" si="1"/>
        <v>5.82</v>
      </c>
      <c r="H2137" s="89">
        <f t="shared" si="10"/>
        <v>0.3658076681</v>
      </c>
      <c r="I2137" s="78" t="s">
        <v>2705</v>
      </c>
      <c r="J2137" s="78" t="s">
        <v>69</v>
      </c>
      <c r="K2137" s="58">
        <f t="shared" si="3"/>
        <v>14</v>
      </c>
      <c r="L2137" s="91" t="str">
        <f t="shared" si="8"/>
        <v>Fri</v>
      </c>
      <c r="M2137" s="78" t="str">
        <f>IFERROR(VLOOKUP(A2137, Entries!A:B,2,false),"")</f>
        <v>Paradox Interactive</v>
      </c>
      <c r="N2137" s="23" t="str">
        <f>IFERROR(VLOOKUP(A2137, Entries!A:K,11,false),"")</f>
        <v/>
      </c>
      <c r="O2137" s="23" t="b">
        <f>IFERROR(VLOOKUP(A2137, Entries!A:I,8,false),"")</f>
        <v>0</v>
      </c>
    </row>
    <row r="2138">
      <c r="A2138" s="78" t="s">
        <v>1213</v>
      </c>
      <c r="B2138" s="78" t="s">
        <v>25</v>
      </c>
      <c r="C2138" s="85">
        <v>44715.0</v>
      </c>
      <c r="D2138" s="85">
        <v>44717.0</v>
      </c>
      <c r="E2138" s="86">
        <v>15.45</v>
      </c>
      <c r="F2138" s="87">
        <v>20.4</v>
      </c>
      <c r="G2138" s="88">
        <f t="shared" si="1"/>
        <v>4.95</v>
      </c>
      <c r="H2138" s="89">
        <f t="shared" si="10"/>
        <v>0.2426470588</v>
      </c>
      <c r="I2138" s="78" t="s">
        <v>2706</v>
      </c>
      <c r="J2138" s="78" t="s">
        <v>69</v>
      </c>
      <c r="K2138" s="58">
        <f t="shared" si="3"/>
        <v>2</v>
      </c>
      <c r="L2138" s="91" t="str">
        <f t="shared" si="8"/>
        <v>Sun</v>
      </c>
      <c r="M2138" s="78" t="str">
        <f>IFERROR(VLOOKUP(A2138, Entries!A:B,2,false),"")</f>
        <v>SadSquare Studio</v>
      </c>
      <c r="N2138" s="23" t="str">
        <f>IFERROR(VLOOKUP(A2138, Entries!A:K,11,false),"")</f>
        <v/>
      </c>
      <c r="O2138" s="23" t="b">
        <f>IFERROR(VLOOKUP(A2138, Entries!A:I,8,false),"")</f>
        <v>1</v>
      </c>
    </row>
    <row r="2139">
      <c r="A2139" s="78" t="s">
        <v>2472</v>
      </c>
      <c r="B2139" s="78" t="s">
        <v>27</v>
      </c>
      <c r="C2139" s="85">
        <v>44716.0</v>
      </c>
      <c r="D2139" s="85">
        <v>44716.0</v>
      </c>
      <c r="E2139" s="86">
        <v>4.79</v>
      </c>
      <c r="F2139" s="87">
        <v>7.77</v>
      </c>
      <c r="G2139" s="88">
        <f t="shared" si="1"/>
        <v>2.98</v>
      </c>
      <c r="H2139" s="89">
        <f t="shared" si="10"/>
        <v>0.3835263835</v>
      </c>
      <c r="I2139" s="78" t="s">
        <v>2707</v>
      </c>
      <c r="J2139" s="78" t="s">
        <v>69</v>
      </c>
      <c r="K2139" s="58">
        <f t="shared" si="3"/>
        <v>0</v>
      </c>
      <c r="L2139" s="91" t="str">
        <f t="shared" si="8"/>
        <v>Sat</v>
      </c>
      <c r="M2139" s="78" t="str">
        <f>IFERROR(VLOOKUP(A2139, Entries!A:B,2,false),"")</f>
        <v>Merge Games</v>
      </c>
      <c r="N2139" s="23" t="str">
        <f>IFERROR(VLOOKUP(A2139, Entries!A:K,11,false),"")</f>
        <v/>
      </c>
      <c r="O2139" s="23" t="b">
        <f>IFERROR(VLOOKUP(A2139, Entries!A:I,8,false),"")</f>
        <v>1</v>
      </c>
    </row>
    <row r="2140">
      <c r="A2140" s="78" t="s">
        <v>2472</v>
      </c>
      <c r="B2140" s="78" t="s">
        <v>27</v>
      </c>
      <c r="C2140" s="85">
        <v>44716.0</v>
      </c>
      <c r="D2140" s="85">
        <v>44723.0</v>
      </c>
      <c r="E2140" s="86">
        <v>4.79</v>
      </c>
      <c r="F2140" s="87">
        <v>7.77</v>
      </c>
      <c r="G2140" s="88">
        <f t="shared" si="1"/>
        <v>2.98</v>
      </c>
      <c r="H2140" s="89">
        <f t="shared" si="10"/>
        <v>0.3835263835</v>
      </c>
      <c r="I2140" s="78" t="s">
        <v>2708</v>
      </c>
      <c r="J2140" s="78" t="s">
        <v>69</v>
      </c>
      <c r="K2140" s="58">
        <f t="shared" si="3"/>
        <v>7</v>
      </c>
      <c r="L2140" s="91" t="str">
        <f t="shared" si="8"/>
        <v>Sat</v>
      </c>
      <c r="M2140" s="78" t="str">
        <f>IFERROR(VLOOKUP(A2140, Entries!A:B,2,false),"")</f>
        <v>Merge Games</v>
      </c>
      <c r="N2140" s="23" t="str">
        <f>IFERROR(VLOOKUP(A2140, Entries!A:K,11,false),"")</f>
        <v/>
      </c>
      <c r="O2140" s="23" t="b">
        <f>IFERROR(VLOOKUP(A2140, Entries!A:I,8,false),"")</f>
        <v>1</v>
      </c>
    </row>
    <row r="2141">
      <c r="A2141" s="78" t="s">
        <v>2051</v>
      </c>
      <c r="B2141" s="78" t="s">
        <v>18</v>
      </c>
      <c r="C2141" s="85">
        <v>44716.0</v>
      </c>
      <c r="D2141" s="85">
        <v>44718.0</v>
      </c>
      <c r="E2141" s="86">
        <v>7.56</v>
      </c>
      <c r="F2141" s="87">
        <v>10.18</v>
      </c>
      <c r="G2141" s="88">
        <f t="shared" si="1"/>
        <v>2.62</v>
      </c>
      <c r="H2141" s="89">
        <f t="shared" si="10"/>
        <v>0.257367387</v>
      </c>
      <c r="I2141" s="78" t="s">
        <v>2709</v>
      </c>
      <c r="J2141" s="78" t="s">
        <v>69</v>
      </c>
      <c r="K2141" s="58">
        <f t="shared" si="3"/>
        <v>2</v>
      </c>
      <c r="L2141" s="91" t="str">
        <f t="shared" si="8"/>
        <v>Mon</v>
      </c>
      <c r="M2141" s="78" t="str">
        <f>IFERROR(VLOOKUP(A2141, Entries!A:B,2,false),"")</f>
        <v>Nacon</v>
      </c>
      <c r="N2141" s="23" t="str">
        <f>IFERROR(VLOOKUP(A2141, Entries!A:K,11,false),"")</f>
        <v/>
      </c>
      <c r="O2141" s="23" t="b">
        <f>IFERROR(VLOOKUP(A2141, Entries!A:I,8,false),"")</f>
        <v>0</v>
      </c>
    </row>
    <row r="2142">
      <c r="A2142" s="78" t="s">
        <v>2051</v>
      </c>
      <c r="B2142" s="78" t="s">
        <v>18</v>
      </c>
      <c r="C2142" s="85">
        <v>44716.0</v>
      </c>
      <c r="D2142" s="85">
        <v>44720.0</v>
      </c>
      <c r="E2142" s="86">
        <v>7.57</v>
      </c>
      <c r="F2142" s="87">
        <v>10.19</v>
      </c>
      <c r="G2142" s="88">
        <f t="shared" si="1"/>
        <v>2.62</v>
      </c>
      <c r="H2142" s="89">
        <f t="shared" si="10"/>
        <v>0.2571148184</v>
      </c>
      <c r="I2142" s="78" t="s">
        <v>2710</v>
      </c>
      <c r="J2142" s="78" t="s">
        <v>69</v>
      </c>
      <c r="K2142" s="58">
        <f t="shared" si="3"/>
        <v>4</v>
      </c>
      <c r="L2142" s="91" t="str">
        <f t="shared" si="8"/>
        <v>Wed</v>
      </c>
      <c r="M2142" s="78" t="str">
        <f>IFERROR(VLOOKUP(A2142, Entries!A:B,2,false),"")</f>
        <v>Nacon</v>
      </c>
      <c r="N2142" s="23" t="str">
        <f>IFERROR(VLOOKUP(A2142, Entries!A:K,11,false),"")</f>
        <v/>
      </c>
      <c r="O2142" s="23" t="b">
        <f>IFERROR(VLOOKUP(A2142, Entries!A:I,8,false),"")</f>
        <v>0</v>
      </c>
    </row>
    <row r="2143">
      <c r="A2143" s="78" t="s">
        <v>1213</v>
      </c>
      <c r="B2143" s="78" t="s">
        <v>18</v>
      </c>
      <c r="C2143" s="85">
        <v>44719.0</v>
      </c>
      <c r="D2143" s="85">
        <v>44726.0</v>
      </c>
      <c r="E2143" s="86">
        <v>17.76</v>
      </c>
      <c r="F2143" s="87">
        <v>24.02</v>
      </c>
      <c r="G2143" s="88">
        <f t="shared" si="1"/>
        <v>6.26</v>
      </c>
      <c r="H2143" s="89">
        <f t="shared" si="10"/>
        <v>0.2606161532</v>
      </c>
      <c r="I2143" s="78" t="s">
        <v>2711</v>
      </c>
      <c r="J2143" s="78" t="s">
        <v>69</v>
      </c>
      <c r="K2143" s="58">
        <f t="shared" si="3"/>
        <v>7</v>
      </c>
      <c r="L2143" s="91" t="str">
        <f t="shared" si="8"/>
        <v>Tue</v>
      </c>
      <c r="M2143" s="78" t="str">
        <f>IFERROR(VLOOKUP(A2143, Entries!A:B,2,false),"")</f>
        <v>SadSquare Studio</v>
      </c>
      <c r="N2143" s="23" t="str">
        <f>IFERROR(VLOOKUP(A2143, Entries!A:K,11,false),"")</f>
        <v/>
      </c>
      <c r="O2143" s="23" t="b">
        <f>IFERROR(VLOOKUP(A2143, Entries!A:I,8,false),"")</f>
        <v>1</v>
      </c>
    </row>
    <row r="2144">
      <c r="A2144" s="78" t="s">
        <v>1213</v>
      </c>
      <c r="B2144" s="78" t="s">
        <v>18</v>
      </c>
      <c r="C2144" s="85">
        <v>44719.0</v>
      </c>
      <c r="D2144" s="85">
        <v>44726.0</v>
      </c>
      <c r="E2144" s="86">
        <v>17.77</v>
      </c>
      <c r="F2144" s="87">
        <v>23.95</v>
      </c>
      <c r="G2144" s="88">
        <f t="shared" si="1"/>
        <v>6.18</v>
      </c>
      <c r="H2144" s="89">
        <f t="shared" si="10"/>
        <v>0.2580375783</v>
      </c>
      <c r="I2144" s="78" t="s">
        <v>2712</v>
      </c>
      <c r="J2144" s="78" t="s">
        <v>69</v>
      </c>
      <c r="K2144" s="58">
        <f t="shared" si="3"/>
        <v>7</v>
      </c>
      <c r="L2144" s="91" t="str">
        <f t="shared" si="8"/>
        <v>Tue</v>
      </c>
      <c r="M2144" s="78" t="str">
        <f>IFERROR(VLOOKUP(A2144, Entries!A:B,2,false),"")</f>
        <v>SadSquare Studio</v>
      </c>
      <c r="N2144" s="23" t="str">
        <f>IFERROR(VLOOKUP(A2144, Entries!A:K,11,false),"")</f>
        <v/>
      </c>
      <c r="O2144" s="23" t="b">
        <f>IFERROR(VLOOKUP(A2144, Entries!A:I,8,false),"")</f>
        <v>1</v>
      </c>
    </row>
    <row r="2145">
      <c r="A2145" s="78" t="s">
        <v>719</v>
      </c>
      <c r="B2145" s="78" t="s">
        <v>19</v>
      </c>
      <c r="C2145" s="85">
        <v>44719.0</v>
      </c>
      <c r="D2145" s="85">
        <v>44722.0</v>
      </c>
      <c r="E2145" s="86">
        <v>11.11</v>
      </c>
      <c r="F2145" s="87">
        <v>15.34</v>
      </c>
      <c r="G2145" s="88">
        <f t="shared" si="1"/>
        <v>4.23</v>
      </c>
      <c r="H2145" s="89">
        <f t="shared" si="10"/>
        <v>0.2757496741</v>
      </c>
      <c r="I2145" s="78" t="s">
        <v>2713</v>
      </c>
      <c r="J2145" s="78" t="s">
        <v>69</v>
      </c>
      <c r="K2145" s="58">
        <f t="shared" si="3"/>
        <v>3</v>
      </c>
      <c r="L2145" s="91" t="str">
        <f t="shared" si="8"/>
        <v>Fri</v>
      </c>
      <c r="M2145" s="78" t="str">
        <f>IFERROR(VLOOKUP(A2145, Entries!A:B,2,false),"")</f>
        <v>Lukas Rustemeyer</v>
      </c>
      <c r="N2145" s="23" t="str">
        <f>IFERROR(VLOOKUP(A2145, Entries!A:K,11,false),"")</f>
        <v/>
      </c>
      <c r="O2145" s="23" t="b">
        <f>IFERROR(VLOOKUP(A2145, Entries!A:I,8,false),"")</f>
        <v>1</v>
      </c>
    </row>
    <row r="2146">
      <c r="A2146" s="78" t="s">
        <v>2714</v>
      </c>
      <c r="B2146" s="78" t="s">
        <v>19</v>
      </c>
      <c r="C2146" s="85">
        <v>44719.0</v>
      </c>
      <c r="D2146" s="85">
        <v>44727.0</v>
      </c>
      <c r="E2146" s="86">
        <v>7.4</v>
      </c>
      <c r="F2146" s="87">
        <v>8.97</v>
      </c>
      <c r="G2146" s="88">
        <f t="shared" si="1"/>
        <v>1.57</v>
      </c>
      <c r="H2146" s="89">
        <f t="shared" si="10"/>
        <v>0.1750278707</v>
      </c>
      <c r="I2146" s="78" t="s">
        <v>2715</v>
      </c>
      <c r="J2146" s="78" t="s">
        <v>69</v>
      </c>
      <c r="K2146" s="58">
        <f t="shared" si="3"/>
        <v>8</v>
      </c>
      <c r="L2146" s="91" t="str">
        <f t="shared" si="8"/>
        <v>Wed</v>
      </c>
      <c r="M2146" s="78" t="str">
        <f>IFERROR(VLOOKUP(A2146, Entries!A:B,2,false),"")</f>
        <v>Versus Evil</v>
      </c>
      <c r="N2146" s="23" t="str">
        <f>IFERROR(VLOOKUP(A2146, Entries!A:K,11,false),"")</f>
        <v/>
      </c>
      <c r="O2146" s="23" t="b">
        <f>IFERROR(VLOOKUP(A2146, Entries!A:I,8,false),"")</f>
        <v>0</v>
      </c>
    </row>
    <row r="2147">
      <c r="A2147" s="78" t="s">
        <v>2395</v>
      </c>
      <c r="B2147" s="78" t="s">
        <v>18</v>
      </c>
      <c r="C2147" s="85">
        <v>44720.0</v>
      </c>
      <c r="D2147" s="85">
        <v>44933.0</v>
      </c>
      <c r="E2147" s="86">
        <v>11.63</v>
      </c>
      <c r="F2147" s="87">
        <v>16.21</v>
      </c>
      <c r="G2147" s="88">
        <f t="shared" si="1"/>
        <v>4.58</v>
      </c>
      <c r="H2147" s="89">
        <f t="shared" si="10"/>
        <v>0.282541641</v>
      </c>
      <c r="I2147" s="78" t="s">
        <v>2716</v>
      </c>
      <c r="J2147" s="78" t="s">
        <v>69</v>
      </c>
      <c r="K2147" s="58">
        <f t="shared" si="3"/>
        <v>213</v>
      </c>
      <c r="L2147" s="91" t="str">
        <f t="shared" si="8"/>
        <v>Sat</v>
      </c>
      <c r="M2147" s="78" t="str">
        <f>IFERROR(VLOOKUP(A2147, Entries!A:B,2,false),"")</f>
        <v>Blue Brain Games</v>
      </c>
      <c r="N2147" s="23" t="str">
        <f>IFERROR(VLOOKUP(A2147, Entries!A:K,11,false),"")</f>
        <v/>
      </c>
      <c r="O2147" s="23" t="b">
        <f>IFERROR(VLOOKUP(A2147, Entries!A:I,8,false),"")</f>
        <v>0</v>
      </c>
    </row>
    <row r="2148">
      <c r="A2148" s="78" t="s">
        <v>2395</v>
      </c>
      <c r="B2148" s="78" t="s">
        <v>18</v>
      </c>
      <c r="C2148" s="85">
        <v>44720.0</v>
      </c>
      <c r="D2148" s="85">
        <v>44942.0</v>
      </c>
      <c r="E2148" s="86">
        <v>11.64</v>
      </c>
      <c r="F2148" s="87">
        <v>16.21</v>
      </c>
      <c r="G2148" s="88">
        <f t="shared" si="1"/>
        <v>4.57</v>
      </c>
      <c r="H2148" s="89">
        <f t="shared" si="10"/>
        <v>0.2819247378</v>
      </c>
      <c r="I2148" s="78" t="s">
        <v>2717</v>
      </c>
      <c r="J2148" s="78" t="s">
        <v>69</v>
      </c>
      <c r="K2148" s="58">
        <f t="shared" si="3"/>
        <v>222</v>
      </c>
      <c r="L2148" s="91" t="str">
        <f t="shared" si="8"/>
        <v>Mon</v>
      </c>
      <c r="M2148" s="78" t="str">
        <f>IFERROR(VLOOKUP(A2148, Entries!A:B,2,false),"")</f>
        <v>Blue Brain Games</v>
      </c>
      <c r="N2148" s="23" t="str">
        <f>IFERROR(VLOOKUP(A2148, Entries!A:K,11,false),"")</f>
        <v/>
      </c>
      <c r="O2148" s="23" t="b">
        <f>IFERROR(VLOOKUP(A2148, Entries!A:I,8,false),"")</f>
        <v>0</v>
      </c>
    </row>
    <row r="2149">
      <c r="A2149" s="78" t="s">
        <v>2718</v>
      </c>
      <c r="B2149" s="78" t="s">
        <v>25</v>
      </c>
      <c r="C2149" s="85">
        <v>44720.0</v>
      </c>
      <c r="D2149" s="85">
        <v>44724.0</v>
      </c>
      <c r="E2149" s="86">
        <v>12.67</v>
      </c>
      <c r="F2149" s="87">
        <v>15.76</v>
      </c>
      <c r="G2149" s="88">
        <f t="shared" si="1"/>
        <v>3.09</v>
      </c>
      <c r="H2149" s="89">
        <f t="shared" si="10"/>
        <v>0.1960659898</v>
      </c>
      <c r="I2149" s="78" t="s">
        <v>2719</v>
      </c>
      <c r="J2149" s="78" t="s">
        <v>69</v>
      </c>
      <c r="K2149" s="58">
        <f t="shared" si="3"/>
        <v>4</v>
      </c>
      <c r="L2149" s="91" t="str">
        <f t="shared" si="8"/>
        <v>Sun</v>
      </c>
      <c r="M2149" s="78" t="str">
        <f>IFERROR(VLOOKUP(A2149, Entries!A:B,2,false),"")</f>
        <v>Private Division</v>
      </c>
      <c r="N2149" s="23" t="str">
        <f>IFERROR(VLOOKUP(A2149, Entries!A:K,11,false),"")</f>
        <v/>
      </c>
      <c r="O2149" s="23" t="b">
        <f>IFERROR(VLOOKUP(A2149, Entries!A:I,8,false),"")</f>
        <v>0</v>
      </c>
    </row>
    <row r="2150">
      <c r="A2150" s="78" t="s">
        <v>375</v>
      </c>
      <c r="B2150" s="78" t="s">
        <v>32</v>
      </c>
      <c r="C2150" s="85">
        <v>44720.0</v>
      </c>
      <c r="D2150" s="85">
        <v>44722.0</v>
      </c>
      <c r="E2150" s="86">
        <v>7.05</v>
      </c>
      <c r="F2150" s="87">
        <v>9.21</v>
      </c>
      <c r="G2150" s="88">
        <f t="shared" si="1"/>
        <v>2.16</v>
      </c>
      <c r="H2150" s="89">
        <f t="shared" si="10"/>
        <v>0.2345276873</v>
      </c>
      <c r="I2150" s="78" t="s">
        <v>2720</v>
      </c>
      <c r="J2150" s="78" t="s">
        <v>69</v>
      </c>
      <c r="K2150" s="58">
        <f t="shared" si="3"/>
        <v>2</v>
      </c>
      <c r="L2150" s="91" t="str">
        <f t="shared" si="8"/>
        <v>Fri</v>
      </c>
      <c r="M2150" s="78" t="str">
        <f>IFERROR(VLOOKUP(A2150, Entries!A:B,2,false),"")</f>
        <v>Survios</v>
      </c>
      <c r="N2150" s="23" t="str">
        <f>IFERROR(VLOOKUP(A2150, Entries!A:K,11,false),"")</f>
        <v/>
      </c>
      <c r="O2150" s="23" t="b">
        <f>IFERROR(VLOOKUP(A2150, Entries!A:I,8,false),"")</f>
        <v>1</v>
      </c>
    </row>
    <row r="2151">
      <c r="A2151" s="78" t="s">
        <v>375</v>
      </c>
      <c r="B2151" s="78" t="s">
        <v>32</v>
      </c>
      <c r="C2151" s="85">
        <v>44720.0</v>
      </c>
      <c r="D2151" s="85">
        <v>44723.0</v>
      </c>
      <c r="E2151" s="86">
        <v>7.06</v>
      </c>
      <c r="F2151" s="87">
        <v>9.21</v>
      </c>
      <c r="G2151" s="88">
        <f t="shared" si="1"/>
        <v>2.15</v>
      </c>
      <c r="H2151" s="89">
        <f t="shared" si="10"/>
        <v>0.233441911</v>
      </c>
      <c r="I2151" s="78" t="s">
        <v>2721</v>
      </c>
      <c r="J2151" s="78" t="s">
        <v>69</v>
      </c>
      <c r="K2151" s="58">
        <f t="shared" si="3"/>
        <v>3</v>
      </c>
      <c r="L2151" s="91" t="str">
        <f t="shared" si="8"/>
        <v>Sat</v>
      </c>
      <c r="M2151" s="78" t="str">
        <f>IFERROR(VLOOKUP(A2151, Entries!A:B,2,false),"")</f>
        <v>Survios</v>
      </c>
      <c r="N2151" s="23" t="str">
        <f>IFERROR(VLOOKUP(A2151, Entries!A:K,11,false),"")</f>
        <v/>
      </c>
      <c r="O2151" s="23" t="b">
        <f>IFERROR(VLOOKUP(A2151, Entries!A:I,8,false),"")</f>
        <v>1</v>
      </c>
    </row>
    <row r="2152">
      <c r="A2152" s="78" t="s">
        <v>2466</v>
      </c>
      <c r="B2152" s="78" t="s">
        <v>27</v>
      </c>
      <c r="C2152" s="85">
        <v>44720.0</v>
      </c>
      <c r="D2152" s="85">
        <v>44720.0</v>
      </c>
      <c r="E2152" s="86">
        <v>10.79</v>
      </c>
      <c r="F2152" s="87">
        <v>18.64</v>
      </c>
      <c r="G2152" s="88">
        <f t="shared" si="1"/>
        <v>7.85</v>
      </c>
      <c r="H2152" s="89">
        <f t="shared" si="10"/>
        <v>0.4211373391</v>
      </c>
      <c r="I2152" s="78" t="s">
        <v>2722</v>
      </c>
      <c r="J2152" s="78" t="s">
        <v>69</v>
      </c>
      <c r="K2152" s="58">
        <f t="shared" si="3"/>
        <v>0</v>
      </c>
      <c r="L2152" s="91" t="str">
        <f t="shared" si="8"/>
        <v>Wed</v>
      </c>
      <c r="M2152" s="78" t="str">
        <f>IFERROR(VLOOKUP(A2152, Entries!A:B,2,false),"")</f>
        <v>Bethesda Softworks</v>
      </c>
      <c r="N2152" s="23" t="str">
        <f>IFERROR(VLOOKUP(A2152, Entries!A:K,11,false),"")</f>
        <v/>
      </c>
      <c r="O2152" s="23" t="b">
        <f>IFERROR(VLOOKUP(A2152, Entries!A:I,8,false),"")</f>
        <v>1</v>
      </c>
    </row>
    <row r="2153">
      <c r="A2153" s="78" t="s">
        <v>2466</v>
      </c>
      <c r="B2153" s="78" t="s">
        <v>27</v>
      </c>
      <c r="C2153" s="85">
        <v>44720.0</v>
      </c>
      <c r="D2153" s="85">
        <v>44722.0</v>
      </c>
      <c r="E2153" s="86">
        <v>10.79</v>
      </c>
      <c r="F2153" s="87">
        <v>14.38</v>
      </c>
      <c r="G2153" s="88">
        <f t="shared" si="1"/>
        <v>3.59</v>
      </c>
      <c r="H2153" s="89">
        <f t="shared" si="10"/>
        <v>0.2496522949</v>
      </c>
      <c r="I2153" s="78" t="s">
        <v>2723</v>
      </c>
      <c r="J2153" s="78" t="s">
        <v>69</v>
      </c>
      <c r="K2153" s="58">
        <f t="shared" si="3"/>
        <v>2</v>
      </c>
      <c r="L2153" s="91" t="str">
        <f t="shared" si="8"/>
        <v>Fri</v>
      </c>
      <c r="M2153" s="78" t="str">
        <f>IFERROR(VLOOKUP(A2153, Entries!A:B,2,false),"")</f>
        <v>Bethesda Softworks</v>
      </c>
      <c r="N2153" s="23" t="str">
        <f>IFERROR(VLOOKUP(A2153, Entries!A:K,11,false),"")</f>
        <v/>
      </c>
      <c r="O2153" s="23" t="b">
        <f>IFERROR(VLOOKUP(A2153, Entries!A:I,8,false),"")</f>
        <v>1</v>
      </c>
    </row>
    <row r="2154">
      <c r="A2154" s="78" t="s">
        <v>2051</v>
      </c>
      <c r="B2154" s="78" t="s">
        <v>18</v>
      </c>
      <c r="C2154" s="85">
        <v>44720.0</v>
      </c>
      <c r="D2154" s="85">
        <v>44721.0</v>
      </c>
      <c r="E2154" s="86">
        <v>7.89</v>
      </c>
      <c r="F2154" s="87">
        <v>10.19</v>
      </c>
      <c r="G2154" s="88">
        <f t="shared" si="1"/>
        <v>2.3</v>
      </c>
      <c r="H2154" s="89">
        <f t="shared" si="10"/>
        <v>0.2257114818</v>
      </c>
      <c r="I2154" s="78" t="s">
        <v>2724</v>
      </c>
      <c r="J2154" s="78" t="s">
        <v>69</v>
      </c>
      <c r="K2154" s="58">
        <f t="shared" si="3"/>
        <v>1</v>
      </c>
      <c r="L2154" s="91" t="str">
        <f t="shared" si="8"/>
        <v>Thu</v>
      </c>
      <c r="M2154" s="78" t="str">
        <f>IFERROR(VLOOKUP(A2154, Entries!A:B,2,false),"")</f>
        <v>Nacon</v>
      </c>
      <c r="N2154" s="23" t="str">
        <f>IFERROR(VLOOKUP(A2154, Entries!A:K,11,false),"")</f>
        <v/>
      </c>
      <c r="O2154" s="23" t="b">
        <f>IFERROR(VLOOKUP(A2154, Entries!A:I,8,false),"")</f>
        <v>0</v>
      </c>
    </row>
    <row r="2155">
      <c r="A2155" s="78" t="s">
        <v>2051</v>
      </c>
      <c r="B2155" s="78" t="s">
        <v>18</v>
      </c>
      <c r="C2155" s="85">
        <v>44720.0</v>
      </c>
      <c r="D2155" s="85">
        <v>44724.0</v>
      </c>
      <c r="E2155" s="86">
        <v>7.89</v>
      </c>
      <c r="F2155" s="87">
        <v>10.19</v>
      </c>
      <c r="G2155" s="88">
        <f t="shared" si="1"/>
        <v>2.3</v>
      </c>
      <c r="H2155" s="89">
        <f t="shared" si="10"/>
        <v>0.2257114818</v>
      </c>
      <c r="I2155" s="78" t="s">
        <v>2725</v>
      </c>
      <c r="J2155" s="78" t="s">
        <v>69</v>
      </c>
      <c r="K2155" s="58">
        <f t="shared" si="3"/>
        <v>4</v>
      </c>
      <c r="L2155" s="91" t="str">
        <f t="shared" si="8"/>
        <v>Sun</v>
      </c>
      <c r="M2155" s="78" t="str">
        <f>IFERROR(VLOOKUP(A2155, Entries!A:B,2,false),"")</f>
        <v>Nacon</v>
      </c>
      <c r="N2155" s="23" t="str">
        <f>IFERROR(VLOOKUP(A2155, Entries!A:K,11,false),"")</f>
        <v/>
      </c>
      <c r="O2155" s="23" t="b">
        <f>IFERROR(VLOOKUP(A2155, Entries!A:I,8,false),"")</f>
        <v>0</v>
      </c>
    </row>
    <row r="2156">
      <c r="A2156" s="78" t="s">
        <v>2726</v>
      </c>
      <c r="B2156" s="78" t="s">
        <v>27</v>
      </c>
      <c r="C2156" s="85">
        <v>44721.0</v>
      </c>
      <c r="D2156" s="85">
        <v>44721.0</v>
      </c>
      <c r="E2156" s="86">
        <v>4.79</v>
      </c>
      <c r="F2156" s="87">
        <v>9.23</v>
      </c>
      <c r="G2156" s="88">
        <f t="shared" si="1"/>
        <v>4.44</v>
      </c>
      <c r="H2156" s="89">
        <f t="shared" si="10"/>
        <v>0.4810400867</v>
      </c>
      <c r="I2156" s="78" t="s">
        <v>2727</v>
      </c>
      <c r="J2156" s="78" t="s">
        <v>69</v>
      </c>
      <c r="K2156" s="58">
        <f t="shared" si="3"/>
        <v>0</v>
      </c>
      <c r="L2156" s="91" t="str">
        <f t="shared" si="8"/>
        <v>Thu</v>
      </c>
      <c r="M2156" s="78" t="str">
        <f>IFERROR(VLOOKUP(A2156, Entries!A:B,2,false),"")</f>
        <v>Behaviour Interactive</v>
      </c>
      <c r="N2156" s="23" t="str">
        <f>IFERROR(VLOOKUP(A2156, Entries!A:K,11,false),"")</f>
        <v/>
      </c>
      <c r="O2156" s="23" t="b">
        <f>IFERROR(VLOOKUP(A2156, Entries!A:I,8,false),"")</f>
        <v>0</v>
      </c>
    </row>
    <row r="2157">
      <c r="A2157" s="78" t="s">
        <v>2726</v>
      </c>
      <c r="B2157" s="78" t="s">
        <v>27</v>
      </c>
      <c r="C2157" s="85">
        <v>44721.0</v>
      </c>
      <c r="D2157" s="85">
        <v>44721.0</v>
      </c>
      <c r="E2157" s="86">
        <v>4.79</v>
      </c>
      <c r="F2157" s="87">
        <v>9.12</v>
      </c>
      <c r="G2157" s="88">
        <f t="shared" si="1"/>
        <v>4.33</v>
      </c>
      <c r="H2157" s="89">
        <f t="shared" si="10"/>
        <v>0.4747807018</v>
      </c>
      <c r="I2157" s="78" t="s">
        <v>2728</v>
      </c>
      <c r="J2157" s="78" t="s">
        <v>69</v>
      </c>
      <c r="K2157" s="58">
        <f t="shared" si="3"/>
        <v>0</v>
      </c>
      <c r="L2157" s="91" t="str">
        <f t="shared" si="8"/>
        <v>Thu</v>
      </c>
      <c r="M2157" s="78" t="str">
        <f>IFERROR(VLOOKUP(A2157, Entries!A:B,2,false),"")</f>
        <v>Behaviour Interactive</v>
      </c>
      <c r="N2157" s="23" t="str">
        <f>IFERROR(VLOOKUP(A2157, Entries!A:K,11,false),"")</f>
        <v/>
      </c>
      <c r="O2157" s="23" t="b">
        <f>IFERROR(VLOOKUP(A2157, Entries!A:I,8,false),"")</f>
        <v>0</v>
      </c>
    </row>
    <row r="2158">
      <c r="A2158" s="78" t="s">
        <v>2726</v>
      </c>
      <c r="B2158" s="78" t="s">
        <v>27</v>
      </c>
      <c r="C2158" s="85">
        <v>44721.0</v>
      </c>
      <c r="D2158" s="85">
        <v>44920.0</v>
      </c>
      <c r="E2158" s="86">
        <v>4.79</v>
      </c>
      <c r="F2158" s="87">
        <v>8.2</v>
      </c>
      <c r="G2158" s="88">
        <f t="shared" si="1"/>
        <v>3.41</v>
      </c>
      <c r="H2158" s="89">
        <f t="shared" si="10"/>
        <v>0.4158536585</v>
      </c>
      <c r="I2158" s="78" t="s">
        <v>2729</v>
      </c>
      <c r="J2158" s="78" t="s">
        <v>69</v>
      </c>
      <c r="K2158" s="58">
        <f t="shared" si="3"/>
        <v>199</v>
      </c>
      <c r="L2158" s="91" t="str">
        <f t="shared" si="8"/>
        <v>Sun</v>
      </c>
      <c r="M2158" s="78" t="str">
        <f>IFERROR(VLOOKUP(A2158, Entries!A:B,2,false),"")</f>
        <v>Behaviour Interactive</v>
      </c>
      <c r="N2158" s="23" t="str">
        <f>IFERROR(VLOOKUP(A2158, Entries!A:K,11,false),"")</f>
        <v/>
      </c>
      <c r="O2158" s="23" t="b">
        <f>IFERROR(VLOOKUP(A2158, Entries!A:I,8,false),"")</f>
        <v>0</v>
      </c>
    </row>
    <row r="2159">
      <c r="A2159" s="78" t="s">
        <v>308</v>
      </c>
      <c r="B2159" s="78" t="s">
        <v>25</v>
      </c>
      <c r="C2159" s="85">
        <v>44721.0</v>
      </c>
      <c r="D2159" s="85">
        <v>44726.0</v>
      </c>
      <c r="E2159" s="86">
        <v>4.52</v>
      </c>
      <c r="F2159" s="87">
        <v>6.35</v>
      </c>
      <c r="G2159" s="88">
        <f t="shared" si="1"/>
        <v>1.83</v>
      </c>
      <c r="H2159" s="89">
        <f t="shared" si="10"/>
        <v>0.2881889764</v>
      </c>
      <c r="I2159" s="78" t="s">
        <v>2730</v>
      </c>
      <c r="J2159" s="78" t="s">
        <v>69</v>
      </c>
      <c r="K2159" s="58">
        <f t="shared" si="3"/>
        <v>5</v>
      </c>
      <c r="L2159" s="91" t="str">
        <f t="shared" si="8"/>
        <v>Tue</v>
      </c>
      <c r="M2159" s="78" t="str">
        <f>IFERROR(VLOOKUP(A2159, Entries!A:B,2,false),"")</f>
        <v>505 Games</v>
      </c>
      <c r="N2159" s="23" t="str">
        <f>IFERROR(VLOOKUP(A2159, Entries!A:K,11,false),"")</f>
        <v/>
      </c>
      <c r="O2159" s="23" t="b">
        <f>IFERROR(VLOOKUP(A2159, Entries!A:I,8,false),"")</f>
        <v>0</v>
      </c>
    </row>
    <row r="2160">
      <c r="A2160" s="78" t="s">
        <v>2731</v>
      </c>
      <c r="B2160" s="78" t="s">
        <v>27</v>
      </c>
      <c r="C2160" s="85">
        <v>44721.0</v>
      </c>
      <c r="D2160" s="85">
        <v>44729.0</v>
      </c>
      <c r="E2160" s="86">
        <v>11.99</v>
      </c>
      <c r="F2160" s="87">
        <v>14.11</v>
      </c>
      <c r="G2160" s="88">
        <f t="shared" si="1"/>
        <v>2.12</v>
      </c>
      <c r="H2160" s="89">
        <f t="shared" si="10"/>
        <v>0.150248051</v>
      </c>
      <c r="I2160" s="78" t="s">
        <v>2732</v>
      </c>
      <c r="J2160" s="78" t="s">
        <v>69</v>
      </c>
      <c r="K2160" s="58">
        <f t="shared" si="3"/>
        <v>8</v>
      </c>
      <c r="L2160" s="91" t="str">
        <f t="shared" si="8"/>
        <v>Fri</v>
      </c>
      <c r="M2160" s="78" t="str">
        <f>IFERROR(VLOOKUP(A2160, Entries!A:B,2,false),"")</f>
        <v>Rebellion</v>
      </c>
      <c r="N2160" s="23" t="str">
        <f>IFERROR(VLOOKUP(A2160, Entries!A:K,11,false),"")</f>
        <v/>
      </c>
      <c r="O2160" s="23" t="b">
        <f>IFERROR(VLOOKUP(A2160, Entries!A:I,8,false),"")</f>
        <v>0</v>
      </c>
    </row>
    <row r="2161">
      <c r="A2161" s="78" t="s">
        <v>610</v>
      </c>
      <c r="B2161" s="78" t="s">
        <v>33</v>
      </c>
      <c r="C2161" s="85">
        <v>44721.0</v>
      </c>
      <c r="D2161" s="85">
        <v>44729.0</v>
      </c>
      <c r="E2161" s="86">
        <v>7.14</v>
      </c>
      <c r="F2161" s="87">
        <v>13.2</v>
      </c>
      <c r="G2161" s="88">
        <f t="shared" si="1"/>
        <v>6.06</v>
      </c>
      <c r="H2161" s="89">
        <f t="shared" si="10"/>
        <v>0.4590909091</v>
      </c>
      <c r="I2161" s="78" t="s">
        <v>2733</v>
      </c>
      <c r="J2161" s="78" t="s">
        <v>69</v>
      </c>
      <c r="K2161" s="58">
        <f t="shared" si="3"/>
        <v>8</v>
      </c>
      <c r="L2161" s="91" t="str">
        <f t="shared" si="8"/>
        <v>Fri</v>
      </c>
      <c r="M2161" s="78" t="str">
        <f>IFERROR(VLOOKUP(A2161, Entries!A:B,2,false),"")</f>
        <v>Square Enix</v>
      </c>
      <c r="N2161" s="23" t="str">
        <f>IFERROR(VLOOKUP(A2161, Entries!A:K,11,false),"")</f>
        <v/>
      </c>
      <c r="O2161" s="23" t="b">
        <f>IFERROR(VLOOKUP(A2161, Entries!A:I,8,false),"")</f>
        <v>0</v>
      </c>
    </row>
    <row r="2162">
      <c r="A2162" s="78" t="s">
        <v>2734</v>
      </c>
      <c r="B2162" s="78" t="s">
        <v>33</v>
      </c>
      <c r="C2162" s="85">
        <v>44721.0</v>
      </c>
      <c r="D2162" s="85">
        <v>44724.0</v>
      </c>
      <c r="E2162" s="86">
        <v>8.63</v>
      </c>
      <c r="F2162" s="87">
        <v>12.2</v>
      </c>
      <c r="G2162" s="88">
        <f t="shared" si="1"/>
        <v>3.57</v>
      </c>
      <c r="H2162" s="89">
        <f t="shared" si="10"/>
        <v>0.2926229508</v>
      </c>
      <c r="I2162" s="78" t="s">
        <v>2735</v>
      </c>
      <c r="J2162" s="78" t="s">
        <v>69</v>
      </c>
      <c r="K2162" s="58">
        <f t="shared" si="3"/>
        <v>3</v>
      </c>
      <c r="L2162" s="91" t="str">
        <f t="shared" si="8"/>
        <v>Sun</v>
      </c>
      <c r="M2162" s="78" t="str">
        <f>IFERROR(VLOOKUP(A2162, Entries!A:B,2,false),"")</f>
        <v>Dotemu</v>
      </c>
      <c r="N2162" s="23" t="str">
        <f>IFERROR(VLOOKUP(A2162, Entries!A:K,11,false),"")</f>
        <v/>
      </c>
      <c r="O2162" s="23" t="b">
        <f>IFERROR(VLOOKUP(A2162, Entries!A:I,8,false),"")</f>
        <v>0</v>
      </c>
    </row>
    <row r="2163">
      <c r="A2163" s="78" t="s">
        <v>1656</v>
      </c>
      <c r="B2163" s="78" t="s">
        <v>22</v>
      </c>
      <c r="C2163" s="85">
        <v>44722.0</v>
      </c>
      <c r="D2163" s="85">
        <v>44722.0</v>
      </c>
      <c r="E2163" s="86">
        <v>11.78</v>
      </c>
      <c r="F2163" s="87">
        <v>14.03</v>
      </c>
      <c r="G2163" s="88">
        <f t="shared" si="1"/>
        <v>2.25</v>
      </c>
      <c r="H2163" s="89">
        <f t="shared" si="10"/>
        <v>0.1603706344</v>
      </c>
      <c r="I2163" s="78" t="s">
        <v>2736</v>
      </c>
      <c r="J2163" s="78" t="s">
        <v>69</v>
      </c>
      <c r="K2163" s="58">
        <f t="shared" si="3"/>
        <v>0</v>
      </c>
      <c r="L2163" s="91" t="str">
        <f t="shared" si="8"/>
        <v>Fri</v>
      </c>
      <c r="M2163" s="78" t="str">
        <f>IFERROR(VLOOKUP(A2163, Entries!A:B,2,false),"")</f>
        <v>Overhype Studios</v>
      </c>
      <c r="N2163" s="23" t="str">
        <f>IFERROR(VLOOKUP(A2163, Entries!A:K,11,false),"")</f>
        <v/>
      </c>
      <c r="O2163" s="23" t="b">
        <f>IFERROR(VLOOKUP(A2163, Entries!A:I,8,false),"")</f>
        <v>1</v>
      </c>
    </row>
    <row r="2164">
      <c r="A2164" s="78" t="s">
        <v>1656</v>
      </c>
      <c r="B2164" s="78" t="s">
        <v>22</v>
      </c>
      <c r="C2164" s="85">
        <v>44722.0</v>
      </c>
      <c r="D2164" s="85">
        <v>44722.0</v>
      </c>
      <c r="E2164" s="86">
        <v>11.78</v>
      </c>
      <c r="F2164" s="87">
        <v>14.03</v>
      </c>
      <c r="G2164" s="88">
        <f t="shared" si="1"/>
        <v>2.25</v>
      </c>
      <c r="H2164" s="89">
        <f t="shared" si="10"/>
        <v>0.1603706344</v>
      </c>
      <c r="I2164" s="78" t="s">
        <v>2737</v>
      </c>
      <c r="J2164" s="78" t="s">
        <v>69</v>
      </c>
      <c r="K2164" s="58">
        <f t="shared" si="3"/>
        <v>0</v>
      </c>
      <c r="L2164" s="91" t="str">
        <f t="shared" si="8"/>
        <v>Fri</v>
      </c>
      <c r="M2164" s="78" t="str">
        <f>IFERROR(VLOOKUP(A2164, Entries!A:B,2,false),"")</f>
        <v>Overhype Studios</v>
      </c>
      <c r="N2164" s="23" t="str">
        <f>IFERROR(VLOOKUP(A2164, Entries!A:K,11,false),"")</f>
        <v/>
      </c>
      <c r="O2164" s="23" t="b">
        <f>IFERROR(VLOOKUP(A2164, Entries!A:I,8,false),"")</f>
        <v>1</v>
      </c>
    </row>
    <row r="2165">
      <c r="A2165" s="78" t="s">
        <v>2466</v>
      </c>
      <c r="B2165" s="78" t="s">
        <v>27</v>
      </c>
      <c r="C2165" s="85">
        <v>44722.0</v>
      </c>
      <c r="D2165" s="85">
        <v>44727.0</v>
      </c>
      <c r="E2165" s="86">
        <v>10.79</v>
      </c>
      <c r="F2165" s="87">
        <v>15.32</v>
      </c>
      <c r="G2165" s="88">
        <f t="shared" si="1"/>
        <v>4.53</v>
      </c>
      <c r="H2165" s="89">
        <f t="shared" si="10"/>
        <v>0.295691906</v>
      </c>
      <c r="I2165" s="78" t="s">
        <v>2738</v>
      </c>
      <c r="J2165" s="78" t="s">
        <v>69</v>
      </c>
      <c r="K2165" s="58">
        <f t="shared" si="3"/>
        <v>5</v>
      </c>
      <c r="L2165" s="91" t="str">
        <f t="shared" si="8"/>
        <v>Wed</v>
      </c>
      <c r="M2165" s="78" t="str">
        <f>IFERROR(VLOOKUP(A2165, Entries!A:B,2,false),"")</f>
        <v>Bethesda Softworks</v>
      </c>
      <c r="N2165" s="23" t="str">
        <f>IFERROR(VLOOKUP(A2165, Entries!A:K,11,false),"")</f>
        <v/>
      </c>
      <c r="O2165" s="23" t="b">
        <f>IFERROR(VLOOKUP(A2165, Entries!A:I,8,false),"")</f>
        <v>1</v>
      </c>
    </row>
    <row r="2166">
      <c r="A2166" s="78" t="s">
        <v>319</v>
      </c>
      <c r="B2166" s="78" t="s">
        <v>18</v>
      </c>
      <c r="C2166" s="85">
        <v>44722.0</v>
      </c>
      <c r="D2166" s="85">
        <v>44728.0</v>
      </c>
      <c r="E2166" s="86">
        <v>7.43</v>
      </c>
      <c r="F2166" s="87">
        <v>22.3</v>
      </c>
      <c r="G2166" s="88">
        <f t="shared" si="1"/>
        <v>14.87</v>
      </c>
      <c r="H2166" s="89">
        <f t="shared" si="10"/>
        <v>0.6668161435</v>
      </c>
      <c r="I2166" s="78" t="s">
        <v>2739</v>
      </c>
      <c r="J2166" s="78" t="s">
        <v>69</v>
      </c>
      <c r="K2166" s="58">
        <f t="shared" si="3"/>
        <v>6</v>
      </c>
      <c r="L2166" s="91" t="str">
        <f t="shared" si="8"/>
        <v>Thu</v>
      </c>
      <c r="M2166" s="78" t="str">
        <f>IFERROR(VLOOKUP(A2166, Entries!A:B,2,false),"")</f>
        <v>BANDAI NAMCO</v>
      </c>
      <c r="N2166" s="23" t="str">
        <f>IFERROR(VLOOKUP(A2166, Entries!A:K,11,false),"")</f>
        <v/>
      </c>
      <c r="O2166" s="23" t="b">
        <f>IFERROR(VLOOKUP(A2166, Entries!A:I,8,false),"")</f>
        <v>1</v>
      </c>
    </row>
    <row r="2167">
      <c r="A2167" s="78" t="s">
        <v>319</v>
      </c>
      <c r="B2167" s="78" t="s">
        <v>18</v>
      </c>
      <c r="C2167" s="85">
        <v>44722.0</v>
      </c>
      <c r="D2167" s="85">
        <v>44729.0</v>
      </c>
      <c r="E2167" s="86">
        <v>7.43</v>
      </c>
      <c r="F2167" s="87">
        <v>22.3</v>
      </c>
      <c r="G2167" s="88">
        <f t="shared" si="1"/>
        <v>14.87</v>
      </c>
      <c r="H2167" s="89">
        <f t="shared" si="10"/>
        <v>0.6668161435</v>
      </c>
      <c r="I2167" s="78" t="s">
        <v>2740</v>
      </c>
      <c r="J2167" s="78" t="s">
        <v>69</v>
      </c>
      <c r="K2167" s="58">
        <f t="shared" si="3"/>
        <v>7</v>
      </c>
      <c r="L2167" s="91" t="str">
        <f t="shared" si="8"/>
        <v>Fri</v>
      </c>
      <c r="M2167" s="78" t="str">
        <f>IFERROR(VLOOKUP(A2167, Entries!A:B,2,false),"")</f>
        <v>BANDAI NAMCO</v>
      </c>
      <c r="N2167" s="23" t="str">
        <f>IFERROR(VLOOKUP(A2167, Entries!A:K,11,false),"")</f>
        <v/>
      </c>
      <c r="O2167" s="23" t="b">
        <f>IFERROR(VLOOKUP(A2167, Entries!A:I,8,false),"")</f>
        <v>1</v>
      </c>
    </row>
    <row r="2168">
      <c r="A2168" s="78" t="s">
        <v>2741</v>
      </c>
      <c r="B2168" s="78" t="s">
        <v>21</v>
      </c>
      <c r="C2168" s="85">
        <v>44722.0</v>
      </c>
      <c r="D2168" s="85">
        <v>44727.0</v>
      </c>
      <c r="E2168" s="86">
        <v>6.93</v>
      </c>
      <c r="F2168" s="87">
        <v>7.5</v>
      </c>
      <c r="G2168" s="88">
        <f t="shared" si="1"/>
        <v>0.57</v>
      </c>
      <c r="H2168" s="89">
        <f t="shared" si="10"/>
        <v>0.076</v>
      </c>
      <c r="I2168" s="78" t="s">
        <v>2742</v>
      </c>
      <c r="J2168" s="78" t="s">
        <v>69</v>
      </c>
      <c r="K2168" s="58">
        <f t="shared" si="3"/>
        <v>5</v>
      </c>
      <c r="L2168" s="91" t="str">
        <f t="shared" si="8"/>
        <v>Wed</v>
      </c>
      <c r="M2168" s="78" t="str">
        <f>IFERROR(VLOOKUP(A2168, Entries!A:B,2,false),"")</f>
        <v>CAPCOM</v>
      </c>
      <c r="N2168" s="23" t="str">
        <f>IFERROR(VLOOKUP(A2168, Entries!A:K,11,false),"")</f>
        <v/>
      </c>
      <c r="O2168" s="23" t="b">
        <f>IFERROR(VLOOKUP(A2168, Entries!A:I,8,false),"")</f>
        <v>0</v>
      </c>
    </row>
    <row r="2169">
      <c r="A2169" s="78" t="s">
        <v>2741</v>
      </c>
      <c r="B2169" s="78" t="s">
        <v>21</v>
      </c>
      <c r="C2169" s="85">
        <v>44722.0</v>
      </c>
      <c r="D2169" s="85">
        <v>44727.0</v>
      </c>
      <c r="E2169" s="86">
        <v>6.93</v>
      </c>
      <c r="F2169" s="87">
        <v>7.96</v>
      </c>
      <c r="G2169" s="88">
        <f t="shared" si="1"/>
        <v>1.03</v>
      </c>
      <c r="H2169" s="89">
        <f t="shared" si="10"/>
        <v>0.1293969849</v>
      </c>
      <c r="I2169" s="78" t="s">
        <v>2743</v>
      </c>
      <c r="J2169" s="78" t="s">
        <v>69</v>
      </c>
      <c r="K2169" s="58">
        <f t="shared" si="3"/>
        <v>5</v>
      </c>
      <c r="L2169" s="91" t="str">
        <f t="shared" si="8"/>
        <v>Wed</v>
      </c>
      <c r="M2169" s="78" t="str">
        <f>IFERROR(VLOOKUP(A2169, Entries!A:B,2,false),"")</f>
        <v>CAPCOM</v>
      </c>
      <c r="N2169" s="23" t="str">
        <f>IFERROR(VLOOKUP(A2169, Entries!A:K,11,false),"")</f>
        <v/>
      </c>
      <c r="O2169" s="23" t="b">
        <f>IFERROR(VLOOKUP(A2169, Entries!A:I,8,false),"")</f>
        <v>0</v>
      </c>
    </row>
    <row r="2170">
      <c r="A2170" s="78" t="s">
        <v>719</v>
      </c>
      <c r="B2170" s="78" t="s">
        <v>19</v>
      </c>
      <c r="C2170" s="85">
        <v>44722.0</v>
      </c>
      <c r="D2170" s="85">
        <v>44788.0</v>
      </c>
      <c r="E2170" s="86">
        <v>11.18</v>
      </c>
      <c r="F2170" s="87">
        <v>16.8</v>
      </c>
      <c r="G2170" s="88">
        <f t="shared" si="1"/>
        <v>5.62</v>
      </c>
      <c r="H2170" s="89">
        <f t="shared" si="10"/>
        <v>0.3345238095</v>
      </c>
      <c r="I2170" s="78" t="s">
        <v>2744</v>
      </c>
      <c r="J2170" s="78" t="s">
        <v>69</v>
      </c>
      <c r="K2170" s="58">
        <f t="shared" si="3"/>
        <v>66</v>
      </c>
      <c r="L2170" s="91" t="str">
        <f t="shared" si="8"/>
        <v>Mon</v>
      </c>
      <c r="M2170" s="78" t="str">
        <f>IFERROR(VLOOKUP(A2170, Entries!A:B,2,false),"")</f>
        <v>Lukas Rustemeyer</v>
      </c>
      <c r="N2170" s="23" t="str">
        <f>IFERROR(VLOOKUP(A2170, Entries!A:K,11,false),"")</f>
        <v/>
      </c>
      <c r="O2170" s="23" t="b">
        <f>IFERROR(VLOOKUP(A2170, Entries!A:I,8,false),"")</f>
        <v>1</v>
      </c>
    </row>
    <row r="2171">
      <c r="A2171" s="78" t="s">
        <v>375</v>
      </c>
      <c r="B2171" s="78" t="s">
        <v>32</v>
      </c>
      <c r="C2171" s="85">
        <v>44723.0</v>
      </c>
      <c r="D2171" s="85">
        <v>44726.0</v>
      </c>
      <c r="E2171" s="86">
        <v>7.05</v>
      </c>
      <c r="F2171" s="87">
        <v>9.2</v>
      </c>
      <c r="G2171" s="88">
        <f t="shared" si="1"/>
        <v>2.15</v>
      </c>
      <c r="H2171" s="89">
        <f t="shared" si="10"/>
        <v>0.2336956522</v>
      </c>
      <c r="I2171" s="78" t="s">
        <v>2745</v>
      </c>
      <c r="J2171" s="78" t="s">
        <v>69</v>
      </c>
      <c r="K2171" s="58">
        <f t="shared" si="3"/>
        <v>3</v>
      </c>
      <c r="L2171" s="91" t="str">
        <f t="shared" si="8"/>
        <v>Tue</v>
      </c>
      <c r="M2171" s="78" t="str">
        <f>IFERROR(VLOOKUP(A2171, Entries!A:B,2,false),"")</f>
        <v>Survios</v>
      </c>
      <c r="N2171" s="23" t="str">
        <f>IFERROR(VLOOKUP(A2171, Entries!A:K,11,false),"")</f>
        <v/>
      </c>
      <c r="O2171" s="23" t="b">
        <f>IFERROR(VLOOKUP(A2171, Entries!A:I,8,false),"")</f>
        <v>1</v>
      </c>
    </row>
    <row r="2172">
      <c r="A2172" s="78" t="s">
        <v>375</v>
      </c>
      <c r="B2172" s="78" t="s">
        <v>32</v>
      </c>
      <c r="C2172" s="85">
        <v>44723.0</v>
      </c>
      <c r="D2172" s="85">
        <v>44726.0</v>
      </c>
      <c r="E2172" s="86">
        <v>7.06</v>
      </c>
      <c r="F2172" s="87">
        <v>9.2</v>
      </c>
      <c r="G2172" s="88">
        <f t="shared" si="1"/>
        <v>2.14</v>
      </c>
      <c r="H2172" s="89">
        <f t="shared" si="10"/>
        <v>0.2326086957</v>
      </c>
      <c r="I2172" s="78" t="s">
        <v>2746</v>
      </c>
      <c r="J2172" s="78" t="s">
        <v>69</v>
      </c>
      <c r="K2172" s="58">
        <f t="shared" si="3"/>
        <v>3</v>
      </c>
      <c r="L2172" s="91" t="str">
        <f t="shared" si="8"/>
        <v>Tue</v>
      </c>
      <c r="M2172" s="78" t="str">
        <f>IFERROR(VLOOKUP(A2172, Entries!A:B,2,false),"")</f>
        <v>Survios</v>
      </c>
      <c r="N2172" s="23" t="str">
        <f>IFERROR(VLOOKUP(A2172, Entries!A:K,11,false),"")</f>
        <v/>
      </c>
      <c r="O2172" s="23" t="b">
        <f>IFERROR(VLOOKUP(A2172, Entries!A:I,8,false),"")</f>
        <v>1</v>
      </c>
    </row>
    <row r="2173">
      <c r="A2173" s="78" t="s">
        <v>2747</v>
      </c>
      <c r="B2173" s="78" t="s">
        <v>22</v>
      </c>
      <c r="C2173" s="85">
        <v>44723.0</v>
      </c>
      <c r="D2173" s="85">
        <v>44822.0</v>
      </c>
      <c r="E2173" s="86">
        <v>7.02</v>
      </c>
      <c r="F2173" s="87">
        <v>8.14</v>
      </c>
      <c r="G2173" s="88">
        <f t="shared" si="1"/>
        <v>1.12</v>
      </c>
      <c r="H2173" s="89">
        <f t="shared" si="10"/>
        <v>0.1375921376</v>
      </c>
      <c r="I2173" s="78" t="s">
        <v>561</v>
      </c>
      <c r="J2173" s="78" t="s">
        <v>69</v>
      </c>
      <c r="K2173" s="58">
        <f t="shared" si="3"/>
        <v>99</v>
      </c>
      <c r="L2173" s="91" t="str">
        <f t="shared" si="8"/>
        <v>Sun</v>
      </c>
      <c r="M2173" s="78" t="str">
        <f>IFERROR(VLOOKUP(A2173, Entries!A:B,2,false),"")</f>
        <v>Red Barrels</v>
      </c>
      <c r="N2173" s="23" t="str">
        <f>IFERROR(VLOOKUP(A2173, Entries!A:K,11,false),"")</f>
        <v/>
      </c>
      <c r="O2173" s="23" t="b">
        <f>IFERROR(VLOOKUP(A2173, Entries!A:I,8,false),"")</f>
        <v>0</v>
      </c>
    </row>
    <row r="2174">
      <c r="A2174" s="78" t="s">
        <v>2734</v>
      </c>
      <c r="B2174" s="78" t="s">
        <v>33</v>
      </c>
      <c r="C2174" s="85">
        <v>44724.0</v>
      </c>
      <c r="D2174" s="85">
        <v>44726.0</v>
      </c>
      <c r="E2174" s="86">
        <v>8.39</v>
      </c>
      <c r="F2174" s="87">
        <v>13.57</v>
      </c>
      <c r="G2174" s="88">
        <f t="shared" si="1"/>
        <v>5.18</v>
      </c>
      <c r="H2174" s="89">
        <f t="shared" si="10"/>
        <v>0.381724392</v>
      </c>
      <c r="I2174" s="78" t="s">
        <v>2748</v>
      </c>
      <c r="J2174" s="78" t="s">
        <v>69</v>
      </c>
      <c r="K2174" s="58">
        <f t="shared" si="3"/>
        <v>2</v>
      </c>
      <c r="L2174" s="91" t="str">
        <f t="shared" si="8"/>
        <v>Tue</v>
      </c>
      <c r="M2174" s="78" t="str">
        <f>IFERROR(VLOOKUP(A2174, Entries!A:B,2,false),"")</f>
        <v>Dotemu</v>
      </c>
      <c r="N2174" s="23" t="str">
        <f>IFERROR(VLOOKUP(A2174, Entries!A:K,11,false),"")</f>
        <v/>
      </c>
      <c r="O2174" s="23" t="b">
        <f>IFERROR(VLOOKUP(A2174, Entries!A:I,8,false),"")</f>
        <v>0</v>
      </c>
    </row>
    <row r="2175">
      <c r="A2175" s="78" t="s">
        <v>2749</v>
      </c>
      <c r="B2175" s="78" t="s">
        <v>19</v>
      </c>
      <c r="C2175" s="85">
        <v>44725.0</v>
      </c>
      <c r="D2175" s="85">
        <v>44764.0</v>
      </c>
      <c r="E2175" s="86">
        <v>11.89</v>
      </c>
      <c r="F2175" s="87">
        <v>14.47</v>
      </c>
      <c r="G2175" s="88">
        <f t="shared" si="1"/>
        <v>2.58</v>
      </c>
      <c r="H2175" s="89">
        <f t="shared" si="10"/>
        <v>0.1782999309</v>
      </c>
      <c r="I2175" s="78" t="s">
        <v>2750</v>
      </c>
      <c r="J2175" s="78" t="s">
        <v>69</v>
      </c>
      <c r="K2175" s="58">
        <f t="shared" si="3"/>
        <v>39</v>
      </c>
      <c r="L2175" s="91" t="str">
        <f t="shared" si="8"/>
        <v>Fri</v>
      </c>
      <c r="M2175" s="78" t="str">
        <f>IFERROR(VLOOKUP(A2175, Entries!A:B,2,false),"")</f>
        <v>Ironhide Game Studio</v>
      </c>
      <c r="N2175" s="23" t="str">
        <f>IFERROR(VLOOKUP(A2175, Entries!A:K,11,false),"")</f>
        <v/>
      </c>
      <c r="O2175" s="23" t="b">
        <f>IFERROR(VLOOKUP(A2175, Entries!A:I,8,false),"")</f>
        <v>0</v>
      </c>
    </row>
    <row r="2176">
      <c r="A2176" s="78" t="s">
        <v>618</v>
      </c>
      <c r="B2176" s="78" t="s">
        <v>19</v>
      </c>
      <c r="C2176" s="85">
        <v>44725.0</v>
      </c>
      <c r="D2176" s="85">
        <v>44726.0</v>
      </c>
      <c r="E2176" s="86">
        <v>0.94</v>
      </c>
      <c r="F2176" s="87">
        <v>1.84</v>
      </c>
      <c r="G2176" s="88">
        <f t="shared" si="1"/>
        <v>0.9</v>
      </c>
      <c r="H2176" s="89">
        <f t="shared" si="10"/>
        <v>0.4891304348</v>
      </c>
      <c r="I2176" s="78" t="s">
        <v>2751</v>
      </c>
      <c r="J2176" s="78" t="s">
        <v>69</v>
      </c>
      <c r="K2176" s="58">
        <f t="shared" si="3"/>
        <v>1</v>
      </c>
      <c r="L2176" s="91" t="str">
        <f t="shared" si="8"/>
        <v>Tue</v>
      </c>
      <c r="M2176" s="78" t="str">
        <f>IFERROR(VLOOKUP(A2176, Entries!A:B,2,false),"")</f>
        <v>M2H</v>
      </c>
      <c r="N2176" s="23" t="str">
        <f>IFERROR(VLOOKUP(A2176, Entries!A:K,11,false),"")</f>
        <v/>
      </c>
      <c r="O2176" s="23" t="b">
        <f>IFERROR(VLOOKUP(A2176, Entries!A:I,8,false),"")</f>
        <v>1</v>
      </c>
    </row>
    <row r="2177">
      <c r="A2177" s="78" t="s">
        <v>2027</v>
      </c>
      <c r="B2177" s="78" t="s">
        <v>27</v>
      </c>
      <c r="C2177" s="85">
        <v>44725.0</v>
      </c>
      <c r="D2177" s="85">
        <v>44735.0</v>
      </c>
      <c r="E2177" s="86">
        <v>15.59</v>
      </c>
      <c r="F2177" s="87">
        <v>17.43</v>
      </c>
      <c r="G2177" s="88">
        <f t="shared" si="1"/>
        <v>1.84</v>
      </c>
      <c r="H2177" s="89">
        <f t="shared" si="10"/>
        <v>0.1055651176</v>
      </c>
      <c r="I2177" s="78" t="s">
        <v>2752</v>
      </c>
      <c r="J2177" s="78" t="s">
        <v>69</v>
      </c>
      <c r="K2177" s="58">
        <f t="shared" si="3"/>
        <v>10</v>
      </c>
      <c r="L2177" s="91" t="str">
        <f t="shared" si="8"/>
        <v>Thu</v>
      </c>
      <c r="M2177" s="78" t="str">
        <f>IFERROR(VLOOKUP(A2177, Entries!A:B,2,false),"")</f>
        <v>Private Division</v>
      </c>
      <c r="N2177" s="23" t="str">
        <f>IFERROR(VLOOKUP(A2177, Entries!A:K,11,false),"")</f>
        <v/>
      </c>
      <c r="O2177" s="23" t="b">
        <f>IFERROR(VLOOKUP(A2177, Entries!A:I,8,false),"")</f>
        <v>0</v>
      </c>
    </row>
    <row r="2178">
      <c r="A2178" s="78" t="s">
        <v>2250</v>
      </c>
      <c r="B2178" s="78" t="s">
        <v>25</v>
      </c>
      <c r="C2178" s="85">
        <v>44725.0</v>
      </c>
      <c r="D2178" s="85">
        <v>44725.0</v>
      </c>
      <c r="E2178" s="86">
        <v>11.61</v>
      </c>
      <c r="F2178" s="87">
        <v>16.77</v>
      </c>
      <c r="G2178" s="88">
        <f t="shared" si="1"/>
        <v>5.16</v>
      </c>
      <c r="H2178" s="89">
        <f t="shared" si="10"/>
        <v>0.3076923077</v>
      </c>
      <c r="I2178" s="78" t="s">
        <v>2753</v>
      </c>
      <c r="J2178" s="78" t="s">
        <v>69</v>
      </c>
      <c r="K2178" s="58">
        <f t="shared" si="3"/>
        <v>0</v>
      </c>
      <c r="L2178" s="91" t="str">
        <f t="shared" si="8"/>
        <v>Mon</v>
      </c>
      <c r="M2178" s="78" t="str">
        <f>IFERROR(VLOOKUP(A2178, Entries!A:B,2,false),"")</f>
        <v>SEGA</v>
      </c>
      <c r="N2178" s="23" t="str">
        <f>IFERROR(VLOOKUP(A2178, Entries!A:K,11,false),"")</f>
        <v/>
      </c>
      <c r="O2178" s="23" t="b">
        <f>IFERROR(VLOOKUP(A2178, Entries!A:I,8,false),"")</f>
        <v>1</v>
      </c>
    </row>
    <row r="2179">
      <c r="A2179" s="78" t="s">
        <v>221</v>
      </c>
      <c r="B2179" s="78" t="s">
        <v>18</v>
      </c>
      <c r="C2179" s="85">
        <v>44725.0</v>
      </c>
      <c r="D2179" s="85">
        <v>44726.0</v>
      </c>
      <c r="E2179" s="86">
        <v>6.14</v>
      </c>
      <c r="F2179" s="87">
        <v>9.69</v>
      </c>
      <c r="G2179" s="88">
        <f t="shared" si="1"/>
        <v>3.55</v>
      </c>
      <c r="H2179" s="89">
        <f t="shared" si="10"/>
        <v>0.3663570691</v>
      </c>
      <c r="I2179" s="78" t="s">
        <v>2754</v>
      </c>
      <c r="J2179" s="78" t="s">
        <v>69</v>
      </c>
      <c r="K2179" s="58">
        <f t="shared" si="3"/>
        <v>1</v>
      </c>
      <c r="L2179" s="91" t="str">
        <f t="shared" si="8"/>
        <v>Tue</v>
      </c>
      <c r="M2179" s="78" t="str">
        <f>IFERROR(VLOOKUP(A2179, Entries!A:B,2,false),"")</f>
        <v>Wired Productions</v>
      </c>
      <c r="N2179" s="23" t="str">
        <f>IFERROR(VLOOKUP(A2179, Entries!A:K,11,false),"")</f>
        <v/>
      </c>
      <c r="O2179" s="23" t="b">
        <f>IFERROR(VLOOKUP(A2179, Entries!A:I,8,false),"")</f>
        <v>0</v>
      </c>
    </row>
    <row r="2180">
      <c r="A2180" s="78" t="s">
        <v>221</v>
      </c>
      <c r="B2180" s="78" t="s">
        <v>18</v>
      </c>
      <c r="C2180" s="85">
        <v>44725.0</v>
      </c>
      <c r="D2180" s="85">
        <v>44728.0</v>
      </c>
      <c r="E2180" s="86">
        <v>6.14</v>
      </c>
      <c r="F2180" s="87">
        <v>9.63</v>
      </c>
      <c r="G2180" s="88">
        <f t="shared" si="1"/>
        <v>3.49</v>
      </c>
      <c r="H2180" s="89">
        <f t="shared" si="10"/>
        <v>0.3624091381</v>
      </c>
      <c r="I2180" s="78" t="s">
        <v>2755</v>
      </c>
      <c r="J2180" s="78" t="s">
        <v>69</v>
      </c>
      <c r="K2180" s="58">
        <f t="shared" si="3"/>
        <v>3</v>
      </c>
      <c r="L2180" s="91" t="str">
        <f t="shared" si="8"/>
        <v>Thu</v>
      </c>
      <c r="M2180" s="78" t="str">
        <f>IFERROR(VLOOKUP(A2180, Entries!A:B,2,false),"")</f>
        <v>Wired Productions</v>
      </c>
      <c r="N2180" s="23" t="str">
        <f>IFERROR(VLOOKUP(A2180, Entries!A:K,11,false),"")</f>
        <v/>
      </c>
      <c r="O2180" s="23" t="b">
        <f>IFERROR(VLOOKUP(A2180, Entries!A:I,8,false),"")</f>
        <v>0</v>
      </c>
    </row>
    <row r="2181">
      <c r="A2181" s="78" t="s">
        <v>2250</v>
      </c>
      <c r="B2181" s="78" t="s">
        <v>25</v>
      </c>
      <c r="C2181" s="85">
        <v>44725.0</v>
      </c>
      <c r="D2181" s="85">
        <v>44727.0</v>
      </c>
      <c r="E2181" s="86">
        <v>11.61</v>
      </c>
      <c r="F2181" s="87">
        <v>16.69</v>
      </c>
      <c r="G2181" s="88">
        <f t="shared" si="1"/>
        <v>5.08</v>
      </c>
      <c r="H2181" s="89">
        <f t="shared" si="10"/>
        <v>0.3043738766</v>
      </c>
      <c r="I2181" s="78" t="s">
        <v>2756</v>
      </c>
      <c r="J2181" s="78" t="s">
        <v>69</v>
      </c>
      <c r="K2181" s="58">
        <f t="shared" si="3"/>
        <v>2</v>
      </c>
      <c r="L2181" s="91" t="str">
        <f t="shared" si="8"/>
        <v>Wed</v>
      </c>
      <c r="M2181" s="78" t="str">
        <f>IFERROR(VLOOKUP(A2181, Entries!A:B,2,false),"")</f>
        <v>SEGA</v>
      </c>
      <c r="N2181" s="23" t="str">
        <f>IFERROR(VLOOKUP(A2181, Entries!A:K,11,false),"")</f>
        <v/>
      </c>
      <c r="O2181" s="23" t="b">
        <f>IFERROR(VLOOKUP(A2181, Entries!A:I,8,false),"")</f>
        <v>1</v>
      </c>
    </row>
    <row r="2182">
      <c r="A2182" s="78" t="s">
        <v>2250</v>
      </c>
      <c r="B2182" s="78" t="s">
        <v>25</v>
      </c>
      <c r="C2182" s="85">
        <v>44725.0</v>
      </c>
      <c r="D2182" s="85">
        <v>44727.0</v>
      </c>
      <c r="E2182" s="86">
        <v>11.61</v>
      </c>
      <c r="F2182" s="87">
        <v>16.69</v>
      </c>
      <c r="G2182" s="88">
        <f t="shared" si="1"/>
        <v>5.08</v>
      </c>
      <c r="H2182" s="89">
        <f t="shared" si="10"/>
        <v>0.3043738766</v>
      </c>
      <c r="I2182" s="78" t="s">
        <v>2757</v>
      </c>
      <c r="J2182" s="78" t="s">
        <v>69</v>
      </c>
      <c r="K2182" s="58">
        <f t="shared" si="3"/>
        <v>2</v>
      </c>
      <c r="L2182" s="91" t="str">
        <f t="shared" si="8"/>
        <v>Wed</v>
      </c>
      <c r="M2182" s="78" t="str">
        <f>IFERROR(VLOOKUP(A2182, Entries!A:B,2,false),"")</f>
        <v>SEGA</v>
      </c>
      <c r="N2182" s="23" t="str">
        <f>IFERROR(VLOOKUP(A2182, Entries!A:K,11,false),"")</f>
        <v/>
      </c>
      <c r="O2182" s="23" t="b">
        <f>IFERROR(VLOOKUP(A2182, Entries!A:I,8,false),"")</f>
        <v>1</v>
      </c>
    </row>
    <row r="2183">
      <c r="A2183" s="78" t="s">
        <v>2749</v>
      </c>
      <c r="B2183" s="78" t="s">
        <v>19</v>
      </c>
      <c r="C2183" s="85">
        <v>44726.0</v>
      </c>
      <c r="D2183" s="85">
        <v>45347.0</v>
      </c>
      <c r="E2183" s="86">
        <v>12.02</v>
      </c>
      <c r="F2183" s="87">
        <v>13.14</v>
      </c>
      <c r="G2183" s="88">
        <f t="shared" si="1"/>
        <v>1.12</v>
      </c>
      <c r="H2183" s="89">
        <f t="shared" si="10"/>
        <v>0.08523592085</v>
      </c>
      <c r="I2183" s="78" t="s">
        <v>2758</v>
      </c>
      <c r="J2183" s="78" t="s">
        <v>69</v>
      </c>
      <c r="K2183" s="58">
        <f t="shared" si="3"/>
        <v>621</v>
      </c>
      <c r="L2183" s="91" t="str">
        <f t="shared" si="8"/>
        <v>Sun</v>
      </c>
      <c r="M2183" s="78" t="str">
        <f>IFERROR(VLOOKUP(A2183, Entries!A:B,2,false),"")</f>
        <v>Ironhide Game Studio</v>
      </c>
      <c r="N2183" s="23" t="str">
        <f>IFERROR(VLOOKUP(A2183, Entries!A:K,11,false),"")</f>
        <v/>
      </c>
      <c r="O2183" s="23" t="b">
        <f>IFERROR(VLOOKUP(A2183, Entries!A:I,8,false),"")</f>
        <v>0</v>
      </c>
    </row>
    <row r="2184">
      <c r="A2184" s="78" t="s">
        <v>618</v>
      </c>
      <c r="B2184" s="78" t="s">
        <v>19</v>
      </c>
      <c r="C2184" s="85">
        <v>44726.0</v>
      </c>
      <c r="D2184" s="85">
        <v>44727.0</v>
      </c>
      <c r="E2184" s="86">
        <v>0.94</v>
      </c>
      <c r="F2184" s="87">
        <v>1.5</v>
      </c>
      <c r="G2184" s="88">
        <f t="shared" si="1"/>
        <v>0.56</v>
      </c>
      <c r="H2184" s="89">
        <f t="shared" si="10"/>
        <v>0.3733333333</v>
      </c>
      <c r="I2184" s="78" t="s">
        <v>2759</v>
      </c>
      <c r="J2184" s="78" t="s">
        <v>69</v>
      </c>
      <c r="K2184" s="58">
        <f t="shared" si="3"/>
        <v>1</v>
      </c>
      <c r="L2184" s="91" t="str">
        <f t="shared" si="8"/>
        <v>Wed</v>
      </c>
      <c r="M2184" s="78" t="str">
        <f>IFERROR(VLOOKUP(A2184, Entries!A:B,2,false),"")</f>
        <v>M2H</v>
      </c>
      <c r="N2184" s="23" t="str">
        <f>IFERROR(VLOOKUP(A2184, Entries!A:K,11,false),"")</f>
        <v/>
      </c>
      <c r="O2184" s="23" t="b">
        <f>IFERROR(VLOOKUP(A2184, Entries!A:I,8,false),"")</f>
        <v>1</v>
      </c>
    </row>
    <row r="2185">
      <c r="A2185" s="78" t="s">
        <v>1930</v>
      </c>
      <c r="B2185" s="78" t="s">
        <v>25</v>
      </c>
      <c r="C2185" s="85">
        <v>44726.0</v>
      </c>
      <c r="D2185" s="85">
        <v>44787.0</v>
      </c>
      <c r="E2185" s="86">
        <v>6.7</v>
      </c>
      <c r="F2185" s="87">
        <v>8.69</v>
      </c>
      <c r="G2185" s="88">
        <f t="shared" si="1"/>
        <v>1.99</v>
      </c>
      <c r="H2185" s="89">
        <f t="shared" si="10"/>
        <v>0.2289988493</v>
      </c>
      <c r="I2185" s="78" t="s">
        <v>2760</v>
      </c>
      <c r="J2185" s="78" t="s">
        <v>69</v>
      </c>
      <c r="K2185" s="58">
        <f t="shared" si="3"/>
        <v>61</v>
      </c>
      <c r="L2185" s="91" t="str">
        <f t="shared" si="8"/>
        <v>Sun</v>
      </c>
      <c r="M2185" s="78" t="str">
        <f>IFERROR(VLOOKUP(A2185, Entries!A:B,2,false),"")</f>
        <v>Square Enix</v>
      </c>
      <c r="N2185" s="23" t="str">
        <f>IFERROR(VLOOKUP(A2185, Entries!A:K,11,false),"")</f>
        <v/>
      </c>
      <c r="O2185" s="23" t="b">
        <f>IFERROR(VLOOKUP(A2185, Entries!A:I,8,false),"")</f>
        <v>0</v>
      </c>
    </row>
    <row r="2186">
      <c r="A2186" s="78" t="s">
        <v>1676</v>
      </c>
      <c r="B2186" s="78" t="s">
        <v>27</v>
      </c>
      <c r="C2186" s="85">
        <v>44726.0</v>
      </c>
      <c r="D2186" s="85">
        <v>44729.0</v>
      </c>
      <c r="E2186" s="86">
        <v>13.19</v>
      </c>
      <c r="F2186" s="87">
        <v>15.47</v>
      </c>
      <c r="G2186" s="88">
        <f t="shared" si="1"/>
        <v>2.28</v>
      </c>
      <c r="H2186" s="89">
        <f t="shared" si="10"/>
        <v>0.1473820297</v>
      </c>
      <c r="I2186" s="78" t="s">
        <v>2761</v>
      </c>
      <c r="J2186" s="78" t="s">
        <v>69</v>
      </c>
      <c r="K2186" s="58">
        <f t="shared" si="3"/>
        <v>3</v>
      </c>
      <c r="L2186" s="91" t="str">
        <f t="shared" si="8"/>
        <v>Fri</v>
      </c>
      <c r="M2186" s="78" t="str">
        <f>IFERROR(VLOOKUP(A2186, Entries!A:B,2,false),"")</f>
        <v>Focus Home Interactive</v>
      </c>
      <c r="N2186" s="23" t="str">
        <f>IFERROR(VLOOKUP(A2186, Entries!A:K,11,false),"")</f>
        <v/>
      </c>
      <c r="O2186" s="23" t="b">
        <f>IFERROR(VLOOKUP(A2186, Entries!A:I,8,false),"")</f>
        <v>0</v>
      </c>
    </row>
    <row r="2187">
      <c r="A2187" s="78" t="s">
        <v>1656</v>
      </c>
      <c r="B2187" s="78" t="s">
        <v>22</v>
      </c>
      <c r="C2187" s="85">
        <v>44726.0</v>
      </c>
      <c r="D2187" s="85">
        <v>44728.0</v>
      </c>
      <c r="E2187" s="86">
        <v>12.02</v>
      </c>
      <c r="F2187" s="87">
        <v>15.09</v>
      </c>
      <c r="G2187" s="88">
        <f t="shared" si="1"/>
        <v>3.07</v>
      </c>
      <c r="H2187" s="89">
        <f t="shared" si="10"/>
        <v>0.2034459907</v>
      </c>
      <c r="I2187" s="78" t="s">
        <v>2762</v>
      </c>
      <c r="J2187" s="78" t="s">
        <v>69</v>
      </c>
      <c r="K2187" s="58">
        <f t="shared" si="3"/>
        <v>2</v>
      </c>
      <c r="L2187" s="91" t="str">
        <f t="shared" si="8"/>
        <v>Thu</v>
      </c>
      <c r="M2187" s="78" t="str">
        <f>IFERROR(VLOOKUP(A2187, Entries!A:B,2,false),"")</f>
        <v>Overhype Studios</v>
      </c>
      <c r="N2187" s="23" t="str">
        <f>IFERROR(VLOOKUP(A2187, Entries!A:K,11,false),"")</f>
        <v/>
      </c>
      <c r="O2187" s="23" t="b">
        <f>IFERROR(VLOOKUP(A2187, Entries!A:I,8,false),"")</f>
        <v>1</v>
      </c>
    </row>
    <row r="2188">
      <c r="A2188" s="78" t="s">
        <v>1213</v>
      </c>
      <c r="B2188" s="78" t="s">
        <v>18</v>
      </c>
      <c r="C2188" s="85">
        <v>44726.0</v>
      </c>
      <c r="D2188" s="85">
        <v>44728.0</v>
      </c>
      <c r="E2188" s="86">
        <v>19.04</v>
      </c>
      <c r="F2188" s="87">
        <v>29.69</v>
      </c>
      <c r="G2188" s="88">
        <f t="shared" si="1"/>
        <v>10.65</v>
      </c>
      <c r="H2188" s="89">
        <f t="shared" si="10"/>
        <v>0.3587066352</v>
      </c>
      <c r="I2188" s="78" t="s">
        <v>2763</v>
      </c>
      <c r="J2188" s="78" t="s">
        <v>69</v>
      </c>
      <c r="K2188" s="58">
        <f t="shared" si="3"/>
        <v>2</v>
      </c>
      <c r="L2188" s="91" t="str">
        <f t="shared" si="8"/>
        <v>Thu</v>
      </c>
      <c r="M2188" s="78" t="str">
        <f>IFERROR(VLOOKUP(A2188, Entries!A:B,2,false),"")</f>
        <v>SadSquare Studio</v>
      </c>
      <c r="N2188" s="23" t="str">
        <f>IFERROR(VLOOKUP(A2188, Entries!A:K,11,false),"")</f>
        <v/>
      </c>
      <c r="O2188" s="23" t="b">
        <f>IFERROR(VLOOKUP(A2188, Entries!A:I,8,false),"")</f>
        <v>1</v>
      </c>
    </row>
    <row r="2189">
      <c r="A2189" s="78" t="s">
        <v>1213</v>
      </c>
      <c r="B2189" s="78" t="s">
        <v>18</v>
      </c>
      <c r="C2189" s="85">
        <v>44726.0</v>
      </c>
      <c r="D2189" s="85">
        <v>44852.0</v>
      </c>
      <c r="E2189" s="86">
        <v>19.05</v>
      </c>
      <c r="F2189" s="87">
        <v>23.91</v>
      </c>
      <c r="G2189" s="88">
        <f t="shared" si="1"/>
        <v>4.86</v>
      </c>
      <c r="H2189" s="89">
        <f t="shared" si="10"/>
        <v>0.2032622334</v>
      </c>
      <c r="I2189" s="78" t="s">
        <v>2764</v>
      </c>
      <c r="J2189" s="78" t="s">
        <v>69</v>
      </c>
      <c r="K2189" s="58">
        <f t="shared" si="3"/>
        <v>126</v>
      </c>
      <c r="L2189" s="91" t="str">
        <f t="shared" si="8"/>
        <v>Tue</v>
      </c>
      <c r="M2189" s="78" t="str">
        <f>IFERROR(VLOOKUP(A2189, Entries!A:B,2,false),"")</f>
        <v>SadSquare Studio</v>
      </c>
      <c r="N2189" s="23" t="str">
        <f>IFERROR(VLOOKUP(A2189, Entries!A:K,11,false),"")</f>
        <v/>
      </c>
      <c r="O2189" s="23" t="b">
        <f>IFERROR(VLOOKUP(A2189, Entries!A:I,8,false),"")</f>
        <v>1</v>
      </c>
    </row>
    <row r="2190">
      <c r="A2190" s="78" t="s">
        <v>2734</v>
      </c>
      <c r="B2190" s="78" t="s">
        <v>33</v>
      </c>
      <c r="C2190" s="85">
        <v>44726.0</v>
      </c>
      <c r="D2190" s="85">
        <v>44728.0</v>
      </c>
      <c r="E2190" s="86">
        <v>7.68</v>
      </c>
      <c r="F2190" s="87">
        <v>13.57</v>
      </c>
      <c r="G2190" s="88">
        <f t="shared" si="1"/>
        <v>5.89</v>
      </c>
      <c r="H2190" s="89">
        <f t="shared" si="10"/>
        <v>0.434045689</v>
      </c>
      <c r="I2190" s="78" t="s">
        <v>2765</v>
      </c>
      <c r="J2190" s="78" t="s">
        <v>69</v>
      </c>
      <c r="K2190" s="58">
        <f t="shared" si="3"/>
        <v>2</v>
      </c>
      <c r="L2190" s="91" t="str">
        <f t="shared" si="8"/>
        <v>Thu</v>
      </c>
      <c r="M2190" s="78" t="str">
        <f>IFERROR(VLOOKUP(A2190, Entries!A:B,2,false),"")</f>
        <v>Dotemu</v>
      </c>
      <c r="N2190" s="23" t="str">
        <f>IFERROR(VLOOKUP(A2190, Entries!A:K,11,false),"")</f>
        <v/>
      </c>
      <c r="O2190" s="23" t="b">
        <f>IFERROR(VLOOKUP(A2190, Entries!A:I,8,false),"")</f>
        <v>0</v>
      </c>
    </row>
    <row r="2191">
      <c r="A2191" s="78" t="s">
        <v>1601</v>
      </c>
      <c r="B2191" s="78" t="s">
        <v>27</v>
      </c>
      <c r="C2191" s="85">
        <v>44727.0</v>
      </c>
      <c r="D2191" s="85">
        <v>44731.0</v>
      </c>
      <c r="E2191" s="86">
        <v>28.79</v>
      </c>
      <c r="F2191" s="87">
        <v>32.66</v>
      </c>
      <c r="G2191" s="88">
        <f t="shared" si="1"/>
        <v>3.87</v>
      </c>
      <c r="H2191" s="89">
        <f t="shared" si="10"/>
        <v>0.1184935701</v>
      </c>
      <c r="I2191" s="78" t="s">
        <v>561</v>
      </c>
      <c r="J2191" s="78" t="s">
        <v>69</v>
      </c>
      <c r="K2191" s="58">
        <f t="shared" si="3"/>
        <v>4</v>
      </c>
      <c r="L2191" s="91" t="str">
        <f t="shared" si="8"/>
        <v>Sun</v>
      </c>
      <c r="M2191" s="78" t="str">
        <f>IFERROR(VLOOKUP(A2191, Entries!A:B,2,false),"")</f>
        <v>Codemasters</v>
      </c>
      <c r="N2191" s="23" t="str">
        <f>IFERROR(VLOOKUP(A2191, Entries!A:K,11,false),"")</f>
        <v/>
      </c>
      <c r="O2191" s="23" t="b">
        <f>IFERROR(VLOOKUP(A2191, Entries!A:I,8,false),"")</f>
        <v>0</v>
      </c>
    </row>
    <row r="2192">
      <c r="A2192" s="78" t="s">
        <v>2250</v>
      </c>
      <c r="B2192" s="78" t="s">
        <v>25</v>
      </c>
      <c r="C2192" s="85">
        <v>44727.0</v>
      </c>
      <c r="D2192" s="85">
        <v>44729.0</v>
      </c>
      <c r="E2192" s="86">
        <v>11.61</v>
      </c>
      <c r="F2192" s="87">
        <v>16.54</v>
      </c>
      <c r="G2192" s="88">
        <f t="shared" si="1"/>
        <v>4.93</v>
      </c>
      <c r="H2192" s="89">
        <f t="shared" si="10"/>
        <v>0.2980652963</v>
      </c>
      <c r="I2192" s="78" t="s">
        <v>2766</v>
      </c>
      <c r="J2192" s="78" t="s">
        <v>69</v>
      </c>
      <c r="K2192" s="58">
        <f t="shared" si="3"/>
        <v>2</v>
      </c>
      <c r="L2192" s="91" t="str">
        <f t="shared" si="8"/>
        <v>Fri</v>
      </c>
      <c r="M2192" s="78" t="str">
        <f>IFERROR(VLOOKUP(A2192, Entries!A:B,2,false),"")</f>
        <v>SEGA</v>
      </c>
      <c r="N2192" s="23" t="str">
        <f>IFERROR(VLOOKUP(A2192, Entries!A:K,11,false),"")</f>
        <v/>
      </c>
      <c r="O2192" s="23" t="b">
        <f>IFERROR(VLOOKUP(A2192, Entries!A:I,8,false),"")</f>
        <v>1</v>
      </c>
    </row>
    <row r="2193">
      <c r="A2193" s="78" t="s">
        <v>2250</v>
      </c>
      <c r="B2193" s="78" t="s">
        <v>25</v>
      </c>
      <c r="C2193" s="85">
        <v>44727.0</v>
      </c>
      <c r="D2193" s="85">
        <v>44730.0</v>
      </c>
      <c r="E2193" s="86">
        <v>11.61</v>
      </c>
      <c r="F2193" s="87">
        <v>16.06</v>
      </c>
      <c r="G2193" s="88">
        <f t="shared" si="1"/>
        <v>4.45</v>
      </c>
      <c r="H2193" s="89">
        <f t="shared" si="10"/>
        <v>0.2770859278</v>
      </c>
      <c r="I2193" s="78" t="s">
        <v>2767</v>
      </c>
      <c r="J2193" s="78" t="s">
        <v>69</v>
      </c>
      <c r="K2193" s="58">
        <f t="shared" si="3"/>
        <v>3</v>
      </c>
      <c r="L2193" s="91" t="str">
        <f t="shared" si="8"/>
        <v>Sat</v>
      </c>
      <c r="M2193" s="78" t="str">
        <f>IFERROR(VLOOKUP(A2193, Entries!A:B,2,false),"")</f>
        <v>SEGA</v>
      </c>
      <c r="N2193" s="23" t="str">
        <f>IFERROR(VLOOKUP(A2193, Entries!A:K,11,false),"")</f>
        <v/>
      </c>
      <c r="O2193" s="23" t="b">
        <f>IFERROR(VLOOKUP(A2193, Entries!A:I,8,false),"")</f>
        <v>1</v>
      </c>
    </row>
    <row r="2194">
      <c r="A2194" s="78" t="s">
        <v>2466</v>
      </c>
      <c r="B2194" s="78" t="s">
        <v>27</v>
      </c>
      <c r="C2194" s="85">
        <v>44727.0</v>
      </c>
      <c r="D2194" s="85">
        <v>44728.0</v>
      </c>
      <c r="E2194" s="86">
        <v>10.59</v>
      </c>
      <c r="F2194" s="87">
        <v>13.52</v>
      </c>
      <c r="G2194" s="88">
        <f t="shared" si="1"/>
        <v>2.93</v>
      </c>
      <c r="H2194" s="89">
        <f t="shared" si="10"/>
        <v>0.2167159763</v>
      </c>
      <c r="I2194" s="96" t="s">
        <v>2768</v>
      </c>
      <c r="J2194" s="78" t="s">
        <v>69</v>
      </c>
      <c r="K2194" s="58">
        <f t="shared" si="3"/>
        <v>1</v>
      </c>
      <c r="L2194" s="91" t="str">
        <f t="shared" si="8"/>
        <v>Thu</v>
      </c>
      <c r="M2194" s="78" t="str">
        <f>IFERROR(VLOOKUP(A2194, Entries!A:B,2,false),"")</f>
        <v>Bethesda Softworks</v>
      </c>
      <c r="N2194" s="23" t="str">
        <f>IFERROR(VLOOKUP(A2194, Entries!A:K,11,false),"")</f>
        <v/>
      </c>
      <c r="O2194" s="23" t="b">
        <f>IFERROR(VLOOKUP(A2194, Entries!A:I,8,false),"")</f>
        <v>1</v>
      </c>
    </row>
    <row r="2195">
      <c r="A2195" s="78" t="s">
        <v>2466</v>
      </c>
      <c r="B2195" s="78" t="s">
        <v>27</v>
      </c>
      <c r="C2195" s="85">
        <v>44727.0</v>
      </c>
      <c r="D2195" s="85">
        <v>44730.0</v>
      </c>
      <c r="E2195" s="86">
        <v>10.59</v>
      </c>
      <c r="F2195" s="87">
        <v>13.42</v>
      </c>
      <c r="G2195" s="88">
        <f t="shared" si="1"/>
        <v>2.83</v>
      </c>
      <c r="H2195" s="89">
        <f t="shared" si="10"/>
        <v>0.2108792846</v>
      </c>
      <c r="I2195" s="96" t="s">
        <v>2769</v>
      </c>
      <c r="J2195" s="78" t="s">
        <v>69</v>
      </c>
      <c r="K2195" s="58">
        <f t="shared" si="3"/>
        <v>3</v>
      </c>
      <c r="L2195" s="91" t="str">
        <f t="shared" si="8"/>
        <v>Sat</v>
      </c>
      <c r="M2195" s="78" t="str">
        <f>IFERROR(VLOOKUP(A2195, Entries!A:B,2,false),"")</f>
        <v>Bethesda Softworks</v>
      </c>
      <c r="N2195" s="23" t="str">
        <f>IFERROR(VLOOKUP(A2195, Entries!A:K,11,false),"")</f>
        <v/>
      </c>
      <c r="O2195" s="23" t="b">
        <f>IFERROR(VLOOKUP(A2195, Entries!A:I,8,false),"")</f>
        <v>1</v>
      </c>
    </row>
    <row r="2196">
      <c r="A2196" s="78" t="s">
        <v>2714</v>
      </c>
      <c r="B2196" s="78" t="s">
        <v>23</v>
      </c>
      <c r="C2196" s="85">
        <v>44727.0</v>
      </c>
      <c r="D2196" s="85">
        <v>45819.0</v>
      </c>
      <c r="E2196" s="86">
        <v>6.99</v>
      </c>
      <c r="F2196" s="87">
        <v>1.69</v>
      </c>
      <c r="G2196" s="88">
        <f t="shared" si="1"/>
        <v>-5.3</v>
      </c>
      <c r="H2196" s="89">
        <f t="shared" si="10"/>
        <v>-3.136094675</v>
      </c>
      <c r="I2196" s="103" t="s">
        <v>2770</v>
      </c>
      <c r="J2196" s="78" t="s">
        <v>69</v>
      </c>
      <c r="K2196" s="58">
        <f t="shared" si="3"/>
        <v>1092</v>
      </c>
      <c r="L2196" s="91" t="str">
        <f t="shared" si="8"/>
        <v>Wed</v>
      </c>
      <c r="M2196" s="78" t="str">
        <f>IFERROR(VLOOKUP(A2196, Entries!A:B,2,false),"")</f>
        <v>Versus Evil</v>
      </c>
      <c r="N2196" s="23" t="str">
        <f>IFERROR(VLOOKUP(A2196, Entries!A:K,11,false),"")</f>
        <v/>
      </c>
      <c r="O2196" s="23" t="b">
        <f>IFERROR(VLOOKUP(A2196, Entries!A:I,8,false),"")</f>
        <v>0</v>
      </c>
      <c r="S2196" s="23" t="str">
        <f>IF(AND(TODAY()-ROW(A1372)+1 &lt;= 30, J1372="Closed"), TEXT(TODAY()-ROW(A1372)+1, "dd-mm-yyyy"), "")
</f>
        <v/>
      </c>
    </row>
    <row r="2197">
      <c r="A2197" s="78" t="s">
        <v>2734</v>
      </c>
      <c r="B2197" s="78" t="s">
        <v>33</v>
      </c>
      <c r="C2197" s="85">
        <v>44728.0</v>
      </c>
      <c r="D2197" s="85">
        <v>44734.0</v>
      </c>
      <c r="E2197" s="86">
        <v>7.57</v>
      </c>
      <c r="F2197" s="87">
        <v>13.33</v>
      </c>
      <c r="G2197" s="88">
        <f t="shared" si="1"/>
        <v>5.76</v>
      </c>
      <c r="H2197" s="89">
        <f t="shared" si="10"/>
        <v>0.432108027</v>
      </c>
      <c r="I2197" s="78" t="s">
        <v>2771</v>
      </c>
      <c r="J2197" s="78" t="s">
        <v>69</v>
      </c>
      <c r="K2197" s="58">
        <f t="shared" si="3"/>
        <v>6</v>
      </c>
      <c r="L2197" s="91" t="str">
        <f t="shared" si="8"/>
        <v>Wed</v>
      </c>
      <c r="M2197" s="78" t="str">
        <f>IFERROR(VLOOKUP(A2197, Entries!A:B,2,false),"")</f>
        <v>Dotemu</v>
      </c>
      <c r="N2197" s="23" t="str">
        <f>IFERROR(VLOOKUP(A2197, Entries!A:K,11,false),"")</f>
        <v/>
      </c>
      <c r="O2197" s="23" t="b">
        <f>IFERROR(VLOOKUP(A2197, Entries!A:I,8,false),"")</f>
        <v>0</v>
      </c>
    </row>
    <row r="2198">
      <c r="A2198" s="78" t="s">
        <v>2323</v>
      </c>
      <c r="B2198" s="78" t="s">
        <v>33</v>
      </c>
      <c r="C2198" s="85">
        <v>44728.0</v>
      </c>
      <c r="D2198" s="85">
        <v>44731.0</v>
      </c>
      <c r="E2198" s="86">
        <v>4.49</v>
      </c>
      <c r="F2198" s="87">
        <v>5.54</v>
      </c>
      <c r="G2198" s="88">
        <f t="shared" si="1"/>
        <v>1.05</v>
      </c>
      <c r="H2198" s="89">
        <f t="shared" si="10"/>
        <v>0.1895306859</v>
      </c>
      <c r="I2198" s="78" t="s">
        <v>2772</v>
      </c>
      <c r="J2198" s="78" t="s">
        <v>69</v>
      </c>
      <c r="K2198" s="58">
        <f t="shared" si="3"/>
        <v>3</v>
      </c>
      <c r="L2198" s="91" t="str">
        <f t="shared" si="8"/>
        <v>Sun</v>
      </c>
      <c r="M2198" s="78" t="str">
        <f>IFERROR(VLOOKUP(A2198, Entries!A:B,2,false),"")</f>
        <v>tinyBuild</v>
      </c>
      <c r="N2198" s="23" t="str">
        <f>IFERROR(VLOOKUP(A2198, Entries!A:K,11,false),"")</f>
        <v/>
      </c>
      <c r="O2198" s="23" t="b">
        <f>IFERROR(VLOOKUP(A2198, Entries!A:I,8,false),"")</f>
        <v>1</v>
      </c>
    </row>
    <row r="2199">
      <c r="A2199" s="78" t="s">
        <v>221</v>
      </c>
      <c r="B2199" s="78" t="s">
        <v>32</v>
      </c>
      <c r="C2199" s="85">
        <v>44728.0</v>
      </c>
      <c r="D2199" s="85">
        <v>44734.0</v>
      </c>
      <c r="E2199" s="86">
        <v>6.06</v>
      </c>
      <c r="F2199" s="87">
        <v>9.48</v>
      </c>
      <c r="G2199" s="88">
        <f t="shared" si="1"/>
        <v>3.42</v>
      </c>
      <c r="H2199" s="89">
        <f t="shared" si="10"/>
        <v>0.3607594937</v>
      </c>
      <c r="I2199" s="78" t="s">
        <v>2773</v>
      </c>
      <c r="J2199" s="78" t="s">
        <v>69</v>
      </c>
      <c r="K2199" s="58">
        <f t="shared" si="3"/>
        <v>6</v>
      </c>
      <c r="L2199" s="91" t="str">
        <f t="shared" si="8"/>
        <v>Wed</v>
      </c>
      <c r="M2199" s="78" t="str">
        <f>IFERROR(VLOOKUP(A2199, Entries!A:B,2,false),"")</f>
        <v>Wired Productions</v>
      </c>
      <c r="N2199" s="23" t="str">
        <f>IFERROR(VLOOKUP(A2199, Entries!A:K,11,false),"")</f>
        <v/>
      </c>
      <c r="O2199" s="23" t="b">
        <f>IFERROR(VLOOKUP(A2199, Entries!A:I,8,false),"")</f>
        <v>0</v>
      </c>
    </row>
    <row r="2200">
      <c r="A2200" s="78" t="s">
        <v>221</v>
      </c>
      <c r="B2200" s="78" t="s">
        <v>32</v>
      </c>
      <c r="C2200" s="85">
        <v>44728.0</v>
      </c>
      <c r="D2200" s="85">
        <v>44739.0</v>
      </c>
      <c r="E2200" s="86">
        <v>6.07</v>
      </c>
      <c r="F2200" s="87">
        <v>9.09</v>
      </c>
      <c r="G2200" s="88">
        <f t="shared" si="1"/>
        <v>3.02</v>
      </c>
      <c r="H2200" s="89">
        <f t="shared" si="10"/>
        <v>0.3322332233</v>
      </c>
      <c r="I2200" s="78" t="s">
        <v>2774</v>
      </c>
      <c r="J2200" s="78" t="s">
        <v>69</v>
      </c>
      <c r="K2200" s="58">
        <f t="shared" si="3"/>
        <v>11</v>
      </c>
      <c r="L2200" s="91" t="str">
        <f t="shared" si="8"/>
        <v>Mon</v>
      </c>
      <c r="M2200" s="78" t="str">
        <f>IFERROR(VLOOKUP(A2200, Entries!A:B,2,false),"")</f>
        <v>Wired Productions</v>
      </c>
      <c r="N2200" s="23" t="str">
        <f>IFERROR(VLOOKUP(A2200, Entries!A:K,11,false),"")</f>
        <v/>
      </c>
      <c r="O2200" s="23" t="b">
        <f>IFERROR(VLOOKUP(A2200, Entries!A:I,8,false),"")</f>
        <v>0</v>
      </c>
    </row>
    <row r="2201">
      <c r="A2201" s="78" t="s">
        <v>1213</v>
      </c>
      <c r="B2201" s="78" t="s">
        <v>18</v>
      </c>
      <c r="C2201" s="85">
        <v>44728.0</v>
      </c>
      <c r="D2201" s="85">
        <v>44854.0</v>
      </c>
      <c r="E2201" s="86">
        <v>19.59</v>
      </c>
      <c r="F2201" s="87">
        <v>23.91</v>
      </c>
      <c r="G2201" s="88">
        <f t="shared" si="1"/>
        <v>4.32</v>
      </c>
      <c r="H2201" s="89">
        <f t="shared" si="10"/>
        <v>0.1806775408</v>
      </c>
      <c r="I2201" s="78" t="s">
        <v>2775</v>
      </c>
      <c r="J2201" s="78" t="s">
        <v>69</v>
      </c>
      <c r="K2201" s="58">
        <f t="shared" si="3"/>
        <v>126</v>
      </c>
      <c r="L2201" s="91" t="str">
        <f t="shared" si="8"/>
        <v>Thu</v>
      </c>
      <c r="M2201" s="78" t="str">
        <f>IFERROR(VLOOKUP(A2201, Entries!A:B,2,false),"")</f>
        <v>SadSquare Studio</v>
      </c>
      <c r="N2201" s="23" t="str">
        <f>IFERROR(VLOOKUP(A2201, Entries!A:K,11,false),"")</f>
        <v/>
      </c>
      <c r="O2201" s="23" t="b">
        <f>IFERROR(VLOOKUP(A2201, Entries!A:I,8,false),"")</f>
        <v>1</v>
      </c>
    </row>
    <row r="2202">
      <c r="A2202" s="78" t="s">
        <v>1213</v>
      </c>
      <c r="B2202" s="78" t="s">
        <v>18</v>
      </c>
      <c r="C2202" s="85">
        <v>44728.0</v>
      </c>
      <c r="D2202" s="85">
        <v>44857.0</v>
      </c>
      <c r="E2202" s="86">
        <v>19.59</v>
      </c>
      <c r="F2202" s="87">
        <v>23.91</v>
      </c>
      <c r="G2202" s="88">
        <f t="shared" si="1"/>
        <v>4.32</v>
      </c>
      <c r="H2202" s="89">
        <f t="shared" si="10"/>
        <v>0.1806775408</v>
      </c>
      <c r="I2202" s="78" t="s">
        <v>2776</v>
      </c>
      <c r="J2202" s="78" t="s">
        <v>69</v>
      </c>
      <c r="K2202" s="58">
        <f t="shared" si="3"/>
        <v>129</v>
      </c>
      <c r="L2202" s="91" t="str">
        <f t="shared" si="8"/>
        <v>Sun</v>
      </c>
      <c r="M2202" s="78" t="str">
        <f>IFERROR(VLOOKUP(A2202, Entries!A:B,2,false),"")</f>
        <v>SadSquare Studio</v>
      </c>
      <c r="N2202" s="23" t="str">
        <f>IFERROR(VLOOKUP(A2202, Entries!A:K,11,false),"")</f>
        <v/>
      </c>
      <c r="O2202" s="23" t="b">
        <f>IFERROR(VLOOKUP(A2202, Entries!A:I,8,false),"")</f>
        <v>1</v>
      </c>
    </row>
    <row r="2203">
      <c r="A2203" s="78" t="s">
        <v>1656</v>
      </c>
      <c r="B2203" s="78" t="s">
        <v>22</v>
      </c>
      <c r="C2203" s="85">
        <v>44728.0</v>
      </c>
      <c r="D2203" s="85">
        <v>44731.0</v>
      </c>
      <c r="E2203" s="86">
        <v>12.06</v>
      </c>
      <c r="F2203" s="87">
        <v>14.31</v>
      </c>
      <c r="G2203" s="88">
        <f t="shared" si="1"/>
        <v>2.25</v>
      </c>
      <c r="H2203" s="89">
        <f t="shared" si="10"/>
        <v>0.1572327044</v>
      </c>
      <c r="I2203" s="78" t="s">
        <v>2777</v>
      </c>
      <c r="J2203" s="78" t="s">
        <v>69</v>
      </c>
      <c r="K2203" s="58">
        <f t="shared" si="3"/>
        <v>3</v>
      </c>
      <c r="L2203" s="91" t="str">
        <f t="shared" si="8"/>
        <v>Sun</v>
      </c>
      <c r="M2203" s="78" t="str">
        <f>IFERROR(VLOOKUP(A2203, Entries!A:B,2,false),"")</f>
        <v>Overhype Studios</v>
      </c>
      <c r="N2203" s="23" t="str">
        <f>IFERROR(VLOOKUP(A2203, Entries!A:K,11,false),"")</f>
        <v/>
      </c>
      <c r="O2203" s="23" t="b">
        <f>IFERROR(VLOOKUP(A2203, Entries!A:I,8,false),"")</f>
        <v>1</v>
      </c>
    </row>
    <row r="2204">
      <c r="A2204" s="78" t="s">
        <v>1656</v>
      </c>
      <c r="B2204" s="78" t="s">
        <v>22</v>
      </c>
      <c r="C2204" s="85">
        <v>44728.0</v>
      </c>
      <c r="D2204" s="85">
        <v>44931.0</v>
      </c>
      <c r="E2204" s="86">
        <v>12.07</v>
      </c>
      <c r="F2204" s="87">
        <v>12.43</v>
      </c>
      <c r="G2204" s="88">
        <f t="shared" si="1"/>
        <v>0.36</v>
      </c>
      <c r="H2204" s="89">
        <f t="shared" si="10"/>
        <v>0.02896218825</v>
      </c>
      <c r="I2204" s="78" t="s">
        <v>2778</v>
      </c>
      <c r="J2204" s="78" t="s">
        <v>69</v>
      </c>
      <c r="K2204" s="58">
        <f t="shared" si="3"/>
        <v>203</v>
      </c>
      <c r="L2204" s="91" t="str">
        <f t="shared" si="8"/>
        <v>Thu</v>
      </c>
      <c r="M2204" s="78" t="str">
        <f>IFERROR(VLOOKUP(A2204, Entries!A:B,2,false),"")</f>
        <v>Overhype Studios</v>
      </c>
      <c r="N2204" s="23" t="str">
        <f>IFERROR(VLOOKUP(A2204, Entries!A:K,11,false),"")</f>
        <v/>
      </c>
      <c r="O2204" s="23" t="b">
        <f>IFERROR(VLOOKUP(A2204, Entries!A:I,8,false),"")</f>
        <v>1</v>
      </c>
    </row>
    <row r="2205">
      <c r="A2205" s="78" t="s">
        <v>2466</v>
      </c>
      <c r="B2205" s="78" t="s">
        <v>27</v>
      </c>
      <c r="C2205" s="85">
        <v>44729.0</v>
      </c>
      <c r="D2205" s="85">
        <v>44730.0</v>
      </c>
      <c r="E2205" s="86">
        <v>10.59</v>
      </c>
      <c r="F2205" s="87">
        <v>13.42</v>
      </c>
      <c r="G2205" s="88">
        <f t="shared" si="1"/>
        <v>2.83</v>
      </c>
      <c r="H2205" s="89">
        <f t="shared" si="10"/>
        <v>0.2108792846</v>
      </c>
      <c r="I2205" s="78" t="s">
        <v>2779</v>
      </c>
      <c r="J2205" s="78" t="s">
        <v>69</v>
      </c>
      <c r="K2205" s="58">
        <f t="shared" si="3"/>
        <v>1</v>
      </c>
      <c r="L2205" s="91" t="str">
        <f t="shared" si="8"/>
        <v>Sat</v>
      </c>
      <c r="M2205" s="78" t="str">
        <f>IFERROR(VLOOKUP(A2205, Entries!A:B,2,false),"")</f>
        <v>Bethesda Softworks</v>
      </c>
      <c r="N2205" s="23" t="str">
        <f>IFERROR(VLOOKUP(A2205, Entries!A:K,11,false),"")</f>
        <v/>
      </c>
      <c r="O2205" s="23" t="b">
        <f>IFERROR(VLOOKUP(A2205, Entries!A:I,8,false),"")</f>
        <v>1</v>
      </c>
    </row>
    <row r="2206">
      <c r="A2206" s="78" t="s">
        <v>610</v>
      </c>
      <c r="B2206" s="78" t="s">
        <v>33</v>
      </c>
      <c r="C2206" s="85">
        <v>44729.0</v>
      </c>
      <c r="D2206" s="85">
        <v>44729.0</v>
      </c>
      <c r="E2206" s="86">
        <v>7.14</v>
      </c>
      <c r="F2206" s="87">
        <v>14.42</v>
      </c>
      <c r="G2206" s="88">
        <f t="shared" si="1"/>
        <v>7.28</v>
      </c>
      <c r="H2206" s="89">
        <f t="shared" si="10"/>
        <v>0.5048543689</v>
      </c>
      <c r="I2206" s="78" t="s">
        <v>2780</v>
      </c>
      <c r="J2206" s="78" t="s">
        <v>69</v>
      </c>
      <c r="K2206" s="58">
        <f t="shared" si="3"/>
        <v>0</v>
      </c>
      <c r="L2206" s="91" t="str">
        <f t="shared" si="8"/>
        <v>Fri</v>
      </c>
      <c r="M2206" s="78" t="str">
        <f>IFERROR(VLOOKUP(A2206, Entries!A:B,2,false),"")</f>
        <v>Square Enix</v>
      </c>
      <c r="N2206" s="23" t="str">
        <f>IFERROR(VLOOKUP(A2206, Entries!A:K,11,false),"")</f>
        <v/>
      </c>
      <c r="O2206" s="23" t="b">
        <f>IFERROR(VLOOKUP(A2206, Entries!A:I,8,false),"")</f>
        <v>0</v>
      </c>
    </row>
    <row r="2207">
      <c r="A2207" s="78" t="s">
        <v>2250</v>
      </c>
      <c r="B2207" s="78" t="s">
        <v>25</v>
      </c>
      <c r="C2207" s="85">
        <v>44729.0</v>
      </c>
      <c r="D2207" s="85">
        <v>44730.0</v>
      </c>
      <c r="E2207" s="86">
        <v>11.61</v>
      </c>
      <c r="F2207" s="87">
        <v>16.06</v>
      </c>
      <c r="G2207" s="88">
        <f t="shared" si="1"/>
        <v>4.45</v>
      </c>
      <c r="H2207" s="89">
        <f t="shared" si="10"/>
        <v>0.2770859278</v>
      </c>
      <c r="I2207" s="78" t="s">
        <v>2781</v>
      </c>
      <c r="J2207" s="78" t="s">
        <v>69</v>
      </c>
      <c r="K2207" s="58">
        <f t="shared" si="3"/>
        <v>1</v>
      </c>
      <c r="L2207" s="91" t="str">
        <f t="shared" si="8"/>
        <v>Sat</v>
      </c>
      <c r="M2207" s="78" t="str">
        <f>IFERROR(VLOOKUP(A2207, Entries!A:B,2,false),"")</f>
        <v>SEGA</v>
      </c>
      <c r="N2207" s="23" t="str">
        <f>IFERROR(VLOOKUP(A2207, Entries!A:K,11,false),"")</f>
        <v/>
      </c>
      <c r="O2207" s="23" t="b">
        <f>IFERROR(VLOOKUP(A2207, Entries!A:I,8,false),"")</f>
        <v>1</v>
      </c>
    </row>
    <row r="2208">
      <c r="A2208" s="78" t="s">
        <v>2250</v>
      </c>
      <c r="B2208" s="78" t="s">
        <v>25</v>
      </c>
      <c r="C2208" s="85">
        <v>44729.0</v>
      </c>
      <c r="D2208" s="85">
        <v>44730.0</v>
      </c>
      <c r="E2208" s="86">
        <v>11.61</v>
      </c>
      <c r="F2208" s="87">
        <v>16.06</v>
      </c>
      <c r="G2208" s="88">
        <f t="shared" si="1"/>
        <v>4.45</v>
      </c>
      <c r="H2208" s="89">
        <f t="shared" si="10"/>
        <v>0.2770859278</v>
      </c>
      <c r="I2208" s="78" t="s">
        <v>2782</v>
      </c>
      <c r="J2208" s="78" t="s">
        <v>69</v>
      </c>
      <c r="K2208" s="58">
        <f t="shared" si="3"/>
        <v>1</v>
      </c>
      <c r="L2208" s="91" t="str">
        <f t="shared" si="8"/>
        <v>Sat</v>
      </c>
      <c r="M2208" s="78" t="str">
        <f>IFERROR(VLOOKUP(A2208, Entries!A:B,2,false),"")</f>
        <v>SEGA</v>
      </c>
      <c r="N2208" s="23" t="str">
        <f>IFERROR(VLOOKUP(A2208, Entries!A:K,11,false),"")</f>
        <v/>
      </c>
      <c r="O2208" s="23" t="b">
        <f>IFERROR(VLOOKUP(A2208, Entries!A:I,8,false),"")</f>
        <v>1</v>
      </c>
    </row>
    <row r="2209">
      <c r="A2209" s="78" t="s">
        <v>610</v>
      </c>
      <c r="B2209" s="78" t="s">
        <v>33</v>
      </c>
      <c r="C2209" s="85">
        <v>44729.0</v>
      </c>
      <c r="D2209" s="85">
        <v>44729.0</v>
      </c>
      <c r="E2209" s="86">
        <v>7.14</v>
      </c>
      <c r="F2209" s="87">
        <v>14.45</v>
      </c>
      <c r="G2209" s="88">
        <f t="shared" si="1"/>
        <v>7.31</v>
      </c>
      <c r="H2209" s="89">
        <f t="shared" si="10"/>
        <v>0.5058823529</v>
      </c>
      <c r="I2209" s="78" t="s">
        <v>2783</v>
      </c>
      <c r="J2209" s="78" t="s">
        <v>69</v>
      </c>
      <c r="K2209" s="58">
        <f t="shared" si="3"/>
        <v>0</v>
      </c>
      <c r="L2209" s="91" t="str">
        <f t="shared" si="8"/>
        <v>Fri</v>
      </c>
      <c r="M2209" s="78" t="str">
        <f>IFERROR(VLOOKUP(A2209, Entries!A:B,2,false),"")</f>
        <v>Square Enix</v>
      </c>
      <c r="N2209" s="23" t="str">
        <f>IFERROR(VLOOKUP(A2209, Entries!A:K,11,false),"")</f>
        <v/>
      </c>
      <c r="O2209" s="23" t="b">
        <f>IFERROR(VLOOKUP(A2209, Entries!A:I,8,false),"")</f>
        <v>0</v>
      </c>
    </row>
    <row r="2210">
      <c r="A2210" s="78" t="s">
        <v>2731</v>
      </c>
      <c r="B2210" s="78" t="s">
        <v>27</v>
      </c>
      <c r="C2210" s="85">
        <v>44729.0</v>
      </c>
      <c r="D2210" s="85">
        <v>44729.0</v>
      </c>
      <c r="E2210" s="86">
        <v>11.79</v>
      </c>
      <c r="F2210" s="87">
        <v>14.11</v>
      </c>
      <c r="G2210" s="88">
        <f t="shared" si="1"/>
        <v>2.32</v>
      </c>
      <c r="H2210" s="89">
        <f t="shared" si="10"/>
        <v>0.1644223955</v>
      </c>
      <c r="I2210" s="78" t="s">
        <v>2784</v>
      </c>
      <c r="J2210" s="78" t="s">
        <v>69</v>
      </c>
      <c r="K2210" s="58">
        <f t="shared" si="3"/>
        <v>0</v>
      </c>
      <c r="L2210" s="91" t="str">
        <f t="shared" si="8"/>
        <v>Fri</v>
      </c>
      <c r="M2210" s="78" t="str">
        <f>IFERROR(VLOOKUP(A2210, Entries!A:B,2,false),"")</f>
        <v>Rebellion</v>
      </c>
      <c r="N2210" s="23" t="str">
        <f>IFERROR(VLOOKUP(A2210, Entries!A:K,11,false),"")</f>
        <v/>
      </c>
      <c r="O2210" s="23" t="b">
        <f>IFERROR(VLOOKUP(A2210, Entries!A:I,8,false),"")</f>
        <v>0</v>
      </c>
    </row>
    <row r="2211">
      <c r="A2211" s="78" t="s">
        <v>2731</v>
      </c>
      <c r="B2211" s="78" t="s">
        <v>27</v>
      </c>
      <c r="C2211" s="85">
        <v>44729.0</v>
      </c>
      <c r="D2211" s="85">
        <v>44730.0</v>
      </c>
      <c r="E2211" s="86">
        <v>11.79</v>
      </c>
      <c r="F2211" s="87">
        <v>14.11</v>
      </c>
      <c r="G2211" s="88">
        <f t="shared" si="1"/>
        <v>2.32</v>
      </c>
      <c r="H2211" s="89">
        <f t="shared" si="10"/>
        <v>0.1644223955</v>
      </c>
      <c r="I2211" s="78" t="s">
        <v>2785</v>
      </c>
      <c r="J2211" s="78" t="s">
        <v>69</v>
      </c>
      <c r="K2211" s="58">
        <f t="shared" si="3"/>
        <v>1</v>
      </c>
      <c r="L2211" s="91" t="str">
        <f t="shared" si="8"/>
        <v>Sat</v>
      </c>
      <c r="M2211" s="78" t="str">
        <f>IFERROR(VLOOKUP(A2211, Entries!A:B,2,false),"")</f>
        <v>Rebellion</v>
      </c>
      <c r="N2211" s="23" t="str">
        <f>IFERROR(VLOOKUP(A2211, Entries!A:K,11,false),"")</f>
        <v/>
      </c>
      <c r="O2211" s="23" t="b">
        <f>IFERROR(VLOOKUP(A2211, Entries!A:I,8,false),"")</f>
        <v>0</v>
      </c>
    </row>
    <row r="2212">
      <c r="A2212" s="78" t="s">
        <v>610</v>
      </c>
      <c r="B2212" s="78" t="s">
        <v>33</v>
      </c>
      <c r="C2212" s="85">
        <v>44729.0</v>
      </c>
      <c r="D2212" s="85">
        <v>44742.0</v>
      </c>
      <c r="E2212" s="86">
        <v>7.14</v>
      </c>
      <c r="F2212" s="87">
        <v>8.97</v>
      </c>
      <c r="G2212" s="88">
        <f t="shared" si="1"/>
        <v>1.83</v>
      </c>
      <c r="H2212" s="89">
        <f t="shared" si="10"/>
        <v>0.2040133779</v>
      </c>
      <c r="I2212" s="78" t="s">
        <v>2786</v>
      </c>
      <c r="J2212" s="78" t="s">
        <v>69</v>
      </c>
      <c r="K2212" s="58">
        <f t="shared" si="3"/>
        <v>13</v>
      </c>
      <c r="L2212" s="91" t="str">
        <f t="shared" si="8"/>
        <v>Thu</v>
      </c>
      <c r="M2212" s="78" t="str">
        <f>IFERROR(VLOOKUP(A2212, Entries!A:B,2,false),"")</f>
        <v>Square Enix</v>
      </c>
      <c r="N2212" s="23" t="str">
        <f>IFERROR(VLOOKUP(A2212, Entries!A:K,11,false),"")</f>
        <v/>
      </c>
      <c r="O2212" s="23" t="b">
        <f>IFERROR(VLOOKUP(A2212, Entries!A:I,8,false),"")</f>
        <v>0</v>
      </c>
    </row>
    <row r="2213">
      <c r="A2213" s="78" t="s">
        <v>319</v>
      </c>
      <c r="B2213" s="78" t="s">
        <v>21</v>
      </c>
      <c r="C2213" s="85">
        <v>44729.0</v>
      </c>
      <c r="D2213" s="85">
        <v>44755.0</v>
      </c>
      <c r="E2213" s="86">
        <v>9.28</v>
      </c>
      <c r="F2213" s="87">
        <v>15.67</v>
      </c>
      <c r="G2213" s="88">
        <f t="shared" si="1"/>
        <v>6.39</v>
      </c>
      <c r="H2213" s="89">
        <f t="shared" si="10"/>
        <v>0.4077855775</v>
      </c>
      <c r="I2213" s="78" t="s">
        <v>2787</v>
      </c>
      <c r="J2213" s="78" t="s">
        <v>69</v>
      </c>
      <c r="K2213" s="58">
        <f t="shared" si="3"/>
        <v>26</v>
      </c>
      <c r="L2213" s="91" t="str">
        <f t="shared" si="8"/>
        <v>Wed</v>
      </c>
      <c r="M2213" s="78" t="str">
        <f>IFERROR(VLOOKUP(A2213, Entries!A:B,2,false),"")</f>
        <v>BANDAI NAMCO</v>
      </c>
      <c r="N2213" s="23" t="str">
        <f>IFERROR(VLOOKUP(A2213, Entries!A:K,11,false),"")</f>
        <v/>
      </c>
      <c r="O2213" s="23" t="b">
        <f>IFERROR(VLOOKUP(A2213, Entries!A:I,8,false),"")</f>
        <v>1</v>
      </c>
    </row>
    <row r="2214">
      <c r="A2214" s="78" t="s">
        <v>618</v>
      </c>
      <c r="B2214" s="78" t="s">
        <v>19</v>
      </c>
      <c r="C2214" s="85">
        <v>44729.0</v>
      </c>
      <c r="D2214" s="85">
        <v>44732.0</v>
      </c>
      <c r="E2214" s="86">
        <v>0.95</v>
      </c>
      <c r="F2214" s="87">
        <v>1.24</v>
      </c>
      <c r="G2214" s="88">
        <f t="shared" si="1"/>
        <v>0.29</v>
      </c>
      <c r="H2214" s="89">
        <f t="shared" si="10"/>
        <v>0.2338709677</v>
      </c>
      <c r="I2214" s="78" t="s">
        <v>2788</v>
      </c>
      <c r="J2214" s="78" t="s">
        <v>69</v>
      </c>
      <c r="K2214" s="58">
        <f t="shared" si="3"/>
        <v>3</v>
      </c>
      <c r="L2214" s="91" t="str">
        <f t="shared" si="8"/>
        <v>Mon</v>
      </c>
      <c r="M2214" s="78" t="str">
        <f>IFERROR(VLOOKUP(A2214, Entries!A:B,2,false),"")</f>
        <v>M2H</v>
      </c>
      <c r="N2214" s="23" t="str">
        <f>IFERROR(VLOOKUP(A2214, Entries!A:K,11,false),"")</f>
        <v/>
      </c>
      <c r="O2214" s="23" t="b">
        <f>IFERROR(VLOOKUP(A2214, Entries!A:I,8,false),"")</f>
        <v>1</v>
      </c>
    </row>
    <row r="2215">
      <c r="A2215" s="78" t="s">
        <v>2789</v>
      </c>
      <c r="B2215" s="78" t="s">
        <v>19</v>
      </c>
      <c r="C2215" s="85">
        <v>44729.0</v>
      </c>
      <c r="D2215" s="85">
        <v>44730.0</v>
      </c>
      <c r="E2215" s="86">
        <v>0.94</v>
      </c>
      <c r="F2215" s="87">
        <v>2.94</v>
      </c>
      <c r="G2215" s="88">
        <f t="shared" si="1"/>
        <v>2</v>
      </c>
      <c r="H2215" s="89">
        <f t="shared" si="10"/>
        <v>0.6802721088</v>
      </c>
      <c r="I2215" s="78" t="s">
        <v>2790</v>
      </c>
      <c r="J2215" s="78" t="s">
        <v>69</v>
      </c>
      <c r="K2215" s="58">
        <f t="shared" si="3"/>
        <v>1</v>
      </c>
      <c r="L2215" s="91" t="str">
        <f t="shared" si="8"/>
        <v>Sat</v>
      </c>
      <c r="M2215" s="78" t="str">
        <f>IFERROR(VLOOKUP(A2215, Entries!A:B,2,false),"")</f>
        <v>Evil Tortilla Games</v>
      </c>
      <c r="N2215" s="23" t="str">
        <f>IFERROR(VLOOKUP(A2215, Entries!A:K,11,false),"")</f>
        <v/>
      </c>
      <c r="O2215" s="23" t="b">
        <f>IFERROR(VLOOKUP(A2215, Entries!A:I,8,false),"")</f>
        <v>1</v>
      </c>
    </row>
    <row r="2216">
      <c r="A2216" s="78" t="s">
        <v>2238</v>
      </c>
      <c r="B2216" s="78" t="s">
        <v>27</v>
      </c>
      <c r="C2216" s="85">
        <v>44730.0</v>
      </c>
      <c r="D2216" s="85">
        <v>44735.0</v>
      </c>
      <c r="E2216" s="86">
        <v>20.09</v>
      </c>
      <c r="F2216" s="87">
        <v>21.85</v>
      </c>
      <c r="G2216" s="88">
        <f t="shared" si="1"/>
        <v>1.76</v>
      </c>
      <c r="H2216" s="89">
        <f t="shared" si="10"/>
        <v>0.08054919908</v>
      </c>
      <c r="I2216" s="78" t="s">
        <v>2791</v>
      </c>
      <c r="J2216" s="78" t="s">
        <v>69</v>
      </c>
      <c r="K2216" s="58">
        <f t="shared" si="3"/>
        <v>5</v>
      </c>
      <c r="L2216" s="91" t="str">
        <f t="shared" si="8"/>
        <v>Thu</v>
      </c>
      <c r="M2216" s="78" t="str">
        <f>IFERROR(VLOOKUP(A2216, Entries!A:B,2,false),"")</f>
        <v>Shiro Games</v>
      </c>
      <c r="N2216" s="23" t="str">
        <f>IFERROR(VLOOKUP(A2216, Entries!A:K,11,false),"")</f>
        <v/>
      </c>
      <c r="O2216" s="23" t="b">
        <f>IFERROR(VLOOKUP(A2216, Entries!A:I,8,false),"")</f>
        <v>0</v>
      </c>
    </row>
    <row r="2217">
      <c r="A2217" s="78" t="s">
        <v>2466</v>
      </c>
      <c r="B2217" s="78" t="s">
        <v>27</v>
      </c>
      <c r="C2217" s="85">
        <v>44730.0</v>
      </c>
      <c r="D2217" s="85">
        <v>44730.0</v>
      </c>
      <c r="E2217" s="86">
        <v>10.59</v>
      </c>
      <c r="F2217" s="87">
        <v>13.42</v>
      </c>
      <c r="G2217" s="88">
        <f t="shared" si="1"/>
        <v>2.83</v>
      </c>
      <c r="H2217" s="89">
        <f t="shared" si="10"/>
        <v>0.2108792846</v>
      </c>
      <c r="I2217" s="78" t="s">
        <v>2792</v>
      </c>
      <c r="J2217" s="78" t="s">
        <v>69</v>
      </c>
      <c r="K2217" s="58">
        <f t="shared" si="3"/>
        <v>0</v>
      </c>
      <c r="L2217" s="91" t="str">
        <f t="shared" si="8"/>
        <v>Sat</v>
      </c>
      <c r="M2217" s="78" t="str">
        <f>IFERROR(VLOOKUP(A2217, Entries!A:B,2,false),"")</f>
        <v>Bethesda Softworks</v>
      </c>
      <c r="N2217" s="23" t="str">
        <f>IFERROR(VLOOKUP(A2217, Entries!A:K,11,false),"")</f>
        <v/>
      </c>
      <c r="O2217" s="23" t="b">
        <f>IFERROR(VLOOKUP(A2217, Entries!A:I,8,false),"")</f>
        <v>1</v>
      </c>
    </row>
    <row r="2218">
      <c r="A2218" s="78" t="s">
        <v>2789</v>
      </c>
      <c r="B2218" s="78" t="s">
        <v>19</v>
      </c>
      <c r="C2218" s="85">
        <v>44730.0</v>
      </c>
      <c r="D2218" s="85">
        <v>44731.0</v>
      </c>
      <c r="E2218" s="86">
        <v>0.94</v>
      </c>
      <c r="F2218" s="87">
        <v>2.23</v>
      </c>
      <c r="G2218" s="88">
        <f t="shared" si="1"/>
        <v>1.29</v>
      </c>
      <c r="H2218" s="89">
        <f t="shared" si="10"/>
        <v>0.5784753363</v>
      </c>
      <c r="I2218" s="78" t="s">
        <v>2793</v>
      </c>
      <c r="J2218" s="78" t="s">
        <v>69</v>
      </c>
      <c r="K2218" s="58">
        <f t="shared" si="3"/>
        <v>1</v>
      </c>
      <c r="L2218" s="91" t="str">
        <f t="shared" si="8"/>
        <v>Sun</v>
      </c>
      <c r="M2218" s="78" t="str">
        <f>IFERROR(VLOOKUP(A2218, Entries!A:B,2,false),"")</f>
        <v>Evil Tortilla Games</v>
      </c>
      <c r="N2218" s="23" t="str">
        <f>IFERROR(VLOOKUP(A2218, Entries!A:K,11,false),"")</f>
        <v/>
      </c>
      <c r="O2218" s="23" t="b">
        <f>IFERROR(VLOOKUP(A2218, Entries!A:I,8,false),"")</f>
        <v>1</v>
      </c>
    </row>
    <row r="2219">
      <c r="A2219" s="78" t="s">
        <v>2789</v>
      </c>
      <c r="B2219" s="78" t="s">
        <v>19</v>
      </c>
      <c r="C2219" s="85">
        <v>44730.0</v>
      </c>
      <c r="D2219" s="85">
        <v>44733.0</v>
      </c>
      <c r="E2219" s="86">
        <v>0.94</v>
      </c>
      <c r="F2219" s="87">
        <v>2.12</v>
      </c>
      <c r="G2219" s="88">
        <f t="shared" si="1"/>
        <v>1.18</v>
      </c>
      <c r="H2219" s="89">
        <f t="shared" si="10"/>
        <v>0.5566037736</v>
      </c>
      <c r="I2219" s="78" t="s">
        <v>2794</v>
      </c>
      <c r="J2219" s="78" t="s">
        <v>69</v>
      </c>
      <c r="K2219" s="58">
        <f t="shared" si="3"/>
        <v>3</v>
      </c>
      <c r="L2219" s="91" t="str">
        <f t="shared" si="8"/>
        <v>Tue</v>
      </c>
      <c r="M2219" s="78" t="str">
        <f>IFERROR(VLOOKUP(A2219, Entries!A:B,2,false),"")</f>
        <v>Evil Tortilla Games</v>
      </c>
      <c r="N2219" s="23" t="str">
        <f>IFERROR(VLOOKUP(A2219, Entries!A:K,11,false),"")</f>
        <v/>
      </c>
      <c r="O2219" s="23" t="b">
        <f>IFERROR(VLOOKUP(A2219, Entries!A:I,8,false),"")</f>
        <v>1</v>
      </c>
    </row>
    <row r="2220">
      <c r="A2220" s="78" t="s">
        <v>2466</v>
      </c>
      <c r="B2220" s="78" t="s">
        <v>27</v>
      </c>
      <c r="C2220" s="85">
        <v>44730.0</v>
      </c>
      <c r="D2220" s="85">
        <v>44731.0</v>
      </c>
      <c r="E2220" s="86">
        <v>10.59</v>
      </c>
      <c r="F2220" s="87">
        <v>13.31</v>
      </c>
      <c r="G2220" s="88">
        <f t="shared" si="1"/>
        <v>2.72</v>
      </c>
      <c r="H2220" s="89">
        <f t="shared" si="10"/>
        <v>0.2043576258</v>
      </c>
      <c r="I2220" s="78" t="s">
        <v>2795</v>
      </c>
      <c r="J2220" s="78" t="s">
        <v>69</v>
      </c>
      <c r="K2220" s="58">
        <f t="shared" si="3"/>
        <v>1</v>
      </c>
      <c r="L2220" s="91" t="str">
        <f t="shared" si="8"/>
        <v>Sun</v>
      </c>
      <c r="M2220" s="78" t="str">
        <f>IFERROR(VLOOKUP(A2220, Entries!A:B,2,false),"")</f>
        <v>Bethesda Softworks</v>
      </c>
      <c r="N2220" s="23" t="str">
        <f>IFERROR(VLOOKUP(A2220, Entries!A:K,11,false),"")</f>
        <v/>
      </c>
      <c r="O2220" s="23" t="b">
        <f>IFERROR(VLOOKUP(A2220, Entries!A:I,8,false),"")</f>
        <v>1</v>
      </c>
    </row>
    <row r="2221">
      <c r="A2221" s="78" t="s">
        <v>2731</v>
      </c>
      <c r="B2221" s="78" t="s">
        <v>21</v>
      </c>
      <c r="C2221" s="85">
        <v>44730.0</v>
      </c>
      <c r="D2221" s="85">
        <v>44731.0</v>
      </c>
      <c r="E2221" s="86">
        <v>9.95</v>
      </c>
      <c r="F2221" s="87">
        <v>14.11</v>
      </c>
      <c r="G2221" s="88">
        <f t="shared" si="1"/>
        <v>4.16</v>
      </c>
      <c r="H2221" s="89">
        <f t="shared" si="10"/>
        <v>0.2948263643</v>
      </c>
      <c r="I2221" s="78" t="s">
        <v>2796</v>
      </c>
      <c r="J2221" s="78" t="s">
        <v>69</v>
      </c>
      <c r="K2221" s="58">
        <f t="shared" si="3"/>
        <v>1</v>
      </c>
      <c r="L2221" s="91" t="str">
        <f t="shared" si="8"/>
        <v>Sun</v>
      </c>
      <c r="M2221" s="78" t="str">
        <f>IFERROR(VLOOKUP(A2221, Entries!A:B,2,false),"")</f>
        <v>Rebellion</v>
      </c>
      <c r="N2221" s="23" t="str">
        <f>IFERROR(VLOOKUP(A2221, Entries!A:K,11,false),"")</f>
        <v/>
      </c>
      <c r="O2221" s="23" t="b">
        <f>IFERROR(VLOOKUP(A2221, Entries!A:I,8,false),"")</f>
        <v>0</v>
      </c>
    </row>
    <row r="2222">
      <c r="A2222" s="78" t="s">
        <v>2731</v>
      </c>
      <c r="B2222" s="78" t="s">
        <v>21</v>
      </c>
      <c r="C2222" s="85">
        <v>44730.0</v>
      </c>
      <c r="D2222" s="85">
        <v>44733.0</v>
      </c>
      <c r="E2222" s="86">
        <v>9.95</v>
      </c>
      <c r="F2222" s="87">
        <v>14.11</v>
      </c>
      <c r="G2222" s="88">
        <f t="shared" si="1"/>
        <v>4.16</v>
      </c>
      <c r="H2222" s="89">
        <f t="shared" si="10"/>
        <v>0.2948263643</v>
      </c>
      <c r="I2222" s="78" t="s">
        <v>2797</v>
      </c>
      <c r="J2222" s="78" t="s">
        <v>69</v>
      </c>
      <c r="K2222" s="58">
        <f t="shared" si="3"/>
        <v>3</v>
      </c>
      <c r="L2222" s="91" t="str">
        <f t="shared" si="8"/>
        <v>Tue</v>
      </c>
      <c r="M2222" s="78" t="str">
        <f>IFERROR(VLOOKUP(A2222, Entries!A:B,2,false),"")</f>
        <v>Rebellion</v>
      </c>
      <c r="N2222" s="23" t="str">
        <f>IFERROR(VLOOKUP(A2222, Entries!A:K,11,false),"")</f>
        <v/>
      </c>
      <c r="O2222" s="23" t="b">
        <f>IFERROR(VLOOKUP(A2222, Entries!A:I,8,false),"")</f>
        <v>0</v>
      </c>
    </row>
    <row r="2223">
      <c r="A2223" s="78" t="s">
        <v>2250</v>
      </c>
      <c r="B2223" s="78" t="s">
        <v>25</v>
      </c>
      <c r="C2223" s="85">
        <v>44730.0</v>
      </c>
      <c r="D2223" s="85">
        <v>44732.0</v>
      </c>
      <c r="E2223" s="86">
        <v>11.61</v>
      </c>
      <c r="F2223" s="87">
        <v>15.51</v>
      </c>
      <c r="G2223" s="88">
        <f t="shared" si="1"/>
        <v>3.9</v>
      </c>
      <c r="H2223" s="89">
        <f t="shared" si="10"/>
        <v>0.251450677</v>
      </c>
      <c r="I2223" s="78" t="s">
        <v>2798</v>
      </c>
      <c r="J2223" s="78" t="s">
        <v>69</v>
      </c>
      <c r="K2223" s="58">
        <f t="shared" si="3"/>
        <v>2</v>
      </c>
      <c r="L2223" s="91" t="str">
        <f t="shared" si="8"/>
        <v>Mon</v>
      </c>
      <c r="M2223" s="78" t="str">
        <f>IFERROR(VLOOKUP(A2223, Entries!A:B,2,false),"")</f>
        <v>SEGA</v>
      </c>
      <c r="N2223" s="23" t="str">
        <f>IFERROR(VLOOKUP(A2223, Entries!A:K,11,false),"")</f>
        <v/>
      </c>
      <c r="O2223" s="23" t="b">
        <f>IFERROR(VLOOKUP(A2223, Entries!A:I,8,false),"")</f>
        <v>1</v>
      </c>
    </row>
    <row r="2224">
      <c r="A2224" s="78" t="s">
        <v>2250</v>
      </c>
      <c r="B2224" s="78" t="s">
        <v>25</v>
      </c>
      <c r="C2224" s="85">
        <v>44730.0</v>
      </c>
      <c r="D2224" s="85">
        <v>44733.0</v>
      </c>
      <c r="E2224" s="86">
        <v>11.61</v>
      </c>
      <c r="F2224" s="87">
        <v>15.12</v>
      </c>
      <c r="G2224" s="88">
        <f t="shared" si="1"/>
        <v>3.51</v>
      </c>
      <c r="H2224" s="89">
        <f t="shared" si="10"/>
        <v>0.2321428571</v>
      </c>
      <c r="I2224" s="78" t="s">
        <v>2799</v>
      </c>
      <c r="J2224" s="78" t="s">
        <v>69</v>
      </c>
      <c r="K2224" s="58">
        <f t="shared" si="3"/>
        <v>3</v>
      </c>
      <c r="L2224" s="91" t="str">
        <f t="shared" si="8"/>
        <v>Tue</v>
      </c>
      <c r="M2224" s="78" t="str">
        <f>IFERROR(VLOOKUP(A2224, Entries!A:B,2,false),"")</f>
        <v>SEGA</v>
      </c>
      <c r="N2224" s="23" t="str">
        <f>IFERROR(VLOOKUP(A2224, Entries!A:K,11,false),"")</f>
        <v/>
      </c>
      <c r="O2224" s="23" t="b">
        <f>IFERROR(VLOOKUP(A2224, Entries!A:I,8,false),"")</f>
        <v>1</v>
      </c>
    </row>
    <row r="2225">
      <c r="A2225" s="78" t="s">
        <v>2250</v>
      </c>
      <c r="B2225" s="78" t="s">
        <v>25</v>
      </c>
      <c r="C2225" s="85">
        <v>44730.0</v>
      </c>
      <c r="D2225" s="85">
        <v>44733.0</v>
      </c>
      <c r="E2225" s="86">
        <v>11.61</v>
      </c>
      <c r="F2225" s="87">
        <v>15.12</v>
      </c>
      <c r="G2225" s="88">
        <f t="shared" si="1"/>
        <v>3.51</v>
      </c>
      <c r="H2225" s="89">
        <f t="shared" si="10"/>
        <v>0.2321428571</v>
      </c>
      <c r="I2225" s="78" t="s">
        <v>2800</v>
      </c>
      <c r="J2225" s="78" t="s">
        <v>69</v>
      </c>
      <c r="K2225" s="58">
        <f t="shared" si="3"/>
        <v>3</v>
      </c>
      <c r="L2225" s="91" t="str">
        <f t="shared" si="8"/>
        <v>Tue</v>
      </c>
      <c r="M2225" s="78" t="str">
        <f>IFERROR(VLOOKUP(A2225, Entries!A:B,2,false),"")</f>
        <v>SEGA</v>
      </c>
      <c r="N2225" s="23" t="str">
        <f>IFERROR(VLOOKUP(A2225, Entries!A:K,11,false),"")</f>
        <v/>
      </c>
      <c r="O2225" s="23" t="b">
        <f>IFERROR(VLOOKUP(A2225, Entries!A:I,8,false),"")</f>
        <v>1</v>
      </c>
    </row>
    <row r="2226">
      <c r="A2226" s="78" t="s">
        <v>2466</v>
      </c>
      <c r="B2226" s="78" t="s">
        <v>27</v>
      </c>
      <c r="C2226" s="85">
        <v>44731.0</v>
      </c>
      <c r="D2226" s="85">
        <v>44731.0</v>
      </c>
      <c r="E2226" s="86">
        <v>10.59</v>
      </c>
      <c r="F2226" s="87">
        <v>13.31</v>
      </c>
      <c r="G2226" s="88">
        <f t="shared" si="1"/>
        <v>2.72</v>
      </c>
      <c r="H2226" s="89">
        <f t="shared" si="10"/>
        <v>0.2043576258</v>
      </c>
      <c r="I2226" s="78" t="s">
        <v>2801</v>
      </c>
      <c r="J2226" s="78" t="s">
        <v>69</v>
      </c>
      <c r="K2226" s="58">
        <f t="shared" si="3"/>
        <v>0</v>
      </c>
      <c r="L2226" s="91" t="str">
        <f t="shared" si="8"/>
        <v>Sun</v>
      </c>
      <c r="M2226" s="78" t="str">
        <f>IFERROR(VLOOKUP(A2226, Entries!A:B,2,false),"")</f>
        <v>Bethesda Softworks</v>
      </c>
      <c r="N2226" s="23" t="str">
        <f>IFERROR(VLOOKUP(A2226, Entries!A:K,11,false),"")</f>
        <v/>
      </c>
      <c r="O2226" s="23" t="b">
        <f>IFERROR(VLOOKUP(A2226, Entries!A:I,8,false),"")</f>
        <v>1</v>
      </c>
    </row>
    <row r="2227">
      <c r="A2227" s="78" t="s">
        <v>2466</v>
      </c>
      <c r="B2227" s="78" t="s">
        <v>27</v>
      </c>
      <c r="C2227" s="85">
        <v>44731.0</v>
      </c>
      <c r="D2227" s="85">
        <v>44732.0</v>
      </c>
      <c r="E2227" s="86">
        <v>11.79</v>
      </c>
      <c r="F2227" s="87">
        <v>13.43</v>
      </c>
      <c r="G2227" s="88">
        <f t="shared" si="1"/>
        <v>1.64</v>
      </c>
      <c r="H2227" s="89">
        <f t="shared" si="10"/>
        <v>0.1221146687</v>
      </c>
      <c r="I2227" s="78" t="s">
        <v>2802</v>
      </c>
      <c r="J2227" s="78" t="s">
        <v>69</v>
      </c>
      <c r="K2227" s="58">
        <f t="shared" si="3"/>
        <v>1</v>
      </c>
      <c r="L2227" s="91" t="str">
        <f t="shared" si="8"/>
        <v>Mon</v>
      </c>
      <c r="M2227" s="78" t="str">
        <f>IFERROR(VLOOKUP(A2227, Entries!A:B,2,false),"")</f>
        <v>Bethesda Softworks</v>
      </c>
      <c r="N2227" s="23" t="str">
        <f>IFERROR(VLOOKUP(A2227, Entries!A:K,11,false),"")</f>
        <v/>
      </c>
      <c r="O2227" s="23" t="b">
        <f>IFERROR(VLOOKUP(A2227, Entries!A:I,8,false),"")</f>
        <v>1</v>
      </c>
    </row>
    <row r="2228">
      <c r="A2228" s="78" t="s">
        <v>2323</v>
      </c>
      <c r="B2228" s="78" t="s">
        <v>33</v>
      </c>
      <c r="C2228" s="85">
        <v>44731.0</v>
      </c>
      <c r="D2228" s="85">
        <v>44731.0</v>
      </c>
      <c r="E2228" s="86">
        <v>4.49</v>
      </c>
      <c r="F2228" s="87">
        <v>5.54</v>
      </c>
      <c r="G2228" s="88">
        <f t="shared" si="1"/>
        <v>1.05</v>
      </c>
      <c r="H2228" s="89">
        <f t="shared" si="10"/>
        <v>0.1895306859</v>
      </c>
      <c r="I2228" s="78" t="s">
        <v>2803</v>
      </c>
      <c r="J2228" s="78" t="s">
        <v>69</v>
      </c>
      <c r="K2228" s="58">
        <f t="shared" si="3"/>
        <v>0</v>
      </c>
      <c r="L2228" s="91" t="str">
        <f t="shared" si="8"/>
        <v>Sun</v>
      </c>
      <c r="M2228" s="78" t="str">
        <f>IFERROR(VLOOKUP(A2228, Entries!A:B,2,false),"")</f>
        <v>tinyBuild</v>
      </c>
      <c r="N2228" s="23" t="str">
        <f>IFERROR(VLOOKUP(A2228, Entries!A:K,11,false),"")</f>
        <v/>
      </c>
      <c r="O2228" s="23" t="b">
        <f>IFERROR(VLOOKUP(A2228, Entries!A:I,8,false),"")</f>
        <v>1</v>
      </c>
    </row>
    <row r="2229">
      <c r="A2229" s="78" t="s">
        <v>2323</v>
      </c>
      <c r="B2229" s="78" t="s">
        <v>33</v>
      </c>
      <c r="C2229" s="85">
        <v>44731.0</v>
      </c>
      <c r="D2229" s="85">
        <v>44732.0</v>
      </c>
      <c r="E2229" s="86">
        <v>4.49</v>
      </c>
      <c r="F2229" s="87">
        <v>5.59</v>
      </c>
      <c r="G2229" s="88">
        <f t="shared" si="1"/>
        <v>1.1</v>
      </c>
      <c r="H2229" s="89">
        <f t="shared" si="10"/>
        <v>0.1967799642</v>
      </c>
      <c r="I2229" s="78" t="s">
        <v>2804</v>
      </c>
      <c r="J2229" s="78" t="s">
        <v>69</v>
      </c>
      <c r="K2229" s="58">
        <f t="shared" si="3"/>
        <v>1</v>
      </c>
      <c r="L2229" s="91" t="str">
        <f t="shared" si="8"/>
        <v>Mon</v>
      </c>
      <c r="M2229" s="78" t="str">
        <f>IFERROR(VLOOKUP(A2229, Entries!A:B,2,false),"")</f>
        <v>tinyBuild</v>
      </c>
      <c r="N2229" s="23" t="str">
        <f>IFERROR(VLOOKUP(A2229, Entries!A:K,11,false),"")</f>
        <v/>
      </c>
      <c r="O2229" s="23" t="b">
        <f>IFERROR(VLOOKUP(A2229, Entries!A:I,8,false),"")</f>
        <v>1</v>
      </c>
    </row>
    <row r="2230">
      <c r="A2230" s="78" t="s">
        <v>2805</v>
      </c>
      <c r="B2230" s="78" t="s">
        <v>25</v>
      </c>
      <c r="C2230" s="85">
        <v>44731.0</v>
      </c>
      <c r="D2230" s="25"/>
      <c r="E2230" s="86">
        <v>15.46</v>
      </c>
      <c r="F2230" s="88"/>
      <c r="G2230" s="88">
        <f t="shared" si="1"/>
        <v>-15.46</v>
      </c>
      <c r="H2230" s="89" t="str">
        <f t="shared" si="10"/>
        <v/>
      </c>
      <c r="I2230" s="103" t="s">
        <v>2806</v>
      </c>
      <c r="J2230" s="78" t="s">
        <v>1129</v>
      </c>
      <c r="K2230" s="58" t="str">
        <f t="shared" si="3"/>
        <v/>
      </c>
      <c r="L2230" s="91" t="str">
        <f t="shared" si="8"/>
        <v/>
      </c>
      <c r="M2230" s="78" t="str">
        <f>IFERROR(VLOOKUP(A2230, Entries!A:B,2,false),"")</f>
        <v>Nacon</v>
      </c>
      <c r="N2230" s="23" t="str">
        <f>IFERROR(VLOOKUP(A2230, Entries!A:K,11,false),"")</f>
        <v/>
      </c>
      <c r="O2230" s="23" t="b">
        <f>IFERROR(VLOOKUP(A2230, Entries!A:I,8,false),"")</f>
        <v>0</v>
      </c>
      <c r="S2230" s="23" t="str">
        <f>IF(AND(TODAY()-ROW(A1406)+1 &lt;= 30, J1406="Closed"), TEXT(TODAY()-ROW(A1406)+1, "dd-mm-yyyy"), "")
</f>
        <v/>
      </c>
    </row>
    <row r="2231">
      <c r="A2231" s="78" t="s">
        <v>1922</v>
      </c>
      <c r="B2231" s="78" t="s">
        <v>27</v>
      </c>
      <c r="C2231" s="85">
        <v>44731.0</v>
      </c>
      <c r="D2231" s="85">
        <v>45244.0</v>
      </c>
      <c r="E2231" s="86">
        <v>21.19</v>
      </c>
      <c r="F2231" s="87">
        <v>11.86</v>
      </c>
      <c r="G2231" s="88">
        <f t="shared" si="1"/>
        <v>-9.33</v>
      </c>
      <c r="H2231" s="89">
        <f t="shared" si="10"/>
        <v>-0.7866779089</v>
      </c>
      <c r="I2231" s="78" t="s">
        <v>2807</v>
      </c>
      <c r="J2231" s="78" t="s">
        <v>69</v>
      </c>
      <c r="K2231" s="58">
        <f t="shared" si="3"/>
        <v>513</v>
      </c>
      <c r="L2231" s="91" t="str">
        <f t="shared" si="8"/>
        <v>Tue</v>
      </c>
      <c r="M2231" s="78" t="str">
        <f>IFERROR(VLOOKUP(A2231, Entries!A:B,2,false),"")</f>
        <v>Rebellion</v>
      </c>
      <c r="N2231" s="23" t="str">
        <f>IFERROR(VLOOKUP(A2231, Entries!A:K,11,false),"")</f>
        <v/>
      </c>
      <c r="O2231" s="23" t="b">
        <f>IFERROR(VLOOKUP(A2231, Entries!A:I,8,false),"")</f>
        <v>0</v>
      </c>
    </row>
    <row r="2232">
      <c r="A2232" s="78" t="s">
        <v>2323</v>
      </c>
      <c r="B2232" s="78" t="s">
        <v>33</v>
      </c>
      <c r="C2232" s="85">
        <v>44732.0</v>
      </c>
      <c r="D2232" s="85">
        <v>44732.0</v>
      </c>
      <c r="E2232" s="86">
        <v>4.49</v>
      </c>
      <c r="F2232" s="87">
        <v>5.59</v>
      </c>
      <c r="G2232" s="88">
        <f t="shared" si="1"/>
        <v>1.1</v>
      </c>
      <c r="H2232" s="89">
        <f t="shared" si="10"/>
        <v>0.1967799642</v>
      </c>
      <c r="I2232" s="78" t="s">
        <v>2808</v>
      </c>
      <c r="J2232" s="78" t="s">
        <v>69</v>
      </c>
      <c r="K2232" s="58">
        <f t="shared" si="3"/>
        <v>0</v>
      </c>
      <c r="L2232" s="91" t="str">
        <f t="shared" si="8"/>
        <v>Mon</v>
      </c>
      <c r="M2232" s="78" t="str">
        <f>IFERROR(VLOOKUP(A2232, Entries!A:B,2,false),"")</f>
        <v>tinyBuild</v>
      </c>
      <c r="N2232" s="23" t="str">
        <f>IFERROR(VLOOKUP(A2232, Entries!A:K,11,false),"")</f>
        <v/>
      </c>
      <c r="O2232" s="23" t="b">
        <f>IFERROR(VLOOKUP(A2232, Entries!A:I,8,false),"")</f>
        <v>1</v>
      </c>
    </row>
    <row r="2233">
      <c r="A2233" s="78" t="s">
        <v>618</v>
      </c>
      <c r="B2233" s="78" t="s">
        <v>19</v>
      </c>
      <c r="C2233" s="85">
        <v>44732.0</v>
      </c>
      <c r="D2233" s="85">
        <v>44768.0</v>
      </c>
      <c r="E2233" s="86">
        <v>1.0</v>
      </c>
      <c r="F2233" s="87">
        <v>1.34</v>
      </c>
      <c r="G2233" s="88">
        <f t="shared" si="1"/>
        <v>0.34</v>
      </c>
      <c r="H2233" s="89">
        <f t="shared" si="10"/>
        <v>0.2537313433</v>
      </c>
      <c r="I2233" s="78" t="s">
        <v>2809</v>
      </c>
      <c r="J2233" s="78" t="s">
        <v>69</v>
      </c>
      <c r="K2233" s="58">
        <f t="shared" si="3"/>
        <v>36</v>
      </c>
      <c r="L2233" s="91" t="str">
        <f t="shared" si="8"/>
        <v>Tue</v>
      </c>
      <c r="M2233" s="78" t="str">
        <f>IFERROR(VLOOKUP(A2233, Entries!A:B,2,false),"")</f>
        <v>M2H</v>
      </c>
      <c r="N2233" s="23" t="str">
        <f>IFERROR(VLOOKUP(A2233, Entries!A:K,11,false),"")</f>
        <v/>
      </c>
      <c r="O2233" s="23" t="b">
        <f>IFERROR(VLOOKUP(A2233, Entries!A:I,8,false),"")</f>
        <v>1</v>
      </c>
    </row>
    <row r="2234">
      <c r="A2234" s="78" t="s">
        <v>2464</v>
      </c>
      <c r="B2234" s="78" t="s">
        <v>27</v>
      </c>
      <c r="C2234" s="85">
        <v>44732.0</v>
      </c>
      <c r="D2234" s="85">
        <v>44753.0</v>
      </c>
      <c r="E2234" s="86">
        <v>7.09</v>
      </c>
      <c r="F2234" s="87">
        <v>9.96</v>
      </c>
      <c r="G2234" s="88">
        <f t="shared" si="1"/>
        <v>2.87</v>
      </c>
      <c r="H2234" s="89">
        <f t="shared" si="10"/>
        <v>0.2881526104</v>
      </c>
      <c r="I2234" s="78" t="s">
        <v>2810</v>
      </c>
      <c r="J2234" s="78" t="s">
        <v>69</v>
      </c>
      <c r="K2234" s="58">
        <f t="shared" si="3"/>
        <v>21</v>
      </c>
      <c r="L2234" s="91" t="str">
        <f t="shared" si="8"/>
        <v>Mon</v>
      </c>
      <c r="M2234" s="78" t="str">
        <f>IFERROR(VLOOKUP(A2234, Entries!A:B,2,false),"")</f>
        <v>FireFly Studios</v>
      </c>
      <c r="N2234" s="23" t="str">
        <f>IFERROR(VLOOKUP(A2234, Entries!A:K,11,false),"")</f>
        <v/>
      </c>
      <c r="O2234" s="23" t="b">
        <f>IFERROR(VLOOKUP(A2234, Entries!A:I,8,false),"")</f>
        <v>0</v>
      </c>
    </row>
    <row r="2235">
      <c r="A2235" s="78" t="s">
        <v>622</v>
      </c>
      <c r="B2235" s="78" t="s">
        <v>19</v>
      </c>
      <c r="C2235" s="85">
        <v>44732.0</v>
      </c>
      <c r="D2235" s="85">
        <v>44933.0</v>
      </c>
      <c r="E2235" s="86">
        <v>2.83</v>
      </c>
      <c r="F2235" s="87">
        <v>4.18</v>
      </c>
      <c r="G2235" s="88">
        <f t="shared" si="1"/>
        <v>1.35</v>
      </c>
      <c r="H2235" s="89">
        <f t="shared" si="10"/>
        <v>0.3229665072</v>
      </c>
      <c r="I2235" s="78" t="s">
        <v>2811</v>
      </c>
      <c r="J2235" s="78" t="s">
        <v>69</v>
      </c>
      <c r="K2235" s="58">
        <f t="shared" si="3"/>
        <v>201</v>
      </c>
      <c r="L2235" s="91" t="str">
        <f t="shared" si="8"/>
        <v>Sat</v>
      </c>
      <c r="M2235" s="78" t="str">
        <f>IFERROR(VLOOKUP(A2235, Entries!A:B,2,false),"")</f>
        <v>Blue Brain Games</v>
      </c>
      <c r="N2235" s="23" t="str">
        <f>IFERROR(VLOOKUP(A2235, Entries!A:K,11,false),"")</f>
        <v/>
      </c>
      <c r="O2235" s="23" t="b">
        <f>IFERROR(VLOOKUP(A2235, Entries!A:I,8,false),"")</f>
        <v>1</v>
      </c>
    </row>
    <row r="2236">
      <c r="A2236" s="78" t="s">
        <v>1676</v>
      </c>
      <c r="B2236" s="78" t="s">
        <v>23</v>
      </c>
      <c r="C2236" s="85">
        <v>44732.0</v>
      </c>
      <c r="D2236" s="85">
        <v>44732.0</v>
      </c>
      <c r="E2236" s="86">
        <v>12.96</v>
      </c>
      <c r="F2236" s="87">
        <v>16.04</v>
      </c>
      <c r="G2236" s="88">
        <f t="shared" si="1"/>
        <v>3.08</v>
      </c>
      <c r="H2236" s="89">
        <f t="shared" si="10"/>
        <v>0.1920199501</v>
      </c>
      <c r="I2236" s="78" t="s">
        <v>2812</v>
      </c>
      <c r="J2236" s="78" t="s">
        <v>69</v>
      </c>
      <c r="K2236" s="58">
        <f t="shared" si="3"/>
        <v>0</v>
      </c>
      <c r="L2236" s="91" t="str">
        <f t="shared" si="8"/>
        <v>Mon</v>
      </c>
      <c r="M2236" s="78" t="str">
        <f>IFERROR(VLOOKUP(A2236, Entries!A:B,2,false),"")</f>
        <v>Focus Home Interactive</v>
      </c>
      <c r="N2236" s="23" t="str">
        <f>IFERROR(VLOOKUP(A2236, Entries!A:K,11,false),"")</f>
        <v/>
      </c>
      <c r="O2236" s="23" t="b">
        <f>IFERROR(VLOOKUP(A2236, Entries!A:I,8,false),"")</f>
        <v>0</v>
      </c>
    </row>
    <row r="2237">
      <c r="A2237" s="78" t="s">
        <v>2466</v>
      </c>
      <c r="B2237" s="78" t="s">
        <v>27</v>
      </c>
      <c r="C2237" s="85">
        <v>44732.0</v>
      </c>
      <c r="D2237" s="85">
        <v>44732.0</v>
      </c>
      <c r="E2237" s="86">
        <v>10.59</v>
      </c>
      <c r="F2237" s="87">
        <v>13.43</v>
      </c>
      <c r="G2237" s="88">
        <f t="shared" si="1"/>
        <v>2.84</v>
      </c>
      <c r="H2237" s="89">
        <f t="shared" si="10"/>
        <v>0.2114668652</v>
      </c>
      <c r="I2237" s="78" t="s">
        <v>2813</v>
      </c>
      <c r="J2237" s="78" t="s">
        <v>69</v>
      </c>
      <c r="K2237" s="58">
        <f t="shared" si="3"/>
        <v>0</v>
      </c>
      <c r="L2237" s="91" t="str">
        <f t="shared" si="8"/>
        <v>Mon</v>
      </c>
      <c r="M2237" s="78" t="str">
        <f>IFERROR(VLOOKUP(A2237, Entries!A:B,2,false),"")</f>
        <v>Bethesda Softworks</v>
      </c>
      <c r="N2237" s="23" t="str">
        <f>IFERROR(VLOOKUP(A2237, Entries!A:K,11,false),"")</f>
        <v/>
      </c>
      <c r="O2237" s="23" t="b">
        <f>IFERROR(VLOOKUP(A2237, Entries!A:I,8,false),"")</f>
        <v>1</v>
      </c>
    </row>
    <row r="2238">
      <c r="A2238" s="78" t="s">
        <v>2814</v>
      </c>
      <c r="B2238" s="78" t="s">
        <v>19</v>
      </c>
      <c r="C2238" s="85">
        <v>44732.0</v>
      </c>
      <c r="D2238" s="25"/>
      <c r="E2238" s="86">
        <v>18.47</v>
      </c>
      <c r="F2238" s="88"/>
      <c r="G2238" s="88">
        <f t="shared" si="1"/>
        <v>-18.47</v>
      </c>
      <c r="H2238" s="89" t="str">
        <f t="shared" si="10"/>
        <v/>
      </c>
      <c r="I2238" s="103" t="s">
        <v>2815</v>
      </c>
      <c r="J2238" s="78" t="s">
        <v>1129</v>
      </c>
      <c r="K2238" s="58" t="str">
        <f t="shared" si="3"/>
        <v/>
      </c>
      <c r="L2238" s="91" t="str">
        <f t="shared" si="8"/>
        <v/>
      </c>
      <c r="M2238" s="78" t="str">
        <f>IFERROR(VLOOKUP(A2238, Entries!A:B,2,false),"")</f>
        <v>CI Games</v>
      </c>
      <c r="N2238" s="23" t="str">
        <f>IFERROR(VLOOKUP(A2238, Entries!A:K,11,false),"")</f>
        <v/>
      </c>
      <c r="O2238" s="23" t="b">
        <f>IFERROR(VLOOKUP(A2238, Entries!A:I,8,false),"")</f>
        <v>0</v>
      </c>
      <c r="S2238" s="23" t="str">
        <f>IF(AND(TODAY()-ROW(A1414)+1 &lt;= 30, J1414="Closed"), TEXT(TODAY()-ROW(A1414)+1, "dd-mm-yyyy"), "")
</f>
        <v/>
      </c>
    </row>
    <row r="2239">
      <c r="A2239" s="78" t="s">
        <v>2466</v>
      </c>
      <c r="B2239" s="78" t="s">
        <v>27</v>
      </c>
      <c r="C2239" s="85">
        <v>44732.0</v>
      </c>
      <c r="D2239" s="85">
        <v>44734.0</v>
      </c>
      <c r="E2239" s="86">
        <v>10.59</v>
      </c>
      <c r="F2239" s="87">
        <v>13.36</v>
      </c>
      <c r="G2239" s="88">
        <f t="shared" si="1"/>
        <v>2.77</v>
      </c>
      <c r="H2239" s="89">
        <f t="shared" si="10"/>
        <v>0.2073353293</v>
      </c>
      <c r="I2239" s="78" t="s">
        <v>2816</v>
      </c>
      <c r="J2239" s="78" t="s">
        <v>69</v>
      </c>
      <c r="K2239" s="58">
        <f t="shared" si="3"/>
        <v>2</v>
      </c>
      <c r="L2239" s="91" t="str">
        <f t="shared" si="8"/>
        <v>Wed</v>
      </c>
      <c r="M2239" s="78" t="str">
        <f>IFERROR(VLOOKUP(A2239, Entries!A:B,2,false),"")</f>
        <v>Bethesda Softworks</v>
      </c>
      <c r="N2239" s="23" t="str">
        <f>IFERROR(VLOOKUP(A2239, Entries!A:K,11,false),"")</f>
        <v/>
      </c>
      <c r="O2239" s="23" t="b">
        <f>IFERROR(VLOOKUP(A2239, Entries!A:I,8,false),"")</f>
        <v>1</v>
      </c>
    </row>
    <row r="2240">
      <c r="A2240" s="78" t="s">
        <v>424</v>
      </c>
      <c r="B2240" s="78" t="s">
        <v>23</v>
      </c>
      <c r="C2240" s="85">
        <v>44732.0</v>
      </c>
      <c r="D2240" s="85">
        <v>44732.0</v>
      </c>
      <c r="E2240" s="86">
        <v>8.97</v>
      </c>
      <c r="F2240" s="87">
        <v>10.97</v>
      </c>
      <c r="G2240" s="88">
        <f t="shared" si="1"/>
        <v>2</v>
      </c>
      <c r="H2240" s="89">
        <f t="shared" si="10"/>
        <v>0.1823154057</v>
      </c>
      <c r="I2240" s="78" t="s">
        <v>2817</v>
      </c>
      <c r="J2240" s="78" t="s">
        <v>69</v>
      </c>
      <c r="K2240" s="58">
        <f t="shared" si="3"/>
        <v>0</v>
      </c>
      <c r="L2240" s="91" t="str">
        <f t="shared" si="8"/>
        <v>Mon</v>
      </c>
      <c r="M2240" s="78" t="str">
        <f>IFERROR(VLOOKUP(A2240, Entries!A:B,2,false),"")</f>
        <v>Focus Home Interactive</v>
      </c>
      <c r="N2240" s="23" t="str">
        <f>IFERROR(VLOOKUP(A2240, Entries!A:K,11,false),"")</f>
        <v/>
      </c>
      <c r="O2240" s="23" t="b">
        <f>IFERROR(VLOOKUP(A2240, Entries!A:I,8,false),"")</f>
        <v>0</v>
      </c>
    </row>
    <row r="2241">
      <c r="A2241" s="78" t="s">
        <v>2818</v>
      </c>
      <c r="B2241" s="78" t="s">
        <v>19</v>
      </c>
      <c r="C2241" s="85">
        <v>44732.0</v>
      </c>
      <c r="D2241" s="85">
        <v>44732.0</v>
      </c>
      <c r="E2241" s="86">
        <v>3.59</v>
      </c>
      <c r="F2241" s="87">
        <v>5.21</v>
      </c>
      <c r="G2241" s="88">
        <f t="shared" si="1"/>
        <v>1.62</v>
      </c>
      <c r="H2241" s="89">
        <f t="shared" si="10"/>
        <v>0.310940499</v>
      </c>
      <c r="I2241" s="78" t="s">
        <v>2819</v>
      </c>
      <c r="J2241" s="78" t="s">
        <v>69</v>
      </c>
      <c r="K2241" s="58">
        <f t="shared" si="3"/>
        <v>0</v>
      </c>
      <c r="L2241" s="91" t="str">
        <f t="shared" si="8"/>
        <v>Mon</v>
      </c>
      <c r="M2241" s="78" t="str">
        <f>IFERROR(VLOOKUP(A2241, Entries!A:B,2,false),"")</f>
        <v>Daedalic Entertainment</v>
      </c>
      <c r="N2241" s="23" t="str">
        <f>IFERROR(VLOOKUP(A2241, Entries!A:K,11,false),"")</f>
        <v/>
      </c>
      <c r="O2241" s="23" t="b">
        <f>IFERROR(VLOOKUP(A2241, Entries!A:I,8,false),"")</f>
        <v>1</v>
      </c>
    </row>
    <row r="2242">
      <c r="A2242" s="78" t="s">
        <v>2820</v>
      </c>
      <c r="B2242" s="78" t="s">
        <v>27</v>
      </c>
      <c r="C2242" s="85">
        <v>44732.0</v>
      </c>
      <c r="D2242" s="85">
        <v>44733.0</v>
      </c>
      <c r="E2242" s="86">
        <v>11.79</v>
      </c>
      <c r="F2242" s="87">
        <v>12.8</v>
      </c>
      <c r="G2242" s="88">
        <f t="shared" si="1"/>
        <v>1.01</v>
      </c>
      <c r="H2242" s="89">
        <f t="shared" si="10"/>
        <v>0.07890625</v>
      </c>
      <c r="I2242" s="78" t="s">
        <v>2821</v>
      </c>
      <c r="J2242" s="78" t="s">
        <v>69</v>
      </c>
      <c r="K2242" s="58">
        <f t="shared" si="3"/>
        <v>1</v>
      </c>
      <c r="L2242" s="91" t="str">
        <f t="shared" si="8"/>
        <v>Tue</v>
      </c>
      <c r="M2242" s="78" t="str">
        <f>IFERROR(VLOOKUP(A2242, Entries!A:B,2,false),"")</f>
        <v>CAPCOM</v>
      </c>
      <c r="N2242" s="23" t="str">
        <f>IFERROR(VLOOKUP(A2242, Entries!A:K,11,false),"")</f>
        <v/>
      </c>
      <c r="O2242" s="23" t="b">
        <f>IFERROR(VLOOKUP(A2242, Entries!A:I,8,false),"")</f>
        <v>0</v>
      </c>
    </row>
    <row r="2243">
      <c r="A2243" s="78" t="s">
        <v>2323</v>
      </c>
      <c r="B2243" s="78" t="s">
        <v>33</v>
      </c>
      <c r="C2243" s="85">
        <v>44732.0</v>
      </c>
      <c r="D2243" s="85">
        <v>44733.0</v>
      </c>
      <c r="E2243" s="86">
        <v>4.49</v>
      </c>
      <c r="F2243" s="87">
        <v>5.55</v>
      </c>
      <c r="G2243" s="88">
        <f t="shared" si="1"/>
        <v>1.06</v>
      </c>
      <c r="H2243" s="89">
        <f t="shared" si="10"/>
        <v>0.190990991</v>
      </c>
      <c r="I2243" s="78" t="s">
        <v>2822</v>
      </c>
      <c r="J2243" s="78" t="s">
        <v>69</v>
      </c>
      <c r="K2243" s="58">
        <f t="shared" si="3"/>
        <v>1</v>
      </c>
      <c r="L2243" s="91" t="str">
        <f t="shared" si="8"/>
        <v>Tue</v>
      </c>
      <c r="M2243" s="78" t="str">
        <f>IFERROR(VLOOKUP(A2243, Entries!A:B,2,false),"")</f>
        <v>tinyBuild</v>
      </c>
      <c r="N2243" s="23" t="str">
        <f>IFERROR(VLOOKUP(A2243, Entries!A:K,11,false),"")</f>
        <v/>
      </c>
      <c r="O2243" s="23" t="b">
        <f>IFERROR(VLOOKUP(A2243, Entries!A:I,8,false),"")</f>
        <v>1</v>
      </c>
    </row>
    <row r="2244">
      <c r="A2244" s="78" t="s">
        <v>2818</v>
      </c>
      <c r="B2244" s="78" t="s">
        <v>19</v>
      </c>
      <c r="C2244" s="85">
        <v>44732.0</v>
      </c>
      <c r="D2244" s="85">
        <v>44733.0</v>
      </c>
      <c r="E2244" s="86">
        <v>3.59</v>
      </c>
      <c r="F2244" s="87">
        <v>5.16</v>
      </c>
      <c r="G2244" s="88">
        <f t="shared" si="1"/>
        <v>1.57</v>
      </c>
      <c r="H2244" s="89">
        <f t="shared" si="10"/>
        <v>0.3042635659</v>
      </c>
      <c r="I2244" s="78" t="s">
        <v>2823</v>
      </c>
      <c r="J2244" s="78" t="s">
        <v>69</v>
      </c>
      <c r="K2244" s="58">
        <f t="shared" si="3"/>
        <v>1</v>
      </c>
      <c r="L2244" s="91" t="str">
        <f t="shared" si="8"/>
        <v>Tue</v>
      </c>
      <c r="M2244" s="78" t="str">
        <f>IFERROR(VLOOKUP(A2244, Entries!A:B,2,false),"")</f>
        <v>Daedalic Entertainment</v>
      </c>
      <c r="N2244" s="23" t="str">
        <f>IFERROR(VLOOKUP(A2244, Entries!A:K,11,false),"")</f>
        <v/>
      </c>
      <c r="O2244" s="23" t="b">
        <f>IFERROR(VLOOKUP(A2244, Entries!A:I,8,false),"")</f>
        <v>1</v>
      </c>
    </row>
    <row r="2245">
      <c r="A2245" s="78" t="s">
        <v>424</v>
      </c>
      <c r="B2245" s="78" t="s">
        <v>23</v>
      </c>
      <c r="C2245" s="85">
        <v>44732.0</v>
      </c>
      <c r="D2245" s="85">
        <v>44732.0</v>
      </c>
      <c r="E2245" s="86">
        <v>8.97</v>
      </c>
      <c r="F2245" s="87">
        <v>10.97</v>
      </c>
      <c r="G2245" s="88">
        <f t="shared" si="1"/>
        <v>2</v>
      </c>
      <c r="H2245" s="89">
        <f t="shared" si="10"/>
        <v>0.1823154057</v>
      </c>
      <c r="I2245" s="78" t="s">
        <v>2824</v>
      </c>
      <c r="J2245" s="78" t="s">
        <v>69</v>
      </c>
      <c r="K2245" s="58">
        <f t="shared" si="3"/>
        <v>0</v>
      </c>
      <c r="L2245" s="91" t="str">
        <f t="shared" si="8"/>
        <v>Mon</v>
      </c>
      <c r="M2245" s="78" t="str">
        <f>IFERROR(VLOOKUP(A2245, Entries!A:B,2,false),"")</f>
        <v>Focus Home Interactive</v>
      </c>
      <c r="N2245" s="23" t="str">
        <f>IFERROR(VLOOKUP(A2245, Entries!A:K,11,false),"")</f>
        <v/>
      </c>
      <c r="O2245" s="23" t="b">
        <f>IFERROR(VLOOKUP(A2245, Entries!A:I,8,false),"")</f>
        <v>0</v>
      </c>
    </row>
    <row r="2246">
      <c r="A2246" s="78" t="s">
        <v>424</v>
      </c>
      <c r="B2246" s="78" t="s">
        <v>23</v>
      </c>
      <c r="C2246" s="85">
        <v>44732.0</v>
      </c>
      <c r="D2246" s="85">
        <v>44733.0</v>
      </c>
      <c r="E2246" s="86">
        <v>8.97</v>
      </c>
      <c r="F2246" s="87">
        <v>10.97</v>
      </c>
      <c r="G2246" s="88">
        <f t="shared" si="1"/>
        <v>2</v>
      </c>
      <c r="H2246" s="89">
        <f t="shared" si="10"/>
        <v>0.1823154057</v>
      </c>
      <c r="I2246" s="78" t="s">
        <v>2825</v>
      </c>
      <c r="J2246" s="78" t="s">
        <v>69</v>
      </c>
      <c r="K2246" s="58">
        <f t="shared" si="3"/>
        <v>1</v>
      </c>
      <c r="L2246" s="91" t="str">
        <f t="shared" si="8"/>
        <v>Tue</v>
      </c>
      <c r="M2246" s="78" t="str">
        <f>IFERROR(VLOOKUP(A2246, Entries!A:B,2,false),"")</f>
        <v>Focus Home Interactive</v>
      </c>
      <c r="N2246" s="23" t="str">
        <f>IFERROR(VLOOKUP(A2246, Entries!A:K,11,false),"")</f>
        <v/>
      </c>
      <c r="O2246" s="23" t="b">
        <f>IFERROR(VLOOKUP(A2246, Entries!A:I,8,false),"")</f>
        <v>0</v>
      </c>
    </row>
    <row r="2247">
      <c r="A2247" s="78" t="s">
        <v>1601</v>
      </c>
      <c r="B2247" s="78" t="s">
        <v>27</v>
      </c>
      <c r="C2247" s="85">
        <v>44732.0</v>
      </c>
      <c r="D2247" s="85">
        <v>44735.0</v>
      </c>
      <c r="E2247" s="86">
        <v>28.29</v>
      </c>
      <c r="F2247" s="87">
        <v>33.0</v>
      </c>
      <c r="G2247" s="88">
        <f t="shared" si="1"/>
        <v>4.71</v>
      </c>
      <c r="H2247" s="89">
        <f t="shared" si="10"/>
        <v>0.1427272727</v>
      </c>
      <c r="I2247" s="78" t="s">
        <v>2826</v>
      </c>
      <c r="J2247" s="78" t="s">
        <v>69</v>
      </c>
      <c r="K2247" s="58">
        <f t="shared" si="3"/>
        <v>3</v>
      </c>
      <c r="L2247" s="91" t="str">
        <f t="shared" si="8"/>
        <v>Thu</v>
      </c>
      <c r="M2247" s="78" t="str">
        <f>IFERROR(VLOOKUP(A2247, Entries!A:B,2,false),"")</f>
        <v>Codemasters</v>
      </c>
      <c r="N2247" s="23" t="str">
        <f>IFERROR(VLOOKUP(A2247, Entries!A:K,11,false),"")</f>
        <v/>
      </c>
      <c r="O2247" s="23" t="b">
        <f>IFERROR(VLOOKUP(A2247, Entries!A:I,8,false),"")</f>
        <v>0</v>
      </c>
    </row>
    <row r="2248">
      <c r="A2248" s="95" t="s">
        <v>1676</v>
      </c>
      <c r="B2248" s="105" t="s">
        <v>23</v>
      </c>
      <c r="C2248" s="85">
        <v>44732.0</v>
      </c>
      <c r="D2248" s="85">
        <v>44733.0</v>
      </c>
      <c r="E2248" s="86">
        <v>12.96</v>
      </c>
      <c r="F2248" s="87">
        <v>15.87</v>
      </c>
      <c r="G2248" s="88">
        <f t="shared" si="1"/>
        <v>2.91</v>
      </c>
      <c r="H2248" s="89">
        <f t="shared" si="10"/>
        <v>0.1833648393</v>
      </c>
      <c r="I2248" s="78" t="s">
        <v>2827</v>
      </c>
      <c r="J2248" s="78" t="s">
        <v>69</v>
      </c>
      <c r="K2248" s="58">
        <f t="shared" si="3"/>
        <v>1</v>
      </c>
      <c r="L2248" s="91" t="str">
        <f t="shared" si="8"/>
        <v>Tue</v>
      </c>
      <c r="M2248" s="78" t="str">
        <f>IFERROR(VLOOKUP(A2248, Entries!A:B,2,false),"")</f>
        <v>Focus Home Interactive</v>
      </c>
      <c r="N2248" s="23" t="str">
        <f>IFERROR(VLOOKUP(A2248, Entries!A:K,11,false),"")</f>
        <v/>
      </c>
      <c r="O2248" s="23" t="b">
        <f>IFERROR(VLOOKUP(A2248, Entries!A:I,8,false),"")</f>
        <v>0</v>
      </c>
    </row>
    <row r="2249">
      <c r="A2249" s="78" t="s">
        <v>2323</v>
      </c>
      <c r="B2249" s="78" t="s">
        <v>33</v>
      </c>
      <c r="C2249" s="85">
        <v>44733.0</v>
      </c>
      <c r="D2249" s="85">
        <v>44733.0</v>
      </c>
      <c r="E2249" s="86">
        <v>4.49</v>
      </c>
      <c r="F2249" s="87">
        <v>5.55</v>
      </c>
      <c r="G2249" s="88">
        <f t="shared" si="1"/>
        <v>1.06</v>
      </c>
      <c r="H2249" s="89">
        <f t="shared" si="10"/>
        <v>0.190990991</v>
      </c>
      <c r="I2249" s="78" t="s">
        <v>2828</v>
      </c>
      <c r="J2249" s="78" t="s">
        <v>69</v>
      </c>
      <c r="K2249" s="58">
        <f t="shared" si="3"/>
        <v>0</v>
      </c>
      <c r="L2249" s="91" t="str">
        <f t="shared" si="8"/>
        <v>Tue</v>
      </c>
      <c r="M2249" s="78" t="str">
        <f>IFERROR(VLOOKUP(A2249, Entries!A:B,2,false),"")</f>
        <v>tinyBuild</v>
      </c>
      <c r="N2249" s="23" t="str">
        <f>IFERROR(VLOOKUP(A2249, Entries!A:K,11,false),"")</f>
        <v/>
      </c>
      <c r="O2249" s="23" t="b">
        <f>IFERROR(VLOOKUP(A2249, Entries!A:I,8,false),"")</f>
        <v>1</v>
      </c>
    </row>
    <row r="2250">
      <c r="A2250" s="78" t="s">
        <v>2829</v>
      </c>
      <c r="B2250" s="78" t="s">
        <v>18</v>
      </c>
      <c r="C2250" s="85">
        <v>44733.0</v>
      </c>
      <c r="D2250" s="85">
        <v>45237.0</v>
      </c>
      <c r="E2250" s="86">
        <v>9.61</v>
      </c>
      <c r="F2250" s="87">
        <v>10.89</v>
      </c>
      <c r="G2250" s="88">
        <f t="shared" si="1"/>
        <v>1.28</v>
      </c>
      <c r="H2250" s="89">
        <f t="shared" si="10"/>
        <v>0.1175390266</v>
      </c>
      <c r="I2250" s="78" t="s">
        <v>2830</v>
      </c>
      <c r="J2250" s="78" t="s">
        <v>69</v>
      </c>
      <c r="K2250" s="58">
        <f t="shared" si="3"/>
        <v>504</v>
      </c>
      <c r="L2250" s="91" t="str">
        <f t="shared" si="8"/>
        <v>Tue</v>
      </c>
      <c r="M2250" s="78" t="str">
        <f>IFERROR(VLOOKUP(A2250, Entries!A:B,2,false),"")</f>
        <v>BANDAI NAMCO</v>
      </c>
      <c r="N2250" s="23" t="str">
        <f>IFERROR(VLOOKUP(A2250, Entries!A:K,11,false),"")</f>
        <v/>
      </c>
      <c r="O2250" s="23" t="b">
        <f>IFERROR(VLOOKUP(A2250, Entries!A:I,8,false),"")</f>
        <v>0</v>
      </c>
    </row>
    <row r="2251">
      <c r="A2251" s="78" t="s">
        <v>2829</v>
      </c>
      <c r="B2251" s="78" t="s">
        <v>18</v>
      </c>
      <c r="C2251" s="85">
        <v>44733.0</v>
      </c>
      <c r="D2251" s="85">
        <v>45238.0</v>
      </c>
      <c r="E2251" s="86">
        <v>9.62</v>
      </c>
      <c r="F2251" s="87">
        <v>10.82</v>
      </c>
      <c r="G2251" s="88">
        <f t="shared" si="1"/>
        <v>1.2</v>
      </c>
      <c r="H2251" s="89">
        <f t="shared" si="10"/>
        <v>0.1109057301</v>
      </c>
      <c r="I2251" s="78" t="s">
        <v>2831</v>
      </c>
      <c r="J2251" s="78" t="s">
        <v>69</v>
      </c>
      <c r="K2251" s="58">
        <f t="shared" si="3"/>
        <v>505</v>
      </c>
      <c r="L2251" s="91" t="str">
        <f t="shared" si="8"/>
        <v>Wed</v>
      </c>
      <c r="M2251" s="78" t="str">
        <f>IFERROR(VLOOKUP(A2251, Entries!A:B,2,false),"")</f>
        <v>BANDAI NAMCO</v>
      </c>
      <c r="N2251" s="23" t="str">
        <f>IFERROR(VLOOKUP(A2251, Entries!A:K,11,false),"")</f>
        <v/>
      </c>
      <c r="O2251" s="23" t="b">
        <f>IFERROR(VLOOKUP(A2251, Entries!A:I,8,false),"")</f>
        <v>0</v>
      </c>
    </row>
    <row r="2252">
      <c r="A2252" s="95" t="s">
        <v>1676</v>
      </c>
      <c r="B2252" s="105" t="s">
        <v>23</v>
      </c>
      <c r="C2252" s="85">
        <v>44733.0</v>
      </c>
      <c r="D2252" s="85">
        <v>44733.0</v>
      </c>
      <c r="E2252" s="86">
        <v>12.93</v>
      </c>
      <c r="F2252" s="87">
        <v>15.87</v>
      </c>
      <c r="G2252" s="88">
        <f t="shared" si="1"/>
        <v>2.94</v>
      </c>
      <c r="H2252" s="89">
        <f t="shared" si="10"/>
        <v>0.1852551985</v>
      </c>
      <c r="I2252" s="78" t="s">
        <v>2832</v>
      </c>
      <c r="J2252" s="78" t="s">
        <v>69</v>
      </c>
      <c r="K2252" s="58">
        <f t="shared" si="3"/>
        <v>0</v>
      </c>
      <c r="L2252" s="91" t="str">
        <f t="shared" si="8"/>
        <v>Tue</v>
      </c>
      <c r="M2252" s="78" t="str">
        <f>IFERROR(VLOOKUP(A2252, Entries!A:B,2,false),"")</f>
        <v>Focus Home Interactive</v>
      </c>
      <c r="N2252" s="23" t="str">
        <f>IFERROR(VLOOKUP(A2252, Entries!A:K,11,false),"")</f>
        <v/>
      </c>
      <c r="O2252" s="23" t="b">
        <f>IFERROR(VLOOKUP(A2252, Entries!A:I,8,false),"")</f>
        <v>0</v>
      </c>
    </row>
    <row r="2253">
      <c r="A2253" s="95" t="s">
        <v>1676</v>
      </c>
      <c r="B2253" s="105" t="s">
        <v>23</v>
      </c>
      <c r="C2253" s="85">
        <v>44733.0</v>
      </c>
      <c r="D2253" s="85">
        <v>44733.0</v>
      </c>
      <c r="E2253" s="86">
        <v>12.93</v>
      </c>
      <c r="F2253" s="87">
        <v>15.87</v>
      </c>
      <c r="G2253" s="88">
        <f t="shared" si="1"/>
        <v>2.94</v>
      </c>
      <c r="H2253" s="89">
        <f t="shared" si="10"/>
        <v>0.1852551985</v>
      </c>
      <c r="I2253" s="78" t="s">
        <v>2833</v>
      </c>
      <c r="J2253" s="78" t="s">
        <v>69</v>
      </c>
      <c r="K2253" s="58">
        <f t="shared" si="3"/>
        <v>0</v>
      </c>
      <c r="L2253" s="91" t="str">
        <f t="shared" si="8"/>
        <v>Tue</v>
      </c>
      <c r="M2253" s="78" t="str">
        <f>IFERROR(VLOOKUP(A2253, Entries!A:B,2,false),"")</f>
        <v>Focus Home Interactive</v>
      </c>
      <c r="N2253" s="23" t="str">
        <f>IFERROR(VLOOKUP(A2253, Entries!A:K,11,false),"")</f>
        <v/>
      </c>
      <c r="O2253" s="23" t="b">
        <f>IFERROR(VLOOKUP(A2253, Entries!A:I,8,false),"")</f>
        <v>0</v>
      </c>
    </row>
    <row r="2254">
      <c r="A2254" s="95" t="s">
        <v>1676</v>
      </c>
      <c r="B2254" s="105" t="s">
        <v>23</v>
      </c>
      <c r="C2254" s="85">
        <v>44733.0</v>
      </c>
      <c r="D2254" s="85">
        <v>44754.0</v>
      </c>
      <c r="E2254" s="86">
        <v>12.93</v>
      </c>
      <c r="F2254" s="87">
        <v>15.0</v>
      </c>
      <c r="G2254" s="88">
        <f t="shared" si="1"/>
        <v>2.07</v>
      </c>
      <c r="H2254" s="89">
        <f t="shared" si="10"/>
        <v>0.138</v>
      </c>
      <c r="I2254" s="78" t="s">
        <v>2834</v>
      </c>
      <c r="J2254" s="78" t="s">
        <v>69</v>
      </c>
      <c r="K2254" s="58">
        <f t="shared" si="3"/>
        <v>21</v>
      </c>
      <c r="L2254" s="91" t="str">
        <f t="shared" si="8"/>
        <v>Tue</v>
      </c>
      <c r="M2254" s="78" t="str">
        <f>IFERROR(VLOOKUP(A2254, Entries!A:B,2,false),"")</f>
        <v>Focus Home Interactive</v>
      </c>
      <c r="N2254" s="23" t="str">
        <f>IFERROR(VLOOKUP(A2254, Entries!A:K,11,false),"")</f>
        <v/>
      </c>
      <c r="O2254" s="23" t="b">
        <f>IFERROR(VLOOKUP(A2254, Entries!A:I,8,false),"")</f>
        <v>0</v>
      </c>
    </row>
    <row r="2255">
      <c r="A2255" s="78" t="s">
        <v>2323</v>
      </c>
      <c r="B2255" s="78" t="s">
        <v>33</v>
      </c>
      <c r="C2255" s="85">
        <v>44733.0</v>
      </c>
      <c r="D2255" s="85">
        <v>44772.0</v>
      </c>
      <c r="E2255" s="86">
        <v>4.49</v>
      </c>
      <c r="F2255" s="87">
        <v>5.49</v>
      </c>
      <c r="G2255" s="88">
        <f t="shared" si="1"/>
        <v>1</v>
      </c>
      <c r="H2255" s="89">
        <f t="shared" si="10"/>
        <v>0.1821493625</v>
      </c>
      <c r="I2255" s="78" t="s">
        <v>2835</v>
      </c>
      <c r="J2255" s="78" t="s">
        <v>69</v>
      </c>
      <c r="K2255" s="58">
        <f t="shared" si="3"/>
        <v>39</v>
      </c>
      <c r="L2255" s="91" t="str">
        <f t="shared" si="8"/>
        <v>Sat</v>
      </c>
      <c r="M2255" s="78" t="str">
        <f>IFERROR(VLOOKUP(A2255, Entries!A:B,2,false),"")</f>
        <v>tinyBuild</v>
      </c>
      <c r="N2255" s="23" t="str">
        <f>IFERROR(VLOOKUP(A2255, Entries!A:K,11,false),"")</f>
        <v/>
      </c>
      <c r="O2255" s="23" t="b">
        <f>IFERROR(VLOOKUP(A2255, Entries!A:I,8,false),"")</f>
        <v>1</v>
      </c>
    </row>
    <row r="2256">
      <c r="A2256" s="78" t="s">
        <v>2731</v>
      </c>
      <c r="B2256" s="78" t="s">
        <v>27</v>
      </c>
      <c r="C2256" s="85">
        <v>44733.0</v>
      </c>
      <c r="D2256" s="85">
        <v>44751.0</v>
      </c>
      <c r="E2256" s="86">
        <v>11.79</v>
      </c>
      <c r="F2256" s="87">
        <v>14.09</v>
      </c>
      <c r="G2256" s="88">
        <f t="shared" si="1"/>
        <v>2.3</v>
      </c>
      <c r="H2256" s="89">
        <f t="shared" si="10"/>
        <v>0.1632363378</v>
      </c>
      <c r="I2256" s="78" t="s">
        <v>2836</v>
      </c>
      <c r="J2256" s="78" t="s">
        <v>69</v>
      </c>
      <c r="K2256" s="58">
        <f t="shared" si="3"/>
        <v>18</v>
      </c>
      <c r="L2256" s="91" t="str">
        <f t="shared" si="8"/>
        <v>Sat</v>
      </c>
      <c r="M2256" s="78" t="str">
        <f>IFERROR(VLOOKUP(A2256, Entries!A:B,2,false),"")</f>
        <v>Rebellion</v>
      </c>
      <c r="N2256" s="23" t="str">
        <f>IFERROR(VLOOKUP(A2256, Entries!A:K,11,false),"")</f>
        <v/>
      </c>
      <c r="O2256" s="23" t="b">
        <f>IFERROR(VLOOKUP(A2256, Entries!A:I,8,false),"")</f>
        <v>0</v>
      </c>
    </row>
    <row r="2257">
      <c r="A2257" s="78" t="s">
        <v>424</v>
      </c>
      <c r="B2257" s="78" t="s">
        <v>23</v>
      </c>
      <c r="C2257" s="85">
        <v>44733.0</v>
      </c>
      <c r="D2257" s="85">
        <v>44887.0</v>
      </c>
      <c r="E2257" s="86">
        <v>8.95</v>
      </c>
      <c r="F2257" s="87">
        <v>10.89</v>
      </c>
      <c r="G2257" s="88">
        <f t="shared" si="1"/>
        <v>1.94</v>
      </c>
      <c r="H2257" s="89">
        <f t="shared" si="10"/>
        <v>0.1781450872</v>
      </c>
      <c r="I2257" s="78" t="s">
        <v>2837</v>
      </c>
      <c r="J2257" s="78" t="s">
        <v>69</v>
      </c>
      <c r="K2257" s="58">
        <f t="shared" si="3"/>
        <v>154</v>
      </c>
      <c r="L2257" s="91" t="str">
        <f t="shared" si="8"/>
        <v>Tue</v>
      </c>
      <c r="M2257" s="78" t="str">
        <f>IFERROR(VLOOKUP(A2257, Entries!A:B,2,false),"")</f>
        <v>Focus Home Interactive</v>
      </c>
      <c r="N2257" s="23" t="str">
        <f>IFERROR(VLOOKUP(A2257, Entries!A:K,11,false),"")</f>
        <v/>
      </c>
      <c r="O2257" s="23" t="b">
        <f>IFERROR(VLOOKUP(A2257, Entries!A:I,8,false),"")</f>
        <v>0</v>
      </c>
    </row>
    <row r="2258">
      <c r="A2258" s="78" t="s">
        <v>2466</v>
      </c>
      <c r="B2258" s="78" t="s">
        <v>27</v>
      </c>
      <c r="C2258" s="85">
        <v>44734.0</v>
      </c>
      <c r="D2258" s="85">
        <v>44734.0</v>
      </c>
      <c r="E2258" s="86">
        <v>10.59</v>
      </c>
      <c r="F2258" s="87">
        <v>13.43</v>
      </c>
      <c r="G2258" s="88">
        <f t="shared" si="1"/>
        <v>2.84</v>
      </c>
      <c r="H2258" s="89">
        <f t="shared" si="10"/>
        <v>0.2114668652</v>
      </c>
      <c r="I2258" s="78" t="s">
        <v>2838</v>
      </c>
      <c r="J2258" s="78" t="s">
        <v>69</v>
      </c>
      <c r="K2258" s="58">
        <f t="shared" si="3"/>
        <v>0</v>
      </c>
      <c r="L2258" s="91" t="str">
        <f t="shared" si="8"/>
        <v>Wed</v>
      </c>
      <c r="M2258" s="78" t="str">
        <f>IFERROR(VLOOKUP(A2258, Entries!A:B,2,false),"")</f>
        <v>Bethesda Softworks</v>
      </c>
      <c r="N2258" s="23" t="str">
        <f>IFERROR(VLOOKUP(A2258, Entries!A:K,11,false),"")</f>
        <v/>
      </c>
      <c r="O2258" s="23" t="b">
        <f>IFERROR(VLOOKUP(A2258, Entries!A:I,8,false),"")</f>
        <v>1</v>
      </c>
    </row>
    <row r="2259">
      <c r="A2259" s="78" t="s">
        <v>2466</v>
      </c>
      <c r="B2259" s="78" t="s">
        <v>27</v>
      </c>
      <c r="C2259" s="85">
        <v>44734.0</v>
      </c>
      <c r="D2259" s="85">
        <v>44734.0</v>
      </c>
      <c r="E2259" s="86">
        <v>10.59</v>
      </c>
      <c r="F2259" s="87">
        <v>13.43</v>
      </c>
      <c r="G2259" s="88">
        <f t="shared" si="1"/>
        <v>2.84</v>
      </c>
      <c r="H2259" s="89">
        <f t="shared" si="10"/>
        <v>0.2114668652</v>
      </c>
      <c r="I2259" s="78" t="s">
        <v>2839</v>
      </c>
      <c r="J2259" s="78" t="s">
        <v>69</v>
      </c>
      <c r="K2259" s="58">
        <f t="shared" si="3"/>
        <v>0</v>
      </c>
      <c r="L2259" s="91" t="str">
        <f t="shared" si="8"/>
        <v>Wed</v>
      </c>
      <c r="M2259" s="78" t="str">
        <f>IFERROR(VLOOKUP(A2259, Entries!A:B,2,false),"")</f>
        <v>Bethesda Softworks</v>
      </c>
      <c r="N2259" s="23" t="str">
        <f>IFERROR(VLOOKUP(A2259, Entries!A:K,11,false),"")</f>
        <v/>
      </c>
      <c r="O2259" s="23" t="b">
        <f>IFERROR(VLOOKUP(A2259, Entries!A:I,8,false),"")</f>
        <v>1</v>
      </c>
    </row>
    <row r="2260">
      <c r="A2260" s="78" t="s">
        <v>2466</v>
      </c>
      <c r="B2260" s="78" t="s">
        <v>27</v>
      </c>
      <c r="C2260" s="85">
        <v>44734.0</v>
      </c>
      <c r="D2260" s="85">
        <v>44945.0</v>
      </c>
      <c r="E2260" s="86">
        <v>10.59</v>
      </c>
      <c r="F2260" s="87">
        <v>12.16</v>
      </c>
      <c r="G2260" s="88">
        <f t="shared" si="1"/>
        <v>1.57</v>
      </c>
      <c r="H2260" s="89">
        <f t="shared" si="10"/>
        <v>0.1291118421</v>
      </c>
      <c r="I2260" s="78" t="s">
        <v>2840</v>
      </c>
      <c r="J2260" s="78" t="s">
        <v>69</v>
      </c>
      <c r="K2260" s="58">
        <f t="shared" si="3"/>
        <v>211</v>
      </c>
      <c r="L2260" s="91" t="str">
        <f t="shared" si="8"/>
        <v>Thu</v>
      </c>
      <c r="M2260" s="78" t="str">
        <f>IFERROR(VLOOKUP(A2260, Entries!A:B,2,false),"")</f>
        <v>Bethesda Softworks</v>
      </c>
      <c r="N2260" s="23" t="str">
        <f>IFERROR(VLOOKUP(A2260, Entries!A:K,11,false),"")</f>
        <v/>
      </c>
      <c r="O2260" s="23" t="b">
        <f>IFERROR(VLOOKUP(A2260, Entries!A:I,8,false),"")</f>
        <v>1</v>
      </c>
    </row>
    <row r="2261">
      <c r="A2261" s="78" t="s">
        <v>2127</v>
      </c>
      <c r="B2261" s="78" t="s">
        <v>27</v>
      </c>
      <c r="C2261" s="85">
        <v>44734.0</v>
      </c>
      <c r="D2261" s="85">
        <v>44735.0</v>
      </c>
      <c r="E2261" s="86">
        <v>24.79</v>
      </c>
      <c r="F2261" s="87">
        <v>40.56</v>
      </c>
      <c r="G2261" s="88">
        <f t="shared" si="1"/>
        <v>15.77</v>
      </c>
      <c r="H2261" s="89">
        <f t="shared" si="10"/>
        <v>0.3888067061</v>
      </c>
      <c r="I2261" s="78" t="s">
        <v>2841</v>
      </c>
      <c r="J2261" s="78" t="s">
        <v>69</v>
      </c>
      <c r="K2261" s="58">
        <f t="shared" si="3"/>
        <v>1</v>
      </c>
      <c r="L2261" s="91" t="str">
        <f t="shared" si="8"/>
        <v>Thu</v>
      </c>
      <c r="M2261" s="78" t="str">
        <f>IFERROR(VLOOKUP(A2261, Entries!A:B,2,false),"")</f>
        <v>Bungie</v>
      </c>
      <c r="N2261" s="23" t="str">
        <f>IFERROR(VLOOKUP(A2261, Entries!A:K,11,false),"")</f>
        <v/>
      </c>
      <c r="O2261" s="23" t="b">
        <f>IFERROR(VLOOKUP(A2261, Entries!A:I,8,false),"")</f>
        <v>1</v>
      </c>
    </row>
    <row r="2262">
      <c r="A2262" s="78" t="s">
        <v>2127</v>
      </c>
      <c r="B2262" s="78" t="s">
        <v>27</v>
      </c>
      <c r="C2262" s="85">
        <v>44735.0</v>
      </c>
      <c r="D2262" s="85">
        <v>44735.0</v>
      </c>
      <c r="E2262" s="86">
        <v>24.79</v>
      </c>
      <c r="F2262" s="87">
        <v>40.56</v>
      </c>
      <c r="G2262" s="88">
        <f t="shared" si="1"/>
        <v>15.77</v>
      </c>
      <c r="H2262" s="89">
        <f t="shared" si="10"/>
        <v>0.3888067061</v>
      </c>
      <c r="I2262" s="78" t="s">
        <v>2842</v>
      </c>
      <c r="J2262" s="78" t="s">
        <v>69</v>
      </c>
      <c r="K2262" s="58">
        <f t="shared" si="3"/>
        <v>0</v>
      </c>
      <c r="L2262" s="91" t="str">
        <f t="shared" si="8"/>
        <v>Thu</v>
      </c>
      <c r="M2262" s="78" t="str">
        <f>IFERROR(VLOOKUP(A2262, Entries!A:B,2,false),"")</f>
        <v>Bungie</v>
      </c>
      <c r="N2262" s="23" t="str">
        <f>IFERROR(VLOOKUP(A2262, Entries!A:K,11,false),"")</f>
        <v/>
      </c>
      <c r="O2262" s="23" t="b">
        <f>IFERROR(VLOOKUP(A2262, Entries!A:I,8,false),"")</f>
        <v>1</v>
      </c>
    </row>
    <row r="2263">
      <c r="A2263" s="78" t="s">
        <v>2027</v>
      </c>
      <c r="B2263" s="78" t="s">
        <v>27</v>
      </c>
      <c r="C2263" s="85">
        <v>44735.0</v>
      </c>
      <c r="D2263" s="85">
        <v>44789.0</v>
      </c>
      <c r="E2263" s="86">
        <v>14.19</v>
      </c>
      <c r="F2263" s="87">
        <v>18.78</v>
      </c>
      <c r="G2263" s="88">
        <f t="shared" si="1"/>
        <v>4.59</v>
      </c>
      <c r="H2263" s="89">
        <f t="shared" si="10"/>
        <v>0.2444089457</v>
      </c>
      <c r="I2263" s="78" t="s">
        <v>2843</v>
      </c>
      <c r="J2263" s="78" t="s">
        <v>69</v>
      </c>
      <c r="K2263" s="58">
        <f t="shared" si="3"/>
        <v>54</v>
      </c>
      <c r="L2263" s="91" t="str">
        <f t="shared" si="8"/>
        <v>Tue</v>
      </c>
      <c r="M2263" s="78" t="str">
        <f>IFERROR(VLOOKUP(A2263, Entries!A:B,2,false),"")</f>
        <v>Private Division</v>
      </c>
      <c r="N2263" s="23" t="str">
        <f>IFERROR(VLOOKUP(A2263, Entries!A:K,11,false),"")</f>
        <v/>
      </c>
      <c r="O2263" s="23" t="b">
        <f>IFERROR(VLOOKUP(A2263, Entries!A:I,8,false),"")</f>
        <v>0</v>
      </c>
    </row>
    <row r="2264">
      <c r="A2264" s="78" t="s">
        <v>2127</v>
      </c>
      <c r="B2264" s="78" t="s">
        <v>27</v>
      </c>
      <c r="C2264" s="85">
        <v>44735.0</v>
      </c>
      <c r="D2264" s="85">
        <v>44828.0</v>
      </c>
      <c r="E2264" s="86">
        <v>24.79</v>
      </c>
      <c r="F2264" s="87">
        <v>28.38</v>
      </c>
      <c r="G2264" s="88">
        <f t="shared" si="1"/>
        <v>3.59</v>
      </c>
      <c r="H2264" s="89">
        <f t="shared" si="10"/>
        <v>0.1264975335</v>
      </c>
      <c r="I2264" s="78" t="s">
        <v>2844</v>
      </c>
      <c r="J2264" s="78" t="s">
        <v>69</v>
      </c>
      <c r="K2264" s="58">
        <f t="shared" si="3"/>
        <v>93</v>
      </c>
      <c r="L2264" s="91" t="str">
        <f t="shared" si="8"/>
        <v>Sat</v>
      </c>
      <c r="M2264" s="78" t="str">
        <f>IFERROR(VLOOKUP(A2264, Entries!A:B,2,false),"")</f>
        <v>Bungie</v>
      </c>
      <c r="N2264" s="23" t="str">
        <f>IFERROR(VLOOKUP(A2264, Entries!A:K,11,false),"")</f>
        <v/>
      </c>
      <c r="O2264" s="23" t="b">
        <f>IFERROR(VLOOKUP(A2264, Entries!A:I,8,false),"")</f>
        <v>1</v>
      </c>
    </row>
    <row r="2265">
      <c r="A2265" s="78" t="s">
        <v>2845</v>
      </c>
      <c r="B2265" s="78" t="s">
        <v>23</v>
      </c>
      <c r="C2265" s="85">
        <v>44735.0</v>
      </c>
      <c r="D2265" s="85">
        <v>44808.0</v>
      </c>
      <c r="E2265" s="86">
        <v>9.94</v>
      </c>
      <c r="F2265" s="87">
        <v>13.97</v>
      </c>
      <c r="G2265" s="88">
        <f t="shared" si="1"/>
        <v>4.03</v>
      </c>
      <c r="H2265" s="89">
        <f t="shared" si="10"/>
        <v>0.2884753042</v>
      </c>
      <c r="I2265" s="78" t="s">
        <v>2846</v>
      </c>
      <c r="J2265" s="78" t="s">
        <v>69</v>
      </c>
      <c r="K2265" s="58">
        <f t="shared" si="3"/>
        <v>73</v>
      </c>
      <c r="L2265" s="91" t="str">
        <f t="shared" si="8"/>
        <v>Sun</v>
      </c>
      <c r="M2265" s="78" t="str">
        <f>IFERROR(VLOOKUP(A2265, Entries!A:B,2,false),"")</f>
        <v>505 Games</v>
      </c>
      <c r="N2265" s="23" t="str">
        <f>IFERROR(VLOOKUP(A2265, Entries!A:K,11,false),"")</f>
        <v/>
      </c>
      <c r="O2265" s="23" t="b">
        <f>IFERROR(VLOOKUP(A2265, Entries!A:I,8,false),"")</f>
        <v>0</v>
      </c>
    </row>
    <row r="2266">
      <c r="A2266" s="78" t="s">
        <v>308</v>
      </c>
      <c r="B2266" s="78" t="s">
        <v>21</v>
      </c>
      <c r="C2266" s="85">
        <v>44735.0</v>
      </c>
      <c r="D2266" s="85">
        <v>44764.0</v>
      </c>
      <c r="E2266" s="86">
        <v>5.03</v>
      </c>
      <c r="F2266" s="87">
        <v>6.3</v>
      </c>
      <c r="G2266" s="88">
        <f t="shared" si="1"/>
        <v>1.27</v>
      </c>
      <c r="H2266" s="89">
        <f t="shared" si="10"/>
        <v>0.2015873016</v>
      </c>
      <c r="I2266" s="78" t="s">
        <v>2847</v>
      </c>
      <c r="J2266" s="78" t="s">
        <v>69</v>
      </c>
      <c r="K2266" s="58">
        <f t="shared" si="3"/>
        <v>29</v>
      </c>
      <c r="L2266" s="91" t="str">
        <f t="shared" si="8"/>
        <v>Fri</v>
      </c>
      <c r="M2266" s="78" t="str">
        <f>IFERROR(VLOOKUP(A2266, Entries!A:B,2,false),"")</f>
        <v>505 Games</v>
      </c>
      <c r="N2266" s="23" t="str">
        <f>IFERROR(VLOOKUP(A2266, Entries!A:K,11,false),"")</f>
        <v/>
      </c>
      <c r="O2266" s="23" t="b">
        <f>IFERROR(VLOOKUP(A2266, Entries!A:I,8,false),"")</f>
        <v>0</v>
      </c>
    </row>
    <row r="2267">
      <c r="A2267" s="78" t="s">
        <v>1601</v>
      </c>
      <c r="B2267" s="78" t="s">
        <v>27</v>
      </c>
      <c r="C2267" s="85">
        <v>44735.0</v>
      </c>
      <c r="D2267" s="85">
        <v>44757.0</v>
      </c>
      <c r="E2267" s="86">
        <v>28.29</v>
      </c>
      <c r="F2267" s="87">
        <v>33.16</v>
      </c>
      <c r="G2267" s="88">
        <f t="shared" si="1"/>
        <v>4.87</v>
      </c>
      <c r="H2267" s="89">
        <f t="shared" si="10"/>
        <v>0.1468636912</v>
      </c>
      <c r="I2267" s="78" t="s">
        <v>2848</v>
      </c>
      <c r="J2267" s="78" t="s">
        <v>69</v>
      </c>
      <c r="K2267" s="58">
        <f t="shared" si="3"/>
        <v>22</v>
      </c>
      <c r="L2267" s="91" t="str">
        <f t="shared" si="8"/>
        <v>Fri</v>
      </c>
      <c r="M2267" s="78" t="str">
        <f>IFERROR(VLOOKUP(A2267, Entries!A:B,2,false),"")</f>
        <v>Codemasters</v>
      </c>
      <c r="N2267" s="23" t="str">
        <f>IFERROR(VLOOKUP(A2267, Entries!A:K,11,false),"")</f>
        <v/>
      </c>
      <c r="O2267" s="23" t="b">
        <f>IFERROR(VLOOKUP(A2267, Entries!A:I,8,false),"")</f>
        <v>0</v>
      </c>
    </row>
    <row r="2268">
      <c r="A2268" s="78" t="s">
        <v>2849</v>
      </c>
      <c r="B2268" s="78" t="s">
        <v>19</v>
      </c>
      <c r="C2268" s="85">
        <v>44735.0</v>
      </c>
      <c r="D2268" s="85">
        <v>44788.0</v>
      </c>
      <c r="E2268" s="86">
        <v>2.83</v>
      </c>
      <c r="F2268" s="87">
        <v>3.6</v>
      </c>
      <c r="G2268" s="88">
        <f t="shared" si="1"/>
        <v>0.77</v>
      </c>
      <c r="H2268" s="89">
        <f t="shared" si="10"/>
        <v>0.2138888889</v>
      </c>
      <c r="I2268" s="78" t="s">
        <v>2850</v>
      </c>
      <c r="J2268" s="78" t="s">
        <v>69</v>
      </c>
      <c r="K2268" s="58">
        <f t="shared" si="3"/>
        <v>53</v>
      </c>
      <c r="L2268" s="91" t="str">
        <f t="shared" si="8"/>
        <v>Mon</v>
      </c>
      <c r="M2268" s="78" t="str">
        <f>IFERROR(VLOOKUP(A2268, Entries!A:B,2,false),"")</f>
        <v>Maximum Entertainment</v>
      </c>
      <c r="N2268" s="23" t="str">
        <f>IFERROR(VLOOKUP(A2268, Entries!A:K,11,false),"")</f>
        <v/>
      </c>
      <c r="O2268" s="23" t="b">
        <f>IFERROR(VLOOKUP(A2268, Entries!A:I,8,false),"")</f>
        <v>0</v>
      </c>
    </row>
    <row r="2269">
      <c r="A2269" s="78" t="s">
        <v>2849</v>
      </c>
      <c r="B2269" s="78" t="s">
        <v>19</v>
      </c>
      <c r="C2269" s="85">
        <v>44735.0</v>
      </c>
      <c r="D2269" s="85">
        <v>44789.0</v>
      </c>
      <c r="E2269" s="86">
        <v>2.83</v>
      </c>
      <c r="F2269" s="87">
        <v>3.6</v>
      </c>
      <c r="G2269" s="88">
        <f t="shared" si="1"/>
        <v>0.77</v>
      </c>
      <c r="H2269" s="89">
        <f t="shared" si="10"/>
        <v>0.2138888889</v>
      </c>
      <c r="I2269" s="78" t="s">
        <v>2851</v>
      </c>
      <c r="J2269" s="78" t="s">
        <v>69</v>
      </c>
      <c r="K2269" s="58">
        <f t="shared" si="3"/>
        <v>54</v>
      </c>
      <c r="L2269" s="91" t="str">
        <f t="shared" si="8"/>
        <v>Tue</v>
      </c>
      <c r="M2269" s="78" t="str">
        <f>IFERROR(VLOOKUP(A2269, Entries!A:B,2,false),"")</f>
        <v>Maximum Entertainment</v>
      </c>
      <c r="N2269" s="23" t="str">
        <f>IFERROR(VLOOKUP(A2269, Entries!A:K,11,false),"")</f>
        <v/>
      </c>
      <c r="O2269" s="23" t="b">
        <f>IFERROR(VLOOKUP(A2269, Entries!A:I,8,false),"")</f>
        <v>0</v>
      </c>
    </row>
    <row r="2270">
      <c r="A2270" s="78" t="s">
        <v>1010</v>
      </c>
      <c r="B2270" s="78" t="s">
        <v>25</v>
      </c>
      <c r="C2270" s="85">
        <v>44735.0</v>
      </c>
      <c r="D2270" s="85">
        <v>44737.0</v>
      </c>
      <c r="E2270" s="86">
        <v>11.84</v>
      </c>
      <c r="F2270" s="87">
        <v>32.73</v>
      </c>
      <c r="G2270" s="88">
        <f t="shared" si="1"/>
        <v>20.89</v>
      </c>
      <c r="H2270" s="89">
        <f t="shared" si="10"/>
        <v>0.6382523679</v>
      </c>
      <c r="I2270" s="78" t="s">
        <v>2852</v>
      </c>
      <c r="J2270" s="78" t="s">
        <v>69</v>
      </c>
      <c r="K2270" s="58">
        <f t="shared" si="3"/>
        <v>2</v>
      </c>
      <c r="L2270" s="91" t="str">
        <f t="shared" si="8"/>
        <v>Sat</v>
      </c>
      <c r="M2270" s="78" t="str">
        <f>IFERROR(VLOOKUP(A2270, Entries!A:B,2,false),"")</f>
        <v>Konami</v>
      </c>
      <c r="N2270" s="23" t="str">
        <f>IFERROR(VLOOKUP(A2270, Entries!A:K,11,false),"")</f>
        <v/>
      </c>
      <c r="O2270" s="23" t="b">
        <f>IFERROR(VLOOKUP(A2270, Entries!A:I,8,false),"")</f>
        <v>1</v>
      </c>
    </row>
    <row r="2271">
      <c r="A2271" s="78" t="s">
        <v>1010</v>
      </c>
      <c r="B2271" s="78" t="s">
        <v>25</v>
      </c>
      <c r="C2271" s="85">
        <v>44735.0</v>
      </c>
      <c r="D2271" s="85">
        <v>44737.0</v>
      </c>
      <c r="E2271" s="86">
        <v>11.84</v>
      </c>
      <c r="F2271" s="87">
        <v>32.91</v>
      </c>
      <c r="G2271" s="88">
        <f t="shared" si="1"/>
        <v>21.07</v>
      </c>
      <c r="H2271" s="89">
        <f t="shared" si="10"/>
        <v>0.6402309328</v>
      </c>
      <c r="I2271" s="78" t="s">
        <v>2853</v>
      </c>
      <c r="J2271" s="78" t="s">
        <v>69</v>
      </c>
      <c r="K2271" s="58">
        <f t="shared" si="3"/>
        <v>2</v>
      </c>
      <c r="L2271" s="91" t="str">
        <f t="shared" si="8"/>
        <v>Sat</v>
      </c>
      <c r="M2271" s="78" t="str">
        <f>IFERROR(VLOOKUP(A2271, Entries!A:B,2,false),"")</f>
        <v>Konami</v>
      </c>
      <c r="N2271" s="23" t="str">
        <f>IFERROR(VLOOKUP(A2271, Entries!A:K,11,false),"")</f>
        <v/>
      </c>
      <c r="O2271" s="23" t="b">
        <f>IFERROR(VLOOKUP(A2271, Entries!A:I,8,false),"")</f>
        <v>1</v>
      </c>
    </row>
    <row r="2272">
      <c r="A2272" s="78" t="s">
        <v>2734</v>
      </c>
      <c r="B2272" s="78" t="s">
        <v>33</v>
      </c>
      <c r="C2272" s="85">
        <v>44735.0</v>
      </c>
      <c r="D2272" s="85">
        <v>44749.0</v>
      </c>
      <c r="E2272" s="86">
        <v>12.91</v>
      </c>
      <c r="F2272" s="87">
        <v>12.9</v>
      </c>
      <c r="G2272" s="88">
        <f t="shared" si="1"/>
        <v>-0.01</v>
      </c>
      <c r="H2272" s="89">
        <f t="shared" si="10"/>
        <v>-0.0007751937984</v>
      </c>
      <c r="I2272" s="78" t="s">
        <v>2523</v>
      </c>
      <c r="J2272" s="78" t="s">
        <v>69</v>
      </c>
      <c r="K2272" s="58">
        <f t="shared" si="3"/>
        <v>14</v>
      </c>
      <c r="L2272" s="91" t="str">
        <f t="shared" si="8"/>
        <v>Thu</v>
      </c>
      <c r="M2272" s="78" t="str">
        <f>IFERROR(VLOOKUP(A2272, Entries!A:B,2,false),"")</f>
        <v>Dotemu</v>
      </c>
      <c r="N2272" s="23" t="str">
        <f>IFERROR(VLOOKUP(A2272, Entries!A:K,11,false),"")</f>
        <v/>
      </c>
      <c r="O2272" s="23" t="b">
        <f>IFERROR(VLOOKUP(A2272, Entries!A:I,8,false),"")</f>
        <v>0</v>
      </c>
    </row>
    <row r="2273">
      <c r="A2273" s="78" t="s">
        <v>1453</v>
      </c>
      <c r="B2273" s="78" t="s">
        <v>19</v>
      </c>
      <c r="C2273" s="85">
        <v>44736.0</v>
      </c>
      <c r="D2273" s="85">
        <v>44847.0</v>
      </c>
      <c r="E2273" s="86">
        <v>0.0</v>
      </c>
      <c r="F2273" s="87">
        <v>0.06</v>
      </c>
      <c r="G2273" s="88">
        <f t="shared" si="1"/>
        <v>0.06</v>
      </c>
      <c r="H2273" s="89">
        <f t="shared" si="10"/>
        <v>1</v>
      </c>
      <c r="I2273" s="78" t="s">
        <v>2854</v>
      </c>
      <c r="J2273" s="78" t="s">
        <v>69</v>
      </c>
      <c r="K2273" s="58">
        <f t="shared" si="3"/>
        <v>111</v>
      </c>
      <c r="L2273" s="91" t="str">
        <f t="shared" si="8"/>
        <v>Thu</v>
      </c>
      <c r="M2273" s="78" t="str">
        <f>IFERROR(VLOOKUP(A2273, Entries!A:B,2,false),"")</f>
        <v>Team17 Digital</v>
      </c>
      <c r="N2273" s="23" t="str">
        <f>IFERROR(VLOOKUP(A2273, Entries!A:K,11,false),"")</f>
        <v/>
      </c>
      <c r="O2273" s="23" t="b">
        <f>IFERROR(VLOOKUP(A2273, Entries!A:I,8,false),"")</f>
        <v>0</v>
      </c>
    </row>
    <row r="2274">
      <c r="A2274" s="78" t="s">
        <v>572</v>
      </c>
      <c r="B2274" s="78" t="s">
        <v>19</v>
      </c>
      <c r="C2274" s="85">
        <v>44736.0</v>
      </c>
      <c r="D2274" s="85">
        <v>44967.0</v>
      </c>
      <c r="E2274" s="86">
        <v>0.8</v>
      </c>
      <c r="F2274" s="87">
        <v>0.9</v>
      </c>
      <c r="G2274" s="88">
        <f t="shared" si="1"/>
        <v>0.1</v>
      </c>
      <c r="H2274" s="89">
        <f t="shared" si="10"/>
        <v>0.1111111111</v>
      </c>
      <c r="I2274" s="78" t="s">
        <v>2855</v>
      </c>
      <c r="J2274" s="78" t="s">
        <v>69</v>
      </c>
      <c r="K2274" s="58">
        <f t="shared" si="3"/>
        <v>231</v>
      </c>
      <c r="L2274" s="91" t="str">
        <f t="shared" si="8"/>
        <v>Fri</v>
      </c>
      <c r="M2274" s="78" t="str">
        <f>IFERROR(VLOOKUP(A2274, Entries!A:B,2,false),"")</f>
        <v>Eugen Systems</v>
      </c>
      <c r="N2274" s="23" t="str">
        <f>IFERROR(VLOOKUP(A2274, Entries!A:K,11,false),"")</f>
        <v/>
      </c>
      <c r="O2274" s="23" t="b">
        <f>IFERROR(VLOOKUP(A2274, Entries!A:I,8,false),"")</f>
        <v>0</v>
      </c>
    </row>
    <row r="2275">
      <c r="A2275" s="78" t="s">
        <v>572</v>
      </c>
      <c r="B2275" s="78" t="s">
        <v>19</v>
      </c>
      <c r="C2275" s="85">
        <v>44736.0</v>
      </c>
      <c r="D2275" s="85">
        <v>44968.0</v>
      </c>
      <c r="E2275" s="86">
        <v>0.8</v>
      </c>
      <c r="F2275" s="87">
        <v>0.9</v>
      </c>
      <c r="G2275" s="88">
        <f t="shared" si="1"/>
        <v>0.1</v>
      </c>
      <c r="H2275" s="89">
        <f t="shared" si="10"/>
        <v>0.1111111111</v>
      </c>
      <c r="I2275" s="78" t="s">
        <v>2856</v>
      </c>
      <c r="J2275" s="78" t="s">
        <v>69</v>
      </c>
      <c r="K2275" s="58">
        <f t="shared" si="3"/>
        <v>232</v>
      </c>
      <c r="L2275" s="91" t="str">
        <f t="shared" si="8"/>
        <v>Sat</v>
      </c>
      <c r="M2275" s="78" t="str">
        <f>IFERROR(VLOOKUP(A2275, Entries!A:B,2,false),"")</f>
        <v>Eugen Systems</v>
      </c>
      <c r="N2275" s="23" t="str">
        <f>IFERROR(VLOOKUP(A2275, Entries!A:K,11,false),"")</f>
        <v/>
      </c>
      <c r="O2275" s="23" t="b">
        <f>IFERROR(VLOOKUP(A2275, Entries!A:I,8,false),"")</f>
        <v>0</v>
      </c>
    </row>
    <row r="2276">
      <c r="A2276" s="78" t="s">
        <v>572</v>
      </c>
      <c r="B2276" s="78" t="s">
        <v>19</v>
      </c>
      <c r="C2276" s="85">
        <v>44736.0</v>
      </c>
      <c r="D2276" s="85">
        <v>44968.0</v>
      </c>
      <c r="E2276" s="86">
        <v>0.8</v>
      </c>
      <c r="F2276" s="87">
        <v>0.9</v>
      </c>
      <c r="G2276" s="88">
        <f t="shared" si="1"/>
        <v>0.1</v>
      </c>
      <c r="H2276" s="89">
        <f t="shared" si="10"/>
        <v>0.1111111111</v>
      </c>
      <c r="I2276" s="78" t="s">
        <v>2857</v>
      </c>
      <c r="J2276" s="78" t="s">
        <v>69</v>
      </c>
      <c r="K2276" s="58">
        <f t="shared" si="3"/>
        <v>232</v>
      </c>
      <c r="L2276" s="91" t="str">
        <f t="shared" si="8"/>
        <v>Sat</v>
      </c>
      <c r="M2276" s="78" t="str">
        <f>IFERROR(VLOOKUP(A2276, Entries!A:B,2,false),"")</f>
        <v>Eugen Systems</v>
      </c>
      <c r="N2276" s="23" t="str">
        <f>IFERROR(VLOOKUP(A2276, Entries!A:K,11,false),"")</f>
        <v/>
      </c>
      <c r="O2276" s="23" t="b">
        <f>IFERROR(VLOOKUP(A2276, Entries!A:I,8,false),"")</f>
        <v>0</v>
      </c>
    </row>
    <row r="2277">
      <c r="A2277" s="78" t="s">
        <v>1387</v>
      </c>
      <c r="B2277" s="78" t="s">
        <v>19</v>
      </c>
      <c r="C2277" s="85">
        <v>44736.0</v>
      </c>
      <c r="D2277" s="85">
        <v>44745.0</v>
      </c>
      <c r="E2277" s="86">
        <v>2.92</v>
      </c>
      <c r="F2277" s="87">
        <v>3.31</v>
      </c>
      <c r="G2277" s="88">
        <f t="shared" si="1"/>
        <v>0.39</v>
      </c>
      <c r="H2277" s="89">
        <f t="shared" si="10"/>
        <v>0.1178247734</v>
      </c>
      <c r="I2277" s="78" t="s">
        <v>2858</v>
      </c>
      <c r="J2277" s="78" t="s">
        <v>69</v>
      </c>
      <c r="K2277" s="58">
        <f t="shared" si="3"/>
        <v>9</v>
      </c>
      <c r="L2277" s="91" t="str">
        <f t="shared" si="8"/>
        <v>Sun</v>
      </c>
      <c r="M2277" s="78" t="str">
        <f>IFERROR(VLOOKUP(A2277, Entries!A:B,2,false),"")</f>
        <v>Eugen Systems</v>
      </c>
      <c r="N2277" s="23" t="str">
        <f>IFERROR(VLOOKUP(A2277, Entries!A:K,11,false),"")</f>
        <v/>
      </c>
      <c r="O2277" s="23" t="b">
        <f>IFERROR(VLOOKUP(A2277, Entries!A:I,8,false),"")</f>
        <v>0</v>
      </c>
    </row>
    <row r="2278">
      <c r="A2278" s="78" t="s">
        <v>1387</v>
      </c>
      <c r="B2278" s="78" t="s">
        <v>19</v>
      </c>
      <c r="C2278" s="85">
        <v>44736.0</v>
      </c>
      <c r="D2278" s="85">
        <v>44751.0</v>
      </c>
      <c r="E2278" s="86">
        <v>2.92</v>
      </c>
      <c r="F2278" s="87">
        <v>3.38</v>
      </c>
      <c r="G2278" s="88">
        <f t="shared" si="1"/>
        <v>0.46</v>
      </c>
      <c r="H2278" s="89">
        <f t="shared" si="10"/>
        <v>0.1360946746</v>
      </c>
      <c r="I2278" s="78" t="s">
        <v>2859</v>
      </c>
      <c r="J2278" s="78" t="s">
        <v>69</v>
      </c>
      <c r="K2278" s="58">
        <f t="shared" si="3"/>
        <v>15</v>
      </c>
      <c r="L2278" s="91" t="str">
        <f t="shared" si="8"/>
        <v>Sat</v>
      </c>
      <c r="M2278" s="78" t="str">
        <f>IFERROR(VLOOKUP(A2278, Entries!A:B,2,false),"")</f>
        <v>Eugen Systems</v>
      </c>
      <c r="N2278" s="23" t="str">
        <f>IFERROR(VLOOKUP(A2278, Entries!A:K,11,false),"")</f>
        <v/>
      </c>
      <c r="O2278" s="23" t="b">
        <f>IFERROR(VLOOKUP(A2278, Entries!A:I,8,false),"")</f>
        <v>0</v>
      </c>
    </row>
    <row r="2279">
      <c r="A2279" s="78" t="s">
        <v>1387</v>
      </c>
      <c r="B2279" s="78" t="s">
        <v>19</v>
      </c>
      <c r="C2279" s="85">
        <v>44736.0</v>
      </c>
      <c r="D2279" s="85">
        <v>44751.0</v>
      </c>
      <c r="E2279" s="86">
        <v>2.93</v>
      </c>
      <c r="F2279" s="87">
        <v>3.38</v>
      </c>
      <c r="G2279" s="88">
        <f t="shared" si="1"/>
        <v>0.45</v>
      </c>
      <c r="H2279" s="89">
        <f t="shared" si="10"/>
        <v>0.1331360947</v>
      </c>
      <c r="I2279" s="78" t="s">
        <v>2860</v>
      </c>
      <c r="J2279" s="78" t="s">
        <v>69</v>
      </c>
      <c r="K2279" s="58">
        <f t="shared" si="3"/>
        <v>15</v>
      </c>
      <c r="L2279" s="91" t="str">
        <f t="shared" si="8"/>
        <v>Sat</v>
      </c>
      <c r="M2279" s="78" t="str">
        <f>IFERROR(VLOOKUP(A2279, Entries!A:B,2,false),"")</f>
        <v>Eugen Systems</v>
      </c>
      <c r="N2279" s="23" t="str">
        <f>IFERROR(VLOOKUP(A2279, Entries!A:K,11,false),"")</f>
        <v/>
      </c>
      <c r="O2279" s="23" t="b">
        <f>IFERROR(VLOOKUP(A2279, Entries!A:I,8,false),"")</f>
        <v>0</v>
      </c>
    </row>
    <row r="2280">
      <c r="A2280" s="78" t="s">
        <v>2498</v>
      </c>
      <c r="B2280" s="78" t="s">
        <v>19</v>
      </c>
      <c r="C2280" s="85">
        <v>44736.0</v>
      </c>
      <c r="D2280" s="85">
        <v>44771.0</v>
      </c>
      <c r="E2280" s="86">
        <v>0.8</v>
      </c>
      <c r="F2280" s="87">
        <v>1.39</v>
      </c>
      <c r="G2280" s="88">
        <f t="shared" si="1"/>
        <v>0.59</v>
      </c>
      <c r="H2280" s="89">
        <f t="shared" si="10"/>
        <v>0.4244604317</v>
      </c>
      <c r="I2280" s="78" t="s">
        <v>2861</v>
      </c>
      <c r="J2280" s="78" t="s">
        <v>69</v>
      </c>
      <c r="K2280" s="58">
        <f t="shared" si="3"/>
        <v>35</v>
      </c>
      <c r="L2280" s="91" t="str">
        <f t="shared" si="8"/>
        <v>Fri</v>
      </c>
      <c r="M2280" s="78" t="str">
        <f>IFERROR(VLOOKUP(A2280, Entries!A:B,2,false),"")</f>
        <v>Eugen Systems</v>
      </c>
      <c r="N2280" s="23" t="str">
        <f>IFERROR(VLOOKUP(A2280, Entries!A:K,11,false),"")</f>
        <v/>
      </c>
      <c r="O2280" s="23" t="b">
        <f>IFERROR(VLOOKUP(A2280, Entries!A:I,8,false),"")</f>
        <v>0</v>
      </c>
    </row>
    <row r="2281">
      <c r="A2281" s="78" t="s">
        <v>2498</v>
      </c>
      <c r="B2281" s="78" t="s">
        <v>19</v>
      </c>
      <c r="C2281" s="85">
        <v>44736.0</v>
      </c>
      <c r="D2281" s="85">
        <v>44771.0</v>
      </c>
      <c r="E2281" s="86">
        <v>0.8</v>
      </c>
      <c r="F2281" s="87">
        <v>1.39</v>
      </c>
      <c r="G2281" s="88">
        <f t="shared" si="1"/>
        <v>0.59</v>
      </c>
      <c r="H2281" s="89">
        <f t="shared" si="10"/>
        <v>0.4244604317</v>
      </c>
      <c r="I2281" s="78" t="s">
        <v>2862</v>
      </c>
      <c r="J2281" s="78" t="s">
        <v>69</v>
      </c>
      <c r="K2281" s="58">
        <f t="shared" si="3"/>
        <v>35</v>
      </c>
      <c r="L2281" s="91" t="str">
        <f t="shared" si="8"/>
        <v>Fri</v>
      </c>
      <c r="M2281" s="78" t="str">
        <f>IFERROR(VLOOKUP(A2281, Entries!A:B,2,false),"")</f>
        <v>Eugen Systems</v>
      </c>
      <c r="N2281" s="23" t="str">
        <f>IFERROR(VLOOKUP(A2281, Entries!A:K,11,false),"")</f>
        <v/>
      </c>
      <c r="O2281" s="23" t="b">
        <f>IFERROR(VLOOKUP(A2281, Entries!A:I,8,false),"")</f>
        <v>0</v>
      </c>
    </row>
    <row r="2282">
      <c r="A2282" s="78" t="s">
        <v>2498</v>
      </c>
      <c r="B2282" s="78" t="s">
        <v>19</v>
      </c>
      <c r="C2282" s="85">
        <v>44736.0</v>
      </c>
      <c r="D2282" s="85">
        <v>44773.0</v>
      </c>
      <c r="E2282" s="86">
        <v>0.8</v>
      </c>
      <c r="F2282" s="87">
        <v>1.46</v>
      </c>
      <c r="G2282" s="88">
        <f t="shared" si="1"/>
        <v>0.66</v>
      </c>
      <c r="H2282" s="89">
        <f t="shared" si="10"/>
        <v>0.4520547945</v>
      </c>
      <c r="I2282" s="78" t="s">
        <v>2863</v>
      </c>
      <c r="J2282" s="78" t="s">
        <v>69</v>
      </c>
      <c r="K2282" s="58">
        <f t="shared" si="3"/>
        <v>37</v>
      </c>
      <c r="L2282" s="91" t="str">
        <f t="shared" si="8"/>
        <v>Sun</v>
      </c>
      <c r="M2282" s="78" t="str">
        <f>IFERROR(VLOOKUP(A2282, Entries!A:B,2,false),"")</f>
        <v>Eugen Systems</v>
      </c>
      <c r="N2282" s="23" t="str">
        <f>IFERROR(VLOOKUP(A2282, Entries!A:K,11,false),"")</f>
        <v/>
      </c>
      <c r="O2282" s="23" t="b">
        <f>IFERROR(VLOOKUP(A2282, Entries!A:I,8,false),"")</f>
        <v>0</v>
      </c>
    </row>
    <row r="2283">
      <c r="A2283" s="78" t="s">
        <v>2472</v>
      </c>
      <c r="B2283" s="78" t="s">
        <v>25</v>
      </c>
      <c r="C2283" s="85">
        <v>44738.0</v>
      </c>
      <c r="D2283" s="85">
        <v>45831.0</v>
      </c>
      <c r="E2283" s="86">
        <v>8.69</v>
      </c>
      <c r="F2283" s="87">
        <v>1.84</v>
      </c>
      <c r="G2283" s="88">
        <f t="shared" si="1"/>
        <v>-6.85</v>
      </c>
      <c r="H2283" s="89">
        <f t="shared" si="10"/>
        <v>-3.722826087</v>
      </c>
      <c r="I2283" s="103" t="s">
        <v>2864</v>
      </c>
      <c r="J2283" s="78" t="s">
        <v>69</v>
      </c>
      <c r="K2283" s="58">
        <f t="shared" si="3"/>
        <v>1093</v>
      </c>
      <c r="L2283" s="91" t="str">
        <f t="shared" si="8"/>
        <v>Mon</v>
      </c>
      <c r="M2283" s="78" t="str">
        <f>IFERROR(VLOOKUP(A2283, Entries!A:B,2,false),"")</f>
        <v>Merge Games</v>
      </c>
      <c r="N2283" s="23" t="str">
        <f>IFERROR(VLOOKUP(A2283, Entries!A:K,11,false),"")</f>
        <v/>
      </c>
      <c r="O2283" s="23" t="b">
        <f>IFERROR(VLOOKUP(A2283, Entries!A:I,8,false),"")</f>
        <v>1</v>
      </c>
      <c r="S2283" s="23" t="str">
        <f>IF(AND(TODAY()-ROW(A1459)+1 &lt;= 30, J1459="Closed"), TEXT(TODAY()-ROW(A1459)+1, "dd-mm-yyyy"), "")
</f>
        <v/>
      </c>
    </row>
    <row r="2284">
      <c r="A2284" s="78" t="s">
        <v>1010</v>
      </c>
      <c r="B2284" s="78" t="s">
        <v>25</v>
      </c>
      <c r="C2284" s="85">
        <v>44738.0</v>
      </c>
      <c r="D2284" s="85">
        <v>44738.0</v>
      </c>
      <c r="E2284" s="86">
        <v>11.84</v>
      </c>
      <c r="F2284" s="87">
        <v>34.3</v>
      </c>
      <c r="G2284" s="88">
        <f t="shared" si="1"/>
        <v>22.46</v>
      </c>
      <c r="H2284" s="89">
        <f t="shared" si="10"/>
        <v>0.6548104956</v>
      </c>
      <c r="I2284" s="78" t="s">
        <v>2865</v>
      </c>
      <c r="J2284" s="78" t="s">
        <v>69</v>
      </c>
      <c r="K2284" s="58">
        <f t="shared" si="3"/>
        <v>0</v>
      </c>
      <c r="L2284" s="91" t="str">
        <f t="shared" si="8"/>
        <v>Sun</v>
      </c>
      <c r="M2284" s="78" t="str">
        <f>IFERROR(VLOOKUP(A2284, Entries!A:B,2,false),"")</f>
        <v>Konami</v>
      </c>
      <c r="N2284" s="23" t="str">
        <f>IFERROR(VLOOKUP(A2284, Entries!A:K,11,false),"")</f>
        <v/>
      </c>
      <c r="O2284" s="23" t="b">
        <f>IFERROR(VLOOKUP(A2284, Entries!A:I,8,false),"")</f>
        <v>1</v>
      </c>
    </row>
    <row r="2285">
      <c r="A2285" s="78" t="s">
        <v>1010</v>
      </c>
      <c r="B2285" s="78" t="s">
        <v>25</v>
      </c>
      <c r="C2285" s="85">
        <v>44738.0</v>
      </c>
      <c r="D2285" s="85">
        <v>44738.0</v>
      </c>
      <c r="E2285" s="86">
        <v>11.84</v>
      </c>
      <c r="F2285" s="87">
        <v>34.3</v>
      </c>
      <c r="G2285" s="88">
        <f t="shared" si="1"/>
        <v>22.46</v>
      </c>
      <c r="H2285" s="89">
        <f t="shared" si="10"/>
        <v>0.6548104956</v>
      </c>
      <c r="I2285" s="78" t="s">
        <v>2866</v>
      </c>
      <c r="J2285" s="78" t="s">
        <v>69</v>
      </c>
      <c r="K2285" s="58">
        <f t="shared" si="3"/>
        <v>0</v>
      </c>
      <c r="L2285" s="91" t="str">
        <f t="shared" si="8"/>
        <v>Sun</v>
      </c>
      <c r="M2285" s="78" t="str">
        <f>IFERROR(VLOOKUP(A2285, Entries!A:B,2,false),"")</f>
        <v>Konami</v>
      </c>
      <c r="N2285" s="23" t="str">
        <f>IFERROR(VLOOKUP(A2285, Entries!A:K,11,false),"")</f>
        <v/>
      </c>
      <c r="O2285" s="23" t="b">
        <f>IFERROR(VLOOKUP(A2285, Entries!A:I,8,false),"")</f>
        <v>1</v>
      </c>
    </row>
    <row r="2286">
      <c r="A2286" s="78" t="s">
        <v>1010</v>
      </c>
      <c r="B2286" s="78" t="s">
        <v>25</v>
      </c>
      <c r="C2286" s="85">
        <v>44739.0</v>
      </c>
      <c r="D2286" s="85">
        <v>44739.0</v>
      </c>
      <c r="E2286" s="86">
        <v>11.84</v>
      </c>
      <c r="F2286" s="87">
        <v>34.45</v>
      </c>
      <c r="G2286" s="88">
        <f t="shared" si="1"/>
        <v>22.61</v>
      </c>
      <c r="H2286" s="89">
        <f t="shared" si="10"/>
        <v>0.6563134978</v>
      </c>
      <c r="I2286" s="78" t="s">
        <v>2867</v>
      </c>
      <c r="J2286" s="78" t="s">
        <v>69</v>
      </c>
      <c r="K2286" s="58">
        <f t="shared" si="3"/>
        <v>0</v>
      </c>
      <c r="L2286" s="91" t="str">
        <f t="shared" si="8"/>
        <v>Mon</v>
      </c>
      <c r="M2286" s="78" t="str">
        <f>IFERROR(VLOOKUP(A2286, Entries!A:B,2,false),"")</f>
        <v>Konami</v>
      </c>
      <c r="N2286" s="23" t="str">
        <f>IFERROR(VLOOKUP(A2286, Entries!A:K,11,false),"")</f>
        <v/>
      </c>
      <c r="O2286" s="23" t="b">
        <f>IFERROR(VLOOKUP(A2286, Entries!A:I,8,false),"")</f>
        <v>1</v>
      </c>
    </row>
    <row r="2287">
      <c r="A2287" s="78" t="s">
        <v>1307</v>
      </c>
      <c r="B2287" s="78" t="s">
        <v>23</v>
      </c>
      <c r="C2287" s="85">
        <v>44739.0</v>
      </c>
      <c r="D2287" s="85">
        <v>44747.0</v>
      </c>
      <c r="E2287" s="86">
        <v>7.43</v>
      </c>
      <c r="F2287" s="87">
        <v>7.56</v>
      </c>
      <c r="G2287" s="88">
        <f t="shared" si="1"/>
        <v>0.13</v>
      </c>
      <c r="H2287" s="89">
        <f t="shared" si="10"/>
        <v>0.0171957672</v>
      </c>
      <c r="I2287" s="78" t="s">
        <v>2868</v>
      </c>
      <c r="J2287" s="78" t="s">
        <v>69</v>
      </c>
      <c r="K2287" s="58">
        <f t="shared" si="3"/>
        <v>8</v>
      </c>
      <c r="L2287" s="91" t="str">
        <f t="shared" si="8"/>
        <v>Tue</v>
      </c>
      <c r="M2287" s="78" t="str">
        <f>IFERROR(VLOOKUP(A2287, Entries!A:B,2,false),"")</f>
        <v>SEGA</v>
      </c>
      <c r="N2287" s="23" t="str">
        <f>IFERROR(VLOOKUP(A2287, Entries!A:K,11,false),"")</f>
        <v/>
      </c>
      <c r="O2287" s="23" t="b">
        <f>IFERROR(VLOOKUP(A2287, Entries!A:I,8,false),"")</f>
        <v>0</v>
      </c>
    </row>
    <row r="2288">
      <c r="A2288" s="78" t="s">
        <v>221</v>
      </c>
      <c r="B2288" s="78" t="s">
        <v>25</v>
      </c>
      <c r="C2288" s="85">
        <v>44739.0</v>
      </c>
      <c r="D2288" s="85">
        <v>44743.0</v>
      </c>
      <c r="E2288" s="86">
        <v>6.49</v>
      </c>
      <c r="F2288" s="87">
        <v>8.99</v>
      </c>
      <c r="G2288" s="88">
        <f t="shared" si="1"/>
        <v>2.5</v>
      </c>
      <c r="H2288" s="89">
        <f t="shared" si="10"/>
        <v>0.2780867631</v>
      </c>
      <c r="I2288" s="78" t="s">
        <v>2869</v>
      </c>
      <c r="J2288" s="78" t="s">
        <v>69</v>
      </c>
      <c r="K2288" s="58">
        <f t="shared" si="3"/>
        <v>4</v>
      </c>
      <c r="L2288" s="91" t="str">
        <f t="shared" si="8"/>
        <v>Fri</v>
      </c>
      <c r="M2288" s="78" t="str">
        <f>IFERROR(VLOOKUP(A2288, Entries!A:B,2,false),"")</f>
        <v>Wired Productions</v>
      </c>
      <c r="N2288" s="23" t="str">
        <f>IFERROR(VLOOKUP(A2288, Entries!A:K,11,false),"")</f>
        <v/>
      </c>
      <c r="O2288" s="23" t="b">
        <f>IFERROR(VLOOKUP(A2288, Entries!A:I,8,false),"")</f>
        <v>0</v>
      </c>
    </row>
    <row r="2289">
      <c r="A2289" s="78" t="s">
        <v>1420</v>
      </c>
      <c r="B2289" s="78" t="s">
        <v>23</v>
      </c>
      <c r="C2289" s="85">
        <v>44740.0</v>
      </c>
      <c r="D2289" s="85">
        <v>44741.0</v>
      </c>
      <c r="E2289" s="86">
        <v>8.39</v>
      </c>
      <c r="F2289" s="87">
        <v>10.1</v>
      </c>
      <c r="G2289" s="88">
        <f t="shared" si="1"/>
        <v>1.71</v>
      </c>
      <c r="H2289" s="89">
        <f t="shared" si="10"/>
        <v>0.1693069307</v>
      </c>
      <c r="I2289" s="78" t="s">
        <v>2870</v>
      </c>
      <c r="J2289" s="78" t="s">
        <v>69</v>
      </c>
      <c r="K2289" s="58">
        <f t="shared" si="3"/>
        <v>1</v>
      </c>
      <c r="L2289" s="91" t="str">
        <f t="shared" si="8"/>
        <v>Wed</v>
      </c>
      <c r="M2289" s="78" t="str">
        <f>IFERROR(VLOOKUP(A2289, Entries!A:B,2,false),"")</f>
        <v>SEGA</v>
      </c>
      <c r="N2289" s="23" t="str">
        <f>IFERROR(VLOOKUP(A2289, Entries!A:K,11,false),"")</f>
        <v/>
      </c>
      <c r="O2289" s="23" t="b">
        <f>IFERROR(VLOOKUP(A2289, Entries!A:I,8,false),"")</f>
        <v>0</v>
      </c>
    </row>
    <row r="2290">
      <c r="A2290" s="94" t="s">
        <v>1723</v>
      </c>
      <c r="B2290" s="78" t="s">
        <v>19</v>
      </c>
      <c r="C2290" s="85">
        <v>44740.0</v>
      </c>
      <c r="D2290" s="85">
        <v>45640.0</v>
      </c>
      <c r="E2290" s="86">
        <v>4.68</v>
      </c>
      <c r="F2290" s="87">
        <v>1.32</v>
      </c>
      <c r="G2290" s="88">
        <f t="shared" si="1"/>
        <v>-3.36</v>
      </c>
      <c r="H2290" s="89">
        <f t="shared" si="10"/>
        <v>-2.545454545</v>
      </c>
      <c r="I2290" s="78" t="s">
        <v>2871</v>
      </c>
      <c r="J2290" s="78" t="s">
        <v>69</v>
      </c>
      <c r="K2290" s="58">
        <f t="shared" si="3"/>
        <v>900</v>
      </c>
      <c r="L2290" s="91" t="str">
        <f t="shared" si="8"/>
        <v>Sat</v>
      </c>
      <c r="M2290" s="78" t="str">
        <f>IFERROR(VLOOKUP(A2290, Entries!A:B,2,false),"")</f>
        <v>Daedalic Entertainment</v>
      </c>
      <c r="N2290" s="23" t="str">
        <f>IFERROR(VLOOKUP(A2290, Entries!A:K,11,false),"")</f>
        <v/>
      </c>
      <c r="O2290" s="23" t="b">
        <f>IFERROR(VLOOKUP(A2290, Entries!A:I,8,false),"")</f>
        <v>0</v>
      </c>
    </row>
    <row r="2291">
      <c r="A2291" s="78" t="s">
        <v>2412</v>
      </c>
      <c r="B2291" s="78" t="s">
        <v>32</v>
      </c>
      <c r="C2291" s="85">
        <v>44741.0</v>
      </c>
      <c r="D2291" s="85">
        <v>44753.0</v>
      </c>
      <c r="E2291" s="86">
        <v>16.29</v>
      </c>
      <c r="F2291" s="87">
        <v>23.1</v>
      </c>
      <c r="G2291" s="88">
        <f t="shared" si="1"/>
        <v>6.81</v>
      </c>
      <c r="H2291" s="89">
        <f t="shared" si="10"/>
        <v>0.2948051948</v>
      </c>
      <c r="I2291" s="78" t="s">
        <v>2872</v>
      </c>
      <c r="J2291" s="78" t="s">
        <v>69</v>
      </c>
      <c r="K2291" s="58">
        <f t="shared" si="3"/>
        <v>12</v>
      </c>
      <c r="L2291" s="91" t="str">
        <f t="shared" si="8"/>
        <v>Mon</v>
      </c>
      <c r="M2291" s="78" t="str">
        <f>IFERROR(VLOOKUP(A2291, Entries!A:B,2,false),"")</f>
        <v>BANDAI NAMCO</v>
      </c>
      <c r="N2291" s="23" t="str">
        <f>IFERROR(VLOOKUP(A2291, Entries!A:K,11,false),"")</f>
        <v/>
      </c>
      <c r="O2291" s="23" t="b">
        <f>IFERROR(VLOOKUP(A2291, Entries!A:I,8,false),"")</f>
        <v>0</v>
      </c>
    </row>
    <row r="2292">
      <c r="A2292" s="78" t="s">
        <v>2412</v>
      </c>
      <c r="B2292" s="78" t="s">
        <v>32</v>
      </c>
      <c r="C2292" s="85">
        <v>44741.0</v>
      </c>
      <c r="D2292" s="85">
        <v>44754.0</v>
      </c>
      <c r="E2292" s="86">
        <v>16.3</v>
      </c>
      <c r="F2292" s="87">
        <v>23.12</v>
      </c>
      <c r="G2292" s="88">
        <f t="shared" si="1"/>
        <v>6.82</v>
      </c>
      <c r="H2292" s="89">
        <f t="shared" si="10"/>
        <v>0.294982699</v>
      </c>
      <c r="I2292" s="78" t="s">
        <v>2873</v>
      </c>
      <c r="J2292" s="78" t="s">
        <v>69</v>
      </c>
      <c r="K2292" s="58">
        <f t="shared" si="3"/>
        <v>13</v>
      </c>
      <c r="L2292" s="91" t="str">
        <f t="shared" si="8"/>
        <v>Tue</v>
      </c>
      <c r="M2292" s="78" t="str">
        <f>IFERROR(VLOOKUP(A2292, Entries!A:B,2,false),"")</f>
        <v>BANDAI NAMCO</v>
      </c>
      <c r="N2292" s="23" t="str">
        <f>IFERROR(VLOOKUP(A2292, Entries!A:K,11,false),"")</f>
        <v/>
      </c>
      <c r="O2292" s="23" t="b">
        <f>IFERROR(VLOOKUP(A2292, Entries!A:I,8,false),"")</f>
        <v>0</v>
      </c>
    </row>
    <row r="2293">
      <c r="A2293" s="78" t="s">
        <v>2242</v>
      </c>
      <c r="B2293" s="78" t="s">
        <v>19</v>
      </c>
      <c r="C2293" s="85">
        <v>44741.0</v>
      </c>
      <c r="D2293" s="85">
        <v>44842.0</v>
      </c>
      <c r="E2293" s="86">
        <v>12.99</v>
      </c>
      <c r="F2293" s="87">
        <v>20.67</v>
      </c>
      <c r="G2293" s="88">
        <f t="shared" si="1"/>
        <v>7.68</v>
      </c>
      <c r="H2293" s="89">
        <f t="shared" si="10"/>
        <v>0.3715529753</v>
      </c>
      <c r="I2293" s="78" t="s">
        <v>2874</v>
      </c>
      <c r="J2293" s="78" t="s">
        <v>69</v>
      </c>
      <c r="K2293" s="58">
        <f t="shared" si="3"/>
        <v>101</v>
      </c>
      <c r="L2293" s="91" t="str">
        <f t="shared" si="8"/>
        <v>Sat</v>
      </c>
      <c r="M2293" s="78" t="str">
        <f>IFERROR(VLOOKUP(A2293, Entries!A:B,2,false),"")</f>
        <v>Paradox Interactive</v>
      </c>
      <c r="N2293" s="23" t="str">
        <f>IFERROR(VLOOKUP(A2293, Entries!A:K,11,false),"")</f>
        <v/>
      </c>
      <c r="O2293" s="23" t="b">
        <f>IFERROR(VLOOKUP(A2293, Entries!A:I,8,false),"")</f>
        <v>0</v>
      </c>
    </row>
    <row r="2294">
      <c r="A2294" s="78" t="s">
        <v>1420</v>
      </c>
      <c r="B2294" s="78" t="s">
        <v>23</v>
      </c>
      <c r="C2294" s="85">
        <v>44741.0</v>
      </c>
      <c r="D2294" s="85">
        <v>44744.0</v>
      </c>
      <c r="E2294" s="86">
        <v>8.43</v>
      </c>
      <c r="F2294" s="87">
        <v>10.09</v>
      </c>
      <c r="G2294" s="88">
        <f t="shared" si="1"/>
        <v>1.66</v>
      </c>
      <c r="H2294" s="89">
        <f t="shared" si="10"/>
        <v>0.1645193261</v>
      </c>
      <c r="I2294" s="78" t="s">
        <v>2875</v>
      </c>
      <c r="J2294" s="78" t="s">
        <v>69</v>
      </c>
      <c r="K2294" s="58">
        <f t="shared" si="3"/>
        <v>3</v>
      </c>
      <c r="L2294" s="91" t="str">
        <f t="shared" si="8"/>
        <v>Sat</v>
      </c>
      <c r="M2294" s="78" t="str">
        <f>IFERROR(VLOOKUP(A2294, Entries!A:B,2,false),"")</f>
        <v>SEGA</v>
      </c>
      <c r="N2294" s="23" t="str">
        <f>IFERROR(VLOOKUP(A2294, Entries!A:K,11,false),"")</f>
        <v/>
      </c>
      <c r="O2294" s="23" t="b">
        <f>IFERROR(VLOOKUP(A2294, Entries!A:I,8,false),"")</f>
        <v>0</v>
      </c>
    </row>
    <row r="2295">
      <c r="A2295" s="78" t="s">
        <v>1389</v>
      </c>
      <c r="B2295" s="78" t="s">
        <v>23</v>
      </c>
      <c r="C2295" s="85">
        <v>44743.0</v>
      </c>
      <c r="D2295" s="85">
        <v>44750.0</v>
      </c>
      <c r="E2295" s="86">
        <v>15.97</v>
      </c>
      <c r="F2295" s="87">
        <v>20.83</v>
      </c>
      <c r="G2295" s="88">
        <f t="shared" si="1"/>
        <v>4.86</v>
      </c>
      <c r="H2295" s="89">
        <f t="shared" si="10"/>
        <v>0.2333173308</v>
      </c>
      <c r="I2295" s="78" t="s">
        <v>2876</v>
      </c>
      <c r="J2295" s="78" t="s">
        <v>69</v>
      </c>
      <c r="K2295" s="58">
        <f t="shared" si="3"/>
        <v>7</v>
      </c>
      <c r="L2295" s="91" t="str">
        <f t="shared" si="8"/>
        <v>Fri</v>
      </c>
      <c r="M2295" s="78" t="str">
        <f>IFERROR(VLOOKUP(A2295, Entries!A:B,2,false),"")</f>
        <v>Eugen Systems</v>
      </c>
      <c r="N2295" s="23" t="str">
        <f>IFERROR(VLOOKUP(A2295, Entries!A:K,11,false),"")</f>
        <v/>
      </c>
      <c r="O2295" s="23" t="b">
        <f>IFERROR(VLOOKUP(A2295, Entries!A:I,8,false),"")</f>
        <v>1</v>
      </c>
    </row>
    <row r="2296">
      <c r="A2296" s="78" t="s">
        <v>1034</v>
      </c>
      <c r="B2296" s="78" t="s">
        <v>23</v>
      </c>
      <c r="C2296" s="85">
        <v>44743.0</v>
      </c>
      <c r="D2296" s="85">
        <v>44751.0</v>
      </c>
      <c r="E2296" s="86">
        <v>11.97</v>
      </c>
      <c r="F2296" s="87">
        <v>13.52</v>
      </c>
      <c r="G2296" s="88">
        <f t="shared" si="1"/>
        <v>1.55</v>
      </c>
      <c r="H2296" s="89">
        <f t="shared" si="10"/>
        <v>0.1146449704</v>
      </c>
      <c r="I2296" s="78" t="s">
        <v>2877</v>
      </c>
      <c r="J2296" s="78" t="s">
        <v>69</v>
      </c>
      <c r="K2296" s="58">
        <f t="shared" si="3"/>
        <v>8</v>
      </c>
      <c r="L2296" s="91" t="str">
        <f t="shared" si="8"/>
        <v>Sat</v>
      </c>
      <c r="M2296" s="78" t="str">
        <f>IFERROR(VLOOKUP(A2296, Entries!A:B,2,false),"")</f>
        <v>Eugen Systems</v>
      </c>
      <c r="N2296" s="23" t="str">
        <f>IFERROR(VLOOKUP(A2296, Entries!A:K,11,false),"")</f>
        <v/>
      </c>
      <c r="O2296" s="23" t="b">
        <f>IFERROR(VLOOKUP(A2296, Entries!A:I,8,false),"")</f>
        <v>1</v>
      </c>
    </row>
    <row r="2297">
      <c r="A2297" s="78" t="s">
        <v>2878</v>
      </c>
      <c r="B2297" s="78" t="s">
        <v>34</v>
      </c>
      <c r="C2297" s="85">
        <v>44744.0</v>
      </c>
      <c r="D2297" s="25"/>
      <c r="E2297" s="86">
        <v>24.82</v>
      </c>
      <c r="F2297" s="88"/>
      <c r="G2297" s="88">
        <f t="shared" si="1"/>
        <v>-24.82</v>
      </c>
      <c r="H2297" s="89" t="str">
        <f t="shared" si="10"/>
        <v/>
      </c>
      <c r="I2297" s="103" t="s">
        <v>2879</v>
      </c>
      <c r="J2297" s="78" t="s">
        <v>1129</v>
      </c>
      <c r="K2297" s="58" t="str">
        <f t="shared" si="3"/>
        <v/>
      </c>
      <c r="L2297" s="91" t="str">
        <f t="shared" si="8"/>
        <v/>
      </c>
      <c r="M2297" s="78" t="str">
        <f>IFERROR(VLOOKUP(A2297, Entries!A:B,2,false),"")</f>
        <v>Devolver Digital</v>
      </c>
      <c r="N2297" s="23" t="str">
        <f>IFERROR(VLOOKUP(A2297, Entries!A:K,11,false),"")</f>
        <v/>
      </c>
      <c r="O2297" s="23" t="b">
        <f>IFERROR(VLOOKUP(A2297, Entries!A:I,8,false),"")</f>
        <v>0</v>
      </c>
      <c r="S2297" s="23" t="str">
        <f>IF(AND(TODAY()-ROW(A1473)+1 &lt;= 30, J1473="Closed"), TEXT(TODAY()-ROW(A1473)+1, "dd-mm-yyyy"), "")
</f>
        <v/>
      </c>
    </row>
    <row r="2298">
      <c r="A2298" s="78" t="s">
        <v>1420</v>
      </c>
      <c r="B2298" s="78" t="s">
        <v>23</v>
      </c>
      <c r="C2298" s="85">
        <v>44744.0</v>
      </c>
      <c r="D2298" s="85">
        <v>44746.0</v>
      </c>
      <c r="E2298" s="86">
        <v>8.54</v>
      </c>
      <c r="F2298" s="87">
        <v>10.06</v>
      </c>
      <c r="G2298" s="88">
        <f t="shared" si="1"/>
        <v>1.52</v>
      </c>
      <c r="H2298" s="89">
        <f t="shared" si="10"/>
        <v>0.1510934394</v>
      </c>
      <c r="I2298" s="78" t="s">
        <v>2880</v>
      </c>
      <c r="J2298" s="78" t="s">
        <v>69</v>
      </c>
      <c r="K2298" s="58">
        <f t="shared" si="3"/>
        <v>2</v>
      </c>
      <c r="L2298" s="91" t="str">
        <f t="shared" si="8"/>
        <v>Mon</v>
      </c>
      <c r="M2298" s="78" t="str">
        <f>IFERROR(VLOOKUP(A2298, Entries!A:B,2,false),"")</f>
        <v>SEGA</v>
      </c>
      <c r="N2298" s="23" t="str">
        <f>IFERROR(VLOOKUP(A2298, Entries!A:K,11,false),"")</f>
        <v/>
      </c>
      <c r="O2298" s="23" t="b">
        <f>IFERROR(VLOOKUP(A2298, Entries!A:I,8,false),"")</f>
        <v>0</v>
      </c>
    </row>
    <row r="2299">
      <c r="A2299" s="78" t="s">
        <v>2199</v>
      </c>
      <c r="B2299" s="78" t="s">
        <v>30</v>
      </c>
      <c r="C2299" s="85">
        <v>44745.0</v>
      </c>
      <c r="D2299" s="85">
        <v>44809.0</v>
      </c>
      <c r="E2299" s="86">
        <v>3.81</v>
      </c>
      <c r="F2299" s="87">
        <v>4.03</v>
      </c>
      <c r="G2299" s="88">
        <f t="shared" si="1"/>
        <v>0.22</v>
      </c>
      <c r="H2299" s="89">
        <f t="shared" si="10"/>
        <v>0.05459057072</v>
      </c>
      <c r="I2299" s="78" t="s">
        <v>2881</v>
      </c>
      <c r="J2299" s="78" t="s">
        <v>69</v>
      </c>
      <c r="K2299" s="58">
        <f t="shared" si="3"/>
        <v>64</v>
      </c>
      <c r="L2299" s="91" t="str">
        <f t="shared" si="8"/>
        <v>Mon</v>
      </c>
      <c r="M2299" s="78" t="str">
        <f>IFERROR(VLOOKUP(A2299, Entries!A:B,2,false),"")</f>
        <v>Paradox Interactive</v>
      </c>
      <c r="N2299" s="23" t="str">
        <f>IFERROR(VLOOKUP(A2299, Entries!A:K,11,false),"")</f>
        <v/>
      </c>
      <c r="O2299" s="23" t="b">
        <f>IFERROR(VLOOKUP(A2299, Entries!A:I,8,false),"")</f>
        <v>0</v>
      </c>
    </row>
    <row r="2300">
      <c r="A2300" s="78" t="s">
        <v>375</v>
      </c>
      <c r="B2300" s="78" t="s">
        <v>32</v>
      </c>
      <c r="C2300" s="85">
        <v>44746.0</v>
      </c>
      <c r="D2300" s="85">
        <v>44759.0</v>
      </c>
      <c r="E2300" s="86">
        <v>7.05</v>
      </c>
      <c r="F2300" s="87">
        <v>8.6</v>
      </c>
      <c r="G2300" s="88">
        <f t="shared" si="1"/>
        <v>1.55</v>
      </c>
      <c r="H2300" s="89">
        <f t="shared" si="10"/>
        <v>0.1802325581</v>
      </c>
      <c r="I2300" s="78" t="s">
        <v>2882</v>
      </c>
      <c r="J2300" s="78" t="s">
        <v>69</v>
      </c>
      <c r="K2300" s="58">
        <f t="shared" si="3"/>
        <v>13</v>
      </c>
      <c r="L2300" s="91" t="str">
        <f t="shared" si="8"/>
        <v>Sun</v>
      </c>
      <c r="M2300" s="78" t="str">
        <f>IFERROR(VLOOKUP(A2300, Entries!A:B,2,false),"")</f>
        <v>Survios</v>
      </c>
      <c r="N2300" s="23" t="str">
        <f>IFERROR(VLOOKUP(A2300, Entries!A:K,11,false),"")</f>
        <v/>
      </c>
      <c r="O2300" s="23" t="b">
        <f>IFERROR(VLOOKUP(A2300, Entries!A:I,8,false),"")</f>
        <v>1</v>
      </c>
    </row>
    <row r="2301">
      <c r="A2301" s="78" t="s">
        <v>375</v>
      </c>
      <c r="B2301" s="78" t="s">
        <v>32</v>
      </c>
      <c r="C2301" s="85">
        <v>44746.0</v>
      </c>
      <c r="D2301" s="85">
        <v>44759.0</v>
      </c>
      <c r="E2301" s="86">
        <v>7.06</v>
      </c>
      <c r="F2301" s="87">
        <v>8.6</v>
      </c>
      <c r="G2301" s="88">
        <f t="shared" si="1"/>
        <v>1.54</v>
      </c>
      <c r="H2301" s="89">
        <f t="shared" si="10"/>
        <v>0.1790697674</v>
      </c>
      <c r="I2301" s="78" t="s">
        <v>2883</v>
      </c>
      <c r="J2301" s="78" t="s">
        <v>69</v>
      </c>
      <c r="K2301" s="58">
        <f t="shared" si="3"/>
        <v>13</v>
      </c>
      <c r="L2301" s="91" t="str">
        <f t="shared" si="8"/>
        <v>Sun</v>
      </c>
      <c r="M2301" s="78" t="str">
        <f>IFERROR(VLOOKUP(A2301, Entries!A:B,2,false),"")</f>
        <v>Survios</v>
      </c>
      <c r="N2301" s="23" t="str">
        <f>IFERROR(VLOOKUP(A2301, Entries!A:K,11,false),"")</f>
        <v/>
      </c>
      <c r="O2301" s="23" t="b">
        <f>IFERROR(VLOOKUP(A2301, Entries!A:I,8,false),"")</f>
        <v>1</v>
      </c>
    </row>
    <row r="2302">
      <c r="A2302" s="78" t="s">
        <v>1420</v>
      </c>
      <c r="B2302" s="78" t="s">
        <v>23</v>
      </c>
      <c r="C2302" s="85">
        <v>44746.0</v>
      </c>
      <c r="D2302" s="85">
        <v>44794.0</v>
      </c>
      <c r="E2302" s="86">
        <v>8.54</v>
      </c>
      <c r="F2302" s="87">
        <v>13.45</v>
      </c>
      <c r="G2302" s="88">
        <f t="shared" si="1"/>
        <v>4.91</v>
      </c>
      <c r="H2302" s="89">
        <f t="shared" si="10"/>
        <v>0.3650557621</v>
      </c>
      <c r="I2302" s="78" t="s">
        <v>2884</v>
      </c>
      <c r="J2302" s="78" t="s">
        <v>69</v>
      </c>
      <c r="K2302" s="58">
        <f t="shared" si="3"/>
        <v>48</v>
      </c>
      <c r="L2302" s="91" t="str">
        <f t="shared" si="8"/>
        <v>Sun</v>
      </c>
      <c r="M2302" s="78" t="str">
        <f>IFERROR(VLOOKUP(A2302, Entries!A:B,2,false),"")</f>
        <v>SEGA</v>
      </c>
      <c r="N2302" s="23" t="str">
        <f>IFERROR(VLOOKUP(A2302, Entries!A:K,11,false),"")</f>
        <v/>
      </c>
      <c r="O2302" s="23" t="b">
        <f>IFERROR(VLOOKUP(A2302, Entries!A:I,8,false),"")</f>
        <v>0</v>
      </c>
    </row>
    <row r="2303">
      <c r="A2303" s="78" t="s">
        <v>1338</v>
      </c>
      <c r="B2303" s="78" t="s">
        <v>25</v>
      </c>
      <c r="C2303" s="85">
        <v>44746.0</v>
      </c>
      <c r="D2303" s="85">
        <v>44761.0</v>
      </c>
      <c r="E2303" s="86">
        <v>3.34</v>
      </c>
      <c r="F2303" s="87">
        <v>4.9</v>
      </c>
      <c r="G2303" s="88">
        <f t="shared" si="1"/>
        <v>1.56</v>
      </c>
      <c r="H2303" s="89">
        <f t="shared" si="10"/>
        <v>0.3183673469</v>
      </c>
      <c r="I2303" s="78" t="s">
        <v>2885</v>
      </c>
      <c r="J2303" s="78" t="s">
        <v>69</v>
      </c>
      <c r="K2303" s="58">
        <f t="shared" si="3"/>
        <v>15</v>
      </c>
      <c r="L2303" s="91" t="str">
        <f t="shared" si="8"/>
        <v>Tue</v>
      </c>
      <c r="M2303" s="78" t="str">
        <f>IFERROR(VLOOKUP(A2303, Entries!A:B,2,false),"")</f>
        <v>SEGA</v>
      </c>
      <c r="N2303" s="23" t="str">
        <f>IFERROR(VLOOKUP(A2303, Entries!A:K,11,false),"")</f>
        <v/>
      </c>
      <c r="O2303" s="23" t="b">
        <f>IFERROR(VLOOKUP(A2303, Entries!A:I,8,false),"")</f>
        <v>0</v>
      </c>
    </row>
    <row r="2304">
      <c r="A2304" s="78" t="s">
        <v>2886</v>
      </c>
      <c r="B2304" s="78" t="s">
        <v>30</v>
      </c>
      <c r="C2304" s="85">
        <v>44746.0</v>
      </c>
      <c r="D2304" s="85">
        <v>44764.0</v>
      </c>
      <c r="E2304" s="86">
        <v>25.89</v>
      </c>
      <c r="F2304" s="87">
        <v>28.96</v>
      </c>
      <c r="G2304" s="88">
        <f t="shared" si="1"/>
        <v>3.07</v>
      </c>
      <c r="H2304" s="89">
        <f t="shared" si="10"/>
        <v>0.1060082873</v>
      </c>
      <c r="I2304" s="78" t="s">
        <v>2887</v>
      </c>
      <c r="J2304" s="78" t="s">
        <v>69</v>
      </c>
      <c r="K2304" s="58">
        <f t="shared" si="3"/>
        <v>18</v>
      </c>
      <c r="L2304" s="91" t="str">
        <f t="shared" si="8"/>
        <v>Fri</v>
      </c>
      <c r="M2304" s="78" t="str">
        <f>IFERROR(VLOOKUP(A2304, Entries!A:B,2,false),"")</f>
        <v>SEGA</v>
      </c>
      <c r="N2304" s="23" t="str">
        <f>IFERROR(VLOOKUP(A2304, Entries!A:K,11,false),"")</f>
        <v/>
      </c>
      <c r="O2304" s="23" t="b">
        <f>IFERROR(VLOOKUP(A2304, Entries!A:I,8,false),"")</f>
        <v>0</v>
      </c>
    </row>
    <row r="2305">
      <c r="A2305" s="78" t="s">
        <v>2029</v>
      </c>
      <c r="B2305" s="78" t="s">
        <v>19</v>
      </c>
      <c r="C2305" s="85">
        <v>44746.0</v>
      </c>
      <c r="D2305" s="85">
        <v>44754.0</v>
      </c>
      <c r="E2305" s="86">
        <v>11.53</v>
      </c>
      <c r="F2305" s="87">
        <v>16.53</v>
      </c>
      <c r="G2305" s="88">
        <f t="shared" si="1"/>
        <v>5</v>
      </c>
      <c r="H2305" s="89">
        <f t="shared" si="10"/>
        <v>0.3024803388</v>
      </c>
      <c r="I2305" s="78" t="s">
        <v>2888</v>
      </c>
      <c r="J2305" s="78" t="s">
        <v>69</v>
      </c>
      <c r="K2305" s="58">
        <f t="shared" si="3"/>
        <v>8</v>
      </c>
      <c r="L2305" s="91" t="str">
        <f t="shared" si="8"/>
        <v>Tue</v>
      </c>
      <c r="M2305" s="78" t="str">
        <f>IFERROR(VLOOKUP(A2305, Entries!A:B,2,false),"")</f>
        <v>Playstack</v>
      </c>
      <c r="N2305" s="23" t="str">
        <f>IFERROR(VLOOKUP(A2305, Entries!A:K,11,false),"")</f>
        <v/>
      </c>
      <c r="O2305" s="23" t="b">
        <f>IFERROR(VLOOKUP(A2305, Entries!A:I,8,false),"")</f>
        <v>0</v>
      </c>
    </row>
    <row r="2306">
      <c r="A2306" s="78" t="s">
        <v>892</v>
      </c>
      <c r="B2306" s="78" t="s">
        <v>21</v>
      </c>
      <c r="C2306" s="85">
        <v>44747.0</v>
      </c>
      <c r="D2306" s="85">
        <v>44770.0</v>
      </c>
      <c r="E2306" s="86">
        <v>28.68</v>
      </c>
      <c r="F2306" s="87">
        <v>32.89</v>
      </c>
      <c r="G2306" s="88">
        <f t="shared" si="1"/>
        <v>4.21</v>
      </c>
      <c r="H2306" s="89">
        <f t="shared" si="10"/>
        <v>0.1280024324</v>
      </c>
      <c r="I2306" s="78" t="s">
        <v>2889</v>
      </c>
      <c r="J2306" s="78" t="s">
        <v>69</v>
      </c>
      <c r="K2306" s="58">
        <f t="shared" si="3"/>
        <v>23</v>
      </c>
      <c r="L2306" s="91" t="str">
        <f t="shared" si="8"/>
        <v>Thu</v>
      </c>
      <c r="M2306" s="78" t="str">
        <f>IFERROR(VLOOKUP(A2306, Entries!A:B,2,false),"")</f>
        <v>Square Enix</v>
      </c>
      <c r="N2306" s="23" t="str">
        <f>IFERROR(VLOOKUP(A2306, Entries!A:K,11,false),"")</f>
        <v/>
      </c>
      <c r="O2306" s="23" t="b">
        <f>IFERROR(VLOOKUP(A2306, Entries!A:I,8,false),"")</f>
        <v>1</v>
      </c>
    </row>
    <row r="2307">
      <c r="A2307" s="78" t="s">
        <v>892</v>
      </c>
      <c r="B2307" s="78" t="s">
        <v>21</v>
      </c>
      <c r="C2307" s="85">
        <v>44747.0</v>
      </c>
      <c r="D2307" s="85">
        <v>44776.0</v>
      </c>
      <c r="E2307" s="86">
        <v>28.69</v>
      </c>
      <c r="F2307" s="87">
        <v>34.47</v>
      </c>
      <c r="G2307" s="88">
        <f t="shared" si="1"/>
        <v>5.78</v>
      </c>
      <c r="H2307" s="89">
        <f t="shared" si="10"/>
        <v>0.1676820424</v>
      </c>
      <c r="I2307" s="78" t="s">
        <v>2890</v>
      </c>
      <c r="J2307" s="78" t="s">
        <v>69</v>
      </c>
      <c r="K2307" s="58">
        <f t="shared" si="3"/>
        <v>29</v>
      </c>
      <c r="L2307" s="91" t="str">
        <f t="shared" si="8"/>
        <v>Wed</v>
      </c>
      <c r="M2307" s="78" t="str">
        <f>IFERROR(VLOOKUP(A2307, Entries!A:B,2,false),"")</f>
        <v>Square Enix</v>
      </c>
      <c r="N2307" s="23" t="str">
        <f>IFERROR(VLOOKUP(A2307, Entries!A:K,11,false),"")</f>
        <v/>
      </c>
      <c r="O2307" s="23" t="b">
        <f>IFERROR(VLOOKUP(A2307, Entries!A:I,8,false),"")</f>
        <v>1</v>
      </c>
    </row>
    <row r="2308">
      <c r="A2308" s="78" t="s">
        <v>2891</v>
      </c>
      <c r="B2308" s="78" t="s">
        <v>18</v>
      </c>
      <c r="C2308" s="85">
        <v>44749.0</v>
      </c>
      <c r="D2308" s="85">
        <v>44751.0</v>
      </c>
      <c r="E2308" s="86">
        <v>16.61</v>
      </c>
      <c r="F2308" s="87">
        <v>20.83</v>
      </c>
      <c r="G2308" s="88">
        <f t="shared" si="1"/>
        <v>4.22</v>
      </c>
      <c r="H2308" s="89">
        <f t="shared" si="10"/>
        <v>0.2025924148</v>
      </c>
      <c r="I2308" s="78" t="s">
        <v>2892</v>
      </c>
      <c r="J2308" s="78" t="s">
        <v>69</v>
      </c>
      <c r="K2308" s="58">
        <f t="shared" si="3"/>
        <v>2</v>
      </c>
      <c r="L2308" s="91" t="str">
        <f t="shared" si="8"/>
        <v>Sat</v>
      </c>
      <c r="M2308" s="78" t="str">
        <f>IFERROR(VLOOKUP(A2308, Entries!A:B,2,false),"")</f>
        <v>Prime Matter</v>
      </c>
      <c r="N2308" s="23" t="str">
        <f>IFERROR(VLOOKUP(A2308, Entries!A:K,11,false),"")</f>
        <v/>
      </c>
      <c r="O2308" s="23" t="b">
        <f>IFERROR(VLOOKUP(A2308, Entries!A:I,8,false),"")</f>
        <v>0</v>
      </c>
    </row>
    <row r="2309">
      <c r="A2309" s="78" t="s">
        <v>2891</v>
      </c>
      <c r="B2309" s="78" t="s">
        <v>18</v>
      </c>
      <c r="C2309" s="85">
        <v>44749.0</v>
      </c>
      <c r="D2309" s="85">
        <v>44751.0</v>
      </c>
      <c r="E2309" s="86">
        <v>16.61</v>
      </c>
      <c r="F2309" s="87">
        <v>20.83</v>
      </c>
      <c r="G2309" s="88">
        <f t="shared" si="1"/>
        <v>4.22</v>
      </c>
      <c r="H2309" s="89">
        <f t="shared" si="10"/>
        <v>0.2025924148</v>
      </c>
      <c r="I2309" s="78" t="s">
        <v>2893</v>
      </c>
      <c r="J2309" s="78" t="s">
        <v>69</v>
      </c>
      <c r="K2309" s="58">
        <f t="shared" si="3"/>
        <v>2</v>
      </c>
      <c r="L2309" s="91" t="str">
        <f t="shared" si="8"/>
        <v>Sat</v>
      </c>
      <c r="M2309" s="78" t="str">
        <f>IFERROR(VLOOKUP(A2309, Entries!A:B,2,false),"")</f>
        <v>Prime Matter</v>
      </c>
      <c r="N2309" s="23" t="str">
        <f>IFERROR(VLOOKUP(A2309, Entries!A:K,11,false),"")</f>
        <v/>
      </c>
      <c r="O2309" s="23" t="b">
        <f>IFERROR(VLOOKUP(A2309, Entries!A:I,8,false),"")</f>
        <v>0</v>
      </c>
    </row>
    <row r="2310">
      <c r="A2310" s="78" t="s">
        <v>1389</v>
      </c>
      <c r="B2310" s="78" t="s">
        <v>23</v>
      </c>
      <c r="C2310" s="85">
        <v>44750.0</v>
      </c>
      <c r="D2310" s="85">
        <v>44751.0</v>
      </c>
      <c r="E2310" s="86">
        <v>17.27</v>
      </c>
      <c r="F2310" s="87">
        <v>20.7</v>
      </c>
      <c r="G2310" s="88">
        <f t="shared" si="1"/>
        <v>3.43</v>
      </c>
      <c r="H2310" s="89">
        <f t="shared" si="10"/>
        <v>0.1657004831</v>
      </c>
      <c r="I2310" s="78" t="s">
        <v>2894</v>
      </c>
      <c r="J2310" s="78" t="s">
        <v>69</v>
      </c>
      <c r="K2310" s="58">
        <f t="shared" si="3"/>
        <v>1</v>
      </c>
      <c r="L2310" s="91" t="str">
        <f t="shared" si="8"/>
        <v>Sat</v>
      </c>
      <c r="M2310" s="78" t="str">
        <f>IFERROR(VLOOKUP(A2310, Entries!A:B,2,false),"")</f>
        <v>Eugen Systems</v>
      </c>
      <c r="N2310" s="23" t="str">
        <f>IFERROR(VLOOKUP(A2310, Entries!A:K,11,false),"")</f>
        <v/>
      </c>
      <c r="O2310" s="23" t="b">
        <f>IFERROR(VLOOKUP(A2310, Entries!A:I,8,false),"")</f>
        <v>1</v>
      </c>
    </row>
    <row r="2311">
      <c r="A2311" s="78" t="s">
        <v>1609</v>
      </c>
      <c r="B2311" s="78" t="s">
        <v>23</v>
      </c>
      <c r="C2311" s="85">
        <v>44750.0</v>
      </c>
      <c r="D2311" s="85">
        <v>44770.0</v>
      </c>
      <c r="E2311" s="86">
        <v>13.34</v>
      </c>
      <c r="F2311" s="87">
        <v>16.99</v>
      </c>
      <c r="G2311" s="88">
        <f t="shared" si="1"/>
        <v>3.65</v>
      </c>
      <c r="H2311" s="89">
        <f t="shared" si="10"/>
        <v>0.2148322543</v>
      </c>
      <c r="I2311" s="78" t="s">
        <v>2895</v>
      </c>
      <c r="J2311" s="78" t="s">
        <v>69</v>
      </c>
      <c r="K2311" s="58">
        <f t="shared" si="3"/>
        <v>20</v>
      </c>
      <c r="L2311" s="91" t="str">
        <f t="shared" si="8"/>
        <v>Thu</v>
      </c>
      <c r="M2311" s="78" t="str">
        <f>IFERROR(VLOOKUP(A2311, Entries!A:B,2,false),"")</f>
        <v>Dear Villagers</v>
      </c>
      <c r="N2311" s="23" t="str">
        <f>IFERROR(VLOOKUP(A2311, Entries!A:K,11,false),"")</f>
        <v/>
      </c>
      <c r="O2311" s="23" t="b">
        <f>IFERROR(VLOOKUP(A2311, Entries!A:I,8,false),"")</f>
        <v>0</v>
      </c>
    </row>
    <row r="2312">
      <c r="A2312" s="78" t="s">
        <v>2731</v>
      </c>
      <c r="B2312" s="78" t="s">
        <v>27</v>
      </c>
      <c r="C2312" s="85">
        <v>44751.0</v>
      </c>
      <c r="D2312" s="85">
        <v>44752.0</v>
      </c>
      <c r="E2312" s="86">
        <v>11.79</v>
      </c>
      <c r="F2312" s="87">
        <v>14.06</v>
      </c>
      <c r="G2312" s="88">
        <f t="shared" si="1"/>
        <v>2.27</v>
      </c>
      <c r="H2312" s="89">
        <f t="shared" si="10"/>
        <v>0.1614509246</v>
      </c>
      <c r="I2312" s="78" t="s">
        <v>2896</v>
      </c>
      <c r="J2312" s="78" t="s">
        <v>69</v>
      </c>
      <c r="K2312" s="58">
        <f t="shared" si="3"/>
        <v>1</v>
      </c>
      <c r="L2312" s="91" t="str">
        <f t="shared" si="8"/>
        <v>Sun</v>
      </c>
      <c r="M2312" s="78" t="str">
        <f>IFERROR(VLOOKUP(A2312, Entries!A:B,2,false),"")</f>
        <v>Rebellion</v>
      </c>
      <c r="N2312" s="23" t="str">
        <f>IFERROR(VLOOKUP(A2312, Entries!A:K,11,false),"")</f>
        <v/>
      </c>
      <c r="O2312" s="23" t="b">
        <f>IFERROR(VLOOKUP(A2312, Entries!A:I,8,false),"")</f>
        <v>0</v>
      </c>
    </row>
    <row r="2313">
      <c r="A2313" s="78" t="s">
        <v>2891</v>
      </c>
      <c r="B2313" s="78" t="s">
        <v>18</v>
      </c>
      <c r="C2313" s="85">
        <v>44751.0</v>
      </c>
      <c r="D2313" s="85">
        <v>44753.0</v>
      </c>
      <c r="E2313" s="86">
        <v>16.54</v>
      </c>
      <c r="F2313" s="87">
        <v>19.46</v>
      </c>
      <c r="G2313" s="88">
        <f t="shared" si="1"/>
        <v>2.92</v>
      </c>
      <c r="H2313" s="89">
        <f t="shared" si="10"/>
        <v>0.1500513875</v>
      </c>
      <c r="I2313" s="78" t="s">
        <v>2897</v>
      </c>
      <c r="J2313" s="78" t="s">
        <v>69</v>
      </c>
      <c r="K2313" s="58">
        <f t="shared" si="3"/>
        <v>2</v>
      </c>
      <c r="L2313" s="91" t="str">
        <f t="shared" si="8"/>
        <v>Mon</v>
      </c>
      <c r="M2313" s="78" t="str">
        <f>IFERROR(VLOOKUP(A2313, Entries!A:B,2,false),"")</f>
        <v>Prime Matter</v>
      </c>
      <c r="N2313" s="23" t="str">
        <f>IFERROR(VLOOKUP(A2313, Entries!A:K,11,false),"")</f>
        <v/>
      </c>
      <c r="O2313" s="23" t="b">
        <f>IFERROR(VLOOKUP(A2313, Entries!A:I,8,false),"")</f>
        <v>0</v>
      </c>
    </row>
    <row r="2314">
      <c r="A2314" s="78" t="s">
        <v>2891</v>
      </c>
      <c r="B2314" s="78" t="s">
        <v>18</v>
      </c>
      <c r="C2314" s="85">
        <v>44751.0</v>
      </c>
      <c r="D2314" s="85">
        <v>44830.0</v>
      </c>
      <c r="E2314" s="86">
        <v>16.54</v>
      </c>
      <c r="F2314" s="87">
        <v>16.6</v>
      </c>
      <c r="G2314" s="88">
        <f t="shared" si="1"/>
        <v>0.06</v>
      </c>
      <c r="H2314" s="89">
        <f t="shared" si="10"/>
        <v>0.003614457831</v>
      </c>
      <c r="I2314" s="78" t="s">
        <v>2898</v>
      </c>
      <c r="J2314" s="78" t="s">
        <v>69</v>
      </c>
      <c r="K2314" s="58">
        <f t="shared" si="3"/>
        <v>79</v>
      </c>
      <c r="L2314" s="91" t="str">
        <f t="shared" si="8"/>
        <v>Mon</v>
      </c>
      <c r="M2314" s="78" t="str">
        <f>IFERROR(VLOOKUP(A2314, Entries!A:B,2,false),"")</f>
        <v>Prime Matter</v>
      </c>
      <c r="N2314" s="23" t="str">
        <f>IFERROR(VLOOKUP(A2314, Entries!A:K,11,false),"")</f>
        <v/>
      </c>
      <c r="O2314" s="23" t="b">
        <f>IFERROR(VLOOKUP(A2314, Entries!A:I,8,false),"")</f>
        <v>0</v>
      </c>
    </row>
    <row r="2315">
      <c r="A2315" s="78" t="s">
        <v>2891</v>
      </c>
      <c r="B2315" s="78" t="s">
        <v>18</v>
      </c>
      <c r="C2315" s="85">
        <v>44751.0</v>
      </c>
      <c r="D2315" s="85">
        <v>44830.0</v>
      </c>
      <c r="E2315" s="86">
        <v>16.54</v>
      </c>
      <c r="F2315" s="87">
        <v>17.07</v>
      </c>
      <c r="G2315" s="88">
        <f t="shared" si="1"/>
        <v>0.53</v>
      </c>
      <c r="H2315" s="89">
        <f t="shared" si="10"/>
        <v>0.03104862332</v>
      </c>
      <c r="I2315" s="78" t="s">
        <v>2899</v>
      </c>
      <c r="J2315" s="78" t="s">
        <v>69</v>
      </c>
      <c r="K2315" s="58">
        <f t="shared" si="3"/>
        <v>79</v>
      </c>
      <c r="L2315" s="91" t="str">
        <f t="shared" si="8"/>
        <v>Mon</v>
      </c>
      <c r="M2315" s="78" t="str">
        <f>IFERROR(VLOOKUP(A2315, Entries!A:B,2,false),"")</f>
        <v>Prime Matter</v>
      </c>
      <c r="N2315" s="23" t="str">
        <f>IFERROR(VLOOKUP(A2315, Entries!A:K,11,false),"")</f>
        <v/>
      </c>
      <c r="O2315" s="23" t="b">
        <f>IFERROR(VLOOKUP(A2315, Entries!A:I,8,false),"")</f>
        <v>0</v>
      </c>
    </row>
    <row r="2316">
      <c r="A2316" s="78" t="s">
        <v>2238</v>
      </c>
      <c r="B2316" s="78" t="s">
        <v>32</v>
      </c>
      <c r="C2316" s="85">
        <v>44751.0</v>
      </c>
      <c r="D2316" s="85">
        <v>44754.0</v>
      </c>
      <c r="E2316" s="86">
        <v>19.77</v>
      </c>
      <c r="F2316" s="87">
        <v>25.49</v>
      </c>
      <c r="G2316" s="88">
        <f t="shared" si="1"/>
        <v>5.72</v>
      </c>
      <c r="H2316" s="89">
        <f t="shared" si="10"/>
        <v>0.2244017262</v>
      </c>
      <c r="I2316" s="78" t="s">
        <v>2900</v>
      </c>
      <c r="J2316" s="78" t="s">
        <v>69</v>
      </c>
      <c r="K2316" s="58">
        <f t="shared" si="3"/>
        <v>3</v>
      </c>
      <c r="L2316" s="91" t="str">
        <f t="shared" si="8"/>
        <v>Tue</v>
      </c>
      <c r="M2316" s="78" t="str">
        <f>IFERROR(VLOOKUP(A2316, Entries!A:B,2,false),"")</f>
        <v>Shiro Games</v>
      </c>
      <c r="N2316" s="23" t="str">
        <f>IFERROR(VLOOKUP(A2316, Entries!A:K,11,false),"")</f>
        <v/>
      </c>
      <c r="O2316" s="23" t="b">
        <f>IFERROR(VLOOKUP(A2316, Entries!A:I,8,false),"")</f>
        <v>0</v>
      </c>
    </row>
    <row r="2317">
      <c r="A2317" s="78" t="s">
        <v>2238</v>
      </c>
      <c r="B2317" s="78" t="s">
        <v>32</v>
      </c>
      <c r="C2317" s="85">
        <v>44751.0</v>
      </c>
      <c r="D2317" s="85">
        <v>44806.0</v>
      </c>
      <c r="E2317" s="86">
        <v>19.78</v>
      </c>
      <c r="F2317" s="87">
        <v>20.74</v>
      </c>
      <c r="G2317" s="88">
        <f t="shared" si="1"/>
        <v>0.96</v>
      </c>
      <c r="H2317" s="89">
        <f t="shared" si="10"/>
        <v>0.04628736741</v>
      </c>
      <c r="I2317" s="78" t="s">
        <v>2901</v>
      </c>
      <c r="J2317" s="78" t="s">
        <v>69</v>
      </c>
      <c r="K2317" s="58">
        <f t="shared" si="3"/>
        <v>55</v>
      </c>
      <c r="L2317" s="91" t="str">
        <f t="shared" si="8"/>
        <v>Fri</v>
      </c>
      <c r="M2317" s="78" t="str">
        <f>IFERROR(VLOOKUP(A2317, Entries!A:B,2,false),"")</f>
        <v>Shiro Games</v>
      </c>
      <c r="N2317" s="23" t="str">
        <f>IFERROR(VLOOKUP(A2317, Entries!A:K,11,false),"")</f>
        <v/>
      </c>
      <c r="O2317" s="23" t="b">
        <f>IFERROR(VLOOKUP(A2317, Entries!A:I,8,false),"")</f>
        <v>0</v>
      </c>
    </row>
    <row r="2318">
      <c r="A2318" s="78" t="s">
        <v>2731</v>
      </c>
      <c r="B2318" s="78" t="s">
        <v>27</v>
      </c>
      <c r="C2318" s="85">
        <v>44753.0</v>
      </c>
      <c r="D2318" s="85">
        <v>44754.0</v>
      </c>
      <c r="E2318" s="86">
        <v>11.79</v>
      </c>
      <c r="F2318" s="87">
        <v>14.05</v>
      </c>
      <c r="G2318" s="88">
        <f t="shared" si="1"/>
        <v>2.26</v>
      </c>
      <c r="H2318" s="89">
        <f t="shared" si="10"/>
        <v>0.1608540925</v>
      </c>
      <c r="I2318" s="78" t="s">
        <v>2902</v>
      </c>
      <c r="J2318" s="78" t="s">
        <v>69</v>
      </c>
      <c r="K2318" s="58">
        <f t="shared" si="3"/>
        <v>1</v>
      </c>
      <c r="L2318" s="91" t="str">
        <f t="shared" si="8"/>
        <v>Tue</v>
      </c>
      <c r="M2318" s="78" t="str">
        <f>IFERROR(VLOOKUP(A2318, Entries!A:B,2,false),"")</f>
        <v>Rebellion</v>
      </c>
      <c r="N2318" s="23" t="str">
        <f>IFERROR(VLOOKUP(A2318, Entries!A:K,11,false),"")</f>
        <v/>
      </c>
      <c r="O2318" s="23" t="b">
        <f>IFERROR(VLOOKUP(A2318, Entries!A:I,8,false),"")</f>
        <v>0</v>
      </c>
    </row>
    <row r="2319">
      <c r="A2319" s="78" t="s">
        <v>2903</v>
      </c>
      <c r="B2319" s="78" t="s">
        <v>25</v>
      </c>
      <c r="C2319" s="85">
        <v>44753.0</v>
      </c>
      <c r="D2319" s="85">
        <v>44930.0</v>
      </c>
      <c r="E2319" s="86">
        <v>19.37</v>
      </c>
      <c r="F2319" s="87">
        <v>20.56</v>
      </c>
      <c r="G2319" s="88">
        <f t="shared" si="1"/>
        <v>1.19</v>
      </c>
      <c r="H2319" s="89">
        <f t="shared" si="10"/>
        <v>0.05787937743</v>
      </c>
      <c r="I2319" s="78" t="s">
        <v>2904</v>
      </c>
      <c r="J2319" s="78" t="s">
        <v>69</v>
      </c>
      <c r="K2319" s="58">
        <f t="shared" si="3"/>
        <v>177</v>
      </c>
      <c r="L2319" s="91" t="str">
        <f t="shared" si="8"/>
        <v>Wed</v>
      </c>
      <c r="M2319" s="78" t="str">
        <f>IFERROR(VLOOKUP(A2319, Entries!A:B,2,false),"")</f>
        <v>Kalypso Media</v>
      </c>
      <c r="N2319" s="23" t="str">
        <f>IFERROR(VLOOKUP(A2319, Entries!A:K,11,false),"")</f>
        <v/>
      </c>
      <c r="O2319" s="23" t="b">
        <f>IFERROR(VLOOKUP(A2319, Entries!A:I,8,false),"")</f>
        <v>0</v>
      </c>
    </row>
    <row r="2320">
      <c r="A2320" s="78" t="s">
        <v>1676</v>
      </c>
      <c r="B2320" s="78" t="s">
        <v>27</v>
      </c>
      <c r="C2320" s="85">
        <v>44754.0</v>
      </c>
      <c r="D2320" s="85">
        <v>44754.0</v>
      </c>
      <c r="E2320" s="86">
        <v>12.99</v>
      </c>
      <c r="F2320" s="87">
        <v>15.08</v>
      </c>
      <c r="G2320" s="88">
        <f t="shared" si="1"/>
        <v>2.09</v>
      </c>
      <c r="H2320" s="89">
        <f t="shared" si="10"/>
        <v>0.1385941645</v>
      </c>
      <c r="I2320" s="78" t="s">
        <v>2905</v>
      </c>
      <c r="J2320" s="78" t="s">
        <v>69</v>
      </c>
      <c r="K2320" s="58">
        <f t="shared" si="3"/>
        <v>0</v>
      </c>
      <c r="L2320" s="91" t="str">
        <f t="shared" si="8"/>
        <v>Tue</v>
      </c>
      <c r="M2320" s="78" t="str">
        <f>IFERROR(VLOOKUP(A2320, Entries!A:B,2,false),"")</f>
        <v>Focus Home Interactive</v>
      </c>
      <c r="N2320" s="23" t="str">
        <f>IFERROR(VLOOKUP(A2320, Entries!A:K,11,false),"")</f>
        <v/>
      </c>
      <c r="O2320" s="23" t="b">
        <f>IFERROR(VLOOKUP(A2320, Entries!A:I,8,false),"")</f>
        <v>0</v>
      </c>
    </row>
    <row r="2321">
      <c r="A2321" s="78" t="s">
        <v>2906</v>
      </c>
      <c r="B2321" s="78" t="s">
        <v>27</v>
      </c>
      <c r="C2321" s="85">
        <v>44754.0</v>
      </c>
      <c r="D2321" s="85">
        <v>44756.0</v>
      </c>
      <c r="E2321" s="86">
        <v>9.39</v>
      </c>
      <c r="F2321" s="87">
        <v>11.82</v>
      </c>
      <c r="G2321" s="88">
        <f t="shared" si="1"/>
        <v>2.43</v>
      </c>
      <c r="H2321" s="89">
        <f t="shared" si="10"/>
        <v>0.2055837563</v>
      </c>
      <c r="I2321" s="78" t="s">
        <v>2907</v>
      </c>
      <c r="J2321" s="78" t="s">
        <v>69</v>
      </c>
      <c r="K2321" s="58">
        <f t="shared" si="3"/>
        <v>2</v>
      </c>
      <c r="L2321" s="91" t="str">
        <f t="shared" si="8"/>
        <v>Thu</v>
      </c>
      <c r="M2321" s="78" t="str">
        <f>IFERROR(VLOOKUP(A2321, Entries!A:B,2,false),"")</f>
        <v>FireFly Studios</v>
      </c>
      <c r="N2321" s="23" t="str">
        <f>IFERROR(VLOOKUP(A2321, Entries!A:K,11,false),"")</f>
        <v/>
      </c>
      <c r="O2321" s="23" t="b">
        <f>IFERROR(VLOOKUP(A2321, Entries!A:I,8,false),"")</f>
        <v>0</v>
      </c>
    </row>
    <row r="2322">
      <c r="A2322" s="78" t="s">
        <v>2412</v>
      </c>
      <c r="B2322" s="78" t="s">
        <v>33</v>
      </c>
      <c r="C2322" s="85">
        <v>44754.0</v>
      </c>
      <c r="D2322" s="85">
        <v>44754.0</v>
      </c>
      <c r="E2322" s="86">
        <v>17.09</v>
      </c>
      <c r="F2322" s="87">
        <v>23.12</v>
      </c>
      <c r="G2322" s="88">
        <f t="shared" si="1"/>
        <v>6.03</v>
      </c>
      <c r="H2322" s="89">
        <f t="shared" si="10"/>
        <v>0.2608131488</v>
      </c>
      <c r="I2322" s="78" t="s">
        <v>2908</v>
      </c>
      <c r="J2322" s="78" t="s">
        <v>69</v>
      </c>
      <c r="K2322" s="58">
        <f t="shared" si="3"/>
        <v>0</v>
      </c>
      <c r="L2322" s="91" t="str">
        <f t="shared" si="8"/>
        <v>Tue</v>
      </c>
      <c r="M2322" s="78" t="str">
        <f>IFERROR(VLOOKUP(A2322, Entries!A:B,2,false),"")</f>
        <v>BANDAI NAMCO</v>
      </c>
      <c r="N2322" s="23" t="str">
        <f>IFERROR(VLOOKUP(A2322, Entries!A:K,11,false),"")</f>
        <v/>
      </c>
      <c r="O2322" s="23" t="b">
        <f>IFERROR(VLOOKUP(A2322, Entries!A:I,8,false),"")</f>
        <v>0</v>
      </c>
    </row>
    <row r="2323">
      <c r="A2323" s="78" t="s">
        <v>2412</v>
      </c>
      <c r="B2323" s="78" t="s">
        <v>33</v>
      </c>
      <c r="C2323" s="85">
        <v>44754.0</v>
      </c>
      <c r="D2323" s="25"/>
      <c r="E2323" s="86">
        <v>17.79</v>
      </c>
      <c r="F2323" s="88"/>
      <c r="G2323" s="88">
        <f t="shared" si="1"/>
        <v>-17.79</v>
      </c>
      <c r="H2323" s="89" t="str">
        <f t="shared" si="10"/>
        <v/>
      </c>
      <c r="I2323" s="103" t="s">
        <v>2909</v>
      </c>
      <c r="J2323" s="78" t="s">
        <v>1129</v>
      </c>
      <c r="K2323" s="58" t="str">
        <f t="shared" si="3"/>
        <v/>
      </c>
      <c r="L2323" s="91" t="str">
        <f t="shared" si="8"/>
        <v/>
      </c>
      <c r="M2323" s="78" t="str">
        <f>IFERROR(VLOOKUP(A2323, Entries!A:B,2,false),"")</f>
        <v>BANDAI NAMCO</v>
      </c>
      <c r="N2323" s="23" t="str">
        <f>IFERROR(VLOOKUP(A2323, Entries!A:K,11,false),"")</f>
        <v/>
      </c>
      <c r="O2323" s="23" t="b">
        <f>IFERROR(VLOOKUP(A2323, Entries!A:I,8,false),"")</f>
        <v>0</v>
      </c>
      <c r="S2323" s="23" t="str">
        <f>IF(AND(TODAY()-ROW(A1499)+1 &lt;= 30, J1499="Closed"), TEXT(TODAY()-ROW(A1499)+1, "dd-mm-yyyy"), "")
</f>
        <v/>
      </c>
    </row>
    <row r="2324">
      <c r="A2324" s="78" t="s">
        <v>1676</v>
      </c>
      <c r="B2324" s="78" t="s">
        <v>27</v>
      </c>
      <c r="C2324" s="85">
        <v>44754.0</v>
      </c>
      <c r="D2324" s="85">
        <v>44754.0</v>
      </c>
      <c r="E2324" s="86">
        <v>12.99</v>
      </c>
      <c r="F2324" s="87">
        <v>15.08</v>
      </c>
      <c r="G2324" s="88">
        <f t="shared" si="1"/>
        <v>2.09</v>
      </c>
      <c r="H2324" s="89">
        <f t="shared" si="10"/>
        <v>0.1385941645</v>
      </c>
      <c r="I2324" s="78" t="s">
        <v>2910</v>
      </c>
      <c r="J2324" s="78" t="s">
        <v>69</v>
      </c>
      <c r="K2324" s="58">
        <f t="shared" si="3"/>
        <v>0</v>
      </c>
      <c r="L2324" s="91" t="str">
        <f t="shared" si="8"/>
        <v>Tue</v>
      </c>
      <c r="M2324" s="78" t="str">
        <f>IFERROR(VLOOKUP(A2324, Entries!A:B,2,false),"")</f>
        <v>Focus Home Interactive</v>
      </c>
      <c r="N2324" s="23" t="str">
        <f>IFERROR(VLOOKUP(A2324, Entries!A:K,11,false),"")</f>
        <v/>
      </c>
      <c r="O2324" s="23" t="b">
        <f>IFERROR(VLOOKUP(A2324, Entries!A:I,8,false),"")</f>
        <v>0</v>
      </c>
    </row>
    <row r="2325">
      <c r="A2325" s="78" t="s">
        <v>1676</v>
      </c>
      <c r="B2325" s="78" t="s">
        <v>27</v>
      </c>
      <c r="C2325" s="85">
        <v>44755.0</v>
      </c>
      <c r="D2325" s="85">
        <v>44872.0</v>
      </c>
      <c r="E2325" s="86">
        <v>12.99</v>
      </c>
      <c r="F2325" s="87">
        <v>17.83</v>
      </c>
      <c r="G2325" s="88">
        <f t="shared" si="1"/>
        <v>4.84</v>
      </c>
      <c r="H2325" s="89">
        <f t="shared" si="10"/>
        <v>0.271452608</v>
      </c>
      <c r="I2325" s="78" t="s">
        <v>2911</v>
      </c>
      <c r="J2325" s="78" t="s">
        <v>69</v>
      </c>
      <c r="K2325" s="58">
        <f t="shared" si="3"/>
        <v>117</v>
      </c>
      <c r="L2325" s="91" t="str">
        <f t="shared" si="8"/>
        <v>Mon</v>
      </c>
      <c r="M2325" s="78" t="str">
        <f>IFERROR(VLOOKUP(A2325, Entries!A:B,2,false),"")</f>
        <v>Focus Home Interactive</v>
      </c>
      <c r="N2325" s="23" t="str">
        <f>IFERROR(VLOOKUP(A2325, Entries!A:K,11,false),"")</f>
        <v/>
      </c>
      <c r="O2325" s="23" t="b">
        <f>IFERROR(VLOOKUP(A2325, Entries!A:I,8,false),"")</f>
        <v>0</v>
      </c>
    </row>
    <row r="2326">
      <c r="A2326" s="78" t="s">
        <v>2731</v>
      </c>
      <c r="B2326" s="78" t="s">
        <v>27</v>
      </c>
      <c r="C2326" s="85">
        <v>44755.0</v>
      </c>
      <c r="D2326" s="25"/>
      <c r="E2326" s="86">
        <v>11.79</v>
      </c>
      <c r="F2326" s="88"/>
      <c r="G2326" s="88">
        <f t="shared" si="1"/>
        <v>-11.79</v>
      </c>
      <c r="H2326" s="89" t="str">
        <f t="shared" si="10"/>
        <v/>
      </c>
      <c r="I2326" s="103" t="s">
        <v>2912</v>
      </c>
      <c r="J2326" s="78" t="s">
        <v>1129</v>
      </c>
      <c r="K2326" s="58" t="str">
        <f t="shared" si="3"/>
        <v/>
      </c>
      <c r="L2326" s="91" t="str">
        <f t="shared" si="8"/>
        <v/>
      </c>
      <c r="M2326" s="78" t="str">
        <f>IFERROR(VLOOKUP(A2326, Entries!A:B,2,false),"")</f>
        <v>Rebellion</v>
      </c>
      <c r="N2326" s="23" t="str">
        <f>IFERROR(VLOOKUP(A2326, Entries!A:K,11,false),"")</f>
        <v/>
      </c>
      <c r="O2326" s="23" t="b">
        <f>IFERROR(VLOOKUP(A2326, Entries!A:I,8,false),"")</f>
        <v>0</v>
      </c>
      <c r="S2326" s="23" t="str">
        <f>IF(AND(TODAY()-ROW(A1502)+1 &lt;= 30, J1502="Closed"), TEXT(TODAY()-ROW(A1502)+1, "dd-mm-yyyy"), "")
</f>
        <v/>
      </c>
    </row>
    <row r="2327">
      <c r="A2327" s="78" t="s">
        <v>319</v>
      </c>
      <c r="B2327" s="78" t="s">
        <v>33</v>
      </c>
      <c r="C2327" s="85">
        <v>44755.0</v>
      </c>
      <c r="D2327" s="85">
        <v>45163.0</v>
      </c>
      <c r="E2327" s="86">
        <v>8.63</v>
      </c>
      <c r="F2327" s="87">
        <v>10.47</v>
      </c>
      <c r="G2327" s="88">
        <f t="shared" si="1"/>
        <v>1.84</v>
      </c>
      <c r="H2327" s="89">
        <f t="shared" si="10"/>
        <v>0.1757402101</v>
      </c>
      <c r="I2327" s="78" t="s">
        <v>2913</v>
      </c>
      <c r="J2327" s="78" t="s">
        <v>69</v>
      </c>
      <c r="K2327" s="58">
        <f t="shared" si="3"/>
        <v>408</v>
      </c>
      <c r="L2327" s="91" t="str">
        <f t="shared" si="8"/>
        <v>Fri</v>
      </c>
      <c r="M2327" s="78" t="str">
        <f>IFERROR(VLOOKUP(A2327, Entries!A:B,2,false),"")</f>
        <v>BANDAI NAMCO</v>
      </c>
      <c r="N2327" s="23" t="str">
        <f>IFERROR(VLOOKUP(A2327, Entries!A:K,11,false),"")</f>
        <v/>
      </c>
      <c r="O2327" s="23" t="b">
        <f>IFERROR(VLOOKUP(A2327, Entries!A:I,8,false),"")</f>
        <v>1</v>
      </c>
    </row>
    <row r="2328">
      <c r="A2328" s="78" t="s">
        <v>2914</v>
      </c>
      <c r="B2328" s="78" t="s">
        <v>22</v>
      </c>
      <c r="C2328" s="85">
        <v>44756.0</v>
      </c>
      <c r="D2328" s="85">
        <v>44770.0</v>
      </c>
      <c r="E2328" s="86">
        <v>16.98</v>
      </c>
      <c r="F2328" s="87">
        <v>21.23</v>
      </c>
      <c r="G2328" s="88">
        <f t="shared" si="1"/>
        <v>4.25</v>
      </c>
      <c r="H2328" s="89">
        <f t="shared" si="10"/>
        <v>0.2001884126</v>
      </c>
      <c r="I2328" s="78" t="s">
        <v>2915</v>
      </c>
      <c r="J2328" s="78" t="s">
        <v>69</v>
      </c>
      <c r="K2328" s="58">
        <f t="shared" si="3"/>
        <v>14</v>
      </c>
      <c r="L2328" s="91" t="str">
        <f t="shared" si="8"/>
        <v>Thu</v>
      </c>
      <c r="M2328" s="78" t="str">
        <f>IFERROR(VLOOKUP(A2328, Entries!A:B,2,false),"")</f>
        <v>Square Enix</v>
      </c>
      <c r="N2328" s="23" t="str">
        <f>IFERROR(VLOOKUP(A2328, Entries!A:K,11,false),"")</f>
        <v/>
      </c>
      <c r="O2328" s="23" t="b">
        <f>IFERROR(VLOOKUP(A2328, Entries!A:I,8,false),"")</f>
        <v>0</v>
      </c>
    </row>
    <row r="2329">
      <c r="A2329" s="78" t="s">
        <v>2916</v>
      </c>
      <c r="B2329" s="78" t="s">
        <v>22</v>
      </c>
      <c r="C2329" s="85">
        <v>44756.0</v>
      </c>
      <c r="D2329" s="85">
        <v>44882.0</v>
      </c>
      <c r="E2329" s="86">
        <v>24.0</v>
      </c>
      <c r="F2329" s="87">
        <v>26.65</v>
      </c>
      <c r="G2329" s="88">
        <f t="shared" si="1"/>
        <v>2.65</v>
      </c>
      <c r="H2329" s="89">
        <f t="shared" si="10"/>
        <v>0.09943714822</v>
      </c>
      <c r="I2329" s="78" t="s">
        <v>2917</v>
      </c>
      <c r="J2329" s="78" t="s">
        <v>69</v>
      </c>
      <c r="K2329" s="58">
        <f t="shared" si="3"/>
        <v>126</v>
      </c>
      <c r="L2329" s="91" t="str">
        <f t="shared" si="8"/>
        <v>Thu</v>
      </c>
      <c r="M2329" s="78" t="str">
        <f>IFERROR(VLOOKUP(A2329, Entries!A:B,2,false),"")</f>
        <v>Square Enix</v>
      </c>
      <c r="N2329" s="23" t="str">
        <f>IFERROR(VLOOKUP(A2329, Entries!A:K,11,false),"")</f>
        <v/>
      </c>
      <c r="O2329" s="23" t="b">
        <f>IFERROR(VLOOKUP(A2329, Entries!A:I,8,false),"")</f>
        <v>0</v>
      </c>
    </row>
    <row r="2330">
      <c r="A2330" s="78" t="s">
        <v>2906</v>
      </c>
      <c r="B2330" s="78" t="s">
        <v>27</v>
      </c>
      <c r="C2330" s="85">
        <v>44756.0</v>
      </c>
      <c r="D2330" s="85">
        <v>44759.0</v>
      </c>
      <c r="E2330" s="86">
        <v>9.39</v>
      </c>
      <c r="F2330" s="87">
        <v>11.73</v>
      </c>
      <c r="G2330" s="88">
        <f t="shared" si="1"/>
        <v>2.34</v>
      </c>
      <c r="H2330" s="89">
        <f t="shared" si="10"/>
        <v>0.199488491</v>
      </c>
      <c r="I2330" s="78" t="s">
        <v>2918</v>
      </c>
      <c r="J2330" s="78" t="s">
        <v>69</v>
      </c>
      <c r="K2330" s="58">
        <f t="shared" si="3"/>
        <v>3</v>
      </c>
      <c r="L2330" s="91" t="str">
        <f t="shared" si="8"/>
        <v>Sun</v>
      </c>
      <c r="M2330" s="78" t="str">
        <f>IFERROR(VLOOKUP(A2330, Entries!A:B,2,false),"")</f>
        <v>FireFly Studios</v>
      </c>
      <c r="N2330" s="23" t="str">
        <f>IFERROR(VLOOKUP(A2330, Entries!A:K,11,false),"")</f>
        <v/>
      </c>
      <c r="O2330" s="23" t="b">
        <f>IFERROR(VLOOKUP(A2330, Entries!A:I,8,false),"")</f>
        <v>0</v>
      </c>
    </row>
    <row r="2331">
      <c r="A2331" s="78" t="s">
        <v>1729</v>
      </c>
      <c r="B2331" s="78" t="s">
        <v>19</v>
      </c>
      <c r="C2331" s="85">
        <v>44759.0</v>
      </c>
      <c r="D2331" s="85">
        <v>44767.0</v>
      </c>
      <c r="E2331" s="86">
        <v>6.4</v>
      </c>
      <c r="F2331" s="87">
        <v>10.72</v>
      </c>
      <c r="G2331" s="88">
        <f t="shared" si="1"/>
        <v>4.32</v>
      </c>
      <c r="H2331" s="89">
        <f t="shared" si="10"/>
        <v>0.4029850746</v>
      </c>
      <c r="I2331" s="78" t="s">
        <v>2919</v>
      </c>
      <c r="J2331" s="78" t="s">
        <v>69</v>
      </c>
      <c r="K2331" s="58">
        <f t="shared" si="3"/>
        <v>8</v>
      </c>
      <c r="L2331" s="91" t="str">
        <f t="shared" si="8"/>
        <v>Mon</v>
      </c>
      <c r="M2331" s="78" t="str">
        <f>IFERROR(VLOOKUP(A2331, Entries!A:B,2,false),"")</f>
        <v>Focus Home Interactive</v>
      </c>
      <c r="N2331" s="23" t="str">
        <f>IFERROR(VLOOKUP(A2331, Entries!A:K,11,false),"")</f>
        <v/>
      </c>
      <c r="O2331" s="23" t="b">
        <f>IFERROR(VLOOKUP(A2331, Entries!A:I,8,false),"")</f>
        <v>0</v>
      </c>
    </row>
    <row r="2332">
      <c r="A2332" s="78" t="s">
        <v>375</v>
      </c>
      <c r="B2332" s="78" t="s">
        <v>33</v>
      </c>
      <c r="C2332" s="85">
        <v>44759.0</v>
      </c>
      <c r="D2332" s="85">
        <v>44760.0</v>
      </c>
      <c r="E2332" s="86">
        <v>7.09</v>
      </c>
      <c r="F2332" s="87">
        <v>8.6</v>
      </c>
      <c r="G2332" s="88">
        <f t="shared" si="1"/>
        <v>1.51</v>
      </c>
      <c r="H2332" s="89">
        <f t="shared" si="10"/>
        <v>0.1755813953</v>
      </c>
      <c r="I2332" s="78" t="s">
        <v>2920</v>
      </c>
      <c r="J2332" s="78" t="s">
        <v>69</v>
      </c>
      <c r="K2332" s="58">
        <f t="shared" si="3"/>
        <v>1</v>
      </c>
      <c r="L2332" s="91" t="str">
        <f t="shared" si="8"/>
        <v>Mon</v>
      </c>
      <c r="M2332" s="78" t="str">
        <f>IFERROR(VLOOKUP(A2332, Entries!A:B,2,false),"")</f>
        <v>Survios</v>
      </c>
      <c r="N2332" s="23" t="str">
        <f>IFERROR(VLOOKUP(A2332, Entries!A:K,11,false),"")</f>
        <v/>
      </c>
      <c r="O2332" s="23" t="b">
        <f>IFERROR(VLOOKUP(A2332, Entries!A:I,8,false),"")</f>
        <v>1</v>
      </c>
    </row>
    <row r="2333">
      <c r="A2333" s="78" t="s">
        <v>2906</v>
      </c>
      <c r="B2333" s="78" t="s">
        <v>27</v>
      </c>
      <c r="C2333" s="85">
        <v>44759.0</v>
      </c>
      <c r="D2333" s="85">
        <v>44762.0</v>
      </c>
      <c r="E2333" s="86">
        <v>9.39</v>
      </c>
      <c r="F2333" s="87">
        <v>11.31</v>
      </c>
      <c r="G2333" s="88">
        <f t="shared" si="1"/>
        <v>1.92</v>
      </c>
      <c r="H2333" s="89">
        <f t="shared" si="10"/>
        <v>0.1697612732</v>
      </c>
      <c r="I2333" s="78" t="s">
        <v>2921</v>
      </c>
      <c r="J2333" s="78" t="s">
        <v>69</v>
      </c>
      <c r="K2333" s="58">
        <f t="shared" si="3"/>
        <v>3</v>
      </c>
      <c r="L2333" s="91" t="str">
        <f t="shared" si="8"/>
        <v>Wed</v>
      </c>
      <c r="M2333" s="78" t="str">
        <f>IFERROR(VLOOKUP(A2333, Entries!A:B,2,false),"")</f>
        <v>FireFly Studios</v>
      </c>
      <c r="N2333" s="23" t="str">
        <f>IFERROR(VLOOKUP(A2333, Entries!A:K,11,false),"")</f>
        <v/>
      </c>
      <c r="O2333" s="23" t="b">
        <f>IFERROR(VLOOKUP(A2333, Entries!A:I,8,false),"")</f>
        <v>0</v>
      </c>
    </row>
    <row r="2334">
      <c r="A2334" s="78" t="s">
        <v>375</v>
      </c>
      <c r="B2334" s="78" t="s">
        <v>33</v>
      </c>
      <c r="C2334" s="85">
        <v>44760.0</v>
      </c>
      <c r="D2334" s="85">
        <v>44816.0</v>
      </c>
      <c r="E2334" s="86">
        <v>7.09</v>
      </c>
      <c r="F2334" s="87">
        <v>10.07</v>
      </c>
      <c r="G2334" s="88">
        <f t="shared" si="1"/>
        <v>2.98</v>
      </c>
      <c r="H2334" s="89">
        <f t="shared" si="10"/>
        <v>0.2959285005</v>
      </c>
      <c r="I2334" s="78" t="s">
        <v>2922</v>
      </c>
      <c r="J2334" s="78" t="s">
        <v>69</v>
      </c>
      <c r="K2334" s="58">
        <f t="shared" si="3"/>
        <v>56</v>
      </c>
      <c r="L2334" s="91" t="str">
        <f t="shared" si="8"/>
        <v>Mon</v>
      </c>
      <c r="M2334" s="78" t="str">
        <f>IFERROR(VLOOKUP(A2334, Entries!A:B,2,false),"")</f>
        <v>Survios</v>
      </c>
      <c r="N2334" s="23" t="str">
        <f>IFERROR(VLOOKUP(A2334, Entries!A:K,11,false),"")</f>
        <v/>
      </c>
      <c r="O2334" s="23" t="b">
        <f>IFERROR(VLOOKUP(A2334, Entries!A:I,8,false),"")</f>
        <v>1</v>
      </c>
    </row>
    <row r="2335">
      <c r="A2335" s="78" t="s">
        <v>2528</v>
      </c>
      <c r="B2335" s="78" t="s">
        <v>19</v>
      </c>
      <c r="C2335" s="85">
        <v>44760.0</v>
      </c>
      <c r="D2335" s="85">
        <v>44763.0</v>
      </c>
      <c r="E2335" s="86">
        <v>3.17</v>
      </c>
      <c r="F2335" s="87">
        <v>5.17</v>
      </c>
      <c r="G2335" s="88">
        <f t="shared" si="1"/>
        <v>2</v>
      </c>
      <c r="H2335" s="89">
        <f t="shared" si="10"/>
        <v>0.3868471954</v>
      </c>
      <c r="I2335" s="78" t="s">
        <v>2923</v>
      </c>
      <c r="J2335" s="78" t="s">
        <v>69</v>
      </c>
      <c r="K2335" s="58">
        <f t="shared" si="3"/>
        <v>3</v>
      </c>
      <c r="L2335" s="91" t="str">
        <f t="shared" si="8"/>
        <v>Thu</v>
      </c>
      <c r="M2335" s="78" t="str">
        <f>IFERROR(VLOOKUP(A2335, Entries!A:B,2,false),"")</f>
        <v>Cheesecake Dev</v>
      </c>
      <c r="N2335" s="23" t="str">
        <f>IFERROR(VLOOKUP(A2335, Entries!A:K,11,false),"")</f>
        <v/>
      </c>
      <c r="O2335" s="23" t="b">
        <f>IFERROR(VLOOKUP(A2335, Entries!A:I,8,false),"")</f>
        <v>0</v>
      </c>
    </row>
    <row r="2336">
      <c r="A2336" s="78" t="s">
        <v>2624</v>
      </c>
      <c r="B2336" s="78" t="s">
        <v>19</v>
      </c>
      <c r="C2336" s="85">
        <v>44760.0</v>
      </c>
      <c r="D2336" s="85">
        <v>44761.0</v>
      </c>
      <c r="E2336" s="86">
        <v>3.16</v>
      </c>
      <c r="F2336" s="87">
        <v>4.71</v>
      </c>
      <c r="G2336" s="88">
        <f t="shared" si="1"/>
        <v>1.55</v>
      </c>
      <c r="H2336" s="89">
        <f t="shared" si="10"/>
        <v>0.3290870488</v>
      </c>
      <c r="I2336" s="78" t="s">
        <v>2924</v>
      </c>
      <c r="J2336" s="78" t="s">
        <v>69</v>
      </c>
      <c r="K2336" s="58">
        <f t="shared" si="3"/>
        <v>1</v>
      </c>
      <c r="L2336" s="91" t="str">
        <f t="shared" si="8"/>
        <v>Tue</v>
      </c>
      <c r="M2336" s="78" t="str">
        <f>IFERROR(VLOOKUP(A2336, Entries!A:B,2,false),"")</f>
        <v>Daedalic Entertainment</v>
      </c>
      <c r="N2336" s="23" t="str">
        <f>IFERROR(VLOOKUP(A2336, Entries!A:K,11,false),"")</f>
        <v/>
      </c>
      <c r="O2336" s="23" t="b">
        <f>IFERROR(VLOOKUP(A2336, Entries!A:I,8,false),"")</f>
        <v>0</v>
      </c>
    </row>
    <row r="2337">
      <c r="A2337" s="78" t="s">
        <v>2925</v>
      </c>
      <c r="B2337" s="78" t="s">
        <v>19</v>
      </c>
      <c r="C2337" s="85">
        <v>44760.0</v>
      </c>
      <c r="D2337" s="85">
        <v>44761.0</v>
      </c>
      <c r="E2337" s="86">
        <v>3.16</v>
      </c>
      <c r="F2337" s="87">
        <v>4.9</v>
      </c>
      <c r="G2337" s="88">
        <f t="shared" si="1"/>
        <v>1.74</v>
      </c>
      <c r="H2337" s="89">
        <f t="shared" si="10"/>
        <v>0.3551020408</v>
      </c>
      <c r="I2337" s="78" t="s">
        <v>2926</v>
      </c>
      <c r="J2337" s="78" t="s">
        <v>69</v>
      </c>
      <c r="K2337" s="58">
        <f t="shared" si="3"/>
        <v>1</v>
      </c>
      <c r="L2337" s="91" t="str">
        <f t="shared" si="8"/>
        <v>Tue</v>
      </c>
      <c r="M2337" s="78" t="str">
        <f>IFERROR(VLOOKUP(A2337, Entries!A:B,2,false),"")</f>
        <v>Team Reptile</v>
      </c>
      <c r="N2337" s="23" t="str">
        <f>IFERROR(VLOOKUP(A2337, Entries!A:K,11,false),"")</f>
        <v/>
      </c>
      <c r="O2337" s="23" t="b">
        <f>IFERROR(VLOOKUP(A2337, Entries!A:I,8,false),"")</f>
        <v>0</v>
      </c>
    </row>
    <row r="2338">
      <c r="A2338" s="78" t="s">
        <v>2528</v>
      </c>
      <c r="B2338" s="78" t="s">
        <v>19</v>
      </c>
      <c r="C2338" s="85">
        <v>44761.0</v>
      </c>
      <c r="D2338" s="85">
        <v>44765.0</v>
      </c>
      <c r="E2338" s="86">
        <v>3.17</v>
      </c>
      <c r="F2338" s="87">
        <v>4.29</v>
      </c>
      <c r="G2338" s="88">
        <f t="shared" si="1"/>
        <v>1.12</v>
      </c>
      <c r="H2338" s="89">
        <f t="shared" si="10"/>
        <v>0.2610722611</v>
      </c>
      <c r="I2338" s="78" t="s">
        <v>2927</v>
      </c>
      <c r="J2338" s="78" t="s">
        <v>69</v>
      </c>
      <c r="K2338" s="58">
        <f t="shared" si="3"/>
        <v>4</v>
      </c>
      <c r="L2338" s="91" t="str">
        <f t="shared" si="8"/>
        <v>Sat</v>
      </c>
      <c r="M2338" s="78" t="str">
        <f>IFERROR(VLOOKUP(A2338, Entries!A:B,2,false),"")</f>
        <v>Cheesecake Dev</v>
      </c>
      <c r="N2338" s="23" t="str">
        <f>IFERROR(VLOOKUP(A2338, Entries!A:K,11,false),"")</f>
        <v/>
      </c>
      <c r="O2338" s="23" t="b">
        <f>IFERROR(VLOOKUP(A2338, Entries!A:I,8,false),"")</f>
        <v>0</v>
      </c>
    </row>
    <row r="2339">
      <c r="A2339" s="78" t="s">
        <v>2624</v>
      </c>
      <c r="B2339" s="78" t="s">
        <v>19</v>
      </c>
      <c r="C2339" s="85">
        <v>44761.0</v>
      </c>
      <c r="D2339" s="85">
        <v>44761.0</v>
      </c>
      <c r="E2339" s="86">
        <v>3.16</v>
      </c>
      <c r="F2339" s="87">
        <v>4.71</v>
      </c>
      <c r="G2339" s="88">
        <f t="shared" si="1"/>
        <v>1.55</v>
      </c>
      <c r="H2339" s="89">
        <f t="shared" si="10"/>
        <v>0.3290870488</v>
      </c>
      <c r="I2339" s="78" t="s">
        <v>2928</v>
      </c>
      <c r="J2339" s="78" t="s">
        <v>69</v>
      </c>
      <c r="K2339" s="58">
        <f t="shared" si="3"/>
        <v>0</v>
      </c>
      <c r="L2339" s="91" t="str">
        <f t="shared" si="8"/>
        <v>Tue</v>
      </c>
      <c r="M2339" s="78" t="str">
        <f>IFERROR(VLOOKUP(A2339, Entries!A:B,2,false),"")</f>
        <v>Daedalic Entertainment</v>
      </c>
      <c r="N2339" s="23" t="str">
        <f>IFERROR(VLOOKUP(A2339, Entries!A:K,11,false),"")</f>
        <v/>
      </c>
      <c r="O2339" s="23" t="b">
        <f>IFERROR(VLOOKUP(A2339, Entries!A:I,8,false),"")</f>
        <v>0</v>
      </c>
    </row>
    <row r="2340">
      <c r="A2340" s="78" t="s">
        <v>2925</v>
      </c>
      <c r="B2340" s="78" t="s">
        <v>19</v>
      </c>
      <c r="C2340" s="85">
        <v>44761.0</v>
      </c>
      <c r="D2340" s="85">
        <v>44761.0</v>
      </c>
      <c r="E2340" s="86">
        <v>3.16</v>
      </c>
      <c r="F2340" s="87">
        <v>4.9</v>
      </c>
      <c r="G2340" s="88">
        <f t="shared" si="1"/>
        <v>1.74</v>
      </c>
      <c r="H2340" s="89">
        <f t="shared" si="10"/>
        <v>0.3551020408</v>
      </c>
      <c r="I2340" s="78" t="s">
        <v>2929</v>
      </c>
      <c r="J2340" s="78" t="s">
        <v>69</v>
      </c>
      <c r="K2340" s="58">
        <f t="shared" si="3"/>
        <v>0</v>
      </c>
      <c r="L2340" s="91" t="str">
        <f t="shared" si="8"/>
        <v>Tue</v>
      </c>
      <c r="M2340" s="78" t="str">
        <f>IFERROR(VLOOKUP(A2340, Entries!A:B,2,false),"")</f>
        <v>Team Reptile</v>
      </c>
      <c r="N2340" s="23" t="str">
        <f>IFERROR(VLOOKUP(A2340, Entries!A:K,11,false),"")</f>
        <v/>
      </c>
      <c r="O2340" s="23" t="b">
        <f>IFERROR(VLOOKUP(A2340, Entries!A:I,8,false),"")</f>
        <v>0</v>
      </c>
    </row>
    <row r="2341">
      <c r="A2341" s="78" t="s">
        <v>2528</v>
      </c>
      <c r="B2341" s="78" t="s">
        <v>19</v>
      </c>
      <c r="C2341" s="85">
        <v>44761.0</v>
      </c>
      <c r="D2341" s="85">
        <v>44765.0</v>
      </c>
      <c r="E2341" s="86">
        <v>3.17</v>
      </c>
      <c r="F2341" s="87">
        <v>4.29</v>
      </c>
      <c r="G2341" s="88">
        <f t="shared" si="1"/>
        <v>1.12</v>
      </c>
      <c r="H2341" s="89">
        <f t="shared" si="10"/>
        <v>0.2610722611</v>
      </c>
      <c r="I2341" s="78" t="s">
        <v>2930</v>
      </c>
      <c r="J2341" s="78" t="s">
        <v>69</v>
      </c>
      <c r="K2341" s="58">
        <f t="shared" si="3"/>
        <v>4</v>
      </c>
      <c r="L2341" s="91" t="str">
        <f t="shared" si="8"/>
        <v>Sat</v>
      </c>
      <c r="M2341" s="78" t="str">
        <f>IFERROR(VLOOKUP(A2341, Entries!A:B,2,false),"")</f>
        <v>Cheesecake Dev</v>
      </c>
      <c r="N2341" s="23" t="str">
        <f>IFERROR(VLOOKUP(A2341, Entries!A:K,11,false),"")</f>
        <v/>
      </c>
      <c r="O2341" s="23" t="b">
        <f>IFERROR(VLOOKUP(A2341, Entries!A:I,8,false),"")</f>
        <v>0</v>
      </c>
    </row>
    <row r="2342">
      <c r="A2342" s="78" t="s">
        <v>2624</v>
      </c>
      <c r="B2342" s="78" t="s">
        <v>19</v>
      </c>
      <c r="C2342" s="85">
        <v>44761.0</v>
      </c>
      <c r="D2342" s="85">
        <v>44806.0</v>
      </c>
      <c r="E2342" s="86">
        <v>3.16</v>
      </c>
      <c r="F2342" s="87">
        <v>3.73</v>
      </c>
      <c r="G2342" s="88">
        <f t="shared" si="1"/>
        <v>0.57</v>
      </c>
      <c r="H2342" s="89">
        <f t="shared" si="10"/>
        <v>0.1528150134</v>
      </c>
      <c r="I2342" s="78" t="s">
        <v>2931</v>
      </c>
      <c r="J2342" s="78" t="s">
        <v>69</v>
      </c>
      <c r="K2342" s="58">
        <f t="shared" si="3"/>
        <v>45</v>
      </c>
      <c r="L2342" s="91" t="str">
        <f t="shared" si="8"/>
        <v>Fri</v>
      </c>
      <c r="M2342" s="78" t="str">
        <f>IFERROR(VLOOKUP(A2342, Entries!A:B,2,false),"")</f>
        <v>Daedalic Entertainment</v>
      </c>
      <c r="N2342" s="23" t="str">
        <f>IFERROR(VLOOKUP(A2342, Entries!A:K,11,false),"")</f>
        <v/>
      </c>
      <c r="O2342" s="23" t="b">
        <f>IFERROR(VLOOKUP(A2342, Entries!A:I,8,false),"")</f>
        <v>0</v>
      </c>
    </row>
    <row r="2343">
      <c r="A2343" s="78" t="s">
        <v>2925</v>
      </c>
      <c r="B2343" s="78" t="s">
        <v>19</v>
      </c>
      <c r="C2343" s="85">
        <v>44761.0</v>
      </c>
      <c r="D2343" s="85">
        <v>44761.0</v>
      </c>
      <c r="E2343" s="86">
        <v>3.16</v>
      </c>
      <c r="F2343" s="87">
        <v>4.98</v>
      </c>
      <c r="G2343" s="88">
        <f t="shared" si="1"/>
        <v>1.82</v>
      </c>
      <c r="H2343" s="89">
        <f t="shared" si="10"/>
        <v>0.3654618474</v>
      </c>
      <c r="I2343" s="78" t="s">
        <v>2932</v>
      </c>
      <c r="J2343" s="78" t="s">
        <v>69</v>
      </c>
      <c r="K2343" s="58">
        <f t="shared" si="3"/>
        <v>0</v>
      </c>
      <c r="L2343" s="91" t="str">
        <f t="shared" si="8"/>
        <v>Tue</v>
      </c>
      <c r="M2343" s="78" t="str">
        <f>IFERROR(VLOOKUP(A2343, Entries!A:B,2,false),"")</f>
        <v>Team Reptile</v>
      </c>
      <c r="N2343" s="23" t="str">
        <f>IFERROR(VLOOKUP(A2343, Entries!A:K,11,false),"")</f>
        <v/>
      </c>
      <c r="O2343" s="23" t="b">
        <f>IFERROR(VLOOKUP(A2343, Entries!A:I,8,false),"")</f>
        <v>0</v>
      </c>
    </row>
    <row r="2344">
      <c r="A2344" s="78" t="s">
        <v>2933</v>
      </c>
      <c r="B2344" s="78" t="s">
        <v>27</v>
      </c>
      <c r="C2344" s="85">
        <v>44761.0</v>
      </c>
      <c r="D2344" s="85">
        <v>44762.0</v>
      </c>
      <c r="E2344" s="86">
        <v>27.09</v>
      </c>
      <c r="F2344" s="87">
        <v>31.42</v>
      </c>
      <c r="G2344" s="88">
        <f t="shared" si="1"/>
        <v>4.33</v>
      </c>
      <c r="H2344" s="89">
        <f t="shared" si="10"/>
        <v>0.1378103119</v>
      </c>
      <c r="I2344" s="78" t="s">
        <v>2934</v>
      </c>
      <c r="J2344" s="78" t="s">
        <v>69</v>
      </c>
      <c r="K2344" s="58">
        <f t="shared" si="3"/>
        <v>1</v>
      </c>
      <c r="L2344" s="91" t="str">
        <f t="shared" si="8"/>
        <v>Wed</v>
      </c>
      <c r="M2344" s="78" t="str">
        <f>IFERROR(VLOOKUP(A2344, Entries!A:B,2,false),"")</f>
        <v>BANDAI NAMCO</v>
      </c>
      <c r="N2344" s="23" t="str">
        <f>IFERROR(VLOOKUP(A2344, Entries!A:K,11,false),"")</f>
        <v/>
      </c>
      <c r="O2344" s="23" t="b">
        <f>IFERROR(VLOOKUP(A2344, Entries!A:I,8,false),"")</f>
        <v>0</v>
      </c>
    </row>
    <row r="2345">
      <c r="A2345" s="78" t="s">
        <v>2933</v>
      </c>
      <c r="B2345" s="78" t="s">
        <v>27</v>
      </c>
      <c r="C2345" s="85">
        <v>44762.0</v>
      </c>
      <c r="D2345" s="85">
        <v>46163.0</v>
      </c>
      <c r="E2345" s="86">
        <v>27.09</v>
      </c>
      <c r="F2345" s="87">
        <v>18.28</v>
      </c>
      <c r="G2345" s="88">
        <f t="shared" si="1"/>
        <v>-8.81</v>
      </c>
      <c r="H2345" s="89">
        <f t="shared" si="10"/>
        <v>-0.4819474836</v>
      </c>
      <c r="I2345" s="103" t="s">
        <v>2935</v>
      </c>
      <c r="J2345" s="78" t="s">
        <v>69</v>
      </c>
      <c r="K2345" s="58">
        <f t="shared" si="3"/>
        <v>1401</v>
      </c>
      <c r="L2345" s="91" t="str">
        <f t="shared" si="8"/>
        <v>Thu</v>
      </c>
      <c r="M2345" s="78" t="str">
        <f>IFERROR(VLOOKUP(A2345, Entries!A:B,2,false),"")</f>
        <v>BANDAI NAMCO</v>
      </c>
      <c r="N2345" s="23" t="str">
        <f>IFERROR(VLOOKUP(A2345, Entries!A:K,11,false),"")</f>
        <v/>
      </c>
      <c r="O2345" s="23" t="b">
        <f>IFERROR(VLOOKUP(A2345, Entries!A:I,8,false),"")</f>
        <v>0</v>
      </c>
      <c r="S2345" s="23" t="str">
        <f>IF(AND(TODAY()-ROW(A1521)+1 &lt;= 30, J1521="Closed"), TEXT(TODAY()-ROW(A1521)+1, "dd-mm-yyyy"), "")
</f>
        <v/>
      </c>
    </row>
    <row r="2346">
      <c r="A2346" s="78" t="s">
        <v>2734</v>
      </c>
      <c r="B2346" s="78" t="s">
        <v>19</v>
      </c>
      <c r="C2346" s="85">
        <v>44762.0</v>
      </c>
      <c r="D2346" s="85">
        <v>44846.0</v>
      </c>
      <c r="E2346" s="86">
        <v>11.87</v>
      </c>
      <c r="F2346" s="87">
        <v>12.7</v>
      </c>
      <c r="G2346" s="88">
        <f t="shared" si="1"/>
        <v>0.83</v>
      </c>
      <c r="H2346" s="89">
        <f t="shared" si="10"/>
        <v>0.06535433071</v>
      </c>
      <c r="I2346" s="78" t="s">
        <v>2936</v>
      </c>
      <c r="J2346" s="78" t="s">
        <v>69</v>
      </c>
      <c r="K2346" s="58">
        <f t="shared" si="3"/>
        <v>84</v>
      </c>
      <c r="L2346" s="91" t="str">
        <f t="shared" si="8"/>
        <v>Wed</v>
      </c>
      <c r="M2346" s="78" t="str">
        <f>IFERROR(VLOOKUP(A2346, Entries!A:B,2,false),"")</f>
        <v>Dotemu</v>
      </c>
      <c r="N2346" s="23" t="str">
        <f>IFERROR(VLOOKUP(A2346, Entries!A:K,11,false),"")</f>
        <v/>
      </c>
      <c r="O2346" s="23" t="b">
        <f>IFERROR(VLOOKUP(A2346, Entries!A:I,8,false),"")</f>
        <v>0</v>
      </c>
    </row>
    <row r="2347">
      <c r="A2347" s="78" t="s">
        <v>2906</v>
      </c>
      <c r="B2347" s="78" t="s">
        <v>27</v>
      </c>
      <c r="C2347" s="85">
        <v>44762.0</v>
      </c>
      <c r="D2347" s="85">
        <v>44765.0</v>
      </c>
      <c r="E2347" s="86">
        <v>9.39</v>
      </c>
      <c r="F2347" s="87">
        <v>11.29</v>
      </c>
      <c r="G2347" s="88">
        <f t="shared" si="1"/>
        <v>1.9</v>
      </c>
      <c r="H2347" s="89">
        <f t="shared" si="10"/>
        <v>0.1682905226</v>
      </c>
      <c r="I2347" s="78" t="s">
        <v>2937</v>
      </c>
      <c r="J2347" s="78" t="s">
        <v>69</v>
      </c>
      <c r="K2347" s="58">
        <f t="shared" si="3"/>
        <v>3</v>
      </c>
      <c r="L2347" s="91" t="str">
        <f t="shared" si="8"/>
        <v>Sat</v>
      </c>
      <c r="M2347" s="78" t="str">
        <f>IFERROR(VLOOKUP(A2347, Entries!A:B,2,false),"")</f>
        <v>FireFly Studios</v>
      </c>
      <c r="N2347" s="23" t="str">
        <f>IFERROR(VLOOKUP(A2347, Entries!A:K,11,false),"")</f>
        <v/>
      </c>
      <c r="O2347" s="23" t="b">
        <f>IFERROR(VLOOKUP(A2347, Entries!A:I,8,false),"")</f>
        <v>0</v>
      </c>
    </row>
    <row r="2348">
      <c r="A2348" s="78" t="s">
        <v>1291</v>
      </c>
      <c r="B2348" s="78" t="s">
        <v>22</v>
      </c>
      <c r="C2348" s="85">
        <v>44764.0</v>
      </c>
      <c r="D2348" s="85">
        <v>44764.0</v>
      </c>
      <c r="E2348" s="86">
        <v>5.11</v>
      </c>
      <c r="F2348" s="87">
        <v>7.04</v>
      </c>
      <c r="G2348" s="88">
        <f t="shared" si="1"/>
        <v>1.93</v>
      </c>
      <c r="H2348" s="89">
        <f t="shared" si="10"/>
        <v>0.2741477273</v>
      </c>
      <c r="I2348" s="78" t="s">
        <v>2938</v>
      </c>
      <c r="J2348" s="78" t="s">
        <v>69</v>
      </c>
      <c r="K2348" s="58">
        <f t="shared" si="3"/>
        <v>0</v>
      </c>
      <c r="L2348" s="91" t="str">
        <f t="shared" si="8"/>
        <v>Fri</v>
      </c>
      <c r="M2348" s="78" t="str">
        <f>IFERROR(VLOOKUP(A2348, Entries!A:B,2,false),"")</f>
        <v>Triternion</v>
      </c>
      <c r="N2348" s="23" t="str">
        <f>IFERROR(VLOOKUP(A2348, Entries!A:K,11,false),"")</f>
        <v/>
      </c>
      <c r="O2348" s="23" t="b">
        <f>IFERROR(VLOOKUP(A2348, Entries!A:I,8,false),"")</f>
        <v>1</v>
      </c>
    </row>
    <row r="2349">
      <c r="A2349" s="78" t="s">
        <v>1291</v>
      </c>
      <c r="B2349" s="78" t="s">
        <v>22</v>
      </c>
      <c r="C2349" s="85">
        <v>44764.0</v>
      </c>
      <c r="D2349" s="85">
        <v>44765.0</v>
      </c>
      <c r="E2349" s="86">
        <v>5.11</v>
      </c>
      <c r="F2349" s="87">
        <v>7.04</v>
      </c>
      <c r="G2349" s="88">
        <f t="shared" si="1"/>
        <v>1.93</v>
      </c>
      <c r="H2349" s="89">
        <f t="shared" si="10"/>
        <v>0.2741477273</v>
      </c>
      <c r="I2349" s="78" t="s">
        <v>2939</v>
      </c>
      <c r="J2349" s="78" t="s">
        <v>69</v>
      </c>
      <c r="K2349" s="58">
        <f t="shared" si="3"/>
        <v>1</v>
      </c>
      <c r="L2349" s="91" t="str">
        <f t="shared" si="8"/>
        <v>Sat</v>
      </c>
      <c r="M2349" s="78" t="str">
        <f>IFERROR(VLOOKUP(A2349, Entries!A:B,2,false),"")</f>
        <v>Triternion</v>
      </c>
      <c r="N2349" s="23" t="str">
        <f>IFERROR(VLOOKUP(A2349, Entries!A:K,11,false),"")</f>
        <v/>
      </c>
      <c r="O2349" s="23" t="b">
        <f>IFERROR(VLOOKUP(A2349, Entries!A:I,8,false),"")</f>
        <v>1</v>
      </c>
    </row>
    <row r="2350">
      <c r="A2350" s="78" t="s">
        <v>2528</v>
      </c>
      <c r="B2350" s="78" t="s">
        <v>19</v>
      </c>
      <c r="C2350" s="85">
        <v>44765.0</v>
      </c>
      <c r="D2350" s="85">
        <v>44843.0</v>
      </c>
      <c r="E2350" s="86">
        <v>3.17</v>
      </c>
      <c r="F2350" s="87">
        <v>3.88</v>
      </c>
      <c r="G2350" s="88">
        <f t="shared" si="1"/>
        <v>0.71</v>
      </c>
      <c r="H2350" s="89">
        <f t="shared" si="10"/>
        <v>0.1829896907</v>
      </c>
      <c r="I2350" s="78" t="s">
        <v>2940</v>
      </c>
      <c r="J2350" s="78" t="s">
        <v>69</v>
      </c>
      <c r="K2350" s="58">
        <f t="shared" si="3"/>
        <v>78</v>
      </c>
      <c r="L2350" s="91" t="str">
        <f t="shared" si="8"/>
        <v>Sun</v>
      </c>
      <c r="M2350" s="78" t="str">
        <f>IFERROR(VLOOKUP(A2350, Entries!A:B,2,false),"")</f>
        <v>Cheesecake Dev</v>
      </c>
      <c r="N2350" s="23" t="str">
        <f>IFERROR(VLOOKUP(A2350, Entries!A:K,11,false),"")</f>
        <v/>
      </c>
      <c r="O2350" s="23" t="b">
        <f>IFERROR(VLOOKUP(A2350, Entries!A:I,8,false),"")</f>
        <v>0</v>
      </c>
    </row>
    <row r="2351">
      <c r="A2351" s="78" t="s">
        <v>2558</v>
      </c>
      <c r="B2351" s="78" t="s">
        <v>19</v>
      </c>
      <c r="C2351" s="85">
        <v>44765.0</v>
      </c>
      <c r="D2351" s="85">
        <v>44807.0</v>
      </c>
      <c r="E2351" s="86">
        <v>3.16</v>
      </c>
      <c r="F2351" s="87">
        <v>4.76</v>
      </c>
      <c r="G2351" s="88">
        <f t="shared" si="1"/>
        <v>1.6</v>
      </c>
      <c r="H2351" s="89">
        <f t="shared" si="10"/>
        <v>0.3361344538</v>
      </c>
      <c r="I2351" s="78" t="s">
        <v>2941</v>
      </c>
      <c r="J2351" s="78" t="s">
        <v>69</v>
      </c>
      <c r="K2351" s="58">
        <f t="shared" si="3"/>
        <v>42</v>
      </c>
      <c r="L2351" s="91" t="str">
        <f t="shared" si="8"/>
        <v>Sat</v>
      </c>
      <c r="M2351" s="78" t="str">
        <f>IFERROR(VLOOKUP(A2351, Entries!A:B,2,false),"")</f>
        <v>Daedalic Entertainment</v>
      </c>
      <c r="N2351" s="23" t="str">
        <f>IFERROR(VLOOKUP(A2351, Entries!A:K,11,false),"")</f>
        <v/>
      </c>
      <c r="O2351" s="23" t="b">
        <f>IFERROR(VLOOKUP(A2351, Entries!A:I,8,false),"")</f>
        <v>0</v>
      </c>
    </row>
    <row r="2352">
      <c r="A2352" s="78" t="s">
        <v>2925</v>
      </c>
      <c r="B2352" s="78" t="s">
        <v>19</v>
      </c>
      <c r="C2352" s="85">
        <v>44765.0</v>
      </c>
      <c r="D2352" s="85">
        <v>44893.0</v>
      </c>
      <c r="E2352" s="86">
        <v>3.16</v>
      </c>
      <c r="F2352" s="87">
        <v>5.01</v>
      </c>
      <c r="G2352" s="88">
        <f t="shared" si="1"/>
        <v>1.85</v>
      </c>
      <c r="H2352" s="89">
        <f t="shared" si="10"/>
        <v>0.369261477</v>
      </c>
      <c r="I2352" s="78" t="s">
        <v>2942</v>
      </c>
      <c r="J2352" s="78" t="s">
        <v>69</v>
      </c>
      <c r="K2352" s="58">
        <f t="shared" si="3"/>
        <v>128</v>
      </c>
      <c r="L2352" s="91" t="str">
        <f t="shared" si="8"/>
        <v>Mon</v>
      </c>
      <c r="M2352" s="78" t="str">
        <f>IFERROR(VLOOKUP(A2352, Entries!A:B,2,false),"")</f>
        <v>Team Reptile</v>
      </c>
      <c r="N2352" s="23" t="str">
        <f>IFERROR(VLOOKUP(A2352, Entries!A:K,11,false),"")</f>
        <v/>
      </c>
      <c r="O2352" s="23" t="b">
        <f>IFERROR(VLOOKUP(A2352, Entries!A:I,8,false),"")</f>
        <v>0</v>
      </c>
    </row>
    <row r="2353">
      <c r="A2353" s="78" t="s">
        <v>1596</v>
      </c>
      <c r="B2353" s="78" t="s">
        <v>33</v>
      </c>
      <c r="C2353" s="85">
        <v>44773.0</v>
      </c>
      <c r="D2353" s="85">
        <v>44780.0</v>
      </c>
      <c r="E2353" s="86">
        <v>20.65</v>
      </c>
      <c r="F2353" s="87">
        <v>25.94</v>
      </c>
      <c r="G2353" s="88">
        <f t="shared" si="1"/>
        <v>5.29</v>
      </c>
      <c r="H2353" s="89">
        <f t="shared" si="10"/>
        <v>0.2039321511</v>
      </c>
      <c r="I2353" s="78" t="s">
        <v>2943</v>
      </c>
      <c r="J2353" s="78" t="s">
        <v>69</v>
      </c>
      <c r="K2353" s="58">
        <f t="shared" si="3"/>
        <v>7</v>
      </c>
      <c r="L2353" s="91" t="str">
        <f t="shared" si="8"/>
        <v>Sun</v>
      </c>
      <c r="M2353" s="78" t="str">
        <f>IFERROR(VLOOKUP(A2353, Entries!A:B,2,false),"")</f>
        <v>505 Games</v>
      </c>
      <c r="N2353" s="23" t="str">
        <f>IFERROR(VLOOKUP(A2353, Entries!A:K,11,false),"")</f>
        <v/>
      </c>
      <c r="O2353" s="23" t="b">
        <f>IFERROR(VLOOKUP(A2353, Entries!A:I,8,false),"")</f>
        <v>1</v>
      </c>
    </row>
    <row r="2354">
      <c r="A2354" s="78" t="s">
        <v>2944</v>
      </c>
      <c r="B2354" s="78" t="s">
        <v>33</v>
      </c>
      <c r="C2354" s="85">
        <v>44773.0</v>
      </c>
      <c r="D2354" s="85">
        <v>44774.0</v>
      </c>
      <c r="E2354" s="86">
        <v>28.89</v>
      </c>
      <c r="F2354" s="87">
        <v>30.11</v>
      </c>
      <c r="G2354" s="88">
        <f t="shared" si="1"/>
        <v>1.22</v>
      </c>
      <c r="H2354" s="89">
        <f t="shared" si="10"/>
        <v>0.0405181003</v>
      </c>
      <c r="I2354" s="78" t="s">
        <v>2945</v>
      </c>
      <c r="J2354" s="78" t="s">
        <v>69</v>
      </c>
      <c r="K2354" s="58">
        <f t="shared" si="3"/>
        <v>1</v>
      </c>
      <c r="L2354" s="91" t="str">
        <f t="shared" si="8"/>
        <v>Mon</v>
      </c>
      <c r="M2354" s="78" t="str">
        <f>IFERROR(VLOOKUP(A2354, Entries!A:B,2,false),"")</f>
        <v>VOID Interactive</v>
      </c>
      <c r="N2354" s="23" t="str">
        <f>IFERROR(VLOOKUP(A2354, Entries!A:K,11,false),"")</f>
        <v/>
      </c>
      <c r="O2354" s="23" t="b">
        <f>IFERROR(VLOOKUP(A2354, Entries!A:I,8,false),"")</f>
        <v>0</v>
      </c>
    </row>
    <row r="2355">
      <c r="A2355" s="78" t="s">
        <v>1729</v>
      </c>
      <c r="B2355" s="78" t="s">
        <v>18</v>
      </c>
      <c r="C2355" s="85">
        <v>44775.0</v>
      </c>
      <c r="D2355" s="85">
        <v>44825.0</v>
      </c>
      <c r="E2355" s="86">
        <v>8.15</v>
      </c>
      <c r="F2355" s="87">
        <v>9.26</v>
      </c>
      <c r="G2355" s="88">
        <f t="shared" si="1"/>
        <v>1.11</v>
      </c>
      <c r="H2355" s="89">
        <f t="shared" si="10"/>
        <v>0.1198704104</v>
      </c>
      <c r="I2355" s="78" t="s">
        <v>2946</v>
      </c>
      <c r="J2355" s="78" t="s">
        <v>69</v>
      </c>
      <c r="K2355" s="58">
        <f t="shared" si="3"/>
        <v>50</v>
      </c>
      <c r="L2355" s="91" t="str">
        <f t="shared" si="8"/>
        <v>Wed</v>
      </c>
      <c r="M2355" s="78" t="str">
        <f>IFERROR(VLOOKUP(A2355, Entries!A:B,2,false),"")</f>
        <v>Focus Home Interactive</v>
      </c>
      <c r="N2355" s="23" t="str">
        <f>IFERROR(VLOOKUP(A2355, Entries!A:K,11,false),"")</f>
        <v/>
      </c>
      <c r="O2355" s="23" t="b">
        <f>IFERROR(VLOOKUP(A2355, Entries!A:I,8,false),"")</f>
        <v>0</v>
      </c>
    </row>
    <row r="2356">
      <c r="A2356" s="78" t="s">
        <v>1729</v>
      </c>
      <c r="B2356" s="78" t="s">
        <v>18</v>
      </c>
      <c r="C2356" s="85">
        <v>44775.0</v>
      </c>
      <c r="D2356" s="85">
        <v>44826.0</v>
      </c>
      <c r="E2356" s="86">
        <v>8.15</v>
      </c>
      <c r="F2356" s="87">
        <v>9.26</v>
      </c>
      <c r="G2356" s="88">
        <f t="shared" si="1"/>
        <v>1.11</v>
      </c>
      <c r="H2356" s="89">
        <f t="shared" si="10"/>
        <v>0.1198704104</v>
      </c>
      <c r="I2356" s="78" t="s">
        <v>2947</v>
      </c>
      <c r="J2356" s="78" t="s">
        <v>69</v>
      </c>
      <c r="K2356" s="58">
        <f t="shared" si="3"/>
        <v>51</v>
      </c>
      <c r="L2356" s="91" t="str">
        <f t="shared" si="8"/>
        <v>Thu</v>
      </c>
      <c r="M2356" s="78" t="str">
        <f>IFERROR(VLOOKUP(A2356, Entries!A:B,2,false),"")</f>
        <v>Focus Home Interactive</v>
      </c>
      <c r="N2356" s="23" t="str">
        <f>IFERROR(VLOOKUP(A2356, Entries!A:K,11,false),"")</f>
        <v/>
      </c>
      <c r="O2356" s="23" t="b">
        <f>IFERROR(VLOOKUP(A2356, Entries!A:I,8,false),"")</f>
        <v>0</v>
      </c>
    </row>
    <row r="2357">
      <c r="A2357" s="78" t="s">
        <v>2948</v>
      </c>
      <c r="B2357" s="78" t="s">
        <v>23</v>
      </c>
      <c r="C2357" s="85">
        <v>44775.0</v>
      </c>
      <c r="D2357" s="85">
        <v>44786.0</v>
      </c>
      <c r="E2357" s="86">
        <v>11.0</v>
      </c>
      <c r="F2357" s="87">
        <v>11.93</v>
      </c>
      <c r="G2357" s="88">
        <f t="shared" si="1"/>
        <v>0.93</v>
      </c>
      <c r="H2357" s="89">
        <f t="shared" si="10"/>
        <v>0.07795473596</v>
      </c>
      <c r="I2357" s="78" t="s">
        <v>2949</v>
      </c>
      <c r="J2357" s="78" t="s">
        <v>69</v>
      </c>
      <c r="K2357" s="58">
        <f t="shared" si="3"/>
        <v>11</v>
      </c>
      <c r="L2357" s="91" t="str">
        <f t="shared" si="8"/>
        <v>Sat</v>
      </c>
      <c r="M2357" s="78" t="str">
        <f>IFERROR(VLOOKUP(A2357, Entries!A:B,2,false),"")</f>
        <v>Whitethorn Games</v>
      </c>
      <c r="N2357" s="23" t="str">
        <f>IFERROR(VLOOKUP(A2357, Entries!A:K,11,false),"")</f>
        <v/>
      </c>
      <c r="O2357" s="23" t="b">
        <f>IFERROR(VLOOKUP(A2357, Entries!A:I,8,false),"")</f>
        <v>0</v>
      </c>
    </row>
    <row r="2358">
      <c r="A2358" s="78" t="s">
        <v>1107</v>
      </c>
      <c r="B2358" s="78" t="s">
        <v>19</v>
      </c>
      <c r="C2358" s="85">
        <v>44775.0</v>
      </c>
      <c r="D2358" s="85">
        <v>44796.0</v>
      </c>
      <c r="E2358" s="86">
        <v>8.71</v>
      </c>
      <c r="F2358" s="87">
        <v>10.7</v>
      </c>
      <c r="G2358" s="88">
        <f t="shared" si="1"/>
        <v>1.99</v>
      </c>
      <c r="H2358" s="89">
        <f t="shared" si="10"/>
        <v>0.1859813084</v>
      </c>
      <c r="I2358" s="78" t="s">
        <v>2950</v>
      </c>
      <c r="J2358" s="78" t="s">
        <v>69</v>
      </c>
      <c r="K2358" s="58">
        <f t="shared" si="3"/>
        <v>21</v>
      </c>
      <c r="L2358" s="91" t="str">
        <f t="shared" si="8"/>
        <v>Tue</v>
      </c>
      <c r="M2358" s="78" t="str">
        <f>IFERROR(VLOOKUP(A2358, Entries!A:B,2,false),"")</f>
        <v>inXile Entertainment</v>
      </c>
      <c r="N2358" s="23" t="str">
        <f>IFERROR(VLOOKUP(A2358, Entries!A:K,11,false),"")</f>
        <v/>
      </c>
      <c r="O2358" s="23" t="b">
        <f>IFERROR(VLOOKUP(A2358, Entries!A:I,8,false),"")</f>
        <v>0</v>
      </c>
    </row>
    <row r="2359">
      <c r="A2359" s="78" t="s">
        <v>2951</v>
      </c>
      <c r="B2359" s="78" t="s">
        <v>19</v>
      </c>
      <c r="C2359" s="85">
        <v>44776.0</v>
      </c>
      <c r="D2359" s="85">
        <v>44778.0</v>
      </c>
      <c r="E2359" s="86">
        <v>4.99</v>
      </c>
      <c r="F2359" s="87">
        <v>6.6</v>
      </c>
      <c r="G2359" s="88">
        <f t="shared" si="1"/>
        <v>1.61</v>
      </c>
      <c r="H2359" s="89">
        <f t="shared" si="10"/>
        <v>0.2439393939</v>
      </c>
      <c r="I2359" s="78" t="s">
        <v>2952</v>
      </c>
      <c r="J2359" s="78" t="s">
        <v>69</v>
      </c>
      <c r="K2359" s="58">
        <f t="shared" si="3"/>
        <v>2</v>
      </c>
      <c r="L2359" s="91" t="str">
        <f t="shared" si="8"/>
        <v>Fri</v>
      </c>
      <c r="M2359" s="78" t="str">
        <f>IFERROR(VLOOKUP(A2359, Entries!A:B,2,false),"")</f>
        <v>Marmalade Game Studio</v>
      </c>
      <c r="N2359" s="23" t="str">
        <f>IFERROR(VLOOKUP(A2359, Entries!A:K,11,false),"")</f>
        <v/>
      </c>
      <c r="O2359" s="23" t="b">
        <f>IFERROR(VLOOKUP(A2359, Entries!A:I,8,false),"")</f>
        <v>0</v>
      </c>
    </row>
    <row r="2360">
      <c r="A2360" s="78" t="s">
        <v>1034</v>
      </c>
      <c r="B2360" s="78" t="s">
        <v>23</v>
      </c>
      <c r="C2360" s="85">
        <v>44778.0</v>
      </c>
      <c r="D2360" s="85">
        <v>44778.0</v>
      </c>
      <c r="E2360" s="86">
        <v>8.25</v>
      </c>
      <c r="F2360" s="87">
        <v>17.85</v>
      </c>
      <c r="G2360" s="88">
        <f t="shared" si="1"/>
        <v>9.6</v>
      </c>
      <c r="H2360" s="89">
        <f t="shared" si="10"/>
        <v>0.5378151261</v>
      </c>
      <c r="I2360" s="78" t="s">
        <v>2953</v>
      </c>
      <c r="J2360" s="78" t="s">
        <v>69</v>
      </c>
      <c r="K2360" s="58">
        <f t="shared" si="3"/>
        <v>0</v>
      </c>
      <c r="L2360" s="91" t="str">
        <f t="shared" si="8"/>
        <v>Fri</v>
      </c>
      <c r="M2360" s="78" t="str">
        <f>IFERROR(VLOOKUP(A2360, Entries!A:B,2,false),"")</f>
        <v>Eugen Systems</v>
      </c>
      <c r="N2360" s="23" t="str">
        <f>IFERROR(VLOOKUP(A2360, Entries!A:K,11,false),"")</f>
        <v/>
      </c>
      <c r="O2360" s="23" t="b">
        <f>IFERROR(VLOOKUP(A2360, Entries!A:I,8,false),"")</f>
        <v>1</v>
      </c>
    </row>
    <row r="2361">
      <c r="A2361" s="78" t="s">
        <v>1034</v>
      </c>
      <c r="B2361" s="78" t="s">
        <v>23</v>
      </c>
      <c r="C2361" s="85">
        <v>44778.0</v>
      </c>
      <c r="D2361" s="85">
        <v>44779.0</v>
      </c>
      <c r="E2361" s="86">
        <v>8.25</v>
      </c>
      <c r="F2361" s="87">
        <v>17.81</v>
      </c>
      <c r="G2361" s="88">
        <f t="shared" si="1"/>
        <v>9.56</v>
      </c>
      <c r="H2361" s="89">
        <f t="shared" si="10"/>
        <v>0.5367770915</v>
      </c>
      <c r="I2361" s="78" t="s">
        <v>2954</v>
      </c>
      <c r="J2361" s="78" t="s">
        <v>69</v>
      </c>
      <c r="K2361" s="58">
        <f t="shared" si="3"/>
        <v>1</v>
      </c>
      <c r="L2361" s="91" t="str">
        <f t="shared" si="8"/>
        <v>Sat</v>
      </c>
      <c r="M2361" s="78" t="str">
        <f>IFERROR(VLOOKUP(A2361, Entries!A:B,2,false),"")</f>
        <v>Eugen Systems</v>
      </c>
      <c r="N2361" s="23" t="str">
        <f>IFERROR(VLOOKUP(A2361, Entries!A:K,11,false),"")</f>
        <v/>
      </c>
      <c r="O2361" s="23" t="b">
        <f>IFERROR(VLOOKUP(A2361, Entries!A:I,8,false),"")</f>
        <v>1</v>
      </c>
    </row>
    <row r="2362">
      <c r="A2362" s="78" t="s">
        <v>1034</v>
      </c>
      <c r="B2362" s="78" t="s">
        <v>23</v>
      </c>
      <c r="C2362" s="85">
        <v>44778.0</v>
      </c>
      <c r="D2362" s="85">
        <v>44779.0</v>
      </c>
      <c r="E2362" s="86">
        <v>8.25</v>
      </c>
      <c r="F2362" s="87">
        <v>17.81</v>
      </c>
      <c r="G2362" s="88">
        <f t="shared" si="1"/>
        <v>9.56</v>
      </c>
      <c r="H2362" s="89">
        <f t="shared" si="10"/>
        <v>0.5367770915</v>
      </c>
      <c r="I2362" s="78" t="s">
        <v>2955</v>
      </c>
      <c r="J2362" s="78" t="s">
        <v>69</v>
      </c>
      <c r="K2362" s="58">
        <f t="shared" si="3"/>
        <v>1</v>
      </c>
      <c r="L2362" s="91" t="str">
        <f t="shared" si="8"/>
        <v>Sat</v>
      </c>
      <c r="M2362" s="78" t="str">
        <f>IFERROR(VLOOKUP(A2362, Entries!A:B,2,false),"")</f>
        <v>Eugen Systems</v>
      </c>
      <c r="N2362" s="23" t="str">
        <f>IFERROR(VLOOKUP(A2362, Entries!A:K,11,false),"")</f>
        <v/>
      </c>
      <c r="O2362" s="23" t="b">
        <f>IFERROR(VLOOKUP(A2362, Entries!A:I,8,false),"")</f>
        <v>1</v>
      </c>
    </row>
    <row r="2363">
      <c r="A2363" s="78" t="s">
        <v>1389</v>
      </c>
      <c r="B2363" s="78" t="s">
        <v>23</v>
      </c>
      <c r="C2363" s="85">
        <v>44778.0</v>
      </c>
      <c r="D2363" s="85">
        <v>44779.0</v>
      </c>
      <c r="E2363" s="86">
        <v>11.0</v>
      </c>
      <c r="F2363" s="87">
        <v>25.25</v>
      </c>
      <c r="G2363" s="88">
        <f t="shared" si="1"/>
        <v>14.25</v>
      </c>
      <c r="H2363" s="89">
        <f t="shared" si="10"/>
        <v>0.5643564356</v>
      </c>
      <c r="I2363" s="78" t="s">
        <v>2956</v>
      </c>
      <c r="J2363" s="78" t="s">
        <v>69</v>
      </c>
      <c r="K2363" s="58">
        <f t="shared" si="3"/>
        <v>1</v>
      </c>
      <c r="L2363" s="91" t="str">
        <f t="shared" si="8"/>
        <v>Sat</v>
      </c>
      <c r="M2363" s="78" t="str">
        <f>IFERROR(VLOOKUP(A2363, Entries!A:B,2,false),"")</f>
        <v>Eugen Systems</v>
      </c>
      <c r="N2363" s="23" t="str">
        <f>IFERROR(VLOOKUP(A2363, Entries!A:K,11,false),"")</f>
        <v/>
      </c>
      <c r="O2363" s="23" t="b">
        <f>IFERROR(VLOOKUP(A2363, Entries!A:I,8,false),"")</f>
        <v>1</v>
      </c>
    </row>
    <row r="2364">
      <c r="A2364" s="78" t="s">
        <v>1389</v>
      </c>
      <c r="B2364" s="78" t="s">
        <v>23</v>
      </c>
      <c r="C2364" s="85">
        <v>44778.0</v>
      </c>
      <c r="D2364" s="85">
        <v>44779.0</v>
      </c>
      <c r="E2364" s="86">
        <v>11.0</v>
      </c>
      <c r="F2364" s="87">
        <v>25.25</v>
      </c>
      <c r="G2364" s="88">
        <f t="shared" si="1"/>
        <v>14.25</v>
      </c>
      <c r="H2364" s="89">
        <f t="shared" si="10"/>
        <v>0.5643564356</v>
      </c>
      <c r="I2364" s="78" t="s">
        <v>2957</v>
      </c>
      <c r="J2364" s="78" t="s">
        <v>69</v>
      </c>
      <c r="K2364" s="58">
        <f t="shared" si="3"/>
        <v>1</v>
      </c>
      <c r="L2364" s="91" t="str">
        <f t="shared" si="8"/>
        <v>Sat</v>
      </c>
      <c r="M2364" s="78" t="str">
        <f>IFERROR(VLOOKUP(A2364, Entries!A:B,2,false),"")</f>
        <v>Eugen Systems</v>
      </c>
      <c r="N2364" s="23" t="str">
        <f>IFERROR(VLOOKUP(A2364, Entries!A:K,11,false),"")</f>
        <v/>
      </c>
      <c r="O2364" s="23" t="b">
        <f>IFERROR(VLOOKUP(A2364, Entries!A:I,8,false),"")</f>
        <v>1</v>
      </c>
    </row>
    <row r="2365">
      <c r="A2365" s="78" t="s">
        <v>1406</v>
      </c>
      <c r="B2365" s="78" t="s">
        <v>23</v>
      </c>
      <c r="C2365" s="85">
        <v>44778.0</v>
      </c>
      <c r="D2365" s="85">
        <v>44779.0</v>
      </c>
      <c r="E2365" s="86">
        <v>21.5</v>
      </c>
      <c r="F2365" s="87">
        <v>42.0</v>
      </c>
      <c r="G2365" s="88">
        <f t="shared" si="1"/>
        <v>20.5</v>
      </c>
      <c r="H2365" s="89">
        <f t="shared" si="10"/>
        <v>0.4880952381</v>
      </c>
      <c r="I2365" s="78" t="s">
        <v>2958</v>
      </c>
      <c r="J2365" s="78" t="s">
        <v>69</v>
      </c>
      <c r="K2365" s="58">
        <f t="shared" si="3"/>
        <v>1</v>
      </c>
      <c r="L2365" s="91" t="str">
        <f t="shared" si="8"/>
        <v>Sat</v>
      </c>
      <c r="M2365" s="78" t="str">
        <f>IFERROR(VLOOKUP(A2365, Entries!A:B,2,false),"")</f>
        <v>Eugen Systems</v>
      </c>
      <c r="N2365" s="23" t="str">
        <f>IFERROR(VLOOKUP(A2365, Entries!A:K,11,false),"")</f>
        <v/>
      </c>
      <c r="O2365" s="23" t="b">
        <f>IFERROR(VLOOKUP(A2365, Entries!A:I,8,false),"")</f>
        <v>1</v>
      </c>
    </row>
    <row r="2366">
      <c r="A2366" s="78" t="s">
        <v>2323</v>
      </c>
      <c r="B2366" s="78" t="s">
        <v>27</v>
      </c>
      <c r="C2366" s="85">
        <v>44778.0</v>
      </c>
      <c r="D2366" s="85">
        <v>44785.0</v>
      </c>
      <c r="E2366" s="86">
        <v>3.59</v>
      </c>
      <c r="F2366" s="87">
        <v>5.41</v>
      </c>
      <c r="G2366" s="88">
        <f t="shared" si="1"/>
        <v>1.82</v>
      </c>
      <c r="H2366" s="89">
        <f t="shared" si="10"/>
        <v>0.3364140481</v>
      </c>
      <c r="I2366" s="78" t="s">
        <v>2959</v>
      </c>
      <c r="J2366" s="78" t="s">
        <v>69</v>
      </c>
      <c r="K2366" s="58">
        <f t="shared" si="3"/>
        <v>7</v>
      </c>
      <c r="L2366" s="91" t="str">
        <f t="shared" si="8"/>
        <v>Fri</v>
      </c>
      <c r="M2366" s="78" t="str">
        <f>IFERROR(VLOOKUP(A2366, Entries!A:B,2,false),"")</f>
        <v>tinyBuild</v>
      </c>
      <c r="N2366" s="23" t="str">
        <f>IFERROR(VLOOKUP(A2366, Entries!A:K,11,false),"")</f>
        <v/>
      </c>
      <c r="O2366" s="23" t="b">
        <f>IFERROR(VLOOKUP(A2366, Entries!A:I,8,false),"")</f>
        <v>1</v>
      </c>
    </row>
    <row r="2367">
      <c r="A2367" s="78" t="s">
        <v>1389</v>
      </c>
      <c r="B2367" s="78" t="s">
        <v>23</v>
      </c>
      <c r="C2367" s="85">
        <v>44779.0</v>
      </c>
      <c r="D2367" s="85">
        <v>44806.0</v>
      </c>
      <c r="E2367" s="86">
        <v>11.0</v>
      </c>
      <c r="F2367" s="87">
        <v>20.53</v>
      </c>
      <c r="G2367" s="88">
        <f t="shared" si="1"/>
        <v>9.53</v>
      </c>
      <c r="H2367" s="89">
        <f t="shared" si="10"/>
        <v>0.4641987336</v>
      </c>
      <c r="I2367" s="78" t="s">
        <v>2960</v>
      </c>
      <c r="J2367" s="78" t="s">
        <v>69</v>
      </c>
      <c r="K2367" s="58">
        <f t="shared" si="3"/>
        <v>27</v>
      </c>
      <c r="L2367" s="91" t="str">
        <f t="shared" si="8"/>
        <v>Fri</v>
      </c>
      <c r="M2367" s="78" t="str">
        <f>IFERROR(VLOOKUP(A2367, Entries!A:B,2,false),"")</f>
        <v>Eugen Systems</v>
      </c>
      <c r="N2367" s="23" t="str">
        <f>IFERROR(VLOOKUP(A2367, Entries!A:K,11,false),"")</f>
        <v/>
      </c>
      <c r="O2367" s="23" t="b">
        <f>IFERROR(VLOOKUP(A2367, Entries!A:I,8,false),"")</f>
        <v>1</v>
      </c>
    </row>
    <row r="2368">
      <c r="A2368" s="78" t="s">
        <v>1034</v>
      </c>
      <c r="B2368" s="78" t="s">
        <v>23</v>
      </c>
      <c r="C2368" s="85">
        <v>44779.0</v>
      </c>
      <c r="D2368" s="85">
        <v>44781.0</v>
      </c>
      <c r="E2368" s="86">
        <v>8.25</v>
      </c>
      <c r="F2368" s="87">
        <v>17.48</v>
      </c>
      <c r="G2368" s="88">
        <f t="shared" si="1"/>
        <v>9.23</v>
      </c>
      <c r="H2368" s="89">
        <f t="shared" si="10"/>
        <v>0.5280320366</v>
      </c>
      <c r="I2368" s="78" t="s">
        <v>2961</v>
      </c>
      <c r="J2368" s="78" t="s">
        <v>69</v>
      </c>
      <c r="K2368" s="58">
        <f t="shared" si="3"/>
        <v>2</v>
      </c>
      <c r="L2368" s="91" t="str">
        <f t="shared" si="8"/>
        <v>Mon</v>
      </c>
      <c r="M2368" s="78" t="str">
        <f>IFERROR(VLOOKUP(A2368, Entries!A:B,2,false),"")</f>
        <v>Eugen Systems</v>
      </c>
      <c r="N2368" s="23" t="str">
        <f>IFERROR(VLOOKUP(A2368, Entries!A:K,11,false),"")</f>
        <v/>
      </c>
      <c r="O2368" s="23" t="b">
        <f>IFERROR(VLOOKUP(A2368, Entries!A:I,8,false),"")</f>
        <v>1</v>
      </c>
    </row>
    <row r="2369">
      <c r="A2369" s="78" t="s">
        <v>1406</v>
      </c>
      <c r="B2369" s="78" t="s">
        <v>23</v>
      </c>
      <c r="C2369" s="85">
        <v>44779.0</v>
      </c>
      <c r="D2369" s="85">
        <v>44780.0</v>
      </c>
      <c r="E2369" s="86">
        <v>21.5</v>
      </c>
      <c r="F2369" s="87">
        <v>40.55</v>
      </c>
      <c r="G2369" s="88">
        <f t="shared" si="1"/>
        <v>19.05</v>
      </c>
      <c r="H2369" s="89">
        <f t="shared" si="10"/>
        <v>0.4697903822</v>
      </c>
      <c r="I2369" s="78" t="s">
        <v>2962</v>
      </c>
      <c r="J2369" s="78" t="s">
        <v>69</v>
      </c>
      <c r="K2369" s="58">
        <f t="shared" si="3"/>
        <v>1</v>
      </c>
      <c r="L2369" s="91" t="str">
        <f t="shared" si="8"/>
        <v>Sun</v>
      </c>
      <c r="M2369" s="78" t="str">
        <f>IFERROR(VLOOKUP(A2369, Entries!A:B,2,false),"")</f>
        <v>Eugen Systems</v>
      </c>
      <c r="N2369" s="23" t="str">
        <f>IFERROR(VLOOKUP(A2369, Entries!A:K,11,false),"")</f>
        <v/>
      </c>
      <c r="O2369" s="23" t="b">
        <f>IFERROR(VLOOKUP(A2369, Entries!A:I,8,false),"")</f>
        <v>1</v>
      </c>
    </row>
    <row r="2370">
      <c r="A2370" s="78" t="s">
        <v>1406</v>
      </c>
      <c r="B2370" s="78" t="s">
        <v>23</v>
      </c>
      <c r="C2370" s="85">
        <v>44780.0</v>
      </c>
      <c r="D2370" s="85">
        <v>44781.0</v>
      </c>
      <c r="E2370" s="86">
        <v>21.5</v>
      </c>
      <c r="F2370" s="87">
        <v>40.37</v>
      </c>
      <c r="G2370" s="88">
        <f t="shared" si="1"/>
        <v>18.87</v>
      </c>
      <c r="H2370" s="89">
        <f t="shared" si="10"/>
        <v>0.4674263067</v>
      </c>
      <c r="I2370" s="78" t="s">
        <v>2963</v>
      </c>
      <c r="J2370" s="78" t="s">
        <v>69</v>
      </c>
      <c r="K2370" s="58">
        <f t="shared" si="3"/>
        <v>1</v>
      </c>
      <c r="L2370" s="91" t="str">
        <f t="shared" si="8"/>
        <v>Mon</v>
      </c>
      <c r="M2370" s="78" t="str">
        <f>IFERROR(VLOOKUP(A2370, Entries!A:B,2,false),"")</f>
        <v>Eugen Systems</v>
      </c>
      <c r="N2370" s="23" t="str">
        <f>IFERROR(VLOOKUP(A2370, Entries!A:K,11,false),"")</f>
        <v/>
      </c>
      <c r="O2370" s="23" t="b">
        <f>IFERROR(VLOOKUP(A2370, Entries!A:I,8,false),"")</f>
        <v>1</v>
      </c>
    </row>
    <row r="2371">
      <c r="A2371" s="78" t="s">
        <v>1596</v>
      </c>
      <c r="B2371" s="78" t="s">
        <v>32</v>
      </c>
      <c r="C2371" s="85">
        <v>44780.0</v>
      </c>
      <c r="D2371" s="85">
        <v>44780.0</v>
      </c>
      <c r="E2371" s="86">
        <v>18.45</v>
      </c>
      <c r="F2371" s="87">
        <v>29.31</v>
      </c>
      <c r="G2371" s="88">
        <f t="shared" si="1"/>
        <v>10.86</v>
      </c>
      <c r="H2371" s="89">
        <f t="shared" si="10"/>
        <v>0.3705220061</v>
      </c>
      <c r="I2371" s="78" t="s">
        <v>2964</v>
      </c>
      <c r="J2371" s="78" t="s">
        <v>69</v>
      </c>
      <c r="K2371" s="58">
        <f t="shared" si="3"/>
        <v>0</v>
      </c>
      <c r="L2371" s="91" t="str">
        <f t="shared" si="8"/>
        <v>Sun</v>
      </c>
      <c r="M2371" s="78" t="str">
        <f>IFERROR(VLOOKUP(A2371, Entries!A:B,2,false),"")</f>
        <v>505 Games</v>
      </c>
      <c r="N2371" s="23" t="str">
        <f>IFERROR(VLOOKUP(A2371, Entries!A:K,11,false),"")</f>
        <v/>
      </c>
      <c r="O2371" s="23" t="b">
        <f>IFERROR(VLOOKUP(A2371, Entries!A:I,8,false),"")</f>
        <v>1</v>
      </c>
    </row>
    <row r="2372">
      <c r="A2372" s="78" t="s">
        <v>1596</v>
      </c>
      <c r="B2372" s="78" t="s">
        <v>32</v>
      </c>
      <c r="C2372" s="85">
        <v>44780.0</v>
      </c>
      <c r="D2372" s="85">
        <v>44785.0</v>
      </c>
      <c r="E2372" s="86">
        <v>18.46</v>
      </c>
      <c r="F2372" s="87">
        <v>24.77</v>
      </c>
      <c r="G2372" s="88">
        <f t="shared" si="1"/>
        <v>6.31</v>
      </c>
      <c r="H2372" s="89">
        <f t="shared" si="10"/>
        <v>0.2547436415</v>
      </c>
      <c r="I2372" s="78" t="s">
        <v>2965</v>
      </c>
      <c r="J2372" s="78" t="s">
        <v>69</v>
      </c>
      <c r="K2372" s="58">
        <f t="shared" si="3"/>
        <v>5</v>
      </c>
      <c r="L2372" s="91" t="str">
        <f t="shared" si="8"/>
        <v>Fri</v>
      </c>
      <c r="M2372" s="78" t="str">
        <f>IFERROR(VLOOKUP(A2372, Entries!A:B,2,false),"")</f>
        <v>505 Games</v>
      </c>
      <c r="N2372" s="23" t="str">
        <f>IFERROR(VLOOKUP(A2372, Entries!A:K,11,false),"")</f>
        <v/>
      </c>
      <c r="O2372" s="23" t="b">
        <f>IFERROR(VLOOKUP(A2372, Entries!A:I,8,false),"")</f>
        <v>1</v>
      </c>
    </row>
    <row r="2373">
      <c r="A2373" s="78" t="s">
        <v>1034</v>
      </c>
      <c r="B2373" s="78" t="s">
        <v>23</v>
      </c>
      <c r="C2373" s="85">
        <v>44781.0</v>
      </c>
      <c r="D2373" s="85">
        <v>44781.0</v>
      </c>
      <c r="E2373" s="86">
        <v>8.25</v>
      </c>
      <c r="F2373" s="87">
        <v>17.07</v>
      </c>
      <c r="G2373" s="88">
        <f t="shared" si="1"/>
        <v>8.82</v>
      </c>
      <c r="H2373" s="89">
        <f t="shared" si="10"/>
        <v>0.5166959578</v>
      </c>
      <c r="I2373" s="78" t="s">
        <v>2966</v>
      </c>
      <c r="J2373" s="78" t="s">
        <v>69</v>
      </c>
      <c r="K2373" s="58">
        <f t="shared" si="3"/>
        <v>0</v>
      </c>
      <c r="L2373" s="91" t="str">
        <f t="shared" si="8"/>
        <v>Mon</v>
      </c>
      <c r="M2373" s="78" t="str">
        <f>IFERROR(VLOOKUP(A2373, Entries!A:B,2,false),"")</f>
        <v>Eugen Systems</v>
      </c>
      <c r="N2373" s="23" t="str">
        <f>IFERROR(VLOOKUP(A2373, Entries!A:K,11,false),"")</f>
        <v/>
      </c>
      <c r="O2373" s="23" t="b">
        <f>IFERROR(VLOOKUP(A2373, Entries!A:I,8,false),"")</f>
        <v>1</v>
      </c>
    </row>
    <row r="2374">
      <c r="A2374" s="78" t="s">
        <v>1034</v>
      </c>
      <c r="B2374" s="78" t="s">
        <v>23</v>
      </c>
      <c r="C2374" s="85">
        <v>44781.0</v>
      </c>
      <c r="D2374" s="85">
        <v>44783.0</v>
      </c>
      <c r="E2374" s="86">
        <v>8.25</v>
      </c>
      <c r="F2374" s="87">
        <v>17.63</v>
      </c>
      <c r="G2374" s="88">
        <f t="shared" si="1"/>
        <v>9.38</v>
      </c>
      <c r="H2374" s="89">
        <f t="shared" si="10"/>
        <v>0.5320476461</v>
      </c>
      <c r="I2374" s="78" t="s">
        <v>2967</v>
      </c>
      <c r="J2374" s="78" t="s">
        <v>69</v>
      </c>
      <c r="K2374" s="58">
        <f t="shared" si="3"/>
        <v>2</v>
      </c>
      <c r="L2374" s="91" t="str">
        <f t="shared" si="8"/>
        <v>Wed</v>
      </c>
      <c r="M2374" s="78" t="str">
        <f>IFERROR(VLOOKUP(A2374, Entries!A:B,2,false),"")</f>
        <v>Eugen Systems</v>
      </c>
      <c r="N2374" s="23" t="str">
        <f>IFERROR(VLOOKUP(A2374, Entries!A:K,11,false),"")</f>
        <v/>
      </c>
      <c r="O2374" s="23" t="b">
        <f>IFERROR(VLOOKUP(A2374, Entries!A:I,8,false),"")</f>
        <v>1</v>
      </c>
    </row>
    <row r="2375">
      <c r="A2375" s="78" t="s">
        <v>2016</v>
      </c>
      <c r="B2375" s="78" t="s">
        <v>19</v>
      </c>
      <c r="C2375" s="85">
        <v>44781.0</v>
      </c>
      <c r="D2375" s="85">
        <v>44792.0</v>
      </c>
      <c r="E2375" s="86">
        <v>2.37</v>
      </c>
      <c r="F2375" s="87">
        <v>5.25</v>
      </c>
      <c r="G2375" s="88">
        <f t="shared" si="1"/>
        <v>2.88</v>
      </c>
      <c r="H2375" s="89">
        <f t="shared" si="10"/>
        <v>0.5485714286</v>
      </c>
      <c r="I2375" s="78" t="s">
        <v>2968</v>
      </c>
      <c r="J2375" s="78" t="s">
        <v>69</v>
      </c>
      <c r="K2375" s="58">
        <f t="shared" si="3"/>
        <v>11</v>
      </c>
      <c r="L2375" s="91" t="str">
        <f t="shared" si="8"/>
        <v>Fri</v>
      </c>
      <c r="M2375" s="78" t="str">
        <f>IFERROR(VLOOKUP(A2375, Entries!A:B,2,false),"")</f>
        <v>Ironhide Game Studio</v>
      </c>
      <c r="N2375" s="23" t="str">
        <f>IFERROR(VLOOKUP(A2375, Entries!A:K,11,false),"")</f>
        <v/>
      </c>
      <c r="O2375" s="23" t="b">
        <f>IFERROR(VLOOKUP(A2375, Entries!A:I,8,false),"")</f>
        <v>1</v>
      </c>
    </row>
    <row r="2376">
      <c r="A2376" s="78" t="s">
        <v>2951</v>
      </c>
      <c r="B2376" s="78" t="s">
        <v>33</v>
      </c>
      <c r="C2376" s="85">
        <v>44781.0</v>
      </c>
      <c r="D2376" s="85">
        <v>44831.0</v>
      </c>
      <c r="E2376" s="86">
        <v>6.74</v>
      </c>
      <c r="F2376" s="87">
        <v>11.02</v>
      </c>
      <c r="G2376" s="88">
        <f t="shared" si="1"/>
        <v>4.28</v>
      </c>
      <c r="H2376" s="89">
        <f t="shared" si="10"/>
        <v>0.388384755</v>
      </c>
      <c r="I2376" s="78" t="s">
        <v>2969</v>
      </c>
      <c r="J2376" s="78" t="s">
        <v>69</v>
      </c>
      <c r="K2376" s="58">
        <f t="shared" si="3"/>
        <v>50</v>
      </c>
      <c r="L2376" s="91" t="str">
        <f t="shared" si="8"/>
        <v>Tue</v>
      </c>
      <c r="M2376" s="78" t="str">
        <f>IFERROR(VLOOKUP(A2376, Entries!A:B,2,false),"")</f>
        <v>Marmalade Game Studio</v>
      </c>
      <c r="N2376" s="23" t="str">
        <f>IFERROR(VLOOKUP(A2376, Entries!A:K,11,false),"")</f>
        <v/>
      </c>
      <c r="O2376" s="23" t="b">
        <f>IFERROR(VLOOKUP(A2376, Entries!A:I,8,false),"")</f>
        <v>0</v>
      </c>
    </row>
    <row r="2377">
      <c r="A2377" s="78" t="s">
        <v>2970</v>
      </c>
      <c r="B2377" s="78" t="s">
        <v>19</v>
      </c>
      <c r="C2377" s="85">
        <v>44782.0</v>
      </c>
      <c r="D2377" s="85">
        <v>44801.0</v>
      </c>
      <c r="E2377" s="86">
        <v>19.94</v>
      </c>
      <c r="F2377" s="87">
        <v>22.41</v>
      </c>
      <c r="G2377" s="88">
        <f t="shared" si="1"/>
        <v>2.47</v>
      </c>
      <c r="H2377" s="89">
        <f t="shared" si="10"/>
        <v>0.1102186524</v>
      </c>
      <c r="I2377" s="78" t="s">
        <v>2971</v>
      </c>
      <c r="J2377" s="78" t="s">
        <v>69</v>
      </c>
      <c r="K2377" s="58">
        <f t="shared" si="3"/>
        <v>19</v>
      </c>
      <c r="L2377" s="91" t="str">
        <f t="shared" si="8"/>
        <v>Sun</v>
      </c>
      <c r="M2377" s="78" t="str">
        <f>IFERROR(VLOOKUP(A2377, Entries!A:B,2,false),"")</f>
        <v>EXOR Studios</v>
      </c>
      <c r="N2377" s="23" t="str">
        <f>IFERROR(VLOOKUP(A2377, Entries!A:K,11,false),"")</f>
        <v/>
      </c>
      <c r="O2377" s="23" t="b">
        <f>IFERROR(VLOOKUP(A2377, Entries!A:I,8,false),"")</f>
        <v>0</v>
      </c>
    </row>
    <row r="2378">
      <c r="A2378" s="78" t="s">
        <v>2972</v>
      </c>
      <c r="B2378" s="78" t="s">
        <v>27</v>
      </c>
      <c r="C2378" s="85">
        <v>44784.0</v>
      </c>
      <c r="D2378" s="85">
        <v>44803.0</v>
      </c>
      <c r="E2378" s="86">
        <v>5.99</v>
      </c>
      <c r="F2378" s="87">
        <v>7.58</v>
      </c>
      <c r="G2378" s="88">
        <f t="shared" si="1"/>
        <v>1.59</v>
      </c>
      <c r="H2378" s="89">
        <f t="shared" si="10"/>
        <v>0.209762533</v>
      </c>
      <c r="I2378" s="78" t="s">
        <v>2973</v>
      </c>
      <c r="J2378" s="78" t="s">
        <v>69</v>
      </c>
      <c r="K2378" s="58">
        <f t="shared" si="3"/>
        <v>19</v>
      </c>
      <c r="L2378" s="91" t="str">
        <f t="shared" si="8"/>
        <v>Tue</v>
      </c>
      <c r="M2378" s="78" t="str">
        <f>IFERROR(VLOOKUP(A2378, Entries!A:B,2,false),"")</f>
        <v>505 Games</v>
      </c>
      <c r="N2378" s="23" t="str">
        <f>IFERROR(VLOOKUP(A2378, Entries!A:K,11,false),"")</f>
        <v/>
      </c>
      <c r="O2378" s="23" t="b">
        <f>IFERROR(VLOOKUP(A2378, Entries!A:I,8,false),"")</f>
        <v>0</v>
      </c>
    </row>
    <row r="2379">
      <c r="A2379" s="78" t="s">
        <v>2323</v>
      </c>
      <c r="B2379" s="78" t="s">
        <v>27</v>
      </c>
      <c r="C2379" s="85">
        <v>44785.0</v>
      </c>
      <c r="D2379" s="85">
        <v>44809.0</v>
      </c>
      <c r="E2379" s="86">
        <v>3.59</v>
      </c>
      <c r="F2379" s="87">
        <v>4.4</v>
      </c>
      <c r="G2379" s="88">
        <f t="shared" si="1"/>
        <v>0.81</v>
      </c>
      <c r="H2379" s="89">
        <f t="shared" si="10"/>
        <v>0.1840909091</v>
      </c>
      <c r="I2379" s="78" t="s">
        <v>2974</v>
      </c>
      <c r="J2379" s="78" t="s">
        <v>69</v>
      </c>
      <c r="K2379" s="58">
        <f t="shared" si="3"/>
        <v>24</v>
      </c>
      <c r="L2379" s="91" t="str">
        <f t="shared" si="8"/>
        <v>Mon</v>
      </c>
      <c r="M2379" s="78" t="str">
        <f>IFERROR(VLOOKUP(A2379, Entries!A:B,2,false),"")</f>
        <v>tinyBuild</v>
      </c>
      <c r="N2379" s="23" t="str">
        <f>IFERROR(VLOOKUP(A2379, Entries!A:K,11,false),"")</f>
        <v/>
      </c>
      <c r="O2379" s="23" t="b">
        <f>IFERROR(VLOOKUP(A2379, Entries!A:I,8,false),"")</f>
        <v>1</v>
      </c>
    </row>
    <row r="2380">
      <c r="A2380" s="78" t="s">
        <v>149</v>
      </c>
      <c r="B2380" s="78" t="s">
        <v>19</v>
      </c>
      <c r="C2380" s="85">
        <v>44785.0</v>
      </c>
      <c r="D2380" s="85">
        <v>44807.0</v>
      </c>
      <c r="E2380" s="86">
        <v>3.84</v>
      </c>
      <c r="F2380" s="87">
        <v>4.76</v>
      </c>
      <c r="G2380" s="88">
        <f t="shared" si="1"/>
        <v>0.92</v>
      </c>
      <c r="H2380" s="89">
        <f t="shared" si="10"/>
        <v>0.1932773109</v>
      </c>
      <c r="I2380" s="78" t="s">
        <v>2975</v>
      </c>
      <c r="J2380" s="78" t="s">
        <v>69</v>
      </c>
      <c r="K2380" s="58">
        <f t="shared" si="3"/>
        <v>22</v>
      </c>
      <c r="L2380" s="91" t="str">
        <f t="shared" si="8"/>
        <v>Sat</v>
      </c>
      <c r="M2380" s="78" t="str">
        <f>IFERROR(VLOOKUP(A2380, Entries!A:B,2,false),"")</f>
        <v>Focus Home Interactive</v>
      </c>
      <c r="N2380" s="23" t="str">
        <f>IFERROR(VLOOKUP(A2380, Entries!A:K,11,false),"")</f>
        <v/>
      </c>
      <c r="O2380" s="23" t="b">
        <f>IFERROR(VLOOKUP(A2380, Entries!A:I,8,false),"")</f>
        <v>0</v>
      </c>
    </row>
    <row r="2381">
      <c r="A2381" s="78" t="s">
        <v>67</v>
      </c>
      <c r="B2381" s="78" t="s">
        <v>23</v>
      </c>
      <c r="C2381" s="85">
        <v>44785.0</v>
      </c>
      <c r="D2381" s="85">
        <v>44802.0</v>
      </c>
      <c r="E2381" s="86">
        <v>4.5</v>
      </c>
      <c r="F2381" s="87">
        <v>7.34</v>
      </c>
      <c r="G2381" s="88">
        <f t="shared" si="1"/>
        <v>2.84</v>
      </c>
      <c r="H2381" s="89">
        <f t="shared" si="10"/>
        <v>0.3869209809</v>
      </c>
      <c r="I2381" s="78" t="s">
        <v>2976</v>
      </c>
      <c r="J2381" s="78" t="s">
        <v>69</v>
      </c>
      <c r="K2381" s="58">
        <f t="shared" si="3"/>
        <v>17</v>
      </c>
      <c r="L2381" s="91" t="str">
        <f t="shared" si="8"/>
        <v>Mon</v>
      </c>
      <c r="M2381" s="78" t="str">
        <f>IFERROR(VLOOKUP(A2381, Entries!A:B,2,false),"")</f>
        <v>SEGA</v>
      </c>
      <c r="N2381" s="23" t="str">
        <f>IFERROR(VLOOKUP(A2381, Entries!A:K,11,false),"")</f>
        <v/>
      </c>
      <c r="O2381" s="23" t="b">
        <f>IFERROR(VLOOKUP(A2381, Entries!A:I,8,false),"")</f>
        <v>0</v>
      </c>
    </row>
    <row r="2382">
      <c r="A2382" s="94" t="s">
        <v>353</v>
      </c>
      <c r="B2382" s="78" t="s">
        <v>19</v>
      </c>
      <c r="C2382" s="85">
        <v>44785.0</v>
      </c>
      <c r="D2382" s="85">
        <v>45633.0</v>
      </c>
      <c r="E2382" s="86">
        <v>8.54</v>
      </c>
      <c r="F2382" s="87">
        <v>2.58</v>
      </c>
      <c r="G2382" s="88">
        <f t="shared" si="1"/>
        <v>-5.96</v>
      </c>
      <c r="H2382" s="89">
        <f t="shared" si="10"/>
        <v>-2.310077519</v>
      </c>
      <c r="I2382" s="78" t="s">
        <v>2977</v>
      </c>
      <c r="J2382" s="78" t="s">
        <v>69</v>
      </c>
      <c r="K2382" s="58">
        <f t="shared" si="3"/>
        <v>848</v>
      </c>
      <c r="L2382" s="91" t="str">
        <f t="shared" si="8"/>
        <v>Sat</v>
      </c>
      <c r="M2382" s="78" t="str">
        <f>IFERROR(VLOOKUP(A2382, Entries!A:B,2,false),"")</f>
        <v>Akupara Games</v>
      </c>
      <c r="N2382" s="23" t="str">
        <f>IFERROR(VLOOKUP(A2382, Entries!A:K,11,false),"")</f>
        <v/>
      </c>
      <c r="O2382" s="23" t="b">
        <f>IFERROR(VLOOKUP(A2382, Entries!A:I,8,false),"")</f>
        <v>0</v>
      </c>
    </row>
    <row r="2383">
      <c r="A2383" s="78" t="s">
        <v>1596</v>
      </c>
      <c r="B2383" s="78" t="s">
        <v>32</v>
      </c>
      <c r="C2383" s="85">
        <v>44786.0</v>
      </c>
      <c r="D2383" s="85">
        <v>44786.0</v>
      </c>
      <c r="E2383" s="86">
        <v>19.02</v>
      </c>
      <c r="F2383" s="87">
        <v>24.77</v>
      </c>
      <c r="G2383" s="88">
        <f t="shared" si="1"/>
        <v>5.75</v>
      </c>
      <c r="H2383" s="89">
        <f t="shared" si="10"/>
        <v>0.232135648</v>
      </c>
      <c r="I2383" s="78" t="s">
        <v>2978</v>
      </c>
      <c r="J2383" s="78" t="s">
        <v>69</v>
      </c>
      <c r="K2383" s="58">
        <f t="shared" si="3"/>
        <v>0</v>
      </c>
      <c r="L2383" s="91" t="str">
        <f t="shared" si="8"/>
        <v>Sat</v>
      </c>
      <c r="M2383" s="78" t="str">
        <f>IFERROR(VLOOKUP(A2383, Entries!A:B,2,false),"")</f>
        <v>505 Games</v>
      </c>
      <c r="N2383" s="23" t="str">
        <f>IFERROR(VLOOKUP(A2383, Entries!A:K,11,false),"")</f>
        <v/>
      </c>
      <c r="O2383" s="23" t="b">
        <f>IFERROR(VLOOKUP(A2383, Entries!A:I,8,false),"")</f>
        <v>1</v>
      </c>
    </row>
    <row r="2384">
      <c r="A2384" s="78" t="s">
        <v>1596</v>
      </c>
      <c r="B2384" s="78" t="s">
        <v>32</v>
      </c>
      <c r="C2384" s="85">
        <v>44786.0</v>
      </c>
      <c r="D2384" s="85">
        <v>44786.0</v>
      </c>
      <c r="E2384" s="86">
        <v>19.03</v>
      </c>
      <c r="F2384" s="87">
        <v>24.77</v>
      </c>
      <c r="G2384" s="88">
        <f t="shared" si="1"/>
        <v>5.74</v>
      </c>
      <c r="H2384" s="89">
        <f t="shared" si="10"/>
        <v>0.2317319338</v>
      </c>
      <c r="I2384" s="78" t="s">
        <v>2979</v>
      </c>
      <c r="J2384" s="78" t="s">
        <v>69</v>
      </c>
      <c r="K2384" s="58">
        <f t="shared" si="3"/>
        <v>0</v>
      </c>
      <c r="L2384" s="91" t="str">
        <f t="shared" si="8"/>
        <v>Sat</v>
      </c>
      <c r="M2384" s="78" t="str">
        <f>IFERROR(VLOOKUP(A2384, Entries!A:B,2,false),"")</f>
        <v>505 Games</v>
      </c>
      <c r="N2384" s="23" t="str">
        <f>IFERROR(VLOOKUP(A2384, Entries!A:K,11,false),"")</f>
        <v/>
      </c>
      <c r="O2384" s="23" t="b">
        <f>IFERROR(VLOOKUP(A2384, Entries!A:I,8,false),"")</f>
        <v>1</v>
      </c>
    </row>
    <row r="2385">
      <c r="A2385" s="78" t="s">
        <v>2948</v>
      </c>
      <c r="B2385" s="78" t="s">
        <v>27</v>
      </c>
      <c r="C2385" s="85">
        <v>44786.0</v>
      </c>
      <c r="D2385" s="85">
        <v>44890.0</v>
      </c>
      <c r="E2385" s="86">
        <v>10.79</v>
      </c>
      <c r="F2385" s="87">
        <v>16.27</v>
      </c>
      <c r="G2385" s="88">
        <f t="shared" si="1"/>
        <v>5.48</v>
      </c>
      <c r="H2385" s="89">
        <f t="shared" si="10"/>
        <v>0.3368162262</v>
      </c>
      <c r="I2385" s="78" t="s">
        <v>2980</v>
      </c>
      <c r="J2385" s="78" t="s">
        <v>69</v>
      </c>
      <c r="K2385" s="58">
        <f t="shared" si="3"/>
        <v>104</v>
      </c>
      <c r="L2385" s="91" t="str">
        <f t="shared" si="8"/>
        <v>Fri</v>
      </c>
      <c r="M2385" s="78" t="str">
        <f>IFERROR(VLOOKUP(A2385, Entries!A:B,2,false),"")</f>
        <v>Whitethorn Games</v>
      </c>
      <c r="N2385" s="23" t="str">
        <f>IFERROR(VLOOKUP(A2385, Entries!A:K,11,false),"")</f>
        <v/>
      </c>
      <c r="O2385" s="23" t="b">
        <f>IFERROR(VLOOKUP(A2385, Entries!A:I,8,false),"")</f>
        <v>0</v>
      </c>
    </row>
    <row r="2386">
      <c r="A2386" s="78" t="s">
        <v>1596</v>
      </c>
      <c r="B2386" s="78" t="s">
        <v>32</v>
      </c>
      <c r="C2386" s="85">
        <v>44786.0</v>
      </c>
      <c r="D2386" s="85">
        <v>44786.0</v>
      </c>
      <c r="E2386" s="86">
        <v>19.02</v>
      </c>
      <c r="F2386" s="87">
        <v>24.77</v>
      </c>
      <c r="G2386" s="88">
        <f t="shared" si="1"/>
        <v>5.75</v>
      </c>
      <c r="H2386" s="89">
        <f t="shared" si="10"/>
        <v>0.232135648</v>
      </c>
      <c r="I2386" s="78" t="s">
        <v>2981</v>
      </c>
      <c r="J2386" s="78" t="s">
        <v>69</v>
      </c>
      <c r="K2386" s="58">
        <f t="shared" si="3"/>
        <v>0</v>
      </c>
      <c r="L2386" s="91" t="str">
        <f t="shared" si="8"/>
        <v>Sat</v>
      </c>
      <c r="M2386" s="78" t="str">
        <f>IFERROR(VLOOKUP(A2386, Entries!A:B,2,false),"")</f>
        <v>505 Games</v>
      </c>
      <c r="N2386" s="23" t="str">
        <f>IFERROR(VLOOKUP(A2386, Entries!A:K,11,false),"")</f>
        <v/>
      </c>
      <c r="O2386" s="23" t="b">
        <f>IFERROR(VLOOKUP(A2386, Entries!A:I,8,false),"")</f>
        <v>1</v>
      </c>
    </row>
    <row r="2387">
      <c r="A2387" s="78" t="s">
        <v>1596</v>
      </c>
      <c r="B2387" s="78" t="s">
        <v>32</v>
      </c>
      <c r="C2387" s="85">
        <v>44786.0</v>
      </c>
      <c r="D2387" s="85">
        <v>44787.0</v>
      </c>
      <c r="E2387" s="86">
        <v>19.03</v>
      </c>
      <c r="F2387" s="87">
        <v>24.74</v>
      </c>
      <c r="G2387" s="88">
        <f t="shared" si="1"/>
        <v>5.71</v>
      </c>
      <c r="H2387" s="89">
        <f t="shared" si="10"/>
        <v>0.2308003234</v>
      </c>
      <c r="I2387" s="78" t="s">
        <v>2982</v>
      </c>
      <c r="J2387" s="78" t="s">
        <v>69</v>
      </c>
      <c r="K2387" s="58">
        <f t="shared" si="3"/>
        <v>1</v>
      </c>
      <c r="L2387" s="91" t="str">
        <f t="shared" si="8"/>
        <v>Sun</v>
      </c>
      <c r="M2387" s="78" t="str">
        <f>IFERROR(VLOOKUP(A2387, Entries!A:B,2,false),"")</f>
        <v>505 Games</v>
      </c>
      <c r="N2387" s="23" t="str">
        <f>IFERROR(VLOOKUP(A2387, Entries!A:K,11,false),"")</f>
        <v/>
      </c>
      <c r="O2387" s="23" t="b">
        <f>IFERROR(VLOOKUP(A2387, Entries!A:I,8,false),"")</f>
        <v>1</v>
      </c>
    </row>
    <row r="2388">
      <c r="A2388" s="78" t="s">
        <v>1596</v>
      </c>
      <c r="B2388" s="78" t="s">
        <v>32</v>
      </c>
      <c r="C2388" s="85">
        <v>44787.0</v>
      </c>
      <c r="D2388" s="85">
        <v>44787.0</v>
      </c>
      <c r="E2388" s="86">
        <v>19.02</v>
      </c>
      <c r="F2388" s="87">
        <v>24.74</v>
      </c>
      <c r="G2388" s="88">
        <f t="shared" si="1"/>
        <v>5.72</v>
      </c>
      <c r="H2388" s="89">
        <f t="shared" si="10"/>
        <v>0.2312045271</v>
      </c>
      <c r="I2388" s="78" t="s">
        <v>2983</v>
      </c>
      <c r="J2388" s="78" t="s">
        <v>69</v>
      </c>
      <c r="K2388" s="58">
        <f t="shared" si="3"/>
        <v>0</v>
      </c>
      <c r="L2388" s="91" t="str">
        <f t="shared" si="8"/>
        <v>Sun</v>
      </c>
      <c r="M2388" s="78" t="str">
        <f>IFERROR(VLOOKUP(A2388, Entries!A:B,2,false),"")</f>
        <v>505 Games</v>
      </c>
      <c r="N2388" s="23" t="str">
        <f>IFERROR(VLOOKUP(A2388, Entries!A:K,11,false),"")</f>
        <v/>
      </c>
      <c r="O2388" s="23" t="b">
        <f>IFERROR(VLOOKUP(A2388, Entries!A:I,8,false),"")</f>
        <v>1</v>
      </c>
    </row>
    <row r="2389">
      <c r="A2389" s="78" t="s">
        <v>1596</v>
      </c>
      <c r="B2389" s="78" t="s">
        <v>32</v>
      </c>
      <c r="C2389" s="85">
        <v>44787.0</v>
      </c>
      <c r="D2389" s="85">
        <v>44788.0</v>
      </c>
      <c r="E2389" s="86">
        <v>19.03</v>
      </c>
      <c r="F2389" s="87">
        <v>24.7</v>
      </c>
      <c r="G2389" s="88">
        <f t="shared" si="1"/>
        <v>5.67</v>
      </c>
      <c r="H2389" s="89">
        <f t="shared" si="10"/>
        <v>0.2295546559</v>
      </c>
      <c r="I2389" s="78" t="s">
        <v>2984</v>
      </c>
      <c r="J2389" s="78" t="s">
        <v>69</v>
      </c>
      <c r="K2389" s="58">
        <f t="shared" si="3"/>
        <v>1</v>
      </c>
      <c r="L2389" s="91" t="str">
        <f t="shared" si="8"/>
        <v>Mon</v>
      </c>
      <c r="M2389" s="78" t="str">
        <f>IFERROR(VLOOKUP(A2389, Entries!A:B,2,false),"")</f>
        <v>505 Games</v>
      </c>
      <c r="N2389" s="23" t="str">
        <f>IFERROR(VLOOKUP(A2389, Entries!A:K,11,false),"")</f>
        <v/>
      </c>
      <c r="O2389" s="23" t="b">
        <f>IFERROR(VLOOKUP(A2389, Entries!A:I,8,false),"")</f>
        <v>1</v>
      </c>
    </row>
    <row r="2390">
      <c r="A2390" s="78" t="s">
        <v>719</v>
      </c>
      <c r="B2390" s="78" t="s">
        <v>19</v>
      </c>
      <c r="C2390" s="85">
        <v>44788.0</v>
      </c>
      <c r="D2390" s="85">
        <v>44841.0</v>
      </c>
      <c r="E2390" s="86">
        <v>9.97</v>
      </c>
      <c r="F2390" s="87">
        <v>12.14</v>
      </c>
      <c r="G2390" s="88">
        <f t="shared" si="1"/>
        <v>2.17</v>
      </c>
      <c r="H2390" s="89">
        <f t="shared" si="10"/>
        <v>0.1787479407</v>
      </c>
      <c r="I2390" s="78" t="s">
        <v>2985</v>
      </c>
      <c r="J2390" s="78" t="s">
        <v>69</v>
      </c>
      <c r="K2390" s="58">
        <f t="shared" si="3"/>
        <v>53</v>
      </c>
      <c r="L2390" s="91" t="str">
        <f t="shared" si="8"/>
        <v>Fri</v>
      </c>
      <c r="M2390" s="78" t="str">
        <f>IFERROR(VLOOKUP(A2390, Entries!A:B,2,false),"")</f>
        <v>Lukas Rustemeyer</v>
      </c>
      <c r="N2390" s="23" t="str">
        <f>IFERROR(VLOOKUP(A2390, Entries!A:K,11,false),"")</f>
        <v/>
      </c>
      <c r="O2390" s="23" t="b">
        <f>IFERROR(VLOOKUP(A2390, Entries!A:I,8,false),"")</f>
        <v>1</v>
      </c>
    </row>
    <row r="2391">
      <c r="A2391" s="78" t="s">
        <v>1596</v>
      </c>
      <c r="B2391" s="78" t="s">
        <v>32</v>
      </c>
      <c r="C2391" s="85">
        <v>44788.0</v>
      </c>
      <c r="D2391" s="85">
        <v>44789.0</v>
      </c>
      <c r="E2391" s="86">
        <v>19.02</v>
      </c>
      <c r="F2391" s="87">
        <v>24.66</v>
      </c>
      <c r="G2391" s="88">
        <f t="shared" si="1"/>
        <v>5.64</v>
      </c>
      <c r="H2391" s="89">
        <f t="shared" si="10"/>
        <v>0.2287104623</v>
      </c>
      <c r="I2391" s="78" t="s">
        <v>2986</v>
      </c>
      <c r="J2391" s="78" t="s">
        <v>69</v>
      </c>
      <c r="K2391" s="58">
        <f t="shared" si="3"/>
        <v>1</v>
      </c>
      <c r="L2391" s="91" t="str">
        <f t="shared" si="8"/>
        <v>Tue</v>
      </c>
      <c r="M2391" s="78" t="str">
        <f>IFERROR(VLOOKUP(A2391, Entries!A:B,2,false),"")</f>
        <v>505 Games</v>
      </c>
      <c r="N2391" s="23" t="str">
        <f>IFERROR(VLOOKUP(A2391, Entries!A:K,11,false),"")</f>
        <v/>
      </c>
      <c r="O2391" s="23" t="b">
        <f>IFERROR(VLOOKUP(A2391, Entries!A:I,8,false),"")</f>
        <v>1</v>
      </c>
    </row>
    <row r="2392">
      <c r="A2392" s="78" t="s">
        <v>1596</v>
      </c>
      <c r="B2392" s="78" t="s">
        <v>32</v>
      </c>
      <c r="C2392" s="85">
        <v>44788.0</v>
      </c>
      <c r="D2392" s="85">
        <v>44790.0</v>
      </c>
      <c r="E2392" s="86">
        <v>19.03</v>
      </c>
      <c r="F2392" s="87">
        <v>24.66</v>
      </c>
      <c r="G2392" s="88">
        <f t="shared" si="1"/>
        <v>5.63</v>
      </c>
      <c r="H2392" s="89">
        <f t="shared" si="10"/>
        <v>0.2283049473</v>
      </c>
      <c r="I2392" s="78" t="s">
        <v>2987</v>
      </c>
      <c r="J2392" s="78" t="s">
        <v>69</v>
      </c>
      <c r="K2392" s="58">
        <f t="shared" si="3"/>
        <v>2</v>
      </c>
      <c r="L2392" s="91" t="str">
        <f t="shared" si="8"/>
        <v>Wed</v>
      </c>
      <c r="M2392" s="78" t="str">
        <f>IFERROR(VLOOKUP(A2392, Entries!A:B,2,false),"")</f>
        <v>505 Games</v>
      </c>
      <c r="N2392" s="23" t="str">
        <f>IFERROR(VLOOKUP(A2392, Entries!A:K,11,false),"")</f>
        <v/>
      </c>
      <c r="O2392" s="23" t="b">
        <f>IFERROR(VLOOKUP(A2392, Entries!A:I,8,false),"")</f>
        <v>1</v>
      </c>
    </row>
    <row r="2393">
      <c r="A2393" s="78" t="s">
        <v>1596</v>
      </c>
      <c r="B2393" s="78" t="s">
        <v>33</v>
      </c>
      <c r="C2393" s="85">
        <v>44790.0</v>
      </c>
      <c r="D2393" s="85">
        <v>44790.0</v>
      </c>
      <c r="E2393" s="86">
        <v>19.93</v>
      </c>
      <c r="F2393" s="87">
        <v>24.62</v>
      </c>
      <c r="G2393" s="88">
        <f t="shared" si="1"/>
        <v>4.69</v>
      </c>
      <c r="H2393" s="89">
        <f t="shared" si="10"/>
        <v>0.1904955321</v>
      </c>
      <c r="I2393" s="78" t="s">
        <v>561</v>
      </c>
      <c r="J2393" s="78" t="s">
        <v>69</v>
      </c>
      <c r="K2393" s="58">
        <f t="shared" si="3"/>
        <v>0</v>
      </c>
      <c r="L2393" s="91" t="str">
        <f t="shared" si="8"/>
        <v>Wed</v>
      </c>
      <c r="M2393" s="78" t="str">
        <f>IFERROR(VLOOKUP(A2393, Entries!A:B,2,false),"")</f>
        <v>505 Games</v>
      </c>
      <c r="N2393" s="23" t="str">
        <f>IFERROR(VLOOKUP(A2393, Entries!A:K,11,false),"")</f>
        <v/>
      </c>
      <c r="O2393" s="23" t="b">
        <f>IFERROR(VLOOKUP(A2393, Entries!A:I,8,false),"")</f>
        <v>1</v>
      </c>
    </row>
    <row r="2394">
      <c r="A2394" s="78" t="s">
        <v>1596</v>
      </c>
      <c r="B2394" s="78" t="s">
        <v>33</v>
      </c>
      <c r="C2394" s="85">
        <v>44791.0</v>
      </c>
      <c r="D2394" s="85">
        <v>44791.0</v>
      </c>
      <c r="E2394" s="86">
        <v>19.81</v>
      </c>
      <c r="F2394" s="87">
        <v>27.51</v>
      </c>
      <c r="G2394" s="88">
        <f t="shared" si="1"/>
        <v>7.7</v>
      </c>
      <c r="H2394" s="89">
        <f t="shared" si="10"/>
        <v>0.2798982188</v>
      </c>
      <c r="I2394" s="78" t="s">
        <v>2988</v>
      </c>
      <c r="J2394" s="78" t="s">
        <v>69</v>
      </c>
      <c r="K2394" s="58">
        <f t="shared" si="3"/>
        <v>0</v>
      </c>
      <c r="L2394" s="91" t="str">
        <f t="shared" si="8"/>
        <v>Thu</v>
      </c>
      <c r="M2394" s="78" t="str">
        <f>IFERROR(VLOOKUP(A2394, Entries!A:B,2,false),"")</f>
        <v>505 Games</v>
      </c>
      <c r="N2394" s="23" t="str">
        <f>IFERROR(VLOOKUP(A2394, Entries!A:K,11,false),"")</f>
        <v/>
      </c>
      <c r="O2394" s="23" t="b">
        <f>IFERROR(VLOOKUP(A2394, Entries!A:I,8,false),"")</f>
        <v>1</v>
      </c>
    </row>
    <row r="2395">
      <c r="A2395" s="78" t="s">
        <v>2029</v>
      </c>
      <c r="B2395" s="78" t="s">
        <v>18</v>
      </c>
      <c r="C2395" s="85">
        <v>44791.0</v>
      </c>
      <c r="D2395" s="85">
        <v>45922.0</v>
      </c>
      <c r="E2395" s="86">
        <v>12.09</v>
      </c>
      <c r="F2395" s="87">
        <v>13.1</v>
      </c>
      <c r="G2395" s="88">
        <f t="shared" si="1"/>
        <v>1.01</v>
      </c>
      <c r="H2395" s="89">
        <f t="shared" si="10"/>
        <v>0.07709923664</v>
      </c>
      <c r="I2395" s="103" t="s">
        <v>2989</v>
      </c>
      <c r="J2395" s="78" t="s">
        <v>69</v>
      </c>
      <c r="K2395" s="58">
        <f t="shared" si="3"/>
        <v>1131</v>
      </c>
      <c r="L2395" s="91" t="str">
        <f t="shared" si="8"/>
        <v>Mon</v>
      </c>
      <c r="M2395" s="78" t="str">
        <f>IFERROR(VLOOKUP(A2395, Entries!A:B,2,false),"")</f>
        <v>Playstack</v>
      </c>
      <c r="N2395" s="23" t="str">
        <f>IFERROR(VLOOKUP(A2395, Entries!A:K,11,false),"")</f>
        <v/>
      </c>
      <c r="O2395" s="23" t="b">
        <f>IFERROR(VLOOKUP(A2395, Entries!A:I,8,false),"")</f>
        <v>0</v>
      </c>
      <c r="S2395" s="23" t="str">
        <f t="shared" ref="S2395:S2396" si="12">IF(AND(TODAY()-ROW(A1571)+1 &lt;= 30, J1571="Closed"), TEXT(TODAY()-ROW(A1571)+1, "dd-mm-yyyy"), "")
</f>
        <v/>
      </c>
    </row>
    <row r="2396">
      <c r="A2396" s="78" t="s">
        <v>2029</v>
      </c>
      <c r="B2396" s="78" t="s">
        <v>18</v>
      </c>
      <c r="C2396" s="85">
        <v>44791.0</v>
      </c>
      <c r="D2396" s="85">
        <v>45980.0</v>
      </c>
      <c r="E2396" s="86">
        <v>12.1</v>
      </c>
      <c r="F2396" s="87">
        <v>12.66</v>
      </c>
      <c r="G2396" s="88">
        <f t="shared" si="1"/>
        <v>0.56</v>
      </c>
      <c r="H2396" s="89">
        <f t="shared" si="10"/>
        <v>0.04423380727</v>
      </c>
      <c r="I2396" s="103" t="s">
        <v>2990</v>
      </c>
      <c r="J2396" s="78" t="s">
        <v>69</v>
      </c>
      <c r="K2396" s="58">
        <f t="shared" si="3"/>
        <v>1189</v>
      </c>
      <c r="L2396" s="91" t="str">
        <f t="shared" si="8"/>
        <v>Wed</v>
      </c>
      <c r="M2396" s="78" t="str">
        <f>IFERROR(VLOOKUP(A2396, Entries!A:B,2,false),"")</f>
        <v>Playstack</v>
      </c>
      <c r="N2396" s="23" t="str">
        <f>IFERROR(VLOOKUP(A2396, Entries!A:K,11,false),"")</f>
        <v/>
      </c>
      <c r="O2396" s="23" t="b">
        <f>IFERROR(VLOOKUP(A2396, Entries!A:I,8,false),"")</f>
        <v>0</v>
      </c>
      <c r="S2396" s="23" t="str">
        <f t="shared" si="12"/>
        <v/>
      </c>
    </row>
    <row r="2397">
      <c r="A2397" s="78" t="s">
        <v>1596</v>
      </c>
      <c r="B2397" s="78" t="s">
        <v>33</v>
      </c>
      <c r="C2397" s="85">
        <v>44791.0</v>
      </c>
      <c r="D2397" s="85">
        <v>44792.0</v>
      </c>
      <c r="E2397" s="86">
        <v>19.81</v>
      </c>
      <c r="F2397" s="87">
        <v>24.5</v>
      </c>
      <c r="G2397" s="88">
        <f t="shared" si="1"/>
        <v>4.69</v>
      </c>
      <c r="H2397" s="89">
        <f t="shared" si="10"/>
        <v>0.1914285714</v>
      </c>
      <c r="I2397" s="78" t="s">
        <v>2991</v>
      </c>
      <c r="J2397" s="78" t="s">
        <v>69</v>
      </c>
      <c r="K2397" s="58">
        <f t="shared" si="3"/>
        <v>1</v>
      </c>
      <c r="L2397" s="91" t="str">
        <f t="shared" si="8"/>
        <v>Fri</v>
      </c>
      <c r="M2397" s="78" t="str">
        <f>IFERROR(VLOOKUP(A2397, Entries!A:B,2,false),"")</f>
        <v>505 Games</v>
      </c>
      <c r="N2397" s="23" t="str">
        <f>IFERROR(VLOOKUP(A2397, Entries!A:K,11,false),"")</f>
        <v/>
      </c>
      <c r="O2397" s="23" t="b">
        <f>IFERROR(VLOOKUP(A2397, Entries!A:I,8,false),"")</f>
        <v>1</v>
      </c>
    </row>
    <row r="2398">
      <c r="A2398" s="78" t="s">
        <v>2016</v>
      </c>
      <c r="B2398" s="78" t="s">
        <v>19</v>
      </c>
      <c r="C2398" s="85">
        <v>44792.0</v>
      </c>
      <c r="D2398" s="85">
        <v>44797.0</v>
      </c>
      <c r="E2398" s="86">
        <v>2.37</v>
      </c>
      <c r="F2398" s="87">
        <v>5.03</v>
      </c>
      <c r="G2398" s="88">
        <f t="shared" si="1"/>
        <v>2.66</v>
      </c>
      <c r="H2398" s="89">
        <f t="shared" si="10"/>
        <v>0.5288270378</v>
      </c>
      <c r="I2398" s="78" t="s">
        <v>2992</v>
      </c>
      <c r="J2398" s="78" t="s">
        <v>69</v>
      </c>
      <c r="K2398" s="58">
        <f t="shared" si="3"/>
        <v>5</v>
      </c>
      <c r="L2398" s="91" t="str">
        <f t="shared" si="8"/>
        <v>Wed</v>
      </c>
      <c r="M2398" s="78" t="str">
        <f>IFERROR(VLOOKUP(A2398, Entries!A:B,2,false),"")</f>
        <v>Ironhide Game Studio</v>
      </c>
      <c r="N2398" s="23" t="str">
        <f>IFERROR(VLOOKUP(A2398, Entries!A:K,11,false),"")</f>
        <v/>
      </c>
      <c r="O2398" s="23" t="b">
        <f>IFERROR(VLOOKUP(A2398, Entries!A:I,8,false),"")</f>
        <v>1</v>
      </c>
    </row>
    <row r="2399">
      <c r="A2399" s="78" t="s">
        <v>91</v>
      </c>
      <c r="B2399" s="78" t="s">
        <v>18</v>
      </c>
      <c r="C2399" s="85">
        <v>44792.0</v>
      </c>
      <c r="D2399" s="85">
        <v>45035.0</v>
      </c>
      <c r="E2399" s="86">
        <v>8.57</v>
      </c>
      <c r="F2399" s="87">
        <v>12.64</v>
      </c>
      <c r="G2399" s="88">
        <f t="shared" si="1"/>
        <v>4.07</v>
      </c>
      <c r="H2399" s="89">
        <f t="shared" si="10"/>
        <v>0.3219936709</v>
      </c>
      <c r="I2399" s="78" t="s">
        <v>2993</v>
      </c>
      <c r="J2399" s="78" t="s">
        <v>69</v>
      </c>
      <c r="K2399" s="58">
        <f t="shared" si="3"/>
        <v>243</v>
      </c>
      <c r="L2399" s="91" t="str">
        <f t="shared" si="8"/>
        <v>Wed</v>
      </c>
      <c r="M2399" s="78" t="str">
        <f>IFERROR(VLOOKUP(A2399, Entries!A:B,2,false),"")</f>
        <v>SEGA</v>
      </c>
      <c r="N2399" s="23" t="str">
        <f>IFERROR(VLOOKUP(A2399, Entries!A:K,11,false),"")</f>
        <v/>
      </c>
      <c r="O2399" s="23" t="b">
        <f>IFERROR(VLOOKUP(A2399, Entries!A:I,8,false),"")</f>
        <v>1</v>
      </c>
    </row>
    <row r="2400">
      <c r="A2400" s="78" t="s">
        <v>91</v>
      </c>
      <c r="B2400" s="78" t="s">
        <v>18</v>
      </c>
      <c r="C2400" s="85">
        <v>44792.0</v>
      </c>
      <c r="D2400" s="85">
        <v>45038.0</v>
      </c>
      <c r="E2400" s="86">
        <v>8.58</v>
      </c>
      <c r="F2400" s="87">
        <v>12.64</v>
      </c>
      <c r="G2400" s="88">
        <f t="shared" si="1"/>
        <v>4.06</v>
      </c>
      <c r="H2400" s="89">
        <f t="shared" si="10"/>
        <v>0.3212025316</v>
      </c>
      <c r="I2400" s="78" t="s">
        <v>2994</v>
      </c>
      <c r="J2400" s="78" t="s">
        <v>69</v>
      </c>
      <c r="K2400" s="58">
        <f t="shared" si="3"/>
        <v>246</v>
      </c>
      <c r="L2400" s="91" t="str">
        <f t="shared" si="8"/>
        <v>Sat</v>
      </c>
      <c r="M2400" s="78" t="str">
        <f>IFERROR(VLOOKUP(A2400, Entries!A:B,2,false),"")</f>
        <v>SEGA</v>
      </c>
      <c r="N2400" s="23" t="str">
        <f>IFERROR(VLOOKUP(A2400, Entries!A:K,11,false),"")</f>
        <v/>
      </c>
      <c r="O2400" s="23" t="b">
        <f>IFERROR(VLOOKUP(A2400, Entries!A:I,8,false),"")</f>
        <v>1</v>
      </c>
    </row>
    <row r="2401">
      <c r="A2401" s="78" t="s">
        <v>742</v>
      </c>
      <c r="B2401" s="78" t="s">
        <v>33</v>
      </c>
      <c r="C2401" s="85">
        <v>44792.0</v>
      </c>
      <c r="D2401" s="85">
        <v>44794.0</v>
      </c>
      <c r="E2401" s="86">
        <v>13.77</v>
      </c>
      <c r="F2401" s="87">
        <v>16.92</v>
      </c>
      <c r="G2401" s="88">
        <f t="shared" si="1"/>
        <v>3.15</v>
      </c>
      <c r="H2401" s="89">
        <f t="shared" si="10"/>
        <v>0.1861702128</v>
      </c>
      <c r="I2401" s="78" t="s">
        <v>2995</v>
      </c>
      <c r="J2401" s="78" t="s">
        <v>69</v>
      </c>
      <c r="K2401" s="58">
        <f t="shared" si="3"/>
        <v>2</v>
      </c>
      <c r="L2401" s="91" t="str">
        <f t="shared" si="8"/>
        <v>Sun</v>
      </c>
      <c r="M2401" s="78" t="str">
        <f>IFERROR(VLOOKUP(A2401, Entries!A:B,2,false),"")</f>
        <v>Quantic Dream</v>
      </c>
      <c r="N2401" s="23" t="str">
        <f>IFERROR(VLOOKUP(A2401, Entries!A:K,11,false),"")</f>
        <v/>
      </c>
      <c r="O2401" s="23" t="b">
        <f>IFERROR(VLOOKUP(A2401, Entries!A:I,8,false),"")</f>
        <v>0</v>
      </c>
    </row>
    <row r="2402">
      <c r="A2402" s="78" t="s">
        <v>742</v>
      </c>
      <c r="B2402" s="78" t="s">
        <v>33</v>
      </c>
      <c r="C2402" s="85">
        <v>44794.0</v>
      </c>
      <c r="D2402" s="85">
        <v>44794.0</v>
      </c>
      <c r="E2402" s="86">
        <v>13.77</v>
      </c>
      <c r="F2402" s="87">
        <v>16.79</v>
      </c>
      <c r="G2402" s="88">
        <f t="shared" si="1"/>
        <v>3.02</v>
      </c>
      <c r="H2402" s="89">
        <f t="shared" si="10"/>
        <v>0.1798689696</v>
      </c>
      <c r="I2402" s="78" t="s">
        <v>2996</v>
      </c>
      <c r="J2402" s="78" t="s">
        <v>69</v>
      </c>
      <c r="K2402" s="58">
        <f t="shared" si="3"/>
        <v>0</v>
      </c>
      <c r="L2402" s="91" t="str">
        <f t="shared" si="8"/>
        <v>Sun</v>
      </c>
      <c r="M2402" s="78" t="str">
        <f>IFERROR(VLOOKUP(A2402, Entries!A:B,2,false),"")</f>
        <v>Quantic Dream</v>
      </c>
      <c r="N2402" s="23" t="str">
        <f>IFERROR(VLOOKUP(A2402, Entries!A:K,11,false),"")</f>
        <v/>
      </c>
      <c r="O2402" s="23" t="b">
        <f>IFERROR(VLOOKUP(A2402, Entries!A:I,8,false),"")</f>
        <v>0</v>
      </c>
    </row>
    <row r="2403">
      <c r="A2403" s="78" t="s">
        <v>742</v>
      </c>
      <c r="B2403" s="78" t="s">
        <v>33</v>
      </c>
      <c r="C2403" s="85">
        <v>44794.0</v>
      </c>
      <c r="D2403" s="85">
        <v>44797.0</v>
      </c>
      <c r="E2403" s="86">
        <v>13.77</v>
      </c>
      <c r="F2403" s="87">
        <v>15.82</v>
      </c>
      <c r="G2403" s="88">
        <f t="shared" si="1"/>
        <v>2.05</v>
      </c>
      <c r="H2403" s="89">
        <f t="shared" si="10"/>
        <v>0.1295828066</v>
      </c>
      <c r="I2403" s="78" t="s">
        <v>2997</v>
      </c>
      <c r="J2403" s="78" t="s">
        <v>69</v>
      </c>
      <c r="K2403" s="58">
        <f t="shared" si="3"/>
        <v>3</v>
      </c>
      <c r="L2403" s="91" t="str">
        <f t="shared" si="8"/>
        <v>Wed</v>
      </c>
      <c r="M2403" s="78" t="str">
        <f>IFERROR(VLOOKUP(A2403, Entries!A:B,2,false),"")</f>
        <v>Quantic Dream</v>
      </c>
      <c r="N2403" s="23" t="str">
        <f>IFERROR(VLOOKUP(A2403, Entries!A:K,11,false),"")</f>
        <v/>
      </c>
      <c r="O2403" s="23" t="b">
        <f>IFERROR(VLOOKUP(A2403, Entries!A:I,8,false),"")</f>
        <v>0</v>
      </c>
    </row>
    <row r="2404">
      <c r="A2404" s="78" t="s">
        <v>2998</v>
      </c>
      <c r="B2404" s="78" t="s">
        <v>27</v>
      </c>
      <c r="C2404" s="85">
        <v>44796.0</v>
      </c>
      <c r="D2404" s="85">
        <v>44802.0</v>
      </c>
      <c r="E2404" s="86">
        <v>23.99</v>
      </c>
      <c r="F2404" s="87">
        <v>26.72</v>
      </c>
      <c r="G2404" s="88">
        <f t="shared" si="1"/>
        <v>2.73</v>
      </c>
      <c r="H2404" s="89">
        <f t="shared" si="10"/>
        <v>0.1021706587</v>
      </c>
      <c r="I2404" s="78" t="s">
        <v>2999</v>
      </c>
      <c r="J2404" s="78" t="s">
        <v>69</v>
      </c>
      <c r="K2404" s="58">
        <f t="shared" si="3"/>
        <v>6</v>
      </c>
      <c r="L2404" s="91" t="str">
        <f t="shared" si="8"/>
        <v>Mon</v>
      </c>
      <c r="M2404" s="78" t="str">
        <f>IFERROR(VLOOKUP(A2404, Entries!A:B,2,false),"")</f>
        <v>505 Games</v>
      </c>
      <c r="N2404" s="23" t="str">
        <f>IFERROR(VLOOKUP(A2404, Entries!A:K,11,false),"")</f>
        <v/>
      </c>
      <c r="O2404" s="23" t="b">
        <f>IFERROR(VLOOKUP(A2404, Entries!A:I,8,false),"")</f>
        <v>0</v>
      </c>
    </row>
    <row r="2405">
      <c r="A2405" s="78" t="s">
        <v>1107</v>
      </c>
      <c r="B2405" s="78" t="s">
        <v>19</v>
      </c>
      <c r="C2405" s="85">
        <v>44796.0</v>
      </c>
      <c r="D2405" s="85">
        <v>44798.0</v>
      </c>
      <c r="E2405" s="86">
        <v>8.17</v>
      </c>
      <c r="F2405" s="87">
        <v>11.55</v>
      </c>
      <c r="G2405" s="88">
        <f t="shared" si="1"/>
        <v>3.38</v>
      </c>
      <c r="H2405" s="89">
        <f t="shared" si="10"/>
        <v>0.2926406926</v>
      </c>
      <c r="I2405" s="78" t="s">
        <v>3000</v>
      </c>
      <c r="J2405" s="78" t="s">
        <v>69</v>
      </c>
      <c r="K2405" s="58">
        <f t="shared" si="3"/>
        <v>2</v>
      </c>
      <c r="L2405" s="91" t="str">
        <f t="shared" si="8"/>
        <v>Thu</v>
      </c>
      <c r="M2405" s="78" t="str">
        <f>IFERROR(VLOOKUP(A2405, Entries!A:B,2,false),"")</f>
        <v>inXile Entertainment</v>
      </c>
      <c r="N2405" s="23" t="str">
        <f>IFERROR(VLOOKUP(A2405, Entries!A:K,11,false),"")</f>
        <v/>
      </c>
      <c r="O2405" s="23" t="b">
        <f>IFERROR(VLOOKUP(A2405, Entries!A:I,8,false),"")</f>
        <v>0</v>
      </c>
    </row>
    <row r="2406">
      <c r="A2406" s="78" t="s">
        <v>1920</v>
      </c>
      <c r="B2406" s="78" t="s">
        <v>19</v>
      </c>
      <c r="C2406" s="85">
        <v>44796.0</v>
      </c>
      <c r="D2406" s="85">
        <v>44797.0</v>
      </c>
      <c r="E2406" s="86">
        <v>0.0</v>
      </c>
      <c r="F2406" s="87">
        <v>0.7</v>
      </c>
      <c r="G2406" s="88">
        <f t="shared" si="1"/>
        <v>0.7</v>
      </c>
      <c r="H2406" s="89">
        <f t="shared" si="10"/>
        <v>1</v>
      </c>
      <c r="I2406" s="78" t="s">
        <v>3001</v>
      </c>
      <c r="J2406" s="78" t="s">
        <v>69</v>
      </c>
      <c r="K2406" s="58">
        <f t="shared" si="3"/>
        <v>1</v>
      </c>
      <c r="L2406" s="91" t="str">
        <f t="shared" si="8"/>
        <v>Wed</v>
      </c>
      <c r="M2406" s="78" t="str">
        <f>IFERROR(VLOOKUP(A2406, Entries!A:B,2,false),"")</f>
        <v>Daedalic Entertainment</v>
      </c>
      <c r="N2406" s="23" t="str">
        <f>IFERROR(VLOOKUP(A2406, Entries!A:K,11,false),"")</f>
        <v/>
      </c>
      <c r="O2406" s="23" t="b">
        <f>IFERROR(VLOOKUP(A2406, Entries!A:I,8,false),"")</f>
        <v>0</v>
      </c>
    </row>
    <row r="2407">
      <c r="A2407" s="78" t="s">
        <v>2016</v>
      </c>
      <c r="B2407" s="78" t="s">
        <v>19</v>
      </c>
      <c r="C2407" s="85">
        <v>44797.0</v>
      </c>
      <c r="D2407" s="85">
        <v>44797.0</v>
      </c>
      <c r="E2407" s="86">
        <v>1.79</v>
      </c>
      <c r="F2407" s="87">
        <v>4.03</v>
      </c>
      <c r="G2407" s="88">
        <f t="shared" si="1"/>
        <v>2.24</v>
      </c>
      <c r="H2407" s="89">
        <f t="shared" si="10"/>
        <v>0.5558312655</v>
      </c>
      <c r="I2407" s="78" t="s">
        <v>3002</v>
      </c>
      <c r="J2407" s="78" t="s">
        <v>69</v>
      </c>
      <c r="K2407" s="58">
        <f t="shared" si="3"/>
        <v>0</v>
      </c>
      <c r="L2407" s="91" t="str">
        <f t="shared" si="8"/>
        <v>Wed</v>
      </c>
      <c r="M2407" s="78" t="str">
        <f>IFERROR(VLOOKUP(A2407, Entries!A:B,2,false),"")</f>
        <v>Ironhide Game Studio</v>
      </c>
      <c r="N2407" s="23" t="str">
        <f>IFERROR(VLOOKUP(A2407, Entries!A:K,11,false),"")</f>
        <v/>
      </c>
      <c r="O2407" s="23" t="b">
        <f>IFERROR(VLOOKUP(A2407, Entries!A:I,8,false),"")</f>
        <v>1</v>
      </c>
    </row>
    <row r="2408">
      <c r="A2408" s="78" t="s">
        <v>3003</v>
      </c>
      <c r="B2408" s="78" t="s">
        <v>23</v>
      </c>
      <c r="C2408" s="85">
        <v>44797.0</v>
      </c>
      <c r="D2408" s="85">
        <v>44798.0</v>
      </c>
      <c r="E2408" s="86">
        <v>25.8</v>
      </c>
      <c r="F2408" s="87">
        <v>28.11</v>
      </c>
      <c r="G2408" s="88">
        <f t="shared" si="1"/>
        <v>2.31</v>
      </c>
      <c r="H2408" s="89">
        <f t="shared" si="10"/>
        <v>0.08217716115</v>
      </c>
      <c r="I2408" s="78" t="s">
        <v>3004</v>
      </c>
      <c r="J2408" s="78" t="s">
        <v>69</v>
      </c>
      <c r="K2408" s="58">
        <f t="shared" si="3"/>
        <v>1</v>
      </c>
      <c r="L2408" s="91" t="str">
        <f t="shared" si="8"/>
        <v>Thu</v>
      </c>
      <c r="M2408" s="78" t="str">
        <f>IFERROR(VLOOKUP(A2408, Entries!A:B,2,false),"")</f>
        <v>Xbox Game Studios</v>
      </c>
      <c r="N2408" s="23" t="str">
        <f>IFERROR(VLOOKUP(A2408, Entries!A:K,11,false),"")</f>
        <v/>
      </c>
      <c r="O2408" s="23" t="b">
        <f>IFERROR(VLOOKUP(A2408, Entries!A:I,8,false),"")</f>
        <v>0</v>
      </c>
    </row>
    <row r="2409">
      <c r="A2409" s="78" t="s">
        <v>2016</v>
      </c>
      <c r="B2409" s="78" t="s">
        <v>19</v>
      </c>
      <c r="C2409" s="85">
        <v>44797.0</v>
      </c>
      <c r="D2409" s="85">
        <v>44797.0</v>
      </c>
      <c r="E2409" s="86">
        <v>2.37</v>
      </c>
      <c r="F2409" s="87">
        <v>4.03</v>
      </c>
      <c r="G2409" s="88">
        <f t="shared" si="1"/>
        <v>1.66</v>
      </c>
      <c r="H2409" s="89">
        <f t="shared" si="10"/>
        <v>0.41191067</v>
      </c>
      <c r="I2409" s="78" t="s">
        <v>3005</v>
      </c>
      <c r="J2409" s="78" t="s">
        <v>69</v>
      </c>
      <c r="K2409" s="58">
        <f t="shared" si="3"/>
        <v>0</v>
      </c>
      <c r="L2409" s="91" t="str">
        <f t="shared" si="8"/>
        <v>Wed</v>
      </c>
      <c r="M2409" s="78" t="str">
        <f>IFERROR(VLOOKUP(A2409, Entries!A:B,2,false),"")</f>
        <v>Ironhide Game Studio</v>
      </c>
      <c r="N2409" s="23" t="str">
        <f>IFERROR(VLOOKUP(A2409, Entries!A:K,11,false),"")</f>
        <v/>
      </c>
      <c r="O2409" s="23" t="b">
        <f>IFERROR(VLOOKUP(A2409, Entries!A:I,8,false),"")</f>
        <v>1</v>
      </c>
    </row>
    <row r="2410">
      <c r="A2410" s="78" t="s">
        <v>2016</v>
      </c>
      <c r="B2410" s="78" t="s">
        <v>19</v>
      </c>
      <c r="C2410" s="85">
        <v>44797.0</v>
      </c>
      <c r="D2410" s="85">
        <v>44798.0</v>
      </c>
      <c r="E2410" s="86">
        <v>2.37</v>
      </c>
      <c r="F2410" s="87">
        <v>4.03</v>
      </c>
      <c r="G2410" s="88">
        <f t="shared" si="1"/>
        <v>1.66</v>
      </c>
      <c r="H2410" s="89">
        <f t="shared" si="10"/>
        <v>0.41191067</v>
      </c>
      <c r="I2410" s="78" t="s">
        <v>3006</v>
      </c>
      <c r="J2410" s="78" t="s">
        <v>69</v>
      </c>
      <c r="K2410" s="58">
        <f t="shared" si="3"/>
        <v>1</v>
      </c>
      <c r="L2410" s="91" t="str">
        <f t="shared" si="8"/>
        <v>Thu</v>
      </c>
      <c r="M2410" s="78" t="str">
        <f>IFERROR(VLOOKUP(A2410, Entries!A:B,2,false),"")</f>
        <v>Ironhide Game Studio</v>
      </c>
      <c r="N2410" s="23" t="str">
        <f>IFERROR(VLOOKUP(A2410, Entries!A:K,11,false),"")</f>
        <v/>
      </c>
      <c r="O2410" s="23" t="b">
        <f>IFERROR(VLOOKUP(A2410, Entries!A:I,8,false),"")</f>
        <v>1</v>
      </c>
    </row>
    <row r="2411">
      <c r="A2411" s="78" t="s">
        <v>742</v>
      </c>
      <c r="B2411" s="78" t="s">
        <v>33</v>
      </c>
      <c r="C2411" s="85">
        <v>44797.0</v>
      </c>
      <c r="D2411" s="85">
        <v>44797.0</v>
      </c>
      <c r="E2411" s="86">
        <v>13.77</v>
      </c>
      <c r="F2411" s="87">
        <v>15.82</v>
      </c>
      <c r="G2411" s="88">
        <f t="shared" si="1"/>
        <v>2.05</v>
      </c>
      <c r="H2411" s="89">
        <f t="shared" si="10"/>
        <v>0.1295828066</v>
      </c>
      <c r="I2411" s="78" t="s">
        <v>3007</v>
      </c>
      <c r="J2411" s="78" t="s">
        <v>69</v>
      </c>
      <c r="K2411" s="58">
        <f t="shared" si="3"/>
        <v>0</v>
      </c>
      <c r="L2411" s="91" t="str">
        <f t="shared" si="8"/>
        <v>Wed</v>
      </c>
      <c r="M2411" s="78" t="str">
        <f>IFERROR(VLOOKUP(A2411, Entries!A:B,2,false),"")</f>
        <v>Quantic Dream</v>
      </c>
      <c r="N2411" s="23" t="str">
        <f>IFERROR(VLOOKUP(A2411, Entries!A:K,11,false),"")</f>
        <v/>
      </c>
      <c r="O2411" s="23" t="b">
        <f>IFERROR(VLOOKUP(A2411, Entries!A:I,8,false),"")</f>
        <v>0</v>
      </c>
    </row>
    <row r="2412">
      <c r="A2412" s="78" t="s">
        <v>3003</v>
      </c>
      <c r="B2412" s="78" t="s">
        <v>23</v>
      </c>
      <c r="C2412" s="85">
        <v>44798.0</v>
      </c>
      <c r="D2412" s="85">
        <v>44798.0</v>
      </c>
      <c r="E2412" s="86">
        <v>25.8</v>
      </c>
      <c r="F2412" s="87">
        <v>28.12</v>
      </c>
      <c r="G2412" s="88">
        <f t="shared" si="1"/>
        <v>2.32</v>
      </c>
      <c r="H2412" s="89">
        <f t="shared" si="10"/>
        <v>0.08250355619</v>
      </c>
      <c r="I2412" s="78" t="s">
        <v>3008</v>
      </c>
      <c r="J2412" s="78" t="s">
        <v>69</v>
      </c>
      <c r="K2412" s="58">
        <f t="shared" si="3"/>
        <v>0</v>
      </c>
      <c r="L2412" s="91" t="str">
        <f t="shared" si="8"/>
        <v>Thu</v>
      </c>
      <c r="M2412" s="78" t="str">
        <f>IFERROR(VLOOKUP(A2412, Entries!A:B,2,false),"")</f>
        <v>Xbox Game Studios</v>
      </c>
      <c r="N2412" s="23" t="str">
        <f>IFERROR(VLOOKUP(A2412, Entries!A:K,11,false),"")</f>
        <v/>
      </c>
      <c r="O2412" s="23" t="b">
        <f>IFERROR(VLOOKUP(A2412, Entries!A:I,8,false),"")</f>
        <v>0</v>
      </c>
    </row>
    <row r="2413">
      <c r="A2413" s="78" t="s">
        <v>1107</v>
      </c>
      <c r="B2413" s="78" t="s">
        <v>19</v>
      </c>
      <c r="C2413" s="85">
        <v>44798.0</v>
      </c>
      <c r="D2413" s="85">
        <v>46050.0</v>
      </c>
      <c r="E2413" s="86">
        <v>10.78</v>
      </c>
      <c r="F2413" s="87">
        <v>2.19</v>
      </c>
      <c r="G2413" s="88">
        <f t="shared" si="1"/>
        <v>-8.59</v>
      </c>
      <c r="H2413" s="89">
        <f t="shared" si="10"/>
        <v>-3.922374429</v>
      </c>
      <c r="I2413" s="103" t="s">
        <v>3009</v>
      </c>
      <c r="J2413" s="78" t="s">
        <v>69</v>
      </c>
      <c r="K2413" s="58">
        <f t="shared" si="3"/>
        <v>1252</v>
      </c>
      <c r="L2413" s="91" t="str">
        <f t="shared" si="8"/>
        <v>Wed</v>
      </c>
      <c r="M2413" s="78" t="str">
        <f>IFERROR(VLOOKUP(A2413, Entries!A:B,2,false),"")</f>
        <v>inXile Entertainment</v>
      </c>
      <c r="N2413" s="23" t="str">
        <f>IFERROR(VLOOKUP(A2413, Entries!A:K,11,false),"")</f>
        <v/>
      </c>
      <c r="O2413" s="23" t="b">
        <f>IFERROR(VLOOKUP(A2413, Entries!A:I,8,false),"")</f>
        <v>0</v>
      </c>
      <c r="S2413" s="23" t="str">
        <f t="shared" ref="S2413:S2414" si="13">IF(AND(TODAY()-ROW(A1589)+1 &lt;= 30, J1589="Closed"), TEXT(TODAY()-ROW(A1589)+1, "dd-mm-yyyy"), "")
</f>
        <v/>
      </c>
    </row>
    <row r="2414">
      <c r="A2414" s="78" t="s">
        <v>1107</v>
      </c>
      <c r="B2414" s="78" t="s">
        <v>19</v>
      </c>
      <c r="C2414" s="85">
        <v>44798.0</v>
      </c>
      <c r="D2414" s="85">
        <v>46051.0</v>
      </c>
      <c r="E2414" s="86">
        <v>10.78</v>
      </c>
      <c r="F2414" s="87">
        <v>2.19</v>
      </c>
      <c r="G2414" s="88">
        <f t="shared" si="1"/>
        <v>-8.59</v>
      </c>
      <c r="H2414" s="89">
        <f t="shared" si="10"/>
        <v>-3.922374429</v>
      </c>
      <c r="I2414" s="103" t="s">
        <v>3010</v>
      </c>
      <c r="J2414" s="78" t="s">
        <v>69</v>
      </c>
      <c r="K2414" s="58">
        <f t="shared" si="3"/>
        <v>1253</v>
      </c>
      <c r="L2414" s="91" t="str">
        <f t="shared" si="8"/>
        <v>Thu</v>
      </c>
      <c r="M2414" s="78" t="str">
        <f>IFERROR(VLOOKUP(A2414, Entries!A:B,2,false),"")</f>
        <v>inXile Entertainment</v>
      </c>
      <c r="N2414" s="23" t="str">
        <f>IFERROR(VLOOKUP(A2414, Entries!A:K,11,false),"")</f>
        <v/>
      </c>
      <c r="O2414" s="23" t="b">
        <f>IFERROR(VLOOKUP(A2414, Entries!A:I,8,false),"")</f>
        <v>0</v>
      </c>
      <c r="S2414" s="23" t="str">
        <f t="shared" si="13"/>
        <v/>
      </c>
    </row>
    <row r="2415">
      <c r="A2415" s="78" t="s">
        <v>3003</v>
      </c>
      <c r="B2415" s="78" t="s">
        <v>23</v>
      </c>
      <c r="C2415" s="85">
        <v>44798.0</v>
      </c>
      <c r="D2415" s="85">
        <v>44799.0</v>
      </c>
      <c r="E2415" s="86">
        <v>25.8</v>
      </c>
      <c r="F2415" s="87">
        <v>28.12</v>
      </c>
      <c r="G2415" s="88">
        <f t="shared" si="1"/>
        <v>2.32</v>
      </c>
      <c r="H2415" s="89">
        <f t="shared" si="10"/>
        <v>0.08250355619</v>
      </c>
      <c r="I2415" s="78" t="s">
        <v>3011</v>
      </c>
      <c r="J2415" s="78" t="s">
        <v>69</v>
      </c>
      <c r="K2415" s="58">
        <f t="shared" si="3"/>
        <v>1</v>
      </c>
      <c r="L2415" s="91" t="str">
        <f t="shared" si="8"/>
        <v>Fri</v>
      </c>
      <c r="M2415" s="78" t="str">
        <f>IFERROR(VLOOKUP(A2415, Entries!A:B,2,false),"")</f>
        <v>Xbox Game Studios</v>
      </c>
      <c r="N2415" s="23" t="str">
        <f>IFERROR(VLOOKUP(A2415, Entries!A:K,11,false),"")</f>
        <v/>
      </c>
      <c r="O2415" s="23" t="b">
        <f>IFERROR(VLOOKUP(A2415, Entries!A:I,8,false),"")</f>
        <v>0</v>
      </c>
    </row>
    <row r="2416">
      <c r="A2416" s="78" t="s">
        <v>2016</v>
      </c>
      <c r="B2416" s="78" t="s">
        <v>19</v>
      </c>
      <c r="C2416" s="85">
        <v>44798.0</v>
      </c>
      <c r="D2416" s="85">
        <v>44799.0</v>
      </c>
      <c r="E2416" s="86">
        <v>2.49</v>
      </c>
      <c r="F2416" s="87">
        <v>4.03</v>
      </c>
      <c r="G2416" s="88">
        <f t="shared" si="1"/>
        <v>1.54</v>
      </c>
      <c r="H2416" s="89">
        <f t="shared" si="10"/>
        <v>0.382133995</v>
      </c>
      <c r="I2416" s="78" t="s">
        <v>3012</v>
      </c>
      <c r="J2416" s="78" t="s">
        <v>69</v>
      </c>
      <c r="K2416" s="58">
        <f t="shared" si="3"/>
        <v>1</v>
      </c>
      <c r="L2416" s="91" t="str">
        <f t="shared" si="8"/>
        <v>Fri</v>
      </c>
      <c r="M2416" s="78" t="str">
        <f>IFERROR(VLOOKUP(A2416, Entries!A:B,2,false),"")</f>
        <v>Ironhide Game Studio</v>
      </c>
      <c r="N2416" s="23" t="str">
        <f>IFERROR(VLOOKUP(A2416, Entries!A:K,11,false),"")</f>
        <v/>
      </c>
      <c r="O2416" s="23" t="b">
        <f>IFERROR(VLOOKUP(A2416, Entries!A:I,8,false),"")</f>
        <v>1</v>
      </c>
    </row>
    <row r="2417">
      <c r="A2417" s="78" t="s">
        <v>3003</v>
      </c>
      <c r="B2417" s="78" t="s">
        <v>23</v>
      </c>
      <c r="C2417" s="85">
        <v>44799.0</v>
      </c>
      <c r="D2417" s="85">
        <v>44800.0</v>
      </c>
      <c r="E2417" s="86">
        <v>25.8</v>
      </c>
      <c r="F2417" s="87">
        <v>28.12</v>
      </c>
      <c r="G2417" s="88">
        <f t="shared" si="1"/>
        <v>2.32</v>
      </c>
      <c r="H2417" s="89">
        <f t="shared" si="10"/>
        <v>0.08250355619</v>
      </c>
      <c r="I2417" s="78" t="s">
        <v>3013</v>
      </c>
      <c r="J2417" s="78" t="s">
        <v>69</v>
      </c>
      <c r="K2417" s="58">
        <f t="shared" si="3"/>
        <v>1</v>
      </c>
      <c r="L2417" s="91" t="str">
        <f t="shared" si="8"/>
        <v>Sat</v>
      </c>
      <c r="M2417" s="78" t="str">
        <f>IFERROR(VLOOKUP(A2417, Entries!A:B,2,false),"")</f>
        <v>Xbox Game Studios</v>
      </c>
      <c r="N2417" s="23" t="str">
        <f>IFERROR(VLOOKUP(A2417, Entries!A:K,11,false),"")</f>
        <v/>
      </c>
      <c r="O2417" s="23" t="b">
        <f>IFERROR(VLOOKUP(A2417, Entries!A:I,8,false),"")</f>
        <v>0</v>
      </c>
    </row>
    <row r="2418">
      <c r="A2418" s="78" t="s">
        <v>3003</v>
      </c>
      <c r="B2418" s="78" t="s">
        <v>23</v>
      </c>
      <c r="C2418" s="85">
        <v>44800.0</v>
      </c>
      <c r="D2418" s="85">
        <v>44801.0</v>
      </c>
      <c r="E2418" s="86">
        <v>25.8</v>
      </c>
      <c r="F2418" s="87">
        <v>28.13</v>
      </c>
      <c r="G2418" s="88">
        <f t="shared" si="1"/>
        <v>2.33</v>
      </c>
      <c r="H2418" s="89">
        <f t="shared" si="10"/>
        <v>0.08282971916</v>
      </c>
      <c r="I2418" s="78" t="s">
        <v>3014</v>
      </c>
      <c r="J2418" s="78" t="s">
        <v>69</v>
      </c>
      <c r="K2418" s="58">
        <f t="shared" si="3"/>
        <v>1</v>
      </c>
      <c r="L2418" s="91" t="str">
        <f t="shared" si="8"/>
        <v>Sun</v>
      </c>
      <c r="M2418" s="78" t="str">
        <f>IFERROR(VLOOKUP(A2418, Entries!A:B,2,false),"")</f>
        <v>Xbox Game Studios</v>
      </c>
      <c r="N2418" s="23" t="str">
        <f>IFERROR(VLOOKUP(A2418, Entries!A:K,11,false),"")</f>
        <v/>
      </c>
      <c r="O2418" s="23" t="b">
        <f>IFERROR(VLOOKUP(A2418, Entries!A:I,8,false),"")</f>
        <v>0</v>
      </c>
    </row>
    <row r="2419">
      <c r="A2419" s="78" t="s">
        <v>3003</v>
      </c>
      <c r="B2419" s="78" t="s">
        <v>23</v>
      </c>
      <c r="C2419" s="85">
        <v>44801.0</v>
      </c>
      <c r="D2419" s="85">
        <v>44817.0</v>
      </c>
      <c r="E2419" s="86">
        <v>25.8</v>
      </c>
      <c r="F2419" s="87">
        <v>27.82</v>
      </c>
      <c r="G2419" s="88">
        <f t="shared" si="1"/>
        <v>2.02</v>
      </c>
      <c r="H2419" s="89">
        <f t="shared" si="10"/>
        <v>0.07260963336</v>
      </c>
      <c r="I2419" s="78" t="s">
        <v>3015</v>
      </c>
      <c r="J2419" s="78" t="s">
        <v>69</v>
      </c>
      <c r="K2419" s="58">
        <f t="shared" si="3"/>
        <v>16</v>
      </c>
      <c r="L2419" s="91" t="str">
        <f t="shared" si="8"/>
        <v>Tue</v>
      </c>
      <c r="M2419" s="78" t="str">
        <f>IFERROR(VLOOKUP(A2419, Entries!A:B,2,false),"")</f>
        <v>Xbox Game Studios</v>
      </c>
      <c r="N2419" s="23" t="str">
        <f>IFERROR(VLOOKUP(A2419, Entries!A:K,11,false),"")</f>
        <v/>
      </c>
      <c r="O2419" s="23" t="b">
        <f>IFERROR(VLOOKUP(A2419, Entries!A:I,8,false),"")</f>
        <v>0</v>
      </c>
    </row>
    <row r="2420">
      <c r="A2420" s="78" t="s">
        <v>3016</v>
      </c>
      <c r="B2420" s="78" t="s">
        <v>23</v>
      </c>
      <c r="C2420" s="85">
        <v>44801.0</v>
      </c>
      <c r="D2420" s="85">
        <v>44803.0</v>
      </c>
      <c r="E2420" s="86">
        <v>19.89</v>
      </c>
      <c r="F2420" s="87">
        <v>21.17</v>
      </c>
      <c r="G2420" s="88">
        <f t="shared" si="1"/>
        <v>1.28</v>
      </c>
      <c r="H2420" s="89">
        <f t="shared" si="10"/>
        <v>0.06046291923</v>
      </c>
      <c r="I2420" s="78" t="s">
        <v>3017</v>
      </c>
      <c r="J2420" s="78" t="s">
        <v>69</v>
      </c>
      <c r="K2420" s="58">
        <f t="shared" si="3"/>
        <v>2</v>
      </c>
      <c r="L2420" s="91" t="str">
        <f t="shared" si="8"/>
        <v>Tue</v>
      </c>
      <c r="M2420" s="78" t="str">
        <f>IFERROR(VLOOKUP(A2420, Entries!A:B,2,false),"")</f>
        <v>SEGA</v>
      </c>
      <c r="N2420" s="23" t="str">
        <f>IFERROR(VLOOKUP(A2420, Entries!A:K,11,false),"")</f>
        <v/>
      </c>
      <c r="O2420" s="23" t="b">
        <f>IFERROR(VLOOKUP(A2420, Entries!A:I,8,false),"")</f>
        <v>0</v>
      </c>
    </row>
    <row r="2421">
      <c r="A2421" s="78" t="s">
        <v>2998</v>
      </c>
      <c r="B2421" s="78" t="s">
        <v>27</v>
      </c>
      <c r="C2421" s="85">
        <v>44802.0</v>
      </c>
      <c r="D2421" s="85">
        <v>44803.0</v>
      </c>
      <c r="E2421" s="86">
        <v>23.99</v>
      </c>
      <c r="F2421" s="87">
        <v>27.23</v>
      </c>
      <c r="G2421" s="88">
        <f t="shared" si="1"/>
        <v>3.24</v>
      </c>
      <c r="H2421" s="89">
        <f t="shared" si="10"/>
        <v>0.118986412</v>
      </c>
      <c r="I2421" s="78" t="s">
        <v>3018</v>
      </c>
      <c r="J2421" s="78" t="s">
        <v>69</v>
      </c>
      <c r="K2421" s="58">
        <f t="shared" si="3"/>
        <v>1</v>
      </c>
      <c r="L2421" s="91" t="str">
        <f t="shared" si="8"/>
        <v>Tue</v>
      </c>
      <c r="M2421" s="78" t="str">
        <f>IFERROR(VLOOKUP(A2421, Entries!A:B,2,false),"")</f>
        <v>505 Games</v>
      </c>
      <c r="N2421" s="23" t="str">
        <f>IFERROR(VLOOKUP(A2421, Entries!A:K,11,false),"")</f>
        <v/>
      </c>
      <c r="O2421" s="23" t="b">
        <f>IFERROR(VLOOKUP(A2421, Entries!A:I,8,false),"")</f>
        <v>0</v>
      </c>
    </row>
    <row r="2422">
      <c r="A2422" s="78" t="s">
        <v>678</v>
      </c>
      <c r="B2422" s="78" t="s">
        <v>33</v>
      </c>
      <c r="C2422" s="85">
        <v>44802.0</v>
      </c>
      <c r="D2422" s="85">
        <v>44808.0</v>
      </c>
      <c r="E2422" s="86">
        <v>6.63</v>
      </c>
      <c r="F2422" s="87">
        <v>7.68</v>
      </c>
      <c r="G2422" s="88">
        <f t="shared" si="1"/>
        <v>1.05</v>
      </c>
      <c r="H2422" s="89">
        <f t="shared" si="10"/>
        <v>0.13671875</v>
      </c>
      <c r="I2422" s="78" t="s">
        <v>3019</v>
      </c>
      <c r="J2422" s="78" t="s">
        <v>69</v>
      </c>
      <c r="K2422" s="58">
        <f t="shared" si="3"/>
        <v>6</v>
      </c>
      <c r="L2422" s="91" t="str">
        <f t="shared" si="8"/>
        <v>Sun</v>
      </c>
      <c r="M2422" s="78" t="str">
        <f>IFERROR(VLOOKUP(A2422, Entries!A:B,2,false),"")</f>
        <v>FireFly Studios</v>
      </c>
      <c r="N2422" s="23" t="str">
        <f>IFERROR(VLOOKUP(A2422, Entries!A:K,11,false),"")</f>
        <v/>
      </c>
      <c r="O2422" s="23" t="b">
        <f>IFERROR(VLOOKUP(A2422, Entries!A:I,8,false),"")</f>
        <v>0</v>
      </c>
    </row>
    <row r="2423">
      <c r="A2423" s="78" t="s">
        <v>3020</v>
      </c>
      <c r="B2423" s="78" t="s">
        <v>21</v>
      </c>
      <c r="C2423" s="85">
        <v>44803.0</v>
      </c>
      <c r="D2423" s="85">
        <v>44803.0</v>
      </c>
      <c r="E2423" s="86">
        <v>5.61</v>
      </c>
      <c r="F2423" s="87">
        <v>8.94</v>
      </c>
      <c r="G2423" s="88">
        <f t="shared" si="1"/>
        <v>3.33</v>
      </c>
      <c r="H2423" s="89">
        <f t="shared" si="10"/>
        <v>0.3724832215</v>
      </c>
      <c r="I2423" s="78" t="s">
        <v>3021</v>
      </c>
      <c r="J2423" s="78" t="s">
        <v>69</v>
      </c>
      <c r="K2423" s="58">
        <f t="shared" si="3"/>
        <v>0</v>
      </c>
      <c r="L2423" s="91" t="str">
        <f t="shared" si="8"/>
        <v>Tue</v>
      </c>
      <c r="M2423" s="78" t="str">
        <f>IFERROR(VLOOKUP(A2423, Entries!A:B,2,false),"")</f>
        <v>COWCAT</v>
      </c>
      <c r="N2423" s="23" t="str">
        <f>IFERROR(VLOOKUP(A2423, Entries!A:K,11,false),"")</f>
        <v/>
      </c>
      <c r="O2423" s="23" t="b">
        <f>IFERROR(VLOOKUP(A2423, Entries!A:I,8,false),"")</f>
        <v>0</v>
      </c>
    </row>
    <row r="2424">
      <c r="A2424" s="78" t="s">
        <v>3020</v>
      </c>
      <c r="B2424" s="78" t="s">
        <v>21</v>
      </c>
      <c r="C2424" s="85">
        <v>44803.0</v>
      </c>
      <c r="D2424" s="85">
        <v>44803.0</v>
      </c>
      <c r="E2424" s="86">
        <v>5.62</v>
      </c>
      <c r="F2424" s="87">
        <v>8.89</v>
      </c>
      <c r="G2424" s="88">
        <f t="shared" si="1"/>
        <v>3.27</v>
      </c>
      <c r="H2424" s="89">
        <f t="shared" si="10"/>
        <v>0.3678290214</v>
      </c>
      <c r="I2424" s="78" t="s">
        <v>3022</v>
      </c>
      <c r="J2424" s="78" t="s">
        <v>69</v>
      </c>
      <c r="K2424" s="58">
        <f t="shared" si="3"/>
        <v>0</v>
      </c>
      <c r="L2424" s="91" t="str">
        <f t="shared" si="8"/>
        <v>Tue</v>
      </c>
      <c r="M2424" s="78" t="str">
        <f>IFERROR(VLOOKUP(A2424, Entries!A:B,2,false),"")</f>
        <v>COWCAT</v>
      </c>
      <c r="N2424" s="23" t="str">
        <f>IFERROR(VLOOKUP(A2424, Entries!A:K,11,false),"")</f>
        <v/>
      </c>
      <c r="O2424" s="23" t="b">
        <f>IFERROR(VLOOKUP(A2424, Entries!A:I,8,false),"")</f>
        <v>0</v>
      </c>
    </row>
    <row r="2425">
      <c r="A2425" s="78" t="s">
        <v>3020</v>
      </c>
      <c r="B2425" s="78" t="s">
        <v>21</v>
      </c>
      <c r="C2425" s="85">
        <v>44803.0</v>
      </c>
      <c r="D2425" s="85">
        <v>44965.0</v>
      </c>
      <c r="E2425" s="86">
        <v>5.53</v>
      </c>
      <c r="F2425" s="87">
        <v>7.17</v>
      </c>
      <c r="G2425" s="88">
        <f t="shared" si="1"/>
        <v>1.64</v>
      </c>
      <c r="H2425" s="89">
        <f t="shared" si="10"/>
        <v>0.2287308229</v>
      </c>
      <c r="I2425" s="78" t="s">
        <v>3023</v>
      </c>
      <c r="J2425" s="78" t="s">
        <v>69</v>
      </c>
      <c r="K2425" s="58">
        <f t="shared" si="3"/>
        <v>162</v>
      </c>
      <c r="L2425" s="91" t="str">
        <f t="shared" si="8"/>
        <v>Wed</v>
      </c>
      <c r="M2425" s="78" t="str">
        <f>IFERROR(VLOOKUP(A2425, Entries!A:B,2,false),"")</f>
        <v>COWCAT</v>
      </c>
      <c r="N2425" s="23" t="str">
        <f>IFERROR(VLOOKUP(A2425, Entries!A:K,11,false),"")</f>
        <v/>
      </c>
      <c r="O2425" s="23" t="b">
        <f>IFERROR(VLOOKUP(A2425, Entries!A:I,8,false),"")</f>
        <v>0</v>
      </c>
    </row>
    <row r="2426">
      <c r="A2426" s="78" t="s">
        <v>3020</v>
      </c>
      <c r="B2426" s="78" t="s">
        <v>21</v>
      </c>
      <c r="C2426" s="85">
        <v>44803.0</v>
      </c>
      <c r="D2426" s="85">
        <v>44989.0</v>
      </c>
      <c r="E2426" s="86">
        <v>5.53</v>
      </c>
      <c r="F2426" s="87">
        <v>9.89</v>
      </c>
      <c r="G2426" s="88">
        <f t="shared" si="1"/>
        <v>4.36</v>
      </c>
      <c r="H2426" s="89">
        <f t="shared" si="10"/>
        <v>0.4408493428</v>
      </c>
      <c r="I2426" s="78" t="s">
        <v>3024</v>
      </c>
      <c r="J2426" s="78" t="s">
        <v>69</v>
      </c>
      <c r="K2426" s="58">
        <f t="shared" si="3"/>
        <v>186</v>
      </c>
      <c r="L2426" s="91" t="str">
        <f t="shared" si="8"/>
        <v>Sat</v>
      </c>
      <c r="M2426" s="78" t="str">
        <f>IFERROR(VLOOKUP(A2426, Entries!A:B,2,false),"")</f>
        <v>COWCAT</v>
      </c>
      <c r="N2426" s="23" t="str">
        <f>IFERROR(VLOOKUP(A2426, Entries!A:K,11,false),"")</f>
        <v/>
      </c>
      <c r="O2426" s="23" t="b">
        <f>IFERROR(VLOOKUP(A2426, Entries!A:I,8,false),"")</f>
        <v>0</v>
      </c>
    </row>
    <row r="2427">
      <c r="A2427" s="78" t="s">
        <v>3020</v>
      </c>
      <c r="B2427" s="78" t="s">
        <v>21</v>
      </c>
      <c r="C2427" s="85">
        <v>44803.0</v>
      </c>
      <c r="D2427" s="85">
        <v>44991.0</v>
      </c>
      <c r="E2427" s="86">
        <v>5.53</v>
      </c>
      <c r="F2427" s="87">
        <v>9.86</v>
      </c>
      <c r="G2427" s="88">
        <f t="shared" si="1"/>
        <v>4.33</v>
      </c>
      <c r="H2427" s="89">
        <f t="shared" si="10"/>
        <v>0.439148073</v>
      </c>
      <c r="I2427" s="78" t="s">
        <v>3025</v>
      </c>
      <c r="J2427" s="78" t="s">
        <v>69</v>
      </c>
      <c r="K2427" s="58">
        <f t="shared" si="3"/>
        <v>188</v>
      </c>
      <c r="L2427" s="91" t="str">
        <f t="shared" si="8"/>
        <v>Mon</v>
      </c>
      <c r="M2427" s="78" t="str">
        <f>IFERROR(VLOOKUP(A2427, Entries!A:B,2,false),"")</f>
        <v>COWCAT</v>
      </c>
      <c r="N2427" s="23" t="str">
        <f>IFERROR(VLOOKUP(A2427, Entries!A:K,11,false),"")</f>
        <v/>
      </c>
      <c r="O2427" s="23" t="b">
        <f>IFERROR(VLOOKUP(A2427, Entries!A:I,8,false),"")</f>
        <v>0</v>
      </c>
    </row>
    <row r="2428">
      <c r="A2428" s="78" t="s">
        <v>3020</v>
      </c>
      <c r="B2428" s="78" t="s">
        <v>21</v>
      </c>
      <c r="C2428" s="85">
        <v>44803.0</v>
      </c>
      <c r="D2428" s="85">
        <v>44992.0</v>
      </c>
      <c r="E2428" s="86">
        <v>5.53</v>
      </c>
      <c r="F2428" s="87">
        <v>9.82</v>
      </c>
      <c r="G2428" s="88">
        <f t="shared" si="1"/>
        <v>4.29</v>
      </c>
      <c r="H2428" s="89">
        <f t="shared" si="10"/>
        <v>0.4368635438</v>
      </c>
      <c r="I2428" s="78" t="s">
        <v>3026</v>
      </c>
      <c r="J2428" s="78" t="s">
        <v>69</v>
      </c>
      <c r="K2428" s="58">
        <f t="shared" si="3"/>
        <v>189</v>
      </c>
      <c r="L2428" s="91" t="str">
        <f t="shared" si="8"/>
        <v>Tue</v>
      </c>
      <c r="M2428" s="78" t="str">
        <f>IFERROR(VLOOKUP(A2428, Entries!A:B,2,false),"")</f>
        <v>COWCAT</v>
      </c>
      <c r="N2428" s="23" t="str">
        <f>IFERROR(VLOOKUP(A2428, Entries!A:K,11,false),"")</f>
        <v/>
      </c>
      <c r="O2428" s="23" t="b">
        <f>IFERROR(VLOOKUP(A2428, Entries!A:I,8,false),"")</f>
        <v>0</v>
      </c>
    </row>
    <row r="2429">
      <c r="A2429" s="78" t="s">
        <v>2323</v>
      </c>
      <c r="B2429" s="78" t="s">
        <v>27</v>
      </c>
      <c r="C2429" s="85">
        <v>44809.0</v>
      </c>
      <c r="D2429" s="85">
        <v>44809.0</v>
      </c>
      <c r="E2429" s="86">
        <v>3.59</v>
      </c>
      <c r="F2429" s="87">
        <v>5.29</v>
      </c>
      <c r="G2429" s="88">
        <f t="shared" si="1"/>
        <v>1.7</v>
      </c>
      <c r="H2429" s="89">
        <f t="shared" si="10"/>
        <v>0.3213610586</v>
      </c>
      <c r="I2429" s="78" t="s">
        <v>3027</v>
      </c>
      <c r="J2429" s="78" t="s">
        <v>69</v>
      </c>
      <c r="K2429" s="58">
        <f t="shared" si="3"/>
        <v>0</v>
      </c>
      <c r="L2429" s="91" t="str">
        <f t="shared" si="8"/>
        <v>Mon</v>
      </c>
      <c r="M2429" s="78" t="str">
        <f>IFERROR(VLOOKUP(A2429, Entries!A:B,2,false),"")</f>
        <v>tinyBuild</v>
      </c>
      <c r="N2429" s="23" t="str">
        <f>IFERROR(VLOOKUP(A2429, Entries!A:K,11,false),"")</f>
        <v/>
      </c>
      <c r="O2429" s="23" t="b">
        <f>IFERROR(VLOOKUP(A2429, Entries!A:I,8,false),"")</f>
        <v>1</v>
      </c>
    </row>
    <row r="2430">
      <c r="A2430" s="78" t="s">
        <v>678</v>
      </c>
      <c r="B2430" s="78" t="s">
        <v>33</v>
      </c>
      <c r="C2430" s="85">
        <v>44808.0</v>
      </c>
      <c r="D2430" s="85">
        <v>44816.0</v>
      </c>
      <c r="E2430" s="86">
        <v>6.63</v>
      </c>
      <c r="F2430" s="87">
        <v>7.92</v>
      </c>
      <c r="G2430" s="88">
        <f t="shared" si="1"/>
        <v>1.29</v>
      </c>
      <c r="H2430" s="89">
        <f t="shared" si="10"/>
        <v>0.1628787879</v>
      </c>
      <c r="I2430" s="78" t="s">
        <v>3028</v>
      </c>
      <c r="J2430" s="78" t="s">
        <v>69</v>
      </c>
      <c r="K2430" s="58">
        <f t="shared" si="3"/>
        <v>8</v>
      </c>
      <c r="L2430" s="91" t="str">
        <f t="shared" si="8"/>
        <v>Mon</v>
      </c>
      <c r="M2430" s="78" t="str">
        <f>IFERROR(VLOOKUP(A2430, Entries!A:B,2,false),"")</f>
        <v>FireFly Studios</v>
      </c>
      <c r="N2430" s="23" t="str">
        <f>IFERROR(VLOOKUP(A2430, Entries!A:K,11,false),"")</f>
        <v/>
      </c>
      <c r="O2430" s="23" t="b">
        <f>IFERROR(VLOOKUP(A2430, Entries!A:I,8,false),"")</f>
        <v>0</v>
      </c>
    </row>
    <row r="2431">
      <c r="A2431" s="78" t="s">
        <v>2477</v>
      </c>
      <c r="B2431" s="78" t="s">
        <v>27</v>
      </c>
      <c r="C2431" s="85">
        <v>44808.0</v>
      </c>
      <c r="D2431" s="85">
        <v>45243.0</v>
      </c>
      <c r="E2431" s="86">
        <v>4.19</v>
      </c>
      <c r="F2431" s="87">
        <v>5.17</v>
      </c>
      <c r="G2431" s="88">
        <f t="shared" si="1"/>
        <v>0.98</v>
      </c>
      <c r="H2431" s="89">
        <f t="shared" si="10"/>
        <v>0.1895551257</v>
      </c>
      <c r="I2431" s="78" t="s">
        <v>3029</v>
      </c>
      <c r="J2431" s="78" t="s">
        <v>69</v>
      </c>
      <c r="K2431" s="58">
        <f t="shared" si="3"/>
        <v>435</v>
      </c>
      <c r="L2431" s="91" t="str">
        <f t="shared" si="8"/>
        <v>Mon</v>
      </c>
      <c r="M2431" s="78" t="str">
        <f>IFERROR(VLOOKUP(A2431, Entries!A:B,2,false),"")</f>
        <v>Devolver Digital</v>
      </c>
      <c r="N2431" s="23" t="str">
        <f>IFERROR(VLOOKUP(A2431, Entries!A:K,11,false),"")</f>
        <v/>
      </c>
      <c r="O2431" s="23" t="b">
        <f>IFERROR(VLOOKUP(A2431, Entries!A:I,8,false),"")</f>
        <v>0</v>
      </c>
    </row>
    <row r="2432">
      <c r="A2432" s="78" t="s">
        <v>2323</v>
      </c>
      <c r="B2432" s="78" t="s">
        <v>27</v>
      </c>
      <c r="C2432" s="85">
        <v>44809.0</v>
      </c>
      <c r="D2432" s="85">
        <v>44812.0</v>
      </c>
      <c r="E2432" s="86">
        <v>3.59</v>
      </c>
      <c r="F2432" s="87">
        <v>5.39</v>
      </c>
      <c r="G2432" s="88">
        <f t="shared" si="1"/>
        <v>1.8</v>
      </c>
      <c r="H2432" s="89">
        <f t="shared" si="10"/>
        <v>0.3339517625</v>
      </c>
      <c r="I2432" s="78" t="s">
        <v>3030</v>
      </c>
      <c r="J2432" s="78" t="s">
        <v>69</v>
      </c>
      <c r="K2432" s="58">
        <f t="shared" si="3"/>
        <v>3</v>
      </c>
      <c r="L2432" s="91" t="str">
        <f t="shared" si="8"/>
        <v>Thu</v>
      </c>
      <c r="M2432" s="78" t="str">
        <f>IFERROR(VLOOKUP(A2432, Entries!A:B,2,false),"")</f>
        <v>tinyBuild</v>
      </c>
      <c r="N2432" s="23" t="str">
        <f>IFERROR(VLOOKUP(A2432, Entries!A:K,11,false),"")</f>
        <v/>
      </c>
      <c r="O2432" s="23" t="b">
        <f>IFERROR(VLOOKUP(A2432, Entries!A:I,8,false),"")</f>
        <v>1</v>
      </c>
    </row>
    <row r="2433">
      <c r="A2433" s="78" t="s">
        <v>2323</v>
      </c>
      <c r="B2433" s="78" t="s">
        <v>27</v>
      </c>
      <c r="C2433" s="85">
        <v>44812.0</v>
      </c>
      <c r="D2433" s="85">
        <v>44815.0</v>
      </c>
      <c r="E2433" s="78">
        <v>3.59</v>
      </c>
      <c r="F2433" s="78">
        <v>5.22</v>
      </c>
      <c r="G2433" s="88">
        <f t="shared" si="1"/>
        <v>1.63</v>
      </c>
      <c r="H2433" s="89">
        <f t="shared" si="10"/>
        <v>0.3122605364</v>
      </c>
      <c r="I2433" s="78" t="s">
        <v>3031</v>
      </c>
      <c r="J2433" s="78" t="s">
        <v>69</v>
      </c>
      <c r="K2433" s="58">
        <f t="shared" si="3"/>
        <v>3</v>
      </c>
      <c r="L2433" s="91" t="str">
        <f t="shared" si="8"/>
        <v>Sun</v>
      </c>
      <c r="M2433" s="78" t="str">
        <f>IFERROR(VLOOKUP(A2433, Entries!A:B,2,false),"")</f>
        <v>tinyBuild</v>
      </c>
      <c r="N2433" s="23" t="str">
        <f>IFERROR(VLOOKUP(A2433, Entries!A:K,11,false),"")</f>
        <v/>
      </c>
      <c r="O2433" s="23" t="b">
        <f>IFERROR(VLOOKUP(A2433, Entries!A:I,8,false),"")</f>
        <v>1</v>
      </c>
    </row>
    <row r="2434">
      <c r="A2434" s="78" t="s">
        <v>2250</v>
      </c>
      <c r="B2434" s="78" t="s">
        <v>25</v>
      </c>
      <c r="C2434" s="85">
        <v>44814.0</v>
      </c>
      <c r="D2434" s="85">
        <v>44817.0</v>
      </c>
      <c r="E2434" s="86">
        <v>16.84</v>
      </c>
      <c r="F2434" s="87">
        <v>19.61</v>
      </c>
      <c r="G2434" s="88">
        <f t="shared" si="1"/>
        <v>2.77</v>
      </c>
      <c r="H2434" s="89">
        <f t="shared" si="10"/>
        <v>0.141254462</v>
      </c>
      <c r="I2434" s="78" t="s">
        <v>3032</v>
      </c>
      <c r="J2434" s="78" t="s">
        <v>69</v>
      </c>
      <c r="K2434" s="58">
        <f t="shared" si="3"/>
        <v>3</v>
      </c>
      <c r="L2434" s="91" t="str">
        <f t="shared" si="8"/>
        <v>Tue</v>
      </c>
      <c r="M2434" s="78" t="str">
        <f>IFERROR(VLOOKUP(A2434, Entries!A:B,2,false),"")</f>
        <v>SEGA</v>
      </c>
      <c r="N2434" s="23" t="str">
        <f>IFERROR(VLOOKUP(A2434, Entries!A:K,11,false),"")</f>
        <v/>
      </c>
      <c r="O2434" s="23" t="b">
        <f>IFERROR(VLOOKUP(A2434, Entries!A:I,8,false),"")</f>
        <v>1</v>
      </c>
    </row>
    <row r="2435">
      <c r="A2435" s="78" t="s">
        <v>3033</v>
      </c>
      <c r="B2435" s="78" t="s">
        <v>25</v>
      </c>
      <c r="C2435" s="85">
        <v>44814.0</v>
      </c>
      <c r="D2435" s="85">
        <v>44820.0</v>
      </c>
      <c r="E2435" s="86">
        <v>0.0</v>
      </c>
      <c r="F2435" s="87">
        <v>0.13</v>
      </c>
      <c r="G2435" s="88">
        <f t="shared" si="1"/>
        <v>0.13</v>
      </c>
      <c r="H2435" s="89">
        <f t="shared" si="10"/>
        <v>1</v>
      </c>
      <c r="I2435" s="78" t="s">
        <v>3034</v>
      </c>
      <c r="J2435" s="78" t="s">
        <v>69</v>
      </c>
      <c r="K2435" s="58">
        <f t="shared" si="3"/>
        <v>6</v>
      </c>
      <c r="L2435" s="91" t="str">
        <f t="shared" si="8"/>
        <v>Fri</v>
      </c>
      <c r="M2435" s="78" t="str">
        <f>IFERROR(VLOOKUP(A2435, Entries!A:B,2,false),"")</f>
        <v>Telltale</v>
      </c>
      <c r="N2435" s="23" t="str">
        <f>IFERROR(VLOOKUP(A2435, Entries!A:K,11,false),"")</f>
        <v/>
      </c>
      <c r="O2435" s="23" t="b">
        <f>IFERROR(VLOOKUP(A2435, Entries!A:I,8,false),"")</f>
        <v>0</v>
      </c>
    </row>
    <row r="2436">
      <c r="A2436" s="78" t="s">
        <v>3035</v>
      </c>
      <c r="B2436" s="78" t="s">
        <v>23</v>
      </c>
      <c r="C2436" s="85">
        <v>44815.0</v>
      </c>
      <c r="D2436" s="85">
        <v>44848.0</v>
      </c>
      <c r="E2436" s="86">
        <v>37.99</v>
      </c>
      <c r="F2436" s="87">
        <v>44.47</v>
      </c>
      <c r="G2436" s="88">
        <f t="shared" si="1"/>
        <v>6.48</v>
      </c>
      <c r="H2436" s="89">
        <f t="shared" si="10"/>
        <v>0.1457162132</v>
      </c>
      <c r="I2436" s="78" t="s">
        <v>3036</v>
      </c>
      <c r="J2436" s="78" t="s">
        <v>69</v>
      </c>
      <c r="K2436" s="58">
        <f t="shared" si="3"/>
        <v>33</v>
      </c>
      <c r="L2436" s="91" t="str">
        <f t="shared" si="8"/>
        <v>Fri</v>
      </c>
      <c r="M2436" s="78" t="str">
        <f>IFERROR(VLOOKUP(A2436, Entries!A:B,2,false),"")</f>
        <v>Warner Bros</v>
      </c>
      <c r="N2436" s="23" t="str">
        <f>IFERROR(VLOOKUP(A2436, Entries!A:K,11,false),"")</f>
        <v/>
      </c>
      <c r="O2436" s="23" t="b">
        <f>IFERROR(VLOOKUP(A2436, Entries!A:I,8,false),"")</f>
        <v>0</v>
      </c>
    </row>
    <row r="2437">
      <c r="A2437" s="78" t="s">
        <v>2789</v>
      </c>
      <c r="B2437" s="78" t="s">
        <v>25</v>
      </c>
      <c r="C2437" s="85">
        <v>44815.0</v>
      </c>
      <c r="D2437" s="85">
        <v>44822.0</v>
      </c>
      <c r="E2437" s="86">
        <v>3.45</v>
      </c>
      <c r="F2437" s="87">
        <v>3.77</v>
      </c>
      <c r="G2437" s="88">
        <f t="shared" si="1"/>
        <v>0.32</v>
      </c>
      <c r="H2437" s="89">
        <f t="shared" si="10"/>
        <v>0.0848806366</v>
      </c>
      <c r="I2437" s="78" t="s">
        <v>3037</v>
      </c>
      <c r="J2437" s="78" t="s">
        <v>69</v>
      </c>
      <c r="K2437" s="58">
        <f t="shared" si="3"/>
        <v>7</v>
      </c>
      <c r="L2437" s="91" t="str">
        <f t="shared" si="8"/>
        <v>Sun</v>
      </c>
      <c r="M2437" s="78" t="str">
        <f>IFERROR(VLOOKUP(A2437, Entries!A:B,2,false),"")</f>
        <v>Evil Tortilla Games</v>
      </c>
      <c r="N2437" s="23" t="str">
        <f>IFERROR(VLOOKUP(A2437, Entries!A:K,11,false),"")</f>
        <v/>
      </c>
      <c r="O2437" s="23" t="b">
        <f>IFERROR(VLOOKUP(A2437, Entries!A:I,8,false),"")</f>
        <v>1</v>
      </c>
    </row>
    <row r="2438">
      <c r="A2438" s="78" t="s">
        <v>2550</v>
      </c>
      <c r="B2438" s="78" t="s">
        <v>27</v>
      </c>
      <c r="C2438" s="85">
        <v>44815.0</v>
      </c>
      <c r="D2438" s="85">
        <v>44824.0</v>
      </c>
      <c r="E2438" s="86">
        <v>17.99</v>
      </c>
      <c r="F2438" s="87">
        <v>21.4</v>
      </c>
      <c r="G2438" s="88">
        <f t="shared" si="1"/>
        <v>3.41</v>
      </c>
      <c r="H2438" s="89">
        <f t="shared" si="10"/>
        <v>0.1593457944</v>
      </c>
      <c r="I2438" s="78" t="s">
        <v>3038</v>
      </c>
      <c r="J2438" s="78" t="s">
        <v>69</v>
      </c>
      <c r="K2438" s="58">
        <f t="shared" si="3"/>
        <v>9</v>
      </c>
      <c r="L2438" s="91" t="str">
        <f t="shared" si="8"/>
        <v>Tue</v>
      </c>
      <c r="M2438" s="78" t="str">
        <f>IFERROR(VLOOKUP(A2438, Entries!A:B,2,false),"")</f>
        <v>Square Enix</v>
      </c>
      <c r="N2438" s="23" t="str">
        <f>IFERROR(VLOOKUP(A2438, Entries!A:K,11,false),"")</f>
        <v/>
      </c>
      <c r="O2438" s="23" t="b">
        <f>IFERROR(VLOOKUP(A2438, Entries!A:I,8,false),"")</f>
        <v>0</v>
      </c>
    </row>
    <row r="2439">
      <c r="A2439" s="78" t="s">
        <v>375</v>
      </c>
      <c r="B2439" s="78" t="s">
        <v>33</v>
      </c>
      <c r="C2439" s="85">
        <v>44816.0</v>
      </c>
      <c r="D2439" s="85">
        <v>44829.0</v>
      </c>
      <c r="E2439" s="86">
        <v>6.63</v>
      </c>
      <c r="F2439" s="87">
        <v>8.76</v>
      </c>
      <c r="G2439" s="88">
        <f t="shared" si="1"/>
        <v>2.13</v>
      </c>
      <c r="H2439" s="89">
        <f t="shared" si="10"/>
        <v>0.2431506849</v>
      </c>
      <c r="I2439" s="78" t="s">
        <v>3039</v>
      </c>
      <c r="J2439" s="78" t="s">
        <v>69</v>
      </c>
      <c r="K2439" s="58">
        <f t="shared" si="3"/>
        <v>13</v>
      </c>
      <c r="L2439" s="91" t="str">
        <f t="shared" si="8"/>
        <v>Sun</v>
      </c>
      <c r="M2439" s="78" t="str">
        <f>IFERROR(VLOOKUP(A2439, Entries!A:B,2,false),"")</f>
        <v>Survios</v>
      </c>
      <c r="N2439" s="23" t="str">
        <f>IFERROR(VLOOKUP(A2439, Entries!A:K,11,false),"")</f>
        <v/>
      </c>
      <c r="O2439" s="23" t="b">
        <f>IFERROR(VLOOKUP(A2439, Entries!A:I,8,false),"")</f>
        <v>1</v>
      </c>
    </row>
    <row r="2440">
      <c r="A2440" s="78" t="s">
        <v>678</v>
      </c>
      <c r="B2440" s="78" t="s">
        <v>33</v>
      </c>
      <c r="C2440" s="85">
        <v>44816.0</v>
      </c>
      <c r="D2440" s="85">
        <v>44837.0</v>
      </c>
      <c r="E2440" s="86">
        <v>6.63</v>
      </c>
      <c r="F2440" s="87">
        <v>8.5</v>
      </c>
      <c r="G2440" s="88">
        <f t="shared" si="1"/>
        <v>1.87</v>
      </c>
      <c r="H2440" s="89">
        <f t="shared" si="10"/>
        <v>0.22</v>
      </c>
      <c r="I2440" s="78" t="s">
        <v>3040</v>
      </c>
      <c r="J2440" s="78" t="s">
        <v>69</v>
      </c>
      <c r="K2440" s="58">
        <f t="shared" si="3"/>
        <v>21</v>
      </c>
      <c r="L2440" s="91" t="str">
        <f t="shared" si="8"/>
        <v>Mon</v>
      </c>
      <c r="M2440" s="78" t="str">
        <f>IFERROR(VLOOKUP(A2440, Entries!A:B,2,false),"")</f>
        <v>FireFly Studios</v>
      </c>
      <c r="N2440" s="23" t="str">
        <f>IFERROR(VLOOKUP(A2440, Entries!A:K,11,false),"")</f>
        <v/>
      </c>
      <c r="O2440" s="23" t="b">
        <f>IFERROR(VLOOKUP(A2440, Entries!A:I,8,false),"")</f>
        <v>0</v>
      </c>
    </row>
    <row r="2441">
      <c r="A2441" s="78" t="s">
        <v>1832</v>
      </c>
      <c r="B2441" s="78" t="s">
        <v>19</v>
      </c>
      <c r="C2441" s="85">
        <v>44816.0</v>
      </c>
      <c r="D2441" s="85">
        <v>44913.0</v>
      </c>
      <c r="E2441" s="86">
        <v>18.31</v>
      </c>
      <c r="F2441" s="87">
        <v>20.21</v>
      </c>
      <c r="G2441" s="88">
        <f t="shared" si="1"/>
        <v>1.9</v>
      </c>
      <c r="H2441" s="89">
        <f t="shared" si="10"/>
        <v>0.09401286492</v>
      </c>
      <c r="I2441" s="78" t="s">
        <v>3041</v>
      </c>
      <c r="J2441" s="78" t="s">
        <v>69</v>
      </c>
      <c r="K2441" s="58">
        <f t="shared" si="3"/>
        <v>97</v>
      </c>
      <c r="L2441" s="91" t="str">
        <f t="shared" si="8"/>
        <v>Sun</v>
      </c>
      <c r="M2441" s="78" t="str">
        <f>IFERROR(VLOOKUP(A2441, Entries!A:B,2,false),"")</f>
        <v>Bethesda Softworks</v>
      </c>
      <c r="N2441" s="23" t="str">
        <f>IFERROR(VLOOKUP(A2441, Entries!A:K,11,false),"")</f>
        <v/>
      </c>
      <c r="O2441" s="23" t="b">
        <f>IFERROR(VLOOKUP(A2441, Entries!A:I,8,false),"")</f>
        <v>1</v>
      </c>
    </row>
    <row r="2442">
      <c r="A2442" s="78" t="s">
        <v>1905</v>
      </c>
      <c r="B2442" s="78" t="s">
        <v>21</v>
      </c>
      <c r="C2442" s="85">
        <v>44816.0</v>
      </c>
      <c r="D2442" s="85">
        <v>44852.0</v>
      </c>
      <c r="E2442" s="86">
        <v>7.87</v>
      </c>
      <c r="F2442" s="87">
        <v>9.57</v>
      </c>
      <c r="G2442" s="88">
        <f t="shared" si="1"/>
        <v>1.7</v>
      </c>
      <c r="H2442" s="89">
        <f t="shared" si="10"/>
        <v>0.1776384535</v>
      </c>
      <c r="I2442" s="78" t="s">
        <v>3042</v>
      </c>
      <c r="J2442" s="78" t="s">
        <v>69</v>
      </c>
      <c r="K2442" s="58">
        <f t="shared" si="3"/>
        <v>36</v>
      </c>
      <c r="L2442" s="91" t="str">
        <f t="shared" si="8"/>
        <v>Tue</v>
      </c>
      <c r="M2442" s="78" t="str">
        <f>IFERROR(VLOOKUP(A2442, Entries!A:B,2,false),"")</f>
        <v>Dovetail Games</v>
      </c>
      <c r="N2442" s="23" t="str">
        <f>IFERROR(VLOOKUP(A2442, Entries!A:K,11,false),"")</f>
        <v/>
      </c>
      <c r="O2442" s="23" t="b">
        <f>IFERROR(VLOOKUP(A2442, Entries!A:I,8,false),"")</f>
        <v>1</v>
      </c>
    </row>
    <row r="2443">
      <c r="A2443" s="78" t="s">
        <v>731</v>
      </c>
      <c r="B2443" s="78" t="s">
        <v>27</v>
      </c>
      <c r="C2443" s="85">
        <v>44816.0</v>
      </c>
      <c r="D2443" s="85">
        <v>44817.0</v>
      </c>
      <c r="E2443" s="86">
        <v>4.29</v>
      </c>
      <c r="F2443" s="87">
        <v>5.76</v>
      </c>
      <c r="G2443" s="88">
        <f t="shared" si="1"/>
        <v>1.47</v>
      </c>
      <c r="H2443" s="89">
        <f t="shared" si="10"/>
        <v>0.2552083333</v>
      </c>
      <c r="I2443" s="78" t="s">
        <v>3043</v>
      </c>
      <c r="J2443" s="78" t="s">
        <v>69</v>
      </c>
      <c r="K2443" s="58">
        <f t="shared" si="3"/>
        <v>1</v>
      </c>
      <c r="L2443" s="91" t="str">
        <f t="shared" si="8"/>
        <v>Tue</v>
      </c>
      <c r="M2443" s="78" t="str">
        <f>IFERROR(VLOOKUP(A2443, Entries!A:B,2,false),"")</f>
        <v>Square Enix</v>
      </c>
      <c r="N2443" s="23" t="str">
        <f>IFERROR(VLOOKUP(A2443, Entries!A:K,11,false),"")</f>
        <v/>
      </c>
      <c r="O2443" s="23" t="b">
        <f>IFERROR(VLOOKUP(A2443, Entries!A:I,8,false),"")</f>
        <v>1</v>
      </c>
    </row>
    <row r="2444">
      <c r="A2444" s="78" t="s">
        <v>731</v>
      </c>
      <c r="B2444" s="78" t="s">
        <v>27</v>
      </c>
      <c r="C2444" s="85">
        <v>44817.0</v>
      </c>
      <c r="D2444" s="85">
        <v>44819.0</v>
      </c>
      <c r="E2444" s="86">
        <v>4.29</v>
      </c>
      <c r="F2444" s="87">
        <v>5.76</v>
      </c>
      <c r="G2444" s="88">
        <f t="shared" si="1"/>
        <v>1.47</v>
      </c>
      <c r="H2444" s="89">
        <f t="shared" si="10"/>
        <v>0.2552083333</v>
      </c>
      <c r="I2444" s="78" t="s">
        <v>3044</v>
      </c>
      <c r="J2444" s="78" t="s">
        <v>69</v>
      </c>
      <c r="K2444" s="58">
        <f t="shared" si="3"/>
        <v>2</v>
      </c>
      <c r="L2444" s="91" t="str">
        <f t="shared" si="8"/>
        <v>Thu</v>
      </c>
      <c r="M2444" s="78" t="str">
        <f>IFERROR(VLOOKUP(A2444, Entries!A:B,2,false),"")</f>
        <v>Square Enix</v>
      </c>
      <c r="N2444" s="23" t="str">
        <f>IFERROR(VLOOKUP(A2444, Entries!A:K,11,false),"")</f>
        <v/>
      </c>
      <c r="O2444" s="23" t="b">
        <f>IFERROR(VLOOKUP(A2444, Entries!A:I,8,false),"")</f>
        <v>1</v>
      </c>
    </row>
    <row r="2445">
      <c r="A2445" s="78" t="s">
        <v>2250</v>
      </c>
      <c r="B2445" s="78" t="s">
        <v>25</v>
      </c>
      <c r="C2445" s="85">
        <v>44818.0</v>
      </c>
      <c r="D2445" s="85">
        <v>44818.0</v>
      </c>
      <c r="E2445" s="86">
        <v>16.84</v>
      </c>
      <c r="F2445" s="87">
        <v>21.25</v>
      </c>
      <c r="G2445" s="88">
        <f t="shared" si="1"/>
        <v>4.41</v>
      </c>
      <c r="H2445" s="89">
        <f t="shared" si="10"/>
        <v>0.2075294118</v>
      </c>
      <c r="I2445" s="78" t="s">
        <v>3045</v>
      </c>
      <c r="J2445" s="78" t="s">
        <v>69</v>
      </c>
      <c r="K2445" s="58">
        <f t="shared" si="3"/>
        <v>0</v>
      </c>
      <c r="L2445" s="91" t="str">
        <f t="shared" si="8"/>
        <v>Wed</v>
      </c>
      <c r="M2445" s="78" t="str">
        <f>IFERROR(VLOOKUP(A2445, Entries!A:B,2,false),"")</f>
        <v>SEGA</v>
      </c>
      <c r="N2445" s="23" t="str">
        <f>IFERROR(VLOOKUP(A2445, Entries!A:K,11,false),"")</f>
        <v/>
      </c>
      <c r="O2445" s="23" t="b">
        <f>IFERROR(VLOOKUP(A2445, Entries!A:I,8,false),"")</f>
        <v>1</v>
      </c>
    </row>
    <row r="2446">
      <c r="A2446" s="78" t="s">
        <v>2250</v>
      </c>
      <c r="B2446" s="78" t="s">
        <v>25</v>
      </c>
      <c r="C2446" s="85">
        <v>44818.0</v>
      </c>
      <c r="D2446" s="85">
        <v>44825.0</v>
      </c>
      <c r="E2446" s="86">
        <v>16.84</v>
      </c>
      <c r="F2446" s="87">
        <v>19.7</v>
      </c>
      <c r="G2446" s="88">
        <f t="shared" si="1"/>
        <v>2.86</v>
      </c>
      <c r="H2446" s="89">
        <f t="shared" si="10"/>
        <v>0.145177665</v>
      </c>
      <c r="I2446" s="78" t="s">
        <v>3046</v>
      </c>
      <c r="J2446" s="78" t="s">
        <v>69</v>
      </c>
      <c r="K2446" s="58">
        <f t="shared" si="3"/>
        <v>7</v>
      </c>
      <c r="L2446" s="91" t="str">
        <f t="shared" si="8"/>
        <v>Wed</v>
      </c>
      <c r="M2446" s="78" t="str">
        <f>IFERROR(VLOOKUP(A2446, Entries!A:B,2,false),"")</f>
        <v>SEGA</v>
      </c>
      <c r="N2446" s="23" t="str">
        <f>IFERROR(VLOOKUP(A2446, Entries!A:K,11,false),"")</f>
        <v/>
      </c>
      <c r="O2446" s="23" t="b">
        <f>IFERROR(VLOOKUP(A2446, Entries!A:I,8,false),"")</f>
        <v>1</v>
      </c>
    </row>
    <row r="2447">
      <c r="A2447" s="78" t="s">
        <v>2250</v>
      </c>
      <c r="B2447" s="78" t="s">
        <v>25</v>
      </c>
      <c r="C2447" s="85">
        <v>44818.0</v>
      </c>
      <c r="D2447" s="85">
        <v>44825.0</v>
      </c>
      <c r="E2447" s="86">
        <v>16.84</v>
      </c>
      <c r="F2447" s="87">
        <v>19.48</v>
      </c>
      <c r="G2447" s="88">
        <f t="shared" si="1"/>
        <v>2.64</v>
      </c>
      <c r="H2447" s="89">
        <f t="shared" si="10"/>
        <v>0.135523614</v>
      </c>
      <c r="I2447" s="78" t="s">
        <v>3047</v>
      </c>
      <c r="J2447" s="78" t="s">
        <v>69</v>
      </c>
      <c r="K2447" s="58">
        <f t="shared" si="3"/>
        <v>7</v>
      </c>
      <c r="L2447" s="91" t="str">
        <f t="shared" si="8"/>
        <v>Wed</v>
      </c>
      <c r="M2447" s="78" t="str">
        <f>IFERROR(VLOOKUP(A2447, Entries!A:B,2,false),"")</f>
        <v>SEGA</v>
      </c>
      <c r="N2447" s="23" t="str">
        <f>IFERROR(VLOOKUP(A2447, Entries!A:K,11,false),"")</f>
        <v/>
      </c>
      <c r="O2447" s="23" t="b">
        <f>IFERROR(VLOOKUP(A2447, Entries!A:I,8,false),"")</f>
        <v>1</v>
      </c>
    </row>
    <row r="2448">
      <c r="A2448" s="78" t="s">
        <v>1609</v>
      </c>
      <c r="B2448" s="78" t="s">
        <v>19</v>
      </c>
      <c r="C2448" s="85">
        <v>44818.0</v>
      </c>
      <c r="D2448" s="85">
        <v>44839.0</v>
      </c>
      <c r="E2448" s="86">
        <v>13.63</v>
      </c>
      <c r="F2448" s="87">
        <v>15.79</v>
      </c>
      <c r="G2448" s="88">
        <f t="shared" si="1"/>
        <v>2.16</v>
      </c>
      <c r="H2448" s="89">
        <f t="shared" si="10"/>
        <v>0.1367954402</v>
      </c>
      <c r="I2448" s="78" t="s">
        <v>3048</v>
      </c>
      <c r="J2448" s="78" t="s">
        <v>69</v>
      </c>
      <c r="K2448" s="58">
        <f t="shared" si="3"/>
        <v>21</v>
      </c>
      <c r="L2448" s="91" t="str">
        <f t="shared" si="8"/>
        <v>Wed</v>
      </c>
      <c r="M2448" s="78" t="str">
        <f>IFERROR(VLOOKUP(A2448, Entries!A:B,2,false),"")</f>
        <v>Dear Villagers</v>
      </c>
      <c r="N2448" s="23" t="str">
        <f>IFERROR(VLOOKUP(A2448, Entries!A:K,11,false),"")</f>
        <v/>
      </c>
      <c r="O2448" s="23" t="b">
        <f>IFERROR(VLOOKUP(A2448, Entries!A:I,8,false),"")</f>
        <v>0</v>
      </c>
    </row>
    <row r="2449">
      <c r="A2449" s="78" t="s">
        <v>1609</v>
      </c>
      <c r="B2449" s="78" t="s">
        <v>19</v>
      </c>
      <c r="C2449" s="85">
        <v>44818.0</v>
      </c>
      <c r="D2449" s="85">
        <v>44849.0</v>
      </c>
      <c r="E2449" s="86">
        <v>13.63</v>
      </c>
      <c r="F2449" s="87">
        <v>15.68</v>
      </c>
      <c r="G2449" s="88">
        <f t="shared" si="1"/>
        <v>2.05</v>
      </c>
      <c r="H2449" s="89">
        <f t="shared" si="10"/>
        <v>0.1307397959</v>
      </c>
      <c r="I2449" s="78" t="s">
        <v>3049</v>
      </c>
      <c r="J2449" s="78" t="s">
        <v>69</v>
      </c>
      <c r="K2449" s="58">
        <f t="shared" si="3"/>
        <v>31</v>
      </c>
      <c r="L2449" s="91" t="str">
        <f t="shared" si="8"/>
        <v>Sat</v>
      </c>
      <c r="M2449" s="78" t="str">
        <f>IFERROR(VLOOKUP(A2449, Entries!A:B,2,false),"")</f>
        <v>Dear Villagers</v>
      </c>
      <c r="N2449" s="23" t="str">
        <f>IFERROR(VLOOKUP(A2449, Entries!A:K,11,false),"")</f>
        <v/>
      </c>
      <c r="O2449" s="23" t="b">
        <f>IFERROR(VLOOKUP(A2449, Entries!A:I,8,false),"")</f>
        <v>0</v>
      </c>
    </row>
    <row r="2450">
      <c r="A2450" s="78" t="s">
        <v>2339</v>
      </c>
      <c r="B2450" s="78" t="s">
        <v>33</v>
      </c>
      <c r="C2450" s="85">
        <v>44818.0</v>
      </c>
      <c r="D2450" s="85">
        <v>44852.0</v>
      </c>
      <c r="E2450" s="86">
        <v>6.64</v>
      </c>
      <c r="F2450" s="87">
        <v>8.9</v>
      </c>
      <c r="G2450" s="88">
        <f t="shared" si="1"/>
        <v>2.26</v>
      </c>
      <c r="H2450" s="89">
        <f t="shared" si="10"/>
        <v>0.2539325843</v>
      </c>
      <c r="I2450" s="78" t="s">
        <v>3050</v>
      </c>
      <c r="J2450" s="78" t="s">
        <v>69</v>
      </c>
      <c r="K2450" s="58">
        <f t="shared" si="3"/>
        <v>34</v>
      </c>
      <c r="L2450" s="91" t="str">
        <f t="shared" si="8"/>
        <v>Tue</v>
      </c>
      <c r="M2450" s="78" t="str">
        <f>IFERROR(VLOOKUP(A2450, Entries!A:B,2,false),"")</f>
        <v>PlayWay</v>
      </c>
      <c r="N2450" s="23" t="str">
        <f>IFERROR(VLOOKUP(A2450, Entries!A:K,11,false),"")</f>
        <v/>
      </c>
      <c r="O2450" s="23" t="b">
        <f>IFERROR(VLOOKUP(A2450, Entries!A:I,8,false),"")</f>
        <v>0</v>
      </c>
    </row>
    <row r="2451">
      <c r="A2451" s="78" t="s">
        <v>731</v>
      </c>
      <c r="B2451" s="78" t="s">
        <v>27</v>
      </c>
      <c r="C2451" s="85">
        <v>44819.0</v>
      </c>
      <c r="D2451" s="85">
        <v>44819.0</v>
      </c>
      <c r="E2451" s="86">
        <v>4.29</v>
      </c>
      <c r="F2451" s="87">
        <v>5.76</v>
      </c>
      <c r="G2451" s="88">
        <f t="shared" si="1"/>
        <v>1.47</v>
      </c>
      <c r="H2451" s="89">
        <f t="shared" si="10"/>
        <v>0.2552083333</v>
      </c>
      <c r="I2451" s="78" t="s">
        <v>3051</v>
      </c>
      <c r="J2451" s="78" t="s">
        <v>69</v>
      </c>
      <c r="K2451" s="58">
        <f t="shared" si="3"/>
        <v>0</v>
      </c>
      <c r="L2451" s="91" t="str">
        <f t="shared" si="8"/>
        <v>Thu</v>
      </c>
      <c r="M2451" s="78" t="str">
        <f>IFERROR(VLOOKUP(A2451, Entries!A:B,2,false),"")</f>
        <v>Square Enix</v>
      </c>
      <c r="N2451" s="23" t="str">
        <f>IFERROR(VLOOKUP(A2451, Entries!A:K,11,false),"")</f>
        <v/>
      </c>
      <c r="O2451" s="23" t="b">
        <f>IFERROR(VLOOKUP(A2451, Entries!A:I,8,false),"")</f>
        <v>1</v>
      </c>
    </row>
    <row r="2452">
      <c r="A2452" s="78" t="s">
        <v>731</v>
      </c>
      <c r="B2452" s="78" t="s">
        <v>27</v>
      </c>
      <c r="C2452" s="85">
        <v>44820.0</v>
      </c>
      <c r="D2452" s="85">
        <v>44820.0</v>
      </c>
      <c r="E2452" s="86">
        <v>4.29</v>
      </c>
      <c r="F2452" s="87">
        <v>5.76</v>
      </c>
      <c r="G2452" s="88">
        <f t="shared" si="1"/>
        <v>1.47</v>
      </c>
      <c r="H2452" s="89">
        <f t="shared" si="10"/>
        <v>0.2552083333</v>
      </c>
      <c r="I2452" s="78" t="s">
        <v>3052</v>
      </c>
      <c r="J2452" s="78" t="s">
        <v>69</v>
      </c>
      <c r="K2452" s="58">
        <f t="shared" si="3"/>
        <v>0</v>
      </c>
      <c r="L2452" s="91" t="str">
        <f t="shared" si="8"/>
        <v>Fri</v>
      </c>
      <c r="M2452" s="78" t="str">
        <f>IFERROR(VLOOKUP(A2452, Entries!A:B,2,false),"")</f>
        <v>Square Enix</v>
      </c>
      <c r="N2452" s="23" t="str">
        <f>IFERROR(VLOOKUP(A2452, Entries!A:K,11,false),"")</f>
        <v/>
      </c>
      <c r="O2452" s="23" t="b">
        <f>IFERROR(VLOOKUP(A2452, Entries!A:I,8,false),"")</f>
        <v>1</v>
      </c>
    </row>
    <row r="2453">
      <c r="A2453" s="78" t="s">
        <v>67</v>
      </c>
      <c r="B2453" s="78" t="s">
        <v>23</v>
      </c>
      <c r="C2453" s="85">
        <v>44820.0</v>
      </c>
      <c r="D2453" s="85">
        <v>44822.0</v>
      </c>
      <c r="E2453" s="86">
        <v>3.98</v>
      </c>
      <c r="F2453" s="87">
        <v>6.37</v>
      </c>
      <c r="G2453" s="88">
        <f t="shared" si="1"/>
        <v>2.39</v>
      </c>
      <c r="H2453" s="89">
        <f t="shared" si="10"/>
        <v>0.3751962323</v>
      </c>
      <c r="I2453" s="78" t="s">
        <v>3053</v>
      </c>
      <c r="J2453" s="78" t="s">
        <v>69</v>
      </c>
      <c r="K2453" s="58">
        <f t="shared" si="3"/>
        <v>2</v>
      </c>
      <c r="L2453" s="91" t="str">
        <f t="shared" si="8"/>
        <v>Sun</v>
      </c>
      <c r="M2453" s="78" t="str">
        <f>IFERROR(VLOOKUP(A2453, Entries!A:B,2,false),"")</f>
        <v>SEGA</v>
      </c>
      <c r="N2453" s="23" t="str">
        <f>IFERROR(VLOOKUP(A2453, Entries!A:K,11,false),"")</f>
        <v/>
      </c>
      <c r="O2453" s="23" t="b">
        <f>IFERROR(VLOOKUP(A2453, Entries!A:I,8,false),"")</f>
        <v>0</v>
      </c>
    </row>
    <row r="2454">
      <c r="A2454" s="78" t="s">
        <v>3054</v>
      </c>
      <c r="B2454" s="78" t="s">
        <v>23</v>
      </c>
      <c r="C2454" s="85">
        <v>44820.0</v>
      </c>
      <c r="D2454" s="85">
        <v>44835.0</v>
      </c>
      <c r="E2454" s="86">
        <v>12.29</v>
      </c>
      <c r="F2454" s="87">
        <v>13.87</v>
      </c>
      <c r="G2454" s="88">
        <f t="shared" si="1"/>
        <v>1.58</v>
      </c>
      <c r="H2454" s="89">
        <f t="shared" si="10"/>
        <v>0.1139149243</v>
      </c>
      <c r="I2454" s="78" t="s">
        <v>3055</v>
      </c>
      <c r="J2454" s="78" t="s">
        <v>69</v>
      </c>
      <c r="K2454" s="58">
        <f t="shared" si="3"/>
        <v>15</v>
      </c>
      <c r="L2454" s="91" t="str">
        <f t="shared" si="8"/>
        <v>Sat</v>
      </c>
      <c r="M2454" s="78" t="str">
        <f>IFERROR(VLOOKUP(A2454, Entries!A:B,2,false),"")</f>
        <v>Devolver Digital</v>
      </c>
      <c r="N2454" s="23" t="str">
        <f>IFERROR(VLOOKUP(A2454, Entries!A:K,11,false),"")</f>
        <v/>
      </c>
      <c r="O2454" s="23" t="b">
        <f>IFERROR(VLOOKUP(A2454, Entries!A:I,8,false),"")</f>
        <v>0</v>
      </c>
    </row>
    <row r="2455">
      <c r="A2455" s="78" t="s">
        <v>731</v>
      </c>
      <c r="B2455" s="78" t="s">
        <v>27</v>
      </c>
      <c r="C2455" s="85">
        <v>44820.0</v>
      </c>
      <c r="D2455" s="85">
        <v>44821.0</v>
      </c>
      <c r="E2455" s="86">
        <v>4.29</v>
      </c>
      <c r="F2455" s="87">
        <v>5.76</v>
      </c>
      <c r="G2455" s="88">
        <f t="shared" si="1"/>
        <v>1.47</v>
      </c>
      <c r="H2455" s="89">
        <f t="shared" si="10"/>
        <v>0.2552083333</v>
      </c>
      <c r="I2455" s="78" t="s">
        <v>3056</v>
      </c>
      <c r="J2455" s="78" t="s">
        <v>69</v>
      </c>
      <c r="K2455" s="58">
        <f t="shared" si="3"/>
        <v>1</v>
      </c>
      <c r="L2455" s="91" t="str">
        <f t="shared" si="8"/>
        <v>Sat</v>
      </c>
      <c r="M2455" s="78" t="str">
        <f>IFERROR(VLOOKUP(A2455, Entries!A:B,2,false),"")</f>
        <v>Square Enix</v>
      </c>
      <c r="N2455" s="23" t="str">
        <f>IFERROR(VLOOKUP(A2455, Entries!A:K,11,false),"")</f>
        <v/>
      </c>
      <c r="O2455" s="23" t="b">
        <f>IFERROR(VLOOKUP(A2455, Entries!A:I,8,false),"")</f>
        <v>1</v>
      </c>
    </row>
    <row r="2456">
      <c r="A2456" s="78" t="s">
        <v>3016</v>
      </c>
      <c r="B2456" s="78" t="s">
        <v>18</v>
      </c>
      <c r="C2456" s="85">
        <v>44820.0</v>
      </c>
      <c r="D2456" s="85">
        <v>44830.0</v>
      </c>
      <c r="E2456" s="86">
        <v>18.22</v>
      </c>
      <c r="F2456" s="87">
        <v>22.26</v>
      </c>
      <c r="G2456" s="88">
        <f t="shared" si="1"/>
        <v>4.04</v>
      </c>
      <c r="H2456" s="89">
        <f t="shared" si="10"/>
        <v>0.1814914645</v>
      </c>
      <c r="I2456" s="78" t="s">
        <v>3057</v>
      </c>
      <c r="J2456" s="78" t="s">
        <v>69</v>
      </c>
      <c r="K2456" s="58">
        <f t="shared" si="3"/>
        <v>10</v>
      </c>
      <c r="L2456" s="91" t="str">
        <f t="shared" si="8"/>
        <v>Mon</v>
      </c>
      <c r="M2456" s="78" t="str">
        <f>IFERROR(VLOOKUP(A2456, Entries!A:B,2,false),"")</f>
        <v>SEGA</v>
      </c>
      <c r="N2456" s="23" t="str">
        <f>IFERROR(VLOOKUP(A2456, Entries!A:K,11,false),"")</f>
        <v/>
      </c>
      <c r="O2456" s="23" t="b">
        <f>IFERROR(VLOOKUP(A2456, Entries!A:I,8,false),"")</f>
        <v>0</v>
      </c>
    </row>
    <row r="2457">
      <c r="A2457" s="78" t="s">
        <v>3016</v>
      </c>
      <c r="B2457" s="78" t="s">
        <v>18</v>
      </c>
      <c r="C2457" s="85">
        <v>44820.0</v>
      </c>
      <c r="D2457" s="85">
        <v>44838.0</v>
      </c>
      <c r="E2457" s="86">
        <v>18.22</v>
      </c>
      <c r="F2457" s="87">
        <v>24.03</v>
      </c>
      <c r="G2457" s="88">
        <f t="shared" si="1"/>
        <v>5.81</v>
      </c>
      <c r="H2457" s="89">
        <f t="shared" si="10"/>
        <v>0.2417811069</v>
      </c>
      <c r="I2457" s="78" t="s">
        <v>3058</v>
      </c>
      <c r="J2457" s="78" t="s">
        <v>69</v>
      </c>
      <c r="K2457" s="58">
        <f t="shared" si="3"/>
        <v>18</v>
      </c>
      <c r="L2457" s="91" t="str">
        <f t="shared" si="8"/>
        <v>Tue</v>
      </c>
      <c r="M2457" s="78" t="str">
        <f>IFERROR(VLOOKUP(A2457, Entries!A:B,2,false),"")</f>
        <v>SEGA</v>
      </c>
      <c r="N2457" s="23" t="str">
        <f>IFERROR(VLOOKUP(A2457, Entries!A:K,11,false),"")</f>
        <v/>
      </c>
      <c r="O2457" s="23" t="b">
        <f>IFERROR(VLOOKUP(A2457, Entries!A:I,8,false),"")</f>
        <v>0</v>
      </c>
    </row>
    <row r="2458">
      <c r="A2458" s="78" t="s">
        <v>731</v>
      </c>
      <c r="B2458" s="78" t="s">
        <v>27</v>
      </c>
      <c r="C2458" s="85">
        <v>44821.0</v>
      </c>
      <c r="D2458" s="85">
        <v>44821.0</v>
      </c>
      <c r="E2458" s="86">
        <v>4.29</v>
      </c>
      <c r="F2458" s="87">
        <v>5.76</v>
      </c>
      <c r="G2458" s="88">
        <f t="shared" si="1"/>
        <v>1.47</v>
      </c>
      <c r="H2458" s="89">
        <f t="shared" si="10"/>
        <v>0.2552083333</v>
      </c>
      <c r="I2458" s="78" t="s">
        <v>3059</v>
      </c>
      <c r="J2458" s="78" t="s">
        <v>69</v>
      </c>
      <c r="K2458" s="58">
        <f t="shared" si="3"/>
        <v>0</v>
      </c>
      <c r="L2458" s="91" t="str">
        <f t="shared" si="8"/>
        <v>Sat</v>
      </c>
      <c r="M2458" s="78" t="str">
        <f>IFERROR(VLOOKUP(A2458, Entries!A:B,2,false),"")</f>
        <v>Square Enix</v>
      </c>
      <c r="N2458" s="23" t="str">
        <f>IFERROR(VLOOKUP(A2458, Entries!A:K,11,false),"")</f>
        <v/>
      </c>
      <c r="O2458" s="23" t="b">
        <f>IFERROR(VLOOKUP(A2458, Entries!A:I,8,false),"")</f>
        <v>1</v>
      </c>
    </row>
    <row r="2459">
      <c r="A2459" s="78" t="s">
        <v>731</v>
      </c>
      <c r="B2459" s="78" t="s">
        <v>27</v>
      </c>
      <c r="C2459" s="85">
        <v>44821.0</v>
      </c>
      <c r="D2459" s="85">
        <v>44822.0</v>
      </c>
      <c r="E2459" s="86">
        <v>4.29</v>
      </c>
      <c r="F2459" s="87">
        <v>5.76</v>
      </c>
      <c r="G2459" s="88">
        <f t="shared" si="1"/>
        <v>1.47</v>
      </c>
      <c r="H2459" s="89">
        <f t="shared" si="10"/>
        <v>0.2552083333</v>
      </c>
      <c r="I2459" s="78" t="s">
        <v>3060</v>
      </c>
      <c r="J2459" s="78" t="s">
        <v>69</v>
      </c>
      <c r="K2459" s="58">
        <f t="shared" si="3"/>
        <v>1</v>
      </c>
      <c r="L2459" s="91" t="str">
        <f t="shared" si="8"/>
        <v>Sun</v>
      </c>
      <c r="M2459" s="78" t="str">
        <f>IFERROR(VLOOKUP(A2459, Entries!A:B,2,false),"")</f>
        <v>Square Enix</v>
      </c>
      <c r="N2459" s="23" t="str">
        <f>IFERROR(VLOOKUP(A2459, Entries!A:K,11,false),"")</f>
        <v/>
      </c>
      <c r="O2459" s="23" t="b">
        <f>IFERROR(VLOOKUP(A2459, Entries!A:I,8,false),"")</f>
        <v>1</v>
      </c>
    </row>
    <row r="2460">
      <c r="A2460" s="78" t="s">
        <v>2611</v>
      </c>
      <c r="B2460" s="78" t="s">
        <v>18</v>
      </c>
      <c r="C2460" s="85">
        <v>44821.0</v>
      </c>
      <c r="D2460" s="85">
        <v>44832.0</v>
      </c>
      <c r="E2460" s="86">
        <v>10.85</v>
      </c>
      <c r="F2460" s="87">
        <v>14.73</v>
      </c>
      <c r="G2460" s="88">
        <f t="shared" si="1"/>
        <v>3.88</v>
      </c>
      <c r="H2460" s="89">
        <f t="shared" si="10"/>
        <v>0.2634080109</v>
      </c>
      <c r="I2460" s="78" t="s">
        <v>3061</v>
      </c>
      <c r="J2460" s="78" t="s">
        <v>69</v>
      </c>
      <c r="K2460" s="58">
        <f t="shared" si="3"/>
        <v>11</v>
      </c>
      <c r="L2460" s="91" t="str">
        <f t="shared" si="8"/>
        <v>Wed</v>
      </c>
      <c r="M2460" s="78" t="str">
        <f>IFERROR(VLOOKUP(A2460, Entries!A:B,2,false),"")</f>
        <v>Ninja Kiwi</v>
      </c>
      <c r="N2460" s="23" t="str">
        <f>IFERROR(VLOOKUP(A2460, Entries!A:K,11,false),"")</f>
        <v/>
      </c>
      <c r="O2460" s="23" t="b">
        <f>IFERROR(VLOOKUP(A2460, Entries!A:I,8,false),"")</f>
        <v>0</v>
      </c>
    </row>
    <row r="2461">
      <c r="A2461" s="78" t="s">
        <v>2611</v>
      </c>
      <c r="B2461" s="78" t="s">
        <v>18</v>
      </c>
      <c r="C2461" s="85">
        <v>44821.0</v>
      </c>
      <c r="D2461" s="85">
        <v>44848.0</v>
      </c>
      <c r="E2461" s="86">
        <v>10.85</v>
      </c>
      <c r="F2461" s="87">
        <v>12.73</v>
      </c>
      <c r="G2461" s="88">
        <f t="shared" si="1"/>
        <v>1.88</v>
      </c>
      <c r="H2461" s="89">
        <f t="shared" si="10"/>
        <v>0.1476826394</v>
      </c>
      <c r="I2461" s="78" t="s">
        <v>3062</v>
      </c>
      <c r="J2461" s="78" t="s">
        <v>69</v>
      </c>
      <c r="K2461" s="58">
        <f t="shared" si="3"/>
        <v>27</v>
      </c>
      <c r="L2461" s="91" t="str">
        <f t="shared" si="8"/>
        <v>Fri</v>
      </c>
      <c r="M2461" s="78" t="str">
        <f>IFERROR(VLOOKUP(A2461, Entries!A:B,2,false),"")</f>
        <v>Ninja Kiwi</v>
      </c>
      <c r="N2461" s="23" t="str">
        <f>IFERROR(VLOOKUP(A2461, Entries!A:K,11,false),"")</f>
        <v/>
      </c>
      <c r="O2461" s="23" t="b">
        <f>IFERROR(VLOOKUP(A2461, Entries!A:I,8,false),"")</f>
        <v>0</v>
      </c>
    </row>
    <row r="2462">
      <c r="A2462" s="78" t="s">
        <v>731</v>
      </c>
      <c r="B2462" s="78" t="s">
        <v>27</v>
      </c>
      <c r="C2462" s="85">
        <v>44822.0</v>
      </c>
      <c r="D2462" s="85">
        <v>44824.0</v>
      </c>
      <c r="E2462" s="86">
        <v>4.29</v>
      </c>
      <c r="F2462" s="87">
        <v>5.76</v>
      </c>
      <c r="G2462" s="88">
        <f t="shared" si="1"/>
        <v>1.47</v>
      </c>
      <c r="H2462" s="89">
        <f t="shared" si="10"/>
        <v>0.2552083333</v>
      </c>
      <c r="I2462" s="78" t="s">
        <v>3063</v>
      </c>
      <c r="J2462" s="78" t="s">
        <v>69</v>
      </c>
      <c r="K2462" s="58">
        <f t="shared" si="3"/>
        <v>2</v>
      </c>
      <c r="L2462" s="91" t="str">
        <f t="shared" si="8"/>
        <v>Tue</v>
      </c>
      <c r="M2462" s="78" t="str">
        <f>IFERROR(VLOOKUP(A2462, Entries!A:B,2,false),"")</f>
        <v>Square Enix</v>
      </c>
      <c r="N2462" s="23" t="str">
        <f>IFERROR(VLOOKUP(A2462, Entries!A:K,11,false),"")</f>
        <v/>
      </c>
      <c r="O2462" s="23" t="b">
        <f>IFERROR(VLOOKUP(A2462, Entries!A:I,8,false),"")</f>
        <v>1</v>
      </c>
    </row>
    <row r="2463">
      <c r="A2463" s="78" t="s">
        <v>731</v>
      </c>
      <c r="B2463" s="78" t="s">
        <v>27</v>
      </c>
      <c r="C2463" s="85">
        <v>44822.0</v>
      </c>
      <c r="D2463" s="85">
        <v>44824.0</v>
      </c>
      <c r="E2463" s="86">
        <v>4.29</v>
      </c>
      <c r="F2463" s="87">
        <v>5.76</v>
      </c>
      <c r="G2463" s="88">
        <f t="shared" si="1"/>
        <v>1.47</v>
      </c>
      <c r="H2463" s="89">
        <f t="shared" si="10"/>
        <v>0.2552083333</v>
      </c>
      <c r="I2463" s="78" t="s">
        <v>3064</v>
      </c>
      <c r="J2463" s="78" t="s">
        <v>69</v>
      </c>
      <c r="K2463" s="58">
        <f t="shared" si="3"/>
        <v>2</v>
      </c>
      <c r="L2463" s="91" t="str">
        <f t="shared" si="8"/>
        <v>Tue</v>
      </c>
      <c r="M2463" s="78" t="str">
        <f>IFERROR(VLOOKUP(A2463, Entries!A:B,2,false),"")</f>
        <v>Square Enix</v>
      </c>
      <c r="N2463" s="23" t="str">
        <f>IFERROR(VLOOKUP(A2463, Entries!A:K,11,false),"")</f>
        <v/>
      </c>
      <c r="O2463" s="23" t="b">
        <f>IFERROR(VLOOKUP(A2463, Entries!A:I,8,false),"")</f>
        <v>1</v>
      </c>
    </row>
    <row r="2464">
      <c r="A2464" s="78" t="s">
        <v>3065</v>
      </c>
      <c r="B2464" s="78" t="s">
        <v>21</v>
      </c>
      <c r="C2464" s="85">
        <v>44822.0</v>
      </c>
      <c r="D2464" s="85">
        <v>44875.0</v>
      </c>
      <c r="E2464" s="86">
        <v>5.0</v>
      </c>
      <c r="F2464" s="87">
        <v>8.38</v>
      </c>
      <c r="G2464" s="88">
        <f t="shared" si="1"/>
        <v>3.38</v>
      </c>
      <c r="H2464" s="89">
        <f t="shared" si="10"/>
        <v>0.4033412888</v>
      </c>
      <c r="I2464" s="78" t="s">
        <v>3066</v>
      </c>
      <c r="J2464" s="78" t="s">
        <v>69</v>
      </c>
      <c r="K2464" s="58">
        <f t="shared" si="3"/>
        <v>53</v>
      </c>
      <c r="L2464" s="91" t="str">
        <f t="shared" si="8"/>
        <v>Thu</v>
      </c>
      <c r="M2464" s="78" t="str">
        <f>IFERROR(VLOOKUP(A2464, Entries!A:B,2,false),"")</f>
        <v>Caligari Games</v>
      </c>
      <c r="N2464" s="23" t="str">
        <f>IFERROR(VLOOKUP(A2464, Entries!A:K,11,false),"")</f>
        <v/>
      </c>
      <c r="O2464" s="23" t="b">
        <f>IFERROR(VLOOKUP(A2464, Entries!A:I,8,false),"")</f>
        <v>0</v>
      </c>
    </row>
    <row r="2465">
      <c r="A2465" s="78" t="s">
        <v>67</v>
      </c>
      <c r="B2465" s="78" t="s">
        <v>23</v>
      </c>
      <c r="C2465" s="85">
        <v>44822.0</v>
      </c>
      <c r="D2465" s="85">
        <v>44853.0</v>
      </c>
      <c r="E2465" s="86">
        <v>3.95</v>
      </c>
      <c r="F2465" s="87">
        <v>5.78</v>
      </c>
      <c r="G2465" s="88">
        <f t="shared" si="1"/>
        <v>1.83</v>
      </c>
      <c r="H2465" s="89">
        <f t="shared" si="10"/>
        <v>0.3166089965</v>
      </c>
      <c r="I2465" s="78" t="s">
        <v>3067</v>
      </c>
      <c r="J2465" s="78" t="s">
        <v>69</v>
      </c>
      <c r="K2465" s="58">
        <f t="shared" si="3"/>
        <v>31</v>
      </c>
      <c r="L2465" s="91" t="str">
        <f t="shared" si="8"/>
        <v>Wed</v>
      </c>
      <c r="M2465" s="78" t="str">
        <f>IFERROR(VLOOKUP(A2465, Entries!A:B,2,false),"")</f>
        <v>SEGA</v>
      </c>
      <c r="N2465" s="23" t="str">
        <f>IFERROR(VLOOKUP(A2465, Entries!A:K,11,false),"")</f>
        <v/>
      </c>
      <c r="O2465" s="23" t="b">
        <f>IFERROR(VLOOKUP(A2465, Entries!A:I,8,false),"")</f>
        <v>0</v>
      </c>
    </row>
    <row r="2466">
      <c r="A2466" s="78" t="s">
        <v>2550</v>
      </c>
      <c r="B2466" s="78" t="s">
        <v>27</v>
      </c>
      <c r="C2466" s="85">
        <v>44824.0</v>
      </c>
      <c r="D2466" s="25"/>
      <c r="E2466" s="86">
        <v>17.99</v>
      </c>
      <c r="F2466" s="88"/>
      <c r="G2466" s="88">
        <f t="shared" si="1"/>
        <v>-17.99</v>
      </c>
      <c r="H2466" s="89" t="str">
        <f t="shared" si="10"/>
        <v/>
      </c>
      <c r="I2466" s="103" t="s">
        <v>3068</v>
      </c>
      <c r="J2466" s="78" t="s">
        <v>1129</v>
      </c>
      <c r="K2466" s="58" t="str">
        <f t="shared" si="3"/>
        <v/>
      </c>
      <c r="L2466" s="91" t="str">
        <f t="shared" si="8"/>
        <v/>
      </c>
      <c r="M2466" s="78" t="str">
        <f>IFERROR(VLOOKUP(A2466, Entries!A:B,2,false),"")</f>
        <v>Square Enix</v>
      </c>
      <c r="N2466" s="23" t="str">
        <f>IFERROR(VLOOKUP(A2466, Entries!A:K,11,false),"")</f>
        <v/>
      </c>
      <c r="O2466" s="23" t="b">
        <f>IFERROR(VLOOKUP(A2466, Entries!A:I,8,false),"")</f>
        <v>0</v>
      </c>
    </row>
    <row r="2467">
      <c r="A2467" s="78" t="s">
        <v>731</v>
      </c>
      <c r="B2467" s="78" t="s">
        <v>27</v>
      </c>
      <c r="C2467" s="85">
        <v>44824.0</v>
      </c>
      <c r="D2467" s="85">
        <v>44825.0</v>
      </c>
      <c r="E2467" s="86">
        <v>4.29</v>
      </c>
      <c r="F2467" s="87">
        <v>5.76</v>
      </c>
      <c r="G2467" s="88">
        <f t="shared" si="1"/>
        <v>1.47</v>
      </c>
      <c r="H2467" s="89">
        <f t="shared" si="10"/>
        <v>0.2552083333</v>
      </c>
      <c r="I2467" s="78" t="s">
        <v>3069</v>
      </c>
      <c r="J2467" s="78" t="s">
        <v>69</v>
      </c>
      <c r="K2467" s="58">
        <f t="shared" si="3"/>
        <v>1</v>
      </c>
      <c r="L2467" s="91" t="str">
        <f t="shared" si="8"/>
        <v>Wed</v>
      </c>
      <c r="M2467" s="78" t="str">
        <f>IFERROR(VLOOKUP(A2467, Entries!A:B,2,false),"")</f>
        <v>Square Enix</v>
      </c>
      <c r="N2467" s="23" t="str">
        <f>IFERROR(VLOOKUP(A2467, Entries!A:K,11,false),"")</f>
        <v/>
      </c>
      <c r="O2467" s="23" t="b">
        <f>IFERROR(VLOOKUP(A2467, Entries!A:I,8,false),"")</f>
        <v>1</v>
      </c>
    </row>
    <row r="2468">
      <c r="A2468" s="78" t="s">
        <v>731</v>
      </c>
      <c r="B2468" s="78" t="s">
        <v>27</v>
      </c>
      <c r="C2468" s="85">
        <v>44824.0</v>
      </c>
      <c r="D2468" s="85">
        <v>44825.0</v>
      </c>
      <c r="E2468" s="86">
        <v>4.29</v>
      </c>
      <c r="F2468" s="87">
        <v>5.76</v>
      </c>
      <c r="G2468" s="88">
        <f t="shared" si="1"/>
        <v>1.47</v>
      </c>
      <c r="H2468" s="89">
        <f t="shared" si="10"/>
        <v>0.2552083333</v>
      </c>
      <c r="I2468" s="78" t="s">
        <v>3070</v>
      </c>
      <c r="J2468" s="78" t="s">
        <v>69</v>
      </c>
      <c r="K2468" s="58">
        <f t="shared" si="3"/>
        <v>1</v>
      </c>
      <c r="L2468" s="91" t="str">
        <f t="shared" si="8"/>
        <v>Wed</v>
      </c>
      <c r="M2468" s="78" t="str">
        <f>IFERROR(VLOOKUP(A2468, Entries!A:B,2,false),"")</f>
        <v>Square Enix</v>
      </c>
      <c r="N2468" s="23" t="str">
        <f>IFERROR(VLOOKUP(A2468, Entries!A:K,11,false),"")</f>
        <v/>
      </c>
      <c r="O2468" s="23" t="b">
        <f>IFERROR(VLOOKUP(A2468, Entries!A:I,8,false),"")</f>
        <v>1</v>
      </c>
    </row>
    <row r="2469">
      <c r="A2469" s="78" t="s">
        <v>2250</v>
      </c>
      <c r="B2469" s="78" t="s">
        <v>25</v>
      </c>
      <c r="C2469" s="85">
        <v>44825.0</v>
      </c>
      <c r="D2469" s="85">
        <v>44826.0</v>
      </c>
      <c r="E2469" s="86">
        <v>16.95</v>
      </c>
      <c r="F2469" s="87">
        <v>20.42</v>
      </c>
      <c r="G2469" s="88">
        <f t="shared" si="1"/>
        <v>3.47</v>
      </c>
      <c r="H2469" s="89">
        <f t="shared" si="10"/>
        <v>0.1699314398</v>
      </c>
      <c r="I2469" s="78" t="s">
        <v>3071</v>
      </c>
      <c r="J2469" s="78" t="s">
        <v>69</v>
      </c>
      <c r="K2469" s="58">
        <f t="shared" si="3"/>
        <v>1</v>
      </c>
      <c r="L2469" s="91" t="str">
        <f t="shared" si="8"/>
        <v>Thu</v>
      </c>
      <c r="M2469" s="78" t="str">
        <f>IFERROR(VLOOKUP(A2469, Entries!A:B,2,false),"")</f>
        <v>SEGA</v>
      </c>
      <c r="N2469" s="23" t="str">
        <f>IFERROR(VLOOKUP(A2469, Entries!A:K,11,false),"")</f>
        <v/>
      </c>
      <c r="O2469" s="23" t="b">
        <f>IFERROR(VLOOKUP(A2469, Entries!A:I,8,false),"")</f>
        <v>1</v>
      </c>
    </row>
    <row r="2470">
      <c r="A2470" s="78" t="s">
        <v>2250</v>
      </c>
      <c r="B2470" s="78" t="s">
        <v>25</v>
      </c>
      <c r="C2470" s="85">
        <v>44825.0</v>
      </c>
      <c r="D2470" s="85">
        <v>44826.0</v>
      </c>
      <c r="E2470" s="86">
        <v>16.95</v>
      </c>
      <c r="F2470" s="87">
        <v>20.42</v>
      </c>
      <c r="G2470" s="88">
        <f t="shared" si="1"/>
        <v>3.47</v>
      </c>
      <c r="H2470" s="89">
        <f t="shared" si="10"/>
        <v>0.1699314398</v>
      </c>
      <c r="I2470" s="78" t="s">
        <v>3072</v>
      </c>
      <c r="J2470" s="78" t="s">
        <v>69</v>
      </c>
      <c r="K2470" s="58">
        <f t="shared" si="3"/>
        <v>1</v>
      </c>
      <c r="L2470" s="91" t="str">
        <f t="shared" si="8"/>
        <v>Thu</v>
      </c>
      <c r="M2470" s="78" t="str">
        <f>IFERROR(VLOOKUP(A2470, Entries!A:B,2,false),"")</f>
        <v>SEGA</v>
      </c>
      <c r="N2470" s="23" t="str">
        <f>IFERROR(VLOOKUP(A2470, Entries!A:K,11,false),"")</f>
        <v/>
      </c>
      <c r="O2470" s="23" t="b">
        <f>IFERROR(VLOOKUP(A2470, Entries!A:I,8,false),"")</f>
        <v>1</v>
      </c>
    </row>
    <row r="2471">
      <c r="A2471" s="78" t="s">
        <v>2250</v>
      </c>
      <c r="B2471" s="78" t="s">
        <v>25</v>
      </c>
      <c r="C2471" s="85">
        <v>44826.0</v>
      </c>
      <c r="D2471" s="85">
        <v>44827.0</v>
      </c>
      <c r="E2471" s="86">
        <v>16.79</v>
      </c>
      <c r="F2471" s="87">
        <v>20.53</v>
      </c>
      <c r="G2471" s="88">
        <f t="shared" si="1"/>
        <v>3.74</v>
      </c>
      <c r="H2471" s="89">
        <f t="shared" si="10"/>
        <v>0.1821724306</v>
      </c>
      <c r="I2471" s="78" t="s">
        <v>3073</v>
      </c>
      <c r="J2471" s="78" t="s">
        <v>69</v>
      </c>
      <c r="K2471" s="58">
        <f t="shared" si="3"/>
        <v>1</v>
      </c>
      <c r="L2471" s="91" t="str">
        <f t="shared" si="8"/>
        <v>Fri</v>
      </c>
      <c r="M2471" s="78" t="str">
        <f>IFERROR(VLOOKUP(A2471, Entries!A:B,2,false),"")</f>
        <v>SEGA</v>
      </c>
      <c r="N2471" s="23" t="str">
        <f>IFERROR(VLOOKUP(A2471, Entries!A:K,11,false),"")</f>
        <v/>
      </c>
      <c r="O2471" s="23" t="b">
        <f>IFERROR(VLOOKUP(A2471, Entries!A:I,8,false),"")</f>
        <v>1</v>
      </c>
    </row>
    <row r="2472">
      <c r="A2472" s="78" t="s">
        <v>2250</v>
      </c>
      <c r="B2472" s="78" t="s">
        <v>25</v>
      </c>
      <c r="C2472" s="85">
        <v>44826.0</v>
      </c>
      <c r="D2472" s="85">
        <v>44828.0</v>
      </c>
      <c r="E2472" s="86">
        <v>16.79</v>
      </c>
      <c r="F2472" s="87">
        <v>20.53</v>
      </c>
      <c r="G2472" s="88">
        <f t="shared" si="1"/>
        <v>3.74</v>
      </c>
      <c r="H2472" s="89">
        <f t="shared" si="10"/>
        <v>0.1821724306</v>
      </c>
      <c r="I2472" s="78" t="s">
        <v>3074</v>
      </c>
      <c r="J2472" s="78" t="s">
        <v>69</v>
      </c>
      <c r="K2472" s="58">
        <f t="shared" si="3"/>
        <v>2</v>
      </c>
      <c r="L2472" s="91" t="str">
        <f t="shared" si="8"/>
        <v>Sat</v>
      </c>
      <c r="M2472" s="78" t="str">
        <f>IFERROR(VLOOKUP(A2472, Entries!A:B,2,false),"")</f>
        <v>SEGA</v>
      </c>
      <c r="N2472" s="23" t="str">
        <f>IFERROR(VLOOKUP(A2472, Entries!A:K,11,false),"")</f>
        <v/>
      </c>
      <c r="O2472" s="23" t="b">
        <f>IFERROR(VLOOKUP(A2472, Entries!A:I,8,false),"")</f>
        <v>1</v>
      </c>
    </row>
    <row r="2473">
      <c r="A2473" s="78" t="s">
        <v>2250</v>
      </c>
      <c r="B2473" s="78" t="s">
        <v>25</v>
      </c>
      <c r="C2473" s="85">
        <v>44826.0</v>
      </c>
      <c r="D2473" s="85">
        <v>44828.0</v>
      </c>
      <c r="E2473" s="86">
        <v>16.79</v>
      </c>
      <c r="F2473" s="87">
        <v>20.53</v>
      </c>
      <c r="G2473" s="88">
        <f t="shared" si="1"/>
        <v>3.74</v>
      </c>
      <c r="H2473" s="89">
        <f t="shared" si="10"/>
        <v>0.1821724306</v>
      </c>
      <c r="I2473" s="78" t="s">
        <v>3075</v>
      </c>
      <c r="J2473" s="78" t="s">
        <v>69</v>
      </c>
      <c r="K2473" s="58">
        <f t="shared" si="3"/>
        <v>2</v>
      </c>
      <c r="L2473" s="91" t="str">
        <f t="shared" si="8"/>
        <v>Sat</v>
      </c>
      <c r="M2473" s="78" t="str">
        <f>IFERROR(VLOOKUP(A2473, Entries!A:B,2,false),"")</f>
        <v>SEGA</v>
      </c>
      <c r="N2473" s="23" t="str">
        <f>IFERROR(VLOOKUP(A2473, Entries!A:K,11,false),"")</f>
        <v/>
      </c>
      <c r="O2473" s="23" t="b">
        <f>IFERROR(VLOOKUP(A2473, Entries!A:I,8,false),"")</f>
        <v>1</v>
      </c>
    </row>
    <row r="2474">
      <c r="A2474" s="78" t="s">
        <v>1729</v>
      </c>
      <c r="B2474" s="78" t="s">
        <v>27</v>
      </c>
      <c r="C2474" s="85">
        <v>44826.0</v>
      </c>
      <c r="D2474" s="85">
        <v>44827.0</v>
      </c>
      <c r="E2474" s="86">
        <v>7.19</v>
      </c>
      <c r="F2474" s="87">
        <v>9.26</v>
      </c>
      <c r="G2474" s="88">
        <f t="shared" si="1"/>
        <v>2.07</v>
      </c>
      <c r="H2474" s="89">
        <f t="shared" si="10"/>
        <v>0.2235421166</v>
      </c>
      <c r="I2474" s="78" t="s">
        <v>3076</v>
      </c>
      <c r="J2474" s="78" t="s">
        <v>69</v>
      </c>
      <c r="K2474" s="58">
        <f t="shared" si="3"/>
        <v>1</v>
      </c>
      <c r="L2474" s="91" t="str">
        <f t="shared" si="8"/>
        <v>Fri</v>
      </c>
      <c r="M2474" s="78" t="str">
        <f>IFERROR(VLOOKUP(A2474, Entries!A:B,2,false),"")</f>
        <v>Focus Home Interactive</v>
      </c>
      <c r="N2474" s="23" t="str">
        <f>IFERROR(VLOOKUP(A2474, Entries!A:K,11,false),"")</f>
        <v/>
      </c>
      <c r="O2474" s="23" t="b">
        <f>IFERROR(VLOOKUP(A2474, Entries!A:I,8,false),"")</f>
        <v>0</v>
      </c>
    </row>
    <row r="2475">
      <c r="A2475" s="78" t="s">
        <v>1729</v>
      </c>
      <c r="B2475" s="78" t="s">
        <v>27</v>
      </c>
      <c r="C2475" s="85">
        <v>44827.0</v>
      </c>
      <c r="D2475" s="85">
        <v>44829.0</v>
      </c>
      <c r="E2475" s="86">
        <v>7.19</v>
      </c>
      <c r="F2475" s="87">
        <v>9.26</v>
      </c>
      <c r="G2475" s="88">
        <f t="shared" si="1"/>
        <v>2.07</v>
      </c>
      <c r="H2475" s="89">
        <f t="shared" si="10"/>
        <v>0.2235421166</v>
      </c>
      <c r="I2475" s="78" t="s">
        <v>3077</v>
      </c>
      <c r="J2475" s="78" t="s">
        <v>69</v>
      </c>
      <c r="K2475" s="58">
        <f t="shared" si="3"/>
        <v>2</v>
      </c>
      <c r="L2475" s="91" t="str">
        <f t="shared" si="8"/>
        <v>Sun</v>
      </c>
      <c r="M2475" s="78" t="str">
        <f>IFERROR(VLOOKUP(A2475, Entries!A:B,2,false),"")</f>
        <v>Focus Home Interactive</v>
      </c>
      <c r="N2475" s="23" t="str">
        <f>IFERROR(VLOOKUP(A2475, Entries!A:K,11,false),"")</f>
        <v/>
      </c>
      <c r="O2475" s="23" t="b">
        <f>IFERROR(VLOOKUP(A2475, Entries!A:I,8,false),"")</f>
        <v>0</v>
      </c>
    </row>
    <row r="2476">
      <c r="A2476" s="78" t="s">
        <v>731</v>
      </c>
      <c r="B2476" s="78" t="s">
        <v>27</v>
      </c>
      <c r="C2476" s="85">
        <v>44825.0</v>
      </c>
      <c r="D2476" s="85">
        <v>44827.0</v>
      </c>
      <c r="E2476" s="86">
        <v>4.29</v>
      </c>
      <c r="F2476" s="87">
        <v>5.72</v>
      </c>
      <c r="G2476" s="88">
        <f t="shared" si="1"/>
        <v>1.43</v>
      </c>
      <c r="H2476" s="89">
        <f t="shared" si="10"/>
        <v>0.25</v>
      </c>
      <c r="I2476" s="78" t="s">
        <v>3078</v>
      </c>
      <c r="J2476" s="78" t="s">
        <v>69</v>
      </c>
      <c r="K2476" s="58">
        <f t="shared" si="3"/>
        <v>2</v>
      </c>
      <c r="L2476" s="91" t="str">
        <f t="shared" si="8"/>
        <v>Fri</v>
      </c>
      <c r="M2476" s="78" t="str">
        <f>IFERROR(VLOOKUP(A2476, Entries!A:B,2,false),"")</f>
        <v>Square Enix</v>
      </c>
      <c r="N2476" s="23" t="str">
        <f>IFERROR(VLOOKUP(A2476, Entries!A:K,11,false),"")</f>
        <v/>
      </c>
      <c r="O2476" s="23" t="b">
        <f>IFERROR(VLOOKUP(A2476, Entries!A:I,8,false),"")</f>
        <v>1</v>
      </c>
    </row>
    <row r="2477">
      <c r="A2477" s="78" t="s">
        <v>731</v>
      </c>
      <c r="B2477" s="78" t="s">
        <v>27</v>
      </c>
      <c r="C2477" s="85">
        <v>44825.0</v>
      </c>
      <c r="D2477" s="85">
        <v>45191.0</v>
      </c>
      <c r="E2477" s="86">
        <v>4.29</v>
      </c>
      <c r="F2477" s="87">
        <v>6.06</v>
      </c>
      <c r="G2477" s="88">
        <f t="shared" si="1"/>
        <v>1.77</v>
      </c>
      <c r="H2477" s="89">
        <f t="shared" si="10"/>
        <v>0.2920792079</v>
      </c>
      <c r="I2477" s="78" t="s">
        <v>3079</v>
      </c>
      <c r="J2477" s="78" t="s">
        <v>69</v>
      </c>
      <c r="K2477" s="58">
        <f t="shared" si="3"/>
        <v>366</v>
      </c>
      <c r="L2477" s="91" t="str">
        <f t="shared" si="8"/>
        <v>Fri</v>
      </c>
      <c r="M2477" s="78" t="str">
        <f>IFERROR(VLOOKUP(A2477, Entries!A:B,2,false),"")</f>
        <v>Square Enix</v>
      </c>
      <c r="N2477" s="23" t="str">
        <f>IFERROR(VLOOKUP(A2477, Entries!A:K,11,false),"")</f>
        <v/>
      </c>
      <c r="O2477" s="23" t="b">
        <f>IFERROR(VLOOKUP(A2477, Entries!A:I,8,false),"")</f>
        <v>1</v>
      </c>
    </row>
    <row r="2478">
      <c r="A2478" s="78" t="s">
        <v>731</v>
      </c>
      <c r="B2478" s="78" t="s">
        <v>27</v>
      </c>
      <c r="C2478" s="85">
        <v>44827.0</v>
      </c>
      <c r="D2478" s="85">
        <v>45193.0</v>
      </c>
      <c r="E2478" s="86">
        <v>4.29</v>
      </c>
      <c r="F2478" s="87">
        <v>6.06</v>
      </c>
      <c r="G2478" s="88">
        <f t="shared" si="1"/>
        <v>1.77</v>
      </c>
      <c r="H2478" s="89">
        <f t="shared" si="10"/>
        <v>0.2920792079</v>
      </c>
      <c r="I2478" s="78" t="s">
        <v>3080</v>
      </c>
      <c r="J2478" s="78" t="s">
        <v>69</v>
      </c>
      <c r="K2478" s="58">
        <f t="shared" si="3"/>
        <v>366</v>
      </c>
      <c r="L2478" s="91" t="str">
        <f t="shared" si="8"/>
        <v>Sun</v>
      </c>
      <c r="M2478" s="78" t="str">
        <f>IFERROR(VLOOKUP(A2478, Entries!A:B,2,false),"")</f>
        <v>Square Enix</v>
      </c>
      <c r="N2478" s="23" t="str">
        <f>IFERROR(VLOOKUP(A2478, Entries!A:K,11,false),"")</f>
        <v/>
      </c>
      <c r="O2478" s="23" t="b">
        <f>IFERROR(VLOOKUP(A2478, Entries!A:I,8,false),"")</f>
        <v>1</v>
      </c>
    </row>
    <row r="2479">
      <c r="A2479" s="78" t="s">
        <v>1729</v>
      </c>
      <c r="B2479" s="78" t="s">
        <v>27</v>
      </c>
      <c r="C2479" s="85">
        <v>44833.0</v>
      </c>
      <c r="D2479" s="85">
        <v>44842.0</v>
      </c>
      <c r="E2479" s="86">
        <v>6.89</v>
      </c>
      <c r="F2479" s="87">
        <v>10.03</v>
      </c>
      <c r="G2479" s="88">
        <f t="shared" si="1"/>
        <v>3.14</v>
      </c>
      <c r="H2479" s="89">
        <f t="shared" si="10"/>
        <v>0.3130608175</v>
      </c>
      <c r="I2479" s="78" t="s">
        <v>3081</v>
      </c>
      <c r="J2479" s="78" t="s">
        <v>69</v>
      </c>
      <c r="K2479" s="58">
        <f t="shared" si="3"/>
        <v>9</v>
      </c>
      <c r="L2479" s="91" t="str">
        <f t="shared" si="8"/>
        <v>Sat</v>
      </c>
      <c r="M2479" s="78" t="str">
        <f>IFERROR(VLOOKUP(A2479, Entries!A:B,2,false),"")</f>
        <v>Focus Home Interactive</v>
      </c>
      <c r="N2479" s="23" t="str">
        <f>IFERROR(VLOOKUP(A2479, Entries!A:K,11,false),"")</f>
        <v/>
      </c>
      <c r="O2479" s="23" t="b">
        <f>IFERROR(VLOOKUP(A2479, Entries!A:I,8,false),"")</f>
        <v>0</v>
      </c>
    </row>
    <row r="2480">
      <c r="A2480" s="78" t="s">
        <v>2891</v>
      </c>
      <c r="B2480" s="78" t="s">
        <v>18</v>
      </c>
      <c r="C2480" s="85">
        <v>44833.0</v>
      </c>
      <c r="D2480" s="85">
        <v>44835.0</v>
      </c>
      <c r="E2480" s="86">
        <v>15.9</v>
      </c>
      <c r="F2480" s="87">
        <v>19.33</v>
      </c>
      <c r="G2480" s="88">
        <f t="shared" si="1"/>
        <v>3.43</v>
      </c>
      <c r="H2480" s="89">
        <f t="shared" si="10"/>
        <v>0.177444387</v>
      </c>
      <c r="I2480" s="78" t="s">
        <v>3082</v>
      </c>
      <c r="J2480" s="78" t="s">
        <v>69</v>
      </c>
      <c r="K2480" s="58">
        <f t="shared" si="3"/>
        <v>2</v>
      </c>
      <c r="L2480" s="91" t="str">
        <f t="shared" si="8"/>
        <v>Sat</v>
      </c>
      <c r="M2480" s="78" t="str">
        <f>IFERROR(VLOOKUP(A2480, Entries!A:B,2,false),"")</f>
        <v>Prime Matter</v>
      </c>
      <c r="N2480" s="23" t="str">
        <f>IFERROR(VLOOKUP(A2480, Entries!A:K,11,false),"")</f>
        <v/>
      </c>
      <c r="O2480" s="23" t="b">
        <f>IFERROR(VLOOKUP(A2480, Entries!A:I,8,false),"")</f>
        <v>0</v>
      </c>
    </row>
    <row r="2481">
      <c r="A2481" s="78" t="s">
        <v>2891</v>
      </c>
      <c r="B2481" s="78" t="s">
        <v>18</v>
      </c>
      <c r="C2481" s="85">
        <v>44833.0</v>
      </c>
      <c r="D2481" s="85">
        <v>44835.0</v>
      </c>
      <c r="E2481" s="86">
        <v>15.89</v>
      </c>
      <c r="F2481" s="87">
        <v>19.33</v>
      </c>
      <c r="G2481" s="88">
        <f t="shared" si="1"/>
        <v>3.44</v>
      </c>
      <c r="H2481" s="89">
        <f t="shared" si="10"/>
        <v>0.1779617175</v>
      </c>
      <c r="I2481" s="78" t="s">
        <v>3083</v>
      </c>
      <c r="J2481" s="78" t="s">
        <v>69</v>
      </c>
      <c r="K2481" s="58">
        <f t="shared" si="3"/>
        <v>2</v>
      </c>
      <c r="L2481" s="91" t="str">
        <f t="shared" si="8"/>
        <v>Sat</v>
      </c>
      <c r="M2481" s="78" t="str">
        <f>IFERROR(VLOOKUP(A2481, Entries!A:B,2,false),"")</f>
        <v>Prime Matter</v>
      </c>
      <c r="N2481" s="23" t="str">
        <f>IFERROR(VLOOKUP(A2481, Entries!A:K,11,false),"")</f>
        <v/>
      </c>
      <c r="O2481" s="23" t="b">
        <f>IFERROR(VLOOKUP(A2481, Entries!A:I,8,false),"")</f>
        <v>0</v>
      </c>
    </row>
    <row r="2482">
      <c r="A2482" s="78" t="s">
        <v>731</v>
      </c>
      <c r="B2482" s="78" t="s">
        <v>27</v>
      </c>
      <c r="C2482" s="85">
        <v>44833.0</v>
      </c>
      <c r="D2482" s="85">
        <v>45210.0</v>
      </c>
      <c r="E2482" s="86">
        <v>4.09</v>
      </c>
      <c r="F2482" s="87">
        <v>5.99</v>
      </c>
      <c r="G2482" s="88">
        <f t="shared" si="1"/>
        <v>1.9</v>
      </c>
      <c r="H2482" s="89">
        <f t="shared" si="10"/>
        <v>0.3171953255</v>
      </c>
      <c r="I2482" s="78" t="s">
        <v>3084</v>
      </c>
      <c r="J2482" s="78" t="s">
        <v>69</v>
      </c>
      <c r="K2482" s="58">
        <f t="shared" si="3"/>
        <v>377</v>
      </c>
      <c r="L2482" s="91" t="str">
        <f t="shared" si="8"/>
        <v>Wed</v>
      </c>
      <c r="M2482" s="78" t="str">
        <f>IFERROR(VLOOKUP(A2482, Entries!A:B,2,false),"")</f>
        <v>Square Enix</v>
      </c>
      <c r="N2482" s="23" t="str">
        <f>IFERROR(VLOOKUP(A2482, Entries!A:K,11,false),"")</f>
        <v/>
      </c>
      <c r="O2482" s="23" t="b">
        <f>IFERROR(VLOOKUP(A2482, Entries!A:I,8,false),"")</f>
        <v>1</v>
      </c>
    </row>
    <row r="2483">
      <c r="A2483" s="78" t="s">
        <v>2127</v>
      </c>
      <c r="B2483" s="78" t="s">
        <v>27</v>
      </c>
      <c r="C2483" s="85">
        <v>44833.0</v>
      </c>
      <c r="D2483" s="85">
        <v>44833.0</v>
      </c>
      <c r="E2483" s="86">
        <v>26.99</v>
      </c>
      <c r="F2483" s="87">
        <v>33.34</v>
      </c>
      <c r="G2483" s="88">
        <f t="shared" si="1"/>
        <v>6.35</v>
      </c>
      <c r="H2483" s="89">
        <f t="shared" si="10"/>
        <v>0.1904619076</v>
      </c>
      <c r="I2483" s="78" t="s">
        <v>3085</v>
      </c>
      <c r="J2483" s="78" t="s">
        <v>69</v>
      </c>
      <c r="K2483" s="58">
        <f t="shared" si="3"/>
        <v>0</v>
      </c>
      <c r="L2483" s="91" t="str">
        <f t="shared" si="8"/>
        <v>Thu</v>
      </c>
      <c r="M2483" s="78" t="str">
        <f>IFERROR(VLOOKUP(A2483, Entries!A:B,2,false),"")</f>
        <v>Bungie</v>
      </c>
      <c r="N2483" s="23" t="str">
        <f>IFERROR(VLOOKUP(A2483, Entries!A:K,11,false),"")</f>
        <v/>
      </c>
      <c r="O2483" s="23" t="b">
        <f>IFERROR(VLOOKUP(A2483, Entries!A:I,8,false),"")</f>
        <v>1</v>
      </c>
    </row>
    <row r="2484">
      <c r="A2484" s="78" t="s">
        <v>2127</v>
      </c>
      <c r="B2484" s="78" t="s">
        <v>27</v>
      </c>
      <c r="C2484" s="85">
        <v>44834.0</v>
      </c>
      <c r="D2484" s="85">
        <v>44836.0</v>
      </c>
      <c r="E2484" s="86">
        <v>26.99</v>
      </c>
      <c r="F2484" s="87">
        <v>32.18</v>
      </c>
      <c r="G2484" s="88">
        <f t="shared" si="1"/>
        <v>5.19</v>
      </c>
      <c r="H2484" s="89">
        <f t="shared" si="10"/>
        <v>0.1612802983</v>
      </c>
      <c r="I2484" s="78" t="s">
        <v>3086</v>
      </c>
      <c r="J2484" s="78" t="s">
        <v>69</v>
      </c>
      <c r="K2484" s="58">
        <f t="shared" si="3"/>
        <v>2</v>
      </c>
      <c r="L2484" s="91" t="str">
        <f t="shared" si="8"/>
        <v>Sun</v>
      </c>
      <c r="M2484" s="78" t="str">
        <f>IFERROR(VLOOKUP(A2484, Entries!A:B,2,false),"")</f>
        <v>Bungie</v>
      </c>
      <c r="N2484" s="23" t="str">
        <f>IFERROR(VLOOKUP(A2484, Entries!A:K,11,false),"")</f>
        <v/>
      </c>
      <c r="O2484" s="23" t="b">
        <f>IFERROR(VLOOKUP(A2484, Entries!A:I,8,false),"")</f>
        <v>1</v>
      </c>
    </row>
    <row r="2485">
      <c r="A2485" s="78" t="s">
        <v>2891</v>
      </c>
      <c r="B2485" s="78" t="s">
        <v>33</v>
      </c>
      <c r="C2485" s="85">
        <v>44835.0</v>
      </c>
      <c r="D2485" s="85">
        <v>45056.0</v>
      </c>
      <c r="E2485" s="86">
        <v>16.82</v>
      </c>
      <c r="F2485" s="87">
        <v>28.03</v>
      </c>
      <c r="G2485" s="88">
        <f t="shared" si="1"/>
        <v>11.21</v>
      </c>
      <c r="H2485" s="89">
        <f t="shared" si="10"/>
        <v>0.3999286479</v>
      </c>
      <c r="I2485" s="78" t="s">
        <v>3087</v>
      </c>
      <c r="J2485" s="78" t="s">
        <v>69</v>
      </c>
      <c r="K2485" s="58">
        <f t="shared" si="3"/>
        <v>221</v>
      </c>
      <c r="L2485" s="91" t="str">
        <f t="shared" si="8"/>
        <v>Wed</v>
      </c>
      <c r="M2485" s="78" t="str">
        <f>IFERROR(VLOOKUP(A2485, Entries!A:B,2,false),"")</f>
        <v>Prime Matter</v>
      </c>
      <c r="N2485" s="23" t="str">
        <f>IFERROR(VLOOKUP(A2485, Entries!A:K,11,false),"")</f>
        <v/>
      </c>
      <c r="O2485" s="23" t="b">
        <f>IFERROR(VLOOKUP(A2485, Entries!A:I,8,false),"")</f>
        <v>0</v>
      </c>
    </row>
    <row r="2486">
      <c r="A2486" s="78" t="s">
        <v>2127</v>
      </c>
      <c r="B2486" s="78" t="s">
        <v>27</v>
      </c>
      <c r="C2486" s="85">
        <v>44836.0</v>
      </c>
      <c r="D2486" s="85">
        <v>44837.0</v>
      </c>
      <c r="E2486" s="86">
        <v>27.09</v>
      </c>
      <c r="F2486" s="87">
        <v>32.7</v>
      </c>
      <c r="G2486" s="88">
        <f t="shared" si="1"/>
        <v>5.61</v>
      </c>
      <c r="H2486" s="89">
        <f t="shared" si="10"/>
        <v>0.171559633</v>
      </c>
      <c r="I2486" s="78" t="s">
        <v>3088</v>
      </c>
      <c r="J2486" s="78" t="s">
        <v>69</v>
      </c>
      <c r="K2486" s="58">
        <f t="shared" si="3"/>
        <v>1</v>
      </c>
      <c r="L2486" s="91" t="str">
        <f t="shared" si="8"/>
        <v>Mon</v>
      </c>
      <c r="M2486" s="78" t="str">
        <f>IFERROR(VLOOKUP(A2486, Entries!A:B,2,false),"")</f>
        <v>Bungie</v>
      </c>
      <c r="N2486" s="23" t="str">
        <f>IFERROR(VLOOKUP(A2486, Entries!A:K,11,false),"")</f>
        <v/>
      </c>
      <c r="O2486" s="23" t="b">
        <f>IFERROR(VLOOKUP(A2486, Entries!A:I,8,false),"")</f>
        <v>1</v>
      </c>
    </row>
    <row r="2487">
      <c r="A2487" s="78" t="s">
        <v>2127</v>
      </c>
      <c r="B2487" s="78" t="s">
        <v>27</v>
      </c>
      <c r="C2487" s="85">
        <v>44837.0</v>
      </c>
      <c r="D2487" s="85">
        <v>44837.0</v>
      </c>
      <c r="E2487" s="86">
        <v>27.09</v>
      </c>
      <c r="F2487" s="87">
        <v>32.85</v>
      </c>
      <c r="G2487" s="88">
        <f t="shared" si="1"/>
        <v>5.76</v>
      </c>
      <c r="H2487" s="89">
        <f t="shared" si="10"/>
        <v>0.1753424658</v>
      </c>
      <c r="I2487" s="78" t="s">
        <v>3089</v>
      </c>
      <c r="J2487" s="78" t="s">
        <v>69</v>
      </c>
      <c r="K2487" s="58">
        <f t="shared" si="3"/>
        <v>0</v>
      </c>
      <c r="L2487" s="91" t="str">
        <f t="shared" si="8"/>
        <v>Mon</v>
      </c>
      <c r="M2487" s="78" t="str">
        <f>IFERROR(VLOOKUP(A2487, Entries!A:B,2,false),"")</f>
        <v>Bungie</v>
      </c>
      <c r="N2487" s="23" t="str">
        <f>IFERROR(VLOOKUP(A2487, Entries!A:K,11,false),"")</f>
        <v/>
      </c>
      <c r="O2487" s="23" t="b">
        <f>IFERROR(VLOOKUP(A2487, Entries!A:I,8,false),"")</f>
        <v>1</v>
      </c>
    </row>
    <row r="2488">
      <c r="A2488" s="78" t="s">
        <v>2464</v>
      </c>
      <c r="B2488" s="78" t="s">
        <v>27</v>
      </c>
      <c r="C2488" s="85">
        <v>44837.0</v>
      </c>
      <c r="D2488" s="85">
        <v>45243.0</v>
      </c>
      <c r="E2488" s="86">
        <v>6.29</v>
      </c>
      <c r="F2488" s="87">
        <v>8.63</v>
      </c>
      <c r="G2488" s="88">
        <f t="shared" si="1"/>
        <v>2.34</v>
      </c>
      <c r="H2488" s="89">
        <f t="shared" si="10"/>
        <v>0.2711471611</v>
      </c>
      <c r="I2488" s="78" t="s">
        <v>3090</v>
      </c>
      <c r="J2488" s="78" t="s">
        <v>69</v>
      </c>
      <c r="K2488" s="58">
        <f t="shared" si="3"/>
        <v>406</v>
      </c>
      <c r="L2488" s="91" t="str">
        <f t="shared" si="8"/>
        <v>Mon</v>
      </c>
      <c r="M2488" s="78" t="str">
        <f>IFERROR(VLOOKUP(A2488, Entries!A:B,2,false),"")</f>
        <v>FireFly Studios</v>
      </c>
      <c r="N2488" s="23" t="str">
        <f>IFERROR(VLOOKUP(A2488, Entries!A:K,11,false),"")</f>
        <v/>
      </c>
      <c r="O2488" s="23" t="b">
        <f>IFERROR(VLOOKUP(A2488, Entries!A:I,8,false),"")</f>
        <v>0</v>
      </c>
    </row>
    <row r="2489">
      <c r="A2489" s="78" t="s">
        <v>2127</v>
      </c>
      <c r="B2489" s="78" t="s">
        <v>27</v>
      </c>
      <c r="C2489" s="85">
        <v>44837.0</v>
      </c>
      <c r="D2489" s="85">
        <v>44837.0</v>
      </c>
      <c r="E2489" s="86">
        <v>28.89</v>
      </c>
      <c r="F2489" s="87">
        <v>32.85</v>
      </c>
      <c r="G2489" s="88">
        <f t="shared" si="1"/>
        <v>3.96</v>
      </c>
      <c r="H2489" s="89">
        <f t="shared" si="10"/>
        <v>0.1205479452</v>
      </c>
      <c r="I2489" s="78" t="s">
        <v>3091</v>
      </c>
      <c r="J2489" s="78" t="s">
        <v>69</v>
      </c>
      <c r="K2489" s="58">
        <f t="shared" si="3"/>
        <v>0</v>
      </c>
      <c r="L2489" s="91" t="str">
        <f t="shared" si="8"/>
        <v>Mon</v>
      </c>
      <c r="M2489" s="78" t="str">
        <f>IFERROR(VLOOKUP(A2489, Entries!A:B,2,false),"")</f>
        <v>Bungie</v>
      </c>
      <c r="N2489" s="23" t="str">
        <f>IFERROR(VLOOKUP(A2489, Entries!A:K,11,false),"")</f>
        <v/>
      </c>
      <c r="O2489" s="23" t="b">
        <f>IFERROR(VLOOKUP(A2489, Entries!A:I,8,false),"")</f>
        <v>1</v>
      </c>
    </row>
    <row r="2490">
      <c r="A2490" s="78" t="s">
        <v>2127</v>
      </c>
      <c r="B2490" s="78" t="s">
        <v>27</v>
      </c>
      <c r="C2490" s="85">
        <v>44837.0</v>
      </c>
      <c r="D2490" s="85">
        <v>44838.0</v>
      </c>
      <c r="E2490" s="86">
        <v>28.89</v>
      </c>
      <c r="F2490" s="87">
        <v>33.07</v>
      </c>
      <c r="G2490" s="88">
        <f t="shared" si="1"/>
        <v>4.18</v>
      </c>
      <c r="H2490" s="89">
        <f t="shared" si="10"/>
        <v>0.1263985485</v>
      </c>
      <c r="I2490" s="78" t="s">
        <v>3092</v>
      </c>
      <c r="J2490" s="78" t="s">
        <v>69</v>
      </c>
      <c r="K2490" s="58">
        <f t="shared" si="3"/>
        <v>1</v>
      </c>
      <c r="L2490" s="91" t="str">
        <f t="shared" si="8"/>
        <v>Tue</v>
      </c>
      <c r="M2490" s="78" t="str">
        <f>IFERROR(VLOOKUP(A2490, Entries!A:B,2,false),"")</f>
        <v>Bungie</v>
      </c>
      <c r="N2490" s="23" t="str">
        <f>IFERROR(VLOOKUP(A2490, Entries!A:K,11,false),"")</f>
        <v/>
      </c>
      <c r="O2490" s="23" t="b">
        <f>IFERROR(VLOOKUP(A2490, Entries!A:I,8,false),"")</f>
        <v>1</v>
      </c>
    </row>
    <row r="2491">
      <c r="A2491" s="78" t="s">
        <v>2127</v>
      </c>
      <c r="B2491" s="78" t="s">
        <v>27</v>
      </c>
      <c r="C2491" s="85">
        <v>44838.0</v>
      </c>
      <c r="D2491" s="85">
        <v>44838.0</v>
      </c>
      <c r="E2491" s="86">
        <v>29.29</v>
      </c>
      <c r="F2491" s="87">
        <v>33.07</v>
      </c>
      <c r="G2491" s="88">
        <f t="shared" si="1"/>
        <v>3.78</v>
      </c>
      <c r="H2491" s="89">
        <f t="shared" si="10"/>
        <v>0.1143029936</v>
      </c>
      <c r="I2491" s="78" t="s">
        <v>3093</v>
      </c>
      <c r="J2491" s="78" t="s">
        <v>69</v>
      </c>
      <c r="K2491" s="58">
        <f t="shared" si="3"/>
        <v>0</v>
      </c>
      <c r="L2491" s="91" t="str">
        <f t="shared" si="8"/>
        <v>Tue</v>
      </c>
      <c r="M2491" s="78" t="str">
        <f>IFERROR(VLOOKUP(A2491, Entries!A:B,2,false),"")</f>
        <v>Bungie</v>
      </c>
      <c r="N2491" s="23" t="str">
        <f>IFERROR(VLOOKUP(A2491, Entries!A:K,11,false),"")</f>
        <v/>
      </c>
      <c r="O2491" s="23" t="b">
        <f>IFERROR(VLOOKUP(A2491, Entries!A:I,8,false),"")</f>
        <v>1</v>
      </c>
    </row>
    <row r="2492">
      <c r="A2492" s="78" t="s">
        <v>2127</v>
      </c>
      <c r="B2492" s="78" t="s">
        <v>27</v>
      </c>
      <c r="C2492" s="85">
        <v>44839.0</v>
      </c>
      <c r="D2492" s="85">
        <v>44839.0</v>
      </c>
      <c r="E2492" s="86">
        <v>29.29</v>
      </c>
      <c r="F2492" s="87">
        <v>33.11</v>
      </c>
      <c r="G2492" s="88">
        <f t="shared" si="1"/>
        <v>3.82</v>
      </c>
      <c r="H2492" s="89">
        <f t="shared" si="10"/>
        <v>0.1153729991</v>
      </c>
      <c r="I2492" s="78" t="s">
        <v>3094</v>
      </c>
      <c r="J2492" s="78" t="s">
        <v>69</v>
      </c>
      <c r="K2492" s="58">
        <f t="shared" si="3"/>
        <v>0</v>
      </c>
      <c r="L2492" s="91" t="str">
        <f t="shared" si="8"/>
        <v>Wed</v>
      </c>
      <c r="M2492" s="78" t="str">
        <f>IFERROR(VLOOKUP(A2492, Entries!A:B,2,false),"")</f>
        <v>Bungie</v>
      </c>
      <c r="N2492" s="23" t="str">
        <f>IFERROR(VLOOKUP(A2492, Entries!A:K,11,false),"")</f>
        <v/>
      </c>
      <c r="O2492" s="23" t="b">
        <f>IFERROR(VLOOKUP(A2492, Entries!A:I,8,false),"")</f>
        <v>1</v>
      </c>
    </row>
    <row r="2493">
      <c r="A2493" s="78" t="s">
        <v>2127</v>
      </c>
      <c r="B2493" s="78" t="s">
        <v>27</v>
      </c>
      <c r="C2493" s="85">
        <v>44839.0</v>
      </c>
      <c r="D2493" s="85">
        <v>44839.0</v>
      </c>
      <c r="E2493" s="86">
        <v>29.29</v>
      </c>
      <c r="F2493" s="87">
        <v>33.11</v>
      </c>
      <c r="G2493" s="88">
        <f t="shared" si="1"/>
        <v>3.82</v>
      </c>
      <c r="H2493" s="89">
        <f t="shared" si="10"/>
        <v>0.1153729991</v>
      </c>
      <c r="I2493" s="78" t="s">
        <v>3095</v>
      </c>
      <c r="J2493" s="78" t="s">
        <v>69</v>
      </c>
      <c r="K2493" s="58">
        <f t="shared" si="3"/>
        <v>0</v>
      </c>
      <c r="L2493" s="91" t="str">
        <f t="shared" si="8"/>
        <v>Wed</v>
      </c>
      <c r="M2493" s="78" t="str">
        <f>IFERROR(VLOOKUP(A2493, Entries!A:B,2,false),"")</f>
        <v>Bungie</v>
      </c>
      <c r="N2493" s="23" t="str">
        <f>IFERROR(VLOOKUP(A2493, Entries!A:K,11,false),"")</f>
        <v/>
      </c>
      <c r="O2493" s="23" t="b">
        <f>IFERROR(VLOOKUP(A2493, Entries!A:I,8,false),"")</f>
        <v>1</v>
      </c>
    </row>
    <row r="2494">
      <c r="A2494" s="78" t="s">
        <v>2127</v>
      </c>
      <c r="B2494" s="78" t="s">
        <v>27</v>
      </c>
      <c r="C2494" s="85">
        <v>44839.0</v>
      </c>
      <c r="D2494" s="85">
        <v>44839.0</v>
      </c>
      <c r="E2494" s="86">
        <v>29.29</v>
      </c>
      <c r="F2494" s="87">
        <v>33.11</v>
      </c>
      <c r="G2494" s="88">
        <f t="shared" si="1"/>
        <v>3.82</v>
      </c>
      <c r="H2494" s="89">
        <f t="shared" si="10"/>
        <v>0.1153729991</v>
      </c>
      <c r="I2494" s="78" t="s">
        <v>3096</v>
      </c>
      <c r="J2494" s="78" t="s">
        <v>69</v>
      </c>
      <c r="K2494" s="58">
        <f t="shared" si="3"/>
        <v>0</v>
      </c>
      <c r="L2494" s="91" t="str">
        <f t="shared" si="8"/>
        <v>Wed</v>
      </c>
      <c r="M2494" s="78" t="str">
        <f>IFERROR(VLOOKUP(A2494, Entries!A:B,2,false),"")</f>
        <v>Bungie</v>
      </c>
      <c r="N2494" s="23" t="str">
        <f>IFERROR(VLOOKUP(A2494, Entries!A:K,11,false),"")</f>
        <v/>
      </c>
      <c r="O2494" s="23" t="b">
        <f>IFERROR(VLOOKUP(A2494, Entries!A:I,8,false),"")</f>
        <v>1</v>
      </c>
    </row>
    <row r="2495">
      <c r="A2495" s="78" t="s">
        <v>2127</v>
      </c>
      <c r="B2495" s="78" t="s">
        <v>27</v>
      </c>
      <c r="C2495" s="85">
        <v>44839.0</v>
      </c>
      <c r="D2495" s="85">
        <v>44839.0</v>
      </c>
      <c r="E2495" s="86">
        <v>29.29</v>
      </c>
      <c r="F2495" s="87">
        <v>33.11</v>
      </c>
      <c r="G2495" s="88">
        <f t="shared" si="1"/>
        <v>3.82</v>
      </c>
      <c r="H2495" s="89">
        <f t="shared" si="10"/>
        <v>0.1153729991</v>
      </c>
      <c r="I2495" s="78" t="s">
        <v>3097</v>
      </c>
      <c r="J2495" s="78" t="s">
        <v>69</v>
      </c>
      <c r="K2495" s="58">
        <f t="shared" si="3"/>
        <v>0</v>
      </c>
      <c r="L2495" s="91" t="str">
        <f t="shared" si="8"/>
        <v>Wed</v>
      </c>
      <c r="M2495" s="78" t="str">
        <f>IFERROR(VLOOKUP(A2495, Entries!A:B,2,false),"")</f>
        <v>Bungie</v>
      </c>
      <c r="N2495" s="23" t="str">
        <f>IFERROR(VLOOKUP(A2495, Entries!A:K,11,false),"")</f>
        <v/>
      </c>
      <c r="O2495" s="23" t="b">
        <f>IFERROR(VLOOKUP(A2495, Entries!A:I,8,false),"")</f>
        <v>1</v>
      </c>
    </row>
    <row r="2496">
      <c r="A2496" s="78" t="s">
        <v>2127</v>
      </c>
      <c r="B2496" s="78" t="s">
        <v>27</v>
      </c>
      <c r="C2496" s="85">
        <v>44839.0</v>
      </c>
      <c r="D2496" s="85">
        <v>44839.0</v>
      </c>
      <c r="E2496" s="86">
        <v>29.29</v>
      </c>
      <c r="F2496" s="87">
        <v>35.3</v>
      </c>
      <c r="G2496" s="88">
        <f t="shared" si="1"/>
        <v>6.01</v>
      </c>
      <c r="H2496" s="89">
        <f t="shared" si="10"/>
        <v>0.1702549575</v>
      </c>
      <c r="I2496" s="78" t="s">
        <v>3098</v>
      </c>
      <c r="J2496" s="78" t="s">
        <v>69</v>
      </c>
      <c r="K2496" s="58">
        <f t="shared" si="3"/>
        <v>0</v>
      </c>
      <c r="L2496" s="91" t="str">
        <f t="shared" si="8"/>
        <v>Wed</v>
      </c>
      <c r="M2496" s="78" t="str">
        <f>IFERROR(VLOOKUP(A2496, Entries!A:B,2,false),"")</f>
        <v>Bungie</v>
      </c>
      <c r="N2496" s="23" t="str">
        <f>IFERROR(VLOOKUP(A2496, Entries!A:K,11,false),"")</f>
        <v/>
      </c>
      <c r="O2496" s="23" t="b">
        <f>IFERROR(VLOOKUP(A2496, Entries!A:I,8,false),"")</f>
        <v>1</v>
      </c>
    </row>
    <row r="2497">
      <c r="A2497" s="78" t="s">
        <v>2127</v>
      </c>
      <c r="B2497" s="78" t="s">
        <v>27</v>
      </c>
      <c r="C2497" s="85">
        <v>44839.0</v>
      </c>
      <c r="D2497" s="85">
        <v>44839.0</v>
      </c>
      <c r="E2497" s="86">
        <v>29.29</v>
      </c>
      <c r="F2497" s="87">
        <v>35.3</v>
      </c>
      <c r="G2497" s="88">
        <f t="shared" si="1"/>
        <v>6.01</v>
      </c>
      <c r="H2497" s="89">
        <f t="shared" si="10"/>
        <v>0.1702549575</v>
      </c>
      <c r="I2497" s="78" t="s">
        <v>3099</v>
      </c>
      <c r="J2497" s="78" t="s">
        <v>69</v>
      </c>
      <c r="K2497" s="58">
        <f t="shared" si="3"/>
        <v>0</v>
      </c>
      <c r="L2497" s="91" t="str">
        <f t="shared" si="8"/>
        <v>Wed</v>
      </c>
      <c r="M2497" s="78" t="str">
        <f>IFERROR(VLOOKUP(A2497, Entries!A:B,2,false),"")</f>
        <v>Bungie</v>
      </c>
      <c r="N2497" s="23" t="str">
        <f>IFERROR(VLOOKUP(A2497, Entries!A:K,11,false),"")</f>
        <v/>
      </c>
      <c r="O2497" s="23" t="b">
        <f>IFERROR(VLOOKUP(A2497, Entries!A:I,8,false),"")</f>
        <v>1</v>
      </c>
    </row>
    <row r="2498">
      <c r="A2498" s="78" t="s">
        <v>2127</v>
      </c>
      <c r="B2498" s="78" t="s">
        <v>27</v>
      </c>
      <c r="C2498" s="85">
        <v>44839.0</v>
      </c>
      <c r="D2498" s="85">
        <v>44841.0</v>
      </c>
      <c r="E2498" s="86">
        <v>29.29</v>
      </c>
      <c r="F2498" s="87">
        <v>35.17</v>
      </c>
      <c r="G2498" s="88">
        <f t="shared" si="1"/>
        <v>5.88</v>
      </c>
      <c r="H2498" s="89">
        <f t="shared" si="10"/>
        <v>0.1671879443</v>
      </c>
      <c r="I2498" s="78" t="s">
        <v>3100</v>
      </c>
      <c r="J2498" s="78" t="s">
        <v>69</v>
      </c>
      <c r="K2498" s="58">
        <f t="shared" si="3"/>
        <v>2</v>
      </c>
      <c r="L2498" s="91" t="str">
        <f t="shared" si="8"/>
        <v>Fri</v>
      </c>
      <c r="M2498" s="78" t="str">
        <f>IFERROR(VLOOKUP(A2498, Entries!A:B,2,false),"")</f>
        <v>Bungie</v>
      </c>
      <c r="N2498" s="23" t="str">
        <f>IFERROR(VLOOKUP(A2498, Entries!A:K,11,false),"")</f>
        <v/>
      </c>
      <c r="O2498" s="23" t="b">
        <f>IFERROR(VLOOKUP(A2498, Entries!A:I,8,false),"")</f>
        <v>1</v>
      </c>
    </row>
    <row r="2499">
      <c r="A2499" s="78" t="s">
        <v>1307</v>
      </c>
      <c r="B2499" s="78" t="s">
        <v>23</v>
      </c>
      <c r="C2499" s="85">
        <v>44840.0</v>
      </c>
      <c r="D2499" s="85">
        <v>44843.0</v>
      </c>
      <c r="E2499" s="86">
        <v>7.5</v>
      </c>
      <c r="F2499" s="87">
        <v>9.85</v>
      </c>
      <c r="G2499" s="88">
        <f t="shared" si="1"/>
        <v>2.35</v>
      </c>
      <c r="H2499" s="89">
        <f t="shared" si="10"/>
        <v>0.2385786802</v>
      </c>
      <c r="I2499" s="78" t="s">
        <v>3101</v>
      </c>
      <c r="J2499" s="78" t="s">
        <v>69</v>
      </c>
      <c r="K2499" s="58">
        <f t="shared" si="3"/>
        <v>3</v>
      </c>
      <c r="L2499" s="91" t="str">
        <f t="shared" si="8"/>
        <v>Sun</v>
      </c>
      <c r="M2499" s="78" t="str">
        <f>IFERROR(VLOOKUP(A2499, Entries!A:B,2,false),"")</f>
        <v>SEGA</v>
      </c>
      <c r="N2499" s="23" t="str">
        <f>IFERROR(VLOOKUP(A2499, Entries!A:K,11,false),"")</f>
        <v/>
      </c>
      <c r="O2499" s="23" t="b">
        <f>IFERROR(VLOOKUP(A2499, Entries!A:I,8,false),"")</f>
        <v>0</v>
      </c>
    </row>
    <row r="2500">
      <c r="A2500" s="78" t="s">
        <v>2127</v>
      </c>
      <c r="B2500" s="78" t="s">
        <v>27</v>
      </c>
      <c r="C2500" s="85">
        <v>44841.0</v>
      </c>
      <c r="D2500" s="85">
        <v>44842.0</v>
      </c>
      <c r="E2500" s="86">
        <v>29.29</v>
      </c>
      <c r="F2500" s="87">
        <v>36.25</v>
      </c>
      <c r="G2500" s="88">
        <f t="shared" si="1"/>
        <v>6.96</v>
      </c>
      <c r="H2500" s="89">
        <f t="shared" si="10"/>
        <v>0.192</v>
      </c>
      <c r="I2500" s="78" t="s">
        <v>3102</v>
      </c>
      <c r="J2500" s="78" t="s">
        <v>69</v>
      </c>
      <c r="K2500" s="58">
        <f t="shared" si="3"/>
        <v>1</v>
      </c>
      <c r="L2500" s="91" t="str">
        <f t="shared" si="8"/>
        <v>Sat</v>
      </c>
      <c r="M2500" s="78" t="str">
        <f>IFERROR(VLOOKUP(A2500, Entries!A:B,2,false),"")</f>
        <v>Bungie</v>
      </c>
      <c r="N2500" s="23" t="str">
        <f>IFERROR(VLOOKUP(A2500, Entries!A:K,11,false),"")</f>
        <v/>
      </c>
      <c r="O2500" s="23" t="b">
        <f>IFERROR(VLOOKUP(A2500, Entries!A:I,8,false),"")</f>
        <v>1</v>
      </c>
    </row>
    <row r="2501">
      <c r="A2501" s="78" t="s">
        <v>719</v>
      </c>
      <c r="B2501" s="78" t="s">
        <v>19</v>
      </c>
      <c r="C2501" s="85">
        <v>44841.0</v>
      </c>
      <c r="D2501" s="85">
        <v>44845.0</v>
      </c>
      <c r="E2501" s="86">
        <v>12.12</v>
      </c>
      <c r="F2501" s="87">
        <v>14.77</v>
      </c>
      <c r="G2501" s="88">
        <f t="shared" si="1"/>
        <v>2.65</v>
      </c>
      <c r="H2501" s="89">
        <f t="shared" si="10"/>
        <v>0.1794177387</v>
      </c>
      <c r="I2501" s="78" t="s">
        <v>3103</v>
      </c>
      <c r="J2501" s="78" t="s">
        <v>69</v>
      </c>
      <c r="K2501" s="58">
        <f t="shared" si="3"/>
        <v>4</v>
      </c>
      <c r="L2501" s="91" t="str">
        <f t="shared" si="8"/>
        <v>Tue</v>
      </c>
      <c r="M2501" s="78" t="str">
        <f>IFERROR(VLOOKUP(A2501, Entries!A:B,2,false),"")</f>
        <v>Lukas Rustemeyer</v>
      </c>
      <c r="N2501" s="23" t="str">
        <f>IFERROR(VLOOKUP(A2501, Entries!A:K,11,false),"")</f>
        <v/>
      </c>
      <c r="O2501" s="23" t="b">
        <f>IFERROR(VLOOKUP(A2501, Entries!A:I,8,false),"")</f>
        <v>1</v>
      </c>
    </row>
    <row r="2502">
      <c r="A2502" s="78" t="s">
        <v>2127</v>
      </c>
      <c r="B2502" s="78" t="s">
        <v>27</v>
      </c>
      <c r="C2502" s="85">
        <v>44842.0</v>
      </c>
      <c r="D2502" s="85">
        <v>44842.0</v>
      </c>
      <c r="E2502" s="86">
        <v>29.29</v>
      </c>
      <c r="F2502" s="87">
        <v>36.25</v>
      </c>
      <c r="G2502" s="88">
        <f t="shared" si="1"/>
        <v>6.96</v>
      </c>
      <c r="H2502" s="89">
        <f t="shared" si="10"/>
        <v>0.192</v>
      </c>
      <c r="I2502" s="78" t="s">
        <v>3104</v>
      </c>
      <c r="J2502" s="78" t="s">
        <v>69</v>
      </c>
      <c r="K2502" s="58">
        <f t="shared" si="3"/>
        <v>0</v>
      </c>
      <c r="L2502" s="91" t="str">
        <f t="shared" si="8"/>
        <v>Sat</v>
      </c>
      <c r="M2502" s="78" t="str">
        <f>IFERROR(VLOOKUP(A2502, Entries!A:B,2,false),"")</f>
        <v>Bungie</v>
      </c>
      <c r="N2502" s="23" t="str">
        <f>IFERROR(VLOOKUP(A2502, Entries!A:K,11,false),"")</f>
        <v/>
      </c>
      <c r="O2502" s="23" t="b">
        <f>IFERROR(VLOOKUP(A2502, Entries!A:I,8,false),"")</f>
        <v>1</v>
      </c>
    </row>
    <row r="2503">
      <c r="A2503" s="78" t="s">
        <v>2127</v>
      </c>
      <c r="B2503" s="78" t="s">
        <v>27</v>
      </c>
      <c r="C2503" s="85">
        <v>44842.0</v>
      </c>
      <c r="D2503" s="85">
        <v>44842.0</v>
      </c>
      <c r="E2503" s="86">
        <v>29.29</v>
      </c>
      <c r="F2503" s="87">
        <v>36.25</v>
      </c>
      <c r="G2503" s="88">
        <f t="shared" si="1"/>
        <v>6.96</v>
      </c>
      <c r="H2503" s="89">
        <f t="shared" si="10"/>
        <v>0.192</v>
      </c>
      <c r="I2503" s="78" t="s">
        <v>3105</v>
      </c>
      <c r="J2503" s="78" t="s">
        <v>69</v>
      </c>
      <c r="K2503" s="58">
        <f t="shared" si="3"/>
        <v>0</v>
      </c>
      <c r="L2503" s="91" t="str">
        <f t="shared" si="8"/>
        <v>Sat</v>
      </c>
      <c r="M2503" s="78" t="str">
        <f>IFERROR(VLOOKUP(A2503, Entries!A:B,2,false),"")</f>
        <v>Bungie</v>
      </c>
      <c r="N2503" s="23" t="str">
        <f>IFERROR(VLOOKUP(A2503, Entries!A:K,11,false),"")</f>
        <v/>
      </c>
      <c r="O2503" s="23" t="b">
        <f>IFERROR(VLOOKUP(A2503, Entries!A:I,8,false),"")</f>
        <v>1</v>
      </c>
    </row>
    <row r="2504">
      <c r="A2504" s="78" t="s">
        <v>2127</v>
      </c>
      <c r="B2504" s="78" t="s">
        <v>27</v>
      </c>
      <c r="C2504" s="85">
        <v>44842.0</v>
      </c>
      <c r="D2504" s="85">
        <v>44842.0</v>
      </c>
      <c r="E2504" s="86">
        <v>29.29</v>
      </c>
      <c r="F2504" s="87">
        <v>36.25</v>
      </c>
      <c r="G2504" s="88">
        <f t="shared" si="1"/>
        <v>6.96</v>
      </c>
      <c r="H2504" s="89">
        <f t="shared" si="10"/>
        <v>0.192</v>
      </c>
      <c r="I2504" s="78" t="s">
        <v>3106</v>
      </c>
      <c r="J2504" s="78" t="s">
        <v>69</v>
      </c>
      <c r="K2504" s="58">
        <f t="shared" si="3"/>
        <v>0</v>
      </c>
      <c r="L2504" s="91" t="str">
        <f t="shared" si="8"/>
        <v>Sat</v>
      </c>
      <c r="M2504" s="78" t="str">
        <f>IFERROR(VLOOKUP(A2504, Entries!A:B,2,false),"")</f>
        <v>Bungie</v>
      </c>
      <c r="N2504" s="23" t="str">
        <f>IFERROR(VLOOKUP(A2504, Entries!A:K,11,false),"")</f>
        <v/>
      </c>
      <c r="O2504" s="23" t="b">
        <f>IFERROR(VLOOKUP(A2504, Entries!A:I,8,false),"")</f>
        <v>1</v>
      </c>
    </row>
    <row r="2505">
      <c r="A2505" s="78" t="s">
        <v>1729</v>
      </c>
      <c r="B2505" s="78" t="s">
        <v>19</v>
      </c>
      <c r="C2505" s="85">
        <v>44842.0</v>
      </c>
      <c r="D2505" s="85">
        <v>44843.0</v>
      </c>
      <c r="E2505" s="86">
        <v>6.5</v>
      </c>
      <c r="F2505" s="87">
        <v>10.03</v>
      </c>
      <c r="G2505" s="88">
        <f t="shared" si="1"/>
        <v>3.53</v>
      </c>
      <c r="H2505" s="89">
        <f t="shared" si="10"/>
        <v>0.3519441675</v>
      </c>
      <c r="I2505" s="78" t="s">
        <v>3107</v>
      </c>
      <c r="J2505" s="78" t="s">
        <v>69</v>
      </c>
      <c r="K2505" s="58">
        <f t="shared" si="3"/>
        <v>1</v>
      </c>
      <c r="L2505" s="91" t="str">
        <f t="shared" si="8"/>
        <v>Sun</v>
      </c>
      <c r="M2505" s="78" t="str">
        <f>IFERROR(VLOOKUP(A2505, Entries!A:B,2,false),"")</f>
        <v>Focus Home Interactive</v>
      </c>
      <c r="N2505" s="23" t="str">
        <f>IFERROR(VLOOKUP(A2505, Entries!A:K,11,false),"")</f>
        <v/>
      </c>
      <c r="O2505" s="23" t="b">
        <f>IFERROR(VLOOKUP(A2505, Entries!A:I,8,false),"")</f>
        <v>0</v>
      </c>
    </row>
    <row r="2506">
      <c r="A2506" s="78" t="s">
        <v>2127</v>
      </c>
      <c r="B2506" s="78" t="s">
        <v>27</v>
      </c>
      <c r="C2506" s="85">
        <v>44842.0</v>
      </c>
      <c r="D2506" s="85">
        <v>44843.0</v>
      </c>
      <c r="E2506" s="86">
        <v>29.29</v>
      </c>
      <c r="F2506" s="87">
        <v>36.25</v>
      </c>
      <c r="G2506" s="88">
        <f t="shared" si="1"/>
        <v>6.96</v>
      </c>
      <c r="H2506" s="89">
        <f t="shared" si="10"/>
        <v>0.192</v>
      </c>
      <c r="I2506" s="78" t="s">
        <v>3108</v>
      </c>
      <c r="J2506" s="78" t="s">
        <v>69</v>
      </c>
      <c r="K2506" s="58">
        <f t="shared" si="3"/>
        <v>1</v>
      </c>
      <c r="L2506" s="91" t="str">
        <f t="shared" si="8"/>
        <v>Sun</v>
      </c>
      <c r="M2506" s="78" t="str">
        <f>IFERROR(VLOOKUP(A2506, Entries!A:B,2,false),"")</f>
        <v>Bungie</v>
      </c>
      <c r="N2506" s="23" t="str">
        <f>IFERROR(VLOOKUP(A2506, Entries!A:K,11,false),"")</f>
        <v/>
      </c>
      <c r="O2506" s="23" t="b">
        <f>IFERROR(VLOOKUP(A2506, Entries!A:I,8,false),"")</f>
        <v>1</v>
      </c>
    </row>
    <row r="2507">
      <c r="A2507" s="78" t="s">
        <v>2127</v>
      </c>
      <c r="B2507" s="78" t="s">
        <v>27</v>
      </c>
      <c r="C2507" s="85">
        <v>44842.0</v>
      </c>
      <c r="D2507" s="85">
        <v>44843.0</v>
      </c>
      <c r="E2507" s="86">
        <v>29.29</v>
      </c>
      <c r="F2507" s="87">
        <v>36.25</v>
      </c>
      <c r="G2507" s="88">
        <f t="shared" si="1"/>
        <v>6.96</v>
      </c>
      <c r="H2507" s="89">
        <f t="shared" si="10"/>
        <v>0.192</v>
      </c>
      <c r="I2507" s="78" t="s">
        <v>3109</v>
      </c>
      <c r="J2507" s="78" t="s">
        <v>69</v>
      </c>
      <c r="K2507" s="58">
        <f t="shared" si="3"/>
        <v>1</v>
      </c>
      <c r="L2507" s="91" t="str">
        <f t="shared" si="8"/>
        <v>Sun</v>
      </c>
      <c r="M2507" s="78" t="str">
        <f>IFERROR(VLOOKUP(A2507, Entries!A:B,2,false),"")</f>
        <v>Bungie</v>
      </c>
      <c r="N2507" s="23" t="str">
        <f>IFERROR(VLOOKUP(A2507, Entries!A:K,11,false),"")</f>
        <v/>
      </c>
      <c r="O2507" s="23" t="b">
        <f>IFERROR(VLOOKUP(A2507, Entries!A:I,8,false),"")</f>
        <v>1</v>
      </c>
    </row>
    <row r="2508">
      <c r="A2508" s="78" t="s">
        <v>2127</v>
      </c>
      <c r="B2508" s="78" t="s">
        <v>27</v>
      </c>
      <c r="C2508" s="85">
        <v>44843.0</v>
      </c>
      <c r="D2508" s="85">
        <v>44843.0</v>
      </c>
      <c r="E2508" s="86">
        <v>29.29</v>
      </c>
      <c r="F2508" s="87">
        <v>36.25</v>
      </c>
      <c r="G2508" s="88">
        <f t="shared" si="1"/>
        <v>6.96</v>
      </c>
      <c r="H2508" s="89">
        <f t="shared" si="10"/>
        <v>0.192</v>
      </c>
      <c r="I2508" s="78" t="s">
        <v>3110</v>
      </c>
      <c r="J2508" s="78" t="s">
        <v>69</v>
      </c>
      <c r="K2508" s="58">
        <f t="shared" si="3"/>
        <v>0</v>
      </c>
      <c r="L2508" s="91" t="str">
        <f t="shared" si="8"/>
        <v>Sun</v>
      </c>
      <c r="M2508" s="78" t="str">
        <f>IFERROR(VLOOKUP(A2508, Entries!A:B,2,false),"")</f>
        <v>Bungie</v>
      </c>
      <c r="N2508" s="23" t="str">
        <f>IFERROR(VLOOKUP(A2508, Entries!A:K,11,false),"")</f>
        <v/>
      </c>
      <c r="O2508" s="23" t="b">
        <f>IFERROR(VLOOKUP(A2508, Entries!A:I,8,false),"")</f>
        <v>1</v>
      </c>
    </row>
    <row r="2509">
      <c r="A2509" s="78" t="s">
        <v>2127</v>
      </c>
      <c r="B2509" s="78" t="s">
        <v>27</v>
      </c>
      <c r="C2509" s="85">
        <v>44843.0</v>
      </c>
      <c r="D2509" s="85">
        <v>44843.0</v>
      </c>
      <c r="E2509" s="86">
        <v>29.29</v>
      </c>
      <c r="F2509" s="87">
        <v>36.22</v>
      </c>
      <c r="G2509" s="88">
        <f t="shared" si="1"/>
        <v>6.93</v>
      </c>
      <c r="H2509" s="89">
        <f t="shared" si="10"/>
        <v>0.1913307565</v>
      </c>
      <c r="I2509" s="78" t="s">
        <v>3111</v>
      </c>
      <c r="J2509" s="78" t="s">
        <v>69</v>
      </c>
      <c r="K2509" s="58">
        <f t="shared" si="3"/>
        <v>0</v>
      </c>
      <c r="L2509" s="91" t="str">
        <f t="shared" si="8"/>
        <v>Sun</v>
      </c>
      <c r="M2509" s="78" t="str">
        <f>IFERROR(VLOOKUP(A2509, Entries!A:B,2,false),"")</f>
        <v>Bungie</v>
      </c>
      <c r="N2509" s="23" t="str">
        <f>IFERROR(VLOOKUP(A2509, Entries!A:K,11,false),"")</f>
        <v/>
      </c>
      <c r="O2509" s="23" t="b">
        <f>IFERROR(VLOOKUP(A2509, Entries!A:I,8,false),"")</f>
        <v>1</v>
      </c>
    </row>
    <row r="2510">
      <c r="A2510" s="78" t="s">
        <v>1729</v>
      </c>
      <c r="B2510" s="78" t="s">
        <v>19</v>
      </c>
      <c r="C2510" s="85">
        <v>44843.0</v>
      </c>
      <c r="D2510" s="85">
        <v>44847.0</v>
      </c>
      <c r="E2510" s="86">
        <v>6.86</v>
      </c>
      <c r="F2510" s="87">
        <v>10.03</v>
      </c>
      <c r="G2510" s="88">
        <f t="shared" si="1"/>
        <v>3.17</v>
      </c>
      <c r="H2510" s="89">
        <f t="shared" si="10"/>
        <v>0.3160518445</v>
      </c>
      <c r="I2510" s="78" t="s">
        <v>3112</v>
      </c>
      <c r="J2510" s="78" t="s">
        <v>69</v>
      </c>
      <c r="K2510" s="58">
        <f t="shared" si="3"/>
        <v>4</v>
      </c>
      <c r="L2510" s="91" t="str">
        <f t="shared" si="8"/>
        <v>Thu</v>
      </c>
      <c r="M2510" s="78" t="str">
        <f>IFERROR(VLOOKUP(A2510, Entries!A:B,2,false),"")</f>
        <v>Focus Home Interactive</v>
      </c>
      <c r="N2510" s="23" t="str">
        <f>IFERROR(VLOOKUP(A2510, Entries!A:K,11,false),"")</f>
        <v/>
      </c>
      <c r="O2510" s="23" t="b">
        <f>IFERROR(VLOOKUP(A2510, Entries!A:I,8,false),"")</f>
        <v>0</v>
      </c>
    </row>
    <row r="2511">
      <c r="A2511" s="78" t="s">
        <v>2127</v>
      </c>
      <c r="B2511" s="78" t="s">
        <v>27</v>
      </c>
      <c r="C2511" s="85">
        <v>44843.0</v>
      </c>
      <c r="D2511" s="85">
        <v>44843.0</v>
      </c>
      <c r="E2511" s="86">
        <v>29.29</v>
      </c>
      <c r="F2511" s="87">
        <v>36.22</v>
      </c>
      <c r="G2511" s="88">
        <f t="shared" si="1"/>
        <v>6.93</v>
      </c>
      <c r="H2511" s="89">
        <f t="shared" si="10"/>
        <v>0.1913307565</v>
      </c>
      <c r="I2511" s="78" t="s">
        <v>3113</v>
      </c>
      <c r="J2511" s="78" t="s">
        <v>69</v>
      </c>
      <c r="K2511" s="58">
        <f t="shared" si="3"/>
        <v>0</v>
      </c>
      <c r="L2511" s="91" t="str">
        <f t="shared" si="8"/>
        <v>Sun</v>
      </c>
      <c r="M2511" s="78" t="str">
        <f>IFERROR(VLOOKUP(A2511, Entries!A:B,2,false),"")</f>
        <v>Bungie</v>
      </c>
      <c r="N2511" s="23" t="str">
        <f>IFERROR(VLOOKUP(A2511, Entries!A:K,11,false),"")</f>
        <v/>
      </c>
      <c r="O2511" s="23" t="b">
        <f>IFERROR(VLOOKUP(A2511, Entries!A:I,8,false),"")</f>
        <v>1</v>
      </c>
    </row>
    <row r="2512">
      <c r="A2512" s="78" t="s">
        <v>2127</v>
      </c>
      <c r="B2512" s="78" t="s">
        <v>27</v>
      </c>
      <c r="C2512" s="85">
        <v>44843.0</v>
      </c>
      <c r="D2512" s="85">
        <v>44843.0</v>
      </c>
      <c r="E2512" s="86">
        <v>29.29</v>
      </c>
      <c r="F2512" s="87">
        <v>36.15</v>
      </c>
      <c r="G2512" s="88">
        <f t="shared" si="1"/>
        <v>6.86</v>
      </c>
      <c r="H2512" s="89">
        <f t="shared" si="10"/>
        <v>0.1897648686</v>
      </c>
      <c r="I2512" s="78" t="s">
        <v>3114</v>
      </c>
      <c r="J2512" s="78" t="s">
        <v>69</v>
      </c>
      <c r="K2512" s="58">
        <f t="shared" si="3"/>
        <v>0</v>
      </c>
      <c r="L2512" s="91" t="str">
        <f t="shared" si="8"/>
        <v>Sun</v>
      </c>
      <c r="M2512" s="78" t="str">
        <f>IFERROR(VLOOKUP(A2512, Entries!A:B,2,false),"")</f>
        <v>Bungie</v>
      </c>
      <c r="N2512" s="23" t="str">
        <f>IFERROR(VLOOKUP(A2512, Entries!A:K,11,false),"")</f>
        <v/>
      </c>
      <c r="O2512" s="23" t="b">
        <f>IFERROR(VLOOKUP(A2512, Entries!A:I,8,false),"")</f>
        <v>1</v>
      </c>
    </row>
    <row r="2513">
      <c r="A2513" s="78" t="s">
        <v>1307</v>
      </c>
      <c r="B2513" s="78" t="s">
        <v>23</v>
      </c>
      <c r="C2513" s="85">
        <v>44843.0</v>
      </c>
      <c r="D2513" s="85">
        <v>44877.0</v>
      </c>
      <c r="E2513" s="86">
        <v>7.5</v>
      </c>
      <c r="F2513" s="87">
        <v>9.69</v>
      </c>
      <c r="G2513" s="88">
        <f t="shared" si="1"/>
        <v>2.19</v>
      </c>
      <c r="H2513" s="89">
        <f t="shared" si="10"/>
        <v>0.226006192</v>
      </c>
      <c r="I2513" s="78" t="s">
        <v>3115</v>
      </c>
      <c r="J2513" s="78" t="s">
        <v>69</v>
      </c>
      <c r="K2513" s="58">
        <f t="shared" si="3"/>
        <v>34</v>
      </c>
      <c r="L2513" s="91" t="str">
        <f t="shared" si="8"/>
        <v>Sat</v>
      </c>
      <c r="M2513" s="78" t="str">
        <f>IFERROR(VLOOKUP(A2513, Entries!A:B,2,false),"")</f>
        <v>SEGA</v>
      </c>
      <c r="N2513" s="23" t="str">
        <f>IFERROR(VLOOKUP(A2513, Entries!A:K,11,false),"")</f>
        <v/>
      </c>
      <c r="O2513" s="23" t="b">
        <f>IFERROR(VLOOKUP(A2513, Entries!A:I,8,false),"")</f>
        <v>0</v>
      </c>
    </row>
    <row r="2514">
      <c r="A2514" s="78" t="s">
        <v>2127</v>
      </c>
      <c r="B2514" s="78" t="s">
        <v>27</v>
      </c>
      <c r="C2514" s="85">
        <v>44843.0</v>
      </c>
      <c r="D2514" s="85">
        <v>44843.0</v>
      </c>
      <c r="E2514" s="86">
        <v>29.29</v>
      </c>
      <c r="F2514" s="87">
        <v>36.15</v>
      </c>
      <c r="G2514" s="88">
        <f t="shared" si="1"/>
        <v>6.86</v>
      </c>
      <c r="H2514" s="89">
        <f t="shared" si="10"/>
        <v>0.1897648686</v>
      </c>
      <c r="I2514" s="78" t="s">
        <v>3116</v>
      </c>
      <c r="J2514" s="78" t="s">
        <v>69</v>
      </c>
      <c r="K2514" s="58">
        <f t="shared" si="3"/>
        <v>0</v>
      </c>
      <c r="L2514" s="91" t="str">
        <f t="shared" si="8"/>
        <v>Sun</v>
      </c>
      <c r="M2514" s="78" t="str">
        <f>IFERROR(VLOOKUP(A2514, Entries!A:B,2,false),"")</f>
        <v>Bungie</v>
      </c>
      <c r="N2514" s="23" t="str">
        <f>IFERROR(VLOOKUP(A2514, Entries!A:K,11,false),"")</f>
        <v/>
      </c>
      <c r="O2514" s="23" t="b">
        <f>IFERROR(VLOOKUP(A2514, Entries!A:I,8,false),"")</f>
        <v>1</v>
      </c>
    </row>
    <row r="2515">
      <c r="A2515" s="78" t="s">
        <v>2127</v>
      </c>
      <c r="B2515" s="78" t="s">
        <v>27</v>
      </c>
      <c r="C2515" s="85">
        <v>44843.0</v>
      </c>
      <c r="D2515" s="85">
        <v>44844.0</v>
      </c>
      <c r="E2515" s="86">
        <v>29.29</v>
      </c>
      <c r="F2515" s="87">
        <v>36.04</v>
      </c>
      <c r="G2515" s="88">
        <f t="shared" si="1"/>
        <v>6.75</v>
      </c>
      <c r="H2515" s="89">
        <f t="shared" si="10"/>
        <v>0.1872918979</v>
      </c>
      <c r="I2515" s="78" t="s">
        <v>3117</v>
      </c>
      <c r="J2515" s="78" t="s">
        <v>69</v>
      </c>
      <c r="K2515" s="58">
        <f t="shared" si="3"/>
        <v>1</v>
      </c>
      <c r="L2515" s="91" t="str">
        <f t="shared" si="8"/>
        <v>Mon</v>
      </c>
      <c r="M2515" s="78" t="str">
        <f>IFERROR(VLOOKUP(A2515, Entries!A:B,2,false),"")</f>
        <v>Bungie</v>
      </c>
      <c r="N2515" s="23" t="str">
        <f>IFERROR(VLOOKUP(A2515, Entries!A:K,11,false),"")</f>
        <v/>
      </c>
      <c r="O2515" s="23" t="b">
        <f>IFERROR(VLOOKUP(A2515, Entries!A:I,8,false),"")</f>
        <v>1</v>
      </c>
    </row>
    <row r="2516">
      <c r="A2516" s="78" t="s">
        <v>2127</v>
      </c>
      <c r="B2516" s="78" t="s">
        <v>27</v>
      </c>
      <c r="C2516" s="85">
        <v>44843.0</v>
      </c>
      <c r="D2516" s="85">
        <v>44844.0</v>
      </c>
      <c r="E2516" s="86">
        <v>29.29</v>
      </c>
      <c r="F2516" s="87">
        <v>35.84</v>
      </c>
      <c r="G2516" s="88">
        <f t="shared" si="1"/>
        <v>6.55</v>
      </c>
      <c r="H2516" s="89">
        <f t="shared" si="10"/>
        <v>0.1827566964</v>
      </c>
      <c r="I2516" s="78" t="s">
        <v>3118</v>
      </c>
      <c r="J2516" s="78" t="s">
        <v>69</v>
      </c>
      <c r="K2516" s="58">
        <f t="shared" si="3"/>
        <v>1</v>
      </c>
      <c r="L2516" s="91" t="str">
        <f t="shared" si="8"/>
        <v>Mon</v>
      </c>
      <c r="M2516" s="78" t="str">
        <f>IFERROR(VLOOKUP(A2516, Entries!A:B,2,false),"")</f>
        <v>Bungie</v>
      </c>
      <c r="N2516" s="23" t="str">
        <f>IFERROR(VLOOKUP(A2516, Entries!A:K,11,false),"")</f>
        <v/>
      </c>
      <c r="O2516" s="23" t="b">
        <f>IFERROR(VLOOKUP(A2516, Entries!A:I,8,false),"")</f>
        <v>1</v>
      </c>
    </row>
    <row r="2517">
      <c r="A2517" s="78" t="s">
        <v>2127</v>
      </c>
      <c r="B2517" s="78" t="s">
        <v>27</v>
      </c>
      <c r="C2517" s="85">
        <v>44843.0</v>
      </c>
      <c r="D2517" s="85">
        <v>44844.0</v>
      </c>
      <c r="E2517" s="86">
        <v>29.29</v>
      </c>
      <c r="F2517" s="87">
        <v>35.63</v>
      </c>
      <c r="G2517" s="88">
        <f t="shared" si="1"/>
        <v>6.34</v>
      </c>
      <c r="H2517" s="89">
        <f t="shared" si="10"/>
        <v>0.1779399383</v>
      </c>
      <c r="I2517" s="78" t="s">
        <v>3119</v>
      </c>
      <c r="J2517" s="78" t="s">
        <v>69</v>
      </c>
      <c r="K2517" s="58">
        <f t="shared" si="3"/>
        <v>1</v>
      </c>
      <c r="L2517" s="91" t="str">
        <f t="shared" si="8"/>
        <v>Mon</v>
      </c>
      <c r="M2517" s="78" t="str">
        <f>IFERROR(VLOOKUP(A2517, Entries!A:B,2,false),"")</f>
        <v>Bungie</v>
      </c>
      <c r="N2517" s="23" t="str">
        <f>IFERROR(VLOOKUP(A2517, Entries!A:K,11,false),"")</f>
        <v/>
      </c>
      <c r="O2517" s="23" t="b">
        <f>IFERROR(VLOOKUP(A2517, Entries!A:I,8,false),"")</f>
        <v>1</v>
      </c>
    </row>
    <row r="2518">
      <c r="A2518" s="78" t="s">
        <v>2127</v>
      </c>
      <c r="B2518" s="78" t="s">
        <v>27</v>
      </c>
      <c r="C2518" s="85">
        <v>44844.0</v>
      </c>
      <c r="D2518" s="85">
        <v>44846.0</v>
      </c>
      <c r="E2518" s="86">
        <v>29.29</v>
      </c>
      <c r="F2518" s="87">
        <v>36.1</v>
      </c>
      <c r="G2518" s="88">
        <f t="shared" si="1"/>
        <v>6.81</v>
      </c>
      <c r="H2518" s="89">
        <f t="shared" si="10"/>
        <v>0.1886426593</v>
      </c>
      <c r="I2518" s="78" t="s">
        <v>3120</v>
      </c>
      <c r="J2518" s="78" t="s">
        <v>69</v>
      </c>
      <c r="K2518" s="58">
        <f t="shared" si="3"/>
        <v>2</v>
      </c>
      <c r="L2518" s="91" t="str">
        <f t="shared" si="8"/>
        <v>Wed</v>
      </c>
      <c r="M2518" s="78" t="str">
        <f>IFERROR(VLOOKUP(A2518, Entries!A:B,2,false),"")</f>
        <v>Bungie</v>
      </c>
      <c r="N2518" s="23" t="str">
        <f>IFERROR(VLOOKUP(A2518, Entries!A:K,11,false),"")</f>
        <v/>
      </c>
      <c r="O2518" s="23" t="b">
        <f>IFERROR(VLOOKUP(A2518, Entries!A:I,8,false),"")</f>
        <v>1</v>
      </c>
    </row>
    <row r="2519">
      <c r="A2519" s="78" t="s">
        <v>2127</v>
      </c>
      <c r="B2519" s="78" t="s">
        <v>27</v>
      </c>
      <c r="C2519" s="85">
        <v>44844.0</v>
      </c>
      <c r="D2519" s="85">
        <v>44847.0</v>
      </c>
      <c r="E2519" s="86">
        <v>29.29</v>
      </c>
      <c r="F2519" s="87">
        <v>36.0</v>
      </c>
      <c r="G2519" s="88">
        <f t="shared" si="1"/>
        <v>6.71</v>
      </c>
      <c r="H2519" s="89">
        <f t="shared" si="10"/>
        <v>0.1863888889</v>
      </c>
      <c r="I2519" s="78" t="s">
        <v>3121</v>
      </c>
      <c r="J2519" s="78" t="s">
        <v>69</v>
      </c>
      <c r="K2519" s="58">
        <f t="shared" si="3"/>
        <v>3</v>
      </c>
      <c r="L2519" s="91" t="str">
        <f t="shared" si="8"/>
        <v>Thu</v>
      </c>
      <c r="M2519" s="78" t="str">
        <f>IFERROR(VLOOKUP(A2519, Entries!A:B,2,false),"")</f>
        <v>Bungie</v>
      </c>
      <c r="N2519" s="23" t="str">
        <f>IFERROR(VLOOKUP(A2519, Entries!A:K,11,false),"")</f>
        <v/>
      </c>
      <c r="O2519" s="23" t="b">
        <f>IFERROR(VLOOKUP(A2519, Entries!A:I,8,false),"")</f>
        <v>1</v>
      </c>
    </row>
    <row r="2520">
      <c r="A2520" s="78" t="s">
        <v>3122</v>
      </c>
      <c r="B2520" s="78" t="s">
        <v>19</v>
      </c>
      <c r="C2520" s="85">
        <v>44845.0</v>
      </c>
      <c r="D2520" s="85">
        <v>44848.0</v>
      </c>
      <c r="E2520" s="86">
        <v>22.39</v>
      </c>
      <c r="F2520" s="87">
        <v>23.46</v>
      </c>
      <c r="G2520" s="88">
        <f t="shared" si="1"/>
        <v>1.07</v>
      </c>
      <c r="H2520" s="89">
        <f t="shared" si="10"/>
        <v>0.04560954817</v>
      </c>
      <c r="I2520" s="78" t="s">
        <v>3123</v>
      </c>
      <c r="J2520" s="78" t="s">
        <v>69</v>
      </c>
      <c r="K2520" s="58">
        <f t="shared" si="3"/>
        <v>3</v>
      </c>
      <c r="L2520" s="91" t="str">
        <f t="shared" si="8"/>
        <v>Fri</v>
      </c>
      <c r="M2520" s="78" t="str">
        <f>IFERROR(VLOOKUP(A2520, Entries!A:B,2,false),"")</f>
        <v>SEGA</v>
      </c>
      <c r="N2520" s="23" t="str">
        <f>IFERROR(VLOOKUP(A2520, Entries!A:K,11,false),"")</f>
        <v/>
      </c>
      <c r="O2520" s="23" t="b">
        <f>IFERROR(VLOOKUP(A2520, Entries!A:I,8,false),"")</f>
        <v>0</v>
      </c>
    </row>
    <row r="2521">
      <c r="A2521" s="78" t="s">
        <v>719</v>
      </c>
      <c r="B2521" s="78" t="s">
        <v>19</v>
      </c>
      <c r="C2521" s="85">
        <v>44845.0</v>
      </c>
      <c r="D2521" s="85">
        <v>44895.0</v>
      </c>
      <c r="E2521" s="86">
        <v>12.26</v>
      </c>
      <c r="F2521" s="87">
        <v>14.19</v>
      </c>
      <c r="G2521" s="88">
        <f t="shared" si="1"/>
        <v>1.93</v>
      </c>
      <c r="H2521" s="89">
        <f t="shared" si="10"/>
        <v>0.1360112755</v>
      </c>
      <c r="I2521" s="78" t="s">
        <v>3124</v>
      </c>
      <c r="J2521" s="78" t="s">
        <v>69</v>
      </c>
      <c r="K2521" s="58">
        <f t="shared" si="3"/>
        <v>50</v>
      </c>
      <c r="L2521" s="91" t="str">
        <f t="shared" si="8"/>
        <v>Wed</v>
      </c>
      <c r="M2521" s="78" t="str">
        <f>IFERROR(VLOOKUP(A2521, Entries!A:B,2,false),"")</f>
        <v>Lukas Rustemeyer</v>
      </c>
      <c r="N2521" s="23" t="str">
        <f>IFERROR(VLOOKUP(A2521, Entries!A:K,11,false),"")</f>
        <v/>
      </c>
      <c r="O2521" s="23" t="b">
        <f>IFERROR(VLOOKUP(A2521, Entries!A:I,8,false),"")</f>
        <v>1</v>
      </c>
    </row>
    <row r="2522">
      <c r="A2522" s="78" t="s">
        <v>2127</v>
      </c>
      <c r="B2522" s="78" t="s">
        <v>27</v>
      </c>
      <c r="C2522" s="85">
        <v>44846.0</v>
      </c>
      <c r="D2522" s="85">
        <v>44847.0</v>
      </c>
      <c r="E2522" s="86">
        <v>29.29</v>
      </c>
      <c r="F2522" s="87">
        <v>35.96</v>
      </c>
      <c r="G2522" s="88">
        <f t="shared" si="1"/>
        <v>6.67</v>
      </c>
      <c r="H2522" s="89">
        <f t="shared" si="10"/>
        <v>0.185483871</v>
      </c>
      <c r="I2522" s="78" t="s">
        <v>3125</v>
      </c>
      <c r="J2522" s="78" t="s">
        <v>69</v>
      </c>
      <c r="K2522" s="58">
        <f t="shared" si="3"/>
        <v>1</v>
      </c>
      <c r="L2522" s="91" t="str">
        <f t="shared" si="8"/>
        <v>Thu</v>
      </c>
      <c r="M2522" s="78" t="str">
        <f>IFERROR(VLOOKUP(A2522, Entries!A:B,2,false),"")</f>
        <v>Bungie</v>
      </c>
      <c r="N2522" s="23" t="str">
        <f>IFERROR(VLOOKUP(A2522, Entries!A:K,11,false),"")</f>
        <v/>
      </c>
      <c r="O2522" s="23" t="b">
        <f>IFERROR(VLOOKUP(A2522, Entries!A:I,8,false),"")</f>
        <v>1</v>
      </c>
    </row>
    <row r="2523">
      <c r="A2523" s="78" t="s">
        <v>2127</v>
      </c>
      <c r="B2523" s="78" t="s">
        <v>27</v>
      </c>
      <c r="C2523" s="85">
        <v>44846.0</v>
      </c>
      <c r="D2523" s="85">
        <v>44847.0</v>
      </c>
      <c r="E2523" s="86">
        <v>29.29</v>
      </c>
      <c r="F2523" s="87">
        <v>35.96</v>
      </c>
      <c r="G2523" s="88">
        <f t="shared" si="1"/>
        <v>6.67</v>
      </c>
      <c r="H2523" s="89">
        <f t="shared" si="10"/>
        <v>0.185483871</v>
      </c>
      <c r="I2523" s="78" t="s">
        <v>3126</v>
      </c>
      <c r="J2523" s="78" t="s">
        <v>69</v>
      </c>
      <c r="K2523" s="58">
        <f t="shared" si="3"/>
        <v>1</v>
      </c>
      <c r="L2523" s="91" t="str">
        <f t="shared" si="8"/>
        <v>Thu</v>
      </c>
      <c r="M2523" s="78" t="str">
        <f>IFERROR(VLOOKUP(A2523, Entries!A:B,2,false),"")</f>
        <v>Bungie</v>
      </c>
      <c r="N2523" s="23" t="str">
        <f>IFERROR(VLOOKUP(A2523, Entries!A:K,11,false),"")</f>
        <v/>
      </c>
      <c r="O2523" s="23" t="b">
        <f>IFERROR(VLOOKUP(A2523, Entries!A:I,8,false),"")</f>
        <v>1</v>
      </c>
    </row>
    <row r="2524">
      <c r="A2524" s="78" t="s">
        <v>1729</v>
      </c>
      <c r="B2524" s="78" t="s">
        <v>19</v>
      </c>
      <c r="C2524" s="85">
        <v>44847.0</v>
      </c>
      <c r="D2524" s="85">
        <v>44849.0</v>
      </c>
      <c r="E2524" s="86">
        <v>6.9</v>
      </c>
      <c r="F2524" s="87">
        <v>10.03</v>
      </c>
      <c r="G2524" s="88">
        <f t="shared" si="1"/>
        <v>3.13</v>
      </c>
      <c r="H2524" s="89">
        <f t="shared" si="10"/>
        <v>0.3120638086</v>
      </c>
      <c r="I2524" s="78" t="s">
        <v>3127</v>
      </c>
      <c r="J2524" s="78" t="s">
        <v>69</v>
      </c>
      <c r="K2524" s="58">
        <f t="shared" si="3"/>
        <v>2</v>
      </c>
      <c r="L2524" s="91" t="str">
        <f t="shared" si="8"/>
        <v>Sat</v>
      </c>
      <c r="M2524" s="78" t="str">
        <f>IFERROR(VLOOKUP(A2524, Entries!A:B,2,false),"")</f>
        <v>Focus Home Interactive</v>
      </c>
      <c r="N2524" s="23" t="str">
        <f>IFERROR(VLOOKUP(A2524, Entries!A:K,11,false),"")</f>
        <v/>
      </c>
      <c r="O2524" s="23" t="b">
        <f>IFERROR(VLOOKUP(A2524, Entries!A:I,8,false),"")</f>
        <v>0</v>
      </c>
    </row>
    <row r="2525">
      <c r="A2525" s="78" t="s">
        <v>2127</v>
      </c>
      <c r="B2525" s="78" t="s">
        <v>27</v>
      </c>
      <c r="C2525" s="85">
        <v>44847.0</v>
      </c>
      <c r="D2525" s="85">
        <v>44849.0</v>
      </c>
      <c r="E2525" s="86">
        <v>30.49</v>
      </c>
      <c r="F2525" s="87">
        <v>36.58</v>
      </c>
      <c r="G2525" s="88">
        <f t="shared" si="1"/>
        <v>6.09</v>
      </c>
      <c r="H2525" s="89">
        <f t="shared" si="10"/>
        <v>0.1664844177</v>
      </c>
      <c r="I2525" s="78" t="s">
        <v>3128</v>
      </c>
      <c r="J2525" s="78" t="s">
        <v>69</v>
      </c>
      <c r="K2525" s="58">
        <f t="shared" si="3"/>
        <v>2</v>
      </c>
      <c r="L2525" s="91" t="str">
        <f t="shared" si="8"/>
        <v>Sat</v>
      </c>
      <c r="M2525" s="78" t="str">
        <f>IFERROR(VLOOKUP(A2525, Entries!A:B,2,false),"")</f>
        <v>Bungie</v>
      </c>
      <c r="N2525" s="23" t="str">
        <f>IFERROR(VLOOKUP(A2525, Entries!A:K,11,false),"")</f>
        <v/>
      </c>
      <c r="O2525" s="23" t="b">
        <f>IFERROR(VLOOKUP(A2525, Entries!A:I,8,false),"")</f>
        <v>1</v>
      </c>
    </row>
    <row r="2526">
      <c r="A2526" s="78" t="s">
        <v>2127</v>
      </c>
      <c r="B2526" s="78" t="s">
        <v>27</v>
      </c>
      <c r="C2526" s="85">
        <v>44848.0</v>
      </c>
      <c r="D2526" s="85">
        <v>44849.0</v>
      </c>
      <c r="E2526" s="86">
        <v>25.79</v>
      </c>
      <c r="F2526" s="87">
        <v>34.32</v>
      </c>
      <c r="G2526" s="88">
        <f t="shared" si="1"/>
        <v>8.53</v>
      </c>
      <c r="H2526" s="89">
        <f t="shared" si="10"/>
        <v>0.2485431235</v>
      </c>
      <c r="I2526" s="78" t="s">
        <v>3129</v>
      </c>
      <c r="J2526" s="78" t="s">
        <v>69</v>
      </c>
      <c r="K2526" s="58">
        <f t="shared" si="3"/>
        <v>1</v>
      </c>
      <c r="L2526" s="91" t="str">
        <f t="shared" si="8"/>
        <v>Sat</v>
      </c>
      <c r="M2526" s="78" t="str">
        <f>IFERROR(VLOOKUP(A2526, Entries!A:B,2,false),"")</f>
        <v>Bungie</v>
      </c>
      <c r="N2526" s="23" t="str">
        <f>IFERROR(VLOOKUP(A2526, Entries!A:K,11,false),"")</f>
        <v/>
      </c>
      <c r="O2526" s="23" t="b">
        <f>IFERROR(VLOOKUP(A2526, Entries!A:I,8,false),"")</f>
        <v>1</v>
      </c>
    </row>
    <row r="2527">
      <c r="A2527" s="78" t="s">
        <v>2127</v>
      </c>
      <c r="B2527" s="78" t="s">
        <v>27</v>
      </c>
      <c r="C2527" s="85">
        <v>44848.0</v>
      </c>
      <c r="D2527" s="85">
        <v>44849.0</v>
      </c>
      <c r="E2527" s="86">
        <v>25.79</v>
      </c>
      <c r="F2527" s="87">
        <v>33.44</v>
      </c>
      <c r="G2527" s="88">
        <f t="shared" si="1"/>
        <v>7.65</v>
      </c>
      <c r="H2527" s="89">
        <f t="shared" si="10"/>
        <v>0.2287679426</v>
      </c>
      <c r="I2527" s="78" t="s">
        <v>3130</v>
      </c>
      <c r="J2527" s="78" t="s">
        <v>69</v>
      </c>
      <c r="K2527" s="58">
        <f t="shared" si="3"/>
        <v>1</v>
      </c>
      <c r="L2527" s="91" t="str">
        <f t="shared" si="8"/>
        <v>Sat</v>
      </c>
      <c r="M2527" s="78" t="str">
        <f>IFERROR(VLOOKUP(A2527, Entries!A:B,2,false),"")</f>
        <v>Bungie</v>
      </c>
      <c r="N2527" s="23" t="str">
        <f>IFERROR(VLOOKUP(A2527, Entries!A:K,11,false),"")</f>
        <v/>
      </c>
      <c r="O2527" s="23" t="b">
        <f>IFERROR(VLOOKUP(A2527, Entries!A:I,8,false),"")</f>
        <v>1</v>
      </c>
    </row>
    <row r="2528">
      <c r="A2528" s="78" t="s">
        <v>1729</v>
      </c>
      <c r="B2528" s="78" t="s">
        <v>27</v>
      </c>
      <c r="C2528" s="85">
        <v>44849.0</v>
      </c>
      <c r="D2528" s="85">
        <v>44851.0</v>
      </c>
      <c r="E2528" s="86">
        <v>6.99</v>
      </c>
      <c r="F2528" s="87">
        <v>10.03</v>
      </c>
      <c r="G2528" s="88">
        <f t="shared" si="1"/>
        <v>3.04</v>
      </c>
      <c r="H2528" s="89">
        <f t="shared" si="10"/>
        <v>0.3030907278</v>
      </c>
      <c r="I2528" s="78" t="s">
        <v>3131</v>
      </c>
      <c r="J2528" s="78" t="s">
        <v>69</v>
      </c>
      <c r="K2528" s="58">
        <f t="shared" si="3"/>
        <v>2</v>
      </c>
      <c r="L2528" s="91" t="str">
        <f t="shared" si="8"/>
        <v>Mon</v>
      </c>
      <c r="M2528" s="78" t="str">
        <f>IFERROR(VLOOKUP(A2528, Entries!A:B,2,false),"")</f>
        <v>Focus Home Interactive</v>
      </c>
      <c r="N2528" s="23" t="str">
        <f>IFERROR(VLOOKUP(A2528, Entries!A:K,11,false),"")</f>
        <v/>
      </c>
      <c r="O2528" s="23" t="b">
        <f>IFERROR(VLOOKUP(A2528, Entries!A:I,8,false),"")</f>
        <v>0</v>
      </c>
    </row>
    <row r="2529">
      <c r="A2529" s="78" t="s">
        <v>2127</v>
      </c>
      <c r="B2529" s="78" t="s">
        <v>27</v>
      </c>
      <c r="C2529" s="85">
        <v>44849.0</v>
      </c>
      <c r="D2529" s="85">
        <v>44851.0</v>
      </c>
      <c r="E2529" s="86">
        <v>25.79</v>
      </c>
      <c r="F2529" s="87">
        <v>34.41</v>
      </c>
      <c r="G2529" s="88">
        <f t="shared" si="1"/>
        <v>8.62</v>
      </c>
      <c r="H2529" s="89">
        <f t="shared" si="10"/>
        <v>0.2505085731</v>
      </c>
      <c r="I2529" s="78" t="s">
        <v>3132</v>
      </c>
      <c r="J2529" s="78" t="s">
        <v>69</v>
      </c>
      <c r="K2529" s="58">
        <f t="shared" si="3"/>
        <v>2</v>
      </c>
      <c r="L2529" s="91" t="str">
        <f t="shared" si="8"/>
        <v>Mon</v>
      </c>
      <c r="M2529" s="78" t="str">
        <f>IFERROR(VLOOKUP(A2529, Entries!A:B,2,false),"")</f>
        <v>Bungie</v>
      </c>
      <c r="N2529" s="23" t="str">
        <f>IFERROR(VLOOKUP(A2529, Entries!A:K,11,false),"")</f>
        <v/>
      </c>
      <c r="O2529" s="23" t="b">
        <f>IFERROR(VLOOKUP(A2529, Entries!A:I,8,false),"")</f>
        <v>1</v>
      </c>
    </row>
    <row r="2530">
      <c r="A2530" s="78" t="s">
        <v>2127</v>
      </c>
      <c r="B2530" s="78" t="s">
        <v>27</v>
      </c>
      <c r="C2530" s="85">
        <v>44849.0</v>
      </c>
      <c r="D2530" s="85">
        <v>44851.0</v>
      </c>
      <c r="E2530" s="86">
        <v>25.79</v>
      </c>
      <c r="F2530" s="87">
        <v>34.41</v>
      </c>
      <c r="G2530" s="88">
        <f t="shared" si="1"/>
        <v>8.62</v>
      </c>
      <c r="H2530" s="89">
        <f t="shared" si="10"/>
        <v>0.2505085731</v>
      </c>
      <c r="I2530" s="78" t="s">
        <v>3133</v>
      </c>
      <c r="J2530" s="78" t="s">
        <v>69</v>
      </c>
      <c r="K2530" s="58">
        <f t="shared" si="3"/>
        <v>2</v>
      </c>
      <c r="L2530" s="91" t="str">
        <f t="shared" si="8"/>
        <v>Mon</v>
      </c>
      <c r="M2530" s="78" t="str">
        <f>IFERROR(VLOOKUP(A2530, Entries!A:B,2,false),"")</f>
        <v>Bungie</v>
      </c>
      <c r="N2530" s="23" t="str">
        <f>IFERROR(VLOOKUP(A2530, Entries!A:K,11,false),"")</f>
        <v/>
      </c>
      <c r="O2530" s="23" t="b">
        <f>IFERROR(VLOOKUP(A2530, Entries!A:I,8,false),"")</f>
        <v>1</v>
      </c>
    </row>
    <row r="2531">
      <c r="A2531" s="78" t="s">
        <v>2127</v>
      </c>
      <c r="B2531" s="78" t="s">
        <v>27</v>
      </c>
      <c r="C2531" s="85">
        <v>44849.0</v>
      </c>
      <c r="D2531" s="85">
        <v>44850.0</v>
      </c>
      <c r="E2531" s="86">
        <v>25.79</v>
      </c>
      <c r="F2531" s="87">
        <v>35.28</v>
      </c>
      <c r="G2531" s="88">
        <f t="shared" si="1"/>
        <v>9.49</v>
      </c>
      <c r="H2531" s="89">
        <f t="shared" si="10"/>
        <v>0.2689909297</v>
      </c>
      <c r="I2531" s="78" t="s">
        <v>3134</v>
      </c>
      <c r="J2531" s="78" t="s">
        <v>69</v>
      </c>
      <c r="K2531" s="58">
        <f t="shared" si="3"/>
        <v>1</v>
      </c>
      <c r="L2531" s="91" t="str">
        <f t="shared" si="8"/>
        <v>Sun</v>
      </c>
      <c r="M2531" s="78" t="str">
        <f>IFERROR(VLOOKUP(A2531, Entries!A:B,2,false),"")</f>
        <v>Bungie</v>
      </c>
      <c r="N2531" s="23" t="str">
        <f>IFERROR(VLOOKUP(A2531, Entries!A:K,11,false),"")</f>
        <v/>
      </c>
      <c r="O2531" s="23" t="b">
        <f>IFERROR(VLOOKUP(A2531, Entries!A:I,8,false),"")</f>
        <v>1</v>
      </c>
    </row>
    <row r="2532">
      <c r="A2532" s="78" t="s">
        <v>2127</v>
      </c>
      <c r="B2532" s="78" t="s">
        <v>27</v>
      </c>
      <c r="C2532" s="85">
        <v>44849.0</v>
      </c>
      <c r="D2532" s="85">
        <v>44851.0</v>
      </c>
      <c r="E2532" s="86">
        <v>25.79</v>
      </c>
      <c r="F2532" s="87">
        <v>33.9</v>
      </c>
      <c r="G2532" s="88">
        <f t="shared" si="1"/>
        <v>8.11</v>
      </c>
      <c r="H2532" s="89">
        <f t="shared" si="10"/>
        <v>0.2392330383</v>
      </c>
      <c r="I2532" s="78" t="s">
        <v>3135</v>
      </c>
      <c r="J2532" s="78" t="s">
        <v>69</v>
      </c>
      <c r="K2532" s="58">
        <f t="shared" si="3"/>
        <v>2</v>
      </c>
      <c r="L2532" s="91" t="str">
        <f t="shared" si="8"/>
        <v>Mon</v>
      </c>
      <c r="M2532" s="78" t="str">
        <f>IFERROR(VLOOKUP(A2532, Entries!A:B,2,false),"")</f>
        <v>Bungie</v>
      </c>
      <c r="N2532" s="23" t="str">
        <f>IFERROR(VLOOKUP(A2532, Entries!A:K,11,false),"")</f>
        <v/>
      </c>
      <c r="O2532" s="23" t="b">
        <f>IFERROR(VLOOKUP(A2532, Entries!A:I,8,false),"")</f>
        <v>1</v>
      </c>
    </row>
    <row r="2533">
      <c r="A2533" s="78" t="s">
        <v>1729</v>
      </c>
      <c r="B2533" s="78" t="s">
        <v>27</v>
      </c>
      <c r="C2533" s="85">
        <v>44851.0</v>
      </c>
      <c r="D2533" s="85">
        <v>45328.0</v>
      </c>
      <c r="E2533" s="86">
        <v>6.99</v>
      </c>
      <c r="F2533" s="87">
        <v>11.01</v>
      </c>
      <c r="G2533" s="88">
        <f t="shared" si="1"/>
        <v>4.02</v>
      </c>
      <c r="H2533" s="89">
        <f t="shared" si="10"/>
        <v>0.3651226158</v>
      </c>
      <c r="I2533" s="78" t="s">
        <v>3136</v>
      </c>
      <c r="J2533" s="78" t="s">
        <v>69</v>
      </c>
      <c r="K2533" s="58">
        <f t="shared" si="3"/>
        <v>477</v>
      </c>
      <c r="L2533" s="91" t="str">
        <f t="shared" si="8"/>
        <v>Tue</v>
      </c>
      <c r="M2533" s="78" t="str">
        <f>IFERROR(VLOOKUP(A2533, Entries!A:B,2,false),"")</f>
        <v>Focus Home Interactive</v>
      </c>
      <c r="N2533" s="23" t="str">
        <f>IFERROR(VLOOKUP(A2533, Entries!A:K,11,false),"")</f>
        <v/>
      </c>
      <c r="O2533" s="23" t="b">
        <f>IFERROR(VLOOKUP(A2533, Entries!A:I,8,false),"")</f>
        <v>0</v>
      </c>
    </row>
    <row r="2534">
      <c r="A2534" s="78" t="s">
        <v>326</v>
      </c>
      <c r="B2534" s="78" t="s">
        <v>25</v>
      </c>
      <c r="C2534" s="85">
        <v>44851.0</v>
      </c>
      <c r="D2534" s="85">
        <v>44960.0</v>
      </c>
      <c r="E2534" s="86">
        <v>5.41</v>
      </c>
      <c r="F2534" s="87">
        <v>8.81</v>
      </c>
      <c r="G2534" s="88">
        <f t="shared" si="1"/>
        <v>3.4</v>
      </c>
      <c r="H2534" s="89">
        <f t="shared" si="10"/>
        <v>0.3859250851</v>
      </c>
      <c r="I2534" s="78" t="s">
        <v>3137</v>
      </c>
      <c r="J2534" s="78" t="s">
        <v>69</v>
      </c>
      <c r="K2534" s="58">
        <f t="shared" si="3"/>
        <v>109</v>
      </c>
      <c r="L2534" s="91" t="str">
        <f t="shared" si="8"/>
        <v>Fri</v>
      </c>
      <c r="M2534" s="78" t="str">
        <f>IFERROR(VLOOKUP(A2534, Entries!A:B,2,false),"")</f>
        <v>Aerosoft</v>
      </c>
      <c r="N2534" s="23" t="str">
        <f>IFERROR(VLOOKUP(A2534, Entries!A:K,11,false),"")</f>
        <v/>
      </c>
      <c r="O2534" s="23" t="b">
        <f>IFERROR(VLOOKUP(A2534, Entries!A:I,8,false),"")</f>
        <v>1</v>
      </c>
    </row>
    <row r="2535">
      <c r="A2535" s="78" t="s">
        <v>2127</v>
      </c>
      <c r="B2535" s="78" t="s">
        <v>27</v>
      </c>
      <c r="C2535" s="85">
        <v>44851.0</v>
      </c>
      <c r="D2535" s="85">
        <v>44851.0</v>
      </c>
      <c r="E2535" s="86">
        <v>25.79</v>
      </c>
      <c r="F2535" s="87">
        <v>33.9</v>
      </c>
      <c r="G2535" s="88">
        <f t="shared" si="1"/>
        <v>8.11</v>
      </c>
      <c r="H2535" s="89">
        <f t="shared" si="10"/>
        <v>0.2392330383</v>
      </c>
      <c r="I2535" s="78" t="s">
        <v>3138</v>
      </c>
      <c r="J2535" s="78" t="s">
        <v>69</v>
      </c>
      <c r="K2535" s="58">
        <f t="shared" si="3"/>
        <v>0</v>
      </c>
      <c r="L2535" s="91" t="str">
        <f t="shared" si="8"/>
        <v>Mon</v>
      </c>
      <c r="M2535" s="78" t="str">
        <f>IFERROR(VLOOKUP(A2535, Entries!A:B,2,false),"")</f>
        <v>Bungie</v>
      </c>
      <c r="N2535" s="23" t="str">
        <f>IFERROR(VLOOKUP(A2535, Entries!A:K,11,false),"")</f>
        <v/>
      </c>
      <c r="O2535" s="23" t="b">
        <f>IFERROR(VLOOKUP(A2535, Entries!A:I,8,false),"")</f>
        <v>1</v>
      </c>
    </row>
    <row r="2536">
      <c r="A2536" s="78" t="s">
        <v>2127</v>
      </c>
      <c r="B2536" s="78" t="s">
        <v>27</v>
      </c>
      <c r="C2536" s="85">
        <v>44851.0</v>
      </c>
      <c r="D2536" s="85">
        <v>44968.0</v>
      </c>
      <c r="E2536" s="86">
        <v>25.79</v>
      </c>
      <c r="F2536" s="87">
        <v>28.03</v>
      </c>
      <c r="G2536" s="88">
        <f t="shared" si="1"/>
        <v>2.24</v>
      </c>
      <c r="H2536" s="89">
        <f t="shared" si="10"/>
        <v>0.07991437745</v>
      </c>
      <c r="I2536" s="78" t="s">
        <v>3139</v>
      </c>
      <c r="J2536" s="78" t="s">
        <v>69</v>
      </c>
      <c r="K2536" s="58">
        <f t="shared" si="3"/>
        <v>117</v>
      </c>
      <c r="L2536" s="91" t="str">
        <f t="shared" si="8"/>
        <v>Sat</v>
      </c>
      <c r="M2536" s="78" t="str">
        <f>IFERROR(VLOOKUP(A2536, Entries!A:B,2,false),"")</f>
        <v>Bungie</v>
      </c>
      <c r="N2536" s="23" t="str">
        <f>IFERROR(VLOOKUP(A2536, Entries!A:K,11,false),"")</f>
        <v/>
      </c>
      <c r="O2536" s="23" t="b">
        <f>IFERROR(VLOOKUP(A2536, Entries!A:I,8,false),"")</f>
        <v>1</v>
      </c>
    </row>
    <row r="2537">
      <c r="A2537" s="78" t="s">
        <v>2127</v>
      </c>
      <c r="B2537" s="78" t="s">
        <v>27</v>
      </c>
      <c r="C2537" s="85">
        <v>44851.0</v>
      </c>
      <c r="D2537" s="85">
        <v>44968.0</v>
      </c>
      <c r="E2537" s="86">
        <v>25.79</v>
      </c>
      <c r="F2537" s="87">
        <v>28.03</v>
      </c>
      <c r="G2537" s="88">
        <f t="shared" si="1"/>
        <v>2.24</v>
      </c>
      <c r="H2537" s="89">
        <f t="shared" si="10"/>
        <v>0.07991437745</v>
      </c>
      <c r="I2537" s="78" t="s">
        <v>3140</v>
      </c>
      <c r="J2537" s="78" t="s">
        <v>69</v>
      </c>
      <c r="K2537" s="58">
        <f t="shared" si="3"/>
        <v>117</v>
      </c>
      <c r="L2537" s="91" t="str">
        <f t="shared" si="8"/>
        <v>Sat</v>
      </c>
      <c r="M2537" s="78" t="str">
        <f>IFERROR(VLOOKUP(A2537, Entries!A:B,2,false),"")</f>
        <v>Bungie</v>
      </c>
      <c r="N2537" s="23" t="str">
        <f>IFERROR(VLOOKUP(A2537, Entries!A:K,11,false),"")</f>
        <v/>
      </c>
      <c r="O2537" s="23" t="b">
        <f>IFERROR(VLOOKUP(A2537, Entries!A:I,8,false),"")</f>
        <v>1</v>
      </c>
    </row>
    <row r="2538">
      <c r="A2538" s="78" t="s">
        <v>2127</v>
      </c>
      <c r="B2538" s="78" t="s">
        <v>27</v>
      </c>
      <c r="C2538" s="85">
        <v>44851.0</v>
      </c>
      <c r="D2538" s="85">
        <v>44968.0</v>
      </c>
      <c r="E2538" s="86">
        <v>25.79</v>
      </c>
      <c r="F2538" s="87">
        <v>29.76</v>
      </c>
      <c r="G2538" s="88">
        <f t="shared" si="1"/>
        <v>3.97</v>
      </c>
      <c r="H2538" s="89">
        <f t="shared" si="10"/>
        <v>0.1334005376</v>
      </c>
      <c r="I2538" s="78" t="s">
        <v>3141</v>
      </c>
      <c r="J2538" s="78" t="s">
        <v>69</v>
      </c>
      <c r="K2538" s="58">
        <f t="shared" si="3"/>
        <v>117</v>
      </c>
      <c r="L2538" s="91" t="str">
        <f t="shared" si="8"/>
        <v>Sat</v>
      </c>
      <c r="M2538" s="78" t="str">
        <f>IFERROR(VLOOKUP(A2538, Entries!A:B,2,false),"")</f>
        <v>Bungie</v>
      </c>
      <c r="N2538" s="23" t="str">
        <f>IFERROR(VLOOKUP(A2538, Entries!A:K,11,false),"")</f>
        <v/>
      </c>
      <c r="O2538" s="23" t="b">
        <f>IFERROR(VLOOKUP(A2538, Entries!A:I,8,false),"")</f>
        <v>1</v>
      </c>
    </row>
    <row r="2539">
      <c r="A2539" s="78" t="s">
        <v>2051</v>
      </c>
      <c r="B2539" s="78" t="s">
        <v>18</v>
      </c>
      <c r="C2539" s="85">
        <v>44852.0</v>
      </c>
      <c r="D2539" s="85">
        <v>44973.0</v>
      </c>
      <c r="E2539" s="86">
        <v>9.03</v>
      </c>
      <c r="F2539" s="87">
        <v>11.86</v>
      </c>
      <c r="G2539" s="88">
        <f t="shared" si="1"/>
        <v>2.83</v>
      </c>
      <c r="H2539" s="89">
        <f t="shared" si="10"/>
        <v>0.2386172007</v>
      </c>
      <c r="I2539" s="78" t="s">
        <v>3142</v>
      </c>
      <c r="J2539" s="78" t="s">
        <v>69</v>
      </c>
      <c r="K2539" s="58">
        <f t="shared" si="3"/>
        <v>121</v>
      </c>
      <c r="L2539" s="91" t="str">
        <f t="shared" si="8"/>
        <v>Thu</v>
      </c>
      <c r="M2539" s="78" t="str">
        <f>IFERROR(VLOOKUP(A2539, Entries!A:B,2,false),"")</f>
        <v>Nacon</v>
      </c>
      <c r="N2539" s="23" t="str">
        <f>IFERROR(VLOOKUP(A2539, Entries!A:K,11,false),"")</f>
        <v/>
      </c>
      <c r="O2539" s="23" t="b">
        <f>IFERROR(VLOOKUP(A2539, Entries!A:I,8,false),"")</f>
        <v>0</v>
      </c>
    </row>
    <row r="2540">
      <c r="A2540" s="78" t="s">
        <v>2051</v>
      </c>
      <c r="B2540" s="78" t="s">
        <v>18</v>
      </c>
      <c r="C2540" s="85">
        <v>44852.0</v>
      </c>
      <c r="D2540" s="85">
        <v>45168.0</v>
      </c>
      <c r="E2540" s="86">
        <v>9.03</v>
      </c>
      <c r="F2540" s="87">
        <v>12.26</v>
      </c>
      <c r="G2540" s="88">
        <f t="shared" si="1"/>
        <v>3.23</v>
      </c>
      <c r="H2540" s="89">
        <f t="shared" si="10"/>
        <v>0.2634584013</v>
      </c>
      <c r="I2540" s="78" t="s">
        <v>3143</v>
      </c>
      <c r="J2540" s="78" t="s">
        <v>69</v>
      </c>
      <c r="K2540" s="58">
        <f t="shared" si="3"/>
        <v>316</v>
      </c>
      <c r="L2540" s="91" t="str">
        <f t="shared" si="8"/>
        <v>Wed</v>
      </c>
      <c r="M2540" s="78" t="str">
        <f>IFERROR(VLOOKUP(A2540, Entries!A:B,2,false),"")</f>
        <v>Nacon</v>
      </c>
      <c r="N2540" s="23" t="str">
        <f>IFERROR(VLOOKUP(A2540, Entries!A:K,11,false),"")</f>
        <v/>
      </c>
      <c r="O2540" s="23" t="b">
        <f>IFERROR(VLOOKUP(A2540, Entries!A:I,8,false),"")</f>
        <v>0</v>
      </c>
    </row>
    <row r="2541">
      <c r="A2541" s="78" t="s">
        <v>3144</v>
      </c>
      <c r="B2541" s="78" t="s">
        <v>27</v>
      </c>
      <c r="C2541" s="85">
        <v>44856.0</v>
      </c>
      <c r="D2541" s="85">
        <v>44858.0</v>
      </c>
      <c r="E2541" s="86">
        <v>21.09</v>
      </c>
      <c r="F2541" s="87">
        <v>23.2</v>
      </c>
      <c r="G2541" s="88">
        <f t="shared" si="1"/>
        <v>2.11</v>
      </c>
      <c r="H2541" s="89">
        <f t="shared" si="10"/>
        <v>0.09094827586</v>
      </c>
      <c r="I2541" s="78" t="s">
        <v>3145</v>
      </c>
      <c r="J2541" s="78" t="s">
        <v>69</v>
      </c>
      <c r="K2541" s="58">
        <f t="shared" si="3"/>
        <v>2</v>
      </c>
      <c r="L2541" s="91" t="str">
        <f t="shared" si="8"/>
        <v>Mon</v>
      </c>
      <c r="M2541" s="78" t="str">
        <f>IFERROR(VLOOKUP(A2541, Entries!A:B,2,false),"")</f>
        <v>Bethesda Softworks</v>
      </c>
      <c r="N2541" s="23" t="str">
        <f>IFERROR(VLOOKUP(A2541, Entries!A:K,11,false),"")</f>
        <v/>
      </c>
      <c r="O2541" s="23" t="b">
        <f>IFERROR(VLOOKUP(A2541, Entries!A:I,8,false),"")</f>
        <v>0</v>
      </c>
    </row>
    <row r="2542">
      <c r="A2542" s="78" t="s">
        <v>1213</v>
      </c>
      <c r="B2542" s="78" t="s">
        <v>25</v>
      </c>
      <c r="C2542" s="85">
        <v>44857.0</v>
      </c>
      <c r="D2542" s="85">
        <v>45783.0</v>
      </c>
      <c r="E2542" s="86">
        <v>18.04</v>
      </c>
      <c r="F2542" s="87">
        <v>19.65</v>
      </c>
      <c r="G2542" s="88">
        <f t="shared" si="1"/>
        <v>1.61</v>
      </c>
      <c r="H2542" s="89">
        <f t="shared" si="10"/>
        <v>0.08193384224</v>
      </c>
      <c r="I2542" s="103" t="s">
        <v>3146</v>
      </c>
      <c r="J2542" s="78" t="s">
        <v>69</v>
      </c>
      <c r="K2542" s="58">
        <f t="shared" si="3"/>
        <v>926</v>
      </c>
      <c r="L2542" s="91" t="str">
        <f t="shared" si="8"/>
        <v>Tue</v>
      </c>
      <c r="M2542" s="78" t="str">
        <f>IFERROR(VLOOKUP(A2542, Entries!A:B,2,false),"")</f>
        <v>SadSquare Studio</v>
      </c>
      <c r="N2542" s="23" t="str">
        <f>IFERROR(VLOOKUP(A2542, Entries!A:K,11,false),"")</f>
        <v/>
      </c>
      <c r="O2542" s="23" t="b">
        <f>IFERROR(VLOOKUP(A2542, Entries!A:I,8,false),"")</f>
        <v>1</v>
      </c>
    </row>
    <row r="2543">
      <c r="A2543" s="78" t="s">
        <v>2066</v>
      </c>
      <c r="B2543" s="78" t="s">
        <v>27</v>
      </c>
      <c r="C2543" s="85">
        <v>44857.0</v>
      </c>
      <c r="D2543" s="85">
        <v>44900.0</v>
      </c>
      <c r="E2543" s="86">
        <v>9.39</v>
      </c>
      <c r="F2543" s="87">
        <v>10.72</v>
      </c>
      <c r="G2543" s="88">
        <f t="shared" si="1"/>
        <v>1.33</v>
      </c>
      <c r="H2543" s="89">
        <f t="shared" si="10"/>
        <v>0.1240671642</v>
      </c>
      <c r="I2543" s="78" t="s">
        <v>3147</v>
      </c>
      <c r="J2543" s="78" t="s">
        <v>69</v>
      </c>
      <c r="K2543" s="58">
        <f t="shared" si="3"/>
        <v>43</v>
      </c>
      <c r="L2543" s="91" t="str">
        <f t="shared" si="8"/>
        <v>Mon</v>
      </c>
      <c r="M2543" s="78" t="str">
        <f>IFERROR(VLOOKUP(A2543, Entries!A:B,2,false),"")</f>
        <v>Annapurna Interactive</v>
      </c>
      <c r="N2543" s="23" t="str">
        <f>IFERROR(VLOOKUP(A2543, Entries!A:K,11,false),"")</f>
        <v/>
      </c>
      <c r="O2543" s="23" t="b">
        <f>IFERROR(VLOOKUP(A2543, Entries!A:I,8,false),"")</f>
        <v>0</v>
      </c>
    </row>
    <row r="2544">
      <c r="A2544" s="78" t="s">
        <v>3144</v>
      </c>
      <c r="B2544" s="78" t="s">
        <v>27</v>
      </c>
      <c r="C2544" s="85">
        <v>44858.0</v>
      </c>
      <c r="D2544" s="85">
        <v>44858.0</v>
      </c>
      <c r="E2544" s="86">
        <v>21.09</v>
      </c>
      <c r="F2544" s="87">
        <v>23.2</v>
      </c>
      <c r="G2544" s="88">
        <f t="shared" si="1"/>
        <v>2.11</v>
      </c>
      <c r="H2544" s="89">
        <f t="shared" si="10"/>
        <v>0.09094827586</v>
      </c>
      <c r="I2544" s="78" t="s">
        <v>3148</v>
      </c>
      <c r="J2544" s="78" t="s">
        <v>69</v>
      </c>
      <c r="K2544" s="58">
        <f t="shared" si="3"/>
        <v>0</v>
      </c>
      <c r="L2544" s="91" t="str">
        <f t="shared" si="8"/>
        <v>Mon</v>
      </c>
      <c r="M2544" s="78" t="str">
        <f>IFERROR(VLOOKUP(A2544, Entries!A:B,2,false),"")</f>
        <v>Bethesda Softworks</v>
      </c>
      <c r="N2544" s="23" t="str">
        <f>IFERROR(VLOOKUP(A2544, Entries!A:K,11,false),"")</f>
        <v/>
      </c>
      <c r="O2544" s="23" t="b">
        <f>IFERROR(VLOOKUP(A2544, Entries!A:I,8,false),"")</f>
        <v>0</v>
      </c>
    </row>
    <row r="2545">
      <c r="A2545" s="78" t="s">
        <v>974</v>
      </c>
      <c r="B2545" s="78" t="s">
        <v>33</v>
      </c>
      <c r="C2545" s="85">
        <v>44858.0</v>
      </c>
      <c r="D2545" s="85">
        <v>44982.0</v>
      </c>
      <c r="E2545" s="86">
        <v>7.65</v>
      </c>
      <c r="F2545" s="87">
        <v>9.48</v>
      </c>
      <c r="G2545" s="88">
        <f t="shared" si="1"/>
        <v>1.83</v>
      </c>
      <c r="H2545" s="89">
        <f t="shared" si="10"/>
        <v>0.1930379747</v>
      </c>
      <c r="I2545" s="78" t="s">
        <v>3149</v>
      </c>
      <c r="J2545" s="78" t="s">
        <v>69</v>
      </c>
      <c r="K2545" s="58">
        <f t="shared" si="3"/>
        <v>124</v>
      </c>
      <c r="L2545" s="91" t="str">
        <f t="shared" si="8"/>
        <v>Sat</v>
      </c>
      <c r="M2545" s="78" t="str">
        <f>IFERROR(VLOOKUP(A2545, Entries!A:B,2,false),"")</f>
        <v>Anvil Game Studios</v>
      </c>
      <c r="N2545" s="23" t="str">
        <f>IFERROR(VLOOKUP(A2545, Entries!A:K,11,false),"")</f>
        <v/>
      </c>
      <c r="O2545" s="23" t="b">
        <f>IFERROR(VLOOKUP(A2545, Entries!A:I,8,false),"")</f>
        <v>1</v>
      </c>
    </row>
    <row r="2546">
      <c r="A2546" s="78" t="s">
        <v>163</v>
      </c>
      <c r="B2546" s="78" t="s">
        <v>22</v>
      </c>
      <c r="C2546" s="85">
        <v>44858.0</v>
      </c>
      <c r="D2546" s="85">
        <v>44859.0</v>
      </c>
      <c r="E2546" s="86">
        <v>2.74</v>
      </c>
      <c r="F2546" s="87">
        <v>8.16</v>
      </c>
      <c r="G2546" s="88">
        <f t="shared" si="1"/>
        <v>5.42</v>
      </c>
      <c r="H2546" s="89">
        <f t="shared" si="10"/>
        <v>0.6642156863</v>
      </c>
      <c r="I2546" s="78" t="s">
        <v>3150</v>
      </c>
      <c r="J2546" s="78" t="s">
        <v>69</v>
      </c>
      <c r="K2546" s="58">
        <f t="shared" si="3"/>
        <v>1</v>
      </c>
      <c r="L2546" s="91" t="str">
        <f t="shared" si="8"/>
        <v>Tue</v>
      </c>
      <c r="M2546" s="78" t="str">
        <f>IFERROR(VLOOKUP(A2546, Entries!A:B,2,false),"")</f>
        <v>Square Enix</v>
      </c>
      <c r="N2546" s="23" t="str">
        <f>IFERROR(VLOOKUP(A2546, Entries!A:K,11,false),"")</f>
        <v/>
      </c>
      <c r="O2546" s="23" t="b">
        <f>IFERROR(VLOOKUP(A2546, Entries!A:I,8,false),"")</f>
        <v>0</v>
      </c>
    </row>
    <row r="2547">
      <c r="A2547" s="78" t="s">
        <v>163</v>
      </c>
      <c r="B2547" s="78" t="s">
        <v>22</v>
      </c>
      <c r="C2547" s="85">
        <v>44858.0</v>
      </c>
      <c r="D2547" s="85">
        <v>44861.0</v>
      </c>
      <c r="E2547" s="86">
        <v>2.74</v>
      </c>
      <c r="F2547" s="87">
        <v>6.61</v>
      </c>
      <c r="G2547" s="88">
        <f t="shared" si="1"/>
        <v>3.87</v>
      </c>
      <c r="H2547" s="89">
        <f t="shared" si="10"/>
        <v>0.5854765507</v>
      </c>
      <c r="I2547" s="78" t="s">
        <v>3151</v>
      </c>
      <c r="J2547" s="78" t="s">
        <v>69</v>
      </c>
      <c r="K2547" s="58">
        <f t="shared" si="3"/>
        <v>3</v>
      </c>
      <c r="L2547" s="91" t="str">
        <f t="shared" si="8"/>
        <v>Thu</v>
      </c>
      <c r="M2547" s="78" t="str">
        <f>IFERROR(VLOOKUP(A2547, Entries!A:B,2,false),"")</f>
        <v>Square Enix</v>
      </c>
      <c r="N2547" s="23" t="str">
        <f>IFERROR(VLOOKUP(A2547, Entries!A:K,11,false),"")</f>
        <v/>
      </c>
      <c r="O2547" s="23" t="b">
        <f>IFERROR(VLOOKUP(A2547, Entries!A:I,8,false),"")</f>
        <v>0</v>
      </c>
    </row>
    <row r="2548">
      <c r="A2548" s="78" t="s">
        <v>3144</v>
      </c>
      <c r="B2548" s="78" t="s">
        <v>27</v>
      </c>
      <c r="C2548" s="85">
        <v>44858.0</v>
      </c>
      <c r="D2548" s="85">
        <v>44860.0</v>
      </c>
      <c r="E2548" s="86">
        <v>21.09</v>
      </c>
      <c r="F2548" s="87">
        <v>22.01</v>
      </c>
      <c r="G2548" s="88">
        <f t="shared" si="1"/>
        <v>0.92</v>
      </c>
      <c r="H2548" s="89">
        <f t="shared" si="10"/>
        <v>0.04179918219</v>
      </c>
      <c r="I2548" s="78" t="s">
        <v>3152</v>
      </c>
      <c r="J2548" s="78" t="s">
        <v>69</v>
      </c>
      <c r="K2548" s="58">
        <f t="shared" si="3"/>
        <v>2</v>
      </c>
      <c r="L2548" s="91" t="str">
        <f t="shared" si="8"/>
        <v>Wed</v>
      </c>
      <c r="M2548" s="78" t="str">
        <f>IFERROR(VLOOKUP(A2548, Entries!A:B,2,false),"")</f>
        <v>Bethesda Softworks</v>
      </c>
      <c r="N2548" s="23" t="str">
        <f>IFERROR(VLOOKUP(A2548, Entries!A:K,11,false),"")</f>
        <v/>
      </c>
      <c r="O2548" s="23" t="b">
        <f>IFERROR(VLOOKUP(A2548, Entries!A:I,8,false),"")</f>
        <v>0</v>
      </c>
    </row>
    <row r="2549">
      <c r="A2549" s="78" t="s">
        <v>1849</v>
      </c>
      <c r="B2549" s="78" t="s">
        <v>19</v>
      </c>
      <c r="C2549" s="85">
        <v>44860.0</v>
      </c>
      <c r="D2549" s="85">
        <v>44878.0</v>
      </c>
      <c r="E2549" s="86">
        <v>5.86</v>
      </c>
      <c r="F2549" s="87">
        <v>10.79</v>
      </c>
      <c r="G2549" s="88">
        <f t="shared" si="1"/>
        <v>4.93</v>
      </c>
      <c r="H2549" s="89">
        <f t="shared" si="10"/>
        <v>0.4569045412</v>
      </c>
      <c r="I2549" s="78" t="s">
        <v>3153</v>
      </c>
      <c r="J2549" s="78" t="s">
        <v>69</v>
      </c>
      <c r="K2549" s="58">
        <f t="shared" si="3"/>
        <v>18</v>
      </c>
      <c r="L2549" s="91" t="str">
        <f t="shared" si="8"/>
        <v>Sun</v>
      </c>
      <c r="M2549" s="78" t="str">
        <f>IFERROR(VLOOKUP(A2549, Entries!A:B,2,false),"")</f>
        <v>Marmalade Game Studio</v>
      </c>
      <c r="N2549" s="23" t="str">
        <f>IFERROR(VLOOKUP(A2549, Entries!A:K,11,false),"")</f>
        <v/>
      </c>
      <c r="O2549" s="23" t="b">
        <f>IFERROR(VLOOKUP(A2549, Entries!A:I,8,false),"")</f>
        <v>0</v>
      </c>
    </row>
    <row r="2550">
      <c r="A2550" s="78" t="s">
        <v>2016</v>
      </c>
      <c r="B2550" s="78" t="s">
        <v>19</v>
      </c>
      <c r="C2550" s="85">
        <v>44860.0</v>
      </c>
      <c r="D2550" s="85">
        <v>44876.0</v>
      </c>
      <c r="E2550" s="86">
        <v>4.88</v>
      </c>
      <c r="F2550" s="87">
        <v>6.25</v>
      </c>
      <c r="G2550" s="88">
        <f t="shared" si="1"/>
        <v>1.37</v>
      </c>
      <c r="H2550" s="89">
        <f t="shared" si="10"/>
        <v>0.2192</v>
      </c>
      <c r="I2550" s="78" t="s">
        <v>3154</v>
      </c>
      <c r="J2550" s="78" t="s">
        <v>69</v>
      </c>
      <c r="K2550" s="58">
        <f t="shared" si="3"/>
        <v>16</v>
      </c>
      <c r="L2550" s="91" t="str">
        <f t="shared" si="8"/>
        <v>Fri</v>
      </c>
      <c r="M2550" s="78" t="str">
        <f>IFERROR(VLOOKUP(A2550, Entries!A:B,2,false),"")</f>
        <v>Ironhide Game Studio</v>
      </c>
      <c r="N2550" s="23" t="str">
        <f>IFERROR(VLOOKUP(A2550, Entries!A:K,11,false),"")</f>
        <v/>
      </c>
      <c r="O2550" s="23" t="b">
        <f>IFERROR(VLOOKUP(A2550, Entries!A:I,8,false),"")</f>
        <v>1</v>
      </c>
    </row>
    <row r="2551">
      <c r="A2551" s="78" t="s">
        <v>163</v>
      </c>
      <c r="B2551" s="78" t="s">
        <v>22</v>
      </c>
      <c r="C2551" s="85">
        <v>44861.0</v>
      </c>
      <c r="D2551" s="85">
        <v>44868.0</v>
      </c>
      <c r="E2551" s="86">
        <v>2.67</v>
      </c>
      <c r="F2551" s="87">
        <v>5.6</v>
      </c>
      <c r="G2551" s="88">
        <f t="shared" si="1"/>
        <v>2.93</v>
      </c>
      <c r="H2551" s="89">
        <f t="shared" si="10"/>
        <v>0.5232142857</v>
      </c>
      <c r="I2551" s="78" t="s">
        <v>3155</v>
      </c>
      <c r="J2551" s="78" t="s">
        <v>69</v>
      </c>
      <c r="K2551" s="58">
        <f t="shared" si="3"/>
        <v>7</v>
      </c>
      <c r="L2551" s="91" t="str">
        <f t="shared" si="8"/>
        <v>Thu</v>
      </c>
      <c r="M2551" s="78" t="str">
        <f>IFERROR(VLOOKUP(A2551, Entries!A:B,2,false),"")</f>
        <v>Square Enix</v>
      </c>
      <c r="N2551" s="23" t="str">
        <f>IFERROR(VLOOKUP(A2551, Entries!A:K,11,false),"")</f>
        <v/>
      </c>
      <c r="O2551" s="23" t="b">
        <f>IFERROR(VLOOKUP(A2551, Entries!A:I,8,false),"")</f>
        <v>0</v>
      </c>
    </row>
    <row r="2552">
      <c r="A2552" s="78" t="s">
        <v>163</v>
      </c>
      <c r="B2552" s="78" t="s">
        <v>22</v>
      </c>
      <c r="C2552" s="85">
        <v>44861.0</v>
      </c>
      <c r="D2552" s="85">
        <v>44869.0</v>
      </c>
      <c r="E2552" s="86">
        <v>2.67</v>
      </c>
      <c r="F2552" s="87">
        <v>5.39</v>
      </c>
      <c r="G2552" s="88">
        <f t="shared" si="1"/>
        <v>2.72</v>
      </c>
      <c r="H2552" s="89">
        <f t="shared" si="10"/>
        <v>0.5046382189</v>
      </c>
      <c r="I2552" s="78" t="s">
        <v>3156</v>
      </c>
      <c r="J2552" s="78" t="s">
        <v>69</v>
      </c>
      <c r="K2552" s="58">
        <f t="shared" si="3"/>
        <v>8</v>
      </c>
      <c r="L2552" s="91" t="str">
        <f t="shared" si="8"/>
        <v>Fri</v>
      </c>
      <c r="M2552" s="78" t="str">
        <f>IFERROR(VLOOKUP(A2552, Entries!A:B,2,false),"")</f>
        <v>Square Enix</v>
      </c>
      <c r="N2552" s="23" t="str">
        <f>IFERROR(VLOOKUP(A2552, Entries!A:K,11,false),"")</f>
        <v/>
      </c>
      <c r="O2552" s="23" t="b">
        <f>IFERROR(VLOOKUP(A2552, Entries!A:I,8,false),"")</f>
        <v>0</v>
      </c>
    </row>
    <row r="2553">
      <c r="A2553" s="78" t="s">
        <v>375</v>
      </c>
      <c r="B2553" s="78" t="s">
        <v>19</v>
      </c>
      <c r="C2553" s="85">
        <v>44866.0</v>
      </c>
      <c r="D2553" s="85">
        <v>44899.0</v>
      </c>
      <c r="E2553" s="86">
        <v>8.41</v>
      </c>
      <c r="F2553" s="87">
        <v>8.48</v>
      </c>
      <c r="G2553" s="88">
        <f t="shared" si="1"/>
        <v>0.07</v>
      </c>
      <c r="H2553" s="89">
        <f t="shared" si="10"/>
        <v>0.008254716981</v>
      </c>
      <c r="I2553" s="78" t="s">
        <v>3157</v>
      </c>
      <c r="J2553" s="78" t="s">
        <v>69</v>
      </c>
      <c r="K2553" s="58">
        <f t="shared" si="3"/>
        <v>33</v>
      </c>
      <c r="L2553" s="91" t="str">
        <f t="shared" si="8"/>
        <v>Sun</v>
      </c>
      <c r="M2553" s="78" t="str">
        <f>IFERROR(VLOOKUP(A2553, Entries!A:B,2,false),"")</f>
        <v>Survios</v>
      </c>
      <c r="N2553" s="23" t="str">
        <f>IFERROR(VLOOKUP(A2553, Entries!A:K,11,false),"")</f>
        <v/>
      </c>
      <c r="O2553" s="23" t="b">
        <f>IFERROR(VLOOKUP(A2553, Entries!A:I,8,false),"")</f>
        <v>1</v>
      </c>
    </row>
    <row r="2554">
      <c r="A2554" s="78" t="s">
        <v>2611</v>
      </c>
      <c r="B2554" s="78" t="s">
        <v>25</v>
      </c>
      <c r="C2554" s="85">
        <v>44868.0</v>
      </c>
      <c r="D2554" s="85">
        <v>44871.0</v>
      </c>
      <c r="E2554" s="86">
        <v>11.73</v>
      </c>
      <c r="F2554" s="87">
        <v>13.33</v>
      </c>
      <c r="G2554" s="88">
        <f t="shared" si="1"/>
        <v>1.6</v>
      </c>
      <c r="H2554" s="89">
        <f t="shared" si="10"/>
        <v>0.1200300075</v>
      </c>
      <c r="I2554" s="78" t="s">
        <v>3158</v>
      </c>
      <c r="J2554" s="78" t="s">
        <v>69</v>
      </c>
      <c r="K2554" s="58">
        <f t="shared" si="3"/>
        <v>3</v>
      </c>
      <c r="L2554" s="91" t="str">
        <f t="shared" si="8"/>
        <v>Sun</v>
      </c>
      <c r="M2554" s="78" t="str">
        <f>IFERROR(VLOOKUP(A2554, Entries!A:B,2,false),"")</f>
        <v>Ninja Kiwi</v>
      </c>
      <c r="N2554" s="23" t="str">
        <f>IFERROR(VLOOKUP(A2554, Entries!A:K,11,false),"")</f>
        <v/>
      </c>
      <c r="O2554" s="23" t="b">
        <f>IFERROR(VLOOKUP(A2554, Entries!A:I,8,false),"")</f>
        <v>0</v>
      </c>
    </row>
    <row r="2555">
      <c r="A2555" s="78" t="s">
        <v>2611</v>
      </c>
      <c r="B2555" s="78" t="s">
        <v>22</v>
      </c>
      <c r="C2555" s="85">
        <v>44871.0</v>
      </c>
      <c r="D2555" s="85">
        <v>44872.0</v>
      </c>
      <c r="E2555" s="86">
        <v>12.7</v>
      </c>
      <c r="F2555" s="87">
        <v>20.93</v>
      </c>
      <c r="G2555" s="88">
        <f t="shared" si="1"/>
        <v>8.23</v>
      </c>
      <c r="H2555" s="89">
        <f t="shared" si="10"/>
        <v>0.3932154802</v>
      </c>
      <c r="I2555" s="78" t="s">
        <v>3159</v>
      </c>
      <c r="J2555" s="78" t="s">
        <v>69</v>
      </c>
      <c r="K2555" s="58">
        <f t="shared" si="3"/>
        <v>1</v>
      </c>
      <c r="L2555" s="91" t="str">
        <f t="shared" si="8"/>
        <v>Mon</v>
      </c>
      <c r="M2555" s="78" t="str">
        <f>IFERROR(VLOOKUP(A2555, Entries!A:B,2,false),"")</f>
        <v>Ninja Kiwi</v>
      </c>
      <c r="N2555" s="23" t="str">
        <f>IFERROR(VLOOKUP(A2555, Entries!A:K,11,false),"")</f>
        <v/>
      </c>
      <c r="O2555" s="23" t="b">
        <f>IFERROR(VLOOKUP(A2555, Entries!A:I,8,false),"")</f>
        <v>0</v>
      </c>
    </row>
    <row r="2556">
      <c r="A2556" s="78" t="s">
        <v>2611</v>
      </c>
      <c r="B2556" s="78" t="s">
        <v>22</v>
      </c>
      <c r="C2556" s="85">
        <v>44871.0</v>
      </c>
      <c r="D2556" s="85">
        <v>44872.0</v>
      </c>
      <c r="E2556" s="86">
        <v>12.7</v>
      </c>
      <c r="F2556" s="87">
        <v>20.93</v>
      </c>
      <c r="G2556" s="88">
        <f t="shared" si="1"/>
        <v>8.23</v>
      </c>
      <c r="H2556" s="89">
        <f t="shared" si="10"/>
        <v>0.3932154802</v>
      </c>
      <c r="I2556" s="78" t="s">
        <v>3160</v>
      </c>
      <c r="J2556" s="78" t="s">
        <v>69</v>
      </c>
      <c r="K2556" s="58">
        <f t="shared" si="3"/>
        <v>1</v>
      </c>
      <c r="L2556" s="91" t="str">
        <f t="shared" si="8"/>
        <v>Mon</v>
      </c>
      <c r="M2556" s="78" t="str">
        <f>IFERROR(VLOOKUP(A2556, Entries!A:B,2,false),"")</f>
        <v>Ninja Kiwi</v>
      </c>
      <c r="N2556" s="23" t="str">
        <f>IFERROR(VLOOKUP(A2556, Entries!A:K,11,false),"")</f>
        <v/>
      </c>
      <c r="O2556" s="23" t="b">
        <f>IFERROR(VLOOKUP(A2556, Entries!A:I,8,false),"")</f>
        <v>0</v>
      </c>
    </row>
    <row r="2557">
      <c r="A2557" s="78" t="s">
        <v>1676</v>
      </c>
      <c r="B2557" s="78" t="s">
        <v>27</v>
      </c>
      <c r="C2557" s="85">
        <v>44872.0</v>
      </c>
      <c r="D2557" s="85">
        <v>44873.0</v>
      </c>
      <c r="E2557" s="86">
        <v>16.47</v>
      </c>
      <c r="F2557" s="87">
        <v>19.63</v>
      </c>
      <c r="G2557" s="88">
        <f t="shared" si="1"/>
        <v>3.16</v>
      </c>
      <c r="H2557" s="89">
        <f t="shared" si="10"/>
        <v>0.1609780948</v>
      </c>
      <c r="I2557" s="78" t="s">
        <v>3161</v>
      </c>
      <c r="J2557" s="78" t="s">
        <v>69</v>
      </c>
      <c r="K2557" s="58">
        <f t="shared" si="3"/>
        <v>1</v>
      </c>
      <c r="L2557" s="91" t="str">
        <f t="shared" si="8"/>
        <v>Tue</v>
      </c>
      <c r="M2557" s="78" t="str">
        <f>IFERROR(VLOOKUP(A2557, Entries!A:B,2,false),"")</f>
        <v>Focus Home Interactive</v>
      </c>
      <c r="N2557" s="23" t="str">
        <f>IFERROR(VLOOKUP(A2557, Entries!A:K,11,false),"")</f>
        <v/>
      </c>
      <c r="O2557" s="23" t="b">
        <f>IFERROR(VLOOKUP(A2557, Entries!A:I,8,false),"")</f>
        <v>0</v>
      </c>
    </row>
    <row r="2558">
      <c r="A2558" s="78" t="s">
        <v>2611</v>
      </c>
      <c r="B2558" s="78" t="s">
        <v>22</v>
      </c>
      <c r="C2558" s="85">
        <v>44872.0</v>
      </c>
      <c r="D2558" s="85">
        <v>44873.0</v>
      </c>
      <c r="E2558" s="86">
        <v>12.7</v>
      </c>
      <c r="F2558" s="87">
        <v>21.0</v>
      </c>
      <c r="G2558" s="88">
        <f t="shared" si="1"/>
        <v>8.3</v>
      </c>
      <c r="H2558" s="89">
        <f t="shared" si="10"/>
        <v>0.3952380952</v>
      </c>
      <c r="I2558" s="78" t="s">
        <v>3162</v>
      </c>
      <c r="J2558" s="78" t="s">
        <v>69</v>
      </c>
      <c r="K2558" s="58">
        <f t="shared" si="3"/>
        <v>1</v>
      </c>
      <c r="L2558" s="91" t="str">
        <f t="shared" si="8"/>
        <v>Tue</v>
      </c>
      <c r="M2558" s="78" t="str">
        <f>IFERROR(VLOOKUP(A2558, Entries!A:B,2,false),"")</f>
        <v>Ninja Kiwi</v>
      </c>
      <c r="N2558" s="23" t="str">
        <f>IFERROR(VLOOKUP(A2558, Entries!A:K,11,false),"")</f>
        <v/>
      </c>
      <c r="O2558" s="23" t="b">
        <f>IFERROR(VLOOKUP(A2558, Entries!A:I,8,false),"")</f>
        <v>0</v>
      </c>
    </row>
    <row r="2559">
      <c r="A2559" s="78" t="s">
        <v>2611</v>
      </c>
      <c r="B2559" s="78" t="s">
        <v>22</v>
      </c>
      <c r="C2559" s="85">
        <v>44872.0</v>
      </c>
      <c r="D2559" s="85">
        <v>44873.0</v>
      </c>
      <c r="E2559" s="86">
        <v>12.7</v>
      </c>
      <c r="F2559" s="87">
        <v>21.0</v>
      </c>
      <c r="G2559" s="88">
        <f t="shared" si="1"/>
        <v>8.3</v>
      </c>
      <c r="H2559" s="89">
        <f t="shared" si="10"/>
        <v>0.3952380952</v>
      </c>
      <c r="I2559" s="78" t="s">
        <v>3163</v>
      </c>
      <c r="J2559" s="78" t="s">
        <v>69</v>
      </c>
      <c r="K2559" s="58">
        <f t="shared" si="3"/>
        <v>1</v>
      </c>
      <c r="L2559" s="91" t="str">
        <f t="shared" si="8"/>
        <v>Tue</v>
      </c>
      <c r="M2559" s="78" t="str">
        <f>IFERROR(VLOOKUP(A2559, Entries!A:B,2,false),"")</f>
        <v>Ninja Kiwi</v>
      </c>
      <c r="N2559" s="23" t="str">
        <f>IFERROR(VLOOKUP(A2559, Entries!A:K,11,false),"")</f>
        <v/>
      </c>
      <c r="O2559" s="23" t="b">
        <f>IFERROR(VLOOKUP(A2559, Entries!A:I,8,false),"")</f>
        <v>0</v>
      </c>
    </row>
    <row r="2560">
      <c r="A2560" s="78" t="s">
        <v>2611</v>
      </c>
      <c r="B2560" s="78" t="s">
        <v>22</v>
      </c>
      <c r="C2560" s="85">
        <v>44873.0</v>
      </c>
      <c r="D2560" s="85">
        <v>44877.0</v>
      </c>
      <c r="E2560" s="86">
        <v>12.51</v>
      </c>
      <c r="F2560" s="87">
        <v>21.0</v>
      </c>
      <c r="G2560" s="88">
        <f t="shared" si="1"/>
        <v>8.49</v>
      </c>
      <c r="H2560" s="89">
        <f t="shared" si="10"/>
        <v>0.4042857143</v>
      </c>
      <c r="I2560" s="78" t="s">
        <v>3164</v>
      </c>
      <c r="J2560" s="78" t="s">
        <v>69</v>
      </c>
      <c r="K2560" s="58">
        <f t="shared" si="3"/>
        <v>4</v>
      </c>
      <c r="L2560" s="91" t="str">
        <f t="shared" si="8"/>
        <v>Sat</v>
      </c>
      <c r="M2560" s="78" t="str">
        <f>IFERROR(VLOOKUP(A2560, Entries!A:B,2,false),"")</f>
        <v>Ninja Kiwi</v>
      </c>
      <c r="N2560" s="23" t="str">
        <f>IFERROR(VLOOKUP(A2560, Entries!A:K,11,false),"")</f>
        <v/>
      </c>
      <c r="O2560" s="23" t="b">
        <f>IFERROR(VLOOKUP(A2560, Entries!A:I,8,false),"")</f>
        <v>0</v>
      </c>
    </row>
    <row r="2561">
      <c r="A2561" s="78" t="s">
        <v>2611</v>
      </c>
      <c r="B2561" s="78" t="s">
        <v>22</v>
      </c>
      <c r="C2561" s="85">
        <v>44873.0</v>
      </c>
      <c r="D2561" s="85">
        <v>44877.0</v>
      </c>
      <c r="E2561" s="86">
        <v>12.51</v>
      </c>
      <c r="F2561" s="87">
        <v>21.0</v>
      </c>
      <c r="G2561" s="88">
        <f t="shared" si="1"/>
        <v>8.49</v>
      </c>
      <c r="H2561" s="89">
        <f t="shared" si="10"/>
        <v>0.4042857143</v>
      </c>
      <c r="I2561" s="78" t="s">
        <v>3165</v>
      </c>
      <c r="J2561" s="78" t="s">
        <v>69</v>
      </c>
      <c r="K2561" s="58">
        <f t="shared" si="3"/>
        <v>4</v>
      </c>
      <c r="L2561" s="91" t="str">
        <f t="shared" si="8"/>
        <v>Sat</v>
      </c>
      <c r="M2561" s="78" t="str">
        <f>IFERROR(VLOOKUP(A2561, Entries!A:B,2,false),"")</f>
        <v>Ninja Kiwi</v>
      </c>
      <c r="N2561" s="23" t="str">
        <f>IFERROR(VLOOKUP(A2561, Entries!A:K,11,false),"")</f>
        <v/>
      </c>
      <c r="O2561" s="23" t="b">
        <f>IFERROR(VLOOKUP(A2561, Entries!A:I,8,false),"")</f>
        <v>0</v>
      </c>
    </row>
    <row r="2562">
      <c r="A2562" s="78" t="s">
        <v>2611</v>
      </c>
      <c r="B2562" s="78" t="s">
        <v>22</v>
      </c>
      <c r="C2562" s="85">
        <v>44873.0</v>
      </c>
      <c r="D2562" s="85">
        <v>44882.0</v>
      </c>
      <c r="E2562" s="86">
        <v>12.51</v>
      </c>
      <c r="F2562" s="87">
        <v>21.0</v>
      </c>
      <c r="G2562" s="88">
        <f t="shared" si="1"/>
        <v>8.49</v>
      </c>
      <c r="H2562" s="89">
        <f t="shared" si="10"/>
        <v>0.4042857143</v>
      </c>
      <c r="I2562" s="78" t="s">
        <v>3166</v>
      </c>
      <c r="J2562" s="78" t="s">
        <v>69</v>
      </c>
      <c r="K2562" s="58">
        <f t="shared" si="3"/>
        <v>9</v>
      </c>
      <c r="L2562" s="91" t="str">
        <f t="shared" si="8"/>
        <v>Thu</v>
      </c>
      <c r="M2562" s="78" t="str">
        <f>IFERROR(VLOOKUP(A2562, Entries!A:B,2,false),"")</f>
        <v>Ninja Kiwi</v>
      </c>
      <c r="N2562" s="23" t="str">
        <f>IFERROR(VLOOKUP(A2562, Entries!A:K,11,false),"")</f>
        <v/>
      </c>
      <c r="O2562" s="23" t="b">
        <f>IFERROR(VLOOKUP(A2562, Entries!A:I,8,false),"")</f>
        <v>0</v>
      </c>
    </row>
    <row r="2563">
      <c r="A2563" s="78" t="s">
        <v>2611</v>
      </c>
      <c r="B2563" s="78" t="s">
        <v>22</v>
      </c>
      <c r="C2563" s="85">
        <v>44873.0</v>
      </c>
      <c r="D2563" s="85">
        <v>44994.0</v>
      </c>
      <c r="E2563" s="86">
        <v>12.51</v>
      </c>
      <c r="F2563" s="87">
        <v>13.11</v>
      </c>
      <c r="G2563" s="88">
        <f t="shared" si="1"/>
        <v>0.6</v>
      </c>
      <c r="H2563" s="89">
        <f t="shared" si="10"/>
        <v>0.04576659039</v>
      </c>
      <c r="I2563" s="78" t="s">
        <v>3167</v>
      </c>
      <c r="J2563" s="78" t="s">
        <v>69</v>
      </c>
      <c r="K2563" s="58">
        <f t="shared" si="3"/>
        <v>121</v>
      </c>
      <c r="L2563" s="91" t="str">
        <f t="shared" si="8"/>
        <v>Thu</v>
      </c>
      <c r="M2563" s="78" t="str">
        <f>IFERROR(VLOOKUP(A2563, Entries!A:B,2,false),"")</f>
        <v>Ninja Kiwi</v>
      </c>
      <c r="N2563" s="23" t="str">
        <f>IFERROR(VLOOKUP(A2563, Entries!A:K,11,false),"")</f>
        <v/>
      </c>
      <c r="O2563" s="23" t="b">
        <f>IFERROR(VLOOKUP(A2563, Entries!A:I,8,false),"")</f>
        <v>0</v>
      </c>
    </row>
    <row r="2564">
      <c r="A2564" s="78" t="s">
        <v>2611</v>
      </c>
      <c r="B2564" s="78" t="s">
        <v>22</v>
      </c>
      <c r="C2564" s="85">
        <v>44873.0</v>
      </c>
      <c r="D2564" s="85">
        <v>45040.0</v>
      </c>
      <c r="E2564" s="86">
        <v>12.52</v>
      </c>
      <c r="F2564" s="87">
        <v>17.74</v>
      </c>
      <c r="G2564" s="88">
        <f t="shared" si="1"/>
        <v>5.22</v>
      </c>
      <c r="H2564" s="89">
        <f t="shared" si="10"/>
        <v>0.2942502818</v>
      </c>
      <c r="I2564" s="78" t="s">
        <v>3168</v>
      </c>
      <c r="J2564" s="78" t="s">
        <v>69</v>
      </c>
      <c r="K2564" s="58">
        <f t="shared" si="3"/>
        <v>167</v>
      </c>
      <c r="L2564" s="91" t="str">
        <f t="shared" si="8"/>
        <v>Mon</v>
      </c>
      <c r="M2564" s="78" t="str">
        <f>IFERROR(VLOOKUP(A2564, Entries!A:B,2,false),"")</f>
        <v>Ninja Kiwi</v>
      </c>
      <c r="N2564" s="23" t="str">
        <f>IFERROR(VLOOKUP(A2564, Entries!A:K,11,false),"")</f>
        <v/>
      </c>
      <c r="O2564" s="23" t="b">
        <f>IFERROR(VLOOKUP(A2564, Entries!A:I,8,false),"")</f>
        <v>0</v>
      </c>
    </row>
    <row r="2565">
      <c r="A2565" s="78" t="s">
        <v>3169</v>
      </c>
      <c r="B2565" s="78" t="s">
        <v>22</v>
      </c>
      <c r="C2565" s="85">
        <v>44873.0</v>
      </c>
      <c r="D2565" s="25"/>
      <c r="E2565" s="86">
        <v>14.73</v>
      </c>
      <c r="F2565" s="88"/>
      <c r="G2565" s="88">
        <f t="shared" si="1"/>
        <v>-14.73</v>
      </c>
      <c r="H2565" s="89" t="str">
        <f t="shared" si="10"/>
        <v/>
      </c>
      <c r="I2565" s="103" t="s">
        <v>3170</v>
      </c>
      <c r="J2565" s="78" t="s">
        <v>1129</v>
      </c>
      <c r="K2565" s="58" t="str">
        <f t="shared" si="3"/>
        <v/>
      </c>
      <c r="L2565" s="91" t="str">
        <f t="shared" si="8"/>
        <v/>
      </c>
      <c r="M2565" s="78" t="str">
        <f>IFERROR(VLOOKUP(A2565, Entries!A:B,2,false),"")</f>
        <v>HypeTrain Digital</v>
      </c>
      <c r="N2565" s="23" t="str">
        <f>IFERROR(VLOOKUP(A2565, Entries!A:K,11,false),"")</f>
        <v/>
      </c>
      <c r="O2565" s="23" t="b">
        <f>IFERROR(VLOOKUP(A2565, Entries!A:I,8,false),"")</f>
        <v>0</v>
      </c>
    </row>
    <row r="2566">
      <c r="A2566" s="78" t="s">
        <v>3169</v>
      </c>
      <c r="B2566" s="78" t="s">
        <v>22</v>
      </c>
      <c r="C2566" s="85">
        <v>44873.0</v>
      </c>
      <c r="D2566" s="25"/>
      <c r="E2566" s="86">
        <v>14.72</v>
      </c>
      <c r="F2566" s="88"/>
      <c r="G2566" s="88">
        <f t="shared" si="1"/>
        <v>-14.72</v>
      </c>
      <c r="H2566" s="89" t="str">
        <f t="shared" si="10"/>
        <v/>
      </c>
      <c r="I2566" s="103" t="s">
        <v>3171</v>
      </c>
      <c r="J2566" s="78" t="s">
        <v>1129</v>
      </c>
      <c r="K2566" s="58" t="str">
        <f t="shared" si="3"/>
        <v/>
      </c>
      <c r="L2566" s="91" t="str">
        <f t="shared" si="8"/>
        <v/>
      </c>
      <c r="M2566" s="78" t="str">
        <f>IFERROR(VLOOKUP(A2566, Entries!A:B,2,false),"")</f>
        <v>HypeTrain Digital</v>
      </c>
      <c r="N2566" s="23" t="str">
        <f>IFERROR(VLOOKUP(A2566, Entries!A:K,11,false),"")</f>
        <v/>
      </c>
      <c r="O2566" s="23" t="b">
        <f>IFERROR(VLOOKUP(A2566, Entries!A:I,8,false),"")</f>
        <v>0</v>
      </c>
    </row>
    <row r="2567">
      <c r="A2567" s="78" t="s">
        <v>3065</v>
      </c>
      <c r="B2567" s="78" t="s">
        <v>21</v>
      </c>
      <c r="C2567" s="85">
        <v>44875.0</v>
      </c>
      <c r="D2567" s="85">
        <v>44982.0</v>
      </c>
      <c r="E2567" s="86">
        <v>1.77</v>
      </c>
      <c r="F2567" s="87">
        <v>4.9</v>
      </c>
      <c r="G2567" s="88">
        <f t="shared" si="1"/>
        <v>3.13</v>
      </c>
      <c r="H2567" s="89">
        <f t="shared" si="10"/>
        <v>0.6387755102</v>
      </c>
      <c r="I2567" s="78" t="s">
        <v>3172</v>
      </c>
      <c r="J2567" s="78" t="s">
        <v>69</v>
      </c>
      <c r="K2567" s="58">
        <f t="shared" si="3"/>
        <v>107</v>
      </c>
      <c r="L2567" s="91" t="str">
        <f t="shared" si="8"/>
        <v>Sat</v>
      </c>
      <c r="M2567" s="78" t="str">
        <f>IFERROR(VLOOKUP(A2567, Entries!A:B,2,false),"")</f>
        <v>Caligari Games</v>
      </c>
      <c r="N2567" s="23" t="str">
        <f>IFERROR(VLOOKUP(A2567, Entries!A:K,11,false),"")</f>
        <v/>
      </c>
      <c r="O2567" s="23" t="b">
        <f>IFERROR(VLOOKUP(A2567, Entries!A:I,8,false),"")</f>
        <v>0</v>
      </c>
    </row>
    <row r="2568">
      <c r="A2568" s="78" t="s">
        <v>3065</v>
      </c>
      <c r="B2568" s="78" t="s">
        <v>21</v>
      </c>
      <c r="C2568" s="85">
        <v>44875.0</v>
      </c>
      <c r="D2568" s="85">
        <v>45025.0</v>
      </c>
      <c r="E2568" s="86">
        <v>1.77</v>
      </c>
      <c r="F2568" s="87">
        <v>6.33</v>
      </c>
      <c r="G2568" s="88">
        <f t="shared" si="1"/>
        <v>4.56</v>
      </c>
      <c r="H2568" s="89">
        <f t="shared" si="10"/>
        <v>0.7203791469</v>
      </c>
      <c r="I2568" s="78" t="s">
        <v>3173</v>
      </c>
      <c r="J2568" s="78" t="s">
        <v>69</v>
      </c>
      <c r="K2568" s="58">
        <f t="shared" si="3"/>
        <v>150</v>
      </c>
      <c r="L2568" s="91" t="str">
        <f t="shared" si="8"/>
        <v>Sun</v>
      </c>
      <c r="M2568" s="78" t="str">
        <f>IFERROR(VLOOKUP(A2568, Entries!A:B,2,false),"")</f>
        <v>Caligari Games</v>
      </c>
      <c r="N2568" s="23" t="str">
        <f>IFERROR(VLOOKUP(A2568, Entries!A:K,11,false),"")</f>
        <v/>
      </c>
      <c r="O2568" s="23" t="b">
        <f>IFERROR(VLOOKUP(A2568, Entries!A:I,8,false),"")</f>
        <v>0</v>
      </c>
    </row>
    <row r="2569">
      <c r="A2569" s="78" t="s">
        <v>2016</v>
      </c>
      <c r="B2569" s="78" t="s">
        <v>19</v>
      </c>
      <c r="C2569" s="85">
        <v>44876.0</v>
      </c>
      <c r="D2569" s="85">
        <v>44876.0</v>
      </c>
      <c r="E2569" s="86">
        <v>4.56</v>
      </c>
      <c r="F2569" s="87">
        <v>6.25</v>
      </c>
      <c r="G2569" s="88">
        <f t="shared" si="1"/>
        <v>1.69</v>
      </c>
      <c r="H2569" s="89">
        <f t="shared" si="10"/>
        <v>0.2704</v>
      </c>
      <c r="I2569" s="78" t="s">
        <v>3174</v>
      </c>
      <c r="J2569" s="78" t="s">
        <v>69</v>
      </c>
      <c r="K2569" s="58">
        <f t="shared" si="3"/>
        <v>0</v>
      </c>
      <c r="L2569" s="91" t="str">
        <f t="shared" si="8"/>
        <v>Fri</v>
      </c>
      <c r="M2569" s="78" t="str">
        <f>IFERROR(VLOOKUP(A2569, Entries!A:B,2,false),"")</f>
        <v>Ironhide Game Studio</v>
      </c>
      <c r="N2569" s="23" t="str">
        <f>IFERROR(VLOOKUP(A2569, Entries!A:K,11,false),"")</f>
        <v/>
      </c>
      <c r="O2569" s="23" t="b">
        <f>IFERROR(VLOOKUP(A2569, Entries!A:I,8,false),"")</f>
        <v>1</v>
      </c>
    </row>
    <row r="2570">
      <c r="A2570" s="78" t="s">
        <v>2016</v>
      </c>
      <c r="B2570" s="78" t="s">
        <v>19</v>
      </c>
      <c r="C2570" s="85">
        <v>44876.0</v>
      </c>
      <c r="D2570" s="85">
        <v>44984.0</v>
      </c>
      <c r="E2570" s="86">
        <v>4.47</v>
      </c>
      <c r="F2570" s="87">
        <v>6.16</v>
      </c>
      <c r="G2570" s="88">
        <f t="shared" si="1"/>
        <v>1.69</v>
      </c>
      <c r="H2570" s="89">
        <f t="shared" si="10"/>
        <v>0.2743506494</v>
      </c>
      <c r="I2570" s="78" t="s">
        <v>3175</v>
      </c>
      <c r="J2570" s="78" t="s">
        <v>69</v>
      </c>
      <c r="K2570" s="58">
        <f t="shared" si="3"/>
        <v>108</v>
      </c>
      <c r="L2570" s="91" t="str">
        <f t="shared" si="8"/>
        <v>Mon</v>
      </c>
      <c r="M2570" s="78" t="str">
        <f>IFERROR(VLOOKUP(A2570, Entries!A:B,2,false),"")</f>
        <v>Ironhide Game Studio</v>
      </c>
      <c r="N2570" s="23" t="str">
        <f>IFERROR(VLOOKUP(A2570, Entries!A:K,11,false),"")</f>
        <v/>
      </c>
      <c r="O2570" s="23" t="b">
        <f>IFERROR(VLOOKUP(A2570, Entries!A:I,8,false),"")</f>
        <v>1</v>
      </c>
    </row>
    <row r="2571">
      <c r="A2571" s="78" t="s">
        <v>1849</v>
      </c>
      <c r="B2571" s="78" t="s">
        <v>22</v>
      </c>
      <c r="C2571" s="85">
        <v>44879.0</v>
      </c>
      <c r="D2571" s="85">
        <v>44900.0</v>
      </c>
      <c r="E2571" s="86">
        <v>4.92</v>
      </c>
      <c r="F2571" s="87">
        <v>9.24</v>
      </c>
      <c r="G2571" s="88">
        <f t="shared" si="1"/>
        <v>4.32</v>
      </c>
      <c r="H2571" s="89">
        <f t="shared" si="10"/>
        <v>0.4675324675</v>
      </c>
      <c r="I2571" s="78" t="s">
        <v>3176</v>
      </c>
      <c r="J2571" s="78" t="s">
        <v>69</v>
      </c>
      <c r="K2571" s="58">
        <f t="shared" si="3"/>
        <v>21</v>
      </c>
      <c r="L2571" s="91" t="str">
        <f t="shared" si="8"/>
        <v>Mon</v>
      </c>
      <c r="M2571" s="78" t="str">
        <f>IFERROR(VLOOKUP(A2571, Entries!A:B,2,false),"")</f>
        <v>Marmalade Game Studio</v>
      </c>
      <c r="N2571" s="23" t="str">
        <f>IFERROR(VLOOKUP(A2571, Entries!A:K,11,false),"")</f>
        <v/>
      </c>
      <c r="O2571" s="23" t="b">
        <f>IFERROR(VLOOKUP(A2571, Entries!A:I,8,false),"")</f>
        <v>0</v>
      </c>
    </row>
    <row r="2572">
      <c r="A2572" s="78" t="s">
        <v>2611</v>
      </c>
      <c r="B2572" s="78" t="s">
        <v>22</v>
      </c>
      <c r="C2572" s="85">
        <v>44882.0</v>
      </c>
      <c r="D2572" s="85">
        <v>45043.0</v>
      </c>
      <c r="E2572" s="86">
        <v>11.85</v>
      </c>
      <c r="F2572" s="87">
        <v>15.28</v>
      </c>
      <c r="G2572" s="88">
        <f t="shared" si="1"/>
        <v>3.43</v>
      </c>
      <c r="H2572" s="89">
        <f t="shared" si="10"/>
        <v>0.2244764398</v>
      </c>
      <c r="I2572" s="78" t="s">
        <v>3177</v>
      </c>
      <c r="J2572" s="78" t="s">
        <v>69</v>
      </c>
      <c r="K2572" s="58">
        <f t="shared" si="3"/>
        <v>161</v>
      </c>
      <c r="L2572" s="91" t="str">
        <f t="shared" si="8"/>
        <v>Thu</v>
      </c>
      <c r="M2572" s="78" t="str">
        <f>IFERROR(VLOOKUP(A2572, Entries!A:B,2,false),"")</f>
        <v>Ninja Kiwi</v>
      </c>
      <c r="N2572" s="23" t="str">
        <f>IFERROR(VLOOKUP(A2572, Entries!A:K,11,false),"")</f>
        <v/>
      </c>
      <c r="O2572" s="23" t="b">
        <f>IFERROR(VLOOKUP(A2572, Entries!A:I,8,false),"")</f>
        <v>0</v>
      </c>
    </row>
    <row r="2573">
      <c r="A2573" s="78" t="s">
        <v>2611</v>
      </c>
      <c r="B2573" s="78" t="s">
        <v>22</v>
      </c>
      <c r="C2573" s="85">
        <v>44882.0</v>
      </c>
      <c r="D2573" s="85">
        <v>45045.0</v>
      </c>
      <c r="E2573" s="86">
        <v>11.85</v>
      </c>
      <c r="F2573" s="87">
        <v>16.21</v>
      </c>
      <c r="G2573" s="88">
        <f t="shared" si="1"/>
        <v>4.36</v>
      </c>
      <c r="H2573" s="89">
        <f t="shared" si="10"/>
        <v>0.2689697717</v>
      </c>
      <c r="I2573" s="78" t="s">
        <v>3178</v>
      </c>
      <c r="J2573" s="78" t="s">
        <v>69</v>
      </c>
      <c r="K2573" s="58">
        <f t="shared" si="3"/>
        <v>163</v>
      </c>
      <c r="L2573" s="91" t="str">
        <f t="shared" si="8"/>
        <v>Sat</v>
      </c>
      <c r="M2573" s="78" t="str">
        <f>IFERROR(VLOOKUP(A2573, Entries!A:B,2,false),"")</f>
        <v>Ninja Kiwi</v>
      </c>
      <c r="N2573" s="23" t="str">
        <f>IFERROR(VLOOKUP(A2573, Entries!A:K,11,false),"")</f>
        <v/>
      </c>
      <c r="O2573" s="23" t="b">
        <f>IFERROR(VLOOKUP(A2573, Entries!A:I,8,false),"")</f>
        <v>0</v>
      </c>
    </row>
    <row r="2574">
      <c r="A2574" s="78" t="s">
        <v>3179</v>
      </c>
      <c r="B2574" s="78" t="s">
        <v>19</v>
      </c>
      <c r="C2574" s="85">
        <v>44883.0</v>
      </c>
      <c r="D2574" s="85">
        <v>45188.0</v>
      </c>
      <c r="E2574" s="86">
        <v>8.44</v>
      </c>
      <c r="F2574" s="87">
        <v>9.69</v>
      </c>
      <c r="G2574" s="88">
        <f t="shared" si="1"/>
        <v>1.25</v>
      </c>
      <c r="H2574" s="89">
        <f t="shared" si="10"/>
        <v>0.128998968</v>
      </c>
      <c r="I2574" s="78" t="s">
        <v>3180</v>
      </c>
      <c r="J2574" s="78" t="s">
        <v>69</v>
      </c>
      <c r="K2574" s="58">
        <f t="shared" si="3"/>
        <v>305</v>
      </c>
      <c r="L2574" s="91" t="str">
        <f t="shared" si="8"/>
        <v>Tue</v>
      </c>
      <c r="M2574" s="78" t="str">
        <f>IFERROR(VLOOKUP(A2574, Entries!A:B,2,false),"")</f>
        <v>Bethesda Softworks</v>
      </c>
      <c r="N2574" s="23" t="str">
        <f>IFERROR(VLOOKUP(A2574, Entries!A:K,11,false),"")</f>
        <v/>
      </c>
      <c r="O2574" s="23" t="b">
        <f>IFERROR(VLOOKUP(A2574, Entries!A:I,8,false),"")</f>
        <v>0</v>
      </c>
    </row>
    <row r="2575">
      <c r="A2575" s="78" t="s">
        <v>3181</v>
      </c>
      <c r="B2575" s="78" t="s">
        <v>22</v>
      </c>
      <c r="C2575" s="85">
        <v>44885.0</v>
      </c>
      <c r="D2575" s="85">
        <v>44896.0</v>
      </c>
      <c r="E2575" s="86">
        <v>12.12</v>
      </c>
      <c r="F2575" s="87">
        <v>12.86</v>
      </c>
      <c r="G2575" s="88">
        <f t="shared" si="1"/>
        <v>0.74</v>
      </c>
      <c r="H2575" s="89">
        <f t="shared" si="10"/>
        <v>0.05754276827</v>
      </c>
      <c r="I2575" s="78" t="s">
        <v>3182</v>
      </c>
      <c r="J2575" s="78" t="s">
        <v>69</v>
      </c>
      <c r="K2575" s="58">
        <f t="shared" si="3"/>
        <v>11</v>
      </c>
      <c r="L2575" s="91" t="str">
        <f t="shared" si="8"/>
        <v>Thu</v>
      </c>
      <c r="M2575" s="78" t="str">
        <f>IFERROR(VLOOKUP(A2575, Entries!A:B,2,false),"")</f>
        <v>Thunderful Publishing</v>
      </c>
      <c r="N2575" s="23" t="str">
        <f>IFERROR(VLOOKUP(A2575, Entries!A:K,11,false),"")</f>
        <v/>
      </c>
      <c r="O2575" s="23" t="b">
        <f>IFERROR(VLOOKUP(A2575, Entries!A:I,8,false),"")</f>
        <v>0</v>
      </c>
    </row>
    <row r="2576">
      <c r="A2576" s="78" t="s">
        <v>3183</v>
      </c>
      <c r="B2576" s="78" t="s">
        <v>19</v>
      </c>
      <c r="C2576" s="85">
        <v>44886.0</v>
      </c>
      <c r="D2576" s="85">
        <v>46159.0</v>
      </c>
      <c r="E2576" s="86">
        <v>28.52</v>
      </c>
      <c r="F2576" s="87">
        <v>16.99</v>
      </c>
      <c r="G2576" s="88">
        <f t="shared" si="1"/>
        <v>-11.53</v>
      </c>
      <c r="H2576" s="89">
        <f t="shared" si="10"/>
        <v>-0.6786344909</v>
      </c>
      <c r="I2576" s="103" t="s">
        <v>3184</v>
      </c>
      <c r="J2576" s="78" t="s">
        <v>69</v>
      </c>
      <c r="K2576" s="58">
        <f t="shared" si="3"/>
        <v>1273</v>
      </c>
      <c r="L2576" s="91" t="str">
        <f t="shared" si="8"/>
        <v>Sun</v>
      </c>
      <c r="M2576" s="78" t="str">
        <f>IFERROR(VLOOKUP(A2576, Entries!A:B,2,false),"")</f>
        <v>Ludeon Studios</v>
      </c>
      <c r="N2576" s="23" t="str">
        <f>IFERROR(VLOOKUP(A2576, Entries!A:K,11,false),"")</f>
        <v/>
      </c>
      <c r="O2576" s="23" t="b">
        <f>IFERROR(VLOOKUP(A2576, Entries!A:I,8,false),"")</f>
        <v>0</v>
      </c>
    </row>
    <row r="2577">
      <c r="A2577" s="78" t="s">
        <v>3185</v>
      </c>
      <c r="B2577" s="78" t="s">
        <v>19</v>
      </c>
      <c r="C2577" s="85">
        <v>44886.0</v>
      </c>
      <c r="D2577" s="85">
        <v>44897.0</v>
      </c>
      <c r="E2577" s="86">
        <v>0.0</v>
      </c>
      <c r="F2577" s="87">
        <v>0.58</v>
      </c>
      <c r="G2577" s="88">
        <f t="shared" si="1"/>
        <v>0.58</v>
      </c>
      <c r="H2577" s="89">
        <f t="shared" si="10"/>
        <v>1</v>
      </c>
      <c r="I2577" s="78" t="s">
        <v>3186</v>
      </c>
      <c r="J2577" s="78" t="s">
        <v>69</v>
      </c>
      <c r="K2577" s="58">
        <f t="shared" si="3"/>
        <v>11</v>
      </c>
      <c r="L2577" s="91" t="str">
        <f t="shared" si="8"/>
        <v>Fri</v>
      </c>
      <c r="M2577" s="78" t="str">
        <f>IFERROR(VLOOKUP(A2577, Entries!A:B,2,false),"")</f>
        <v>Wired Productions</v>
      </c>
      <c r="N2577" s="23" t="str">
        <f>IFERROR(VLOOKUP(A2577, Entries!A:K,11,false),"")</f>
        <v/>
      </c>
      <c r="O2577" s="23" t="b">
        <f>IFERROR(VLOOKUP(A2577, Entries!A:I,8,false),"")</f>
        <v>0</v>
      </c>
    </row>
    <row r="2578">
      <c r="A2578" s="94" t="s">
        <v>2323</v>
      </c>
      <c r="B2578" s="78" t="s">
        <v>18</v>
      </c>
      <c r="C2578" s="85">
        <v>44886.0</v>
      </c>
      <c r="D2578" s="85">
        <v>45395.0</v>
      </c>
      <c r="E2578" s="86">
        <v>4.75</v>
      </c>
      <c r="F2578" s="87">
        <v>2.79</v>
      </c>
      <c r="G2578" s="88">
        <f t="shared" si="1"/>
        <v>-1.96</v>
      </c>
      <c r="H2578" s="89">
        <f t="shared" si="10"/>
        <v>-0.7025089606</v>
      </c>
      <c r="I2578" s="78" t="s">
        <v>3187</v>
      </c>
      <c r="J2578" s="78" t="s">
        <v>69</v>
      </c>
      <c r="K2578" s="58">
        <f t="shared" si="3"/>
        <v>509</v>
      </c>
      <c r="L2578" s="91" t="str">
        <f t="shared" si="8"/>
        <v>Sat</v>
      </c>
      <c r="M2578" s="78" t="str">
        <f>IFERROR(VLOOKUP(A2578, Entries!A:B,2,false),"")</f>
        <v>tinyBuild</v>
      </c>
      <c r="N2578" s="23" t="str">
        <f>IFERROR(VLOOKUP(A2578, Entries!A:K,11,false),"")</f>
        <v/>
      </c>
      <c r="O2578" s="23" t="b">
        <f>IFERROR(VLOOKUP(A2578, Entries!A:I,8,false),"")</f>
        <v>1</v>
      </c>
    </row>
    <row r="2579">
      <c r="A2579" s="94" t="s">
        <v>2323</v>
      </c>
      <c r="B2579" s="78" t="s">
        <v>18</v>
      </c>
      <c r="C2579" s="85">
        <v>44886.0</v>
      </c>
      <c r="D2579" s="85">
        <v>45396.0</v>
      </c>
      <c r="E2579" s="86">
        <v>4.75</v>
      </c>
      <c r="F2579" s="87">
        <v>2.79</v>
      </c>
      <c r="G2579" s="88">
        <f t="shared" si="1"/>
        <v>-1.96</v>
      </c>
      <c r="H2579" s="89">
        <f t="shared" si="10"/>
        <v>-0.7025089606</v>
      </c>
      <c r="I2579" s="78" t="s">
        <v>3188</v>
      </c>
      <c r="J2579" s="78" t="s">
        <v>69</v>
      </c>
      <c r="K2579" s="58">
        <f t="shared" si="3"/>
        <v>510</v>
      </c>
      <c r="L2579" s="91" t="str">
        <f t="shared" si="8"/>
        <v>Sun</v>
      </c>
      <c r="M2579" s="78" t="str">
        <f>IFERROR(VLOOKUP(A2579, Entries!A:B,2,false),"")</f>
        <v>tinyBuild</v>
      </c>
      <c r="N2579" s="23" t="str">
        <f>IFERROR(VLOOKUP(A2579, Entries!A:K,11,false),"")</f>
        <v/>
      </c>
      <c r="O2579" s="23" t="b">
        <f>IFERROR(VLOOKUP(A2579, Entries!A:I,8,false),"")</f>
        <v>1</v>
      </c>
    </row>
    <row r="2580">
      <c r="A2580" s="94" t="s">
        <v>2323</v>
      </c>
      <c r="B2580" s="78" t="s">
        <v>18</v>
      </c>
      <c r="C2580" s="85">
        <v>44886.0</v>
      </c>
      <c r="D2580" s="85">
        <v>45396.0</v>
      </c>
      <c r="E2580" s="86">
        <v>4.75</v>
      </c>
      <c r="F2580" s="87">
        <v>2.79</v>
      </c>
      <c r="G2580" s="88">
        <f t="shared" si="1"/>
        <v>-1.96</v>
      </c>
      <c r="H2580" s="89">
        <f t="shared" si="10"/>
        <v>-0.7025089606</v>
      </c>
      <c r="I2580" s="78" t="s">
        <v>3189</v>
      </c>
      <c r="J2580" s="78" t="s">
        <v>69</v>
      </c>
      <c r="K2580" s="58">
        <f t="shared" si="3"/>
        <v>510</v>
      </c>
      <c r="L2580" s="91" t="str">
        <f t="shared" si="8"/>
        <v>Sun</v>
      </c>
      <c r="M2580" s="78" t="str">
        <f>IFERROR(VLOOKUP(A2580, Entries!A:B,2,false),"")</f>
        <v>tinyBuild</v>
      </c>
      <c r="N2580" s="23" t="str">
        <f>IFERROR(VLOOKUP(A2580, Entries!A:K,11,false),"")</f>
        <v/>
      </c>
      <c r="O2580" s="23" t="b">
        <f>IFERROR(VLOOKUP(A2580, Entries!A:I,8,false),"")</f>
        <v>1</v>
      </c>
    </row>
    <row r="2581">
      <c r="A2581" s="78" t="s">
        <v>218</v>
      </c>
      <c r="B2581" s="78" t="s">
        <v>32</v>
      </c>
      <c r="C2581" s="85">
        <v>44887.0</v>
      </c>
      <c r="D2581" s="85">
        <v>44888.0</v>
      </c>
      <c r="E2581" s="86">
        <v>2.58</v>
      </c>
      <c r="F2581" s="87">
        <v>3.17</v>
      </c>
      <c r="G2581" s="88">
        <f t="shared" si="1"/>
        <v>0.59</v>
      </c>
      <c r="H2581" s="89">
        <f t="shared" si="10"/>
        <v>0.1861198738</v>
      </c>
      <c r="I2581" s="78" t="s">
        <v>3190</v>
      </c>
      <c r="J2581" s="78" t="s">
        <v>69</v>
      </c>
      <c r="K2581" s="58">
        <f t="shared" si="3"/>
        <v>1</v>
      </c>
      <c r="L2581" s="91" t="str">
        <f t="shared" si="8"/>
        <v>Wed</v>
      </c>
      <c r="M2581" s="78" t="str">
        <f>IFERROR(VLOOKUP(A2581, Entries!A:B,2,false),"")</f>
        <v>Square Enix</v>
      </c>
      <c r="N2581" s="23" t="str">
        <f>IFERROR(VLOOKUP(A2581, Entries!A:K,11,false),"")</f>
        <v/>
      </c>
      <c r="O2581" s="23" t="b">
        <f>IFERROR(VLOOKUP(A2581, Entries!A:I,8,false),"")</f>
        <v>1</v>
      </c>
    </row>
    <row r="2582">
      <c r="A2582" s="78" t="s">
        <v>218</v>
      </c>
      <c r="B2582" s="78" t="s">
        <v>32</v>
      </c>
      <c r="C2582" s="85">
        <v>44887.0</v>
      </c>
      <c r="D2582" s="85">
        <v>44888.0</v>
      </c>
      <c r="E2582" s="86">
        <v>2.58</v>
      </c>
      <c r="F2582" s="87">
        <v>3.04</v>
      </c>
      <c r="G2582" s="88">
        <f t="shared" si="1"/>
        <v>0.46</v>
      </c>
      <c r="H2582" s="89">
        <f t="shared" si="10"/>
        <v>0.1513157895</v>
      </c>
      <c r="I2582" s="78" t="s">
        <v>3191</v>
      </c>
      <c r="J2582" s="78" t="s">
        <v>69</v>
      </c>
      <c r="K2582" s="58">
        <f t="shared" si="3"/>
        <v>1</v>
      </c>
      <c r="L2582" s="91" t="str">
        <f t="shared" si="8"/>
        <v>Wed</v>
      </c>
      <c r="M2582" s="78" t="str">
        <f>IFERROR(VLOOKUP(A2582, Entries!A:B,2,false),"")</f>
        <v>Square Enix</v>
      </c>
      <c r="N2582" s="23" t="str">
        <f>IFERROR(VLOOKUP(A2582, Entries!A:K,11,false),"")</f>
        <v/>
      </c>
      <c r="O2582" s="23" t="b">
        <f>IFERROR(VLOOKUP(A2582, Entries!A:I,8,false),"")</f>
        <v>1</v>
      </c>
    </row>
    <row r="2583">
      <c r="A2583" s="78" t="s">
        <v>218</v>
      </c>
      <c r="B2583" s="78" t="s">
        <v>32</v>
      </c>
      <c r="C2583" s="85">
        <v>44887.0</v>
      </c>
      <c r="D2583" s="85">
        <v>44889.0</v>
      </c>
      <c r="E2583" s="86">
        <v>2.58</v>
      </c>
      <c r="F2583" s="87">
        <v>4.06</v>
      </c>
      <c r="G2583" s="88">
        <f t="shared" si="1"/>
        <v>1.48</v>
      </c>
      <c r="H2583" s="89">
        <f t="shared" si="10"/>
        <v>0.3645320197</v>
      </c>
      <c r="I2583" s="78" t="s">
        <v>3192</v>
      </c>
      <c r="J2583" s="78" t="s">
        <v>69</v>
      </c>
      <c r="K2583" s="58">
        <f t="shared" si="3"/>
        <v>2</v>
      </c>
      <c r="L2583" s="91" t="str">
        <f t="shared" si="8"/>
        <v>Thu</v>
      </c>
      <c r="M2583" s="78" t="str">
        <f>IFERROR(VLOOKUP(A2583, Entries!A:B,2,false),"")</f>
        <v>Square Enix</v>
      </c>
      <c r="N2583" s="23" t="str">
        <f>IFERROR(VLOOKUP(A2583, Entries!A:K,11,false),"")</f>
        <v/>
      </c>
      <c r="O2583" s="23" t="b">
        <f>IFERROR(VLOOKUP(A2583, Entries!A:I,8,false),"")</f>
        <v>1</v>
      </c>
    </row>
    <row r="2584">
      <c r="A2584" s="78" t="s">
        <v>1307</v>
      </c>
      <c r="B2584" s="78" t="s">
        <v>23</v>
      </c>
      <c r="C2584" s="85">
        <v>44887.0</v>
      </c>
      <c r="D2584" s="85">
        <v>44992.0</v>
      </c>
      <c r="E2584" s="86">
        <v>6.45</v>
      </c>
      <c r="F2584" s="87">
        <v>8.39</v>
      </c>
      <c r="G2584" s="88">
        <f t="shared" si="1"/>
        <v>1.94</v>
      </c>
      <c r="H2584" s="89">
        <f t="shared" si="10"/>
        <v>0.231227652</v>
      </c>
      <c r="I2584" s="78" t="s">
        <v>3193</v>
      </c>
      <c r="J2584" s="78" t="s">
        <v>69</v>
      </c>
      <c r="K2584" s="58">
        <f t="shared" si="3"/>
        <v>105</v>
      </c>
      <c r="L2584" s="91" t="str">
        <f t="shared" si="8"/>
        <v>Tue</v>
      </c>
      <c r="M2584" s="78" t="str">
        <f>IFERROR(VLOOKUP(A2584, Entries!A:B,2,false),"")</f>
        <v>SEGA</v>
      </c>
      <c r="N2584" s="23" t="str">
        <f>IFERROR(VLOOKUP(A2584, Entries!A:K,11,false),"")</f>
        <v/>
      </c>
      <c r="O2584" s="23" t="b">
        <f>IFERROR(VLOOKUP(A2584, Entries!A:I,8,false),"")</f>
        <v>0</v>
      </c>
    </row>
    <row r="2585">
      <c r="A2585" s="78" t="s">
        <v>67</v>
      </c>
      <c r="B2585" s="78" t="s">
        <v>19</v>
      </c>
      <c r="C2585" s="85">
        <v>44888.0</v>
      </c>
      <c r="D2585" s="85">
        <v>45090.0</v>
      </c>
      <c r="E2585" s="86">
        <v>4.06</v>
      </c>
      <c r="F2585" s="87">
        <v>5.24</v>
      </c>
      <c r="G2585" s="88">
        <f t="shared" si="1"/>
        <v>1.18</v>
      </c>
      <c r="H2585" s="89">
        <f t="shared" si="10"/>
        <v>0.2251908397</v>
      </c>
      <c r="I2585" s="78" t="s">
        <v>3194</v>
      </c>
      <c r="J2585" s="78" t="s">
        <v>69</v>
      </c>
      <c r="K2585" s="58">
        <f t="shared" si="3"/>
        <v>202</v>
      </c>
      <c r="L2585" s="91" t="str">
        <f t="shared" si="8"/>
        <v>Tue</v>
      </c>
      <c r="M2585" s="78" t="str">
        <f>IFERROR(VLOOKUP(A2585, Entries!A:B,2,false),"")</f>
        <v>SEGA</v>
      </c>
      <c r="N2585" s="23" t="str">
        <f>IFERROR(VLOOKUP(A2585, Entries!A:K,11,false),"")</f>
        <v/>
      </c>
      <c r="O2585" s="23" t="b">
        <f>IFERROR(VLOOKUP(A2585, Entries!A:I,8,false),"")</f>
        <v>0</v>
      </c>
    </row>
    <row r="2586">
      <c r="A2586" s="78" t="s">
        <v>218</v>
      </c>
      <c r="B2586" s="78" t="s">
        <v>32</v>
      </c>
      <c r="C2586" s="85">
        <v>44888.0</v>
      </c>
      <c r="D2586" s="85">
        <v>45050.0</v>
      </c>
      <c r="E2586" s="86">
        <v>2.55</v>
      </c>
      <c r="F2586" s="87">
        <v>4.03</v>
      </c>
      <c r="G2586" s="88">
        <f t="shared" si="1"/>
        <v>1.48</v>
      </c>
      <c r="H2586" s="89">
        <f t="shared" si="10"/>
        <v>0.3672456576</v>
      </c>
      <c r="I2586" s="78" t="s">
        <v>3195</v>
      </c>
      <c r="J2586" s="78" t="s">
        <v>69</v>
      </c>
      <c r="K2586" s="58">
        <f t="shared" si="3"/>
        <v>162</v>
      </c>
      <c r="L2586" s="91" t="str">
        <f t="shared" si="8"/>
        <v>Thu</v>
      </c>
      <c r="M2586" s="78" t="str">
        <f>IFERROR(VLOOKUP(A2586, Entries!A:B,2,false),"")</f>
        <v>Square Enix</v>
      </c>
      <c r="N2586" s="23" t="str">
        <f>IFERROR(VLOOKUP(A2586, Entries!A:K,11,false),"")</f>
        <v/>
      </c>
      <c r="O2586" s="23" t="b">
        <f>IFERROR(VLOOKUP(A2586, Entries!A:I,8,false),"")</f>
        <v>1</v>
      </c>
    </row>
    <row r="2587">
      <c r="A2587" s="78" t="s">
        <v>218</v>
      </c>
      <c r="B2587" s="78" t="s">
        <v>32</v>
      </c>
      <c r="C2587" s="85">
        <v>44888.0</v>
      </c>
      <c r="D2587" s="85">
        <v>45051.0</v>
      </c>
      <c r="E2587" s="86">
        <v>2.55</v>
      </c>
      <c r="F2587" s="87">
        <v>4.06</v>
      </c>
      <c r="G2587" s="88">
        <f t="shared" si="1"/>
        <v>1.51</v>
      </c>
      <c r="H2587" s="89">
        <f t="shared" si="10"/>
        <v>0.3719211823</v>
      </c>
      <c r="I2587" s="78" t="s">
        <v>3196</v>
      </c>
      <c r="J2587" s="78" t="s">
        <v>69</v>
      </c>
      <c r="K2587" s="58">
        <f t="shared" si="3"/>
        <v>163</v>
      </c>
      <c r="L2587" s="91" t="str">
        <f t="shared" si="8"/>
        <v>Fri</v>
      </c>
      <c r="M2587" s="78" t="str">
        <f>IFERROR(VLOOKUP(A2587, Entries!A:B,2,false),"")</f>
        <v>Square Enix</v>
      </c>
      <c r="N2587" s="23" t="str">
        <f>IFERROR(VLOOKUP(A2587, Entries!A:K,11,false),"")</f>
        <v/>
      </c>
      <c r="O2587" s="23" t="b">
        <f>IFERROR(VLOOKUP(A2587, Entries!A:I,8,false),"")</f>
        <v>1</v>
      </c>
    </row>
    <row r="2588">
      <c r="A2588" s="78" t="s">
        <v>218</v>
      </c>
      <c r="B2588" s="78" t="s">
        <v>32</v>
      </c>
      <c r="C2588" s="85">
        <v>44888.0</v>
      </c>
      <c r="D2588" s="85">
        <v>45051.0</v>
      </c>
      <c r="E2588" s="86">
        <v>2.55</v>
      </c>
      <c r="F2588" s="87">
        <v>4.06</v>
      </c>
      <c r="G2588" s="88">
        <f t="shared" si="1"/>
        <v>1.51</v>
      </c>
      <c r="H2588" s="89">
        <f t="shared" si="10"/>
        <v>0.3719211823</v>
      </c>
      <c r="I2588" s="78" t="s">
        <v>3197</v>
      </c>
      <c r="J2588" s="78" t="s">
        <v>69</v>
      </c>
      <c r="K2588" s="58">
        <f t="shared" si="3"/>
        <v>163</v>
      </c>
      <c r="L2588" s="91" t="str">
        <f t="shared" si="8"/>
        <v>Fri</v>
      </c>
      <c r="M2588" s="78" t="str">
        <f>IFERROR(VLOOKUP(A2588, Entries!A:B,2,false),"")</f>
        <v>Square Enix</v>
      </c>
      <c r="N2588" s="23" t="str">
        <f>IFERROR(VLOOKUP(A2588, Entries!A:K,11,false),"")</f>
        <v/>
      </c>
      <c r="O2588" s="23" t="b">
        <f>IFERROR(VLOOKUP(A2588, Entries!A:I,8,false),"")</f>
        <v>1</v>
      </c>
    </row>
    <row r="2589">
      <c r="A2589" s="78" t="s">
        <v>218</v>
      </c>
      <c r="B2589" s="78" t="s">
        <v>32</v>
      </c>
      <c r="C2589" s="85">
        <v>44888.0</v>
      </c>
      <c r="D2589" s="85">
        <v>45053.0</v>
      </c>
      <c r="E2589" s="86">
        <v>2.55</v>
      </c>
      <c r="F2589" s="87">
        <v>4.06</v>
      </c>
      <c r="G2589" s="88">
        <f t="shared" si="1"/>
        <v>1.51</v>
      </c>
      <c r="H2589" s="89">
        <f t="shared" si="10"/>
        <v>0.3719211823</v>
      </c>
      <c r="I2589" s="78" t="s">
        <v>3198</v>
      </c>
      <c r="J2589" s="78" t="s">
        <v>69</v>
      </c>
      <c r="K2589" s="58">
        <f t="shared" si="3"/>
        <v>165</v>
      </c>
      <c r="L2589" s="91" t="str">
        <f t="shared" si="8"/>
        <v>Sun</v>
      </c>
      <c r="M2589" s="78" t="str">
        <f>IFERROR(VLOOKUP(A2589, Entries!A:B,2,false),"")</f>
        <v>Square Enix</v>
      </c>
      <c r="N2589" s="23" t="str">
        <f>IFERROR(VLOOKUP(A2589, Entries!A:K,11,false),"")</f>
        <v/>
      </c>
      <c r="O2589" s="23" t="b">
        <f>IFERROR(VLOOKUP(A2589, Entries!A:I,8,false),"")</f>
        <v>1</v>
      </c>
    </row>
    <row r="2590">
      <c r="A2590" s="78" t="s">
        <v>218</v>
      </c>
      <c r="B2590" s="78" t="s">
        <v>32</v>
      </c>
      <c r="C2590" s="85">
        <v>44888.0</v>
      </c>
      <c r="D2590" s="85">
        <v>45054.0</v>
      </c>
      <c r="E2590" s="86">
        <v>2.52</v>
      </c>
      <c r="F2590" s="87">
        <v>4.06</v>
      </c>
      <c r="G2590" s="88">
        <f t="shared" si="1"/>
        <v>1.54</v>
      </c>
      <c r="H2590" s="89">
        <f t="shared" si="10"/>
        <v>0.3793103448</v>
      </c>
      <c r="I2590" s="78" t="s">
        <v>3199</v>
      </c>
      <c r="J2590" s="78" t="s">
        <v>69</v>
      </c>
      <c r="K2590" s="58">
        <f t="shared" si="3"/>
        <v>166</v>
      </c>
      <c r="L2590" s="91" t="str">
        <f t="shared" si="8"/>
        <v>Mon</v>
      </c>
      <c r="M2590" s="78" t="str">
        <f>IFERROR(VLOOKUP(A2590, Entries!A:B,2,false),"")</f>
        <v>Square Enix</v>
      </c>
      <c r="N2590" s="23" t="str">
        <f>IFERROR(VLOOKUP(A2590, Entries!A:K,11,false),"")</f>
        <v/>
      </c>
      <c r="O2590" s="23" t="b">
        <f>IFERROR(VLOOKUP(A2590, Entries!A:I,8,false),"")</f>
        <v>1</v>
      </c>
    </row>
    <row r="2591">
      <c r="A2591" s="78" t="s">
        <v>218</v>
      </c>
      <c r="B2591" s="78" t="s">
        <v>32</v>
      </c>
      <c r="C2591" s="85">
        <v>44888.0</v>
      </c>
      <c r="D2591" s="85">
        <v>45054.0</v>
      </c>
      <c r="E2591" s="86">
        <v>2.52</v>
      </c>
      <c r="F2591" s="87">
        <v>4.06</v>
      </c>
      <c r="G2591" s="88">
        <f t="shared" si="1"/>
        <v>1.54</v>
      </c>
      <c r="H2591" s="89">
        <f t="shared" si="10"/>
        <v>0.3793103448</v>
      </c>
      <c r="I2591" s="78" t="s">
        <v>3200</v>
      </c>
      <c r="J2591" s="78" t="s">
        <v>69</v>
      </c>
      <c r="K2591" s="58">
        <f t="shared" si="3"/>
        <v>166</v>
      </c>
      <c r="L2591" s="91" t="str">
        <f t="shared" si="8"/>
        <v>Mon</v>
      </c>
      <c r="M2591" s="78" t="str">
        <f>IFERROR(VLOOKUP(A2591, Entries!A:B,2,false),"")</f>
        <v>Square Enix</v>
      </c>
      <c r="N2591" s="23" t="str">
        <f>IFERROR(VLOOKUP(A2591, Entries!A:K,11,false),"")</f>
        <v/>
      </c>
      <c r="O2591" s="23" t="b">
        <f>IFERROR(VLOOKUP(A2591, Entries!A:I,8,false),"")</f>
        <v>1</v>
      </c>
    </row>
    <row r="2592">
      <c r="A2592" s="78" t="s">
        <v>218</v>
      </c>
      <c r="B2592" s="78" t="s">
        <v>32</v>
      </c>
      <c r="C2592" s="85">
        <v>44888.0</v>
      </c>
      <c r="D2592" s="85">
        <v>45055.0</v>
      </c>
      <c r="E2592" s="86">
        <v>2.52</v>
      </c>
      <c r="F2592" s="87">
        <v>4.06</v>
      </c>
      <c r="G2592" s="88">
        <f t="shared" si="1"/>
        <v>1.54</v>
      </c>
      <c r="H2592" s="89">
        <f t="shared" si="10"/>
        <v>0.3793103448</v>
      </c>
      <c r="I2592" s="78" t="s">
        <v>3201</v>
      </c>
      <c r="J2592" s="78" t="s">
        <v>69</v>
      </c>
      <c r="K2592" s="58">
        <f t="shared" si="3"/>
        <v>167</v>
      </c>
      <c r="L2592" s="91" t="str">
        <f t="shared" si="8"/>
        <v>Tue</v>
      </c>
      <c r="M2592" s="78" t="str">
        <f>IFERROR(VLOOKUP(A2592, Entries!A:B,2,false),"")</f>
        <v>Square Enix</v>
      </c>
      <c r="N2592" s="23" t="str">
        <f>IFERROR(VLOOKUP(A2592, Entries!A:K,11,false),"")</f>
        <v/>
      </c>
      <c r="O2592" s="23" t="b">
        <f>IFERROR(VLOOKUP(A2592, Entries!A:I,8,false),"")</f>
        <v>1</v>
      </c>
    </row>
    <row r="2593">
      <c r="A2593" s="78" t="s">
        <v>218</v>
      </c>
      <c r="B2593" s="78" t="s">
        <v>32</v>
      </c>
      <c r="C2593" s="85">
        <v>44888.0</v>
      </c>
      <c r="D2593" s="85">
        <v>45055.0</v>
      </c>
      <c r="E2593" s="86">
        <v>2.52</v>
      </c>
      <c r="F2593" s="87">
        <v>4.06</v>
      </c>
      <c r="G2593" s="88">
        <f t="shared" si="1"/>
        <v>1.54</v>
      </c>
      <c r="H2593" s="89">
        <f t="shared" si="10"/>
        <v>0.3793103448</v>
      </c>
      <c r="I2593" s="78" t="s">
        <v>3202</v>
      </c>
      <c r="J2593" s="78" t="s">
        <v>69</v>
      </c>
      <c r="K2593" s="58">
        <f t="shared" si="3"/>
        <v>167</v>
      </c>
      <c r="L2593" s="91" t="str">
        <f t="shared" si="8"/>
        <v>Tue</v>
      </c>
      <c r="M2593" s="78" t="str">
        <f>IFERROR(VLOOKUP(A2593, Entries!A:B,2,false),"")</f>
        <v>Square Enix</v>
      </c>
      <c r="N2593" s="23" t="str">
        <f>IFERROR(VLOOKUP(A2593, Entries!A:K,11,false),"")</f>
        <v/>
      </c>
      <c r="O2593" s="23" t="b">
        <f>IFERROR(VLOOKUP(A2593, Entries!A:I,8,false),"")</f>
        <v>1</v>
      </c>
    </row>
    <row r="2594">
      <c r="A2594" s="78" t="s">
        <v>218</v>
      </c>
      <c r="B2594" s="78" t="s">
        <v>32</v>
      </c>
      <c r="C2594" s="85">
        <v>44888.0</v>
      </c>
      <c r="D2594" s="85">
        <v>45096.0</v>
      </c>
      <c r="E2594" s="86">
        <v>2.52</v>
      </c>
      <c r="F2594" s="87">
        <v>4.06</v>
      </c>
      <c r="G2594" s="88">
        <f t="shared" si="1"/>
        <v>1.54</v>
      </c>
      <c r="H2594" s="89">
        <f t="shared" si="10"/>
        <v>0.3793103448</v>
      </c>
      <c r="I2594" s="78" t="s">
        <v>3203</v>
      </c>
      <c r="J2594" s="78" t="s">
        <v>69</v>
      </c>
      <c r="K2594" s="58">
        <f t="shared" si="3"/>
        <v>208</v>
      </c>
      <c r="L2594" s="91" t="str">
        <f t="shared" si="8"/>
        <v>Mon</v>
      </c>
      <c r="M2594" s="78" t="str">
        <f>IFERROR(VLOOKUP(A2594, Entries!A:B,2,false),"")</f>
        <v>Square Enix</v>
      </c>
      <c r="N2594" s="23" t="str">
        <f>IFERROR(VLOOKUP(A2594, Entries!A:K,11,false),"")</f>
        <v/>
      </c>
      <c r="O2594" s="23" t="b">
        <f>IFERROR(VLOOKUP(A2594, Entries!A:I,8,false),"")</f>
        <v>1</v>
      </c>
    </row>
    <row r="2595">
      <c r="A2595" s="78" t="s">
        <v>218</v>
      </c>
      <c r="B2595" s="78" t="s">
        <v>32</v>
      </c>
      <c r="C2595" s="85">
        <v>44888.0</v>
      </c>
      <c r="D2595" s="85">
        <v>45198.0</v>
      </c>
      <c r="E2595" s="86">
        <v>2.52</v>
      </c>
      <c r="F2595" s="87">
        <v>3.67</v>
      </c>
      <c r="G2595" s="88">
        <f t="shared" si="1"/>
        <v>1.15</v>
      </c>
      <c r="H2595" s="89">
        <f t="shared" si="10"/>
        <v>0.3133514986</v>
      </c>
      <c r="I2595" s="78" t="s">
        <v>3204</v>
      </c>
      <c r="J2595" s="78" t="s">
        <v>69</v>
      </c>
      <c r="K2595" s="58">
        <f t="shared" si="3"/>
        <v>310</v>
      </c>
      <c r="L2595" s="91" t="str">
        <f t="shared" si="8"/>
        <v>Fri</v>
      </c>
      <c r="M2595" s="78" t="str">
        <f>IFERROR(VLOOKUP(A2595, Entries!A:B,2,false),"")</f>
        <v>Square Enix</v>
      </c>
      <c r="N2595" s="23" t="str">
        <f>IFERROR(VLOOKUP(A2595, Entries!A:K,11,false),"")</f>
        <v/>
      </c>
      <c r="O2595" s="23" t="b">
        <f>IFERROR(VLOOKUP(A2595, Entries!A:I,8,false),"")</f>
        <v>1</v>
      </c>
    </row>
    <row r="2596">
      <c r="A2596" s="78" t="s">
        <v>84</v>
      </c>
      <c r="B2596" s="78" t="s">
        <v>19</v>
      </c>
      <c r="C2596" s="85">
        <v>44889.0</v>
      </c>
      <c r="D2596" s="85">
        <v>45181.0</v>
      </c>
      <c r="E2596" s="86">
        <v>21.62</v>
      </c>
      <c r="F2596" s="87">
        <v>22.37</v>
      </c>
      <c r="G2596" s="88">
        <f t="shared" si="1"/>
        <v>0.75</v>
      </c>
      <c r="H2596" s="89">
        <f t="shared" si="10"/>
        <v>0.03352704515</v>
      </c>
      <c r="I2596" s="78" t="s">
        <v>3205</v>
      </c>
      <c r="J2596" s="78" t="s">
        <v>69</v>
      </c>
      <c r="K2596" s="58">
        <f t="shared" si="3"/>
        <v>292</v>
      </c>
      <c r="L2596" s="91" t="str">
        <f t="shared" si="8"/>
        <v>Tue</v>
      </c>
      <c r="M2596" s="78" t="str">
        <f>IFERROR(VLOOKUP(A2596, Entries!A:B,2,false),"")</f>
        <v>Siege Camp</v>
      </c>
      <c r="N2596" s="23" t="str">
        <f>IFERROR(VLOOKUP(A2596, Entries!A:K,11,false),"")</f>
        <v/>
      </c>
      <c r="O2596" s="23" t="b">
        <f>IFERROR(VLOOKUP(A2596, Entries!A:I,8,false),"")</f>
        <v>1</v>
      </c>
    </row>
    <row r="2597">
      <c r="A2597" s="78" t="s">
        <v>1034</v>
      </c>
      <c r="B2597" s="78" t="s">
        <v>23</v>
      </c>
      <c r="C2597" s="85">
        <v>44893.0</v>
      </c>
      <c r="D2597" s="85">
        <v>44895.0</v>
      </c>
      <c r="E2597" s="86">
        <v>6.25</v>
      </c>
      <c r="F2597" s="87">
        <v>11.87</v>
      </c>
      <c r="G2597" s="88">
        <f t="shared" si="1"/>
        <v>5.62</v>
      </c>
      <c r="H2597" s="89">
        <f t="shared" si="10"/>
        <v>0.4734625105</v>
      </c>
      <c r="I2597" s="78" t="s">
        <v>3206</v>
      </c>
      <c r="J2597" s="78" t="s">
        <v>69</v>
      </c>
      <c r="K2597" s="58">
        <f t="shared" si="3"/>
        <v>2</v>
      </c>
      <c r="L2597" s="91" t="str">
        <f t="shared" si="8"/>
        <v>Wed</v>
      </c>
      <c r="M2597" s="78" t="str">
        <f>IFERROR(VLOOKUP(A2597, Entries!A:B,2,false),"")</f>
        <v>Eugen Systems</v>
      </c>
      <c r="N2597" s="23" t="str">
        <f>IFERROR(VLOOKUP(A2597, Entries!A:K,11,false),"")</f>
        <v/>
      </c>
      <c r="O2597" s="23" t="b">
        <f>IFERROR(VLOOKUP(A2597, Entries!A:I,8,false),"")</f>
        <v>1</v>
      </c>
    </row>
    <row r="2598">
      <c r="A2598" s="78" t="s">
        <v>1387</v>
      </c>
      <c r="B2598" s="78" t="s">
        <v>23</v>
      </c>
      <c r="C2598" s="85">
        <v>44893.0</v>
      </c>
      <c r="D2598" s="85">
        <v>44933.0</v>
      </c>
      <c r="E2598" s="86">
        <v>3.4</v>
      </c>
      <c r="F2598" s="87">
        <v>5.18</v>
      </c>
      <c r="G2598" s="88">
        <f t="shared" si="1"/>
        <v>1.78</v>
      </c>
      <c r="H2598" s="89">
        <f t="shared" si="10"/>
        <v>0.3436293436</v>
      </c>
      <c r="I2598" s="78" t="s">
        <v>3207</v>
      </c>
      <c r="J2598" s="78" t="s">
        <v>69</v>
      </c>
      <c r="K2598" s="58">
        <f t="shared" si="3"/>
        <v>40</v>
      </c>
      <c r="L2598" s="91" t="str">
        <f t="shared" si="8"/>
        <v>Sat</v>
      </c>
      <c r="M2598" s="78" t="str">
        <f>IFERROR(VLOOKUP(A2598, Entries!A:B,2,false),"")</f>
        <v>Eugen Systems</v>
      </c>
      <c r="N2598" s="23" t="str">
        <f>IFERROR(VLOOKUP(A2598, Entries!A:K,11,false),"")</f>
        <v/>
      </c>
      <c r="O2598" s="23" t="b">
        <f>IFERROR(VLOOKUP(A2598, Entries!A:I,8,false),"")</f>
        <v>0</v>
      </c>
    </row>
    <row r="2599">
      <c r="A2599" s="78" t="s">
        <v>1034</v>
      </c>
      <c r="B2599" s="78" t="s">
        <v>23</v>
      </c>
      <c r="C2599" s="85">
        <v>44893.0</v>
      </c>
      <c r="D2599" s="85">
        <v>44895.0</v>
      </c>
      <c r="E2599" s="86">
        <v>6.25</v>
      </c>
      <c r="F2599" s="87">
        <v>11.87</v>
      </c>
      <c r="G2599" s="88">
        <f t="shared" si="1"/>
        <v>5.62</v>
      </c>
      <c r="H2599" s="89">
        <f t="shared" si="10"/>
        <v>0.4734625105</v>
      </c>
      <c r="I2599" s="78" t="s">
        <v>3208</v>
      </c>
      <c r="J2599" s="78" t="s">
        <v>69</v>
      </c>
      <c r="K2599" s="58">
        <f t="shared" si="3"/>
        <v>2</v>
      </c>
      <c r="L2599" s="91" t="str">
        <f t="shared" si="8"/>
        <v>Wed</v>
      </c>
      <c r="M2599" s="78" t="str">
        <f>IFERROR(VLOOKUP(A2599, Entries!A:B,2,false),"")</f>
        <v>Eugen Systems</v>
      </c>
      <c r="N2599" s="23" t="str">
        <f>IFERROR(VLOOKUP(A2599, Entries!A:K,11,false),"")</f>
        <v/>
      </c>
      <c r="O2599" s="23" t="b">
        <f>IFERROR(VLOOKUP(A2599, Entries!A:I,8,false),"")</f>
        <v>1</v>
      </c>
    </row>
    <row r="2600">
      <c r="A2600" s="78" t="s">
        <v>719</v>
      </c>
      <c r="B2600" s="78" t="s">
        <v>19</v>
      </c>
      <c r="C2600" s="85">
        <v>44895.0</v>
      </c>
      <c r="D2600" s="85">
        <v>44936.0</v>
      </c>
      <c r="E2600" s="86">
        <v>10.0</v>
      </c>
      <c r="F2600" s="87">
        <v>14.21</v>
      </c>
      <c r="G2600" s="88">
        <f t="shared" si="1"/>
        <v>4.21</v>
      </c>
      <c r="H2600" s="89">
        <f t="shared" si="10"/>
        <v>0.2962702322</v>
      </c>
      <c r="I2600" s="78" t="s">
        <v>3209</v>
      </c>
      <c r="J2600" s="78" t="s">
        <v>69</v>
      </c>
      <c r="K2600" s="58">
        <f t="shared" si="3"/>
        <v>41</v>
      </c>
      <c r="L2600" s="91" t="str">
        <f t="shared" si="8"/>
        <v>Tue</v>
      </c>
      <c r="M2600" s="78" t="str">
        <f>IFERROR(VLOOKUP(A2600, Entries!A:B,2,false),"")</f>
        <v>Lukas Rustemeyer</v>
      </c>
      <c r="N2600" s="23" t="str">
        <f>IFERROR(VLOOKUP(A2600, Entries!A:K,11,false),"")</f>
        <v/>
      </c>
      <c r="O2600" s="23" t="b">
        <f>IFERROR(VLOOKUP(A2600, Entries!A:I,8,false),"")</f>
        <v>1</v>
      </c>
    </row>
    <row r="2601">
      <c r="A2601" s="78" t="s">
        <v>1034</v>
      </c>
      <c r="B2601" s="78" t="s">
        <v>23</v>
      </c>
      <c r="C2601" s="85">
        <v>44895.0</v>
      </c>
      <c r="D2601" s="85">
        <v>44896.0</v>
      </c>
      <c r="E2601" s="86">
        <v>6.31</v>
      </c>
      <c r="F2601" s="87">
        <v>11.78</v>
      </c>
      <c r="G2601" s="88">
        <f t="shared" si="1"/>
        <v>5.47</v>
      </c>
      <c r="H2601" s="89">
        <f t="shared" si="10"/>
        <v>0.4643463497</v>
      </c>
      <c r="I2601" s="78" t="s">
        <v>3210</v>
      </c>
      <c r="J2601" s="78" t="s">
        <v>69</v>
      </c>
      <c r="K2601" s="58">
        <f t="shared" si="3"/>
        <v>1</v>
      </c>
      <c r="L2601" s="91" t="str">
        <f t="shared" si="8"/>
        <v>Thu</v>
      </c>
      <c r="M2601" s="78" t="str">
        <f>IFERROR(VLOOKUP(A2601, Entries!A:B,2,false),"")</f>
        <v>Eugen Systems</v>
      </c>
      <c r="N2601" s="23" t="str">
        <f>IFERROR(VLOOKUP(A2601, Entries!A:K,11,false),"")</f>
        <v/>
      </c>
      <c r="O2601" s="23" t="b">
        <f>IFERROR(VLOOKUP(A2601, Entries!A:I,8,false),"")</f>
        <v>1</v>
      </c>
    </row>
    <row r="2602">
      <c r="A2602" s="78" t="s">
        <v>892</v>
      </c>
      <c r="B2602" s="78" t="s">
        <v>22</v>
      </c>
      <c r="C2602" s="85">
        <v>44896.0</v>
      </c>
      <c r="D2602" s="85">
        <v>44910.0</v>
      </c>
      <c r="E2602" s="86">
        <v>34.41</v>
      </c>
      <c r="F2602" s="87">
        <v>46.64</v>
      </c>
      <c r="G2602" s="88">
        <f t="shared" si="1"/>
        <v>12.23</v>
      </c>
      <c r="H2602" s="89">
        <f t="shared" si="10"/>
        <v>0.2622212693</v>
      </c>
      <c r="I2602" s="78" t="s">
        <v>3211</v>
      </c>
      <c r="J2602" s="78" t="s">
        <v>69</v>
      </c>
      <c r="K2602" s="58">
        <f t="shared" si="3"/>
        <v>14</v>
      </c>
      <c r="L2602" s="91" t="str">
        <f t="shared" si="8"/>
        <v>Thu</v>
      </c>
      <c r="M2602" s="78" t="str">
        <f>IFERROR(VLOOKUP(A2602, Entries!A:B,2,false),"")</f>
        <v>Square Enix</v>
      </c>
      <c r="N2602" s="23" t="str">
        <f>IFERROR(VLOOKUP(A2602, Entries!A:K,11,false),"")</f>
        <v/>
      </c>
      <c r="O2602" s="23" t="b">
        <f>IFERROR(VLOOKUP(A2602, Entries!A:I,8,false),"")</f>
        <v>1</v>
      </c>
    </row>
    <row r="2603">
      <c r="A2603" s="78" t="s">
        <v>1849</v>
      </c>
      <c r="B2603" s="78" t="s">
        <v>33</v>
      </c>
      <c r="C2603" s="85">
        <v>44900.0</v>
      </c>
      <c r="D2603" s="85">
        <v>44991.0</v>
      </c>
      <c r="E2603" s="86">
        <v>5.61</v>
      </c>
      <c r="F2603" s="87">
        <v>6.82</v>
      </c>
      <c r="G2603" s="88">
        <f t="shared" si="1"/>
        <v>1.21</v>
      </c>
      <c r="H2603" s="89">
        <f t="shared" si="10"/>
        <v>0.1774193548</v>
      </c>
      <c r="I2603" s="78" t="s">
        <v>3212</v>
      </c>
      <c r="J2603" s="78" t="s">
        <v>69</v>
      </c>
      <c r="K2603" s="58">
        <f t="shared" si="3"/>
        <v>91</v>
      </c>
      <c r="L2603" s="91" t="str">
        <f t="shared" si="8"/>
        <v>Mon</v>
      </c>
      <c r="M2603" s="78" t="str">
        <f>IFERROR(VLOOKUP(A2603, Entries!A:B,2,false),"")</f>
        <v>Marmalade Game Studio</v>
      </c>
      <c r="N2603" s="23" t="str">
        <f>IFERROR(VLOOKUP(A2603, Entries!A:K,11,false),"")</f>
        <v/>
      </c>
      <c r="O2603" s="23" t="b">
        <f>IFERROR(VLOOKUP(A2603, Entries!A:I,8,false),"")</f>
        <v>0</v>
      </c>
    </row>
    <row r="2604">
      <c r="A2604" s="78" t="s">
        <v>1406</v>
      </c>
      <c r="B2604" s="78" t="s">
        <v>23</v>
      </c>
      <c r="C2604" s="85">
        <v>44900.0</v>
      </c>
      <c r="D2604" s="85">
        <v>44908.0</v>
      </c>
      <c r="E2604" s="86">
        <v>15.98</v>
      </c>
      <c r="F2604" s="87">
        <v>26.28</v>
      </c>
      <c r="G2604" s="88">
        <f t="shared" si="1"/>
        <v>10.3</v>
      </c>
      <c r="H2604" s="89">
        <f t="shared" si="10"/>
        <v>0.3919330289</v>
      </c>
      <c r="I2604" s="78" t="s">
        <v>3213</v>
      </c>
      <c r="J2604" s="78" t="s">
        <v>69</v>
      </c>
      <c r="K2604" s="58">
        <f t="shared" si="3"/>
        <v>8</v>
      </c>
      <c r="L2604" s="91" t="str">
        <f t="shared" si="8"/>
        <v>Tue</v>
      </c>
      <c r="M2604" s="78" t="str">
        <f>IFERROR(VLOOKUP(A2604, Entries!A:B,2,false),"")</f>
        <v>Eugen Systems</v>
      </c>
      <c r="N2604" s="23" t="str">
        <f>IFERROR(VLOOKUP(A2604, Entries!A:K,11,false),"")</f>
        <v/>
      </c>
      <c r="O2604" s="23" t="b">
        <f>IFERROR(VLOOKUP(A2604, Entries!A:I,8,false),"")</f>
        <v>1</v>
      </c>
    </row>
    <row r="2605">
      <c r="A2605" s="78" t="s">
        <v>1389</v>
      </c>
      <c r="B2605" s="78" t="s">
        <v>23</v>
      </c>
      <c r="C2605" s="85">
        <v>44900.0</v>
      </c>
      <c r="D2605" s="85">
        <v>44901.0</v>
      </c>
      <c r="E2605" s="86">
        <v>8.24</v>
      </c>
      <c r="F2605" s="87">
        <v>15.5</v>
      </c>
      <c r="G2605" s="88">
        <f t="shared" si="1"/>
        <v>7.26</v>
      </c>
      <c r="H2605" s="89">
        <f t="shared" si="10"/>
        <v>0.4683870968</v>
      </c>
      <c r="I2605" s="78" t="s">
        <v>3214</v>
      </c>
      <c r="J2605" s="78" t="s">
        <v>69</v>
      </c>
      <c r="K2605" s="58">
        <f t="shared" si="3"/>
        <v>1</v>
      </c>
      <c r="L2605" s="91" t="str">
        <f t="shared" si="8"/>
        <v>Tue</v>
      </c>
      <c r="M2605" s="78" t="str">
        <f>IFERROR(VLOOKUP(A2605, Entries!A:B,2,false),"")</f>
        <v>Eugen Systems</v>
      </c>
      <c r="N2605" s="23" t="str">
        <f>IFERROR(VLOOKUP(A2605, Entries!A:K,11,false),"")</f>
        <v/>
      </c>
      <c r="O2605" s="23" t="b">
        <f>IFERROR(VLOOKUP(A2605, Entries!A:I,8,false),"")</f>
        <v>1</v>
      </c>
    </row>
    <row r="2606">
      <c r="A2606" s="78" t="s">
        <v>1389</v>
      </c>
      <c r="B2606" s="78" t="s">
        <v>23</v>
      </c>
      <c r="C2606" s="85">
        <v>44901.0</v>
      </c>
      <c r="D2606" s="85">
        <v>44906.0</v>
      </c>
      <c r="E2606" s="86">
        <v>8.2</v>
      </c>
      <c r="F2606" s="87">
        <v>15.77</v>
      </c>
      <c r="G2606" s="88">
        <f t="shared" si="1"/>
        <v>7.57</v>
      </c>
      <c r="H2606" s="89">
        <f t="shared" si="10"/>
        <v>0.4800253646</v>
      </c>
      <c r="I2606" s="78" t="s">
        <v>3215</v>
      </c>
      <c r="J2606" s="78" t="s">
        <v>69</v>
      </c>
      <c r="K2606" s="58">
        <f t="shared" si="3"/>
        <v>5</v>
      </c>
      <c r="L2606" s="91" t="str">
        <f t="shared" si="8"/>
        <v>Sun</v>
      </c>
      <c r="M2606" s="78" t="str">
        <f>IFERROR(VLOOKUP(A2606, Entries!A:B,2,false),"")</f>
        <v>Eugen Systems</v>
      </c>
      <c r="N2606" s="23" t="str">
        <f>IFERROR(VLOOKUP(A2606, Entries!A:K,11,false),"")</f>
        <v/>
      </c>
      <c r="O2606" s="23" t="b">
        <f>IFERROR(VLOOKUP(A2606, Entries!A:I,8,false),"")</f>
        <v>1</v>
      </c>
    </row>
    <row r="2607">
      <c r="A2607" s="78" t="s">
        <v>3216</v>
      </c>
      <c r="B2607" s="78" t="s">
        <v>23</v>
      </c>
      <c r="C2607" s="85">
        <v>44901.0</v>
      </c>
      <c r="D2607" s="85">
        <v>44963.0</v>
      </c>
      <c r="E2607" s="86">
        <v>6.95</v>
      </c>
      <c r="F2607" s="87">
        <v>7.76</v>
      </c>
      <c r="G2607" s="88">
        <f t="shared" si="1"/>
        <v>0.81</v>
      </c>
      <c r="H2607" s="89">
        <f t="shared" si="10"/>
        <v>0.1043814433</v>
      </c>
      <c r="I2607" s="78" t="s">
        <v>3217</v>
      </c>
      <c r="J2607" s="78" t="s">
        <v>69</v>
      </c>
      <c r="K2607" s="58">
        <f t="shared" si="3"/>
        <v>62</v>
      </c>
      <c r="L2607" s="91" t="str">
        <f t="shared" si="8"/>
        <v>Mon</v>
      </c>
      <c r="M2607" s="78" t="str">
        <f>IFERROR(VLOOKUP(A2607, Entries!A:B,2,false),"")</f>
        <v>Devolver Digital</v>
      </c>
      <c r="N2607" s="23" t="str">
        <f>IFERROR(VLOOKUP(A2607, Entries!A:K,11,false),"")</f>
        <v/>
      </c>
      <c r="O2607" s="23" t="b">
        <f>IFERROR(VLOOKUP(A2607, Entries!A:I,8,false),"")</f>
        <v>0</v>
      </c>
    </row>
    <row r="2608">
      <c r="A2608" s="78" t="s">
        <v>1389</v>
      </c>
      <c r="B2608" s="78" t="s">
        <v>23</v>
      </c>
      <c r="C2608" s="85">
        <v>44902.0</v>
      </c>
      <c r="D2608" s="85">
        <v>44906.0</v>
      </c>
      <c r="E2608" s="86">
        <v>8.22</v>
      </c>
      <c r="F2608" s="87">
        <v>15.77</v>
      </c>
      <c r="G2608" s="88">
        <f t="shared" si="1"/>
        <v>7.55</v>
      </c>
      <c r="H2608" s="89">
        <f t="shared" si="10"/>
        <v>0.4787571338</v>
      </c>
      <c r="I2608" s="78" t="s">
        <v>3218</v>
      </c>
      <c r="J2608" s="78" t="s">
        <v>69</v>
      </c>
      <c r="K2608" s="58">
        <f t="shared" si="3"/>
        <v>4</v>
      </c>
      <c r="L2608" s="91" t="str">
        <f t="shared" si="8"/>
        <v>Sun</v>
      </c>
      <c r="M2608" s="78" t="str">
        <f>IFERROR(VLOOKUP(A2608, Entries!A:B,2,false),"")</f>
        <v>Eugen Systems</v>
      </c>
      <c r="N2608" s="23" t="str">
        <f>IFERROR(VLOOKUP(A2608, Entries!A:K,11,false),"")</f>
        <v/>
      </c>
      <c r="O2608" s="23" t="b">
        <f>IFERROR(VLOOKUP(A2608, Entries!A:I,8,false),"")</f>
        <v>1</v>
      </c>
    </row>
    <row r="2609">
      <c r="A2609" s="78" t="s">
        <v>1406</v>
      </c>
      <c r="B2609" s="78" t="s">
        <v>23</v>
      </c>
      <c r="C2609" s="85">
        <v>44902.0</v>
      </c>
      <c r="D2609" s="85">
        <v>44913.0</v>
      </c>
      <c r="E2609" s="86">
        <v>15.93</v>
      </c>
      <c r="F2609" s="87">
        <v>34.2</v>
      </c>
      <c r="G2609" s="88">
        <f t="shared" si="1"/>
        <v>18.27</v>
      </c>
      <c r="H2609" s="89">
        <f t="shared" si="10"/>
        <v>0.5342105263</v>
      </c>
      <c r="I2609" s="78" t="s">
        <v>3219</v>
      </c>
      <c r="J2609" s="78" t="s">
        <v>69</v>
      </c>
      <c r="K2609" s="58">
        <f t="shared" si="3"/>
        <v>11</v>
      </c>
      <c r="L2609" s="91" t="str">
        <f t="shared" si="8"/>
        <v>Sun</v>
      </c>
      <c r="M2609" s="78" t="str">
        <f>IFERROR(VLOOKUP(A2609, Entries!A:B,2,false),"")</f>
        <v>Eugen Systems</v>
      </c>
      <c r="N2609" s="23" t="str">
        <f>IFERROR(VLOOKUP(A2609, Entries!A:K,11,false),"")</f>
        <v/>
      </c>
      <c r="O2609" s="23" t="b">
        <f>IFERROR(VLOOKUP(A2609, Entries!A:I,8,false),"")</f>
        <v>1</v>
      </c>
    </row>
    <row r="2610">
      <c r="A2610" s="78" t="s">
        <v>1406</v>
      </c>
      <c r="B2610" s="78" t="s">
        <v>23</v>
      </c>
      <c r="C2610" s="85">
        <v>44903.0</v>
      </c>
      <c r="D2610" s="85">
        <v>44916.0</v>
      </c>
      <c r="E2610" s="86">
        <v>15.95</v>
      </c>
      <c r="F2610" s="87">
        <v>34.17</v>
      </c>
      <c r="G2610" s="88">
        <f t="shared" si="1"/>
        <v>18.22</v>
      </c>
      <c r="H2610" s="89">
        <f t="shared" si="10"/>
        <v>0.5332162716</v>
      </c>
      <c r="I2610" s="78" t="s">
        <v>3220</v>
      </c>
      <c r="J2610" s="78" t="s">
        <v>69</v>
      </c>
      <c r="K2610" s="58">
        <f t="shared" si="3"/>
        <v>13</v>
      </c>
      <c r="L2610" s="91" t="str">
        <f t="shared" si="8"/>
        <v>Wed</v>
      </c>
      <c r="M2610" s="78" t="str">
        <f>IFERROR(VLOOKUP(A2610, Entries!A:B,2,false),"")</f>
        <v>Eugen Systems</v>
      </c>
      <c r="N2610" s="23" t="str">
        <f>IFERROR(VLOOKUP(A2610, Entries!A:K,11,false),"")</f>
        <v/>
      </c>
      <c r="O2610" s="23" t="b">
        <f>IFERROR(VLOOKUP(A2610, Entries!A:I,8,false),"")</f>
        <v>1</v>
      </c>
    </row>
    <row r="2611">
      <c r="A2611" s="78" t="s">
        <v>375</v>
      </c>
      <c r="B2611" s="78" t="s">
        <v>19</v>
      </c>
      <c r="C2611" s="85">
        <v>44908.0</v>
      </c>
      <c r="D2611" s="85">
        <v>44912.0</v>
      </c>
      <c r="E2611" s="86">
        <v>6.4</v>
      </c>
      <c r="F2611" s="87">
        <v>8.21</v>
      </c>
      <c r="G2611" s="88">
        <f t="shared" si="1"/>
        <v>1.81</v>
      </c>
      <c r="H2611" s="89">
        <f t="shared" si="10"/>
        <v>0.2204628502</v>
      </c>
      <c r="I2611" s="78" t="s">
        <v>3221</v>
      </c>
      <c r="J2611" s="78" t="s">
        <v>69</v>
      </c>
      <c r="K2611" s="58">
        <f t="shared" si="3"/>
        <v>4</v>
      </c>
      <c r="L2611" s="91" t="str">
        <f t="shared" si="8"/>
        <v>Sat</v>
      </c>
      <c r="M2611" s="78" t="str">
        <f>IFERROR(VLOOKUP(A2611, Entries!A:B,2,false),"")</f>
        <v>Survios</v>
      </c>
      <c r="N2611" s="23" t="str">
        <f>IFERROR(VLOOKUP(A2611, Entries!A:K,11,false),"")</f>
        <v/>
      </c>
      <c r="O2611" s="23" t="b">
        <f>IFERROR(VLOOKUP(A2611, Entries!A:I,8,false),"")</f>
        <v>1</v>
      </c>
    </row>
    <row r="2612">
      <c r="A2612" s="78" t="s">
        <v>2238</v>
      </c>
      <c r="B2612" s="78" t="s">
        <v>23</v>
      </c>
      <c r="C2612" s="85">
        <v>44908.0</v>
      </c>
      <c r="D2612" s="85">
        <v>44946.0</v>
      </c>
      <c r="E2612" s="86">
        <v>25.77</v>
      </c>
      <c r="F2612" s="87">
        <v>30.22</v>
      </c>
      <c r="G2612" s="88">
        <f t="shared" si="1"/>
        <v>4.45</v>
      </c>
      <c r="H2612" s="89">
        <f t="shared" si="10"/>
        <v>0.1472534745</v>
      </c>
      <c r="I2612" s="78" t="s">
        <v>3222</v>
      </c>
      <c r="J2612" s="78" t="s">
        <v>69</v>
      </c>
      <c r="K2612" s="58">
        <f t="shared" si="3"/>
        <v>38</v>
      </c>
      <c r="L2612" s="91" t="str">
        <f t="shared" si="8"/>
        <v>Fri</v>
      </c>
      <c r="M2612" s="78" t="str">
        <f>IFERROR(VLOOKUP(A2612, Entries!A:B,2,false),"")</f>
        <v>Shiro Games</v>
      </c>
      <c r="N2612" s="23" t="str">
        <f>IFERROR(VLOOKUP(A2612, Entries!A:K,11,false),"")</f>
        <v/>
      </c>
      <c r="O2612" s="23" t="b">
        <f>IFERROR(VLOOKUP(A2612, Entries!A:I,8,false),"")</f>
        <v>0</v>
      </c>
    </row>
    <row r="2613">
      <c r="A2613" s="78" t="s">
        <v>892</v>
      </c>
      <c r="B2613" s="78" t="s">
        <v>22</v>
      </c>
      <c r="C2613" s="85">
        <v>44911.0</v>
      </c>
      <c r="D2613" s="85">
        <v>44938.0</v>
      </c>
      <c r="E2613" s="86">
        <v>33.99</v>
      </c>
      <c r="F2613" s="87">
        <v>50.68</v>
      </c>
      <c r="G2613" s="88">
        <f t="shared" si="1"/>
        <v>16.69</v>
      </c>
      <c r="H2613" s="89">
        <f t="shared" si="10"/>
        <v>0.3293212313</v>
      </c>
      <c r="I2613" s="78" t="s">
        <v>3223</v>
      </c>
      <c r="J2613" s="78" t="s">
        <v>69</v>
      </c>
      <c r="K2613" s="58">
        <f t="shared" si="3"/>
        <v>27</v>
      </c>
      <c r="L2613" s="91" t="str">
        <f t="shared" si="8"/>
        <v>Thu</v>
      </c>
      <c r="M2613" s="78" t="str">
        <f>IFERROR(VLOOKUP(A2613, Entries!A:B,2,false),"")</f>
        <v>Square Enix</v>
      </c>
      <c r="N2613" s="23" t="str">
        <f>IFERROR(VLOOKUP(A2613, Entries!A:K,11,false),"")</f>
        <v/>
      </c>
      <c r="O2613" s="23" t="b">
        <f>IFERROR(VLOOKUP(A2613, Entries!A:I,8,false),"")</f>
        <v>1</v>
      </c>
    </row>
    <row r="2614">
      <c r="A2614" s="78" t="s">
        <v>2290</v>
      </c>
      <c r="B2614" s="78" t="s">
        <v>27</v>
      </c>
      <c r="C2614" s="85">
        <v>44911.0</v>
      </c>
      <c r="D2614" s="85">
        <v>44940.0</v>
      </c>
      <c r="E2614" s="86">
        <v>13.69</v>
      </c>
      <c r="F2614" s="87">
        <v>16.6</v>
      </c>
      <c r="G2614" s="88">
        <f t="shared" si="1"/>
        <v>2.91</v>
      </c>
      <c r="H2614" s="89">
        <f t="shared" si="10"/>
        <v>0.1753012048</v>
      </c>
      <c r="I2614" s="78" t="s">
        <v>3224</v>
      </c>
      <c r="J2614" s="78" t="s">
        <v>69</v>
      </c>
      <c r="K2614" s="58">
        <f t="shared" si="3"/>
        <v>29</v>
      </c>
      <c r="L2614" s="91" t="str">
        <f t="shared" si="8"/>
        <v>Sat</v>
      </c>
      <c r="M2614" s="78" t="str">
        <f>IFERROR(VLOOKUP(A2614, Entries!A:B,2,false),"")</f>
        <v>Bungie</v>
      </c>
      <c r="N2614" s="23" t="str">
        <f>IFERROR(VLOOKUP(A2614, Entries!A:K,11,false),"")</f>
        <v/>
      </c>
      <c r="O2614" s="23" t="b">
        <f>IFERROR(VLOOKUP(A2614, Entries!A:I,8,false),"")</f>
        <v>0</v>
      </c>
    </row>
    <row r="2615">
      <c r="A2615" s="78" t="s">
        <v>375</v>
      </c>
      <c r="B2615" s="78" t="s">
        <v>19</v>
      </c>
      <c r="C2615" s="85">
        <v>44912.0</v>
      </c>
      <c r="D2615" s="85">
        <v>44913.0</v>
      </c>
      <c r="E2615" s="86">
        <v>6.4</v>
      </c>
      <c r="F2615" s="87">
        <v>8.12</v>
      </c>
      <c r="G2615" s="88">
        <f t="shared" si="1"/>
        <v>1.72</v>
      </c>
      <c r="H2615" s="89">
        <f t="shared" si="10"/>
        <v>0.2118226601</v>
      </c>
      <c r="I2615" s="78" t="s">
        <v>3225</v>
      </c>
      <c r="J2615" s="78" t="s">
        <v>69</v>
      </c>
      <c r="K2615" s="58">
        <f t="shared" si="3"/>
        <v>1</v>
      </c>
      <c r="L2615" s="91" t="str">
        <f t="shared" si="8"/>
        <v>Sun</v>
      </c>
      <c r="M2615" s="78" t="str">
        <f>IFERROR(VLOOKUP(A2615, Entries!A:B,2,false),"")</f>
        <v>Survios</v>
      </c>
      <c r="N2615" s="23" t="str">
        <f>IFERROR(VLOOKUP(A2615, Entries!A:K,11,false),"")</f>
        <v/>
      </c>
      <c r="O2615" s="23" t="b">
        <f>IFERROR(VLOOKUP(A2615, Entries!A:I,8,false),"")</f>
        <v>1</v>
      </c>
    </row>
    <row r="2616">
      <c r="A2616" s="78" t="s">
        <v>3226</v>
      </c>
      <c r="B2616" s="78" t="s">
        <v>25</v>
      </c>
      <c r="C2616" s="85">
        <v>44912.0</v>
      </c>
      <c r="D2616" s="85">
        <v>44913.0</v>
      </c>
      <c r="E2616" s="86">
        <v>15.96</v>
      </c>
      <c r="F2616" s="87">
        <v>19.26</v>
      </c>
      <c r="G2616" s="88">
        <f t="shared" si="1"/>
        <v>3.3</v>
      </c>
      <c r="H2616" s="89">
        <f t="shared" si="10"/>
        <v>0.1713395639</v>
      </c>
      <c r="I2616" s="78" t="s">
        <v>3227</v>
      </c>
      <c r="J2616" s="78" t="s">
        <v>69</v>
      </c>
      <c r="K2616" s="58">
        <f t="shared" si="3"/>
        <v>1</v>
      </c>
      <c r="L2616" s="91" t="str">
        <f t="shared" si="8"/>
        <v>Sun</v>
      </c>
      <c r="M2616" s="78" t="str">
        <f>IFERROR(VLOOKUP(A2616, Entries!A:B,2,false),"")</f>
        <v>Total Mayhem Games</v>
      </c>
      <c r="N2616" s="23" t="str">
        <f>IFERROR(VLOOKUP(A2616, Entries!A:K,11,false),"")</f>
        <v/>
      </c>
      <c r="O2616" s="23" t="b">
        <f>IFERROR(VLOOKUP(A2616, Entries!A:I,8,false),"")</f>
        <v>0</v>
      </c>
    </row>
    <row r="2617">
      <c r="A2617" s="78" t="s">
        <v>2818</v>
      </c>
      <c r="B2617" s="78" t="s">
        <v>19</v>
      </c>
      <c r="C2617" s="85">
        <v>44912.0</v>
      </c>
      <c r="D2617" s="85">
        <v>44913.0</v>
      </c>
      <c r="E2617" s="86">
        <v>3.79</v>
      </c>
      <c r="F2617" s="87">
        <v>4.93</v>
      </c>
      <c r="G2617" s="88">
        <f t="shared" si="1"/>
        <v>1.14</v>
      </c>
      <c r="H2617" s="89">
        <f t="shared" si="10"/>
        <v>0.2312373225</v>
      </c>
      <c r="I2617" s="78" t="s">
        <v>3228</v>
      </c>
      <c r="J2617" s="78" t="s">
        <v>69</v>
      </c>
      <c r="K2617" s="58">
        <f t="shared" si="3"/>
        <v>1</v>
      </c>
      <c r="L2617" s="91" t="str">
        <f t="shared" si="8"/>
        <v>Sun</v>
      </c>
      <c r="M2617" s="78" t="str">
        <f>IFERROR(VLOOKUP(A2617, Entries!A:B,2,false),"")</f>
        <v>Daedalic Entertainment</v>
      </c>
      <c r="N2617" s="23" t="str">
        <f>IFERROR(VLOOKUP(A2617, Entries!A:K,11,false),"")</f>
        <v/>
      </c>
      <c r="O2617" s="23" t="b">
        <f>IFERROR(VLOOKUP(A2617, Entries!A:I,8,false),"")</f>
        <v>1</v>
      </c>
    </row>
    <row r="2618">
      <c r="A2618" s="78" t="s">
        <v>2818</v>
      </c>
      <c r="B2618" s="78" t="s">
        <v>19</v>
      </c>
      <c r="C2618" s="85">
        <v>44913.0</v>
      </c>
      <c r="D2618" s="85">
        <v>44913.0</v>
      </c>
      <c r="E2618" s="86">
        <v>3.79</v>
      </c>
      <c r="F2618" s="87">
        <v>4.94</v>
      </c>
      <c r="G2618" s="88">
        <f t="shared" si="1"/>
        <v>1.15</v>
      </c>
      <c r="H2618" s="89">
        <f t="shared" si="10"/>
        <v>0.2327935223</v>
      </c>
      <c r="I2618" s="78" t="s">
        <v>3229</v>
      </c>
      <c r="J2618" s="78" t="s">
        <v>69</v>
      </c>
      <c r="K2618" s="58">
        <f t="shared" si="3"/>
        <v>0</v>
      </c>
      <c r="L2618" s="91" t="str">
        <f t="shared" si="8"/>
        <v>Sun</v>
      </c>
      <c r="M2618" s="78" t="str">
        <f>IFERROR(VLOOKUP(A2618, Entries!A:B,2,false),"")</f>
        <v>Daedalic Entertainment</v>
      </c>
      <c r="N2618" s="23" t="str">
        <f>IFERROR(VLOOKUP(A2618, Entries!A:K,11,false),"")</f>
        <v/>
      </c>
      <c r="O2618" s="23" t="b">
        <f>IFERROR(VLOOKUP(A2618, Entries!A:I,8,false),"")</f>
        <v>1</v>
      </c>
    </row>
    <row r="2619">
      <c r="A2619" s="78" t="s">
        <v>375</v>
      </c>
      <c r="B2619" s="78" t="s">
        <v>19</v>
      </c>
      <c r="C2619" s="85">
        <v>44913.0</v>
      </c>
      <c r="D2619" s="85">
        <v>44913.0</v>
      </c>
      <c r="E2619" s="86">
        <v>6.4</v>
      </c>
      <c r="F2619" s="87">
        <v>8.12</v>
      </c>
      <c r="G2619" s="88">
        <f t="shared" si="1"/>
        <v>1.72</v>
      </c>
      <c r="H2619" s="89">
        <f t="shared" si="10"/>
        <v>0.2118226601</v>
      </c>
      <c r="I2619" s="78" t="s">
        <v>3230</v>
      </c>
      <c r="J2619" s="78" t="s">
        <v>69</v>
      </c>
      <c r="K2619" s="58">
        <f t="shared" si="3"/>
        <v>0</v>
      </c>
      <c r="L2619" s="91" t="str">
        <f t="shared" si="8"/>
        <v>Sun</v>
      </c>
      <c r="M2619" s="78" t="str">
        <f>IFERROR(VLOOKUP(A2619, Entries!A:B,2,false),"")</f>
        <v>Survios</v>
      </c>
      <c r="N2619" s="23" t="str">
        <f>IFERROR(VLOOKUP(A2619, Entries!A:K,11,false),"")</f>
        <v/>
      </c>
      <c r="O2619" s="23" t="b">
        <f>IFERROR(VLOOKUP(A2619, Entries!A:I,8,false),"")</f>
        <v>1</v>
      </c>
    </row>
    <row r="2620">
      <c r="A2620" s="78" t="s">
        <v>375</v>
      </c>
      <c r="B2620" s="78" t="s">
        <v>19</v>
      </c>
      <c r="C2620" s="85">
        <v>44913.0</v>
      </c>
      <c r="D2620" s="85">
        <v>44922.0</v>
      </c>
      <c r="E2620" s="86">
        <v>6.4</v>
      </c>
      <c r="F2620" s="87">
        <v>10.1</v>
      </c>
      <c r="G2620" s="88">
        <f t="shared" si="1"/>
        <v>3.7</v>
      </c>
      <c r="H2620" s="89">
        <f t="shared" si="10"/>
        <v>0.3663366337</v>
      </c>
      <c r="I2620" s="78" t="s">
        <v>3231</v>
      </c>
      <c r="J2620" s="78" t="s">
        <v>69</v>
      </c>
      <c r="K2620" s="58">
        <f t="shared" si="3"/>
        <v>9</v>
      </c>
      <c r="L2620" s="91" t="str">
        <f t="shared" si="8"/>
        <v>Tue</v>
      </c>
      <c r="M2620" s="78" t="str">
        <f>IFERROR(VLOOKUP(A2620, Entries!A:B,2,false),"")</f>
        <v>Survios</v>
      </c>
      <c r="N2620" s="23" t="str">
        <f>IFERROR(VLOOKUP(A2620, Entries!A:K,11,false),"")</f>
        <v/>
      </c>
      <c r="O2620" s="23" t="b">
        <f>IFERROR(VLOOKUP(A2620, Entries!A:I,8,false),"")</f>
        <v>1</v>
      </c>
    </row>
    <row r="2621">
      <c r="A2621" s="78" t="s">
        <v>2818</v>
      </c>
      <c r="B2621" s="78" t="s">
        <v>19</v>
      </c>
      <c r="C2621" s="85">
        <v>44913.0</v>
      </c>
      <c r="D2621" s="85">
        <v>44913.0</v>
      </c>
      <c r="E2621" s="86">
        <v>3.79</v>
      </c>
      <c r="F2621" s="87">
        <v>4.94</v>
      </c>
      <c r="G2621" s="88">
        <f t="shared" si="1"/>
        <v>1.15</v>
      </c>
      <c r="H2621" s="89">
        <f t="shared" si="10"/>
        <v>0.2327935223</v>
      </c>
      <c r="I2621" s="78" t="s">
        <v>3232</v>
      </c>
      <c r="J2621" s="78" t="s">
        <v>69</v>
      </c>
      <c r="K2621" s="58">
        <f t="shared" si="3"/>
        <v>0</v>
      </c>
      <c r="L2621" s="91" t="str">
        <f t="shared" si="8"/>
        <v>Sun</v>
      </c>
      <c r="M2621" s="78" t="str">
        <f>IFERROR(VLOOKUP(A2621, Entries!A:B,2,false),"")</f>
        <v>Daedalic Entertainment</v>
      </c>
      <c r="N2621" s="23" t="str">
        <f>IFERROR(VLOOKUP(A2621, Entries!A:K,11,false),"")</f>
        <v/>
      </c>
      <c r="O2621" s="23" t="b">
        <f>IFERROR(VLOOKUP(A2621, Entries!A:I,8,false),"")</f>
        <v>1</v>
      </c>
    </row>
    <row r="2622">
      <c r="A2622" s="78" t="s">
        <v>2818</v>
      </c>
      <c r="B2622" s="78" t="s">
        <v>19</v>
      </c>
      <c r="C2622" s="85">
        <v>44913.0</v>
      </c>
      <c r="D2622" s="85">
        <v>44914.0</v>
      </c>
      <c r="E2622" s="86">
        <v>3.79</v>
      </c>
      <c r="F2622" s="87">
        <v>4.94</v>
      </c>
      <c r="G2622" s="88">
        <f t="shared" si="1"/>
        <v>1.15</v>
      </c>
      <c r="H2622" s="89">
        <f t="shared" si="10"/>
        <v>0.2327935223</v>
      </c>
      <c r="I2622" s="78" t="s">
        <v>3233</v>
      </c>
      <c r="J2622" s="78" t="s">
        <v>69</v>
      </c>
      <c r="K2622" s="58">
        <f t="shared" si="3"/>
        <v>1</v>
      </c>
      <c r="L2622" s="91" t="str">
        <f t="shared" si="8"/>
        <v>Mon</v>
      </c>
      <c r="M2622" s="78" t="str">
        <f>IFERROR(VLOOKUP(A2622, Entries!A:B,2,false),"")</f>
        <v>Daedalic Entertainment</v>
      </c>
      <c r="N2622" s="23" t="str">
        <f>IFERROR(VLOOKUP(A2622, Entries!A:K,11,false),"")</f>
        <v/>
      </c>
      <c r="O2622" s="23" t="b">
        <f>IFERROR(VLOOKUP(A2622, Entries!A:I,8,false),"")</f>
        <v>1</v>
      </c>
    </row>
    <row r="2623">
      <c r="A2623" s="78" t="s">
        <v>2818</v>
      </c>
      <c r="B2623" s="78" t="s">
        <v>19</v>
      </c>
      <c r="C2623" s="85">
        <v>44914.0</v>
      </c>
      <c r="D2623" s="85">
        <v>44915.0</v>
      </c>
      <c r="E2623" s="86">
        <v>3.79</v>
      </c>
      <c r="F2623" s="87">
        <v>4.94</v>
      </c>
      <c r="G2623" s="88">
        <f t="shared" si="1"/>
        <v>1.15</v>
      </c>
      <c r="H2623" s="89">
        <f t="shared" si="10"/>
        <v>0.2327935223</v>
      </c>
      <c r="I2623" s="78" t="s">
        <v>3234</v>
      </c>
      <c r="J2623" s="78" t="s">
        <v>69</v>
      </c>
      <c r="K2623" s="58">
        <f t="shared" si="3"/>
        <v>1</v>
      </c>
      <c r="L2623" s="91" t="str">
        <f t="shared" si="8"/>
        <v>Tue</v>
      </c>
      <c r="M2623" s="78" t="str">
        <f>IFERROR(VLOOKUP(A2623, Entries!A:B,2,false),"")</f>
        <v>Daedalic Entertainment</v>
      </c>
      <c r="N2623" s="23" t="str">
        <f>IFERROR(VLOOKUP(A2623, Entries!A:K,11,false),"")</f>
        <v/>
      </c>
      <c r="O2623" s="23" t="b">
        <f>IFERROR(VLOOKUP(A2623, Entries!A:I,8,false),"")</f>
        <v>1</v>
      </c>
    </row>
    <row r="2624">
      <c r="A2624" s="78" t="s">
        <v>2818</v>
      </c>
      <c r="B2624" s="78" t="s">
        <v>19</v>
      </c>
      <c r="C2624" s="85">
        <v>44915.0</v>
      </c>
      <c r="D2624" s="85">
        <v>44915.0</v>
      </c>
      <c r="E2624" s="86">
        <v>3.79</v>
      </c>
      <c r="F2624" s="87">
        <v>4.94</v>
      </c>
      <c r="G2624" s="88">
        <f t="shared" si="1"/>
        <v>1.15</v>
      </c>
      <c r="H2624" s="89">
        <f t="shared" si="10"/>
        <v>0.2327935223</v>
      </c>
      <c r="I2624" s="78" t="s">
        <v>3235</v>
      </c>
      <c r="J2624" s="78" t="s">
        <v>69</v>
      </c>
      <c r="K2624" s="58">
        <f t="shared" si="3"/>
        <v>0</v>
      </c>
      <c r="L2624" s="91" t="str">
        <f t="shared" si="8"/>
        <v>Tue</v>
      </c>
      <c r="M2624" s="78" t="str">
        <f>IFERROR(VLOOKUP(A2624, Entries!A:B,2,false),"")</f>
        <v>Daedalic Entertainment</v>
      </c>
      <c r="N2624" s="23" t="str">
        <f>IFERROR(VLOOKUP(A2624, Entries!A:K,11,false),"")</f>
        <v/>
      </c>
      <c r="O2624" s="23" t="b">
        <f>IFERROR(VLOOKUP(A2624, Entries!A:I,8,false),"")</f>
        <v>1</v>
      </c>
    </row>
    <row r="2625">
      <c r="A2625" s="78" t="s">
        <v>2818</v>
      </c>
      <c r="B2625" s="78" t="s">
        <v>19</v>
      </c>
      <c r="C2625" s="85">
        <v>44915.0</v>
      </c>
      <c r="D2625" s="85">
        <v>44915.0</v>
      </c>
      <c r="E2625" s="86">
        <v>3.79</v>
      </c>
      <c r="F2625" s="87">
        <v>4.94</v>
      </c>
      <c r="G2625" s="88">
        <f t="shared" si="1"/>
        <v>1.15</v>
      </c>
      <c r="H2625" s="89">
        <f t="shared" si="10"/>
        <v>0.2327935223</v>
      </c>
      <c r="I2625" s="78" t="s">
        <v>3236</v>
      </c>
      <c r="J2625" s="78" t="s">
        <v>69</v>
      </c>
      <c r="K2625" s="58">
        <f t="shared" si="3"/>
        <v>0</v>
      </c>
      <c r="L2625" s="91" t="str">
        <f t="shared" si="8"/>
        <v>Tue</v>
      </c>
      <c r="M2625" s="78" t="str">
        <f>IFERROR(VLOOKUP(A2625, Entries!A:B,2,false),"")</f>
        <v>Daedalic Entertainment</v>
      </c>
      <c r="N2625" s="23" t="str">
        <f>IFERROR(VLOOKUP(A2625, Entries!A:K,11,false),"")</f>
        <v/>
      </c>
      <c r="O2625" s="23" t="b">
        <f>IFERROR(VLOOKUP(A2625, Entries!A:I,8,false),"")</f>
        <v>1</v>
      </c>
    </row>
    <row r="2626">
      <c r="A2626" s="78" t="s">
        <v>2818</v>
      </c>
      <c r="B2626" s="78" t="s">
        <v>19</v>
      </c>
      <c r="C2626" s="85">
        <v>44915.0</v>
      </c>
      <c r="D2626" s="85">
        <v>44916.0</v>
      </c>
      <c r="E2626" s="86">
        <v>3.79</v>
      </c>
      <c r="F2626" s="87">
        <v>5.94</v>
      </c>
      <c r="G2626" s="88">
        <f t="shared" si="1"/>
        <v>2.15</v>
      </c>
      <c r="H2626" s="89">
        <f t="shared" si="10"/>
        <v>0.361952862</v>
      </c>
      <c r="I2626" s="78" t="s">
        <v>3237</v>
      </c>
      <c r="J2626" s="78" t="s">
        <v>69</v>
      </c>
      <c r="K2626" s="58">
        <f t="shared" si="3"/>
        <v>1</v>
      </c>
      <c r="L2626" s="91" t="str">
        <f t="shared" si="8"/>
        <v>Wed</v>
      </c>
      <c r="M2626" s="78" t="str">
        <f>IFERROR(VLOOKUP(A2626, Entries!A:B,2,false),"")</f>
        <v>Daedalic Entertainment</v>
      </c>
      <c r="N2626" s="23" t="str">
        <f>IFERROR(VLOOKUP(A2626, Entries!A:K,11,false),"")</f>
        <v/>
      </c>
      <c r="O2626" s="23" t="b">
        <f>IFERROR(VLOOKUP(A2626, Entries!A:I,8,false),"")</f>
        <v>1</v>
      </c>
    </row>
    <row r="2627">
      <c r="A2627" s="78" t="s">
        <v>2818</v>
      </c>
      <c r="B2627" s="78" t="s">
        <v>19</v>
      </c>
      <c r="C2627" s="85">
        <v>44915.0</v>
      </c>
      <c r="D2627" s="85">
        <v>44987.0</v>
      </c>
      <c r="E2627" s="86">
        <v>3.79</v>
      </c>
      <c r="F2627" s="87">
        <v>5.21</v>
      </c>
      <c r="G2627" s="88">
        <f t="shared" si="1"/>
        <v>1.42</v>
      </c>
      <c r="H2627" s="89">
        <f t="shared" si="10"/>
        <v>0.2725527831</v>
      </c>
      <c r="I2627" s="78" t="s">
        <v>3238</v>
      </c>
      <c r="J2627" s="78" t="s">
        <v>69</v>
      </c>
      <c r="K2627" s="58">
        <f t="shared" si="3"/>
        <v>72</v>
      </c>
      <c r="L2627" s="91" t="str">
        <f t="shared" si="8"/>
        <v>Thu</v>
      </c>
      <c r="M2627" s="78" t="str">
        <f>IFERROR(VLOOKUP(A2627, Entries!A:B,2,false),"")</f>
        <v>Daedalic Entertainment</v>
      </c>
      <c r="N2627" s="23" t="str">
        <f>IFERROR(VLOOKUP(A2627, Entries!A:K,11,false),"")</f>
        <v/>
      </c>
      <c r="O2627" s="23" t="b">
        <f>IFERROR(VLOOKUP(A2627, Entries!A:I,8,false),"")</f>
        <v>1</v>
      </c>
    </row>
    <row r="2628">
      <c r="A2628" s="78" t="s">
        <v>2693</v>
      </c>
      <c r="B2628" s="78" t="s">
        <v>22</v>
      </c>
      <c r="C2628" s="85">
        <v>44915.0</v>
      </c>
      <c r="D2628" s="85">
        <v>44934.0</v>
      </c>
      <c r="E2628" s="86">
        <v>6.6</v>
      </c>
      <c r="F2628" s="87">
        <v>10.96</v>
      </c>
      <c r="G2628" s="88">
        <f t="shared" si="1"/>
        <v>4.36</v>
      </c>
      <c r="H2628" s="89">
        <f t="shared" si="10"/>
        <v>0.397810219</v>
      </c>
      <c r="I2628" s="78" t="s">
        <v>3239</v>
      </c>
      <c r="J2628" s="78" t="s">
        <v>69</v>
      </c>
      <c r="K2628" s="58">
        <f t="shared" si="3"/>
        <v>19</v>
      </c>
      <c r="L2628" s="91" t="str">
        <f t="shared" si="8"/>
        <v>Sun</v>
      </c>
      <c r="M2628" s="78" t="str">
        <f>IFERROR(VLOOKUP(A2628, Entries!A:B,2,false),"")</f>
        <v>Clever Plays</v>
      </c>
      <c r="N2628" s="23" t="str">
        <f>IFERROR(VLOOKUP(A2628, Entries!A:K,11,false),"")</f>
        <v/>
      </c>
      <c r="O2628" s="23" t="b">
        <f>IFERROR(VLOOKUP(A2628, Entries!A:I,8,false),"")</f>
        <v>0</v>
      </c>
    </row>
    <row r="2629">
      <c r="A2629" s="78" t="s">
        <v>2734</v>
      </c>
      <c r="B2629" s="78" t="s">
        <v>22</v>
      </c>
      <c r="C2629" s="85">
        <v>44917.0</v>
      </c>
      <c r="D2629" s="85">
        <v>45011.0</v>
      </c>
      <c r="E2629" s="86">
        <v>10.0</v>
      </c>
      <c r="F2629" s="87">
        <v>14.46</v>
      </c>
      <c r="G2629" s="88">
        <f t="shared" si="1"/>
        <v>4.46</v>
      </c>
      <c r="H2629" s="89">
        <f t="shared" si="10"/>
        <v>0.3084370678</v>
      </c>
      <c r="I2629" s="78" t="s">
        <v>3240</v>
      </c>
      <c r="J2629" s="78" t="s">
        <v>69</v>
      </c>
      <c r="K2629" s="58">
        <f t="shared" si="3"/>
        <v>94</v>
      </c>
      <c r="L2629" s="91" t="str">
        <f t="shared" si="8"/>
        <v>Sun</v>
      </c>
      <c r="M2629" s="78" t="str">
        <f>IFERROR(VLOOKUP(A2629, Entries!A:B,2,false),"")</f>
        <v>Dotemu</v>
      </c>
      <c r="N2629" s="23" t="str">
        <f>IFERROR(VLOOKUP(A2629, Entries!A:K,11,false),"")</f>
        <v/>
      </c>
      <c r="O2629" s="23" t="b">
        <f>IFERROR(VLOOKUP(A2629, Entries!A:I,8,false),"")</f>
        <v>0</v>
      </c>
    </row>
    <row r="2630">
      <c r="A2630" s="78" t="s">
        <v>2734</v>
      </c>
      <c r="B2630" s="78" t="s">
        <v>22</v>
      </c>
      <c r="C2630" s="85">
        <v>44917.0</v>
      </c>
      <c r="D2630" s="85">
        <v>45044.0</v>
      </c>
      <c r="E2630" s="86">
        <v>10.0</v>
      </c>
      <c r="F2630" s="87">
        <v>12.22</v>
      </c>
      <c r="G2630" s="88">
        <f t="shared" si="1"/>
        <v>2.22</v>
      </c>
      <c r="H2630" s="89">
        <f t="shared" si="10"/>
        <v>0.1816693944</v>
      </c>
      <c r="I2630" s="78" t="s">
        <v>3241</v>
      </c>
      <c r="J2630" s="78" t="s">
        <v>69</v>
      </c>
      <c r="K2630" s="58">
        <f t="shared" si="3"/>
        <v>127</v>
      </c>
      <c r="L2630" s="91" t="str">
        <f t="shared" si="8"/>
        <v>Fri</v>
      </c>
      <c r="M2630" s="78" t="str">
        <f>IFERROR(VLOOKUP(A2630, Entries!A:B,2,false),"")</f>
        <v>Dotemu</v>
      </c>
      <c r="N2630" s="23" t="str">
        <f>IFERROR(VLOOKUP(A2630, Entries!A:K,11,false),"")</f>
        <v/>
      </c>
      <c r="O2630" s="23" t="b">
        <f>IFERROR(VLOOKUP(A2630, Entries!A:I,8,false),"")</f>
        <v>0</v>
      </c>
    </row>
    <row r="2631">
      <c r="A2631" s="78" t="s">
        <v>3242</v>
      </c>
      <c r="B2631" s="78" t="s">
        <v>23</v>
      </c>
      <c r="C2631" s="85">
        <v>44918.0</v>
      </c>
      <c r="D2631" s="85">
        <v>44919.0</v>
      </c>
      <c r="E2631" s="86">
        <v>15.44</v>
      </c>
      <c r="F2631" s="87">
        <v>26.65</v>
      </c>
      <c r="G2631" s="88">
        <f t="shared" si="1"/>
        <v>11.21</v>
      </c>
      <c r="H2631" s="89">
        <f t="shared" si="10"/>
        <v>0.4206378987</v>
      </c>
      <c r="I2631" s="78" t="s">
        <v>3243</v>
      </c>
      <c r="J2631" s="78" t="s">
        <v>69</v>
      </c>
      <c r="K2631" s="58">
        <f t="shared" si="3"/>
        <v>1</v>
      </c>
      <c r="L2631" s="91" t="str">
        <f t="shared" si="8"/>
        <v>Sat</v>
      </c>
      <c r="M2631" s="78" t="str">
        <f>IFERROR(VLOOKUP(A2631, Entries!A:B,2,false),"")</f>
        <v>Devolver Digital</v>
      </c>
      <c r="N2631" s="23" t="str">
        <f>IFERROR(VLOOKUP(A2631, Entries!A:K,11,false),"")</f>
        <v/>
      </c>
      <c r="O2631" s="23" t="b">
        <f>IFERROR(VLOOKUP(A2631, Entries!A:I,8,false),"")</f>
        <v>0</v>
      </c>
    </row>
    <row r="2632">
      <c r="A2632" s="78" t="s">
        <v>3242</v>
      </c>
      <c r="B2632" s="78" t="s">
        <v>23</v>
      </c>
      <c r="C2632" s="85">
        <v>44919.0</v>
      </c>
      <c r="D2632" s="85">
        <v>44940.0</v>
      </c>
      <c r="E2632" s="86">
        <v>15.41</v>
      </c>
      <c r="F2632" s="87">
        <v>25.77</v>
      </c>
      <c r="G2632" s="88">
        <f t="shared" si="1"/>
        <v>10.36</v>
      </c>
      <c r="H2632" s="89">
        <f t="shared" si="10"/>
        <v>0.4020178502</v>
      </c>
      <c r="I2632" s="78" t="s">
        <v>3244</v>
      </c>
      <c r="J2632" s="78" t="s">
        <v>69</v>
      </c>
      <c r="K2632" s="58">
        <f t="shared" si="3"/>
        <v>21</v>
      </c>
      <c r="L2632" s="91" t="str">
        <f t="shared" si="8"/>
        <v>Sat</v>
      </c>
      <c r="M2632" s="78" t="str">
        <f>IFERROR(VLOOKUP(A2632, Entries!A:B,2,false),"")</f>
        <v>Devolver Digital</v>
      </c>
      <c r="N2632" s="23" t="str">
        <f>IFERROR(VLOOKUP(A2632, Entries!A:K,11,false),"")</f>
        <v/>
      </c>
      <c r="O2632" s="23" t="b">
        <f>IFERROR(VLOOKUP(A2632, Entries!A:I,8,false),"")</f>
        <v>0</v>
      </c>
    </row>
    <row r="2633">
      <c r="A2633" s="78" t="s">
        <v>3245</v>
      </c>
      <c r="B2633" s="78" t="s">
        <v>25</v>
      </c>
      <c r="C2633" s="85">
        <v>44920.0</v>
      </c>
      <c r="D2633" s="85">
        <v>44921.0</v>
      </c>
      <c r="E2633" s="86">
        <v>36.15</v>
      </c>
      <c r="F2633" s="87">
        <v>46.62</v>
      </c>
      <c r="G2633" s="88">
        <f t="shared" si="1"/>
        <v>10.47</v>
      </c>
      <c r="H2633" s="89">
        <f t="shared" si="10"/>
        <v>0.2245817246</v>
      </c>
      <c r="I2633" s="78" t="s">
        <v>3246</v>
      </c>
      <c r="J2633" s="78" t="s">
        <v>69</v>
      </c>
      <c r="K2633" s="58">
        <f t="shared" si="3"/>
        <v>1</v>
      </c>
      <c r="L2633" s="91" t="str">
        <f t="shared" si="8"/>
        <v>Mon</v>
      </c>
      <c r="M2633" s="78" t="str">
        <f>IFERROR(VLOOKUP(A2633, Entries!A:B,2,false),"")</f>
        <v>2K</v>
      </c>
      <c r="N2633" s="23" t="str">
        <f>IFERROR(VLOOKUP(A2633, Entries!A:K,11,false),"")</f>
        <v/>
      </c>
      <c r="O2633" s="23" t="b">
        <f>IFERROR(VLOOKUP(A2633, Entries!A:I,8,false),"")</f>
        <v>0</v>
      </c>
    </row>
    <row r="2634">
      <c r="A2634" s="78" t="s">
        <v>3247</v>
      </c>
      <c r="B2634" s="78" t="s">
        <v>19</v>
      </c>
      <c r="C2634" s="85">
        <v>44921.0</v>
      </c>
      <c r="D2634" s="85">
        <v>44951.0</v>
      </c>
      <c r="E2634" s="86">
        <v>35.33</v>
      </c>
      <c r="F2634" s="87">
        <v>42.45</v>
      </c>
      <c r="G2634" s="88">
        <f t="shared" si="1"/>
        <v>7.12</v>
      </c>
      <c r="H2634" s="89">
        <f t="shared" si="10"/>
        <v>0.1677267373</v>
      </c>
      <c r="I2634" s="78" t="s">
        <v>3248</v>
      </c>
      <c r="J2634" s="78" t="s">
        <v>69</v>
      </c>
      <c r="K2634" s="58">
        <f t="shared" si="3"/>
        <v>30</v>
      </c>
      <c r="L2634" s="91" t="str">
        <f t="shared" si="8"/>
        <v>Wed</v>
      </c>
      <c r="M2634" s="78" t="str">
        <f>IFERROR(VLOOKUP(A2634, Entries!A:B,2,false),"")</f>
        <v>SEGA</v>
      </c>
      <c r="N2634" s="23" t="str">
        <f>IFERROR(VLOOKUP(A2634, Entries!A:K,11,false),"")</f>
        <v/>
      </c>
      <c r="O2634" s="23" t="b">
        <f>IFERROR(VLOOKUP(A2634, Entries!A:I,8,false),"")</f>
        <v>0</v>
      </c>
    </row>
    <row r="2635">
      <c r="A2635" s="78" t="s">
        <v>375</v>
      </c>
      <c r="B2635" s="78" t="s">
        <v>19</v>
      </c>
      <c r="C2635" s="85">
        <v>44922.0</v>
      </c>
      <c r="D2635" s="85">
        <v>44934.0</v>
      </c>
      <c r="E2635" s="86">
        <v>5.74</v>
      </c>
      <c r="F2635" s="87">
        <v>8.03</v>
      </c>
      <c r="G2635" s="88">
        <f t="shared" si="1"/>
        <v>2.29</v>
      </c>
      <c r="H2635" s="89">
        <f t="shared" si="10"/>
        <v>0.2851805729</v>
      </c>
      <c r="I2635" s="78" t="s">
        <v>3249</v>
      </c>
      <c r="J2635" s="78" t="s">
        <v>69</v>
      </c>
      <c r="K2635" s="58">
        <f t="shared" si="3"/>
        <v>12</v>
      </c>
      <c r="L2635" s="91" t="str">
        <f t="shared" si="8"/>
        <v>Sun</v>
      </c>
      <c r="M2635" s="78" t="str">
        <f>IFERROR(VLOOKUP(A2635, Entries!A:B,2,false),"")</f>
        <v>Survios</v>
      </c>
      <c r="N2635" s="23" t="str">
        <f>IFERROR(VLOOKUP(A2635, Entries!A:K,11,false),"")</f>
        <v/>
      </c>
      <c r="O2635" s="23" t="b">
        <f>IFERROR(VLOOKUP(A2635, Entries!A:I,8,false),"")</f>
        <v>1</v>
      </c>
    </row>
    <row r="2636">
      <c r="A2636" s="78" t="s">
        <v>3250</v>
      </c>
      <c r="B2636" s="78" t="s">
        <v>22</v>
      </c>
      <c r="C2636" s="85">
        <v>44928.0</v>
      </c>
      <c r="D2636" s="85">
        <v>44931.0</v>
      </c>
      <c r="E2636" s="86">
        <v>34.66</v>
      </c>
      <c r="F2636" s="87">
        <v>41.67</v>
      </c>
      <c r="G2636" s="88">
        <f t="shared" si="1"/>
        <v>7.01</v>
      </c>
      <c r="H2636" s="89">
        <f t="shared" si="10"/>
        <v>0.1682265419</v>
      </c>
      <c r="I2636" s="78" t="s">
        <v>3251</v>
      </c>
      <c r="J2636" s="78" t="s">
        <v>69</v>
      </c>
      <c r="K2636" s="58">
        <f t="shared" si="3"/>
        <v>3</v>
      </c>
      <c r="L2636" s="91" t="str">
        <f t="shared" si="8"/>
        <v>Thu</v>
      </c>
      <c r="M2636" s="78" t="str">
        <f>IFERROR(VLOOKUP(A2636, Entries!A:B,2,false),"")</f>
        <v>2K</v>
      </c>
      <c r="N2636" s="23" t="str">
        <f>IFERROR(VLOOKUP(A2636, Entries!A:K,11,false),"")</f>
        <v/>
      </c>
      <c r="O2636" s="23" t="b">
        <f>IFERROR(VLOOKUP(A2636, Entries!A:I,8,false),"")</f>
        <v>0</v>
      </c>
    </row>
    <row r="2637">
      <c r="A2637" s="94" t="s">
        <v>3250</v>
      </c>
      <c r="B2637" s="78" t="s">
        <v>22</v>
      </c>
      <c r="C2637" s="85">
        <v>44931.0</v>
      </c>
      <c r="D2637" s="85">
        <v>45461.0</v>
      </c>
      <c r="E2637" s="86">
        <v>34.96</v>
      </c>
      <c r="F2637" s="87">
        <v>22.83</v>
      </c>
      <c r="G2637" s="88">
        <f t="shared" si="1"/>
        <v>-12.13</v>
      </c>
      <c r="H2637" s="89">
        <f t="shared" si="10"/>
        <v>-0.5313184406</v>
      </c>
      <c r="I2637" s="78" t="s">
        <v>3252</v>
      </c>
      <c r="J2637" s="78" t="s">
        <v>69</v>
      </c>
      <c r="K2637" s="58">
        <f t="shared" si="3"/>
        <v>530</v>
      </c>
      <c r="L2637" s="91" t="str">
        <f t="shared" si="8"/>
        <v>Tue</v>
      </c>
      <c r="M2637" s="78" t="str">
        <f>IFERROR(VLOOKUP(A2637, Entries!A:B,2,false),"")</f>
        <v>2K</v>
      </c>
      <c r="N2637" s="23" t="str">
        <f>IFERROR(VLOOKUP(A2637, Entries!A:K,11,false),"")</f>
        <v/>
      </c>
      <c r="O2637" s="23" t="b">
        <f>IFERROR(VLOOKUP(A2637, Entries!A:I,8,false),"")</f>
        <v>0</v>
      </c>
    </row>
    <row r="2638">
      <c r="A2638" s="78" t="s">
        <v>1656</v>
      </c>
      <c r="B2638" s="78" t="s">
        <v>22</v>
      </c>
      <c r="C2638" s="85">
        <v>44931.0</v>
      </c>
      <c r="D2638" s="85">
        <v>44932.0</v>
      </c>
      <c r="E2638" s="86">
        <v>11.89</v>
      </c>
      <c r="F2638" s="87">
        <v>14.83</v>
      </c>
      <c r="G2638" s="88">
        <f t="shared" si="1"/>
        <v>2.94</v>
      </c>
      <c r="H2638" s="89">
        <f t="shared" si="10"/>
        <v>0.198246797</v>
      </c>
      <c r="I2638" s="78" t="s">
        <v>3253</v>
      </c>
      <c r="J2638" s="78" t="s">
        <v>69</v>
      </c>
      <c r="K2638" s="58">
        <f t="shared" si="3"/>
        <v>1</v>
      </c>
      <c r="L2638" s="91" t="str">
        <f t="shared" si="8"/>
        <v>Fri</v>
      </c>
      <c r="M2638" s="78" t="str">
        <f>IFERROR(VLOOKUP(A2638, Entries!A:B,2,false),"")</f>
        <v>Overhype Studios</v>
      </c>
      <c r="N2638" s="23" t="str">
        <f>IFERROR(VLOOKUP(A2638, Entries!A:K,11,false),"")</f>
        <v/>
      </c>
      <c r="O2638" s="23" t="b">
        <f>IFERROR(VLOOKUP(A2638, Entries!A:I,8,false),"")</f>
        <v>1</v>
      </c>
    </row>
    <row r="2639">
      <c r="A2639" s="78" t="s">
        <v>1656</v>
      </c>
      <c r="B2639" s="78" t="s">
        <v>25</v>
      </c>
      <c r="C2639" s="85">
        <v>44932.0</v>
      </c>
      <c r="D2639" s="85">
        <v>44932.0</v>
      </c>
      <c r="E2639" s="86">
        <v>13.64</v>
      </c>
      <c r="F2639" s="87">
        <v>17.23</v>
      </c>
      <c r="G2639" s="88">
        <f t="shared" si="1"/>
        <v>3.59</v>
      </c>
      <c r="H2639" s="89">
        <f t="shared" si="10"/>
        <v>0.208357516</v>
      </c>
      <c r="I2639" s="78" t="s">
        <v>3254</v>
      </c>
      <c r="J2639" s="78" t="s">
        <v>69</v>
      </c>
      <c r="K2639" s="58">
        <f t="shared" si="3"/>
        <v>0</v>
      </c>
      <c r="L2639" s="91" t="str">
        <f t="shared" si="8"/>
        <v>Fri</v>
      </c>
      <c r="M2639" s="78" t="str">
        <f>IFERROR(VLOOKUP(A2639, Entries!A:B,2,false),"")</f>
        <v>Overhype Studios</v>
      </c>
      <c r="N2639" s="23" t="str">
        <f>IFERROR(VLOOKUP(A2639, Entries!A:K,11,false),"")</f>
        <v/>
      </c>
      <c r="O2639" s="23" t="b">
        <f>IFERROR(VLOOKUP(A2639, Entries!A:I,8,false),"")</f>
        <v>1</v>
      </c>
    </row>
    <row r="2640">
      <c r="A2640" s="78" t="s">
        <v>1656</v>
      </c>
      <c r="B2640" s="78" t="s">
        <v>25</v>
      </c>
      <c r="C2640" s="85">
        <v>44932.0</v>
      </c>
      <c r="D2640" s="85">
        <v>44933.0</v>
      </c>
      <c r="E2640" s="86">
        <v>13.64</v>
      </c>
      <c r="F2640" s="87">
        <v>19.87</v>
      </c>
      <c r="G2640" s="88">
        <f t="shared" si="1"/>
        <v>6.23</v>
      </c>
      <c r="H2640" s="89">
        <f t="shared" si="10"/>
        <v>0.313537997</v>
      </c>
      <c r="I2640" s="78" t="s">
        <v>3255</v>
      </c>
      <c r="J2640" s="78" t="s">
        <v>69</v>
      </c>
      <c r="K2640" s="58">
        <f t="shared" si="3"/>
        <v>1</v>
      </c>
      <c r="L2640" s="91" t="str">
        <f t="shared" si="8"/>
        <v>Sat</v>
      </c>
      <c r="M2640" s="78" t="str">
        <f>IFERROR(VLOOKUP(A2640, Entries!A:B,2,false),"")</f>
        <v>Overhype Studios</v>
      </c>
      <c r="N2640" s="23" t="str">
        <f>IFERROR(VLOOKUP(A2640, Entries!A:K,11,false),"")</f>
        <v/>
      </c>
      <c r="O2640" s="23" t="b">
        <f>IFERROR(VLOOKUP(A2640, Entries!A:I,8,false),"")</f>
        <v>1</v>
      </c>
    </row>
    <row r="2641">
      <c r="A2641" s="78" t="s">
        <v>1656</v>
      </c>
      <c r="B2641" s="78" t="s">
        <v>34</v>
      </c>
      <c r="C2641" s="85">
        <v>44932.0</v>
      </c>
      <c r="D2641" s="85">
        <v>44933.0</v>
      </c>
      <c r="E2641" s="86">
        <v>12.32</v>
      </c>
      <c r="F2641" s="87">
        <v>19.87</v>
      </c>
      <c r="G2641" s="88">
        <f t="shared" si="1"/>
        <v>7.55</v>
      </c>
      <c r="H2641" s="89">
        <f t="shared" si="10"/>
        <v>0.3799698037</v>
      </c>
      <c r="I2641" s="78" t="s">
        <v>3256</v>
      </c>
      <c r="J2641" s="78" t="s">
        <v>69</v>
      </c>
      <c r="K2641" s="58">
        <f t="shared" si="3"/>
        <v>1</v>
      </c>
      <c r="L2641" s="91" t="str">
        <f t="shared" si="8"/>
        <v>Sat</v>
      </c>
      <c r="M2641" s="78" t="str">
        <f>IFERROR(VLOOKUP(A2641, Entries!A:B,2,false),"")</f>
        <v>Overhype Studios</v>
      </c>
      <c r="N2641" s="23" t="str">
        <f>IFERROR(VLOOKUP(A2641, Entries!A:K,11,false),"")</f>
        <v/>
      </c>
      <c r="O2641" s="23" t="b">
        <f>IFERROR(VLOOKUP(A2641, Entries!A:I,8,false),"")</f>
        <v>1</v>
      </c>
    </row>
    <row r="2642">
      <c r="A2642" s="78" t="s">
        <v>3245</v>
      </c>
      <c r="B2642" s="78" t="s">
        <v>25</v>
      </c>
      <c r="C2642" s="85">
        <v>44934.0</v>
      </c>
      <c r="D2642" s="85">
        <v>44937.0</v>
      </c>
      <c r="E2642" s="86">
        <v>32.15</v>
      </c>
      <c r="F2642" s="87">
        <v>38.25</v>
      </c>
      <c r="G2642" s="88">
        <f t="shared" si="1"/>
        <v>6.1</v>
      </c>
      <c r="H2642" s="89">
        <f t="shared" si="10"/>
        <v>0.1594771242</v>
      </c>
      <c r="I2642" s="78" t="s">
        <v>3257</v>
      </c>
      <c r="J2642" s="78" t="s">
        <v>69</v>
      </c>
      <c r="K2642" s="58">
        <f t="shared" si="3"/>
        <v>3</v>
      </c>
      <c r="L2642" s="91" t="str">
        <f t="shared" si="8"/>
        <v>Wed</v>
      </c>
      <c r="M2642" s="78" t="str">
        <f>IFERROR(VLOOKUP(A2642, Entries!A:B,2,false),"")</f>
        <v>2K</v>
      </c>
      <c r="N2642" s="23" t="str">
        <f>IFERROR(VLOOKUP(A2642, Entries!A:K,11,false),"")</f>
        <v/>
      </c>
      <c r="O2642" s="23" t="b">
        <f>IFERROR(VLOOKUP(A2642, Entries!A:I,8,false),"")</f>
        <v>0</v>
      </c>
    </row>
    <row r="2643">
      <c r="A2643" s="78" t="s">
        <v>1656</v>
      </c>
      <c r="B2643" s="78" t="s">
        <v>25</v>
      </c>
      <c r="C2643" s="85">
        <v>44934.0</v>
      </c>
      <c r="D2643" s="85">
        <v>44934.0</v>
      </c>
      <c r="E2643" s="86">
        <v>18.0</v>
      </c>
      <c r="F2643" s="87">
        <v>21.43</v>
      </c>
      <c r="G2643" s="88">
        <f t="shared" si="1"/>
        <v>3.43</v>
      </c>
      <c r="H2643" s="89">
        <f t="shared" si="10"/>
        <v>0.1600559963</v>
      </c>
      <c r="I2643" s="78" t="s">
        <v>3258</v>
      </c>
      <c r="J2643" s="78" t="s">
        <v>69</v>
      </c>
      <c r="K2643" s="58">
        <f t="shared" si="3"/>
        <v>0</v>
      </c>
      <c r="L2643" s="91" t="str">
        <f t="shared" si="8"/>
        <v>Sun</v>
      </c>
      <c r="M2643" s="78" t="str">
        <f>IFERROR(VLOOKUP(A2643, Entries!A:B,2,false),"")</f>
        <v>Overhype Studios</v>
      </c>
      <c r="N2643" s="23" t="str">
        <f>IFERROR(VLOOKUP(A2643, Entries!A:K,11,false),"")</f>
        <v/>
      </c>
      <c r="O2643" s="23" t="b">
        <f>IFERROR(VLOOKUP(A2643, Entries!A:I,8,false),"")</f>
        <v>1</v>
      </c>
    </row>
    <row r="2644">
      <c r="A2644" s="78" t="s">
        <v>2066</v>
      </c>
      <c r="B2644" s="78" t="s">
        <v>27</v>
      </c>
      <c r="C2644" s="85">
        <v>44934.0</v>
      </c>
      <c r="D2644" s="85">
        <v>44940.0</v>
      </c>
      <c r="E2644" s="86">
        <v>8.69</v>
      </c>
      <c r="F2644" s="87">
        <v>12.67</v>
      </c>
      <c r="G2644" s="88">
        <f t="shared" si="1"/>
        <v>3.98</v>
      </c>
      <c r="H2644" s="89">
        <f t="shared" si="10"/>
        <v>0.3141278611</v>
      </c>
      <c r="I2644" s="78" t="s">
        <v>3259</v>
      </c>
      <c r="J2644" s="78" t="s">
        <v>69</v>
      </c>
      <c r="K2644" s="58">
        <f t="shared" si="3"/>
        <v>6</v>
      </c>
      <c r="L2644" s="91" t="str">
        <f t="shared" si="8"/>
        <v>Sat</v>
      </c>
      <c r="M2644" s="78" t="str">
        <f>IFERROR(VLOOKUP(A2644, Entries!A:B,2,false),"")</f>
        <v>Annapurna Interactive</v>
      </c>
      <c r="N2644" s="23" t="str">
        <f>IFERROR(VLOOKUP(A2644, Entries!A:K,11,false),"")</f>
        <v/>
      </c>
      <c r="O2644" s="23" t="b">
        <f>IFERROR(VLOOKUP(A2644, Entries!A:I,8,false),"")</f>
        <v>0</v>
      </c>
    </row>
    <row r="2645">
      <c r="A2645" s="78" t="s">
        <v>1656</v>
      </c>
      <c r="B2645" s="78" t="s">
        <v>25</v>
      </c>
      <c r="C2645" s="85">
        <v>44934.0</v>
      </c>
      <c r="D2645" s="85">
        <v>44945.0</v>
      </c>
      <c r="E2645" s="86">
        <v>20.39</v>
      </c>
      <c r="F2645" s="87">
        <v>24.9</v>
      </c>
      <c r="G2645" s="88">
        <f t="shared" si="1"/>
        <v>4.51</v>
      </c>
      <c r="H2645" s="89">
        <f t="shared" si="10"/>
        <v>0.181124498</v>
      </c>
      <c r="I2645" s="78" t="s">
        <v>3260</v>
      </c>
      <c r="J2645" s="78" t="s">
        <v>69</v>
      </c>
      <c r="K2645" s="58">
        <f t="shared" si="3"/>
        <v>11</v>
      </c>
      <c r="L2645" s="91" t="str">
        <f t="shared" si="8"/>
        <v>Thu</v>
      </c>
      <c r="M2645" s="78" t="str">
        <f>IFERROR(VLOOKUP(A2645, Entries!A:B,2,false),"")</f>
        <v>Overhype Studios</v>
      </c>
      <c r="N2645" s="23" t="str">
        <f>IFERROR(VLOOKUP(A2645, Entries!A:K,11,false),"")</f>
        <v/>
      </c>
      <c r="O2645" s="23" t="b">
        <f>IFERROR(VLOOKUP(A2645, Entries!A:I,8,false),"")</f>
        <v>1</v>
      </c>
    </row>
    <row r="2646">
      <c r="A2646" s="78" t="s">
        <v>719</v>
      </c>
      <c r="B2646" s="78" t="s">
        <v>19</v>
      </c>
      <c r="C2646" s="85">
        <v>44936.0</v>
      </c>
      <c r="D2646" s="85">
        <v>44938.0</v>
      </c>
      <c r="E2646" s="86">
        <v>11.17</v>
      </c>
      <c r="F2646" s="87">
        <v>14.17</v>
      </c>
      <c r="G2646" s="88">
        <f t="shared" si="1"/>
        <v>3</v>
      </c>
      <c r="H2646" s="89">
        <f t="shared" si="10"/>
        <v>0.2117148906</v>
      </c>
      <c r="I2646" s="78" t="s">
        <v>3261</v>
      </c>
      <c r="J2646" s="78" t="s">
        <v>69</v>
      </c>
      <c r="K2646" s="58">
        <f t="shared" si="3"/>
        <v>2</v>
      </c>
      <c r="L2646" s="91" t="str">
        <f t="shared" si="8"/>
        <v>Thu</v>
      </c>
      <c r="M2646" s="78" t="str">
        <f>IFERROR(VLOOKUP(A2646, Entries!A:B,2,false),"")</f>
        <v>Lukas Rustemeyer</v>
      </c>
      <c r="N2646" s="23" t="str">
        <f>IFERROR(VLOOKUP(A2646, Entries!A:K,11,false),"")</f>
        <v/>
      </c>
      <c r="O2646" s="23" t="b">
        <f>IFERROR(VLOOKUP(A2646, Entries!A:I,8,false),"")</f>
        <v>1</v>
      </c>
    </row>
    <row r="2647">
      <c r="A2647" s="78" t="s">
        <v>2693</v>
      </c>
      <c r="B2647" s="78" t="s">
        <v>26</v>
      </c>
      <c r="C2647" s="85">
        <v>44936.0</v>
      </c>
      <c r="D2647" s="85">
        <v>45633.0</v>
      </c>
      <c r="E2647" s="86">
        <v>7.84</v>
      </c>
      <c r="F2647" s="87">
        <v>4.06</v>
      </c>
      <c r="G2647" s="88">
        <f t="shared" si="1"/>
        <v>-3.78</v>
      </c>
      <c r="H2647" s="89">
        <f t="shared" si="10"/>
        <v>-0.9310344828</v>
      </c>
      <c r="I2647" s="78" t="s">
        <v>3262</v>
      </c>
      <c r="J2647" s="78" t="s">
        <v>69</v>
      </c>
      <c r="K2647" s="58">
        <f t="shared" si="3"/>
        <v>697</v>
      </c>
      <c r="L2647" s="91" t="str">
        <f t="shared" si="8"/>
        <v>Sat</v>
      </c>
      <c r="M2647" s="78" t="str">
        <f>IFERROR(VLOOKUP(A2647, Entries!A:B,2,false),"")</f>
        <v>Clever Plays</v>
      </c>
      <c r="N2647" s="23" t="str">
        <f>IFERROR(VLOOKUP(A2647, Entries!A:K,11,false),"")</f>
        <v/>
      </c>
      <c r="O2647" s="23" t="b">
        <f>IFERROR(VLOOKUP(A2647, Entries!A:I,8,false),"")</f>
        <v>0</v>
      </c>
    </row>
    <row r="2648">
      <c r="A2648" s="78" t="s">
        <v>3245</v>
      </c>
      <c r="B2648" s="78" t="s">
        <v>25</v>
      </c>
      <c r="C2648" s="85">
        <v>44937.0</v>
      </c>
      <c r="D2648" s="25"/>
      <c r="E2648" s="86">
        <v>25.15</v>
      </c>
      <c r="F2648" s="88"/>
      <c r="G2648" s="88">
        <f t="shared" si="1"/>
        <v>-25.15</v>
      </c>
      <c r="H2648" s="89" t="str">
        <f t="shared" si="10"/>
        <v/>
      </c>
      <c r="I2648" s="94" t="s">
        <v>3263</v>
      </c>
      <c r="J2648" s="78" t="s">
        <v>1129</v>
      </c>
      <c r="K2648" s="58" t="str">
        <f t="shared" si="3"/>
        <v/>
      </c>
      <c r="L2648" s="91" t="str">
        <f t="shared" si="8"/>
        <v/>
      </c>
      <c r="M2648" s="78" t="str">
        <f>IFERROR(VLOOKUP(A2648, Entries!A:B,2,false),"")</f>
        <v>2K</v>
      </c>
      <c r="N2648" s="23" t="str">
        <f>IFERROR(VLOOKUP(A2648, Entries!A:K,11,false),"")</f>
        <v/>
      </c>
      <c r="O2648" s="23" t="b">
        <f>IFERROR(VLOOKUP(A2648, Entries!A:I,8,false),"")</f>
        <v>0</v>
      </c>
    </row>
    <row r="2649">
      <c r="A2649" s="78" t="s">
        <v>3264</v>
      </c>
      <c r="B2649" s="78" t="s">
        <v>19</v>
      </c>
      <c r="C2649" s="85">
        <v>44937.0</v>
      </c>
      <c r="D2649" s="85">
        <v>44940.0</v>
      </c>
      <c r="E2649" s="86">
        <v>12.93</v>
      </c>
      <c r="F2649" s="87">
        <v>16.67</v>
      </c>
      <c r="G2649" s="88">
        <f t="shared" si="1"/>
        <v>3.74</v>
      </c>
      <c r="H2649" s="89">
        <f t="shared" si="10"/>
        <v>0.224355129</v>
      </c>
      <c r="I2649" s="78" t="s">
        <v>3265</v>
      </c>
      <c r="J2649" s="78" t="s">
        <v>69</v>
      </c>
      <c r="K2649" s="58">
        <f t="shared" si="3"/>
        <v>3</v>
      </c>
      <c r="L2649" s="91" t="str">
        <f t="shared" si="8"/>
        <v>Sat</v>
      </c>
      <c r="M2649" s="78" t="str">
        <f>IFERROR(VLOOKUP(A2649, Entries!A:B,2,false),"")</f>
        <v>2K</v>
      </c>
      <c r="N2649" s="23" t="str">
        <f>IFERROR(VLOOKUP(A2649, Entries!A:K,11,false),"")</f>
        <v/>
      </c>
      <c r="O2649" s="23" t="b">
        <f>IFERROR(VLOOKUP(A2649, Entries!A:I,8,false),"")</f>
        <v>0</v>
      </c>
    </row>
    <row r="2650">
      <c r="A2650" s="78" t="s">
        <v>719</v>
      </c>
      <c r="B2650" s="78" t="s">
        <v>19</v>
      </c>
      <c r="C2650" s="85">
        <v>44938.0</v>
      </c>
      <c r="D2650" s="85">
        <v>44961.0</v>
      </c>
      <c r="E2650" s="86">
        <v>11.06</v>
      </c>
      <c r="F2650" s="87">
        <v>13.68</v>
      </c>
      <c r="G2650" s="88">
        <f t="shared" si="1"/>
        <v>2.62</v>
      </c>
      <c r="H2650" s="89">
        <f t="shared" si="10"/>
        <v>0.1915204678</v>
      </c>
      <c r="I2650" s="78" t="s">
        <v>3266</v>
      </c>
      <c r="J2650" s="78" t="s">
        <v>69</v>
      </c>
      <c r="K2650" s="58">
        <f t="shared" si="3"/>
        <v>23</v>
      </c>
      <c r="L2650" s="91" t="str">
        <f t="shared" si="8"/>
        <v>Sat</v>
      </c>
      <c r="M2650" s="78" t="str">
        <f>IFERROR(VLOOKUP(A2650, Entries!A:B,2,false),"")</f>
        <v>Lukas Rustemeyer</v>
      </c>
      <c r="N2650" s="23" t="str">
        <f>IFERROR(VLOOKUP(A2650, Entries!A:K,11,false),"")</f>
        <v/>
      </c>
      <c r="O2650" s="23" t="b">
        <f>IFERROR(VLOOKUP(A2650, Entries!A:I,8,false),"")</f>
        <v>1</v>
      </c>
    </row>
    <row r="2651">
      <c r="A2651" s="78" t="s">
        <v>3267</v>
      </c>
      <c r="B2651" s="78" t="s">
        <v>21</v>
      </c>
      <c r="C2651" s="85">
        <v>44938.0</v>
      </c>
      <c r="D2651" s="85">
        <v>44940.0</v>
      </c>
      <c r="E2651" s="86">
        <v>42.52</v>
      </c>
      <c r="F2651" s="87">
        <v>52.04</v>
      </c>
      <c r="G2651" s="88">
        <f t="shared" si="1"/>
        <v>9.52</v>
      </c>
      <c r="H2651" s="89">
        <f t="shared" si="10"/>
        <v>0.1829362029</v>
      </c>
      <c r="I2651" s="78" t="s">
        <v>3268</v>
      </c>
      <c r="J2651" s="78" t="s">
        <v>69</v>
      </c>
      <c r="K2651" s="58">
        <f t="shared" si="3"/>
        <v>2</v>
      </c>
      <c r="L2651" s="91" t="str">
        <f t="shared" si="8"/>
        <v>Sat</v>
      </c>
      <c r="M2651" s="78" t="str">
        <f>IFERROR(VLOOKUP(A2651, Entries!A:B,2,false),"")</f>
        <v>Squanch Games</v>
      </c>
      <c r="N2651" s="23" t="str">
        <f>IFERROR(VLOOKUP(A2651, Entries!A:K,11,false),"")</f>
        <v/>
      </c>
      <c r="O2651" s="23" t="b">
        <f>IFERROR(VLOOKUP(A2651, Entries!A:I,8,false),"")</f>
        <v>0</v>
      </c>
    </row>
    <row r="2652">
      <c r="A2652" s="78" t="s">
        <v>3269</v>
      </c>
      <c r="B2652" s="78" t="s">
        <v>27</v>
      </c>
      <c r="C2652" s="85">
        <v>44938.0</v>
      </c>
      <c r="D2652" s="85">
        <v>44962.0</v>
      </c>
      <c r="E2652" s="86">
        <v>10.39</v>
      </c>
      <c r="F2652" s="87">
        <v>11.82</v>
      </c>
      <c r="G2652" s="88">
        <f t="shared" si="1"/>
        <v>1.43</v>
      </c>
      <c r="H2652" s="89">
        <f t="shared" si="10"/>
        <v>0.1209813875</v>
      </c>
      <c r="I2652" s="78" t="s">
        <v>3270</v>
      </c>
      <c r="J2652" s="78" t="s">
        <v>69</v>
      </c>
      <c r="K2652" s="58">
        <f t="shared" si="3"/>
        <v>24</v>
      </c>
      <c r="L2652" s="91" t="str">
        <f t="shared" si="8"/>
        <v>Sun</v>
      </c>
      <c r="M2652" s="78" t="str">
        <f>IFERROR(VLOOKUP(A2652, Entries!A:B,2,false),"")</f>
        <v>Daedalic Entertainment</v>
      </c>
      <c r="N2652" s="23" t="str">
        <f>IFERROR(VLOOKUP(A2652, Entries!A:K,11,false),"")</f>
        <v/>
      </c>
      <c r="O2652" s="23" t="b">
        <f>IFERROR(VLOOKUP(A2652, Entries!A:I,8,false),"")</f>
        <v>0</v>
      </c>
    </row>
    <row r="2653">
      <c r="A2653" s="78" t="s">
        <v>892</v>
      </c>
      <c r="B2653" s="78" t="s">
        <v>22</v>
      </c>
      <c r="C2653" s="85">
        <v>44938.0</v>
      </c>
      <c r="D2653" s="85">
        <v>44939.0</v>
      </c>
      <c r="E2653" s="86">
        <v>31.84</v>
      </c>
      <c r="F2653" s="87">
        <v>50.68</v>
      </c>
      <c r="G2653" s="88">
        <f t="shared" si="1"/>
        <v>18.84</v>
      </c>
      <c r="H2653" s="89">
        <f t="shared" si="10"/>
        <v>0.3717442778</v>
      </c>
      <c r="I2653" s="78" t="s">
        <v>3271</v>
      </c>
      <c r="J2653" s="78" t="s">
        <v>69</v>
      </c>
      <c r="K2653" s="58">
        <f t="shared" si="3"/>
        <v>1</v>
      </c>
      <c r="L2653" s="91" t="str">
        <f t="shared" si="8"/>
        <v>Fri</v>
      </c>
      <c r="M2653" s="78" t="str">
        <f>IFERROR(VLOOKUP(A2653, Entries!A:B,2,false),"")</f>
        <v>Square Enix</v>
      </c>
      <c r="N2653" s="23" t="str">
        <f>IFERROR(VLOOKUP(A2653, Entries!A:K,11,false),"")</f>
        <v/>
      </c>
      <c r="O2653" s="23" t="b">
        <f>IFERROR(VLOOKUP(A2653, Entries!A:I,8,false),"")</f>
        <v>1</v>
      </c>
    </row>
    <row r="2654">
      <c r="A2654" s="78" t="s">
        <v>892</v>
      </c>
      <c r="B2654" s="78" t="s">
        <v>22</v>
      </c>
      <c r="C2654" s="85">
        <v>44939.0</v>
      </c>
      <c r="D2654" s="85">
        <v>44940.0</v>
      </c>
      <c r="E2654" s="86">
        <v>31.84</v>
      </c>
      <c r="F2654" s="87">
        <v>50.69</v>
      </c>
      <c r="G2654" s="88">
        <f t="shared" si="1"/>
        <v>18.85</v>
      </c>
      <c r="H2654" s="89">
        <f t="shared" si="10"/>
        <v>0.3718682186</v>
      </c>
      <c r="I2654" s="78" t="s">
        <v>3272</v>
      </c>
      <c r="J2654" s="78" t="s">
        <v>69</v>
      </c>
      <c r="K2654" s="58">
        <f t="shared" si="3"/>
        <v>1</v>
      </c>
      <c r="L2654" s="91" t="str">
        <f t="shared" si="8"/>
        <v>Sat</v>
      </c>
      <c r="M2654" s="78" t="str">
        <f>IFERROR(VLOOKUP(A2654, Entries!A:B,2,false),"")</f>
        <v>Square Enix</v>
      </c>
      <c r="N2654" s="23" t="str">
        <f>IFERROR(VLOOKUP(A2654, Entries!A:K,11,false),"")</f>
        <v/>
      </c>
      <c r="O2654" s="23" t="b">
        <f>IFERROR(VLOOKUP(A2654, Entries!A:I,8,false),"")</f>
        <v>1</v>
      </c>
    </row>
    <row r="2655">
      <c r="A2655" s="78" t="s">
        <v>3226</v>
      </c>
      <c r="B2655" s="78" t="s">
        <v>25</v>
      </c>
      <c r="C2655" s="85">
        <v>44939.0</v>
      </c>
      <c r="D2655" s="85">
        <v>44970.0</v>
      </c>
      <c r="E2655" s="86">
        <v>15.96</v>
      </c>
      <c r="F2655" s="87">
        <v>20.56</v>
      </c>
      <c r="G2655" s="88">
        <f t="shared" si="1"/>
        <v>4.6</v>
      </c>
      <c r="H2655" s="89">
        <f t="shared" si="10"/>
        <v>0.2237354086</v>
      </c>
      <c r="I2655" s="78" t="s">
        <v>3273</v>
      </c>
      <c r="J2655" s="78" t="s">
        <v>69</v>
      </c>
      <c r="K2655" s="58">
        <f t="shared" si="3"/>
        <v>31</v>
      </c>
      <c r="L2655" s="91" t="str">
        <f t="shared" si="8"/>
        <v>Mon</v>
      </c>
      <c r="M2655" s="78" t="str">
        <f>IFERROR(VLOOKUP(A2655, Entries!A:B,2,false),"")</f>
        <v>Total Mayhem Games</v>
      </c>
      <c r="N2655" s="23" t="str">
        <f>IFERROR(VLOOKUP(A2655, Entries!A:K,11,false),"")</f>
        <v/>
      </c>
      <c r="O2655" s="23" t="b">
        <f>IFERROR(VLOOKUP(A2655, Entries!A:I,8,false),"")</f>
        <v>0</v>
      </c>
    </row>
    <row r="2656">
      <c r="A2656" s="78" t="s">
        <v>892</v>
      </c>
      <c r="B2656" s="78" t="s">
        <v>22</v>
      </c>
      <c r="C2656" s="85">
        <v>44940.0</v>
      </c>
      <c r="D2656" s="85">
        <v>44950.0</v>
      </c>
      <c r="E2656" s="86">
        <v>31.69</v>
      </c>
      <c r="F2656" s="87">
        <v>50.69</v>
      </c>
      <c r="G2656" s="88">
        <f t="shared" si="1"/>
        <v>19</v>
      </c>
      <c r="H2656" s="89">
        <f t="shared" si="10"/>
        <v>0.3748273821</v>
      </c>
      <c r="I2656" s="78" t="s">
        <v>3274</v>
      </c>
      <c r="J2656" s="78" t="s">
        <v>69</v>
      </c>
      <c r="K2656" s="58">
        <f t="shared" si="3"/>
        <v>10</v>
      </c>
      <c r="L2656" s="91" t="str">
        <f t="shared" si="8"/>
        <v>Tue</v>
      </c>
      <c r="M2656" s="78" t="str">
        <f>IFERROR(VLOOKUP(A2656, Entries!A:B,2,false),"")</f>
        <v>Square Enix</v>
      </c>
      <c r="N2656" s="23" t="str">
        <f>IFERROR(VLOOKUP(A2656, Entries!A:K,11,false),"")</f>
        <v/>
      </c>
      <c r="O2656" s="23" t="b">
        <f>IFERROR(VLOOKUP(A2656, Entries!A:I,8,false),"")</f>
        <v>1</v>
      </c>
      <c r="P2656" s="78" t="s">
        <v>3275</v>
      </c>
    </row>
    <row r="2657">
      <c r="A2657" s="78" t="s">
        <v>2066</v>
      </c>
      <c r="B2657" s="78" t="s">
        <v>27</v>
      </c>
      <c r="C2657" s="85">
        <v>44940.0</v>
      </c>
      <c r="D2657" s="85">
        <v>44954.0</v>
      </c>
      <c r="E2657" s="86">
        <v>8.69</v>
      </c>
      <c r="F2657" s="87">
        <v>12.67</v>
      </c>
      <c r="G2657" s="88">
        <f t="shared" si="1"/>
        <v>3.98</v>
      </c>
      <c r="H2657" s="89">
        <f t="shared" si="10"/>
        <v>0.3141278611</v>
      </c>
      <c r="I2657" s="78" t="s">
        <v>3276</v>
      </c>
      <c r="J2657" s="78" t="s">
        <v>69</v>
      </c>
      <c r="K2657" s="58">
        <f t="shared" si="3"/>
        <v>14</v>
      </c>
      <c r="L2657" s="91" t="str">
        <f t="shared" si="8"/>
        <v>Sat</v>
      </c>
      <c r="M2657" s="78" t="str">
        <f>IFERROR(VLOOKUP(A2657, Entries!A:B,2,false),"")</f>
        <v>Annapurna Interactive</v>
      </c>
      <c r="N2657" s="23" t="str">
        <f>IFERROR(VLOOKUP(A2657, Entries!A:K,11,false),"")</f>
        <v/>
      </c>
      <c r="O2657" s="23" t="b">
        <f>IFERROR(VLOOKUP(A2657, Entries!A:I,8,false),"")</f>
        <v>0</v>
      </c>
    </row>
    <row r="2658">
      <c r="A2658" s="78" t="s">
        <v>3242</v>
      </c>
      <c r="B2658" s="78" t="s">
        <v>27</v>
      </c>
      <c r="C2658" s="85">
        <v>44940.0</v>
      </c>
      <c r="D2658" s="85">
        <v>44997.0</v>
      </c>
      <c r="E2658" s="86">
        <v>17.29</v>
      </c>
      <c r="F2658" s="87">
        <v>21.08</v>
      </c>
      <c r="G2658" s="88">
        <f t="shared" si="1"/>
        <v>3.79</v>
      </c>
      <c r="H2658" s="89">
        <f t="shared" si="10"/>
        <v>0.1797912713</v>
      </c>
      <c r="I2658" s="78" t="s">
        <v>3277</v>
      </c>
      <c r="J2658" s="78" t="s">
        <v>69</v>
      </c>
      <c r="K2658" s="58">
        <f t="shared" si="3"/>
        <v>57</v>
      </c>
      <c r="L2658" s="91" t="str">
        <f t="shared" si="8"/>
        <v>Sun</v>
      </c>
      <c r="M2658" s="78" t="str">
        <f>IFERROR(VLOOKUP(A2658, Entries!A:B,2,false),"")</f>
        <v>Devolver Digital</v>
      </c>
      <c r="N2658" s="23" t="str">
        <f>IFERROR(VLOOKUP(A2658, Entries!A:K,11,false),"")</f>
        <v/>
      </c>
      <c r="O2658" s="23" t="b">
        <f>IFERROR(VLOOKUP(A2658, Entries!A:I,8,false),"")</f>
        <v>0</v>
      </c>
    </row>
    <row r="2659">
      <c r="A2659" s="78" t="s">
        <v>2395</v>
      </c>
      <c r="B2659" s="78" t="s">
        <v>19</v>
      </c>
      <c r="C2659" s="85">
        <v>44942.0</v>
      </c>
      <c r="D2659" s="85">
        <v>44973.0</v>
      </c>
      <c r="E2659" s="86">
        <v>8.5</v>
      </c>
      <c r="F2659" s="87">
        <v>15.16</v>
      </c>
      <c r="G2659" s="88">
        <f t="shared" si="1"/>
        <v>6.66</v>
      </c>
      <c r="H2659" s="89">
        <f t="shared" si="10"/>
        <v>0.4393139842</v>
      </c>
      <c r="I2659" s="78" t="s">
        <v>3278</v>
      </c>
      <c r="J2659" s="78" t="s">
        <v>69</v>
      </c>
      <c r="K2659" s="58">
        <f t="shared" si="3"/>
        <v>31</v>
      </c>
      <c r="L2659" s="91" t="str">
        <f t="shared" si="8"/>
        <v>Thu</v>
      </c>
      <c r="M2659" s="78" t="str">
        <f>IFERROR(VLOOKUP(A2659, Entries!A:B,2,false),"")</f>
        <v>Blue Brain Games</v>
      </c>
      <c r="N2659" s="23" t="str">
        <f>IFERROR(VLOOKUP(A2659, Entries!A:K,11,false),"")</f>
        <v/>
      </c>
      <c r="O2659" s="23" t="b">
        <f>IFERROR(VLOOKUP(A2659, Entries!A:I,8,false),"")</f>
        <v>0</v>
      </c>
    </row>
    <row r="2660">
      <c r="A2660" s="78" t="s">
        <v>375</v>
      </c>
      <c r="B2660" s="78" t="s">
        <v>19</v>
      </c>
      <c r="C2660" s="85">
        <v>44942.0</v>
      </c>
      <c r="D2660" s="85">
        <v>45327.0</v>
      </c>
      <c r="E2660" s="86">
        <v>6.82</v>
      </c>
      <c r="F2660" s="87">
        <v>8.32</v>
      </c>
      <c r="G2660" s="88">
        <f t="shared" si="1"/>
        <v>1.5</v>
      </c>
      <c r="H2660" s="89">
        <f t="shared" si="10"/>
        <v>0.1802884615</v>
      </c>
      <c r="I2660" s="78" t="s">
        <v>3279</v>
      </c>
      <c r="J2660" s="78" t="s">
        <v>69</v>
      </c>
      <c r="K2660" s="58">
        <f t="shared" si="3"/>
        <v>385</v>
      </c>
      <c r="L2660" s="91" t="str">
        <f t="shared" si="8"/>
        <v>Mon</v>
      </c>
      <c r="M2660" s="78" t="str">
        <f>IFERROR(VLOOKUP(A2660, Entries!A:B,2,false),"")</f>
        <v>Survios</v>
      </c>
      <c r="N2660" s="23" t="str">
        <f>IFERROR(VLOOKUP(A2660, Entries!A:K,11,false),"")</f>
        <v/>
      </c>
      <c r="O2660" s="23" t="b">
        <f>IFERROR(VLOOKUP(A2660, Entries!A:I,8,false),"")</f>
        <v>1</v>
      </c>
    </row>
    <row r="2661">
      <c r="A2661" s="78" t="s">
        <v>3280</v>
      </c>
      <c r="B2661" s="78" t="s">
        <v>19</v>
      </c>
      <c r="C2661" s="85">
        <v>44942.0</v>
      </c>
      <c r="D2661" s="85">
        <v>44953.0</v>
      </c>
      <c r="E2661" s="86">
        <v>12.11</v>
      </c>
      <c r="F2661" s="87">
        <v>24.01</v>
      </c>
      <c r="G2661" s="88">
        <f t="shared" si="1"/>
        <v>11.9</v>
      </c>
      <c r="H2661" s="89">
        <f t="shared" si="10"/>
        <v>0.4956268222</v>
      </c>
      <c r="I2661" s="78" t="s">
        <v>3281</v>
      </c>
      <c r="J2661" s="78" t="s">
        <v>69</v>
      </c>
      <c r="K2661" s="58">
        <f t="shared" si="3"/>
        <v>11</v>
      </c>
      <c r="L2661" s="91" t="str">
        <f t="shared" si="8"/>
        <v>Fri</v>
      </c>
      <c r="M2661" s="78" t="str">
        <f>IFERROR(VLOOKUP(A2661, Entries!A:B,2,false),"")</f>
        <v>Microids</v>
      </c>
      <c r="N2661" s="23" t="str">
        <f>IFERROR(VLOOKUP(A2661, Entries!A:K,11,false),"")</f>
        <v/>
      </c>
      <c r="O2661" s="23" t="b">
        <f>IFERROR(VLOOKUP(A2661, Entries!A:I,8,false),"")</f>
        <v>0</v>
      </c>
    </row>
    <row r="2662">
      <c r="A2662" s="78" t="s">
        <v>3226</v>
      </c>
      <c r="B2662" s="78" t="s">
        <v>25</v>
      </c>
      <c r="C2662" s="85">
        <v>44943.0</v>
      </c>
      <c r="D2662" s="85">
        <v>44970.0</v>
      </c>
      <c r="E2662" s="86">
        <v>15.96</v>
      </c>
      <c r="F2662" s="87">
        <v>20.56</v>
      </c>
      <c r="G2662" s="88">
        <f t="shared" si="1"/>
        <v>4.6</v>
      </c>
      <c r="H2662" s="89">
        <f t="shared" si="10"/>
        <v>0.2237354086</v>
      </c>
      <c r="I2662" s="78" t="s">
        <v>3282</v>
      </c>
      <c r="J2662" s="78" t="s">
        <v>69</v>
      </c>
      <c r="K2662" s="58">
        <f t="shared" si="3"/>
        <v>27</v>
      </c>
      <c r="L2662" s="91" t="str">
        <f t="shared" si="8"/>
        <v>Mon</v>
      </c>
      <c r="M2662" s="78" t="str">
        <f>IFERROR(VLOOKUP(A2662, Entries!A:B,2,false),"")</f>
        <v>Total Mayhem Games</v>
      </c>
      <c r="N2662" s="23" t="str">
        <f>IFERROR(VLOOKUP(A2662, Entries!A:K,11,false),"")</f>
        <v/>
      </c>
      <c r="O2662" s="23" t="b">
        <f>IFERROR(VLOOKUP(A2662, Entries!A:I,8,false),"")</f>
        <v>0</v>
      </c>
    </row>
    <row r="2663">
      <c r="A2663" s="78" t="s">
        <v>2466</v>
      </c>
      <c r="B2663" s="78" t="s">
        <v>27</v>
      </c>
      <c r="C2663" s="85">
        <v>44945.0</v>
      </c>
      <c r="D2663" s="85">
        <v>44945.0</v>
      </c>
      <c r="E2663" s="86">
        <v>9.79</v>
      </c>
      <c r="F2663" s="87">
        <v>12.41</v>
      </c>
      <c r="G2663" s="88">
        <f t="shared" si="1"/>
        <v>2.62</v>
      </c>
      <c r="H2663" s="89">
        <f t="shared" si="10"/>
        <v>0.2111200645</v>
      </c>
      <c r="I2663" s="78" t="s">
        <v>3283</v>
      </c>
      <c r="J2663" s="78" t="s">
        <v>69</v>
      </c>
      <c r="K2663" s="58">
        <f t="shared" si="3"/>
        <v>0</v>
      </c>
      <c r="L2663" s="91" t="str">
        <f t="shared" si="8"/>
        <v>Thu</v>
      </c>
      <c r="M2663" s="78" t="str">
        <f>IFERROR(VLOOKUP(A2663, Entries!A:B,2,false),"")</f>
        <v>Bethesda Softworks</v>
      </c>
      <c r="N2663" s="23" t="str">
        <f>IFERROR(VLOOKUP(A2663, Entries!A:K,11,false),"")</f>
        <v/>
      </c>
      <c r="O2663" s="23" t="b">
        <f>IFERROR(VLOOKUP(A2663, Entries!A:I,8,false),"")</f>
        <v>1</v>
      </c>
    </row>
    <row r="2664">
      <c r="A2664" s="94" t="s">
        <v>1656</v>
      </c>
      <c r="B2664" s="78" t="s">
        <v>22</v>
      </c>
      <c r="C2664" s="85">
        <v>44945.0</v>
      </c>
      <c r="D2664" s="85">
        <v>45555.0</v>
      </c>
      <c r="E2664" s="86">
        <v>23.22</v>
      </c>
      <c r="F2664" s="87">
        <v>10.66</v>
      </c>
      <c r="G2664" s="88">
        <f t="shared" si="1"/>
        <v>-12.56</v>
      </c>
      <c r="H2664" s="89">
        <f t="shared" si="10"/>
        <v>-1.178236398</v>
      </c>
      <c r="I2664" s="78" t="s">
        <v>3284</v>
      </c>
      <c r="J2664" s="78" t="s">
        <v>69</v>
      </c>
      <c r="K2664" s="58">
        <f t="shared" si="3"/>
        <v>610</v>
      </c>
      <c r="L2664" s="91" t="str">
        <f t="shared" si="8"/>
        <v>Fri</v>
      </c>
      <c r="M2664" s="78" t="str">
        <f>IFERROR(VLOOKUP(A2664, Entries!A:B,2,false),"")</f>
        <v>Overhype Studios</v>
      </c>
      <c r="N2664" s="23" t="str">
        <f>IFERROR(VLOOKUP(A2664, Entries!A:K,11,false),"")</f>
        <v/>
      </c>
      <c r="O2664" s="23" t="b">
        <f>IFERROR(VLOOKUP(A2664, Entries!A:I,8,false),"")</f>
        <v>1</v>
      </c>
    </row>
    <row r="2665">
      <c r="A2665" s="78" t="s">
        <v>2466</v>
      </c>
      <c r="B2665" s="78" t="s">
        <v>27</v>
      </c>
      <c r="C2665" s="85">
        <v>44945.0</v>
      </c>
      <c r="D2665" s="85">
        <v>44946.0</v>
      </c>
      <c r="E2665" s="86">
        <v>9.79</v>
      </c>
      <c r="F2665" s="87">
        <v>12.46</v>
      </c>
      <c r="G2665" s="88">
        <f t="shared" si="1"/>
        <v>2.67</v>
      </c>
      <c r="H2665" s="89">
        <f t="shared" si="10"/>
        <v>0.2142857143</v>
      </c>
      <c r="I2665" s="78" t="s">
        <v>3285</v>
      </c>
      <c r="J2665" s="78" t="s">
        <v>69</v>
      </c>
      <c r="K2665" s="58">
        <f t="shared" si="3"/>
        <v>1</v>
      </c>
      <c r="L2665" s="91" t="str">
        <f t="shared" si="8"/>
        <v>Fri</v>
      </c>
      <c r="M2665" s="78" t="str">
        <f>IFERROR(VLOOKUP(A2665, Entries!A:B,2,false),"")</f>
        <v>Bethesda Softworks</v>
      </c>
      <c r="N2665" s="23" t="str">
        <f>IFERROR(VLOOKUP(A2665, Entries!A:K,11,false),"")</f>
        <v/>
      </c>
      <c r="O2665" s="23" t="b">
        <f>IFERROR(VLOOKUP(A2665, Entries!A:I,8,false),"")</f>
        <v>1</v>
      </c>
    </row>
    <row r="2666">
      <c r="A2666" s="78" t="s">
        <v>2466</v>
      </c>
      <c r="B2666" s="78" t="s">
        <v>27</v>
      </c>
      <c r="C2666" s="85">
        <v>44946.0</v>
      </c>
      <c r="D2666" s="85">
        <v>44946.0</v>
      </c>
      <c r="E2666" s="86">
        <v>9.89</v>
      </c>
      <c r="F2666" s="87">
        <v>13.34</v>
      </c>
      <c r="G2666" s="88">
        <f t="shared" si="1"/>
        <v>3.45</v>
      </c>
      <c r="H2666" s="89">
        <f t="shared" si="10"/>
        <v>0.2586206897</v>
      </c>
      <c r="I2666" s="78" t="s">
        <v>3286</v>
      </c>
      <c r="J2666" s="78" t="s">
        <v>69</v>
      </c>
      <c r="K2666" s="58">
        <f t="shared" si="3"/>
        <v>0</v>
      </c>
      <c r="L2666" s="91" t="str">
        <f t="shared" si="8"/>
        <v>Fri</v>
      </c>
      <c r="M2666" s="78" t="str">
        <f>IFERROR(VLOOKUP(A2666, Entries!A:B,2,false),"")</f>
        <v>Bethesda Softworks</v>
      </c>
      <c r="N2666" s="23" t="str">
        <f>IFERROR(VLOOKUP(A2666, Entries!A:K,11,false),"")</f>
        <v/>
      </c>
      <c r="O2666" s="23" t="b">
        <f>IFERROR(VLOOKUP(A2666, Entries!A:I,8,false),"")</f>
        <v>1</v>
      </c>
    </row>
    <row r="2667">
      <c r="A2667" s="78" t="s">
        <v>2466</v>
      </c>
      <c r="B2667" s="78" t="s">
        <v>27</v>
      </c>
      <c r="C2667" s="85">
        <v>44946.0</v>
      </c>
      <c r="D2667" s="85">
        <v>44946.0</v>
      </c>
      <c r="E2667" s="86">
        <v>9.89</v>
      </c>
      <c r="F2667" s="87">
        <v>13.4</v>
      </c>
      <c r="G2667" s="88">
        <f t="shared" si="1"/>
        <v>3.51</v>
      </c>
      <c r="H2667" s="89">
        <f t="shared" si="10"/>
        <v>0.2619402985</v>
      </c>
      <c r="I2667" s="78" t="s">
        <v>3287</v>
      </c>
      <c r="J2667" s="78" t="s">
        <v>69</v>
      </c>
      <c r="K2667" s="58">
        <f t="shared" si="3"/>
        <v>0</v>
      </c>
      <c r="L2667" s="91" t="str">
        <f t="shared" si="8"/>
        <v>Fri</v>
      </c>
      <c r="M2667" s="78" t="str">
        <f>IFERROR(VLOOKUP(A2667, Entries!A:B,2,false),"")</f>
        <v>Bethesda Softworks</v>
      </c>
      <c r="N2667" s="23" t="str">
        <f>IFERROR(VLOOKUP(A2667, Entries!A:K,11,false),"")</f>
        <v/>
      </c>
      <c r="O2667" s="23" t="b">
        <f>IFERROR(VLOOKUP(A2667, Entries!A:I,8,false),"")</f>
        <v>1</v>
      </c>
    </row>
    <row r="2668">
      <c r="A2668" s="78" t="s">
        <v>2466</v>
      </c>
      <c r="B2668" s="78" t="s">
        <v>27</v>
      </c>
      <c r="C2668" s="85">
        <v>44946.0</v>
      </c>
      <c r="D2668" s="85">
        <v>44946.0</v>
      </c>
      <c r="E2668" s="86">
        <v>9.89</v>
      </c>
      <c r="F2668" s="87">
        <v>13.4</v>
      </c>
      <c r="G2668" s="88">
        <f t="shared" si="1"/>
        <v>3.51</v>
      </c>
      <c r="H2668" s="89">
        <f t="shared" si="10"/>
        <v>0.2619402985</v>
      </c>
      <c r="I2668" s="78" t="s">
        <v>3288</v>
      </c>
      <c r="J2668" s="78" t="s">
        <v>69</v>
      </c>
      <c r="K2668" s="58">
        <f t="shared" si="3"/>
        <v>0</v>
      </c>
      <c r="L2668" s="91" t="str">
        <f t="shared" si="8"/>
        <v>Fri</v>
      </c>
      <c r="M2668" s="78" t="str">
        <f>IFERROR(VLOOKUP(A2668, Entries!A:B,2,false),"")</f>
        <v>Bethesda Softworks</v>
      </c>
      <c r="N2668" s="23" t="str">
        <f>IFERROR(VLOOKUP(A2668, Entries!A:K,11,false),"")</f>
        <v/>
      </c>
      <c r="O2668" s="23" t="b">
        <f>IFERROR(VLOOKUP(A2668, Entries!A:I,8,false),"")</f>
        <v>1</v>
      </c>
    </row>
    <row r="2669">
      <c r="A2669" s="78" t="s">
        <v>2466</v>
      </c>
      <c r="B2669" s="78" t="s">
        <v>27</v>
      </c>
      <c r="C2669" s="85">
        <v>44946.0</v>
      </c>
      <c r="D2669" s="85">
        <v>44947.0</v>
      </c>
      <c r="E2669" s="86">
        <v>9.89</v>
      </c>
      <c r="F2669" s="87">
        <v>13.35</v>
      </c>
      <c r="G2669" s="88">
        <f t="shared" si="1"/>
        <v>3.46</v>
      </c>
      <c r="H2669" s="89">
        <f t="shared" si="10"/>
        <v>0.25917603</v>
      </c>
      <c r="I2669" s="78" t="s">
        <v>3289</v>
      </c>
      <c r="J2669" s="78" t="s">
        <v>69</v>
      </c>
      <c r="K2669" s="58">
        <f t="shared" si="3"/>
        <v>1</v>
      </c>
      <c r="L2669" s="91" t="str">
        <f t="shared" si="8"/>
        <v>Sat</v>
      </c>
      <c r="M2669" s="78" t="str">
        <f>IFERROR(VLOOKUP(A2669, Entries!A:B,2,false),"")</f>
        <v>Bethesda Softworks</v>
      </c>
      <c r="N2669" s="23" t="str">
        <f>IFERROR(VLOOKUP(A2669, Entries!A:K,11,false),"")</f>
        <v/>
      </c>
      <c r="O2669" s="23" t="b">
        <f>IFERROR(VLOOKUP(A2669, Entries!A:I,8,false),"")</f>
        <v>1</v>
      </c>
    </row>
    <row r="2670">
      <c r="A2670" s="78" t="s">
        <v>2466</v>
      </c>
      <c r="B2670" s="78" t="s">
        <v>27</v>
      </c>
      <c r="C2670" s="85">
        <v>44946.0</v>
      </c>
      <c r="D2670" s="85">
        <v>44947.0</v>
      </c>
      <c r="E2670" s="86">
        <v>9.89</v>
      </c>
      <c r="F2670" s="87">
        <v>13.35</v>
      </c>
      <c r="G2670" s="88">
        <f t="shared" si="1"/>
        <v>3.46</v>
      </c>
      <c r="H2670" s="89">
        <f t="shared" si="10"/>
        <v>0.25917603</v>
      </c>
      <c r="I2670" s="78" t="s">
        <v>3290</v>
      </c>
      <c r="J2670" s="78" t="s">
        <v>69</v>
      </c>
      <c r="K2670" s="58">
        <f t="shared" si="3"/>
        <v>1</v>
      </c>
      <c r="L2670" s="91" t="str">
        <f t="shared" si="8"/>
        <v>Sat</v>
      </c>
      <c r="M2670" s="78" t="str">
        <f>IFERROR(VLOOKUP(A2670, Entries!A:B,2,false),"")</f>
        <v>Bethesda Softworks</v>
      </c>
      <c r="N2670" s="23" t="str">
        <f>IFERROR(VLOOKUP(A2670, Entries!A:K,11,false),"")</f>
        <v/>
      </c>
      <c r="O2670" s="23" t="b">
        <f>IFERROR(VLOOKUP(A2670, Entries!A:I,8,false),"")</f>
        <v>1</v>
      </c>
    </row>
    <row r="2671">
      <c r="A2671" s="78" t="s">
        <v>2466</v>
      </c>
      <c r="B2671" s="78" t="s">
        <v>27</v>
      </c>
      <c r="C2671" s="85">
        <v>44947.0</v>
      </c>
      <c r="D2671" s="85">
        <v>44948.0</v>
      </c>
      <c r="E2671" s="86">
        <v>9.89</v>
      </c>
      <c r="F2671" s="87">
        <v>13.35</v>
      </c>
      <c r="G2671" s="88">
        <f t="shared" si="1"/>
        <v>3.46</v>
      </c>
      <c r="H2671" s="89">
        <f t="shared" si="10"/>
        <v>0.25917603</v>
      </c>
      <c r="I2671" s="78" t="s">
        <v>3291</v>
      </c>
      <c r="J2671" s="78" t="s">
        <v>69</v>
      </c>
      <c r="K2671" s="58">
        <f t="shared" si="3"/>
        <v>1</v>
      </c>
      <c r="L2671" s="91" t="str">
        <f t="shared" si="8"/>
        <v>Sun</v>
      </c>
      <c r="M2671" s="78" t="str">
        <f>IFERROR(VLOOKUP(A2671, Entries!A:B,2,false),"")</f>
        <v>Bethesda Softworks</v>
      </c>
      <c r="N2671" s="23" t="str">
        <f>IFERROR(VLOOKUP(A2671, Entries!A:K,11,false),"")</f>
        <v/>
      </c>
      <c r="O2671" s="23" t="b">
        <f>IFERROR(VLOOKUP(A2671, Entries!A:I,8,false),"")</f>
        <v>1</v>
      </c>
    </row>
    <row r="2672">
      <c r="A2672" s="78" t="s">
        <v>2466</v>
      </c>
      <c r="B2672" s="78" t="s">
        <v>27</v>
      </c>
      <c r="C2672" s="85">
        <v>44947.0</v>
      </c>
      <c r="D2672" s="85">
        <v>44949.0</v>
      </c>
      <c r="E2672" s="86">
        <v>9.89</v>
      </c>
      <c r="F2672" s="87">
        <v>13.35</v>
      </c>
      <c r="G2672" s="88">
        <f t="shared" si="1"/>
        <v>3.46</v>
      </c>
      <c r="H2672" s="89">
        <f t="shared" si="10"/>
        <v>0.25917603</v>
      </c>
      <c r="I2672" s="78" t="s">
        <v>3292</v>
      </c>
      <c r="J2672" s="78" t="s">
        <v>69</v>
      </c>
      <c r="K2672" s="58">
        <f t="shared" si="3"/>
        <v>2</v>
      </c>
      <c r="L2672" s="91" t="str">
        <f t="shared" si="8"/>
        <v>Mon</v>
      </c>
      <c r="M2672" s="78" t="str">
        <f>IFERROR(VLOOKUP(A2672, Entries!A:B,2,false),"")</f>
        <v>Bethesda Softworks</v>
      </c>
      <c r="N2672" s="23" t="str">
        <f>IFERROR(VLOOKUP(A2672, Entries!A:K,11,false),"")</f>
        <v/>
      </c>
      <c r="O2672" s="23" t="b">
        <f>IFERROR(VLOOKUP(A2672, Entries!A:I,8,false),"")</f>
        <v>1</v>
      </c>
    </row>
    <row r="2673">
      <c r="A2673" s="78" t="s">
        <v>2466</v>
      </c>
      <c r="B2673" s="78" t="s">
        <v>27</v>
      </c>
      <c r="C2673" s="85">
        <v>44948.0</v>
      </c>
      <c r="D2673" s="85">
        <v>44949.0</v>
      </c>
      <c r="E2673" s="86">
        <v>9.89</v>
      </c>
      <c r="F2673" s="87">
        <v>13.35</v>
      </c>
      <c r="G2673" s="88">
        <f t="shared" si="1"/>
        <v>3.46</v>
      </c>
      <c r="H2673" s="89">
        <f t="shared" si="10"/>
        <v>0.25917603</v>
      </c>
      <c r="I2673" s="78" t="s">
        <v>3293</v>
      </c>
      <c r="J2673" s="78" t="s">
        <v>69</v>
      </c>
      <c r="K2673" s="58">
        <f t="shared" si="3"/>
        <v>1</v>
      </c>
      <c r="L2673" s="91" t="str">
        <f t="shared" si="8"/>
        <v>Mon</v>
      </c>
      <c r="M2673" s="78" t="str">
        <f>IFERROR(VLOOKUP(A2673, Entries!A:B,2,false),"")</f>
        <v>Bethesda Softworks</v>
      </c>
      <c r="N2673" s="23" t="str">
        <f>IFERROR(VLOOKUP(A2673, Entries!A:K,11,false),"")</f>
        <v/>
      </c>
      <c r="O2673" s="23" t="b">
        <f>IFERROR(VLOOKUP(A2673, Entries!A:I,8,false),"")</f>
        <v>1</v>
      </c>
    </row>
    <row r="2674">
      <c r="A2674" s="78" t="s">
        <v>3294</v>
      </c>
      <c r="B2674" s="78" t="s">
        <v>19</v>
      </c>
      <c r="C2674" s="85">
        <v>44949.0</v>
      </c>
      <c r="D2674" s="85">
        <v>44960.0</v>
      </c>
      <c r="E2674" s="86">
        <v>0.96</v>
      </c>
      <c r="F2674" s="87">
        <v>1.33</v>
      </c>
      <c r="G2674" s="88">
        <f t="shared" si="1"/>
        <v>0.37</v>
      </c>
      <c r="H2674" s="89">
        <f t="shared" si="10"/>
        <v>0.2781954887</v>
      </c>
      <c r="I2674" s="78" t="s">
        <v>65</v>
      </c>
      <c r="J2674" s="78" t="s">
        <v>69</v>
      </c>
      <c r="K2674" s="58">
        <f t="shared" si="3"/>
        <v>11</v>
      </c>
      <c r="L2674" s="91" t="str">
        <f t="shared" si="8"/>
        <v>Fri</v>
      </c>
      <c r="M2674" s="78" t="str">
        <f>IFERROR(VLOOKUP(A2674, Entries!A:B,2,false),"")</f>
        <v>Wired Productions</v>
      </c>
      <c r="N2674" s="23" t="str">
        <f>IFERROR(VLOOKUP(A2674, Entries!A:K,11,false),"")</f>
        <v/>
      </c>
      <c r="O2674" s="23" t="b">
        <f>IFERROR(VLOOKUP(A2674, Entries!A:I,8,false),"")</f>
        <v>0</v>
      </c>
    </row>
    <row r="2675">
      <c r="A2675" s="78" t="s">
        <v>2466</v>
      </c>
      <c r="B2675" s="78" t="s">
        <v>27</v>
      </c>
      <c r="C2675" s="85">
        <v>44950.0</v>
      </c>
      <c r="D2675" s="85">
        <v>44955.0</v>
      </c>
      <c r="E2675" s="86">
        <v>9.89</v>
      </c>
      <c r="F2675" s="87">
        <v>12.34</v>
      </c>
      <c r="G2675" s="88">
        <f t="shared" si="1"/>
        <v>2.45</v>
      </c>
      <c r="H2675" s="89">
        <f t="shared" si="10"/>
        <v>0.198541329</v>
      </c>
      <c r="I2675" s="78" t="s">
        <v>3295</v>
      </c>
      <c r="J2675" s="78" t="s">
        <v>69</v>
      </c>
      <c r="K2675" s="58">
        <f t="shared" si="3"/>
        <v>5</v>
      </c>
      <c r="L2675" s="91" t="str">
        <f t="shared" si="8"/>
        <v>Sun</v>
      </c>
      <c r="M2675" s="78" t="str">
        <f>IFERROR(VLOOKUP(A2675, Entries!A:B,2,false),"")</f>
        <v>Bethesda Softworks</v>
      </c>
      <c r="N2675" s="23" t="str">
        <f>IFERROR(VLOOKUP(A2675, Entries!A:K,11,false),"")</f>
        <v/>
      </c>
      <c r="O2675" s="23" t="b">
        <f>IFERROR(VLOOKUP(A2675, Entries!A:I,8,false),"")</f>
        <v>1</v>
      </c>
    </row>
    <row r="2676">
      <c r="A2676" s="78" t="s">
        <v>3296</v>
      </c>
      <c r="B2676" s="78" t="s">
        <v>27</v>
      </c>
      <c r="C2676" s="85">
        <v>44950.0</v>
      </c>
      <c r="D2676" s="85">
        <v>44950.0</v>
      </c>
      <c r="E2676" s="86">
        <v>20.89</v>
      </c>
      <c r="F2676" s="87">
        <v>26.7</v>
      </c>
      <c r="G2676" s="88">
        <f t="shared" si="1"/>
        <v>5.81</v>
      </c>
      <c r="H2676" s="89">
        <f t="shared" si="10"/>
        <v>0.2176029963</v>
      </c>
      <c r="I2676" s="78" t="s">
        <v>3297</v>
      </c>
      <c r="J2676" s="78" t="s">
        <v>69</v>
      </c>
      <c r="K2676" s="58">
        <f t="shared" si="3"/>
        <v>0</v>
      </c>
      <c r="L2676" s="91" t="str">
        <f t="shared" si="8"/>
        <v>Tue</v>
      </c>
      <c r="M2676" s="78" t="str">
        <f>IFERROR(VLOOKUP(A2676, Entries!A:B,2,false),"")</f>
        <v>IO Interactive</v>
      </c>
      <c r="N2676" s="23" t="str">
        <f>IFERROR(VLOOKUP(A2676, Entries!A:K,11,false),"")</f>
        <v/>
      </c>
      <c r="O2676" s="23" t="b">
        <f>IFERROR(VLOOKUP(A2676, Entries!A:I,8,false),"")</f>
        <v>0</v>
      </c>
    </row>
    <row r="2677">
      <c r="A2677" s="78" t="s">
        <v>2096</v>
      </c>
      <c r="B2677" s="78" t="s">
        <v>25</v>
      </c>
      <c r="C2677" s="85">
        <v>44950.0</v>
      </c>
      <c r="D2677" s="85">
        <v>44950.0</v>
      </c>
      <c r="E2677" s="86">
        <v>5.76</v>
      </c>
      <c r="F2677" s="87">
        <v>7.09</v>
      </c>
      <c r="G2677" s="88">
        <f t="shared" si="1"/>
        <v>1.33</v>
      </c>
      <c r="H2677" s="89">
        <f t="shared" si="10"/>
        <v>0.1875881523</v>
      </c>
      <c r="I2677" s="78" t="s">
        <v>3298</v>
      </c>
      <c r="J2677" s="78" t="s">
        <v>69</v>
      </c>
      <c r="K2677" s="58">
        <f t="shared" si="3"/>
        <v>0</v>
      </c>
      <c r="L2677" s="91" t="str">
        <f t="shared" si="8"/>
        <v>Tue</v>
      </c>
      <c r="M2677" s="78" t="str">
        <f>IFERROR(VLOOKUP(A2677, Entries!A:B,2,false),"")</f>
        <v>Subset Games</v>
      </c>
      <c r="N2677" s="23" t="str">
        <f>IFERROR(VLOOKUP(A2677, Entries!A:K,11,false),"")</f>
        <v/>
      </c>
      <c r="O2677" s="23" t="b">
        <f>IFERROR(VLOOKUP(A2677, Entries!A:I,8,false),"")</f>
        <v>0</v>
      </c>
    </row>
    <row r="2678">
      <c r="A2678" s="78" t="s">
        <v>3296</v>
      </c>
      <c r="B2678" s="78" t="s">
        <v>27</v>
      </c>
      <c r="C2678" s="85">
        <v>44950.0</v>
      </c>
      <c r="D2678" s="85">
        <v>44951.0</v>
      </c>
      <c r="E2678" s="86">
        <v>20.89</v>
      </c>
      <c r="F2678" s="87">
        <v>26.7</v>
      </c>
      <c r="G2678" s="88">
        <f t="shared" si="1"/>
        <v>5.81</v>
      </c>
      <c r="H2678" s="89">
        <f t="shared" si="10"/>
        <v>0.2176029963</v>
      </c>
      <c r="I2678" s="78" t="s">
        <v>3299</v>
      </c>
      <c r="J2678" s="78" t="s">
        <v>69</v>
      </c>
      <c r="K2678" s="58">
        <f t="shared" si="3"/>
        <v>1</v>
      </c>
      <c r="L2678" s="91" t="str">
        <f t="shared" si="8"/>
        <v>Wed</v>
      </c>
      <c r="M2678" s="78" t="str">
        <f>IFERROR(VLOOKUP(A2678, Entries!A:B,2,false),"")</f>
        <v>IO Interactive</v>
      </c>
      <c r="N2678" s="23" t="str">
        <f>IFERROR(VLOOKUP(A2678, Entries!A:K,11,false),"")</f>
        <v/>
      </c>
      <c r="O2678" s="23" t="b">
        <f>IFERROR(VLOOKUP(A2678, Entries!A:I,8,false),"")</f>
        <v>0</v>
      </c>
    </row>
    <row r="2679">
      <c r="A2679" s="78" t="s">
        <v>2096</v>
      </c>
      <c r="B2679" s="78" t="s">
        <v>25</v>
      </c>
      <c r="C2679" s="85">
        <v>44950.0</v>
      </c>
      <c r="D2679" s="85">
        <v>44952.0</v>
      </c>
      <c r="E2679" s="86">
        <v>6.1</v>
      </c>
      <c r="F2679" s="87">
        <v>7.51</v>
      </c>
      <c r="G2679" s="88">
        <f t="shared" si="1"/>
        <v>1.41</v>
      </c>
      <c r="H2679" s="89">
        <f t="shared" si="10"/>
        <v>0.1877496671</v>
      </c>
      <c r="I2679" s="78" t="s">
        <v>3300</v>
      </c>
      <c r="J2679" s="78" t="s">
        <v>69</v>
      </c>
      <c r="K2679" s="58">
        <f t="shared" si="3"/>
        <v>2</v>
      </c>
      <c r="L2679" s="91" t="str">
        <f t="shared" si="8"/>
        <v>Thu</v>
      </c>
      <c r="M2679" s="78" t="str">
        <f>IFERROR(VLOOKUP(A2679, Entries!A:B,2,false),"")</f>
        <v>Subset Games</v>
      </c>
      <c r="N2679" s="23" t="str">
        <f>IFERROR(VLOOKUP(A2679, Entries!A:K,11,false),"")</f>
        <v/>
      </c>
      <c r="O2679" s="23" t="b">
        <f>IFERROR(VLOOKUP(A2679, Entries!A:I,8,false),"")</f>
        <v>0</v>
      </c>
    </row>
    <row r="2680">
      <c r="A2680" s="78" t="s">
        <v>892</v>
      </c>
      <c r="B2680" s="78" t="s">
        <v>22</v>
      </c>
      <c r="C2680" s="85">
        <v>44950.0</v>
      </c>
      <c r="D2680" s="85">
        <v>45986.0</v>
      </c>
      <c r="E2680" s="86">
        <v>12.06</v>
      </c>
      <c r="F2680" s="87">
        <v>12.46</v>
      </c>
      <c r="G2680" s="88">
        <f t="shared" si="1"/>
        <v>0.4</v>
      </c>
      <c r="H2680" s="89">
        <f t="shared" si="10"/>
        <v>0.03210272873</v>
      </c>
      <c r="I2680" s="103" t="s">
        <v>3301</v>
      </c>
      <c r="J2680" s="78" t="s">
        <v>69</v>
      </c>
      <c r="K2680" s="58">
        <f t="shared" si="3"/>
        <v>1036</v>
      </c>
      <c r="L2680" s="91" t="str">
        <f t="shared" si="8"/>
        <v>Tue</v>
      </c>
      <c r="M2680" s="78" t="str">
        <f>IFERROR(VLOOKUP(A2680, Entries!A:B,2,false),"")</f>
        <v>Square Enix</v>
      </c>
      <c r="N2680" s="23" t="str">
        <f>IFERROR(VLOOKUP(A2680, Entries!A:K,11,false),"")</f>
        <v/>
      </c>
      <c r="O2680" s="23" t="b">
        <f>IFERROR(VLOOKUP(A2680, Entries!A:I,8,false),"")</f>
        <v>1</v>
      </c>
      <c r="P2680" s="78" t="s">
        <v>3302</v>
      </c>
    </row>
    <row r="2681">
      <c r="A2681" s="78" t="s">
        <v>3296</v>
      </c>
      <c r="B2681" s="78" t="s">
        <v>27</v>
      </c>
      <c r="C2681" s="85">
        <v>44951.0</v>
      </c>
      <c r="D2681" s="85">
        <v>44951.0</v>
      </c>
      <c r="E2681" s="86">
        <v>20.89</v>
      </c>
      <c r="F2681" s="87">
        <v>27.63</v>
      </c>
      <c r="G2681" s="88">
        <f t="shared" si="1"/>
        <v>6.74</v>
      </c>
      <c r="H2681" s="89">
        <f t="shared" si="10"/>
        <v>0.2439377488</v>
      </c>
      <c r="I2681" s="78" t="s">
        <v>3303</v>
      </c>
      <c r="J2681" s="78" t="s">
        <v>69</v>
      </c>
      <c r="K2681" s="58">
        <f t="shared" si="3"/>
        <v>0</v>
      </c>
      <c r="L2681" s="91" t="str">
        <f t="shared" si="8"/>
        <v>Wed</v>
      </c>
      <c r="M2681" s="78" t="str">
        <f>IFERROR(VLOOKUP(A2681, Entries!A:B,2,false),"")</f>
        <v>IO Interactive</v>
      </c>
      <c r="N2681" s="23" t="str">
        <f>IFERROR(VLOOKUP(A2681, Entries!A:K,11,false),"")</f>
        <v/>
      </c>
      <c r="O2681" s="23" t="b">
        <f>IFERROR(VLOOKUP(A2681, Entries!A:I,8,false),"")</f>
        <v>0</v>
      </c>
    </row>
    <row r="2682">
      <c r="A2682" s="78" t="s">
        <v>3296</v>
      </c>
      <c r="B2682" s="78" t="s">
        <v>27</v>
      </c>
      <c r="C2682" s="85">
        <v>44951.0</v>
      </c>
      <c r="D2682" s="85">
        <v>44951.0</v>
      </c>
      <c r="E2682" s="86">
        <v>23.19</v>
      </c>
      <c r="F2682" s="87">
        <v>28.43</v>
      </c>
      <c r="G2682" s="88">
        <f t="shared" si="1"/>
        <v>5.24</v>
      </c>
      <c r="H2682" s="89">
        <f t="shared" si="10"/>
        <v>0.1843123461</v>
      </c>
      <c r="I2682" s="78" t="s">
        <v>3304</v>
      </c>
      <c r="J2682" s="78" t="s">
        <v>69</v>
      </c>
      <c r="K2682" s="58">
        <f t="shared" si="3"/>
        <v>0</v>
      </c>
      <c r="L2682" s="91" t="str">
        <f t="shared" si="8"/>
        <v>Wed</v>
      </c>
      <c r="M2682" s="78" t="str">
        <f>IFERROR(VLOOKUP(A2682, Entries!A:B,2,false),"")</f>
        <v>IO Interactive</v>
      </c>
      <c r="N2682" s="23" t="str">
        <f>IFERROR(VLOOKUP(A2682, Entries!A:K,11,false),"")</f>
        <v/>
      </c>
      <c r="O2682" s="23" t="b">
        <f>IFERROR(VLOOKUP(A2682, Entries!A:I,8,false),"")</f>
        <v>0</v>
      </c>
    </row>
    <row r="2683">
      <c r="A2683" s="78" t="s">
        <v>3296</v>
      </c>
      <c r="B2683" s="78" t="s">
        <v>27</v>
      </c>
      <c r="C2683" s="85">
        <v>44951.0</v>
      </c>
      <c r="D2683" s="85">
        <v>44951.0</v>
      </c>
      <c r="E2683" s="86">
        <v>23.19</v>
      </c>
      <c r="F2683" s="87">
        <v>28.45</v>
      </c>
      <c r="G2683" s="88">
        <f t="shared" si="1"/>
        <v>5.26</v>
      </c>
      <c r="H2683" s="89">
        <f t="shared" si="10"/>
        <v>0.1848857645</v>
      </c>
      <c r="I2683" s="78" t="s">
        <v>3305</v>
      </c>
      <c r="J2683" s="78" t="s">
        <v>69</v>
      </c>
      <c r="K2683" s="58">
        <f t="shared" si="3"/>
        <v>0</v>
      </c>
      <c r="L2683" s="91" t="str">
        <f t="shared" si="8"/>
        <v>Wed</v>
      </c>
      <c r="M2683" s="78" t="str">
        <f>IFERROR(VLOOKUP(A2683, Entries!A:B,2,false),"")</f>
        <v>IO Interactive</v>
      </c>
      <c r="N2683" s="23" t="str">
        <f>IFERROR(VLOOKUP(A2683, Entries!A:K,11,false),"")</f>
        <v/>
      </c>
      <c r="O2683" s="23" t="b">
        <f>IFERROR(VLOOKUP(A2683, Entries!A:I,8,false),"")</f>
        <v>0</v>
      </c>
    </row>
    <row r="2684">
      <c r="A2684" s="78" t="s">
        <v>3296</v>
      </c>
      <c r="B2684" s="78" t="s">
        <v>27</v>
      </c>
      <c r="C2684" s="85">
        <v>44951.0</v>
      </c>
      <c r="D2684" s="85">
        <v>44951.0</v>
      </c>
      <c r="E2684" s="86">
        <v>23.19</v>
      </c>
      <c r="F2684" s="87">
        <v>28.45</v>
      </c>
      <c r="G2684" s="88">
        <f t="shared" si="1"/>
        <v>5.26</v>
      </c>
      <c r="H2684" s="89">
        <f t="shared" si="10"/>
        <v>0.1848857645</v>
      </c>
      <c r="I2684" s="78" t="s">
        <v>3306</v>
      </c>
      <c r="J2684" s="78" t="s">
        <v>69</v>
      </c>
      <c r="K2684" s="58">
        <f t="shared" si="3"/>
        <v>0</v>
      </c>
      <c r="L2684" s="91" t="str">
        <f t="shared" si="8"/>
        <v>Wed</v>
      </c>
      <c r="M2684" s="78" t="str">
        <f>IFERROR(VLOOKUP(A2684, Entries!A:B,2,false),"")</f>
        <v>IO Interactive</v>
      </c>
      <c r="N2684" s="23" t="str">
        <f>IFERROR(VLOOKUP(A2684, Entries!A:K,11,false),"")</f>
        <v/>
      </c>
      <c r="O2684" s="23" t="b">
        <f>IFERROR(VLOOKUP(A2684, Entries!A:I,8,false),"")</f>
        <v>0</v>
      </c>
    </row>
    <row r="2685">
      <c r="A2685" s="78" t="s">
        <v>3296</v>
      </c>
      <c r="B2685" s="78" t="s">
        <v>27</v>
      </c>
      <c r="C2685" s="85">
        <v>44951.0</v>
      </c>
      <c r="D2685" s="85">
        <v>44951.0</v>
      </c>
      <c r="E2685" s="86">
        <v>23.19</v>
      </c>
      <c r="F2685" s="87">
        <v>28.45</v>
      </c>
      <c r="G2685" s="88">
        <f t="shared" si="1"/>
        <v>5.26</v>
      </c>
      <c r="H2685" s="89">
        <f t="shared" si="10"/>
        <v>0.1848857645</v>
      </c>
      <c r="I2685" s="78" t="s">
        <v>3307</v>
      </c>
      <c r="J2685" s="78" t="s">
        <v>69</v>
      </c>
      <c r="K2685" s="58">
        <f t="shared" si="3"/>
        <v>0</v>
      </c>
      <c r="L2685" s="91" t="str">
        <f t="shared" si="8"/>
        <v>Wed</v>
      </c>
      <c r="M2685" s="78" t="str">
        <f>IFERROR(VLOOKUP(A2685, Entries!A:B,2,false),"")</f>
        <v>IO Interactive</v>
      </c>
      <c r="N2685" s="23" t="str">
        <f>IFERROR(VLOOKUP(A2685, Entries!A:K,11,false),"")</f>
        <v/>
      </c>
      <c r="O2685" s="23" t="b">
        <f>IFERROR(VLOOKUP(A2685, Entries!A:I,8,false),"")</f>
        <v>0</v>
      </c>
    </row>
    <row r="2686">
      <c r="A2686" s="78" t="s">
        <v>2998</v>
      </c>
      <c r="B2686" s="78" t="s">
        <v>27</v>
      </c>
      <c r="C2686" s="85">
        <v>44951.0</v>
      </c>
      <c r="D2686" s="85">
        <v>44963.0</v>
      </c>
      <c r="E2686" s="86">
        <v>15.09</v>
      </c>
      <c r="F2686" s="87">
        <v>21.64</v>
      </c>
      <c r="G2686" s="88">
        <f t="shared" si="1"/>
        <v>6.55</v>
      </c>
      <c r="H2686" s="89">
        <f t="shared" si="10"/>
        <v>0.3026802218</v>
      </c>
      <c r="I2686" s="78" t="s">
        <v>3308</v>
      </c>
      <c r="J2686" s="78" t="s">
        <v>69</v>
      </c>
      <c r="K2686" s="58">
        <f t="shared" si="3"/>
        <v>12</v>
      </c>
      <c r="L2686" s="91" t="str">
        <f t="shared" si="8"/>
        <v>Mon</v>
      </c>
      <c r="M2686" s="78" t="str">
        <f>IFERROR(VLOOKUP(A2686, Entries!A:B,2,false),"")</f>
        <v>505 Games</v>
      </c>
      <c r="N2686" s="23" t="str">
        <f>IFERROR(VLOOKUP(A2686, Entries!A:K,11,false),"")</f>
        <v/>
      </c>
      <c r="O2686" s="23" t="b">
        <f>IFERROR(VLOOKUP(A2686, Entries!A:I,8,false),"")</f>
        <v>0</v>
      </c>
    </row>
    <row r="2687">
      <c r="A2687" s="78" t="s">
        <v>3309</v>
      </c>
      <c r="B2687" s="78" t="s">
        <v>27</v>
      </c>
      <c r="C2687" s="85">
        <v>44951.0</v>
      </c>
      <c r="D2687" s="85">
        <v>44955.0</v>
      </c>
      <c r="E2687" s="86">
        <v>7.49</v>
      </c>
      <c r="F2687" s="87">
        <v>7.61</v>
      </c>
      <c r="G2687" s="88">
        <f t="shared" si="1"/>
        <v>0.12</v>
      </c>
      <c r="H2687" s="89">
        <f t="shared" si="10"/>
        <v>0.01576872536</v>
      </c>
      <c r="I2687" s="78" t="s">
        <v>3310</v>
      </c>
      <c r="J2687" s="78" t="s">
        <v>69</v>
      </c>
      <c r="K2687" s="58">
        <f t="shared" si="3"/>
        <v>4</v>
      </c>
      <c r="L2687" s="91" t="str">
        <f t="shared" si="8"/>
        <v>Sun</v>
      </c>
      <c r="M2687" s="78" t="str">
        <f>IFERROR(VLOOKUP(A2687, Entries!A:B,2,false),"")</f>
        <v>Digixart</v>
      </c>
      <c r="N2687" s="23" t="str">
        <f>IFERROR(VLOOKUP(A2687, Entries!A:K,11,false),"")</f>
        <v/>
      </c>
      <c r="O2687" s="23" t="b">
        <f>IFERROR(VLOOKUP(A2687, Entries!A:I,8,false),"")</f>
        <v>0</v>
      </c>
    </row>
    <row r="2688">
      <c r="A2688" s="78" t="s">
        <v>3296</v>
      </c>
      <c r="B2688" s="78" t="s">
        <v>27</v>
      </c>
      <c r="C2688" s="85">
        <v>44951.0</v>
      </c>
      <c r="D2688" s="85">
        <v>44951.0</v>
      </c>
      <c r="E2688" s="86">
        <v>23.19</v>
      </c>
      <c r="F2688" s="87">
        <v>28.45</v>
      </c>
      <c r="G2688" s="88">
        <f t="shared" si="1"/>
        <v>5.26</v>
      </c>
      <c r="H2688" s="89">
        <f t="shared" si="10"/>
        <v>0.1848857645</v>
      </c>
      <c r="I2688" s="78" t="s">
        <v>3311</v>
      </c>
      <c r="J2688" s="78" t="s">
        <v>69</v>
      </c>
      <c r="K2688" s="58">
        <f t="shared" si="3"/>
        <v>0</v>
      </c>
      <c r="L2688" s="91" t="str">
        <f t="shared" si="8"/>
        <v>Wed</v>
      </c>
      <c r="M2688" s="78" t="str">
        <f>IFERROR(VLOOKUP(A2688, Entries!A:B,2,false),"")</f>
        <v>IO Interactive</v>
      </c>
      <c r="N2688" s="23" t="str">
        <f>IFERROR(VLOOKUP(A2688, Entries!A:K,11,false),"")</f>
        <v/>
      </c>
      <c r="O2688" s="23" t="b">
        <f>IFERROR(VLOOKUP(A2688, Entries!A:I,8,false),"")</f>
        <v>0</v>
      </c>
    </row>
    <row r="2689">
      <c r="A2689" s="78" t="s">
        <v>3296</v>
      </c>
      <c r="B2689" s="78" t="s">
        <v>27</v>
      </c>
      <c r="C2689" s="85">
        <v>44951.0</v>
      </c>
      <c r="D2689" s="85">
        <v>44952.0</v>
      </c>
      <c r="E2689" s="86">
        <v>23.19</v>
      </c>
      <c r="F2689" s="87">
        <v>26.32</v>
      </c>
      <c r="G2689" s="88">
        <f t="shared" si="1"/>
        <v>3.13</v>
      </c>
      <c r="H2689" s="89">
        <f t="shared" si="10"/>
        <v>0.1189209726</v>
      </c>
      <c r="I2689" s="78" t="s">
        <v>3312</v>
      </c>
      <c r="J2689" s="78" t="s">
        <v>69</v>
      </c>
      <c r="K2689" s="58">
        <f t="shared" si="3"/>
        <v>1</v>
      </c>
      <c r="L2689" s="91" t="str">
        <f t="shared" si="8"/>
        <v>Thu</v>
      </c>
      <c r="M2689" s="78" t="str">
        <f>IFERROR(VLOOKUP(A2689, Entries!A:B,2,false),"")</f>
        <v>IO Interactive</v>
      </c>
      <c r="N2689" s="23" t="str">
        <f>IFERROR(VLOOKUP(A2689, Entries!A:K,11,false),"")</f>
        <v/>
      </c>
      <c r="O2689" s="23" t="b">
        <f>IFERROR(VLOOKUP(A2689, Entries!A:I,8,false),"")</f>
        <v>0</v>
      </c>
    </row>
    <row r="2690">
      <c r="A2690" s="78" t="s">
        <v>3296</v>
      </c>
      <c r="B2690" s="78" t="s">
        <v>27</v>
      </c>
      <c r="C2690" s="85">
        <v>44951.0</v>
      </c>
      <c r="D2690" s="85">
        <v>44953.0</v>
      </c>
      <c r="E2690" s="86">
        <v>23.19</v>
      </c>
      <c r="F2690" s="87">
        <v>26.5</v>
      </c>
      <c r="G2690" s="88">
        <f t="shared" si="1"/>
        <v>3.31</v>
      </c>
      <c r="H2690" s="89">
        <f t="shared" si="10"/>
        <v>0.1249056604</v>
      </c>
      <c r="I2690" s="78" t="s">
        <v>3313</v>
      </c>
      <c r="J2690" s="78" t="s">
        <v>69</v>
      </c>
      <c r="K2690" s="58">
        <f t="shared" si="3"/>
        <v>2</v>
      </c>
      <c r="L2690" s="91" t="str">
        <f t="shared" si="8"/>
        <v>Fri</v>
      </c>
      <c r="M2690" s="78" t="str">
        <f>IFERROR(VLOOKUP(A2690, Entries!A:B,2,false),"")</f>
        <v>IO Interactive</v>
      </c>
      <c r="N2690" s="23" t="str">
        <f>IFERROR(VLOOKUP(A2690, Entries!A:K,11,false),"")</f>
        <v/>
      </c>
      <c r="O2690" s="23" t="b">
        <f>IFERROR(VLOOKUP(A2690, Entries!A:I,8,false),"")</f>
        <v>0</v>
      </c>
    </row>
    <row r="2691">
      <c r="A2691" s="78" t="s">
        <v>3314</v>
      </c>
      <c r="B2691" s="78" t="s">
        <v>21</v>
      </c>
      <c r="C2691" s="85">
        <v>44952.0</v>
      </c>
      <c r="D2691" s="85">
        <v>44957.0</v>
      </c>
      <c r="E2691" s="86">
        <v>14.69</v>
      </c>
      <c r="F2691" s="87">
        <v>15.69</v>
      </c>
      <c r="G2691" s="88">
        <f t="shared" si="1"/>
        <v>1</v>
      </c>
      <c r="H2691" s="89">
        <f t="shared" si="10"/>
        <v>0.06373486297</v>
      </c>
      <c r="I2691" s="78" t="s">
        <v>3315</v>
      </c>
      <c r="J2691" s="78" t="s">
        <v>69</v>
      </c>
      <c r="K2691" s="58">
        <f t="shared" si="3"/>
        <v>5</v>
      </c>
      <c r="L2691" s="91" t="str">
        <f t="shared" si="8"/>
        <v>Tue</v>
      </c>
      <c r="M2691" s="78" t="str">
        <f>IFERROR(VLOOKUP(A2691, Entries!A:B,2,false),"")</f>
        <v>Stunlock Studios</v>
      </c>
      <c r="N2691" s="23" t="str">
        <f>IFERROR(VLOOKUP(A2691, Entries!A:K,11,false),"")</f>
        <v/>
      </c>
      <c r="O2691" s="23" t="b">
        <f>IFERROR(VLOOKUP(A2691, Entries!A:I,8,false),"")</f>
        <v>0</v>
      </c>
    </row>
    <row r="2692">
      <c r="A2692" s="78" t="s">
        <v>1387</v>
      </c>
      <c r="B2692" s="78" t="s">
        <v>19</v>
      </c>
      <c r="C2692" s="85">
        <v>44952.0</v>
      </c>
      <c r="D2692" s="85">
        <v>44957.0</v>
      </c>
      <c r="E2692" s="86">
        <v>0.97</v>
      </c>
      <c r="F2692" s="87">
        <v>1.89</v>
      </c>
      <c r="G2692" s="88">
        <f t="shared" si="1"/>
        <v>0.92</v>
      </c>
      <c r="H2692" s="89">
        <f t="shared" si="10"/>
        <v>0.4867724868</v>
      </c>
      <c r="I2692" s="78" t="s">
        <v>3316</v>
      </c>
      <c r="J2692" s="78" t="s">
        <v>69</v>
      </c>
      <c r="K2692" s="58">
        <f t="shared" si="3"/>
        <v>5</v>
      </c>
      <c r="L2692" s="91" t="str">
        <f t="shared" si="8"/>
        <v>Tue</v>
      </c>
      <c r="M2692" s="78" t="str">
        <f>IFERROR(VLOOKUP(A2692, Entries!A:B,2,false),"")</f>
        <v>Eugen Systems</v>
      </c>
      <c r="N2692" s="23" t="str">
        <f>IFERROR(VLOOKUP(A2692, Entries!A:K,11,false),"")</f>
        <v/>
      </c>
      <c r="O2692" s="23" t="b">
        <f>IFERROR(VLOOKUP(A2692, Entries!A:I,8,false),"")</f>
        <v>0</v>
      </c>
    </row>
    <row r="2693">
      <c r="A2693" s="78" t="s">
        <v>3317</v>
      </c>
      <c r="B2693" s="78" t="s">
        <v>19</v>
      </c>
      <c r="C2693" s="85">
        <v>44952.0</v>
      </c>
      <c r="D2693" s="85">
        <v>44953.0</v>
      </c>
      <c r="E2693" s="86">
        <v>0.95</v>
      </c>
      <c r="F2693" s="87">
        <v>2.34</v>
      </c>
      <c r="G2693" s="88">
        <f t="shared" si="1"/>
        <v>1.39</v>
      </c>
      <c r="H2693" s="89">
        <f t="shared" si="10"/>
        <v>0.594017094</v>
      </c>
      <c r="I2693" s="78" t="s">
        <v>3318</v>
      </c>
      <c r="J2693" s="78" t="s">
        <v>69</v>
      </c>
      <c r="K2693" s="58">
        <f t="shared" si="3"/>
        <v>1</v>
      </c>
      <c r="L2693" s="91" t="str">
        <f t="shared" si="8"/>
        <v>Fri</v>
      </c>
      <c r="M2693" s="78" t="str">
        <f>IFERROR(VLOOKUP(A2693, Entries!A:B,2,false),"")</f>
        <v>Nacon</v>
      </c>
      <c r="N2693" s="23" t="str">
        <f>IFERROR(VLOOKUP(A2693, Entries!A:K,11,false),"")</f>
        <v/>
      </c>
      <c r="O2693" s="23" t="b">
        <f>IFERROR(VLOOKUP(A2693, Entries!A:I,8,false),"")</f>
        <v>0</v>
      </c>
    </row>
    <row r="2694">
      <c r="A2694" s="78" t="s">
        <v>3319</v>
      </c>
      <c r="B2694" s="78" t="s">
        <v>19</v>
      </c>
      <c r="C2694" s="85">
        <v>44952.0</v>
      </c>
      <c r="D2694" s="85">
        <v>44953.0</v>
      </c>
      <c r="E2694" s="86">
        <v>0.95</v>
      </c>
      <c r="F2694" s="87">
        <v>3.4</v>
      </c>
      <c r="G2694" s="88">
        <f t="shared" si="1"/>
        <v>2.45</v>
      </c>
      <c r="H2694" s="89">
        <f t="shared" si="10"/>
        <v>0.7205882353</v>
      </c>
      <c r="I2694" s="78" t="s">
        <v>3320</v>
      </c>
      <c r="J2694" s="78" t="s">
        <v>69</v>
      </c>
      <c r="K2694" s="58">
        <f t="shared" si="3"/>
        <v>1</v>
      </c>
      <c r="L2694" s="91" t="str">
        <f t="shared" si="8"/>
        <v>Fri</v>
      </c>
      <c r="M2694" s="78" t="str">
        <f>IFERROR(VLOOKUP(A2694, Entries!A:B,2,false),"")</f>
        <v>Destructive Creation</v>
      </c>
      <c r="N2694" s="23" t="str">
        <f>IFERROR(VLOOKUP(A2694, Entries!A:K,11,false),"")</f>
        <v/>
      </c>
      <c r="O2694" s="23" t="b">
        <f>IFERROR(VLOOKUP(A2694, Entries!A:I,8,false),"")</f>
        <v>0</v>
      </c>
    </row>
    <row r="2695">
      <c r="A2695" s="78" t="s">
        <v>2096</v>
      </c>
      <c r="B2695" s="78" t="s">
        <v>25</v>
      </c>
      <c r="C2695" s="85">
        <v>44952.0</v>
      </c>
      <c r="D2695" s="85">
        <v>44964.0</v>
      </c>
      <c r="E2695" s="86">
        <v>6.1</v>
      </c>
      <c r="F2695" s="87">
        <v>8.38</v>
      </c>
      <c r="G2695" s="88">
        <f t="shared" si="1"/>
        <v>2.28</v>
      </c>
      <c r="H2695" s="89">
        <f t="shared" si="10"/>
        <v>0.2720763723</v>
      </c>
      <c r="I2695" s="78" t="s">
        <v>3321</v>
      </c>
      <c r="J2695" s="78" t="s">
        <v>69</v>
      </c>
      <c r="K2695" s="58">
        <f t="shared" si="3"/>
        <v>12</v>
      </c>
      <c r="L2695" s="91" t="str">
        <f t="shared" si="8"/>
        <v>Tue</v>
      </c>
      <c r="M2695" s="78" t="str">
        <f>IFERROR(VLOOKUP(A2695, Entries!A:B,2,false),"")</f>
        <v>Subset Games</v>
      </c>
      <c r="N2695" s="23" t="str">
        <f>IFERROR(VLOOKUP(A2695, Entries!A:K,11,false),"")</f>
        <v/>
      </c>
      <c r="O2695" s="23" t="b">
        <f>IFERROR(VLOOKUP(A2695, Entries!A:I,8,false),"")</f>
        <v>0</v>
      </c>
    </row>
    <row r="2696">
      <c r="A2696" s="78" t="s">
        <v>3296</v>
      </c>
      <c r="B2696" s="78" t="s">
        <v>18</v>
      </c>
      <c r="C2696" s="85">
        <v>44953.0</v>
      </c>
      <c r="D2696" s="85">
        <v>44954.0</v>
      </c>
      <c r="E2696" s="86">
        <v>23.77</v>
      </c>
      <c r="F2696" s="87">
        <v>26.67</v>
      </c>
      <c r="G2696" s="88">
        <f t="shared" si="1"/>
        <v>2.9</v>
      </c>
      <c r="H2696" s="89">
        <f t="shared" si="10"/>
        <v>0.1087364079</v>
      </c>
      <c r="I2696" s="78" t="s">
        <v>3322</v>
      </c>
      <c r="J2696" s="78" t="s">
        <v>69</v>
      </c>
      <c r="K2696" s="58">
        <f t="shared" si="3"/>
        <v>1</v>
      </c>
      <c r="L2696" s="91" t="str">
        <f t="shared" si="8"/>
        <v>Sat</v>
      </c>
      <c r="M2696" s="78" t="str">
        <f>IFERROR(VLOOKUP(A2696, Entries!A:B,2,false),"")</f>
        <v>IO Interactive</v>
      </c>
      <c r="N2696" s="23" t="str">
        <f>IFERROR(VLOOKUP(A2696, Entries!A:K,11,false),"")</f>
        <v/>
      </c>
      <c r="O2696" s="23" t="b">
        <f>IFERROR(VLOOKUP(A2696, Entries!A:I,8,false),"")</f>
        <v>0</v>
      </c>
    </row>
    <row r="2697">
      <c r="A2697" s="78" t="s">
        <v>3296</v>
      </c>
      <c r="B2697" s="78" t="s">
        <v>18</v>
      </c>
      <c r="C2697" s="85">
        <v>44953.0</v>
      </c>
      <c r="D2697" s="85">
        <v>44960.0</v>
      </c>
      <c r="E2697" s="86">
        <v>23.77</v>
      </c>
      <c r="F2697" s="87">
        <v>31.33</v>
      </c>
      <c r="G2697" s="88">
        <f t="shared" si="1"/>
        <v>7.56</v>
      </c>
      <c r="H2697" s="89">
        <f t="shared" si="10"/>
        <v>0.2413022662</v>
      </c>
      <c r="I2697" s="78" t="s">
        <v>3323</v>
      </c>
      <c r="J2697" s="78" t="s">
        <v>69</v>
      </c>
      <c r="K2697" s="58">
        <f t="shared" si="3"/>
        <v>7</v>
      </c>
      <c r="L2697" s="91" t="str">
        <f t="shared" si="8"/>
        <v>Fri</v>
      </c>
      <c r="M2697" s="78" t="str">
        <f>IFERROR(VLOOKUP(A2697, Entries!A:B,2,false),"")</f>
        <v>IO Interactive</v>
      </c>
      <c r="N2697" s="23" t="str">
        <f>IFERROR(VLOOKUP(A2697, Entries!A:K,11,false),"")</f>
        <v/>
      </c>
      <c r="O2697" s="23" t="b">
        <f>IFERROR(VLOOKUP(A2697, Entries!A:I,8,false),"")</f>
        <v>0</v>
      </c>
    </row>
    <row r="2698">
      <c r="A2698" s="78" t="s">
        <v>3280</v>
      </c>
      <c r="B2698" s="78" t="s">
        <v>19</v>
      </c>
      <c r="C2698" s="85">
        <v>44953.0</v>
      </c>
      <c r="D2698" s="85">
        <v>44954.0</v>
      </c>
      <c r="E2698" s="86">
        <v>13.05</v>
      </c>
      <c r="F2698" s="87">
        <v>23.83</v>
      </c>
      <c r="G2698" s="88">
        <f t="shared" si="1"/>
        <v>10.78</v>
      </c>
      <c r="H2698" s="89">
        <f t="shared" si="10"/>
        <v>0.452370961</v>
      </c>
      <c r="I2698" s="78" t="s">
        <v>3324</v>
      </c>
      <c r="J2698" s="78" t="s">
        <v>69</v>
      </c>
      <c r="K2698" s="58">
        <f t="shared" si="3"/>
        <v>1</v>
      </c>
      <c r="L2698" s="91" t="str">
        <f t="shared" si="8"/>
        <v>Sat</v>
      </c>
      <c r="M2698" s="78" t="str">
        <f>IFERROR(VLOOKUP(A2698, Entries!A:B,2,false),"")</f>
        <v>Microids</v>
      </c>
      <c r="N2698" s="23" t="str">
        <f>IFERROR(VLOOKUP(A2698, Entries!A:K,11,false),"")</f>
        <v/>
      </c>
      <c r="O2698" s="23" t="b">
        <f>IFERROR(VLOOKUP(A2698, Entries!A:I,8,false),"")</f>
        <v>0</v>
      </c>
    </row>
    <row r="2699">
      <c r="A2699" s="78" t="s">
        <v>3325</v>
      </c>
      <c r="B2699" s="78" t="s">
        <v>19</v>
      </c>
      <c r="C2699" s="85">
        <v>44953.0</v>
      </c>
      <c r="D2699" s="85">
        <v>44953.0</v>
      </c>
      <c r="E2699" s="86">
        <v>8.63</v>
      </c>
      <c r="F2699" s="87">
        <v>12.66</v>
      </c>
      <c r="G2699" s="88">
        <f t="shared" si="1"/>
        <v>4.03</v>
      </c>
      <c r="H2699" s="89">
        <f t="shared" si="10"/>
        <v>0.3183254344</v>
      </c>
      <c r="I2699" s="78" t="s">
        <v>3326</v>
      </c>
      <c r="J2699" s="78" t="s">
        <v>69</v>
      </c>
      <c r="K2699" s="58">
        <f t="shared" si="3"/>
        <v>0</v>
      </c>
      <c r="L2699" s="91" t="str">
        <f t="shared" si="8"/>
        <v>Fri</v>
      </c>
      <c r="M2699" s="78" t="str">
        <f>IFERROR(VLOOKUP(A2699, Entries!A:B,2,false),"")</f>
        <v>Cheesecake Dev</v>
      </c>
      <c r="N2699" s="23" t="str">
        <f>IFERROR(VLOOKUP(A2699, Entries!A:K,11,false),"")</f>
        <v/>
      </c>
      <c r="O2699" s="23" t="b">
        <f>IFERROR(VLOOKUP(A2699, Entries!A:I,8,false),"")</f>
        <v>1</v>
      </c>
    </row>
    <row r="2700">
      <c r="A2700" s="78" t="s">
        <v>3325</v>
      </c>
      <c r="B2700" s="78" t="s">
        <v>19</v>
      </c>
      <c r="C2700" s="85">
        <v>44953.0</v>
      </c>
      <c r="D2700" s="85">
        <v>44959.0</v>
      </c>
      <c r="E2700" s="86">
        <v>9.16</v>
      </c>
      <c r="F2700" s="87">
        <v>12.43</v>
      </c>
      <c r="G2700" s="88">
        <f t="shared" si="1"/>
        <v>3.27</v>
      </c>
      <c r="H2700" s="89">
        <f t="shared" si="10"/>
        <v>0.26307321</v>
      </c>
      <c r="I2700" s="78" t="s">
        <v>3327</v>
      </c>
      <c r="J2700" s="78" t="s">
        <v>69</v>
      </c>
      <c r="K2700" s="58">
        <f t="shared" si="3"/>
        <v>6</v>
      </c>
      <c r="L2700" s="91" t="str">
        <f t="shared" si="8"/>
        <v>Thu</v>
      </c>
      <c r="M2700" s="78" t="str">
        <f>IFERROR(VLOOKUP(A2700, Entries!A:B,2,false),"")</f>
        <v>Cheesecake Dev</v>
      </c>
      <c r="N2700" s="23" t="str">
        <f>IFERROR(VLOOKUP(A2700, Entries!A:K,11,false),"")</f>
        <v/>
      </c>
      <c r="O2700" s="23" t="b">
        <f>IFERROR(VLOOKUP(A2700, Entries!A:I,8,false),"")</f>
        <v>1</v>
      </c>
    </row>
    <row r="2701">
      <c r="A2701" s="78" t="s">
        <v>1387</v>
      </c>
      <c r="B2701" s="78" t="s">
        <v>19</v>
      </c>
      <c r="C2701" s="85">
        <v>44953.0</v>
      </c>
      <c r="D2701" s="85">
        <v>44999.0</v>
      </c>
      <c r="E2701" s="86">
        <v>1.5</v>
      </c>
      <c r="F2701" s="87">
        <v>2.27</v>
      </c>
      <c r="G2701" s="88">
        <f t="shared" si="1"/>
        <v>0.77</v>
      </c>
      <c r="H2701" s="89">
        <f t="shared" si="10"/>
        <v>0.3392070485</v>
      </c>
      <c r="I2701" s="78" t="s">
        <v>3328</v>
      </c>
      <c r="J2701" s="78" t="s">
        <v>69</v>
      </c>
      <c r="K2701" s="58">
        <f t="shared" si="3"/>
        <v>46</v>
      </c>
      <c r="L2701" s="91" t="str">
        <f t="shared" si="8"/>
        <v>Tue</v>
      </c>
      <c r="M2701" s="78" t="str">
        <f>IFERROR(VLOOKUP(A2701, Entries!A:B,2,false),"")</f>
        <v>Eugen Systems</v>
      </c>
      <c r="N2701" s="23" t="str">
        <f>IFERROR(VLOOKUP(A2701, Entries!A:K,11,false),"")</f>
        <v/>
      </c>
      <c r="O2701" s="23" t="b">
        <f>IFERROR(VLOOKUP(A2701, Entries!A:I,8,false),"")</f>
        <v>0</v>
      </c>
    </row>
    <row r="2702">
      <c r="A2702" s="78" t="s">
        <v>3317</v>
      </c>
      <c r="B2702" s="78" t="s">
        <v>19</v>
      </c>
      <c r="C2702" s="85">
        <v>44953.0</v>
      </c>
      <c r="D2702" s="85">
        <v>44953.0</v>
      </c>
      <c r="E2702" s="86">
        <v>1.5</v>
      </c>
      <c r="F2702" s="87">
        <v>2.34</v>
      </c>
      <c r="G2702" s="88">
        <f t="shared" si="1"/>
        <v>0.84</v>
      </c>
      <c r="H2702" s="89">
        <f t="shared" si="10"/>
        <v>0.358974359</v>
      </c>
      <c r="I2702" s="78" t="s">
        <v>3329</v>
      </c>
      <c r="J2702" s="78" t="s">
        <v>69</v>
      </c>
      <c r="K2702" s="58">
        <f t="shared" si="3"/>
        <v>0</v>
      </c>
      <c r="L2702" s="91" t="str">
        <f t="shared" si="8"/>
        <v>Fri</v>
      </c>
      <c r="M2702" s="78" t="str">
        <f>IFERROR(VLOOKUP(A2702, Entries!A:B,2,false),"")</f>
        <v>Nacon</v>
      </c>
      <c r="N2702" s="23" t="str">
        <f>IFERROR(VLOOKUP(A2702, Entries!A:K,11,false),"")</f>
        <v/>
      </c>
      <c r="O2702" s="23" t="b">
        <f>IFERROR(VLOOKUP(A2702, Entries!A:I,8,false),"")</f>
        <v>0</v>
      </c>
    </row>
    <row r="2703">
      <c r="A2703" s="78" t="s">
        <v>3319</v>
      </c>
      <c r="B2703" s="78" t="s">
        <v>19</v>
      </c>
      <c r="C2703" s="85">
        <v>44953.0</v>
      </c>
      <c r="D2703" s="85">
        <v>44953.0</v>
      </c>
      <c r="E2703" s="86">
        <v>1.5</v>
      </c>
      <c r="F2703" s="87">
        <v>3.25</v>
      </c>
      <c r="G2703" s="88">
        <f t="shared" si="1"/>
        <v>1.75</v>
      </c>
      <c r="H2703" s="89">
        <f t="shared" si="10"/>
        <v>0.5384615385</v>
      </c>
      <c r="I2703" s="78" t="s">
        <v>3330</v>
      </c>
      <c r="J2703" s="78" t="s">
        <v>69</v>
      </c>
      <c r="K2703" s="58">
        <f t="shared" si="3"/>
        <v>0</v>
      </c>
      <c r="L2703" s="91" t="str">
        <f t="shared" si="8"/>
        <v>Fri</v>
      </c>
      <c r="M2703" s="78" t="str">
        <f>IFERROR(VLOOKUP(A2703, Entries!A:B,2,false),"")</f>
        <v>Destructive Creation</v>
      </c>
      <c r="N2703" s="23" t="str">
        <f>IFERROR(VLOOKUP(A2703, Entries!A:K,11,false),"")</f>
        <v/>
      </c>
      <c r="O2703" s="23" t="b">
        <f>IFERROR(VLOOKUP(A2703, Entries!A:I,8,false),"")</f>
        <v>0</v>
      </c>
    </row>
    <row r="2704">
      <c r="A2704" s="78" t="s">
        <v>3331</v>
      </c>
      <c r="B2704" s="78" t="s">
        <v>19</v>
      </c>
      <c r="C2704" s="85">
        <v>44953.0</v>
      </c>
      <c r="D2704" s="85">
        <v>44954.0</v>
      </c>
      <c r="E2704" s="86">
        <v>0.0</v>
      </c>
      <c r="F2704" s="87">
        <v>0.28</v>
      </c>
      <c r="G2704" s="88">
        <f t="shared" si="1"/>
        <v>0.28</v>
      </c>
      <c r="H2704" s="89">
        <f t="shared" si="10"/>
        <v>1</v>
      </c>
      <c r="I2704" s="78" t="s">
        <v>3332</v>
      </c>
      <c r="J2704" s="78" t="s">
        <v>69</v>
      </c>
      <c r="K2704" s="58">
        <f t="shared" si="3"/>
        <v>1</v>
      </c>
      <c r="L2704" s="91" t="str">
        <f t="shared" si="8"/>
        <v>Sat</v>
      </c>
      <c r="M2704" s="78" t="str">
        <f>IFERROR(VLOOKUP(A2704, Entries!A:B,2,false),"")</f>
        <v>Vertigo Gaming</v>
      </c>
      <c r="N2704" s="23" t="str">
        <f>IFERROR(VLOOKUP(A2704, Entries!A:K,11,false),"")</f>
        <v/>
      </c>
      <c r="O2704" s="23" t="b">
        <f>IFERROR(VLOOKUP(A2704, Entries!A:I,8,false),"")</f>
        <v>0</v>
      </c>
    </row>
    <row r="2705">
      <c r="A2705" s="78" t="s">
        <v>3325</v>
      </c>
      <c r="B2705" s="78" t="s">
        <v>19</v>
      </c>
      <c r="C2705" s="85">
        <v>44953.0</v>
      </c>
      <c r="D2705" s="85">
        <v>44953.0</v>
      </c>
      <c r="E2705" s="86">
        <v>9.11</v>
      </c>
      <c r="F2705" s="87">
        <v>12.71</v>
      </c>
      <c r="G2705" s="88">
        <f t="shared" si="1"/>
        <v>3.6</v>
      </c>
      <c r="H2705" s="89">
        <f t="shared" si="10"/>
        <v>0.2832415421</v>
      </c>
      <c r="I2705" s="78" t="s">
        <v>3333</v>
      </c>
      <c r="J2705" s="78" t="s">
        <v>69</v>
      </c>
      <c r="K2705" s="58">
        <f t="shared" si="3"/>
        <v>0</v>
      </c>
      <c r="L2705" s="91" t="str">
        <f t="shared" si="8"/>
        <v>Fri</v>
      </c>
      <c r="M2705" s="78" t="str">
        <f>IFERROR(VLOOKUP(A2705, Entries!A:B,2,false),"")</f>
        <v>Cheesecake Dev</v>
      </c>
      <c r="N2705" s="23" t="str">
        <f>IFERROR(VLOOKUP(A2705, Entries!A:K,11,false),"")</f>
        <v/>
      </c>
      <c r="O2705" s="23" t="b">
        <f>IFERROR(VLOOKUP(A2705, Entries!A:I,8,false),"")</f>
        <v>1</v>
      </c>
    </row>
    <row r="2706">
      <c r="A2706" s="78" t="s">
        <v>1387</v>
      </c>
      <c r="B2706" s="78" t="s">
        <v>19</v>
      </c>
      <c r="C2706" s="85">
        <v>44953.0</v>
      </c>
      <c r="D2706" s="85">
        <v>45000.0</v>
      </c>
      <c r="E2706" s="86">
        <v>1.5</v>
      </c>
      <c r="F2706" s="87">
        <v>2.28</v>
      </c>
      <c r="G2706" s="88">
        <f t="shared" si="1"/>
        <v>0.78</v>
      </c>
      <c r="H2706" s="89">
        <f t="shared" si="10"/>
        <v>0.3421052632</v>
      </c>
      <c r="I2706" s="78" t="s">
        <v>3334</v>
      </c>
      <c r="J2706" s="78" t="s">
        <v>69</v>
      </c>
      <c r="K2706" s="58">
        <f t="shared" si="3"/>
        <v>47</v>
      </c>
      <c r="L2706" s="91" t="str">
        <f t="shared" si="8"/>
        <v>Wed</v>
      </c>
      <c r="M2706" s="78" t="str">
        <f>IFERROR(VLOOKUP(A2706, Entries!A:B,2,false),"")</f>
        <v>Eugen Systems</v>
      </c>
      <c r="N2706" s="23" t="str">
        <f>IFERROR(VLOOKUP(A2706, Entries!A:K,11,false),"")</f>
        <v/>
      </c>
      <c r="O2706" s="23" t="b">
        <f>IFERROR(VLOOKUP(A2706, Entries!A:I,8,false),"")</f>
        <v>0</v>
      </c>
    </row>
    <row r="2707">
      <c r="A2707" s="78" t="s">
        <v>3317</v>
      </c>
      <c r="B2707" s="78" t="s">
        <v>19</v>
      </c>
      <c r="C2707" s="85">
        <v>44953.0</v>
      </c>
      <c r="D2707" s="85">
        <v>44954.0</v>
      </c>
      <c r="E2707" s="86">
        <v>1.5</v>
      </c>
      <c r="F2707" s="87">
        <v>2.29</v>
      </c>
      <c r="G2707" s="88">
        <f t="shared" si="1"/>
        <v>0.79</v>
      </c>
      <c r="H2707" s="89">
        <f t="shared" si="10"/>
        <v>0.3449781659</v>
      </c>
      <c r="I2707" s="78" t="s">
        <v>3335</v>
      </c>
      <c r="J2707" s="78" t="s">
        <v>69</v>
      </c>
      <c r="K2707" s="58">
        <f t="shared" si="3"/>
        <v>1</v>
      </c>
      <c r="L2707" s="91" t="str">
        <f t="shared" si="8"/>
        <v>Sat</v>
      </c>
      <c r="M2707" s="78" t="str">
        <f>IFERROR(VLOOKUP(A2707, Entries!A:B,2,false),"")</f>
        <v>Nacon</v>
      </c>
      <c r="N2707" s="23" t="str">
        <f>IFERROR(VLOOKUP(A2707, Entries!A:K,11,false),"")</f>
        <v/>
      </c>
      <c r="O2707" s="23" t="b">
        <f>IFERROR(VLOOKUP(A2707, Entries!A:I,8,false),"")</f>
        <v>0</v>
      </c>
    </row>
    <row r="2708">
      <c r="A2708" s="78" t="s">
        <v>3319</v>
      </c>
      <c r="B2708" s="78" t="s">
        <v>19</v>
      </c>
      <c r="C2708" s="85">
        <v>44953.0</v>
      </c>
      <c r="D2708" s="85">
        <v>44953.0</v>
      </c>
      <c r="E2708" s="86">
        <v>1.55</v>
      </c>
      <c r="F2708" s="87">
        <v>3.1</v>
      </c>
      <c r="G2708" s="88">
        <f t="shared" si="1"/>
        <v>1.55</v>
      </c>
      <c r="H2708" s="89">
        <f t="shared" si="10"/>
        <v>0.5</v>
      </c>
      <c r="I2708" s="78" t="s">
        <v>3336</v>
      </c>
      <c r="J2708" s="78" t="s">
        <v>69</v>
      </c>
      <c r="K2708" s="58">
        <f t="shared" si="3"/>
        <v>0</v>
      </c>
      <c r="L2708" s="91" t="str">
        <f t="shared" si="8"/>
        <v>Fri</v>
      </c>
      <c r="M2708" s="78" t="str">
        <f>IFERROR(VLOOKUP(A2708, Entries!A:B,2,false),"")</f>
        <v>Destructive Creation</v>
      </c>
      <c r="N2708" s="23" t="str">
        <f>IFERROR(VLOOKUP(A2708, Entries!A:K,11,false),"")</f>
        <v/>
      </c>
      <c r="O2708" s="23" t="b">
        <f>IFERROR(VLOOKUP(A2708, Entries!A:I,8,false),"")</f>
        <v>0</v>
      </c>
    </row>
    <row r="2709">
      <c r="A2709" s="78" t="s">
        <v>3325</v>
      </c>
      <c r="B2709" s="78" t="s">
        <v>19</v>
      </c>
      <c r="C2709" s="85">
        <v>44953.0</v>
      </c>
      <c r="D2709" s="85">
        <v>44960.0</v>
      </c>
      <c r="E2709" s="86">
        <v>9.16</v>
      </c>
      <c r="F2709" s="87">
        <v>12.43</v>
      </c>
      <c r="G2709" s="88">
        <f t="shared" si="1"/>
        <v>3.27</v>
      </c>
      <c r="H2709" s="89">
        <f t="shared" si="10"/>
        <v>0.26307321</v>
      </c>
      <c r="I2709" s="78" t="s">
        <v>3337</v>
      </c>
      <c r="J2709" s="78" t="s">
        <v>69</v>
      </c>
      <c r="K2709" s="58">
        <f t="shared" si="3"/>
        <v>7</v>
      </c>
      <c r="L2709" s="91" t="str">
        <f t="shared" si="8"/>
        <v>Fri</v>
      </c>
      <c r="M2709" s="78" t="str">
        <f>IFERROR(VLOOKUP(A2709, Entries!A:B,2,false),"")</f>
        <v>Cheesecake Dev</v>
      </c>
      <c r="N2709" s="23" t="str">
        <f>IFERROR(VLOOKUP(A2709, Entries!A:K,11,false),"")</f>
        <v/>
      </c>
      <c r="O2709" s="23" t="b">
        <f>IFERROR(VLOOKUP(A2709, Entries!A:I,8,false),"")</f>
        <v>1</v>
      </c>
    </row>
    <row r="2710">
      <c r="A2710" s="78" t="s">
        <v>1387</v>
      </c>
      <c r="B2710" s="78" t="s">
        <v>19</v>
      </c>
      <c r="C2710" s="85">
        <v>44953.0</v>
      </c>
      <c r="D2710" s="85">
        <v>45001.0</v>
      </c>
      <c r="E2710" s="86">
        <v>1.5</v>
      </c>
      <c r="F2710" s="87">
        <v>4.81</v>
      </c>
      <c r="G2710" s="88">
        <f t="shared" si="1"/>
        <v>3.31</v>
      </c>
      <c r="H2710" s="89">
        <f t="shared" si="10"/>
        <v>0.6881496881</v>
      </c>
      <c r="I2710" s="78" t="s">
        <v>3338</v>
      </c>
      <c r="J2710" s="78" t="s">
        <v>69</v>
      </c>
      <c r="K2710" s="58">
        <f t="shared" si="3"/>
        <v>48</v>
      </c>
      <c r="L2710" s="91" t="str">
        <f t="shared" si="8"/>
        <v>Thu</v>
      </c>
      <c r="M2710" s="78" t="str">
        <f>IFERROR(VLOOKUP(A2710, Entries!A:B,2,false),"")</f>
        <v>Eugen Systems</v>
      </c>
      <c r="N2710" s="23" t="str">
        <f>IFERROR(VLOOKUP(A2710, Entries!A:K,11,false),"")</f>
        <v/>
      </c>
      <c r="O2710" s="23" t="b">
        <f>IFERROR(VLOOKUP(A2710, Entries!A:I,8,false),"")</f>
        <v>0</v>
      </c>
    </row>
    <row r="2711">
      <c r="A2711" s="78" t="s">
        <v>3317</v>
      </c>
      <c r="B2711" s="78" t="s">
        <v>19</v>
      </c>
      <c r="C2711" s="85">
        <v>44953.0</v>
      </c>
      <c r="D2711" s="85">
        <v>44954.0</v>
      </c>
      <c r="E2711" s="86">
        <v>1.5</v>
      </c>
      <c r="F2711" s="87">
        <v>2.29</v>
      </c>
      <c r="G2711" s="88">
        <f t="shared" si="1"/>
        <v>0.79</v>
      </c>
      <c r="H2711" s="89">
        <f t="shared" si="10"/>
        <v>0.3449781659</v>
      </c>
      <c r="I2711" s="78" t="s">
        <v>3339</v>
      </c>
      <c r="J2711" s="78" t="s">
        <v>69</v>
      </c>
      <c r="K2711" s="58">
        <f t="shared" si="3"/>
        <v>1</v>
      </c>
      <c r="L2711" s="91" t="str">
        <f t="shared" si="8"/>
        <v>Sat</v>
      </c>
      <c r="M2711" s="78" t="str">
        <f>IFERROR(VLOOKUP(A2711, Entries!A:B,2,false),"")</f>
        <v>Nacon</v>
      </c>
      <c r="N2711" s="23" t="str">
        <f>IFERROR(VLOOKUP(A2711, Entries!A:K,11,false),"")</f>
        <v/>
      </c>
      <c r="O2711" s="23" t="b">
        <f>IFERROR(VLOOKUP(A2711, Entries!A:I,8,false),"")</f>
        <v>0</v>
      </c>
    </row>
    <row r="2712">
      <c r="A2712" s="78" t="s">
        <v>3319</v>
      </c>
      <c r="B2712" s="78" t="s">
        <v>19</v>
      </c>
      <c r="C2712" s="85">
        <v>44953.0</v>
      </c>
      <c r="D2712" s="85">
        <v>44954.0</v>
      </c>
      <c r="E2712" s="86">
        <v>1.5</v>
      </c>
      <c r="F2712" s="87">
        <v>2.88</v>
      </c>
      <c r="G2712" s="88">
        <f t="shared" si="1"/>
        <v>1.38</v>
      </c>
      <c r="H2712" s="89">
        <f t="shared" si="10"/>
        <v>0.4791666667</v>
      </c>
      <c r="I2712" s="78" t="s">
        <v>3340</v>
      </c>
      <c r="J2712" s="78" t="s">
        <v>69</v>
      </c>
      <c r="K2712" s="58">
        <f t="shared" si="3"/>
        <v>1</v>
      </c>
      <c r="L2712" s="91" t="str">
        <f t="shared" si="8"/>
        <v>Sat</v>
      </c>
      <c r="M2712" s="78" t="str">
        <f>IFERROR(VLOOKUP(A2712, Entries!A:B,2,false),"")</f>
        <v>Destructive Creation</v>
      </c>
      <c r="N2712" s="23" t="str">
        <f>IFERROR(VLOOKUP(A2712, Entries!A:K,11,false),"")</f>
        <v/>
      </c>
      <c r="O2712" s="23" t="b">
        <f>IFERROR(VLOOKUP(A2712, Entries!A:I,8,false),"")</f>
        <v>0</v>
      </c>
    </row>
    <row r="2713">
      <c r="A2713" s="78" t="s">
        <v>3280</v>
      </c>
      <c r="B2713" s="78" t="s">
        <v>19</v>
      </c>
      <c r="C2713" s="85">
        <v>44954.0</v>
      </c>
      <c r="D2713" s="85">
        <v>44975.0</v>
      </c>
      <c r="E2713" s="86">
        <v>14.41</v>
      </c>
      <c r="F2713" s="87">
        <v>20.56</v>
      </c>
      <c r="G2713" s="88">
        <f t="shared" si="1"/>
        <v>6.15</v>
      </c>
      <c r="H2713" s="89">
        <f t="shared" si="10"/>
        <v>0.2991245136</v>
      </c>
      <c r="I2713" s="78" t="s">
        <v>3341</v>
      </c>
      <c r="J2713" s="78" t="s">
        <v>69</v>
      </c>
      <c r="K2713" s="58">
        <f t="shared" si="3"/>
        <v>21</v>
      </c>
      <c r="L2713" s="91" t="str">
        <f t="shared" si="8"/>
        <v>Sat</v>
      </c>
      <c r="M2713" s="78" t="str">
        <f>IFERROR(VLOOKUP(A2713, Entries!A:B,2,false),"")</f>
        <v>Microids</v>
      </c>
      <c r="N2713" s="23" t="str">
        <f>IFERROR(VLOOKUP(A2713, Entries!A:K,11,false),"")</f>
        <v/>
      </c>
      <c r="O2713" s="23" t="b">
        <f>IFERROR(VLOOKUP(A2713, Entries!A:I,8,false),"")</f>
        <v>0</v>
      </c>
    </row>
    <row r="2714">
      <c r="A2714" s="78" t="s">
        <v>2789</v>
      </c>
      <c r="B2714" s="78" t="s">
        <v>19</v>
      </c>
      <c r="C2714" s="85">
        <v>44954.0</v>
      </c>
      <c r="D2714" s="85">
        <v>44960.0</v>
      </c>
      <c r="E2714" s="86">
        <v>3.26</v>
      </c>
      <c r="F2714" s="87">
        <v>6.38</v>
      </c>
      <c r="G2714" s="88">
        <f t="shared" si="1"/>
        <v>3.12</v>
      </c>
      <c r="H2714" s="89">
        <f t="shared" si="10"/>
        <v>0.4890282132</v>
      </c>
      <c r="I2714" s="78" t="s">
        <v>3342</v>
      </c>
      <c r="J2714" s="78" t="s">
        <v>69</v>
      </c>
      <c r="K2714" s="58">
        <f t="shared" si="3"/>
        <v>6</v>
      </c>
      <c r="L2714" s="91" t="str">
        <f t="shared" si="8"/>
        <v>Fri</v>
      </c>
      <c r="M2714" s="78" t="str">
        <f>IFERROR(VLOOKUP(A2714, Entries!A:B,2,false),"")</f>
        <v>Evil Tortilla Games</v>
      </c>
      <c r="N2714" s="23" t="str">
        <f>IFERROR(VLOOKUP(A2714, Entries!A:K,11,false),"")</f>
        <v/>
      </c>
      <c r="O2714" s="23" t="b">
        <f>IFERROR(VLOOKUP(A2714, Entries!A:I,8,false),"")</f>
        <v>1</v>
      </c>
    </row>
    <row r="2715">
      <c r="A2715" s="78" t="s">
        <v>3319</v>
      </c>
      <c r="B2715" s="78" t="s">
        <v>19</v>
      </c>
      <c r="C2715" s="85">
        <v>44955.0</v>
      </c>
      <c r="D2715" s="85">
        <v>44957.0</v>
      </c>
      <c r="E2715" s="86">
        <v>1.5</v>
      </c>
      <c r="F2715" s="87">
        <v>2.67</v>
      </c>
      <c r="G2715" s="88">
        <f t="shared" si="1"/>
        <v>1.17</v>
      </c>
      <c r="H2715" s="89">
        <f t="shared" si="10"/>
        <v>0.4382022472</v>
      </c>
      <c r="I2715" s="78" t="s">
        <v>3343</v>
      </c>
      <c r="J2715" s="78" t="s">
        <v>69</v>
      </c>
      <c r="K2715" s="58">
        <f t="shared" si="3"/>
        <v>2</v>
      </c>
      <c r="L2715" s="91" t="str">
        <f t="shared" si="8"/>
        <v>Tue</v>
      </c>
      <c r="M2715" s="78" t="str">
        <f>IFERROR(VLOOKUP(A2715, Entries!A:B,2,false),"")</f>
        <v>Destructive Creation</v>
      </c>
      <c r="N2715" s="23" t="str">
        <f>IFERROR(VLOOKUP(A2715, Entries!A:K,11,false),"")</f>
        <v/>
      </c>
      <c r="O2715" s="23" t="b">
        <f>IFERROR(VLOOKUP(A2715, Entries!A:I,8,false),"")</f>
        <v>0</v>
      </c>
    </row>
    <row r="2716">
      <c r="A2716" s="78" t="s">
        <v>1387</v>
      </c>
      <c r="B2716" s="78" t="s">
        <v>19</v>
      </c>
      <c r="C2716" s="85">
        <v>44955.0</v>
      </c>
      <c r="D2716" s="85">
        <v>45015.0</v>
      </c>
      <c r="E2716" s="86">
        <v>1.5</v>
      </c>
      <c r="F2716" s="87">
        <v>4.31</v>
      </c>
      <c r="G2716" s="88">
        <f t="shared" si="1"/>
        <v>2.81</v>
      </c>
      <c r="H2716" s="89">
        <f t="shared" si="10"/>
        <v>0.6519721578</v>
      </c>
      <c r="I2716" s="78" t="s">
        <v>3344</v>
      </c>
      <c r="J2716" s="78" t="s">
        <v>69</v>
      </c>
      <c r="K2716" s="58">
        <f t="shared" si="3"/>
        <v>60</v>
      </c>
      <c r="L2716" s="91" t="str">
        <f t="shared" si="8"/>
        <v>Thu</v>
      </c>
      <c r="M2716" s="78" t="str">
        <f>IFERROR(VLOOKUP(A2716, Entries!A:B,2,false),"")</f>
        <v>Eugen Systems</v>
      </c>
      <c r="N2716" s="23" t="str">
        <f>IFERROR(VLOOKUP(A2716, Entries!A:K,11,false),"")</f>
        <v/>
      </c>
      <c r="O2716" s="23" t="b">
        <f>IFERROR(VLOOKUP(A2716, Entries!A:I,8,false),"")</f>
        <v>0</v>
      </c>
    </row>
    <row r="2717">
      <c r="A2717" s="78" t="s">
        <v>3317</v>
      </c>
      <c r="B2717" s="78" t="s">
        <v>19</v>
      </c>
      <c r="C2717" s="85">
        <v>44955.0</v>
      </c>
      <c r="D2717" s="85">
        <v>44955.0</v>
      </c>
      <c r="E2717" s="86">
        <v>1.5</v>
      </c>
      <c r="F2717" s="87">
        <v>2.29</v>
      </c>
      <c r="G2717" s="88">
        <f t="shared" si="1"/>
        <v>0.79</v>
      </c>
      <c r="H2717" s="89">
        <f t="shared" si="10"/>
        <v>0.3449781659</v>
      </c>
      <c r="I2717" s="78" t="s">
        <v>3345</v>
      </c>
      <c r="J2717" s="78" t="s">
        <v>69</v>
      </c>
      <c r="K2717" s="58">
        <f t="shared" si="3"/>
        <v>0</v>
      </c>
      <c r="L2717" s="91" t="str">
        <f t="shared" si="8"/>
        <v>Sun</v>
      </c>
      <c r="M2717" s="78" t="str">
        <f>IFERROR(VLOOKUP(A2717, Entries!A:B,2,false),"")</f>
        <v>Nacon</v>
      </c>
      <c r="N2717" s="23" t="str">
        <f>IFERROR(VLOOKUP(A2717, Entries!A:K,11,false),"")</f>
        <v/>
      </c>
    </row>
    <row r="2718">
      <c r="A2718" s="78" t="s">
        <v>3325</v>
      </c>
      <c r="B2718" s="78" t="s">
        <v>19</v>
      </c>
      <c r="C2718" s="85">
        <v>44955.0</v>
      </c>
      <c r="D2718" s="85">
        <v>44960.0</v>
      </c>
      <c r="E2718" s="86">
        <v>9.18</v>
      </c>
      <c r="F2718" s="87">
        <v>12.43</v>
      </c>
      <c r="G2718" s="88">
        <f t="shared" si="1"/>
        <v>3.25</v>
      </c>
      <c r="H2718" s="89">
        <f t="shared" si="10"/>
        <v>0.2614641995</v>
      </c>
      <c r="I2718" s="78" t="s">
        <v>3346</v>
      </c>
      <c r="J2718" s="78" t="s">
        <v>69</v>
      </c>
      <c r="K2718" s="58">
        <f t="shared" si="3"/>
        <v>5</v>
      </c>
      <c r="L2718" s="91" t="str">
        <f t="shared" si="8"/>
        <v>Fri</v>
      </c>
      <c r="M2718" s="78" t="str">
        <f>IFERROR(VLOOKUP(A2718, Entries!A:B,2,false),"")</f>
        <v>Cheesecake Dev</v>
      </c>
      <c r="N2718" s="23" t="str">
        <f>IFERROR(VLOOKUP(A2718, Entries!A:K,11,false),"")</f>
        <v/>
      </c>
      <c r="O2718" s="23" t="b">
        <f>IFERROR(VLOOKUP(A2718, Entries!A:I,8,false),"")</f>
        <v>1</v>
      </c>
    </row>
    <row r="2719">
      <c r="A2719" s="78" t="s">
        <v>2789</v>
      </c>
      <c r="B2719" s="78" t="s">
        <v>19</v>
      </c>
      <c r="C2719" s="85">
        <v>44955.0</v>
      </c>
      <c r="D2719" s="85">
        <v>44960.0</v>
      </c>
      <c r="E2719" s="86">
        <v>4.01</v>
      </c>
      <c r="F2719" s="87">
        <v>6.38</v>
      </c>
      <c r="G2719" s="88">
        <f t="shared" si="1"/>
        <v>2.37</v>
      </c>
      <c r="H2719" s="89">
        <f t="shared" si="10"/>
        <v>0.3714733542</v>
      </c>
      <c r="I2719" s="78" t="s">
        <v>3347</v>
      </c>
      <c r="J2719" s="78" t="s">
        <v>69</v>
      </c>
      <c r="K2719" s="58">
        <f t="shared" si="3"/>
        <v>5</v>
      </c>
      <c r="L2719" s="91" t="str">
        <f t="shared" si="8"/>
        <v>Fri</v>
      </c>
      <c r="M2719" s="78" t="str">
        <f>IFERROR(VLOOKUP(A2719, Entries!A:B,2,false),"")</f>
        <v>Evil Tortilla Games</v>
      </c>
      <c r="N2719" s="23" t="str">
        <f>IFERROR(VLOOKUP(A2719, Entries!A:K,11,false),"")</f>
        <v/>
      </c>
      <c r="O2719" s="23" t="b">
        <f>IFERROR(VLOOKUP(A2719, Entries!A:I,8,false),"")</f>
        <v>1</v>
      </c>
    </row>
    <row r="2720">
      <c r="A2720" s="78" t="s">
        <v>2466</v>
      </c>
      <c r="B2720" s="78" t="s">
        <v>27</v>
      </c>
      <c r="C2720" s="85">
        <v>44955.0</v>
      </c>
      <c r="D2720" s="85">
        <v>44956.0</v>
      </c>
      <c r="E2720" s="86">
        <v>9.89</v>
      </c>
      <c r="F2720" s="87">
        <v>12.32</v>
      </c>
      <c r="G2720" s="88">
        <f t="shared" si="1"/>
        <v>2.43</v>
      </c>
      <c r="H2720" s="89">
        <f t="shared" si="10"/>
        <v>0.1972402597</v>
      </c>
      <c r="I2720" s="78" t="s">
        <v>3348</v>
      </c>
      <c r="J2720" s="78" t="s">
        <v>69</v>
      </c>
      <c r="K2720" s="58">
        <f t="shared" si="3"/>
        <v>1</v>
      </c>
      <c r="L2720" s="91" t="str">
        <f t="shared" si="8"/>
        <v>Mon</v>
      </c>
      <c r="M2720" s="78" t="str">
        <f>IFERROR(VLOOKUP(A2720, Entries!A:B,2,false),"")</f>
        <v>Bethesda Softworks</v>
      </c>
      <c r="N2720" s="23" t="str">
        <f>IFERROR(VLOOKUP(A2720, Entries!A:K,11,false),"")</f>
        <v/>
      </c>
    </row>
    <row r="2721">
      <c r="A2721" s="78" t="s">
        <v>2466</v>
      </c>
      <c r="B2721" s="78" t="s">
        <v>27</v>
      </c>
      <c r="C2721" s="85">
        <v>44956.0</v>
      </c>
      <c r="D2721" s="85">
        <v>44957.0</v>
      </c>
      <c r="E2721" s="86">
        <v>9.89</v>
      </c>
      <c r="F2721" s="87">
        <v>12.32</v>
      </c>
      <c r="G2721" s="88">
        <f t="shared" si="1"/>
        <v>2.43</v>
      </c>
      <c r="H2721" s="89">
        <f t="shared" si="10"/>
        <v>0.1972402597</v>
      </c>
      <c r="I2721" s="78" t="s">
        <v>3349</v>
      </c>
      <c r="J2721" s="78" t="s">
        <v>69</v>
      </c>
      <c r="K2721" s="58">
        <f t="shared" si="3"/>
        <v>1</v>
      </c>
      <c r="L2721" s="91" t="str">
        <f t="shared" si="8"/>
        <v>Tue</v>
      </c>
      <c r="M2721" s="78" t="str">
        <f>IFERROR(VLOOKUP(A2721, Entries!A:B,2,false),"")</f>
        <v>Bethesda Softworks</v>
      </c>
      <c r="N2721" s="23" t="str">
        <f>IFERROR(VLOOKUP(A2721, Entries!A:K,11,false),"")</f>
        <v/>
      </c>
    </row>
    <row r="2722">
      <c r="A2722" s="78" t="s">
        <v>2466</v>
      </c>
      <c r="B2722" s="78" t="s">
        <v>27</v>
      </c>
      <c r="C2722" s="85">
        <v>44957.0</v>
      </c>
      <c r="D2722" s="85">
        <v>44957.0</v>
      </c>
      <c r="E2722" s="86">
        <v>9.89</v>
      </c>
      <c r="F2722" s="87">
        <v>12.32</v>
      </c>
      <c r="G2722" s="88">
        <f t="shared" si="1"/>
        <v>2.43</v>
      </c>
      <c r="H2722" s="89">
        <f t="shared" si="10"/>
        <v>0.1972402597</v>
      </c>
      <c r="I2722" s="78" t="s">
        <v>3350</v>
      </c>
      <c r="J2722" s="78" t="s">
        <v>69</v>
      </c>
      <c r="K2722" s="58">
        <f t="shared" si="3"/>
        <v>0</v>
      </c>
      <c r="L2722" s="91" t="str">
        <f t="shared" si="8"/>
        <v>Tue</v>
      </c>
      <c r="M2722" s="78" t="str">
        <f>IFERROR(VLOOKUP(A2722, Entries!A:B,2,false),"")</f>
        <v>Bethesda Softworks</v>
      </c>
      <c r="N2722" s="23" t="str">
        <f>IFERROR(VLOOKUP(A2722, Entries!A:K,11,false),"")</f>
        <v/>
      </c>
    </row>
    <row r="2723">
      <c r="A2723" s="78" t="s">
        <v>2466</v>
      </c>
      <c r="B2723" s="78" t="s">
        <v>27</v>
      </c>
      <c r="C2723" s="85">
        <v>44957.0</v>
      </c>
      <c r="D2723" s="85">
        <v>44958.0</v>
      </c>
      <c r="E2723" s="86">
        <v>9.89</v>
      </c>
      <c r="F2723" s="87">
        <v>12.33</v>
      </c>
      <c r="G2723" s="88">
        <f t="shared" si="1"/>
        <v>2.44</v>
      </c>
      <c r="H2723" s="89">
        <f t="shared" si="10"/>
        <v>0.197891322</v>
      </c>
      <c r="I2723" s="78" t="s">
        <v>3351</v>
      </c>
      <c r="J2723" s="78" t="s">
        <v>69</v>
      </c>
      <c r="K2723" s="58">
        <f t="shared" si="3"/>
        <v>1</v>
      </c>
      <c r="L2723" s="91" t="str">
        <f t="shared" si="8"/>
        <v>Wed</v>
      </c>
      <c r="M2723" s="78" t="str">
        <f>IFERROR(VLOOKUP(A2723, Entries!A:B,2,false),"")</f>
        <v>Bethesda Softworks</v>
      </c>
      <c r="N2723" s="23" t="str">
        <f>IFERROR(VLOOKUP(A2723, Entries!A:K,11,false),"")</f>
        <v/>
      </c>
    </row>
    <row r="2724">
      <c r="A2724" s="78" t="s">
        <v>3352</v>
      </c>
      <c r="B2724" s="78" t="s">
        <v>27</v>
      </c>
      <c r="C2724" s="85">
        <v>44957.0</v>
      </c>
      <c r="D2724" s="85">
        <v>45152.0</v>
      </c>
      <c r="E2724" s="86">
        <v>16.89</v>
      </c>
      <c r="F2724" s="87">
        <v>16.64</v>
      </c>
      <c r="G2724" s="88">
        <f t="shared" si="1"/>
        <v>-0.25</v>
      </c>
      <c r="H2724" s="89">
        <f t="shared" si="10"/>
        <v>-0.01502403846</v>
      </c>
      <c r="I2724" s="78" t="s">
        <v>3353</v>
      </c>
      <c r="J2724" s="78" t="s">
        <v>69</v>
      </c>
      <c r="K2724" s="58">
        <f t="shared" si="3"/>
        <v>195</v>
      </c>
      <c r="L2724" s="91" t="str">
        <f t="shared" si="8"/>
        <v>Mon</v>
      </c>
      <c r="M2724" s="78" t="str">
        <f>IFERROR(VLOOKUP(A2724, Entries!A:B,2,false),"")</f>
        <v>SEGA</v>
      </c>
      <c r="N2724" s="23" t="str">
        <f>IFERROR(VLOOKUP(A2724, Entries!A:K,11,false),"")</f>
        <v/>
      </c>
      <c r="O2724" s="23" t="b">
        <f>IFERROR(VLOOKUP(A2724, Entries!A:I,8,false),"")</f>
        <v>0</v>
      </c>
    </row>
    <row r="2725">
      <c r="A2725" s="78" t="s">
        <v>3354</v>
      </c>
      <c r="B2725" s="78" t="s">
        <v>34</v>
      </c>
      <c r="C2725" s="85">
        <v>44958.0</v>
      </c>
      <c r="D2725" s="85">
        <v>46108.0</v>
      </c>
      <c r="E2725" s="86">
        <v>22.58</v>
      </c>
      <c r="F2725" s="87">
        <v>25.0</v>
      </c>
      <c r="G2725" s="88">
        <f t="shared" si="1"/>
        <v>2.42</v>
      </c>
      <c r="H2725" s="89">
        <f t="shared" si="10"/>
        <v>0.0968</v>
      </c>
      <c r="I2725" s="103" t="s">
        <v>3355</v>
      </c>
      <c r="J2725" s="78" t="s">
        <v>69</v>
      </c>
      <c r="K2725" s="58">
        <f t="shared" si="3"/>
        <v>1150</v>
      </c>
      <c r="L2725" s="91" t="str">
        <f t="shared" si="8"/>
        <v>Fri</v>
      </c>
      <c r="M2725" s="78" t="str">
        <f>IFERROR(VLOOKUP(A2725, Entries!A:B,2,false),"")</f>
        <v>KOEI TECMO GAMES</v>
      </c>
      <c r="N2725" s="23" t="str">
        <f>IFERROR(VLOOKUP(A2725, Entries!A:K,11,false),"")</f>
        <v/>
      </c>
      <c r="O2725" s="23" t="b">
        <f>IFERROR(VLOOKUP(A2725, Entries!A:I,8,false),"")</f>
        <v>0</v>
      </c>
    </row>
    <row r="2726">
      <c r="A2726" s="78" t="s">
        <v>2466</v>
      </c>
      <c r="B2726" s="78" t="s">
        <v>27</v>
      </c>
      <c r="C2726" s="85">
        <v>44959.0</v>
      </c>
      <c r="D2726" s="85">
        <v>44959.0</v>
      </c>
      <c r="E2726" s="86">
        <v>9.89</v>
      </c>
      <c r="F2726" s="87">
        <v>12.33</v>
      </c>
      <c r="G2726" s="88">
        <f t="shared" si="1"/>
        <v>2.44</v>
      </c>
      <c r="H2726" s="89">
        <f t="shared" si="10"/>
        <v>0.197891322</v>
      </c>
      <c r="I2726" s="78" t="s">
        <v>3356</v>
      </c>
      <c r="J2726" s="78" t="s">
        <v>69</v>
      </c>
      <c r="K2726" s="58">
        <f t="shared" si="3"/>
        <v>0</v>
      </c>
      <c r="L2726" s="91" t="str">
        <f t="shared" si="8"/>
        <v>Thu</v>
      </c>
      <c r="M2726" s="78" t="str">
        <f>IFERROR(VLOOKUP(A2726, Entries!A:B,2,false),"")</f>
        <v>Bethesda Softworks</v>
      </c>
      <c r="N2726" s="23" t="str">
        <f>IFERROR(VLOOKUP(A2726, Entries!A:K,11,false),"")</f>
        <v/>
      </c>
    </row>
    <row r="2727">
      <c r="A2727" s="78" t="s">
        <v>2466</v>
      </c>
      <c r="B2727" s="78" t="s">
        <v>27</v>
      </c>
      <c r="C2727" s="85">
        <v>44959.0</v>
      </c>
      <c r="D2727" s="85">
        <v>44960.0</v>
      </c>
      <c r="E2727" s="86">
        <v>9.89</v>
      </c>
      <c r="F2727" s="87">
        <v>12.14</v>
      </c>
      <c r="G2727" s="88">
        <f t="shared" si="1"/>
        <v>2.25</v>
      </c>
      <c r="H2727" s="89">
        <f t="shared" si="10"/>
        <v>0.1853377265</v>
      </c>
      <c r="I2727" s="78" t="s">
        <v>3357</v>
      </c>
      <c r="J2727" s="78" t="s">
        <v>69</v>
      </c>
      <c r="K2727" s="58">
        <f t="shared" si="3"/>
        <v>1</v>
      </c>
      <c r="L2727" s="91" t="str">
        <f t="shared" si="8"/>
        <v>Fri</v>
      </c>
      <c r="M2727" s="78" t="str">
        <f>IFERROR(VLOOKUP(A2727, Entries!A:B,2,false),"")</f>
        <v>Bethesda Softworks</v>
      </c>
      <c r="N2727" s="23" t="str">
        <f>IFERROR(VLOOKUP(A2727, Entries!A:K,11,false),"")</f>
        <v/>
      </c>
      <c r="O2727" s="23" t="b">
        <f>IFERROR(VLOOKUP(A2727, Entries!A:I,8,false),"")</f>
        <v>1</v>
      </c>
    </row>
    <row r="2728">
      <c r="A2728" s="78" t="s">
        <v>3358</v>
      </c>
      <c r="B2728" s="78" t="s">
        <v>21</v>
      </c>
      <c r="C2728" s="85">
        <v>44959.0</v>
      </c>
      <c r="D2728" s="85">
        <v>44961.0</v>
      </c>
      <c r="E2728" s="86">
        <v>32.68</v>
      </c>
      <c r="F2728" s="87">
        <v>34.12</v>
      </c>
      <c r="G2728" s="88">
        <f t="shared" si="1"/>
        <v>1.44</v>
      </c>
      <c r="H2728" s="89">
        <f t="shared" si="10"/>
        <v>0.04220398593</v>
      </c>
      <c r="I2728" s="78" t="s">
        <v>3359</v>
      </c>
      <c r="J2728" s="78" t="s">
        <v>69</v>
      </c>
      <c r="K2728" s="58">
        <f t="shared" si="3"/>
        <v>2</v>
      </c>
      <c r="L2728" s="91" t="str">
        <f t="shared" si="8"/>
        <v>Sat</v>
      </c>
      <c r="M2728" s="78" t="str">
        <f>IFERROR(VLOOKUP(A2728, Entries!A:B,2,false),"")</f>
        <v>Warner Bros</v>
      </c>
      <c r="N2728" s="23" t="str">
        <f>IFERROR(VLOOKUP(A2728, Entries!A:K,11,false),"")</f>
        <v/>
      </c>
      <c r="O2728" s="23" t="b">
        <f>IFERROR(VLOOKUP(A2728, Entries!A:I,8,false),"")</f>
        <v>0</v>
      </c>
    </row>
    <row r="2729">
      <c r="A2729" s="78" t="s">
        <v>2466</v>
      </c>
      <c r="B2729" s="78" t="s">
        <v>27</v>
      </c>
      <c r="C2729" s="85">
        <v>44960.0</v>
      </c>
      <c r="D2729" s="85">
        <v>44961.0</v>
      </c>
      <c r="E2729" s="86">
        <v>9.89</v>
      </c>
      <c r="F2729" s="87">
        <v>12.11</v>
      </c>
      <c r="G2729" s="88">
        <f t="shared" si="1"/>
        <v>2.22</v>
      </c>
      <c r="H2729" s="89">
        <f t="shared" si="10"/>
        <v>0.1833195706</v>
      </c>
      <c r="I2729" s="78" t="s">
        <v>3360</v>
      </c>
      <c r="J2729" s="78" t="s">
        <v>69</v>
      </c>
      <c r="K2729" s="58">
        <f t="shared" si="3"/>
        <v>1</v>
      </c>
      <c r="L2729" s="91" t="str">
        <f t="shared" si="8"/>
        <v>Sat</v>
      </c>
      <c r="M2729" s="78" t="str">
        <f>IFERROR(VLOOKUP(A2729, Entries!A:B,2,false),"")</f>
        <v>Bethesda Softworks</v>
      </c>
      <c r="N2729" s="23" t="str">
        <f>IFERROR(VLOOKUP(A2729, Entries!A:K,11,false),"")</f>
        <v/>
      </c>
      <c r="O2729" s="23" t="b">
        <f>IFERROR(VLOOKUP(A2729, Entries!A:I,8,false),"")</f>
        <v>1</v>
      </c>
    </row>
    <row r="2730">
      <c r="A2730" s="78" t="s">
        <v>2789</v>
      </c>
      <c r="B2730" s="78" t="s">
        <v>19</v>
      </c>
      <c r="C2730" s="85">
        <v>44960.0</v>
      </c>
      <c r="D2730" s="85">
        <v>44962.0</v>
      </c>
      <c r="E2730" s="86">
        <v>3.99</v>
      </c>
      <c r="F2730" s="87">
        <v>5.68</v>
      </c>
      <c r="G2730" s="88">
        <f t="shared" si="1"/>
        <v>1.69</v>
      </c>
      <c r="H2730" s="89">
        <f t="shared" si="10"/>
        <v>0.2975352113</v>
      </c>
      <c r="I2730" s="78" t="s">
        <v>3361</v>
      </c>
      <c r="J2730" s="78" t="s">
        <v>69</v>
      </c>
      <c r="K2730" s="58">
        <f t="shared" si="3"/>
        <v>2</v>
      </c>
      <c r="L2730" s="91" t="str">
        <f t="shared" si="8"/>
        <v>Sun</v>
      </c>
      <c r="M2730" s="78" t="str">
        <f>IFERROR(VLOOKUP(A2730, Entries!A:B,2,false),"")</f>
        <v>Evil Tortilla Games</v>
      </c>
      <c r="N2730" s="23" t="str">
        <f>IFERROR(VLOOKUP(A2730, Entries!A:K,11,false),"")</f>
        <v/>
      </c>
      <c r="O2730" s="23" t="b">
        <f>IFERROR(VLOOKUP(A2730, Entries!A:I,8,false),"")</f>
        <v>1</v>
      </c>
    </row>
    <row r="2731">
      <c r="A2731" s="78" t="s">
        <v>214</v>
      </c>
      <c r="B2731" s="78" t="s">
        <v>25</v>
      </c>
      <c r="C2731" s="85">
        <v>44960.0</v>
      </c>
      <c r="D2731" s="85">
        <v>44995.0</v>
      </c>
      <c r="E2731" s="86">
        <v>2.95</v>
      </c>
      <c r="F2731" s="87">
        <v>3.3</v>
      </c>
      <c r="G2731" s="88">
        <f t="shared" si="1"/>
        <v>0.35</v>
      </c>
      <c r="H2731" s="89">
        <f t="shared" si="10"/>
        <v>0.1060606061</v>
      </c>
      <c r="I2731" s="78" t="s">
        <v>3362</v>
      </c>
      <c r="J2731" s="78" t="s">
        <v>69</v>
      </c>
      <c r="K2731" s="58">
        <f t="shared" si="3"/>
        <v>35</v>
      </c>
      <c r="L2731" s="91" t="str">
        <f t="shared" si="8"/>
        <v>Fri</v>
      </c>
      <c r="M2731" s="78" t="str">
        <f>IFERROR(VLOOKUP(A2731, Entries!A:B,2,false),"")</f>
        <v>Warner Bros</v>
      </c>
      <c r="N2731" s="23" t="str">
        <f>IFERROR(VLOOKUP(A2731, Entries!A:K,11,false),"")</f>
        <v/>
      </c>
      <c r="O2731" s="23" t="b">
        <f>IFERROR(VLOOKUP(A2731, Entries!A:I,8,false),"")</f>
        <v>0</v>
      </c>
    </row>
    <row r="2732">
      <c r="A2732" s="78" t="s">
        <v>214</v>
      </c>
      <c r="B2732" s="78" t="s">
        <v>25</v>
      </c>
      <c r="C2732" s="85">
        <v>44960.0</v>
      </c>
      <c r="D2732" s="85">
        <v>44995.0</v>
      </c>
      <c r="E2732" s="86">
        <v>2.95</v>
      </c>
      <c r="F2732" s="87">
        <v>3.3</v>
      </c>
      <c r="G2732" s="88">
        <f t="shared" si="1"/>
        <v>0.35</v>
      </c>
      <c r="H2732" s="89">
        <f t="shared" si="10"/>
        <v>0.1060606061</v>
      </c>
      <c r="I2732" s="78" t="s">
        <v>3363</v>
      </c>
      <c r="J2732" s="78" t="s">
        <v>69</v>
      </c>
      <c r="K2732" s="58">
        <f t="shared" si="3"/>
        <v>35</v>
      </c>
      <c r="L2732" s="91" t="str">
        <f t="shared" si="8"/>
        <v>Fri</v>
      </c>
      <c r="M2732" s="78" t="str">
        <f>IFERROR(VLOOKUP(A2732, Entries!A:B,2,false),"")</f>
        <v>Warner Bros</v>
      </c>
      <c r="N2732" s="23" t="str">
        <f>IFERROR(VLOOKUP(A2732, Entries!A:K,11,false),"")</f>
        <v/>
      </c>
      <c r="O2732" s="23" t="b">
        <f>IFERROR(VLOOKUP(A2732, Entries!A:I,8,false),"")</f>
        <v>0</v>
      </c>
    </row>
    <row r="2733">
      <c r="A2733" s="78" t="s">
        <v>1754</v>
      </c>
      <c r="B2733" s="78" t="s">
        <v>27</v>
      </c>
      <c r="C2733" s="85">
        <v>44960.0</v>
      </c>
      <c r="D2733" s="85">
        <v>44961.0</v>
      </c>
      <c r="E2733" s="86">
        <v>19.69</v>
      </c>
      <c r="F2733" s="87">
        <v>20.74</v>
      </c>
      <c r="G2733" s="88">
        <f t="shared" si="1"/>
        <v>1.05</v>
      </c>
      <c r="H2733" s="89">
        <f t="shared" si="10"/>
        <v>0.0506268081</v>
      </c>
      <c r="I2733" s="78" t="s">
        <v>3364</v>
      </c>
      <c r="J2733" s="78" t="s">
        <v>69</v>
      </c>
      <c r="K2733" s="58">
        <f t="shared" si="3"/>
        <v>1</v>
      </c>
      <c r="L2733" s="91" t="str">
        <f t="shared" si="8"/>
        <v>Sat</v>
      </c>
      <c r="M2733" s="78" t="str">
        <f>IFERROR(VLOOKUP(A2733, Entries!A:B,2,false),"")</f>
        <v>Arc System Works</v>
      </c>
      <c r="N2733" s="23" t="str">
        <f>IFERROR(VLOOKUP(A2733, Entries!A:K,11,false),"")</f>
        <v/>
      </c>
      <c r="O2733" s="23" t="b">
        <f>IFERROR(VLOOKUP(A2733, Entries!A:I,8,false),"")</f>
        <v>0</v>
      </c>
    </row>
    <row r="2734">
      <c r="A2734" s="78" t="s">
        <v>1754</v>
      </c>
      <c r="B2734" s="78" t="s">
        <v>27</v>
      </c>
      <c r="C2734" s="85">
        <v>44961.0</v>
      </c>
      <c r="D2734" s="85">
        <v>44961.0</v>
      </c>
      <c r="E2734" s="86">
        <v>19.69</v>
      </c>
      <c r="F2734" s="87">
        <v>25.15</v>
      </c>
      <c r="G2734" s="88">
        <f t="shared" si="1"/>
        <v>5.46</v>
      </c>
      <c r="H2734" s="89">
        <f t="shared" si="10"/>
        <v>0.2170974155</v>
      </c>
      <c r="I2734" s="78" t="s">
        <v>3365</v>
      </c>
      <c r="J2734" s="78" t="s">
        <v>69</v>
      </c>
      <c r="K2734" s="58">
        <f t="shared" si="3"/>
        <v>0</v>
      </c>
      <c r="L2734" s="91" t="str">
        <f t="shared" si="8"/>
        <v>Sat</v>
      </c>
      <c r="M2734" s="78" t="str">
        <f>IFERROR(VLOOKUP(A2734, Entries!A:B,2,false),"")</f>
        <v>Arc System Works</v>
      </c>
      <c r="N2734" s="23" t="str">
        <f>IFERROR(VLOOKUP(A2734, Entries!A:K,11,false),"")</f>
        <v/>
      </c>
      <c r="O2734" s="23" t="b">
        <f>IFERROR(VLOOKUP(A2734, Entries!A:I,8,false),"")</f>
        <v>0</v>
      </c>
    </row>
    <row r="2735">
      <c r="A2735" s="78" t="s">
        <v>3366</v>
      </c>
      <c r="B2735" s="78" t="s">
        <v>25</v>
      </c>
      <c r="C2735" s="85">
        <v>44961.0</v>
      </c>
      <c r="D2735" s="85">
        <v>44961.0</v>
      </c>
      <c r="E2735" s="86">
        <v>3.76</v>
      </c>
      <c r="F2735" s="87">
        <v>4.56</v>
      </c>
      <c r="G2735" s="88">
        <f t="shared" si="1"/>
        <v>0.8</v>
      </c>
      <c r="H2735" s="89">
        <f t="shared" si="10"/>
        <v>0.1754385965</v>
      </c>
      <c r="I2735" s="78" t="s">
        <v>3367</v>
      </c>
      <c r="J2735" s="78" t="s">
        <v>69</v>
      </c>
      <c r="K2735" s="58">
        <f t="shared" si="3"/>
        <v>0</v>
      </c>
      <c r="L2735" s="91" t="str">
        <f t="shared" si="8"/>
        <v>Sat</v>
      </c>
      <c r="M2735" s="78" t="str">
        <f>IFERROR(VLOOKUP(A2735, Entries!A:B,2,false),"")</f>
        <v>Sector D2</v>
      </c>
      <c r="N2735" s="23" t="str">
        <f>IFERROR(VLOOKUP(A2735, Entries!A:K,11,false),"")</f>
        <v/>
      </c>
      <c r="O2735" s="23" t="b">
        <f>IFERROR(VLOOKUP(A2735, Entries!A:I,8,false),"")</f>
        <v>0</v>
      </c>
    </row>
    <row r="2736">
      <c r="A2736" s="78" t="s">
        <v>3368</v>
      </c>
      <c r="B2736" s="78" t="s">
        <v>27</v>
      </c>
      <c r="C2736" s="85">
        <v>44961.0</v>
      </c>
      <c r="D2736" s="25"/>
      <c r="E2736" s="86">
        <v>27.79</v>
      </c>
      <c r="F2736" s="88"/>
      <c r="G2736" s="88">
        <f t="shared" si="1"/>
        <v>-27.79</v>
      </c>
      <c r="H2736" s="89" t="str">
        <f t="shared" si="10"/>
        <v/>
      </c>
      <c r="I2736" s="103" t="s">
        <v>3369</v>
      </c>
      <c r="J2736" s="78" t="s">
        <v>1129</v>
      </c>
      <c r="K2736" s="58" t="str">
        <f t="shared" si="3"/>
        <v/>
      </c>
      <c r="L2736" s="91" t="str">
        <f t="shared" si="8"/>
        <v/>
      </c>
      <c r="M2736" s="78" t="str">
        <f>IFERROR(VLOOKUP(A2736, Entries!A:B,2,false),"")</f>
        <v>Warner Bros</v>
      </c>
      <c r="N2736" s="23" t="str">
        <f>IFERROR(VLOOKUP(A2736, Entries!A:K,11,false),"")</f>
        <v/>
      </c>
      <c r="O2736" s="23" t="b">
        <f>IFERROR(VLOOKUP(A2736, Entries!A:I,8,false),"")</f>
        <v>0</v>
      </c>
    </row>
    <row r="2737">
      <c r="A2737" s="78" t="s">
        <v>3370</v>
      </c>
      <c r="B2737" s="78" t="s">
        <v>27</v>
      </c>
      <c r="C2737" s="85">
        <v>44961.0</v>
      </c>
      <c r="D2737" s="85">
        <v>44961.0</v>
      </c>
      <c r="E2737" s="86">
        <v>15.69</v>
      </c>
      <c r="F2737" s="87">
        <v>18.0</v>
      </c>
      <c r="G2737" s="88">
        <f t="shared" si="1"/>
        <v>2.31</v>
      </c>
      <c r="H2737" s="89">
        <f t="shared" si="10"/>
        <v>0.1283333333</v>
      </c>
      <c r="I2737" s="78" t="s">
        <v>3371</v>
      </c>
      <c r="J2737" s="78" t="s">
        <v>69</v>
      </c>
      <c r="K2737" s="58">
        <f t="shared" si="3"/>
        <v>0</v>
      </c>
      <c r="L2737" s="91" t="str">
        <f t="shared" si="8"/>
        <v>Sat</v>
      </c>
      <c r="M2737" s="78" t="str">
        <f>IFERROR(VLOOKUP(A2737, Entries!A:B,2,false),"")</f>
        <v>THQ Nordic</v>
      </c>
      <c r="N2737" s="23" t="str">
        <f>IFERROR(VLOOKUP(A2737, Entries!A:K,11,false),"")</f>
        <v/>
      </c>
      <c r="O2737" s="23" t="b">
        <f>IFERROR(VLOOKUP(A2737, Entries!A:I,8,false),"")</f>
        <v>0</v>
      </c>
    </row>
    <row r="2738">
      <c r="A2738" s="78" t="s">
        <v>719</v>
      </c>
      <c r="B2738" s="78" t="s">
        <v>19</v>
      </c>
      <c r="C2738" s="85">
        <v>44961.0</v>
      </c>
      <c r="D2738" s="85">
        <v>44991.0</v>
      </c>
      <c r="E2738" s="86">
        <v>10.42</v>
      </c>
      <c r="F2738" s="87">
        <v>12.66</v>
      </c>
      <c r="G2738" s="88">
        <f t="shared" si="1"/>
        <v>2.24</v>
      </c>
      <c r="H2738" s="89">
        <f t="shared" si="10"/>
        <v>0.1769352291</v>
      </c>
      <c r="I2738" s="78" t="s">
        <v>3372</v>
      </c>
      <c r="J2738" s="78" t="s">
        <v>69</v>
      </c>
      <c r="K2738" s="58">
        <f t="shared" si="3"/>
        <v>30</v>
      </c>
      <c r="L2738" s="91" t="str">
        <f t="shared" si="8"/>
        <v>Mon</v>
      </c>
      <c r="M2738" s="78" t="str">
        <f>IFERROR(VLOOKUP(A2738, Entries!A:B,2,false),"")</f>
        <v>Lukas Rustemeyer</v>
      </c>
      <c r="N2738" s="23" t="str">
        <f>IFERROR(VLOOKUP(A2738, Entries!A:K,11,false),"")</f>
        <v/>
      </c>
      <c r="O2738" s="23" t="b">
        <f>IFERROR(VLOOKUP(A2738, Entries!A:I,8,false),"")</f>
        <v>1</v>
      </c>
    </row>
    <row r="2739">
      <c r="A2739" s="78" t="s">
        <v>2466</v>
      </c>
      <c r="B2739" s="78" t="s">
        <v>27</v>
      </c>
      <c r="C2739" s="85">
        <v>44961.0</v>
      </c>
      <c r="D2739" s="85">
        <v>44961.0</v>
      </c>
      <c r="E2739" s="86">
        <v>9.89</v>
      </c>
      <c r="F2739" s="87">
        <v>12.11</v>
      </c>
      <c r="G2739" s="88">
        <f t="shared" si="1"/>
        <v>2.22</v>
      </c>
      <c r="H2739" s="89">
        <f t="shared" si="10"/>
        <v>0.1833195706</v>
      </c>
      <c r="I2739" s="78" t="s">
        <v>3373</v>
      </c>
      <c r="J2739" s="78" t="s">
        <v>69</v>
      </c>
      <c r="K2739" s="58">
        <f t="shared" si="3"/>
        <v>0</v>
      </c>
      <c r="L2739" s="91" t="str">
        <f t="shared" si="8"/>
        <v>Sat</v>
      </c>
      <c r="M2739" s="78" t="str">
        <f>IFERROR(VLOOKUP(A2739, Entries!A:B,2,false),"")</f>
        <v>Bethesda Softworks</v>
      </c>
      <c r="N2739" s="23" t="str">
        <f>IFERROR(VLOOKUP(A2739, Entries!A:K,11,false),"")</f>
        <v/>
      </c>
      <c r="O2739" s="23" t="b">
        <f>IFERROR(VLOOKUP(A2739, Entries!A:I,8,false),"")</f>
        <v>1</v>
      </c>
    </row>
    <row r="2740">
      <c r="A2740" s="78" t="s">
        <v>3370</v>
      </c>
      <c r="B2740" s="78" t="s">
        <v>27</v>
      </c>
      <c r="C2740" s="85">
        <v>44961.0</v>
      </c>
      <c r="D2740" s="85">
        <v>44961.0</v>
      </c>
      <c r="E2740" s="86">
        <v>15.69</v>
      </c>
      <c r="F2740" s="87">
        <v>17.89</v>
      </c>
      <c r="G2740" s="88">
        <f t="shared" si="1"/>
        <v>2.2</v>
      </c>
      <c r="H2740" s="89">
        <f t="shared" si="10"/>
        <v>0.1229737283</v>
      </c>
      <c r="I2740" s="78" t="s">
        <v>3374</v>
      </c>
      <c r="J2740" s="78" t="s">
        <v>69</v>
      </c>
      <c r="K2740" s="58">
        <f t="shared" si="3"/>
        <v>0</v>
      </c>
      <c r="L2740" s="91" t="str">
        <f t="shared" si="8"/>
        <v>Sat</v>
      </c>
      <c r="M2740" s="78" t="str">
        <f>IFERROR(VLOOKUP(A2740, Entries!A:B,2,false),"")</f>
        <v>THQ Nordic</v>
      </c>
      <c r="N2740" s="23" t="str">
        <f>IFERROR(VLOOKUP(A2740, Entries!A:K,11,false),"")</f>
        <v/>
      </c>
      <c r="O2740" s="23" t="b">
        <f>IFERROR(VLOOKUP(A2740, Entries!A:I,8,false),"")</f>
        <v>0</v>
      </c>
    </row>
    <row r="2741">
      <c r="A2741" s="78" t="s">
        <v>2466</v>
      </c>
      <c r="B2741" s="78" t="s">
        <v>27</v>
      </c>
      <c r="C2741" s="85">
        <v>44961.0</v>
      </c>
      <c r="D2741" s="85">
        <v>44961.0</v>
      </c>
      <c r="E2741" s="86">
        <v>9.89</v>
      </c>
      <c r="F2741" s="87">
        <v>12.11</v>
      </c>
      <c r="G2741" s="88">
        <f t="shared" si="1"/>
        <v>2.22</v>
      </c>
      <c r="H2741" s="89">
        <f t="shared" si="10"/>
        <v>0.1833195706</v>
      </c>
      <c r="I2741" s="78" t="s">
        <v>3375</v>
      </c>
      <c r="J2741" s="78" t="s">
        <v>69</v>
      </c>
      <c r="K2741" s="58">
        <f t="shared" si="3"/>
        <v>0</v>
      </c>
      <c r="L2741" s="91" t="str">
        <f t="shared" si="8"/>
        <v>Sat</v>
      </c>
      <c r="M2741" s="78" t="str">
        <f>IFERROR(VLOOKUP(A2741, Entries!A:B,2,false),"")</f>
        <v>Bethesda Softworks</v>
      </c>
      <c r="N2741" s="23" t="str">
        <f>IFERROR(VLOOKUP(A2741, Entries!A:K,11,false),"")</f>
        <v/>
      </c>
      <c r="O2741" s="23" t="b">
        <f>IFERROR(VLOOKUP(A2741, Entries!A:I,8,false),"")</f>
        <v>1</v>
      </c>
    </row>
    <row r="2742">
      <c r="A2742" s="78" t="s">
        <v>3144</v>
      </c>
      <c r="B2742" s="78" t="s">
        <v>27</v>
      </c>
      <c r="C2742" s="85">
        <v>44961.0</v>
      </c>
      <c r="D2742" s="85">
        <v>44962.0</v>
      </c>
      <c r="E2742" s="86">
        <v>17.39</v>
      </c>
      <c r="F2742" s="87">
        <v>21.94</v>
      </c>
      <c r="G2742" s="88">
        <f t="shared" si="1"/>
        <v>4.55</v>
      </c>
      <c r="H2742" s="89">
        <f t="shared" si="10"/>
        <v>0.2073837739</v>
      </c>
      <c r="I2742" s="78" t="s">
        <v>3376</v>
      </c>
      <c r="J2742" s="78" t="s">
        <v>69</v>
      </c>
      <c r="K2742" s="58">
        <f t="shared" si="3"/>
        <v>1</v>
      </c>
      <c r="L2742" s="91" t="str">
        <f t="shared" si="8"/>
        <v>Sun</v>
      </c>
      <c r="M2742" s="78" t="str">
        <f>IFERROR(VLOOKUP(A2742, Entries!A:B,2,false),"")</f>
        <v>Bethesda Softworks</v>
      </c>
      <c r="N2742" s="23" t="str">
        <f>IFERROR(VLOOKUP(A2742, Entries!A:K,11,false),"")</f>
        <v/>
      </c>
      <c r="O2742" s="23" t="b">
        <f>IFERROR(VLOOKUP(A2742, Entries!A:I,8,false),"")</f>
        <v>0</v>
      </c>
    </row>
    <row r="2743">
      <c r="A2743" s="78" t="s">
        <v>3366</v>
      </c>
      <c r="B2743" s="78" t="s">
        <v>25</v>
      </c>
      <c r="C2743" s="85">
        <v>44961.0</v>
      </c>
      <c r="D2743" s="85">
        <v>44961.0</v>
      </c>
      <c r="E2743" s="86">
        <v>3.76</v>
      </c>
      <c r="F2743" s="87">
        <v>4.56</v>
      </c>
      <c r="G2743" s="88">
        <f t="shared" si="1"/>
        <v>0.8</v>
      </c>
      <c r="H2743" s="89">
        <f t="shared" si="10"/>
        <v>0.1754385965</v>
      </c>
      <c r="I2743" s="78" t="s">
        <v>3377</v>
      </c>
      <c r="J2743" s="78" t="s">
        <v>69</v>
      </c>
      <c r="K2743" s="58">
        <f t="shared" si="3"/>
        <v>0</v>
      </c>
      <c r="L2743" s="91" t="str">
        <f t="shared" si="8"/>
        <v>Sat</v>
      </c>
      <c r="M2743" s="78" t="str">
        <f>IFERROR(VLOOKUP(A2743, Entries!A:B,2,false),"")</f>
        <v>Sector D2</v>
      </c>
      <c r="N2743" s="23" t="str">
        <f>IFERROR(VLOOKUP(A2743, Entries!A:K,11,false),"")</f>
        <v/>
      </c>
      <c r="O2743" s="23" t="b">
        <f>IFERROR(VLOOKUP(A2743, Entries!A:I,8,false),"")</f>
        <v>0</v>
      </c>
    </row>
    <row r="2744">
      <c r="A2744" s="78" t="s">
        <v>1754</v>
      </c>
      <c r="B2744" s="78" t="s">
        <v>27</v>
      </c>
      <c r="C2744" s="85">
        <v>44961.0</v>
      </c>
      <c r="D2744" s="85">
        <v>44963.0</v>
      </c>
      <c r="E2744" s="86">
        <v>19.69</v>
      </c>
      <c r="F2744" s="87">
        <v>26.26</v>
      </c>
      <c r="G2744" s="88">
        <f t="shared" si="1"/>
        <v>6.57</v>
      </c>
      <c r="H2744" s="89">
        <f t="shared" si="10"/>
        <v>0.2501904037</v>
      </c>
      <c r="I2744" s="78" t="s">
        <v>3378</v>
      </c>
      <c r="J2744" s="78" t="s">
        <v>69</v>
      </c>
      <c r="K2744" s="58">
        <f t="shared" si="3"/>
        <v>2</v>
      </c>
      <c r="L2744" s="91" t="str">
        <f t="shared" si="8"/>
        <v>Mon</v>
      </c>
      <c r="M2744" s="78" t="str">
        <f>IFERROR(VLOOKUP(A2744, Entries!A:B,2,false),"")</f>
        <v>Arc System Works</v>
      </c>
      <c r="N2744" s="23" t="str">
        <f>IFERROR(VLOOKUP(A2744, Entries!A:K,11,false),"")</f>
        <v/>
      </c>
      <c r="O2744" s="23" t="b">
        <f>IFERROR(VLOOKUP(A2744, Entries!A:I,8,false),"")</f>
        <v>0</v>
      </c>
    </row>
    <row r="2745">
      <c r="A2745" s="78" t="s">
        <v>3366</v>
      </c>
      <c r="B2745" s="78" t="s">
        <v>25</v>
      </c>
      <c r="C2745" s="85">
        <v>44961.0</v>
      </c>
      <c r="D2745" s="85">
        <v>44962.0</v>
      </c>
      <c r="E2745" s="86">
        <v>3.76</v>
      </c>
      <c r="F2745" s="87">
        <v>4.53</v>
      </c>
      <c r="G2745" s="88">
        <f t="shared" si="1"/>
        <v>0.77</v>
      </c>
      <c r="H2745" s="89">
        <f t="shared" si="10"/>
        <v>0.1699779249</v>
      </c>
      <c r="I2745" s="78" t="s">
        <v>3379</v>
      </c>
      <c r="J2745" s="78" t="s">
        <v>69</v>
      </c>
      <c r="K2745" s="58">
        <f t="shared" si="3"/>
        <v>1</v>
      </c>
      <c r="L2745" s="91" t="str">
        <f t="shared" si="8"/>
        <v>Sun</v>
      </c>
      <c r="M2745" s="78" t="str">
        <f>IFERROR(VLOOKUP(A2745, Entries!A:B,2,false),"")</f>
        <v>Sector D2</v>
      </c>
      <c r="N2745" s="23" t="str">
        <f>IFERROR(VLOOKUP(A2745, Entries!A:K,11,false),"")</f>
        <v/>
      </c>
      <c r="O2745" s="23" t="b">
        <f>IFERROR(VLOOKUP(A2745, Entries!A:I,8,false),"")</f>
        <v>0</v>
      </c>
    </row>
    <row r="2746">
      <c r="A2746" s="78" t="s">
        <v>3370</v>
      </c>
      <c r="B2746" s="78" t="s">
        <v>27</v>
      </c>
      <c r="C2746" s="85">
        <v>44961.0</v>
      </c>
      <c r="D2746" s="85">
        <v>44962.0</v>
      </c>
      <c r="E2746" s="86">
        <v>15.69</v>
      </c>
      <c r="F2746" s="87">
        <v>17.64</v>
      </c>
      <c r="G2746" s="88">
        <f t="shared" si="1"/>
        <v>1.95</v>
      </c>
      <c r="H2746" s="89">
        <f t="shared" si="10"/>
        <v>0.1105442177</v>
      </c>
      <c r="I2746" s="78" t="s">
        <v>3380</v>
      </c>
      <c r="J2746" s="78" t="s">
        <v>69</v>
      </c>
      <c r="K2746" s="58">
        <f t="shared" si="3"/>
        <v>1</v>
      </c>
      <c r="L2746" s="91" t="str">
        <f t="shared" si="8"/>
        <v>Sun</v>
      </c>
      <c r="M2746" s="78" t="str">
        <f>IFERROR(VLOOKUP(A2746, Entries!A:B,2,false),"")</f>
        <v>THQ Nordic</v>
      </c>
      <c r="N2746" s="23" t="str">
        <f>IFERROR(VLOOKUP(A2746, Entries!A:K,11,false),"")</f>
        <v/>
      </c>
      <c r="O2746" s="23" t="b">
        <f>IFERROR(VLOOKUP(A2746, Entries!A:I,8,false),"")</f>
        <v>0</v>
      </c>
    </row>
    <row r="2747">
      <c r="A2747" s="78" t="s">
        <v>2466</v>
      </c>
      <c r="B2747" s="78" t="s">
        <v>27</v>
      </c>
      <c r="C2747" s="85">
        <v>44962.0</v>
      </c>
      <c r="D2747" s="85">
        <v>44962.0</v>
      </c>
      <c r="E2747" s="86">
        <v>9.89</v>
      </c>
      <c r="F2747" s="87">
        <v>12.14</v>
      </c>
      <c r="G2747" s="88">
        <f t="shared" si="1"/>
        <v>2.25</v>
      </c>
      <c r="H2747" s="89">
        <f t="shared" si="10"/>
        <v>0.1853377265</v>
      </c>
      <c r="I2747" s="78" t="s">
        <v>3381</v>
      </c>
      <c r="J2747" s="78" t="s">
        <v>69</v>
      </c>
      <c r="K2747" s="58">
        <f t="shared" si="3"/>
        <v>0</v>
      </c>
      <c r="L2747" s="91" t="str">
        <f t="shared" si="8"/>
        <v>Sun</v>
      </c>
      <c r="M2747" s="78" t="str">
        <f>IFERROR(VLOOKUP(A2747, Entries!A:B,2,false),"")</f>
        <v>Bethesda Softworks</v>
      </c>
      <c r="N2747" s="23" t="str">
        <f>IFERROR(VLOOKUP(A2747, Entries!A:K,11,false),"")</f>
        <v/>
      </c>
      <c r="O2747" s="23" t="b">
        <f>IFERROR(VLOOKUP(A2747, Entries!A:I,8,false),"")</f>
        <v>1</v>
      </c>
    </row>
    <row r="2748">
      <c r="A2748" s="78" t="s">
        <v>2466</v>
      </c>
      <c r="B2748" s="78" t="s">
        <v>27</v>
      </c>
      <c r="C2748" s="85">
        <v>44962.0</v>
      </c>
      <c r="D2748" s="85">
        <v>44962.0</v>
      </c>
      <c r="E2748" s="86">
        <v>9.89</v>
      </c>
      <c r="F2748" s="87">
        <v>12.14</v>
      </c>
      <c r="G2748" s="88">
        <f t="shared" si="1"/>
        <v>2.25</v>
      </c>
      <c r="H2748" s="89">
        <f t="shared" si="10"/>
        <v>0.1853377265</v>
      </c>
      <c r="I2748" s="78" t="s">
        <v>3382</v>
      </c>
      <c r="J2748" s="78" t="s">
        <v>69</v>
      </c>
      <c r="K2748" s="58">
        <f t="shared" si="3"/>
        <v>0</v>
      </c>
      <c r="L2748" s="91" t="str">
        <f t="shared" si="8"/>
        <v>Sun</v>
      </c>
      <c r="M2748" s="78" t="str">
        <f>IFERROR(VLOOKUP(A2748, Entries!A:B,2,false),"")</f>
        <v>Bethesda Softworks</v>
      </c>
      <c r="N2748" s="23" t="str">
        <f>IFERROR(VLOOKUP(A2748, Entries!A:K,11,false),"")</f>
        <v/>
      </c>
      <c r="O2748" s="23" t="b">
        <f>IFERROR(VLOOKUP(A2748, Entries!A:I,8,false),"")</f>
        <v>1</v>
      </c>
    </row>
    <row r="2749">
      <c r="A2749" s="78" t="s">
        <v>3370</v>
      </c>
      <c r="B2749" s="78" t="s">
        <v>27</v>
      </c>
      <c r="C2749" s="85">
        <v>44962.0</v>
      </c>
      <c r="D2749" s="85">
        <v>44962.0</v>
      </c>
      <c r="E2749" s="86">
        <v>15.69</v>
      </c>
      <c r="F2749" s="87">
        <v>17.49</v>
      </c>
      <c r="G2749" s="88">
        <f t="shared" si="1"/>
        <v>1.8</v>
      </c>
      <c r="H2749" s="89">
        <f t="shared" si="10"/>
        <v>0.102915952</v>
      </c>
      <c r="I2749" s="78" t="s">
        <v>3383</v>
      </c>
      <c r="J2749" s="78" t="s">
        <v>69</v>
      </c>
      <c r="K2749" s="58">
        <f t="shared" si="3"/>
        <v>0</v>
      </c>
      <c r="L2749" s="91" t="str">
        <f t="shared" si="8"/>
        <v>Sun</v>
      </c>
      <c r="M2749" s="78" t="str">
        <f>IFERROR(VLOOKUP(A2749, Entries!A:B,2,false),"")</f>
        <v>THQ Nordic</v>
      </c>
      <c r="N2749" s="23" t="str">
        <f>IFERROR(VLOOKUP(A2749, Entries!A:K,11,false),"")</f>
        <v/>
      </c>
      <c r="O2749" s="23" t="b">
        <f>IFERROR(VLOOKUP(A2749, Entries!A:I,8,false),"")</f>
        <v>0</v>
      </c>
    </row>
    <row r="2750">
      <c r="A2750" s="78" t="s">
        <v>2466</v>
      </c>
      <c r="B2750" s="78" t="s">
        <v>27</v>
      </c>
      <c r="C2750" s="85">
        <v>44962.0</v>
      </c>
      <c r="D2750" s="85">
        <v>44962.0</v>
      </c>
      <c r="E2750" s="86">
        <v>9.89</v>
      </c>
      <c r="F2750" s="87">
        <v>12.18</v>
      </c>
      <c r="G2750" s="88">
        <f t="shared" si="1"/>
        <v>2.29</v>
      </c>
      <c r="H2750" s="89">
        <f t="shared" si="10"/>
        <v>0.1880131363</v>
      </c>
      <c r="I2750" s="78" t="s">
        <v>3384</v>
      </c>
      <c r="J2750" s="78" t="s">
        <v>69</v>
      </c>
      <c r="K2750" s="58">
        <f t="shared" si="3"/>
        <v>0</v>
      </c>
      <c r="L2750" s="91" t="str">
        <f t="shared" si="8"/>
        <v>Sun</v>
      </c>
      <c r="M2750" s="78" t="str">
        <f>IFERROR(VLOOKUP(A2750, Entries!A:B,2,false),"")</f>
        <v>Bethesda Softworks</v>
      </c>
      <c r="N2750" s="23" t="str">
        <f>IFERROR(VLOOKUP(A2750, Entries!A:K,11,false),"")</f>
        <v/>
      </c>
      <c r="O2750" s="23" t="b">
        <f>IFERROR(VLOOKUP(A2750, Entries!A:I,8,false),"")</f>
        <v>1</v>
      </c>
    </row>
    <row r="2751">
      <c r="A2751" s="78" t="s">
        <v>3366</v>
      </c>
      <c r="B2751" s="78" t="s">
        <v>25</v>
      </c>
      <c r="C2751" s="85">
        <v>44962.0</v>
      </c>
      <c r="D2751" s="85">
        <v>44964.0</v>
      </c>
      <c r="E2751" s="86">
        <v>3.73</v>
      </c>
      <c r="F2751" s="87">
        <v>4.49</v>
      </c>
      <c r="G2751" s="88">
        <f t="shared" si="1"/>
        <v>0.76</v>
      </c>
      <c r="H2751" s="89">
        <f t="shared" si="10"/>
        <v>0.1692650334</v>
      </c>
      <c r="I2751" s="78" t="s">
        <v>3385</v>
      </c>
      <c r="J2751" s="78" t="s">
        <v>69</v>
      </c>
      <c r="K2751" s="58">
        <f t="shared" si="3"/>
        <v>2</v>
      </c>
      <c r="L2751" s="91" t="str">
        <f t="shared" si="8"/>
        <v>Tue</v>
      </c>
      <c r="M2751" s="78" t="str">
        <f>IFERROR(VLOOKUP(A2751, Entries!A:B,2,false),"")</f>
        <v>Sector D2</v>
      </c>
      <c r="N2751" s="23" t="str">
        <f>IFERROR(VLOOKUP(A2751, Entries!A:K,11,false),"")</f>
        <v/>
      </c>
      <c r="O2751" s="23" t="b">
        <f>IFERROR(VLOOKUP(A2751, Entries!A:I,8,false),"")</f>
        <v>0</v>
      </c>
    </row>
    <row r="2752">
      <c r="A2752" s="78" t="s">
        <v>3366</v>
      </c>
      <c r="B2752" s="78" t="s">
        <v>25</v>
      </c>
      <c r="C2752" s="85">
        <v>44962.0</v>
      </c>
      <c r="D2752" s="85">
        <v>44964.0</v>
      </c>
      <c r="E2752" s="86">
        <v>3.73</v>
      </c>
      <c r="F2752" s="87">
        <v>4.52</v>
      </c>
      <c r="G2752" s="88">
        <f t="shared" si="1"/>
        <v>0.79</v>
      </c>
      <c r="H2752" s="89">
        <f t="shared" si="10"/>
        <v>0.1747787611</v>
      </c>
      <c r="I2752" s="78" t="s">
        <v>3386</v>
      </c>
      <c r="J2752" s="78" t="s">
        <v>69</v>
      </c>
      <c r="K2752" s="58">
        <f t="shared" si="3"/>
        <v>2</v>
      </c>
      <c r="L2752" s="91" t="str">
        <f t="shared" si="8"/>
        <v>Tue</v>
      </c>
      <c r="M2752" s="78" t="str">
        <f>IFERROR(VLOOKUP(A2752, Entries!A:B,2,false),"")</f>
        <v>Sector D2</v>
      </c>
      <c r="N2752" s="23" t="str">
        <f>IFERROR(VLOOKUP(A2752, Entries!A:K,11,false),"")</f>
        <v/>
      </c>
      <c r="O2752" s="23" t="b">
        <f>IFERROR(VLOOKUP(A2752, Entries!A:I,8,false),"")</f>
        <v>0</v>
      </c>
    </row>
    <row r="2753">
      <c r="A2753" s="78" t="s">
        <v>3144</v>
      </c>
      <c r="B2753" s="78" t="s">
        <v>27</v>
      </c>
      <c r="C2753" s="85">
        <v>44962.0</v>
      </c>
      <c r="D2753" s="85">
        <v>44962.0</v>
      </c>
      <c r="E2753" s="86">
        <v>17.39</v>
      </c>
      <c r="F2753" s="87">
        <v>23.13</v>
      </c>
      <c r="G2753" s="88">
        <f t="shared" si="1"/>
        <v>5.74</v>
      </c>
      <c r="H2753" s="89">
        <f t="shared" si="10"/>
        <v>0.2481625594</v>
      </c>
      <c r="I2753" s="78" t="s">
        <v>3387</v>
      </c>
      <c r="J2753" s="78" t="s">
        <v>69</v>
      </c>
      <c r="K2753" s="58">
        <f t="shared" si="3"/>
        <v>0</v>
      </c>
      <c r="L2753" s="91" t="str">
        <f t="shared" si="8"/>
        <v>Sun</v>
      </c>
      <c r="M2753" s="78" t="str">
        <f>IFERROR(VLOOKUP(A2753, Entries!A:B,2,false),"")</f>
        <v>Bethesda Softworks</v>
      </c>
      <c r="N2753" s="23" t="str">
        <f>IFERROR(VLOOKUP(A2753, Entries!A:K,11,false),"")</f>
        <v/>
      </c>
      <c r="O2753" s="23" t="b">
        <f>IFERROR(VLOOKUP(A2753, Entries!A:I,8,false),"")</f>
        <v>0</v>
      </c>
    </row>
    <row r="2754">
      <c r="A2754" s="78" t="s">
        <v>3144</v>
      </c>
      <c r="B2754" s="78" t="s">
        <v>27</v>
      </c>
      <c r="C2754" s="85">
        <v>44962.0</v>
      </c>
      <c r="D2754" s="85">
        <v>44966.0</v>
      </c>
      <c r="E2754" s="86">
        <v>17.39</v>
      </c>
      <c r="F2754" s="87">
        <v>21.95</v>
      </c>
      <c r="G2754" s="88">
        <f t="shared" si="1"/>
        <v>4.56</v>
      </c>
      <c r="H2754" s="89">
        <f t="shared" si="10"/>
        <v>0.2077448747</v>
      </c>
      <c r="I2754" s="78" t="s">
        <v>3388</v>
      </c>
      <c r="J2754" s="78" t="s">
        <v>69</v>
      </c>
      <c r="K2754" s="58">
        <f t="shared" si="3"/>
        <v>4</v>
      </c>
      <c r="L2754" s="91" t="str">
        <f t="shared" si="8"/>
        <v>Thu</v>
      </c>
      <c r="M2754" s="78" t="str">
        <f>IFERROR(VLOOKUP(A2754, Entries!A:B,2,false),"")</f>
        <v>Bethesda Softworks</v>
      </c>
      <c r="N2754" s="23" t="str">
        <f>IFERROR(VLOOKUP(A2754, Entries!A:K,11,false),"")</f>
        <v/>
      </c>
      <c r="O2754" s="23" t="b">
        <f>IFERROR(VLOOKUP(A2754, Entries!A:I,8,false),"")</f>
        <v>0</v>
      </c>
    </row>
    <row r="2755">
      <c r="A2755" s="78" t="s">
        <v>2466</v>
      </c>
      <c r="B2755" s="78" t="s">
        <v>27</v>
      </c>
      <c r="C2755" s="85">
        <v>44962.0</v>
      </c>
      <c r="D2755" s="85">
        <v>44963.0</v>
      </c>
      <c r="E2755" s="86">
        <v>9.89</v>
      </c>
      <c r="F2755" s="87">
        <v>12.12</v>
      </c>
      <c r="G2755" s="88">
        <f t="shared" si="1"/>
        <v>2.23</v>
      </c>
      <c r="H2755" s="89">
        <f t="shared" si="10"/>
        <v>0.1839933993</v>
      </c>
      <c r="I2755" s="78" t="s">
        <v>3389</v>
      </c>
      <c r="J2755" s="78" t="s">
        <v>69</v>
      </c>
      <c r="K2755" s="58">
        <f t="shared" si="3"/>
        <v>1</v>
      </c>
      <c r="L2755" s="91" t="str">
        <f t="shared" si="8"/>
        <v>Mon</v>
      </c>
      <c r="M2755" s="78" t="str">
        <f>IFERROR(VLOOKUP(A2755, Entries!A:B,2,false),"")</f>
        <v>Bethesda Softworks</v>
      </c>
      <c r="N2755" s="23" t="str">
        <f>IFERROR(VLOOKUP(A2755, Entries!A:K,11,false),"")</f>
        <v/>
      </c>
      <c r="O2755" s="23" t="b">
        <f>IFERROR(VLOOKUP(A2755, Entries!A:I,8,false),"")</f>
        <v>1</v>
      </c>
    </row>
    <row r="2756">
      <c r="A2756" s="78" t="s">
        <v>2466</v>
      </c>
      <c r="B2756" s="78" t="s">
        <v>27</v>
      </c>
      <c r="C2756" s="85">
        <v>44962.0</v>
      </c>
      <c r="D2756" s="85">
        <v>44963.0</v>
      </c>
      <c r="E2756" s="86">
        <v>9.89</v>
      </c>
      <c r="F2756" s="87">
        <v>12.12</v>
      </c>
      <c r="G2756" s="88">
        <f t="shared" si="1"/>
        <v>2.23</v>
      </c>
      <c r="H2756" s="89">
        <f t="shared" si="10"/>
        <v>0.1839933993</v>
      </c>
      <c r="I2756" s="78" t="s">
        <v>3390</v>
      </c>
      <c r="J2756" s="78" t="s">
        <v>69</v>
      </c>
      <c r="K2756" s="58">
        <f t="shared" si="3"/>
        <v>1</v>
      </c>
      <c r="L2756" s="91" t="str">
        <f t="shared" si="8"/>
        <v>Mon</v>
      </c>
      <c r="M2756" s="78" t="str">
        <f>IFERROR(VLOOKUP(A2756, Entries!A:B,2,false),"")</f>
        <v>Bethesda Softworks</v>
      </c>
      <c r="N2756" s="23" t="str">
        <f>IFERROR(VLOOKUP(A2756, Entries!A:K,11,false),"")</f>
        <v/>
      </c>
      <c r="O2756" s="23" t="b">
        <f>IFERROR(VLOOKUP(A2756, Entries!A:I,8,false),"")</f>
        <v>1</v>
      </c>
    </row>
    <row r="2757">
      <c r="A2757" s="94" t="s">
        <v>2998</v>
      </c>
      <c r="B2757" s="78" t="s">
        <v>27</v>
      </c>
      <c r="C2757" s="85">
        <v>44963.0</v>
      </c>
      <c r="D2757" s="85">
        <v>45618.0</v>
      </c>
      <c r="E2757" s="86">
        <v>15.09</v>
      </c>
      <c r="F2757" s="87">
        <v>15.59</v>
      </c>
      <c r="G2757" s="88">
        <f t="shared" si="1"/>
        <v>0.5</v>
      </c>
      <c r="H2757" s="89">
        <f t="shared" si="10"/>
        <v>0.03207184092</v>
      </c>
      <c r="I2757" s="78" t="s">
        <v>3391</v>
      </c>
      <c r="J2757" s="78" t="s">
        <v>69</v>
      </c>
      <c r="K2757" s="58">
        <f t="shared" si="3"/>
        <v>655</v>
      </c>
      <c r="L2757" s="91" t="str">
        <f t="shared" si="8"/>
        <v>Fri</v>
      </c>
      <c r="M2757" s="78" t="str">
        <f>IFERROR(VLOOKUP(A2757, Entries!A:B,2,false),"")</f>
        <v>505 Games</v>
      </c>
      <c r="N2757" s="23" t="str">
        <f>IFERROR(VLOOKUP(A2757, Entries!A:K,11,false),"")</f>
        <v/>
      </c>
      <c r="O2757" s="23" t="b">
        <f>IFERROR(VLOOKUP(A2757, Entries!A:I,8,false),"")</f>
        <v>0</v>
      </c>
    </row>
    <row r="2758">
      <c r="A2758" s="78" t="s">
        <v>2789</v>
      </c>
      <c r="B2758" s="78" t="s">
        <v>19</v>
      </c>
      <c r="C2758" s="85">
        <v>44963.0</v>
      </c>
      <c r="D2758" s="85">
        <v>44970.0</v>
      </c>
      <c r="E2758" s="86">
        <v>4.03</v>
      </c>
      <c r="F2758" s="87">
        <v>4.65</v>
      </c>
      <c r="G2758" s="88">
        <f t="shared" si="1"/>
        <v>0.62</v>
      </c>
      <c r="H2758" s="89">
        <f t="shared" si="10"/>
        <v>0.1333333333</v>
      </c>
      <c r="I2758" s="78" t="s">
        <v>3392</v>
      </c>
      <c r="J2758" s="78" t="s">
        <v>69</v>
      </c>
      <c r="K2758" s="58">
        <f t="shared" si="3"/>
        <v>7</v>
      </c>
      <c r="L2758" s="91" t="str">
        <f t="shared" si="8"/>
        <v>Mon</v>
      </c>
      <c r="M2758" s="78" t="str">
        <f>IFERROR(VLOOKUP(A2758, Entries!A:B,2,false),"")</f>
        <v>Evil Tortilla Games</v>
      </c>
      <c r="N2758" s="23" t="str">
        <f>IFERROR(VLOOKUP(A2758, Entries!A:K,11,false),"")</f>
        <v/>
      </c>
      <c r="O2758" s="23" t="b">
        <f>IFERROR(VLOOKUP(A2758, Entries!A:I,8,false),"")</f>
        <v>1</v>
      </c>
    </row>
    <row r="2759">
      <c r="A2759" s="78" t="s">
        <v>3370</v>
      </c>
      <c r="B2759" s="78" t="s">
        <v>27</v>
      </c>
      <c r="C2759" s="85">
        <v>44963.0</v>
      </c>
      <c r="D2759" s="85">
        <v>45051.0</v>
      </c>
      <c r="E2759" s="86">
        <v>15.69</v>
      </c>
      <c r="F2759" s="87">
        <v>17.18</v>
      </c>
      <c r="G2759" s="88">
        <f t="shared" si="1"/>
        <v>1.49</v>
      </c>
      <c r="H2759" s="89">
        <f t="shared" si="10"/>
        <v>0.08672875437</v>
      </c>
      <c r="I2759" s="78" t="s">
        <v>3393</v>
      </c>
      <c r="J2759" s="78" t="s">
        <v>69</v>
      </c>
      <c r="K2759" s="58">
        <f t="shared" si="3"/>
        <v>88</v>
      </c>
      <c r="L2759" s="91" t="str">
        <f t="shared" si="8"/>
        <v>Fri</v>
      </c>
      <c r="M2759" s="78" t="str">
        <f>IFERROR(VLOOKUP(A2759, Entries!A:B,2,false),"")</f>
        <v>THQ Nordic</v>
      </c>
      <c r="N2759" s="23" t="str">
        <f>IFERROR(VLOOKUP(A2759, Entries!A:K,11,false),"")</f>
        <v/>
      </c>
      <c r="O2759" s="23" t="b">
        <f>IFERROR(VLOOKUP(A2759, Entries!A:I,8,false),"")</f>
        <v>0</v>
      </c>
    </row>
    <row r="2760">
      <c r="A2760" s="78" t="s">
        <v>1754</v>
      </c>
      <c r="B2760" s="78" t="s">
        <v>27</v>
      </c>
      <c r="C2760" s="85">
        <v>44963.0</v>
      </c>
      <c r="D2760" s="85">
        <v>44964.0</v>
      </c>
      <c r="E2760" s="86">
        <v>19.69</v>
      </c>
      <c r="F2760" s="87">
        <v>26.48</v>
      </c>
      <c r="G2760" s="88">
        <f t="shared" si="1"/>
        <v>6.79</v>
      </c>
      <c r="H2760" s="89">
        <f t="shared" si="10"/>
        <v>0.2564199396</v>
      </c>
      <c r="I2760" s="78" t="s">
        <v>3394</v>
      </c>
      <c r="J2760" s="78" t="s">
        <v>69</v>
      </c>
      <c r="K2760" s="58">
        <f t="shared" si="3"/>
        <v>1</v>
      </c>
      <c r="L2760" s="91" t="str">
        <f t="shared" si="8"/>
        <v>Tue</v>
      </c>
      <c r="M2760" s="78" t="str">
        <f>IFERROR(VLOOKUP(A2760, Entries!A:B,2,false),"")</f>
        <v>Arc System Works</v>
      </c>
      <c r="N2760" s="23" t="str">
        <f>IFERROR(VLOOKUP(A2760, Entries!A:K,11,false),"")</f>
        <v/>
      </c>
      <c r="O2760" s="23" t="b">
        <f>IFERROR(VLOOKUP(A2760, Entries!A:I,8,false),"")</f>
        <v>0</v>
      </c>
    </row>
    <row r="2761">
      <c r="A2761" s="78" t="s">
        <v>2466</v>
      </c>
      <c r="B2761" s="78" t="s">
        <v>27</v>
      </c>
      <c r="C2761" s="85">
        <v>44963.0</v>
      </c>
      <c r="D2761" s="85">
        <v>44964.0</v>
      </c>
      <c r="E2761" s="86">
        <v>9.89</v>
      </c>
      <c r="F2761" s="87">
        <v>12.12</v>
      </c>
      <c r="G2761" s="88">
        <f t="shared" si="1"/>
        <v>2.23</v>
      </c>
      <c r="H2761" s="89">
        <f t="shared" si="10"/>
        <v>0.1839933993</v>
      </c>
      <c r="I2761" s="78" t="s">
        <v>3395</v>
      </c>
      <c r="J2761" s="78" t="s">
        <v>69</v>
      </c>
      <c r="K2761" s="58">
        <f t="shared" si="3"/>
        <v>1</v>
      </c>
      <c r="L2761" s="91" t="str">
        <f t="shared" si="8"/>
        <v>Tue</v>
      </c>
      <c r="M2761" s="78" t="str">
        <f>IFERROR(VLOOKUP(A2761, Entries!A:B,2,false),"")</f>
        <v>Bethesda Softworks</v>
      </c>
      <c r="N2761" s="23" t="str">
        <f>IFERROR(VLOOKUP(A2761, Entries!A:K,11,false),"")</f>
        <v/>
      </c>
      <c r="O2761" s="23" t="b">
        <f>IFERROR(VLOOKUP(A2761, Entries!A:I,8,false),"")</f>
        <v>1</v>
      </c>
    </row>
    <row r="2762">
      <c r="A2762" s="78" t="s">
        <v>1909</v>
      </c>
      <c r="B2762" s="78" t="s">
        <v>22</v>
      </c>
      <c r="C2762" s="85">
        <v>44963.0</v>
      </c>
      <c r="D2762" s="85">
        <v>44966.0</v>
      </c>
      <c r="E2762" s="86">
        <v>2.28</v>
      </c>
      <c r="F2762" s="87">
        <v>2.48</v>
      </c>
      <c r="G2762" s="88">
        <f t="shared" si="1"/>
        <v>0.2</v>
      </c>
      <c r="H2762" s="89">
        <f t="shared" si="10"/>
        <v>0.08064516129</v>
      </c>
      <c r="I2762" s="78" t="s">
        <v>3396</v>
      </c>
      <c r="J2762" s="78" t="s">
        <v>69</v>
      </c>
      <c r="K2762" s="58">
        <f t="shared" si="3"/>
        <v>3</v>
      </c>
      <c r="L2762" s="91" t="str">
        <f t="shared" si="8"/>
        <v>Thu</v>
      </c>
      <c r="M2762" s="78" t="str">
        <f>IFERROR(VLOOKUP(A2762, Entries!A:B,2,false),"")</f>
        <v>PlayWay</v>
      </c>
      <c r="N2762" s="23" t="str">
        <f>IFERROR(VLOOKUP(A2762, Entries!A:K,11,false),"")</f>
        <v/>
      </c>
      <c r="O2762" s="23" t="b">
        <f>IFERROR(VLOOKUP(A2762, Entries!A:I,8,false),"")</f>
        <v>1</v>
      </c>
    </row>
    <row r="2763">
      <c r="A2763" s="78" t="s">
        <v>2466</v>
      </c>
      <c r="B2763" s="78" t="s">
        <v>27</v>
      </c>
      <c r="C2763" s="85">
        <v>44963.0</v>
      </c>
      <c r="D2763" s="85">
        <v>44964.0</v>
      </c>
      <c r="E2763" s="86">
        <v>9.89</v>
      </c>
      <c r="F2763" s="87">
        <v>12.12</v>
      </c>
      <c r="G2763" s="88">
        <f t="shared" si="1"/>
        <v>2.23</v>
      </c>
      <c r="H2763" s="89">
        <f t="shared" si="10"/>
        <v>0.1839933993</v>
      </c>
      <c r="I2763" s="78" t="s">
        <v>3397</v>
      </c>
      <c r="J2763" s="78" t="s">
        <v>69</v>
      </c>
      <c r="K2763" s="58">
        <f t="shared" si="3"/>
        <v>1</v>
      </c>
      <c r="L2763" s="91" t="str">
        <f t="shared" si="8"/>
        <v>Tue</v>
      </c>
      <c r="M2763" s="78" t="str">
        <f>IFERROR(VLOOKUP(A2763, Entries!A:B,2,false),"")</f>
        <v>Bethesda Softworks</v>
      </c>
      <c r="N2763" s="23" t="str">
        <f>IFERROR(VLOOKUP(A2763, Entries!A:K,11,false),"")</f>
        <v/>
      </c>
      <c r="O2763" s="23" t="b">
        <f>IFERROR(VLOOKUP(A2763, Entries!A:I,8,false),"")</f>
        <v>1</v>
      </c>
    </row>
    <row r="2764">
      <c r="A2764" s="78" t="s">
        <v>3358</v>
      </c>
      <c r="B2764" s="78" t="s">
        <v>18</v>
      </c>
      <c r="C2764" s="85">
        <v>44963.0</v>
      </c>
      <c r="D2764" s="25"/>
      <c r="E2764" s="86">
        <v>31.99</v>
      </c>
      <c r="F2764" s="88"/>
      <c r="G2764" s="88">
        <f t="shared" si="1"/>
        <v>-31.99</v>
      </c>
      <c r="H2764" s="89" t="str">
        <f t="shared" si="10"/>
        <v/>
      </c>
      <c r="I2764" s="103" t="s">
        <v>3398</v>
      </c>
      <c r="J2764" s="78" t="s">
        <v>1129</v>
      </c>
      <c r="K2764" s="58" t="str">
        <f t="shared" si="3"/>
        <v/>
      </c>
      <c r="L2764" s="91" t="str">
        <f t="shared" si="8"/>
        <v/>
      </c>
      <c r="M2764" s="78" t="str">
        <f>IFERROR(VLOOKUP(A2764, Entries!A:B,2,false),"")</f>
        <v>Warner Bros</v>
      </c>
      <c r="N2764" s="23" t="str">
        <f>IFERROR(VLOOKUP(A2764, Entries!A:K,11,false),"")</f>
        <v/>
      </c>
      <c r="O2764" s="23" t="b">
        <f>IFERROR(VLOOKUP(A2764, Entries!A:I,8,false),"")</f>
        <v>0</v>
      </c>
    </row>
    <row r="2765">
      <c r="A2765" s="78" t="s">
        <v>2096</v>
      </c>
      <c r="B2765" s="78" t="s">
        <v>25</v>
      </c>
      <c r="C2765" s="85">
        <v>44964.0</v>
      </c>
      <c r="D2765" s="85">
        <v>44971.0</v>
      </c>
      <c r="E2765" s="86">
        <v>5.82</v>
      </c>
      <c r="F2765" s="87">
        <v>7.66</v>
      </c>
      <c r="G2765" s="88">
        <f t="shared" si="1"/>
        <v>1.84</v>
      </c>
      <c r="H2765" s="89">
        <f t="shared" si="10"/>
        <v>0.2402088773</v>
      </c>
      <c r="I2765" s="78" t="s">
        <v>3399</v>
      </c>
      <c r="J2765" s="78" t="s">
        <v>69</v>
      </c>
      <c r="K2765" s="58">
        <f t="shared" si="3"/>
        <v>7</v>
      </c>
      <c r="L2765" s="91" t="str">
        <f t="shared" si="8"/>
        <v>Tue</v>
      </c>
      <c r="M2765" s="78" t="str">
        <f>IFERROR(VLOOKUP(A2765, Entries!A:B,2,false),"")</f>
        <v>Subset Games</v>
      </c>
      <c r="N2765" s="23" t="str">
        <f>IFERROR(VLOOKUP(A2765, Entries!A:K,11,false),"")</f>
        <v/>
      </c>
      <c r="O2765" s="23" t="b">
        <f>IFERROR(VLOOKUP(A2765, Entries!A:I,8,false),"")</f>
        <v>0</v>
      </c>
    </row>
    <row r="2766">
      <c r="A2766" s="78" t="s">
        <v>2466</v>
      </c>
      <c r="B2766" s="78" t="s">
        <v>27</v>
      </c>
      <c r="C2766" s="85">
        <v>44964.0</v>
      </c>
      <c r="D2766" s="85">
        <v>44964.0</v>
      </c>
      <c r="E2766" s="86">
        <v>9.89</v>
      </c>
      <c r="F2766" s="87">
        <v>12.12</v>
      </c>
      <c r="G2766" s="88">
        <f t="shared" si="1"/>
        <v>2.23</v>
      </c>
      <c r="H2766" s="89">
        <f t="shared" si="10"/>
        <v>0.1839933993</v>
      </c>
      <c r="I2766" s="78" t="s">
        <v>3400</v>
      </c>
      <c r="J2766" s="78" t="s">
        <v>69</v>
      </c>
      <c r="K2766" s="58">
        <f t="shared" si="3"/>
        <v>0</v>
      </c>
      <c r="L2766" s="91" t="str">
        <f t="shared" si="8"/>
        <v>Tue</v>
      </c>
      <c r="M2766" s="78" t="str">
        <f>IFERROR(VLOOKUP(A2766, Entries!A:B,2,false),"")</f>
        <v>Bethesda Softworks</v>
      </c>
      <c r="N2766" s="23" t="str">
        <f>IFERROR(VLOOKUP(A2766, Entries!A:K,11,false),"")</f>
        <v/>
      </c>
      <c r="O2766" s="23" t="b">
        <f>IFERROR(VLOOKUP(A2766, Entries!A:I,8,false),"")</f>
        <v>1</v>
      </c>
    </row>
    <row r="2767">
      <c r="A2767" s="78" t="s">
        <v>2466</v>
      </c>
      <c r="B2767" s="78" t="s">
        <v>27</v>
      </c>
      <c r="C2767" s="85">
        <v>44964.0</v>
      </c>
      <c r="D2767" s="85">
        <v>44964.0</v>
      </c>
      <c r="E2767" s="86">
        <v>9.89</v>
      </c>
      <c r="F2767" s="87">
        <v>12.12</v>
      </c>
      <c r="G2767" s="88">
        <f t="shared" si="1"/>
        <v>2.23</v>
      </c>
      <c r="H2767" s="89">
        <f t="shared" si="10"/>
        <v>0.1839933993</v>
      </c>
      <c r="I2767" s="78" t="s">
        <v>3401</v>
      </c>
      <c r="J2767" s="78" t="s">
        <v>69</v>
      </c>
      <c r="K2767" s="58">
        <f t="shared" si="3"/>
        <v>0</v>
      </c>
      <c r="L2767" s="91" t="str">
        <f t="shared" si="8"/>
        <v>Tue</v>
      </c>
      <c r="M2767" s="78" t="str">
        <f>IFERROR(VLOOKUP(A2767, Entries!A:B,2,false),"")</f>
        <v>Bethesda Softworks</v>
      </c>
      <c r="N2767" s="23" t="str">
        <f>IFERROR(VLOOKUP(A2767, Entries!A:K,11,false),"")</f>
        <v/>
      </c>
      <c r="O2767" s="23" t="b">
        <f>IFERROR(VLOOKUP(A2767, Entries!A:I,8,false),"")</f>
        <v>1</v>
      </c>
    </row>
    <row r="2768">
      <c r="A2768" s="78" t="s">
        <v>2466</v>
      </c>
      <c r="B2768" s="78" t="s">
        <v>27</v>
      </c>
      <c r="C2768" s="85">
        <v>44964.0</v>
      </c>
      <c r="D2768" s="85">
        <v>44965.0</v>
      </c>
      <c r="E2768" s="86">
        <v>9.89</v>
      </c>
      <c r="F2768" s="87">
        <v>12.12</v>
      </c>
      <c r="G2768" s="88">
        <f t="shared" si="1"/>
        <v>2.23</v>
      </c>
      <c r="H2768" s="89">
        <f t="shared" si="10"/>
        <v>0.1839933993</v>
      </c>
      <c r="I2768" s="78" t="s">
        <v>3402</v>
      </c>
      <c r="J2768" s="78" t="s">
        <v>69</v>
      </c>
      <c r="K2768" s="58">
        <f t="shared" si="3"/>
        <v>1</v>
      </c>
      <c r="L2768" s="91" t="str">
        <f t="shared" si="8"/>
        <v>Wed</v>
      </c>
      <c r="M2768" s="78" t="str">
        <f>IFERROR(VLOOKUP(A2768, Entries!A:B,2,false),"")</f>
        <v>Bethesda Softworks</v>
      </c>
      <c r="N2768" s="23" t="str">
        <f>IFERROR(VLOOKUP(A2768, Entries!A:K,11,false),"")</f>
        <v/>
      </c>
      <c r="O2768" s="23" t="b">
        <f>IFERROR(VLOOKUP(A2768, Entries!A:I,8,false),"")</f>
        <v>1</v>
      </c>
    </row>
    <row r="2769">
      <c r="A2769" s="78" t="s">
        <v>1754</v>
      </c>
      <c r="B2769" s="78" t="s">
        <v>27</v>
      </c>
      <c r="C2769" s="85">
        <v>44964.0</v>
      </c>
      <c r="D2769" s="85">
        <v>44965.0</v>
      </c>
      <c r="E2769" s="86">
        <v>19.69</v>
      </c>
      <c r="F2769" s="87">
        <v>26.48</v>
      </c>
      <c r="G2769" s="88">
        <f t="shared" si="1"/>
        <v>6.79</v>
      </c>
      <c r="H2769" s="89">
        <f t="shared" si="10"/>
        <v>0.2564199396</v>
      </c>
      <c r="I2769" s="78" t="s">
        <v>3403</v>
      </c>
      <c r="J2769" s="78" t="s">
        <v>69</v>
      </c>
      <c r="K2769" s="58">
        <f t="shared" si="3"/>
        <v>1</v>
      </c>
      <c r="L2769" s="91" t="str">
        <f t="shared" si="8"/>
        <v>Wed</v>
      </c>
      <c r="M2769" s="78" t="str">
        <f>IFERROR(VLOOKUP(A2769, Entries!A:B,2,false),"")</f>
        <v>Arc System Works</v>
      </c>
      <c r="N2769" s="23" t="str">
        <f>IFERROR(VLOOKUP(A2769, Entries!A:K,11,false),"")</f>
        <v/>
      </c>
      <c r="O2769" s="23" t="b">
        <f>IFERROR(VLOOKUP(A2769, Entries!A:I,8,false),"")</f>
        <v>0</v>
      </c>
    </row>
    <row r="2770">
      <c r="A2770" s="78" t="s">
        <v>3366</v>
      </c>
      <c r="B2770" s="78" t="s">
        <v>25</v>
      </c>
      <c r="C2770" s="85">
        <v>44964.0</v>
      </c>
      <c r="D2770" s="85">
        <v>44964.0</v>
      </c>
      <c r="E2770" s="86">
        <v>3.67</v>
      </c>
      <c r="F2770" s="87">
        <v>4.52</v>
      </c>
      <c r="G2770" s="88">
        <f t="shared" si="1"/>
        <v>0.85</v>
      </c>
      <c r="H2770" s="89">
        <f t="shared" si="10"/>
        <v>0.1880530973</v>
      </c>
      <c r="I2770" s="78" t="s">
        <v>3404</v>
      </c>
      <c r="J2770" s="78" t="s">
        <v>69</v>
      </c>
      <c r="K2770" s="58">
        <f t="shared" si="3"/>
        <v>0</v>
      </c>
      <c r="L2770" s="91" t="str">
        <f t="shared" si="8"/>
        <v>Tue</v>
      </c>
      <c r="M2770" s="78" t="str">
        <f>IFERROR(VLOOKUP(A2770, Entries!A:B,2,false),"")</f>
        <v>Sector D2</v>
      </c>
      <c r="N2770" s="23" t="str">
        <f>IFERROR(VLOOKUP(A2770, Entries!A:K,11,false),"")</f>
        <v/>
      </c>
      <c r="O2770" s="23" t="b">
        <f>IFERROR(VLOOKUP(A2770, Entries!A:I,8,false),"")</f>
        <v>0</v>
      </c>
    </row>
    <row r="2771">
      <c r="A2771" s="78" t="s">
        <v>3366</v>
      </c>
      <c r="B2771" s="78" t="s">
        <v>25</v>
      </c>
      <c r="C2771" s="85">
        <v>44964.0</v>
      </c>
      <c r="D2771" s="85">
        <v>44964.0</v>
      </c>
      <c r="E2771" s="86">
        <v>3.67</v>
      </c>
      <c r="F2771" s="87">
        <v>4.52</v>
      </c>
      <c r="G2771" s="88">
        <f t="shared" si="1"/>
        <v>0.85</v>
      </c>
      <c r="H2771" s="89">
        <f t="shared" si="10"/>
        <v>0.1880530973</v>
      </c>
      <c r="I2771" s="78" t="s">
        <v>3405</v>
      </c>
      <c r="J2771" s="78" t="s">
        <v>69</v>
      </c>
      <c r="K2771" s="58">
        <f t="shared" si="3"/>
        <v>0</v>
      </c>
      <c r="L2771" s="91" t="str">
        <f t="shared" si="8"/>
        <v>Tue</v>
      </c>
      <c r="M2771" s="78" t="str">
        <f>IFERROR(VLOOKUP(A2771, Entries!A:B,2,false),"")</f>
        <v>Sector D2</v>
      </c>
      <c r="N2771" s="23" t="str">
        <f>IFERROR(VLOOKUP(A2771, Entries!A:K,11,false),"")</f>
        <v/>
      </c>
      <c r="O2771" s="23" t="b">
        <f>IFERROR(VLOOKUP(A2771, Entries!A:I,8,false),"")</f>
        <v>0</v>
      </c>
    </row>
    <row r="2772">
      <c r="A2772" s="78" t="s">
        <v>3366</v>
      </c>
      <c r="B2772" s="78" t="s">
        <v>25</v>
      </c>
      <c r="C2772" s="85">
        <v>45002.0</v>
      </c>
      <c r="D2772" s="85">
        <v>45003.0</v>
      </c>
      <c r="E2772" s="86">
        <v>3.67</v>
      </c>
      <c r="F2772" s="87">
        <v>5.6</v>
      </c>
      <c r="G2772" s="88">
        <f t="shared" si="1"/>
        <v>1.93</v>
      </c>
      <c r="H2772" s="89">
        <f t="shared" si="10"/>
        <v>0.3446428571</v>
      </c>
      <c r="I2772" s="78" t="s">
        <v>3406</v>
      </c>
      <c r="J2772" s="78" t="s">
        <v>69</v>
      </c>
      <c r="K2772" s="58">
        <f t="shared" si="3"/>
        <v>1</v>
      </c>
      <c r="L2772" s="91" t="str">
        <f t="shared" si="8"/>
        <v>Sat</v>
      </c>
      <c r="M2772" s="78" t="str">
        <f>IFERROR(VLOOKUP(A2772, Entries!A:B,2,false),"")</f>
        <v>Sector D2</v>
      </c>
      <c r="N2772" s="23" t="str">
        <f>IFERROR(VLOOKUP(A2772, Entries!A:K,11,false),"")</f>
        <v/>
      </c>
      <c r="O2772" s="23" t="b">
        <f>IFERROR(VLOOKUP(A2772, Entries!A:I,8,false),"")</f>
        <v>0</v>
      </c>
    </row>
    <row r="2773">
      <c r="A2773" s="78" t="s">
        <v>3366</v>
      </c>
      <c r="B2773" s="78" t="s">
        <v>25</v>
      </c>
      <c r="C2773" s="85">
        <v>44964.0</v>
      </c>
      <c r="D2773" s="85">
        <v>44967.0</v>
      </c>
      <c r="E2773" s="86">
        <v>3.67</v>
      </c>
      <c r="F2773" s="87">
        <v>4.62</v>
      </c>
      <c r="G2773" s="88">
        <f t="shared" si="1"/>
        <v>0.95</v>
      </c>
      <c r="H2773" s="89">
        <f t="shared" si="10"/>
        <v>0.2056277056</v>
      </c>
      <c r="I2773" s="78" t="s">
        <v>3407</v>
      </c>
      <c r="J2773" s="78" t="s">
        <v>69</v>
      </c>
      <c r="K2773" s="58">
        <f t="shared" si="3"/>
        <v>3</v>
      </c>
      <c r="L2773" s="91" t="str">
        <f t="shared" si="8"/>
        <v>Fri</v>
      </c>
      <c r="M2773" s="78" t="str">
        <f>IFERROR(VLOOKUP(A2773, Entries!A:B,2,false),"")</f>
        <v>Sector D2</v>
      </c>
      <c r="N2773" s="23" t="str">
        <f>IFERROR(VLOOKUP(A2773, Entries!A:K,11,false),"")</f>
        <v/>
      </c>
      <c r="O2773" s="23" t="b">
        <f>IFERROR(VLOOKUP(A2773, Entries!A:I,8,false),"")</f>
        <v>0</v>
      </c>
    </row>
    <row r="2774">
      <c r="A2774" s="78" t="s">
        <v>2466</v>
      </c>
      <c r="B2774" s="78" t="s">
        <v>27</v>
      </c>
      <c r="C2774" s="85">
        <v>44964.0</v>
      </c>
      <c r="D2774" s="85">
        <v>44965.0</v>
      </c>
      <c r="E2774" s="86">
        <v>9.89</v>
      </c>
      <c r="F2774" s="87">
        <v>14.06</v>
      </c>
      <c r="G2774" s="88">
        <f t="shared" si="1"/>
        <v>4.17</v>
      </c>
      <c r="H2774" s="89">
        <f t="shared" si="10"/>
        <v>0.2965860597</v>
      </c>
      <c r="I2774" s="78" t="s">
        <v>3408</v>
      </c>
      <c r="J2774" s="78" t="s">
        <v>69</v>
      </c>
      <c r="K2774" s="58">
        <f t="shared" si="3"/>
        <v>1</v>
      </c>
      <c r="L2774" s="91" t="str">
        <f t="shared" si="8"/>
        <v>Wed</v>
      </c>
      <c r="M2774" s="78" t="str">
        <f>IFERROR(VLOOKUP(A2774, Entries!A:B,2,false),"")</f>
        <v>Bethesda Softworks</v>
      </c>
      <c r="N2774" s="23" t="str">
        <f>IFERROR(VLOOKUP(A2774, Entries!A:K,11,false),"")</f>
        <v/>
      </c>
      <c r="O2774" s="23" t="b">
        <f>IFERROR(VLOOKUP(A2774, Entries!A:I,8,false),"")</f>
        <v>1</v>
      </c>
    </row>
    <row r="2775">
      <c r="A2775" s="78" t="s">
        <v>3409</v>
      </c>
      <c r="B2775" s="78" t="s">
        <v>27</v>
      </c>
      <c r="C2775" s="85">
        <v>44964.0</v>
      </c>
      <c r="D2775" s="85">
        <v>45354.0</v>
      </c>
      <c r="E2775" s="86">
        <v>32.49</v>
      </c>
      <c r="F2775" s="87">
        <v>36.75</v>
      </c>
      <c r="G2775" s="88">
        <f t="shared" si="1"/>
        <v>4.26</v>
      </c>
      <c r="H2775" s="89">
        <f t="shared" si="10"/>
        <v>0.1159183673</v>
      </c>
      <c r="I2775" s="78" t="s">
        <v>3410</v>
      </c>
      <c r="J2775" s="78" t="s">
        <v>69</v>
      </c>
      <c r="K2775" s="58">
        <f t="shared" si="3"/>
        <v>390</v>
      </c>
      <c r="L2775" s="91" t="str">
        <f t="shared" si="8"/>
        <v>Sun</v>
      </c>
      <c r="M2775" s="78" t="str">
        <f>IFERROR(VLOOKUP(A2775, Entries!A:B,2,false),"")</f>
        <v>SEGA</v>
      </c>
      <c r="N2775" s="23" t="str">
        <f>IFERROR(VLOOKUP(A2775, Entries!A:K,11,false),"")</f>
        <v/>
      </c>
      <c r="O2775" s="23" t="b">
        <f>IFERROR(VLOOKUP(A2775, Entries!A:I,8,false),"")</f>
        <v>0</v>
      </c>
    </row>
    <row r="2776">
      <c r="A2776" s="78" t="s">
        <v>2466</v>
      </c>
      <c r="B2776" s="78" t="s">
        <v>27</v>
      </c>
      <c r="C2776" s="85">
        <v>44965.0</v>
      </c>
      <c r="D2776" s="85">
        <v>44966.0</v>
      </c>
      <c r="E2776" s="86">
        <v>9.79</v>
      </c>
      <c r="F2776" s="87">
        <v>12.06</v>
      </c>
      <c r="G2776" s="88">
        <f t="shared" si="1"/>
        <v>2.27</v>
      </c>
      <c r="H2776" s="89">
        <f t="shared" si="10"/>
        <v>0.188225539</v>
      </c>
      <c r="I2776" s="78" t="s">
        <v>3411</v>
      </c>
      <c r="J2776" s="78" t="s">
        <v>69</v>
      </c>
      <c r="K2776" s="58">
        <f t="shared" si="3"/>
        <v>1</v>
      </c>
      <c r="L2776" s="91" t="str">
        <f t="shared" si="8"/>
        <v>Thu</v>
      </c>
      <c r="M2776" s="78" t="str">
        <f>IFERROR(VLOOKUP(A2776, Entries!A:B,2,false),"")</f>
        <v>Bethesda Softworks</v>
      </c>
      <c r="N2776" s="23" t="str">
        <f>IFERROR(VLOOKUP(A2776, Entries!A:K,11,false),"")</f>
        <v/>
      </c>
      <c r="O2776" s="23" t="b">
        <f>IFERROR(VLOOKUP(A2776, Entries!A:I,8,false),"")</f>
        <v>1</v>
      </c>
    </row>
    <row r="2777">
      <c r="A2777" s="78" t="s">
        <v>1754</v>
      </c>
      <c r="B2777" s="78" t="s">
        <v>27</v>
      </c>
      <c r="C2777" s="85">
        <v>44965.0</v>
      </c>
      <c r="D2777" s="85">
        <v>44972.0</v>
      </c>
      <c r="E2777" s="86">
        <v>19.49</v>
      </c>
      <c r="F2777" s="87">
        <v>26.64</v>
      </c>
      <c r="G2777" s="88">
        <f t="shared" si="1"/>
        <v>7.15</v>
      </c>
      <c r="H2777" s="89">
        <f t="shared" si="10"/>
        <v>0.2683933934</v>
      </c>
      <c r="I2777" s="78" t="s">
        <v>3412</v>
      </c>
      <c r="J2777" s="78" t="s">
        <v>69</v>
      </c>
      <c r="K2777" s="58">
        <f t="shared" si="3"/>
        <v>7</v>
      </c>
      <c r="L2777" s="91" t="str">
        <f t="shared" si="8"/>
        <v>Wed</v>
      </c>
      <c r="M2777" s="78" t="str">
        <f>IFERROR(VLOOKUP(A2777, Entries!A:B,2,false),"")</f>
        <v>Arc System Works</v>
      </c>
      <c r="N2777" s="23" t="str">
        <f>IFERROR(VLOOKUP(A2777, Entries!A:K,11,false),"")</f>
        <v/>
      </c>
      <c r="O2777" s="23" t="b">
        <f>IFERROR(VLOOKUP(A2777, Entries!A:I,8,false),"")</f>
        <v>0</v>
      </c>
    </row>
    <row r="2778">
      <c r="A2778" s="78" t="s">
        <v>1609</v>
      </c>
      <c r="B2778" s="78" t="s">
        <v>23</v>
      </c>
      <c r="C2778" s="85">
        <v>44965.0</v>
      </c>
      <c r="D2778" s="85">
        <v>44973.0</v>
      </c>
      <c r="E2778" s="86">
        <v>10.95</v>
      </c>
      <c r="F2778" s="87">
        <v>14.03</v>
      </c>
      <c r="G2778" s="88">
        <f t="shared" si="1"/>
        <v>3.08</v>
      </c>
      <c r="H2778" s="89">
        <f t="shared" si="10"/>
        <v>0.2195295795</v>
      </c>
      <c r="I2778" s="78" t="s">
        <v>3413</v>
      </c>
      <c r="J2778" s="78" t="s">
        <v>69</v>
      </c>
      <c r="K2778" s="58">
        <f t="shared" si="3"/>
        <v>8</v>
      </c>
      <c r="L2778" s="91" t="str">
        <f t="shared" si="8"/>
        <v>Thu</v>
      </c>
      <c r="M2778" s="78" t="str">
        <f>IFERROR(VLOOKUP(A2778, Entries!A:B,2,false),"")</f>
        <v>Dear Villagers</v>
      </c>
      <c r="N2778" s="23" t="str">
        <f>IFERROR(VLOOKUP(A2778, Entries!A:K,11,false),"")</f>
        <v/>
      </c>
      <c r="O2778" s="23" t="b">
        <f>IFERROR(VLOOKUP(A2778, Entries!A:I,8,false),"")</f>
        <v>0</v>
      </c>
    </row>
    <row r="2779">
      <c r="A2779" s="78" t="s">
        <v>2466</v>
      </c>
      <c r="B2779" s="78" t="s">
        <v>27</v>
      </c>
      <c r="C2779" s="85">
        <v>44965.0</v>
      </c>
      <c r="D2779" s="85">
        <v>44966.0</v>
      </c>
      <c r="E2779" s="86">
        <v>9.69</v>
      </c>
      <c r="F2779" s="87">
        <v>12.04</v>
      </c>
      <c r="G2779" s="88">
        <f t="shared" si="1"/>
        <v>2.35</v>
      </c>
      <c r="H2779" s="89">
        <f t="shared" si="10"/>
        <v>0.1951827243</v>
      </c>
      <c r="I2779" s="78" t="s">
        <v>3414</v>
      </c>
      <c r="J2779" s="78" t="s">
        <v>69</v>
      </c>
      <c r="K2779" s="58">
        <f t="shared" si="3"/>
        <v>1</v>
      </c>
      <c r="L2779" s="91" t="str">
        <f t="shared" si="8"/>
        <v>Thu</v>
      </c>
      <c r="M2779" s="78" t="str">
        <f>IFERROR(VLOOKUP(A2779, Entries!A:B,2,false),"")</f>
        <v>Bethesda Softworks</v>
      </c>
      <c r="N2779" s="23" t="str">
        <f>IFERROR(VLOOKUP(A2779, Entries!A:K,11,false),"")</f>
        <v/>
      </c>
      <c r="O2779" s="23" t="b">
        <f>IFERROR(VLOOKUP(A2779, Entries!A:I,8,false),"")</f>
        <v>1</v>
      </c>
    </row>
    <row r="2780">
      <c r="A2780" s="78" t="s">
        <v>2466</v>
      </c>
      <c r="B2780" s="78" t="s">
        <v>27</v>
      </c>
      <c r="C2780" s="85">
        <v>44966.0</v>
      </c>
      <c r="D2780" s="85">
        <v>44966.0</v>
      </c>
      <c r="E2780" s="86">
        <v>9.69</v>
      </c>
      <c r="F2780" s="87">
        <v>12.04</v>
      </c>
      <c r="G2780" s="88">
        <f t="shared" si="1"/>
        <v>2.35</v>
      </c>
      <c r="H2780" s="89">
        <f t="shared" si="10"/>
        <v>0.1951827243</v>
      </c>
      <c r="I2780" s="78" t="s">
        <v>3415</v>
      </c>
      <c r="J2780" s="78" t="s">
        <v>69</v>
      </c>
      <c r="K2780" s="58">
        <f t="shared" si="3"/>
        <v>0</v>
      </c>
      <c r="L2780" s="91" t="str">
        <f t="shared" si="8"/>
        <v>Thu</v>
      </c>
      <c r="M2780" s="78" t="str">
        <f>IFERROR(VLOOKUP(A2780, Entries!A:B,2,false),"")</f>
        <v>Bethesda Softworks</v>
      </c>
      <c r="N2780" s="23" t="str">
        <f>IFERROR(VLOOKUP(A2780, Entries!A:K,11,false),"")</f>
        <v/>
      </c>
      <c r="O2780" s="23" t="b">
        <f>IFERROR(VLOOKUP(A2780, Entries!A:I,8,false),"")</f>
        <v>1</v>
      </c>
    </row>
    <row r="2781">
      <c r="A2781" s="78" t="s">
        <v>3366</v>
      </c>
      <c r="B2781" s="78" t="s">
        <v>25</v>
      </c>
      <c r="C2781" s="85">
        <v>44966.0</v>
      </c>
      <c r="D2781" s="85">
        <v>44967.0</v>
      </c>
      <c r="E2781" s="86">
        <v>3.65</v>
      </c>
      <c r="F2781" s="87">
        <v>4.52</v>
      </c>
      <c r="G2781" s="88">
        <f t="shared" si="1"/>
        <v>0.87</v>
      </c>
      <c r="H2781" s="89">
        <f t="shared" si="10"/>
        <v>0.1924778761</v>
      </c>
      <c r="I2781" s="78" t="s">
        <v>3416</v>
      </c>
      <c r="J2781" s="78" t="s">
        <v>69</v>
      </c>
      <c r="K2781" s="58">
        <f t="shared" si="3"/>
        <v>1</v>
      </c>
      <c r="L2781" s="91" t="str">
        <f t="shared" si="8"/>
        <v>Fri</v>
      </c>
      <c r="M2781" s="78" t="str">
        <f>IFERROR(VLOOKUP(A2781, Entries!A:B,2,false),"")</f>
        <v>Sector D2</v>
      </c>
      <c r="N2781" s="23" t="str">
        <f>IFERROR(VLOOKUP(A2781, Entries!A:K,11,false),"")</f>
        <v/>
      </c>
      <c r="O2781" s="23" t="b">
        <f>IFERROR(VLOOKUP(A2781, Entries!A:I,8,false),"")</f>
        <v>0</v>
      </c>
    </row>
    <row r="2782">
      <c r="A2782" s="78" t="s">
        <v>1909</v>
      </c>
      <c r="B2782" s="78" t="s">
        <v>22</v>
      </c>
      <c r="C2782" s="85">
        <v>44966.0</v>
      </c>
      <c r="D2782" s="85">
        <v>45034.0</v>
      </c>
      <c r="E2782" s="86">
        <v>2.33</v>
      </c>
      <c r="F2782" s="87">
        <v>2.49</v>
      </c>
      <c r="G2782" s="88">
        <f t="shared" si="1"/>
        <v>0.16</v>
      </c>
      <c r="H2782" s="89">
        <f t="shared" si="10"/>
        <v>0.06425702811</v>
      </c>
      <c r="I2782" s="78" t="s">
        <v>3417</v>
      </c>
      <c r="J2782" s="78" t="s">
        <v>69</v>
      </c>
      <c r="K2782" s="58">
        <f t="shared" si="3"/>
        <v>68</v>
      </c>
      <c r="L2782" s="91" t="str">
        <f t="shared" si="8"/>
        <v>Tue</v>
      </c>
      <c r="M2782" s="78" t="str">
        <f>IFERROR(VLOOKUP(A2782, Entries!A:B,2,false),"")</f>
        <v>PlayWay</v>
      </c>
      <c r="N2782" s="23" t="str">
        <f>IFERROR(VLOOKUP(A2782, Entries!A:K,11,false),"")</f>
        <v/>
      </c>
      <c r="O2782" s="23" t="b">
        <f>IFERROR(VLOOKUP(A2782, Entries!A:I,8,false),"")</f>
        <v>1</v>
      </c>
    </row>
    <row r="2783">
      <c r="A2783" s="78" t="s">
        <v>3144</v>
      </c>
      <c r="B2783" s="78" t="s">
        <v>27</v>
      </c>
      <c r="C2783" s="85">
        <v>44966.0</v>
      </c>
      <c r="D2783" s="85">
        <v>44968.0</v>
      </c>
      <c r="E2783" s="86">
        <v>17.09</v>
      </c>
      <c r="F2783" s="87">
        <v>21.13</v>
      </c>
      <c r="G2783" s="88">
        <f t="shared" si="1"/>
        <v>4.04</v>
      </c>
      <c r="H2783" s="89">
        <f t="shared" si="10"/>
        <v>0.1911973497</v>
      </c>
      <c r="I2783" s="78" t="s">
        <v>3418</v>
      </c>
      <c r="J2783" s="78" t="s">
        <v>69</v>
      </c>
      <c r="K2783" s="58">
        <f t="shared" si="3"/>
        <v>2</v>
      </c>
      <c r="L2783" s="91" t="str">
        <f t="shared" si="8"/>
        <v>Sat</v>
      </c>
      <c r="M2783" s="78" t="str">
        <f>IFERROR(VLOOKUP(A2783, Entries!A:B,2,false),"")</f>
        <v>Bethesda Softworks</v>
      </c>
      <c r="N2783" s="23" t="str">
        <f>IFERROR(VLOOKUP(A2783, Entries!A:K,11,false),"")</f>
        <v/>
      </c>
      <c r="O2783" s="23" t="b">
        <f>IFERROR(VLOOKUP(A2783, Entries!A:I,8,false),"")</f>
        <v>0</v>
      </c>
    </row>
    <row r="2784">
      <c r="A2784" s="78" t="s">
        <v>3264</v>
      </c>
      <c r="B2784" s="78" t="s">
        <v>32</v>
      </c>
      <c r="C2784" s="85">
        <v>44966.0</v>
      </c>
      <c r="D2784" s="85">
        <v>44997.0</v>
      </c>
      <c r="E2784" s="86">
        <v>18.65</v>
      </c>
      <c r="F2784" s="87">
        <v>22.24</v>
      </c>
      <c r="G2784" s="88">
        <f t="shared" si="1"/>
        <v>3.59</v>
      </c>
      <c r="H2784" s="89">
        <f t="shared" si="10"/>
        <v>0.1614208633</v>
      </c>
      <c r="I2784" s="78" t="s">
        <v>3419</v>
      </c>
      <c r="J2784" s="78" t="s">
        <v>69</v>
      </c>
      <c r="K2784" s="58">
        <f t="shared" si="3"/>
        <v>31</v>
      </c>
      <c r="L2784" s="91" t="str">
        <f t="shared" si="8"/>
        <v>Sun</v>
      </c>
      <c r="M2784" s="78" t="str">
        <f>IFERROR(VLOOKUP(A2784, Entries!A:B,2,false),"")</f>
        <v>2K</v>
      </c>
      <c r="N2784" s="23" t="str">
        <f>IFERROR(VLOOKUP(A2784, Entries!A:K,11,false),"")</f>
        <v/>
      </c>
      <c r="O2784" s="23" t="b">
        <f>IFERROR(VLOOKUP(A2784, Entries!A:I,8,false),"")</f>
        <v>0</v>
      </c>
    </row>
    <row r="2785">
      <c r="A2785" s="78" t="s">
        <v>3264</v>
      </c>
      <c r="B2785" s="78" t="s">
        <v>32</v>
      </c>
      <c r="C2785" s="85">
        <v>44966.0</v>
      </c>
      <c r="D2785" s="85">
        <v>44996.0</v>
      </c>
      <c r="E2785" s="86">
        <v>18.65</v>
      </c>
      <c r="F2785" s="87">
        <v>21.0</v>
      </c>
      <c r="G2785" s="88">
        <f t="shared" si="1"/>
        <v>2.35</v>
      </c>
      <c r="H2785" s="89">
        <f t="shared" si="10"/>
        <v>0.1119047619</v>
      </c>
      <c r="I2785" s="78" t="s">
        <v>3420</v>
      </c>
      <c r="J2785" s="78" t="s">
        <v>69</v>
      </c>
      <c r="K2785" s="58">
        <f t="shared" si="3"/>
        <v>30</v>
      </c>
      <c r="L2785" s="91" t="str">
        <f t="shared" si="8"/>
        <v>Sat</v>
      </c>
      <c r="M2785" s="78" t="str">
        <f>IFERROR(VLOOKUP(A2785, Entries!A:B,2,false),"")</f>
        <v>2K</v>
      </c>
      <c r="N2785" s="23" t="str">
        <f>IFERROR(VLOOKUP(A2785, Entries!A:K,11,false),"")</f>
        <v/>
      </c>
      <c r="O2785" s="23" t="b">
        <f>IFERROR(VLOOKUP(A2785, Entries!A:I,8,false),"")</f>
        <v>0</v>
      </c>
    </row>
    <row r="2786">
      <c r="A2786" s="78" t="s">
        <v>2466</v>
      </c>
      <c r="B2786" s="78" t="s">
        <v>27</v>
      </c>
      <c r="C2786" s="85">
        <v>44966.0</v>
      </c>
      <c r="D2786" s="85">
        <v>44967.0</v>
      </c>
      <c r="E2786" s="86">
        <v>9.69</v>
      </c>
      <c r="F2786" s="87">
        <v>12.04</v>
      </c>
      <c r="G2786" s="88">
        <f t="shared" si="1"/>
        <v>2.35</v>
      </c>
      <c r="H2786" s="89">
        <f t="shared" si="10"/>
        <v>0.1951827243</v>
      </c>
      <c r="I2786" s="78" t="s">
        <v>3421</v>
      </c>
      <c r="J2786" s="78" t="s">
        <v>69</v>
      </c>
      <c r="K2786" s="58">
        <f t="shared" si="3"/>
        <v>1</v>
      </c>
      <c r="L2786" s="91" t="str">
        <f t="shared" si="8"/>
        <v>Fri</v>
      </c>
      <c r="M2786" s="78" t="str">
        <f>IFERROR(VLOOKUP(A2786, Entries!A:B,2,false),"")</f>
        <v>Bethesda Softworks</v>
      </c>
      <c r="N2786" s="23" t="str">
        <f>IFERROR(VLOOKUP(A2786, Entries!A:K,11,false),"")</f>
        <v/>
      </c>
      <c r="O2786" s="23" t="b">
        <f>IFERROR(VLOOKUP(A2786, Entries!A:I,8,false),"")</f>
        <v>1</v>
      </c>
    </row>
    <row r="2787">
      <c r="A2787" s="78" t="s">
        <v>2466</v>
      </c>
      <c r="B2787" s="78" t="s">
        <v>27</v>
      </c>
      <c r="C2787" s="85">
        <v>44967.0</v>
      </c>
      <c r="D2787" s="85">
        <v>44967.0</v>
      </c>
      <c r="E2787" s="86">
        <v>9.69</v>
      </c>
      <c r="F2787" s="87">
        <v>12.04</v>
      </c>
      <c r="G2787" s="88">
        <f t="shared" si="1"/>
        <v>2.35</v>
      </c>
      <c r="H2787" s="89">
        <f t="shared" si="10"/>
        <v>0.1951827243</v>
      </c>
      <c r="I2787" s="78" t="s">
        <v>3422</v>
      </c>
      <c r="J2787" s="78" t="s">
        <v>69</v>
      </c>
      <c r="K2787" s="58">
        <f t="shared" si="3"/>
        <v>0</v>
      </c>
      <c r="L2787" s="91" t="str">
        <f t="shared" si="8"/>
        <v>Fri</v>
      </c>
      <c r="M2787" s="78" t="str">
        <f>IFERROR(VLOOKUP(A2787, Entries!A:B,2,false),"")</f>
        <v>Bethesda Softworks</v>
      </c>
      <c r="N2787" s="23" t="str">
        <f>IFERROR(VLOOKUP(A2787, Entries!A:K,11,false),"")</f>
        <v/>
      </c>
      <c r="O2787" s="23" t="b">
        <f>IFERROR(VLOOKUP(A2787, Entries!A:I,8,false),"")</f>
        <v>1</v>
      </c>
    </row>
    <row r="2788">
      <c r="A2788" s="78" t="s">
        <v>3366</v>
      </c>
      <c r="B2788" s="78" t="s">
        <v>25</v>
      </c>
      <c r="C2788" s="85">
        <v>44967.0</v>
      </c>
      <c r="D2788" s="85">
        <v>44967.0</v>
      </c>
      <c r="E2788" s="86">
        <v>3.65</v>
      </c>
      <c r="F2788" s="87">
        <v>4.52</v>
      </c>
      <c r="G2788" s="88">
        <f t="shared" si="1"/>
        <v>0.87</v>
      </c>
      <c r="H2788" s="89">
        <f t="shared" si="10"/>
        <v>0.1924778761</v>
      </c>
      <c r="I2788" s="78" t="s">
        <v>3423</v>
      </c>
      <c r="J2788" s="78" t="s">
        <v>69</v>
      </c>
      <c r="K2788" s="58">
        <f t="shared" si="3"/>
        <v>0</v>
      </c>
      <c r="L2788" s="91" t="str">
        <f t="shared" si="8"/>
        <v>Fri</v>
      </c>
      <c r="M2788" s="78" t="str">
        <f>IFERROR(VLOOKUP(A2788, Entries!A:B,2,false),"")</f>
        <v>Sector D2</v>
      </c>
      <c r="N2788" s="23" t="str">
        <f>IFERROR(VLOOKUP(A2788, Entries!A:K,11,false),"")</f>
        <v/>
      </c>
      <c r="O2788" s="23" t="b">
        <f>IFERROR(VLOOKUP(A2788, Entries!A:I,8,false),"")</f>
        <v>0</v>
      </c>
    </row>
    <row r="2789">
      <c r="A2789" s="78" t="s">
        <v>2466</v>
      </c>
      <c r="B2789" s="78" t="s">
        <v>27</v>
      </c>
      <c r="C2789" s="85">
        <v>44967.0</v>
      </c>
      <c r="D2789" s="85">
        <v>44967.0</v>
      </c>
      <c r="E2789" s="86">
        <v>9.69</v>
      </c>
      <c r="F2789" s="87">
        <v>12.04</v>
      </c>
      <c r="G2789" s="88">
        <f t="shared" si="1"/>
        <v>2.35</v>
      </c>
      <c r="H2789" s="89">
        <f t="shared" si="10"/>
        <v>0.1951827243</v>
      </c>
      <c r="I2789" s="78" t="s">
        <v>3424</v>
      </c>
      <c r="J2789" s="78" t="s">
        <v>69</v>
      </c>
      <c r="K2789" s="58">
        <f t="shared" si="3"/>
        <v>0</v>
      </c>
      <c r="L2789" s="91" t="str">
        <f t="shared" si="8"/>
        <v>Fri</v>
      </c>
      <c r="M2789" s="78" t="str">
        <f>IFERROR(VLOOKUP(A2789, Entries!A:B,2,false),"")</f>
        <v>Bethesda Softworks</v>
      </c>
      <c r="N2789" s="23" t="str">
        <f>IFERROR(VLOOKUP(A2789, Entries!A:K,11,false),"")</f>
        <v/>
      </c>
      <c r="O2789" s="23" t="b">
        <f>IFERROR(VLOOKUP(A2789, Entries!A:I,8,false),"")</f>
        <v>1</v>
      </c>
    </row>
    <row r="2790">
      <c r="A2790" s="78" t="s">
        <v>2466</v>
      </c>
      <c r="B2790" s="78" t="s">
        <v>27</v>
      </c>
      <c r="C2790" s="85">
        <v>44967.0</v>
      </c>
      <c r="D2790" s="85">
        <v>44967.0</v>
      </c>
      <c r="E2790" s="86">
        <v>9.69</v>
      </c>
      <c r="F2790" s="87">
        <v>11.99</v>
      </c>
      <c r="G2790" s="88">
        <f t="shared" si="1"/>
        <v>2.3</v>
      </c>
      <c r="H2790" s="89">
        <f t="shared" si="10"/>
        <v>0.1918265221</v>
      </c>
      <c r="I2790" s="78" t="s">
        <v>3425</v>
      </c>
      <c r="J2790" s="78" t="s">
        <v>69</v>
      </c>
      <c r="K2790" s="58">
        <f t="shared" si="3"/>
        <v>0</v>
      </c>
      <c r="L2790" s="91" t="str">
        <f t="shared" si="8"/>
        <v>Fri</v>
      </c>
      <c r="M2790" s="78" t="str">
        <f>IFERROR(VLOOKUP(A2790, Entries!A:B,2,false),"")</f>
        <v>Bethesda Softworks</v>
      </c>
      <c r="N2790" s="23" t="str">
        <f>IFERROR(VLOOKUP(A2790, Entries!A:K,11,false),"")</f>
        <v/>
      </c>
      <c r="O2790" s="23" t="b">
        <f>IFERROR(VLOOKUP(A2790, Entries!A:I,8,false),"")</f>
        <v>1</v>
      </c>
    </row>
    <row r="2791">
      <c r="A2791" s="78" t="s">
        <v>2466</v>
      </c>
      <c r="B2791" s="78" t="s">
        <v>27</v>
      </c>
      <c r="C2791" s="85">
        <v>44967.0</v>
      </c>
      <c r="D2791" s="85">
        <v>44968.0</v>
      </c>
      <c r="E2791" s="86">
        <v>9.69</v>
      </c>
      <c r="F2791" s="87">
        <v>11.85</v>
      </c>
      <c r="G2791" s="88">
        <f t="shared" si="1"/>
        <v>2.16</v>
      </c>
      <c r="H2791" s="89">
        <f t="shared" si="10"/>
        <v>0.182278481</v>
      </c>
      <c r="I2791" s="78" t="s">
        <v>3426</v>
      </c>
      <c r="J2791" s="78" t="s">
        <v>69</v>
      </c>
      <c r="K2791" s="58">
        <f t="shared" si="3"/>
        <v>1</v>
      </c>
      <c r="L2791" s="91" t="str">
        <f t="shared" si="8"/>
        <v>Sat</v>
      </c>
      <c r="M2791" s="78" t="str">
        <f>IFERROR(VLOOKUP(A2791, Entries!A:B,2,false),"")</f>
        <v>Bethesda Softworks</v>
      </c>
      <c r="N2791" s="23" t="str">
        <f>IFERROR(VLOOKUP(A2791, Entries!A:K,11,false),"")</f>
        <v/>
      </c>
      <c r="O2791" s="23" t="b">
        <f>IFERROR(VLOOKUP(A2791, Entries!A:I,8,false),"")</f>
        <v>1</v>
      </c>
    </row>
    <row r="2792">
      <c r="A2792" s="78" t="s">
        <v>2466</v>
      </c>
      <c r="B2792" s="78" t="s">
        <v>27</v>
      </c>
      <c r="C2792" s="85">
        <v>44967.0</v>
      </c>
      <c r="D2792" s="85">
        <v>44968.0</v>
      </c>
      <c r="E2792" s="86">
        <v>9.69</v>
      </c>
      <c r="F2792" s="87">
        <v>11.85</v>
      </c>
      <c r="G2792" s="88">
        <f t="shared" si="1"/>
        <v>2.16</v>
      </c>
      <c r="H2792" s="89">
        <f t="shared" si="10"/>
        <v>0.182278481</v>
      </c>
      <c r="I2792" s="78" t="s">
        <v>3427</v>
      </c>
      <c r="J2792" s="78" t="s">
        <v>69</v>
      </c>
      <c r="K2792" s="58">
        <f t="shared" si="3"/>
        <v>1</v>
      </c>
      <c r="L2792" s="91" t="str">
        <f t="shared" si="8"/>
        <v>Sat</v>
      </c>
      <c r="M2792" s="78" t="str">
        <f>IFERROR(VLOOKUP(A2792, Entries!A:B,2,false),"")</f>
        <v>Bethesda Softworks</v>
      </c>
      <c r="N2792" s="23" t="str">
        <f>IFERROR(VLOOKUP(A2792, Entries!A:K,11,false),"")</f>
        <v/>
      </c>
      <c r="O2792" s="23" t="b">
        <f>IFERROR(VLOOKUP(A2792, Entries!A:I,8,false),"")</f>
        <v>1</v>
      </c>
    </row>
    <row r="2793">
      <c r="A2793" s="78" t="s">
        <v>3366</v>
      </c>
      <c r="B2793" s="78" t="s">
        <v>25</v>
      </c>
      <c r="C2793" s="85">
        <v>44967.0</v>
      </c>
      <c r="D2793" s="85">
        <v>44968.0</v>
      </c>
      <c r="E2793" s="86">
        <v>3.65</v>
      </c>
      <c r="F2793" s="87">
        <v>4.52</v>
      </c>
      <c r="G2793" s="88">
        <f t="shared" si="1"/>
        <v>0.87</v>
      </c>
      <c r="H2793" s="89">
        <f t="shared" si="10"/>
        <v>0.1924778761</v>
      </c>
      <c r="I2793" s="78" t="s">
        <v>3428</v>
      </c>
      <c r="J2793" s="78" t="s">
        <v>69</v>
      </c>
      <c r="K2793" s="58">
        <f t="shared" si="3"/>
        <v>1</v>
      </c>
      <c r="L2793" s="91" t="str">
        <f t="shared" si="8"/>
        <v>Sat</v>
      </c>
      <c r="M2793" s="78" t="str">
        <f>IFERROR(VLOOKUP(A2793, Entries!A:B,2,false),"")</f>
        <v>Sector D2</v>
      </c>
      <c r="N2793" s="23" t="str">
        <f>IFERROR(VLOOKUP(A2793, Entries!A:K,11,false),"")</f>
        <v/>
      </c>
      <c r="O2793" s="23" t="b">
        <f>IFERROR(VLOOKUP(A2793, Entries!A:I,8,false),"")</f>
        <v>0</v>
      </c>
    </row>
    <row r="2794">
      <c r="A2794" s="78" t="s">
        <v>3366</v>
      </c>
      <c r="B2794" s="78" t="s">
        <v>25</v>
      </c>
      <c r="C2794" s="85">
        <v>44967.0</v>
      </c>
      <c r="D2794" s="85">
        <v>44968.0</v>
      </c>
      <c r="E2794" s="86">
        <v>3.65</v>
      </c>
      <c r="F2794" s="87">
        <v>4.5</v>
      </c>
      <c r="G2794" s="88">
        <f t="shared" si="1"/>
        <v>0.85</v>
      </c>
      <c r="H2794" s="89">
        <f t="shared" si="10"/>
        <v>0.1888888889</v>
      </c>
      <c r="I2794" s="78" t="s">
        <v>3429</v>
      </c>
      <c r="J2794" s="78" t="s">
        <v>69</v>
      </c>
      <c r="K2794" s="58">
        <f t="shared" si="3"/>
        <v>1</v>
      </c>
      <c r="L2794" s="91" t="str">
        <f t="shared" si="8"/>
        <v>Sat</v>
      </c>
      <c r="M2794" s="78" t="str">
        <f>IFERROR(VLOOKUP(A2794, Entries!A:B,2,false),"")</f>
        <v>Sector D2</v>
      </c>
      <c r="N2794" s="23" t="str">
        <f>IFERROR(VLOOKUP(A2794, Entries!A:K,11,false),"")</f>
        <v/>
      </c>
      <c r="O2794" s="23" t="b">
        <f>IFERROR(VLOOKUP(A2794, Entries!A:I,8,false),"")</f>
        <v>0</v>
      </c>
    </row>
    <row r="2795">
      <c r="A2795" s="78" t="s">
        <v>3430</v>
      </c>
      <c r="B2795" s="78" t="s">
        <v>25</v>
      </c>
      <c r="C2795" s="85">
        <v>44967.0</v>
      </c>
      <c r="D2795" s="85">
        <v>44969.0</v>
      </c>
      <c r="E2795" s="86">
        <v>6.73</v>
      </c>
      <c r="F2795" s="87">
        <v>10.87</v>
      </c>
      <c r="G2795" s="88">
        <f t="shared" si="1"/>
        <v>4.14</v>
      </c>
      <c r="H2795" s="89">
        <f t="shared" si="10"/>
        <v>0.3808647654</v>
      </c>
      <c r="I2795" s="78" t="s">
        <v>3431</v>
      </c>
      <c r="J2795" s="78" t="s">
        <v>69</v>
      </c>
      <c r="K2795" s="58">
        <f t="shared" si="3"/>
        <v>2</v>
      </c>
      <c r="L2795" s="91" t="str">
        <f t="shared" si="8"/>
        <v>Sun</v>
      </c>
      <c r="M2795" s="78" t="str">
        <f>IFERROR(VLOOKUP(A2795, Entries!A:B,2,false),"")</f>
        <v>HandyGames</v>
      </c>
      <c r="N2795" s="23" t="str">
        <f>IFERROR(VLOOKUP(A2795, Entries!A:K,11,false),"")</f>
        <v/>
      </c>
      <c r="O2795" s="23" t="b">
        <f>IFERROR(VLOOKUP(A2795, Entries!A:I,8,false),"")</f>
        <v>0</v>
      </c>
    </row>
    <row r="2796">
      <c r="A2796" s="78" t="s">
        <v>3432</v>
      </c>
      <c r="B2796" s="78" t="s">
        <v>22</v>
      </c>
      <c r="C2796" s="85">
        <v>44967.0</v>
      </c>
      <c r="D2796" s="85">
        <v>44971.0</v>
      </c>
      <c r="E2796" s="86">
        <v>6.66</v>
      </c>
      <c r="F2796" s="87">
        <v>11.69</v>
      </c>
      <c r="G2796" s="88">
        <f t="shared" si="1"/>
        <v>5.03</v>
      </c>
      <c r="H2796" s="89">
        <f t="shared" si="10"/>
        <v>0.4302822926</v>
      </c>
      <c r="I2796" s="78" t="s">
        <v>3433</v>
      </c>
      <c r="J2796" s="78" t="s">
        <v>69</v>
      </c>
      <c r="K2796" s="58">
        <f t="shared" si="3"/>
        <v>4</v>
      </c>
      <c r="L2796" s="91" t="str">
        <f t="shared" si="8"/>
        <v>Tue</v>
      </c>
      <c r="M2796" s="78" t="str">
        <f>IFERROR(VLOOKUP(A2796, Entries!A:B,2,false),"")</f>
        <v>Mega Crit Games</v>
      </c>
      <c r="N2796" s="23" t="str">
        <f>IFERROR(VLOOKUP(A2796, Entries!A:K,11,false),"")</f>
        <v/>
      </c>
      <c r="O2796" s="23" t="b">
        <f>IFERROR(VLOOKUP(A2796, Entries!A:I,8,false),"")</f>
        <v>0</v>
      </c>
    </row>
    <row r="2797">
      <c r="A2797" s="78" t="s">
        <v>2466</v>
      </c>
      <c r="B2797" s="78" t="s">
        <v>27</v>
      </c>
      <c r="C2797" s="85">
        <v>44968.0</v>
      </c>
      <c r="D2797" s="85">
        <v>44968.0</v>
      </c>
      <c r="E2797" s="86">
        <v>9.69</v>
      </c>
      <c r="F2797" s="87">
        <v>11.85</v>
      </c>
      <c r="G2797" s="88">
        <f t="shared" si="1"/>
        <v>2.16</v>
      </c>
      <c r="H2797" s="89">
        <f t="shared" si="10"/>
        <v>0.182278481</v>
      </c>
      <c r="I2797" s="78" t="s">
        <v>3434</v>
      </c>
      <c r="J2797" s="78" t="s">
        <v>69</v>
      </c>
      <c r="K2797" s="58">
        <f t="shared" si="3"/>
        <v>0</v>
      </c>
      <c r="L2797" s="91" t="str">
        <f t="shared" si="8"/>
        <v>Sat</v>
      </c>
      <c r="M2797" s="78" t="str">
        <f>IFERROR(VLOOKUP(A2797, Entries!A:B,2,false),"")</f>
        <v>Bethesda Softworks</v>
      </c>
      <c r="N2797" s="23" t="str">
        <f>IFERROR(VLOOKUP(A2797, Entries!A:K,11,false),"")</f>
        <v/>
      </c>
    </row>
    <row r="2798">
      <c r="A2798" s="78" t="s">
        <v>2466</v>
      </c>
      <c r="B2798" s="78" t="s">
        <v>27</v>
      </c>
      <c r="C2798" s="85">
        <v>44968.0</v>
      </c>
      <c r="D2798" s="85">
        <v>44968.0</v>
      </c>
      <c r="E2798" s="86">
        <v>9.69</v>
      </c>
      <c r="F2798" s="87">
        <v>11.77</v>
      </c>
      <c r="G2798" s="88">
        <f t="shared" si="1"/>
        <v>2.08</v>
      </c>
      <c r="H2798" s="89">
        <f t="shared" si="10"/>
        <v>0.1767204758</v>
      </c>
      <c r="I2798" s="78" t="s">
        <v>3435</v>
      </c>
      <c r="J2798" s="78" t="s">
        <v>69</v>
      </c>
      <c r="K2798" s="58">
        <f t="shared" si="3"/>
        <v>0</v>
      </c>
      <c r="L2798" s="91" t="str">
        <f t="shared" si="8"/>
        <v>Sat</v>
      </c>
      <c r="M2798" s="78" t="str">
        <f>IFERROR(VLOOKUP(A2798, Entries!A:B,2,false),"")</f>
        <v>Bethesda Softworks</v>
      </c>
      <c r="N2798" s="23" t="str">
        <f>IFERROR(VLOOKUP(A2798, Entries!A:K,11,false),"")</f>
        <v/>
      </c>
    </row>
    <row r="2799">
      <c r="A2799" s="78" t="s">
        <v>2466</v>
      </c>
      <c r="B2799" s="78" t="s">
        <v>27</v>
      </c>
      <c r="C2799" s="85">
        <v>44968.0</v>
      </c>
      <c r="D2799" s="85">
        <v>44968.0</v>
      </c>
      <c r="E2799" s="86">
        <v>9.69</v>
      </c>
      <c r="F2799" s="87">
        <v>11.77</v>
      </c>
      <c r="G2799" s="88">
        <f t="shared" si="1"/>
        <v>2.08</v>
      </c>
      <c r="H2799" s="89">
        <f t="shared" si="10"/>
        <v>0.1767204758</v>
      </c>
      <c r="I2799" s="78" t="s">
        <v>3436</v>
      </c>
      <c r="J2799" s="78" t="s">
        <v>69</v>
      </c>
      <c r="K2799" s="58">
        <f t="shared" si="3"/>
        <v>0</v>
      </c>
      <c r="L2799" s="91" t="str">
        <f t="shared" si="8"/>
        <v>Sat</v>
      </c>
      <c r="M2799" s="78" t="str">
        <f>IFERROR(VLOOKUP(A2799, Entries!A:B,2,false),"")</f>
        <v>Bethesda Softworks</v>
      </c>
      <c r="N2799" s="23" t="str">
        <f>IFERROR(VLOOKUP(A2799, Entries!A:K,11,false),"")</f>
        <v/>
      </c>
    </row>
    <row r="2800">
      <c r="A2800" s="78" t="s">
        <v>3366</v>
      </c>
      <c r="B2800" s="78" t="s">
        <v>25</v>
      </c>
      <c r="C2800" s="85">
        <v>44968.0</v>
      </c>
      <c r="D2800" s="85">
        <v>44969.0</v>
      </c>
      <c r="E2800" s="86">
        <v>3.63</v>
      </c>
      <c r="F2800" s="87">
        <v>4.52</v>
      </c>
      <c r="G2800" s="88">
        <f t="shared" si="1"/>
        <v>0.89</v>
      </c>
      <c r="H2800" s="89">
        <f t="shared" si="10"/>
        <v>0.1969026549</v>
      </c>
      <c r="I2800" s="78" t="s">
        <v>3437</v>
      </c>
      <c r="J2800" s="78" t="s">
        <v>69</v>
      </c>
      <c r="K2800" s="58">
        <f t="shared" si="3"/>
        <v>1</v>
      </c>
      <c r="L2800" s="91" t="str">
        <f t="shared" si="8"/>
        <v>Sun</v>
      </c>
      <c r="M2800" s="78" t="str">
        <f>IFERROR(VLOOKUP(A2800, Entries!A:B,2,false),"")</f>
        <v>Sector D2</v>
      </c>
      <c r="N2800" s="23" t="str">
        <f>IFERROR(VLOOKUP(A2800, Entries!A:K,11,false),"")</f>
        <v/>
      </c>
    </row>
    <row r="2801">
      <c r="A2801" s="78" t="s">
        <v>3366</v>
      </c>
      <c r="B2801" s="78" t="s">
        <v>25</v>
      </c>
      <c r="C2801" s="85">
        <v>44968.0</v>
      </c>
      <c r="D2801" s="85">
        <v>44969.0</v>
      </c>
      <c r="E2801" s="86">
        <v>3.63</v>
      </c>
      <c r="F2801" s="87">
        <v>4.52</v>
      </c>
      <c r="G2801" s="88">
        <f t="shared" si="1"/>
        <v>0.89</v>
      </c>
      <c r="H2801" s="89">
        <f t="shared" si="10"/>
        <v>0.1969026549</v>
      </c>
      <c r="I2801" s="78" t="s">
        <v>3438</v>
      </c>
      <c r="J2801" s="78" t="s">
        <v>69</v>
      </c>
      <c r="K2801" s="58">
        <f t="shared" si="3"/>
        <v>1</v>
      </c>
      <c r="L2801" s="91" t="str">
        <f t="shared" si="8"/>
        <v>Sun</v>
      </c>
      <c r="M2801" s="78" t="str">
        <f>IFERROR(VLOOKUP(A2801, Entries!A:B,2,false),"")</f>
        <v>Sector D2</v>
      </c>
      <c r="N2801" s="23" t="str">
        <f>IFERROR(VLOOKUP(A2801, Entries!A:K,11,false),"")</f>
        <v/>
      </c>
    </row>
    <row r="2802">
      <c r="A2802" s="78" t="s">
        <v>3144</v>
      </c>
      <c r="B2802" s="78" t="s">
        <v>27</v>
      </c>
      <c r="C2802" s="85">
        <v>44968.0</v>
      </c>
      <c r="D2802" s="85">
        <v>44971.0</v>
      </c>
      <c r="E2802" s="86">
        <v>17.09</v>
      </c>
      <c r="F2802" s="87">
        <v>21.13</v>
      </c>
      <c r="G2802" s="88">
        <f t="shared" si="1"/>
        <v>4.04</v>
      </c>
      <c r="H2802" s="89">
        <f t="shared" si="10"/>
        <v>0.1911973497</v>
      </c>
      <c r="I2802" s="78" t="s">
        <v>3439</v>
      </c>
      <c r="J2802" s="78" t="s">
        <v>69</v>
      </c>
      <c r="K2802" s="58">
        <f t="shared" si="3"/>
        <v>3</v>
      </c>
      <c r="L2802" s="91" t="str">
        <f t="shared" si="8"/>
        <v>Tue</v>
      </c>
      <c r="M2802" s="78" t="str">
        <f>IFERROR(VLOOKUP(A2802, Entries!A:B,2,false),"")</f>
        <v>Bethesda Softworks</v>
      </c>
      <c r="N2802" s="23" t="str">
        <f>IFERROR(VLOOKUP(A2802, Entries!A:K,11,false),"")</f>
        <v/>
      </c>
    </row>
    <row r="2803">
      <c r="A2803" s="78" t="s">
        <v>2466</v>
      </c>
      <c r="B2803" s="78" t="s">
        <v>27</v>
      </c>
      <c r="C2803" s="85">
        <v>44968.0</v>
      </c>
      <c r="D2803" s="85">
        <v>44968.0</v>
      </c>
      <c r="E2803" s="86">
        <v>9.69</v>
      </c>
      <c r="F2803" s="87">
        <v>11.77</v>
      </c>
      <c r="G2803" s="88">
        <f t="shared" si="1"/>
        <v>2.08</v>
      </c>
      <c r="H2803" s="89">
        <f t="shared" si="10"/>
        <v>0.1767204758</v>
      </c>
      <c r="I2803" s="78" t="s">
        <v>3440</v>
      </c>
      <c r="J2803" s="78" t="s">
        <v>69</v>
      </c>
      <c r="K2803" s="58">
        <f t="shared" si="3"/>
        <v>0</v>
      </c>
      <c r="L2803" s="91" t="str">
        <f t="shared" si="8"/>
        <v>Sat</v>
      </c>
      <c r="M2803" s="78" t="str">
        <f>IFERROR(VLOOKUP(A2803, Entries!A:B,2,false),"")</f>
        <v>Bethesda Softworks</v>
      </c>
      <c r="N2803" s="23" t="str">
        <f>IFERROR(VLOOKUP(A2803, Entries!A:K,11,false),"")</f>
        <v/>
      </c>
    </row>
    <row r="2804">
      <c r="A2804" s="78" t="s">
        <v>2466</v>
      </c>
      <c r="B2804" s="78" t="s">
        <v>27</v>
      </c>
      <c r="C2804" s="85">
        <v>44968.0</v>
      </c>
      <c r="D2804" s="85">
        <v>44968.0</v>
      </c>
      <c r="E2804" s="86">
        <v>9.69</v>
      </c>
      <c r="F2804" s="87">
        <v>11.77</v>
      </c>
      <c r="G2804" s="88">
        <f t="shared" si="1"/>
        <v>2.08</v>
      </c>
      <c r="H2804" s="89">
        <f t="shared" si="10"/>
        <v>0.1767204758</v>
      </c>
      <c r="I2804" s="78" t="s">
        <v>3441</v>
      </c>
      <c r="J2804" s="78" t="s">
        <v>69</v>
      </c>
      <c r="K2804" s="58">
        <f t="shared" si="3"/>
        <v>0</v>
      </c>
      <c r="L2804" s="91" t="str">
        <f t="shared" si="8"/>
        <v>Sat</v>
      </c>
      <c r="M2804" s="78" t="str">
        <f>IFERROR(VLOOKUP(A2804, Entries!A:B,2,false),"")</f>
        <v>Bethesda Softworks</v>
      </c>
      <c r="N2804" s="23" t="str">
        <f>IFERROR(VLOOKUP(A2804, Entries!A:K,11,false),"")</f>
        <v/>
      </c>
    </row>
    <row r="2805">
      <c r="A2805" s="78" t="s">
        <v>2466</v>
      </c>
      <c r="B2805" s="78" t="s">
        <v>27</v>
      </c>
      <c r="C2805" s="85">
        <v>44968.0</v>
      </c>
      <c r="D2805" s="85">
        <v>44968.0</v>
      </c>
      <c r="E2805" s="86">
        <v>9.69</v>
      </c>
      <c r="F2805" s="87">
        <v>11.77</v>
      </c>
      <c r="G2805" s="88">
        <f t="shared" si="1"/>
        <v>2.08</v>
      </c>
      <c r="H2805" s="89">
        <f t="shared" si="10"/>
        <v>0.1767204758</v>
      </c>
      <c r="I2805" s="78" t="s">
        <v>3442</v>
      </c>
      <c r="J2805" s="78" t="s">
        <v>69</v>
      </c>
      <c r="K2805" s="58">
        <f t="shared" si="3"/>
        <v>0</v>
      </c>
      <c r="L2805" s="91" t="str">
        <f t="shared" si="8"/>
        <v>Sat</v>
      </c>
      <c r="M2805" s="78" t="str">
        <f>IFERROR(VLOOKUP(A2805, Entries!A:B,2,false),"")</f>
        <v>Bethesda Softworks</v>
      </c>
      <c r="N2805" s="23" t="str">
        <f>IFERROR(VLOOKUP(A2805, Entries!A:K,11,false),"")</f>
        <v/>
      </c>
    </row>
    <row r="2806">
      <c r="A2806" s="78" t="s">
        <v>2466</v>
      </c>
      <c r="B2806" s="78" t="s">
        <v>27</v>
      </c>
      <c r="C2806" s="85">
        <v>44968.0</v>
      </c>
      <c r="D2806" s="85">
        <v>44969.0</v>
      </c>
      <c r="E2806" s="86">
        <v>9.69</v>
      </c>
      <c r="F2806" s="87">
        <v>11.77</v>
      </c>
      <c r="G2806" s="88">
        <f t="shared" si="1"/>
        <v>2.08</v>
      </c>
      <c r="H2806" s="89">
        <f t="shared" si="10"/>
        <v>0.1767204758</v>
      </c>
      <c r="I2806" s="78" t="s">
        <v>3443</v>
      </c>
      <c r="J2806" s="78" t="s">
        <v>69</v>
      </c>
      <c r="K2806" s="58">
        <f t="shared" si="3"/>
        <v>1</v>
      </c>
      <c r="L2806" s="91" t="str">
        <f t="shared" si="8"/>
        <v>Sun</v>
      </c>
      <c r="M2806" s="78" t="str">
        <f>IFERROR(VLOOKUP(A2806, Entries!A:B,2,false),"")</f>
        <v>Bethesda Softworks</v>
      </c>
      <c r="N2806" s="23" t="str">
        <f>IFERROR(VLOOKUP(A2806, Entries!A:K,11,false),"")</f>
        <v/>
      </c>
    </row>
    <row r="2807">
      <c r="A2807" s="78" t="s">
        <v>2466</v>
      </c>
      <c r="B2807" s="78" t="s">
        <v>27</v>
      </c>
      <c r="C2807" s="85">
        <v>44969.0</v>
      </c>
      <c r="D2807" s="85">
        <v>44969.0</v>
      </c>
      <c r="E2807" s="86">
        <v>9.69</v>
      </c>
      <c r="F2807" s="87">
        <v>11.79</v>
      </c>
      <c r="G2807" s="88">
        <f t="shared" si="1"/>
        <v>2.1</v>
      </c>
      <c r="H2807" s="89">
        <f t="shared" si="10"/>
        <v>0.1781170483</v>
      </c>
      <c r="I2807" s="78" t="s">
        <v>3444</v>
      </c>
      <c r="J2807" s="78" t="s">
        <v>69</v>
      </c>
      <c r="K2807" s="58">
        <f t="shared" si="3"/>
        <v>0</v>
      </c>
      <c r="L2807" s="91" t="str">
        <f t="shared" si="8"/>
        <v>Sun</v>
      </c>
      <c r="M2807" s="78" t="str">
        <f>IFERROR(VLOOKUP(A2807, Entries!A:B,2,false),"")</f>
        <v>Bethesda Softworks</v>
      </c>
      <c r="N2807" s="23" t="str">
        <f>IFERROR(VLOOKUP(A2807, Entries!A:K,11,false),"")</f>
        <v/>
      </c>
    </row>
    <row r="2808">
      <c r="A2808" s="78" t="s">
        <v>2466</v>
      </c>
      <c r="B2808" s="78" t="s">
        <v>27</v>
      </c>
      <c r="C2808" s="85">
        <v>44969.0</v>
      </c>
      <c r="D2808" s="85">
        <v>44969.0</v>
      </c>
      <c r="E2808" s="86">
        <v>9.69</v>
      </c>
      <c r="F2808" s="87">
        <v>11.76</v>
      </c>
      <c r="G2808" s="88">
        <f t="shared" si="1"/>
        <v>2.07</v>
      </c>
      <c r="H2808" s="89">
        <f t="shared" si="10"/>
        <v>0.1760204082</v>
      </c>
      <c r="I2808" s="78" t="s">
        <v>3445</v>
      </c>
      <c r="J2808" s="78" t="s">
        <v>69</v>
      </c>
      <c r="K2808" s="58">
        <f t="shared" si="3"/>
        <v>0</v>
      </c>
      <c r="L2808" s="91" t="str">
        <f t="shared" si="8"/>
        <v>Sun</v>
      </c>
      <c r="M2808" s="78" t="str">
        <f>IFERROR(VLOOKUP(A2808, Entries!A:B,2,false),"")</f>
        <v>Bethesda Softworks</v>
      </c>
      <c r="N2808" s="23" t="str">
        <f>IFERROR(VLOOKUP(A2808, Entries!A:K,11,false),"")</f>
        <v/>
      </c>
    </row>
    <row r="2809">
      <c r="A2809" s="78" t="s">
        <v>2466</v>
      </c>
      <c r="B2809" s="78" t="s">
        <v>27</v>
      </c>
      <c r="C2809" s="85">
        <v>44969.0</v>
      </c>
      <c r="D2809" s="85">
        <v>44969.0</v>
      </c>
      <c r="E2809" s="86">
        <v>9.69</v>
      </c>
      <c r="F2809" s="87">
        <v>11.76</v>
      </c>
      <c r="G2809" s="88">
        <f t="shared" si="1"/>
        <v>2.07</v>
      </c>
      <c r="H2809" s="89">
        <f t="shared" si="10"/>
        <v>0.1760204082</v>
      </c>
      <c r="I2809" s="78" t="s">
        <v>3446</v>
      </c>
      <c r="J2809" s="78" t="s">
        <v>69</v>
      </c>
      <c r="K2809" s="58">
        <f t="shared" si="3"/>
        <v>0</v>
      </c>
      <c r="L2809" s="91" t="str">
        <f t="shared" si="8"/>
        <v>Sun</v>
      </c>
      <c r="M2809" s="78" t="str">
        <f>IFERROR(VLOOKUP(A2809, Entries!A:B,2,false),"")</f>
        <v>Bethesda Softworks</v>
      </c>
      <c r="N2809" s="23" t="str">
        <f>IFERROR(VLOOKUP(A2809, Entries!A:K,11,false),"")</f>
        <v/>
      </c>
    </row>
    <row r="2810">
      <c r="A2810" s="78" t="s">
        <v>2466</v>
      </c>
      <c r="B2810" s="78" t="s">
        <v>27</v>
      </c>
      <c r="C2810" s="85">
        <v>44969.0</v>
      </c>
      <c r="D2810" s="85">
        <v>44969.0</v>
      </c>
      <c r="E2810" s="86">
        <v>9.69</v>
      </c>
      <c r="F2810" s="87">
        <v>11.76</v>
      </c>
      <c r="G2810" s="88">
        <f t="shared" si="1"/>
        <v>2.07</v>
      </c>
      <c r="H2810" s="89">
        <f t="shared" si="10"/>
        <v>0.1760204082</v>
      </c>
      <c r="I2810" s="78" t="s">
        <v>3447</v>
      </c>
      <c r="J2810" s="78" t="s">
        <v>69</v>
      </c>
      <c r="K2810" s="58">
        <f t="shared" si="3"/>
        <v>0</v>
      </c>
      <c r="L2810" s="91" t="str">
        <f t="shared" si="8"/>
        <v>Sun</v>
      </c>
      <c r="M2810" s="78" t="str">
        <f>IFERROR(VLOOKUP(A2810, Entries!A:B,2,false),"")</f>
        <v>Bethesda Softworks</v>
      </c>
      <c r="N2810" s="23" t="str">
        <f>IFERROR(VLOOKUP(A2810, Entries!A:K,11,false),"")</f>
        <v/>
      </c>
    </row>
    <row r="2811">
      <c r="A2811" s="78" t="s">
        <v>2466</v>
      </c>
      <c r="B2811" s="78" t="s">
        <v>27</v>
      </c>
      <c r="C2811" s="85">
        <v>44969.0</v>
      </c>
      <c r="D2811" s="85">
        <v>44970.0</v>
      </c>
      <c r="E2811" s="86">
        <v>9.69</v>
      </c>
      <c r="F2811" s="87">
        <v>11.74</v>
      </c>
      <c r="G2811" s="88">
        <f t="shared" si="1"/>
        <v>2.05</v>
      </c>
      <c r="H2811" s="89">
        <f t="shared" si="10"/>
        <v>0.1746166951</v>
      </c>
      <c r="I2811" s="78" t="s">
        <v>3448</v>
      </c>
      <c r="J2811" s="78" t="s">
        <v>69</v>
      </c>
      <c r="K2811" s="58">
        <f t="shared" si="3"/>
        <v>1</v>
      </c>
      <c r="L2811" s="91" t="str">
        <f t="shared" si="8"/>
        <v>Mon</v>
      </c>
      <c r="M2811" s="78" t="str">
        <f>IFERROR(VLOOKUP(A2811, Entries!A:B,2,false),"")</f>
        <v>Bethesda Softworks</v>
      </c>
      <c r="N2811" s="23" t="str">
        <f>IFERROR(VLOOKUP(A2811, Entries!A:K,11,false),"")</f>
        <v/>
      </c>
    </row>
    <row r="2812">
      <c r="A2812" s="78" t="s">
        <v>2466</v>
      </c>
      <c r="B2812" s="78" t="s">
        <v>27</v>
      </c>
      <c r="C2812" s="85">
        <v>44969.0</v>
      </c>
      <c r="D2812" s="85">
        <v>44970.0</v>
      </c>
      <c r="E2812" s="86">
        <v>9.69</v>
      </c>
      <c r="F2812" s="87">
        <v>11.74</v>
      </c>
      <c r="G2812" s="88">
        <f t="shared" si="1"/>
        <v>2.05</v>
      </c>
      <c r="H2812" s="89">
        <f t="shared" si="10"/>
        <v>0.1746166951</v>
      </c>
      <c r="I2812" s="78" t="s">
        <v>3449</v>
      </c>
      <c r="J2812" s="78" t="s">
        <v>69</v>
      </c>
      <c r="K2812" s="58">
        <f t="shared" si="3"/>
        <v>1</v>
      </c>
      <c r="L2812" s="91" t="str">
        <f t="shared" si="8"/>
        <v>Mon</v>
      </c>
      <c r="M2812" s="78" t="str">
        <f>IFERROR(VLOOKUP(A2812, Entries!A:B,2,false),"")</f>
        <v>Bethesda Softworks</v>
      </c>
      <c r="N2812" s="23" t="str">
        <f>IFERROR(VLOOKUP(A2812, Entries!A:K,11,false),"")</f>
        <v/>
      </c>
    </row>
    <row r="2813">
      <c r="A2813" s="78" t="s">
        <v>3430</v>
      </c>
      <c r="B2813" s="78" t="s">
        <v>25</v>
      </c>
      <c r="C2813" s="85">
        <v>44969.0</v>
      </c>
      <c r="D2813" s="85">
        <v>44975.0</v>
      </c>
      <c r="E2813" s="86">
        <v>6.63</v>
      </c>
      <c r="F2813" s="87">
        <v>10.04</v>
      </c>
      <c r="G2813" s="88">
        <f t="shared" si="1"/>
        <v>3.41</v>
      </c>
      <c r="H2813" s="89">
        <f t="shared" si="10"/>
        <v>0.3396414343</v>
      </c>
      <c r="I2813" s="78" t="s">
        <v>3450</v>
      </c>
      <c r="J2813" s="78" t="s">
        <v>69</v>
      </c>
      <c r="K2813" s="58">
        <f t="shared" si="3"/>
        <v>6</v>
      </c>
      <c r="L2813" s="91" t="str">
        <f t="shared" si="8"/>
        <v>Sat</v>
      </c>
      <c r="M2813" s="78" t="str">
        <f>IFERROR(VLOOKUP(A2813, Entries!A:B,2,false),"")</f>
        <v>HandyGames</v>
      </c>
      <c r="N2813" s="23" t="str">
        <f>IFERROR(VLOOKUP(A2813, Entries!A:K,11,false),"")</f>
        <v/>
      </c>
      <c r="O2813" s="23" t="b">
        <f>IFERROR(VLOOKUP(A2813, Entries!A:I,8,false),"")</f>
        <v>0</v>
      </c>
    </row>
    <row r="2814">
      <c r="A2814" s="78" t="s">
        <v>3366</v>
      </c>
      <c r="B2814" s="78" t="s">
        <v>25</v>
      </c>
      <c r="C2814" s="85">
        <v>44970.0</v>
      </c>
      <c r="D2814" s="85">
        <v>44970.0</v>
      </c>
      <c r="E2814" s="86">
        <v>3.63</v>
      </c>
      <c r="F2814" s="87">
        <v>4.52</v>
      </c>
      <c r="G2814" s="88">
        <f t="shared" si="1"/>
        <v>0.89</v>
      </c>
      <c r="H2814" s="89">
        <f t="shared" si="10"/>
        <v>0.1969026549</v>
      </c>
      <c r="I2814" s="78" t="s">
        <v>3451</v>
      </c>
      <c r="J2814" s="78" t="s">
        <v>69</v>
      </c>
      <c r="K2814" s="58">
        <f t="shared" si="3"/>
        <v>0</v>
      </c>
      <c r="L2814" s="91" t="str">
        <f t="shared" si="8"/>
        <v>Mon</v>
      </c>
      <c r="M2814" s="78" t="str">
        <f>IFERROR(VLOOKUP(A2814, Entries!A:B,2,false),"")</f>
        <v>Sector D2</v>
      </c>
      <c r="N2814" s="23" t="str">
        <f>IFERROR(VLOOKUP(A2814, Entries!A:K,11,false),"")</f>
        <v/>
      </c>
    </row>
    <row r="2815">
      <c r="A2815" s="78" t="s">
        <v>3366</v>
      </c>
      <c r="B2815" s="78" t="s">
        <v>25</v>
      </c>
      <c r="C2815" s="85">
        <v>44970.0</v>
      </c>
      <c r="D2815" s="85">
        <v>44971.0</v>
      </c>
      <c r="E2815" s="86">
        <v>3.63</v>
      </c>
      <c r="F2815" s="87">
        <v>4.52</v>
      </c>
      <c r="G2815" s="88">
        <f t="shared" si="1"/>
        <v>0.89</v>
      </c>
      <c r="H2815" s="89">
        <f t="shared" si="10"/>
        <v>0.1969026549</v>
      </c>
      <c r="I2815" s="78" t="s">
        <v>3452</v>
      </c>
      <c r="J2815" s="78" t="s">
        <v>69</v>
      </c>
      <c r="K2815" s="58">
        <f t="shared" si="3"/>
        <v>1</v>
      </c>
      <c r="L2815" s="91" t="str">
        <f t="shared" si="8"/>
        <v>Tue</v>
      </c>
      <c r="M2815" s="78" t="str">
        <f>IFERROR(VLOOKUP(A2815, Entries!A:B,2,false),"")</f>
        <v>Sector D2</v>
      </c>
      <c r="N2815" s="23" t="str">
        <f>IFERROR(VLOOKUP(A2815, Entries!A:K,11,false),"")</f>
        <v/>
      </c>
    </row>
    <row r="2816">
      <c r="A2816" s="78" t="s">
        <v>2466</v>
      </c>
      <c r="B2816" s="78" t="s">
        <v>27</v>
      </c>
      <c r="C2816" s="85">
        <v>44970.0</v>
      </c>
      <c r="D2816" s="85">
        <v>44971.0</v>
      </c>
      <c r="E2816" s="86">
        <v>9.69</v>
      </c>
      <c r="F2816" s="87">
        <v>11.7</v>
      </c>
      <c r="G2816" s="88">
        <f t="shared" si="1"/>
        <v>2.01</v>
      </c>
      <c r="H2816" s="89">
        <f t="shared" si="10"/>
        <v>0.1717948718</v>
      </c>
      <c r="I2816" s="78" t="s">
        <v>3453</v>
      </c>
      <c r="J2816" s="78" t="s">
        <v>69</v>
      </c>
      <c r="K2816" s="58">
        <f t="shared" si="3"/>
        <v>1</v>
      </c>
      <c r="L2816" s="91" t="str">
        <f t="shared" si="8"/>
        <v>Tue</v>
      </c>
      <c r="M2816" s="78" t="str">
        <f>IFERROR(VLOOKUP(A2816, Entries!A:B,2,false),"")</f>
        <v>Bethesda Softworks</v>
      </c>
      <c r="N2816" s="23" t="str">
        <f>IFERROR(VLOOKUP(A2816, Entries!A:K,11,false),"")</f>
        <v/>
      </c>
    </row>
    <row r="2817">
      <c r="A2817" s="78" t="s">
        <v>2466</v>
      </c>
      <c r="B2817" s="78" t="s">
        <v>27</v>
      </c>
      <c r="C2817" s="85">
        <v>44970.0</v>
      </c>
      <c r="D2817" s="85">
        <v>44972.0</v>
      </c>
      <c r="E2817" s="86">
        <v>9.69</v>
      </c>
      <c r="F2817" s="87">
        <v>11.7</v>
      </c>
      <c r="G2817" s="88">
        <f t="shared" si="1"/>
        <v>2.01</v>
      </c>
      <c r="H2817" s="89">
        <f t="shared" si="10"/>
        <v>0.1717948718</v>
      </c>
      <c r="I2817" s="78" t="s">
        <v>3454</v>
      </c>
      <c r="J2817" s="78" t="s">
        <v>69</v>
      </c>
      <c r="K2817" s="58">
        <f t="shared" si="3"/>
        <v>2</v>
      </c>
      <c r="L2817" s="91" t="str">
        <f t="shared" si="8"/>
        <v>Wed</v>
      </c>
      <c r="M2817" s="78" t="str">
        <f>IFERROR(VLOOKUP(A2817, Entries!A:B,2,false),"")</f>
        <v>Bethesda Softworks</v>
      </c>
      <c r="N2817" s="23" t="str">
        <f>IFERROR(VLOOKUP(A2817, Entries!A:K,11,false),"")</f>
        <v/>
      </c>
    </row>
    <row r="2818">
      <c r="A2818" s="78" t="s">
        <v>3226</v>
      </c>
      <c r="B2818" s="78" t="s">
        <v>25</v>
      </c>
      <c r="C2818" s="85">
        <v>44970.0</v>
      </c>
      <c r="D2818" s="85">
        <v>44973.0</v>
      </c>
      <c r="E2818" s="86">
        <v>15.96</v>
      </c>
      <c r="F2818" s="87">
        <v>21.43</v>
      </c>
      <c r="G2818" s="88">
        <f t="shared" si="1"/>
        <v>5.47</v>
      </c>
      <c r="H2818" s="89">
        <f t="shared" si="10"/>
        <v>0.25524965</v>
      </c>
      <c r="I2818" s="78" t="s">
        <v>3455</v>
      </c>
      <c r="J2818" s="78" t="s">
        <v>69</v>
      </c>
      <c r="K2818" s="58">
        <f t="shared" si="3"/>
        <v>3</v>
      </c>
      <c r="L2818" s="91" t="str">
        <f t="shared" si="8"/>
        <v>Thu</v>
      </c>
      <c r="M2818" s="78" t="str">
        <f>IFERROR(VLOOKUP(A2818, Entries!A:B,2,false),"")</f>
        <v>Total Mayhem Games</v>
      </c>
      <c r="N2818" s="23" t="str">
        <f>IFERROR(VLOOKUP(A2818, Entries!A:K,11,false),"")</f>
        <v/>
      </c>
      <c r="O2818" s="23" t="b">
        <f>IFERROR(VLOOKUP(A2818, Entries!A:I,8,false),"")</f>
        <v>0</v>
      </c>
    </row>
    <row r="2819">
      <c r="A2819" s="78" t="s">
        <v>2789</v>
      </c>
      <c r="B2819" s="78" t="s">
        <v>19</v>
      </c>
      <c r="C2819" s="85">
        <v>44970.0</v>
      </c>
      <c r="D2819" s="85">
        <v>44970.0</v>
      </c>
      <c r="E2819" s="86">
        <v>4.07</v>
      </c>
      <c r="F2819" s="87">
        <v>4.65</v>
      </c>
      <c r="G2819" s="88">
        <f t="shared" si="1"/>
        <v>0.58</v>
      </c>
      <c r="H2819" s="89">
        <f t="shared" si="10"/>
        <v>0.1247311828</v>
      </c>
      <c r="I2819" s="78" t="s">
        <v>3456</v>
      </c>
      <c r="J2819" s="78" t="s">
        <v>69</v>
      </c>
      <c r="K2819" s="58">
        <f t="shared" si="3"/>
        <v>0</v>
      </c>
      <c r="L2819" s="91" t="str">
        <f t="shared" si="8"/>
        <v>Mon</v>
      </c>
      <c r="M2819" s="78" t="str">
        <f>IFERROR(VLOOKUP(A2819, Entries!A:B,2,false),"")</f>
        <v>Evil Tortilla Games</v>
      </c>
      <c r="N2819" s="23" t="str">
        <f>IFERROR(VLOOKUP(A2819, Entries!A:K,11,false),"")</f>
        <v/>
      </c>
    </row>
    <row r="2820">
      <c r="A2820" s="78" t="s">
        <v>3144</v>
      </c>
      <c r="B2820" s="78" t="s">
        <v>27</v>
      </c>
      <c r="C2820" s="85">
        <v>44971.0</v>
      </c>
      <c r="D2820" s="85">
        <v>44971.0</v>
      </c>
      <c r="E2820" s="86">
        <v>17.09</v>
      </c>
      <c r="F2820" s="87">
        <v>21.13</v>
      </c>
      <c r="G2820" s="88">
        <f t="shared" si="1"/>
        <v>4.04</v>
      </c>
      <c r="H2820" s="89">
        <f t="shared" si="10"/>
        <v>0.1911973497</v>
      </c>
      <c r="I2820" s="78" t="s">
        <v>3457</v>
      </c>
      <c r="J2820" s="78" t="s">
        <v>69</v>
      </c>
      <c r="K2820" s="58">
        <f t="shared" si="3"/>
        <v>0</v>
      </c>
      <c r="L2820" s="91" t="str">
        <f t="shared" si="8"/>
        <v>Tue</v>
      </c>
      <c r="M2820" s="78" t="str">
        <f>IFERROR(VLOOKUP(A2820, Entries!A:B,2,false),"")</f>
        <v>Bethesda Softworks</v>
      </c>
      <c r="N2820" s="23" t="str">
        <f>IFERROR(VLOOKUP(A2820, Entries!A:K,11,false),"")</f>
        <v/>
      </c>
    </row>
    <row r="2821">
      <c r="A2821" s="78" t="s">
        <v>3366</v>
      </c>
      <c r="B2821" s="78" t="s">
        <v>25</v>
      </c>
      <c r="C2821" s="85">
        <v>44971.0</v>
      </c>
      <c r="D2821" s="85">
        <v>44971.0</v>
      </c>
      <c r="E2821" s="86">
        <v>3.6</v>
      </c>
      <c r="F2821" s="87">
        <v>4.52</v>
      </c>
      <c r="G2821" s="88">
        <f t="shared" si="1"/>
        <v>0.92</v>
      </c>
      <c r="H2821" s="89">
        <f t="shared" si="10"/>
        <v>0.203539823</v>
      </c>
      <c r="I2821" s="78" t="s">
        <v>3458</v>
      </c>
      <c r="J2821" s="78" t="s">
        <v>69</v>
      </c>
      <c r="K2821" s="58">
        <f t="shared" si="3"/>
        <v>0</v>
      </c>
      <c r="L2821" s="91" t="str">
        <f t="shared" si="8"/>
        <v>Tue</v>
      </c>
      <c r="M2821" s="78" t="str">
        <f>IFERROR(VLOOKUP(A2821, Entries!A:B,2,false),"")</f>
        <v>Sector D2</v>
      </c>
      <c r="N2821" s="23" t="str">
        <f>IFERROR(VLOOKUP(A2821, Entries!A:K,11,false),"")</f>
        <v/>
      </c>
    </row>
    <row r="2822">
      <c r="A2822" s="78" t="s">
        <v>2789</v>
      </c>
      <c r="B2822" s="78" t="s">
        <v>19</v>
      </c>
      <c r="C2822" s="85">
        <v>44971.0</v>
      </c>
      <c r="D2822" s="85">
        <v>44973.0</v>
      </c>
      <c r="E2822" s="86">
        <v>3.93</v>
      </c>
      <c r="F2822" s="87">
        <v>4.5</v>
      </c>
      <c r="G2822" s="88">
        <f t="shared" si="1"/>
        <v>0.57</v>
      </c>
      <c r="H2822" s="89">
        <f t="shared" si="10"/>
        <v>0.1266666667</v>
      </c>
      <c r="I2822" s="78" t="s">
        <v>3459</v>
      </c>
      <c r="J2822" s="78" t="s">
        <v>69</v>
      </c>
      <c r="K2822" s="58">
        <f t="shared" si="3"/>
        <v>2</v>
      </c>
      <c r="L2822" s="91" t="str">
        <f t="shared" si="8"/>
        <v>Thu</v>
      </c>
      <c r="M2822" s="78" t="str">
        <f>IFERROR(VLOOKUP(A2822, Entries!A:B,2,false),"")</f>
        <v>Evil Tortilla Games</v>
      </c>
      <c r="N2822" s="23" t="str">
        <f>IFERROR(VLOOKUP(A2822, Entries!A:K,11,false),"")</f>
        <v/>
      </c>
      <c r="O2822" s="23" t="b">
        <f>IFERROR(VLOOKUP(A2822, Entries!A:I,8,false),"")</f>
        <v>1</v>
      </c>
    </row>
    <row r="2823">
      <c r="A2823" s="78" t="s">
        <v>3144</v>
      </c>
      <c r="B2823" s="78" t="s">
        <v>27</v>
      </c>
      <c r="C2823" s="85">
        <v>44971.0</v>
      </c>
      <c r="D2823" s="85">
        <v>44971.0</v>
      </c>
      <c r="E2823" s="86">
        <v>17.09</v>
      </c>
      <c r="F2823" s="87">
        <v>21.13</v>
      </c>
      <c r="G2823" s="88">
        <f t="shared" si="1"/>
        <v>4.04</v>
      </c>
      <c r="H2823" s="89">
        <f t="shared" si="10"/>
        <v>0.1911973497</v>
      </c>
      <c r="I2823" s="78" t="s">
        <v>3460</v>
      </c>
      <c r="J2823" s="78" t="s">
        <v>69</v>
      </c>
      <c r="K2823" s="58">
        <f t="shared" si="3"/>
        <v>0</v>
      </c>
      <c r="L2823" s="91" t="str">
        <f t="shared" si="8"/>
        <v>Tue</v>
      </c>
      <c r="M2823" s="78" t="str">
        <f>IFERROR(VLOOKUP(A2823, Entries!A:B,2,false),"")</f>
        <v>Bethesda Softworks</v>
      </c>
      <c r="N2823" s="23" t="str">
        <f>IFERROR(VLOOKUP(A2823, Entries!A:K,11,false),"")</f>
        <v/>
      </c>
    </row>
    <row r="2824">
      <c r="A2824" s="78" t="s">
        <v>3144</v>
      </c>
      <c r="B2824" s="78" t="s">
        <v>27</v>
      </c>
      <c r="C2824" s="85">
        <v>44972.0</v>
      </c>
      <c r="D2824" s="85">
        <v>44972.0</v>
      </c>
      <c r="E2824" s="86">
        <v>17.09</v>
      </c>
      <c r="F2824" s="87">
        <v>21.13</v>
      </c>
      <c r="G2824" s="88">
        <f t="shared" si="1"/>
        <v>4.04</v>
      </c>
      <c r="H2824" s="89">
        <f t="shared" si="10"/>
        <v>0.1911973497</v>
      </c>
      <c r="I2824" s="78" t="s">
        <v>3461</v>
      </c>
      <c r="J2824" s="78" t="s">
        <v>69</v>
      </c>
      <c r="K2824" s="58">
        <f t="shared" si="3"/>
        <v>0</v>
      </c>
      <c r="L2824" s="91" t="str">
        <f t="shared" si="8"/>
        <v>Wed</v>
      </c>
      <c r="M2824" s="78" t="str">
        <f>IFERROR(VLOOKUP(A2824, Entries!A:B,2,false),"")</f>
        <v>Bethesda Softworks</v>
      </c>
      <c r="N2824" s="23" t="str">
        <f>IFERROR(VLOOKUP(A2824, Entries!A:K,11,false),"")</f>
        <v/>
      </c>
    </row>
    <row r="2825">
      <c r="A2825" s="78" t="s">
        <v>3366</v>
      </c>
      <c r="B2825" s="78" t="s">
        <v>25</v>
      </c>
      <c r="C2825" s="85">
        <v>44972.0</v>
      </c>
      <c r="D2825" s="85">
        <v>44972.0</v>
      </c>
      <c r="E2825" s="86">
        <v>3.58</v>
      </c>
      <c r="F2825" s="87">
        <v>4.52</v>
      </c>
      <c r="G2825" s="88">
        <f t="shared" si="1"/>
        <v>0.94</v>
      </c>
      <c r="H2825" s="89">
        <f t="shared" si="10"/>
        <v>0.2079646018</v>
      </c>
      <c r="I2825" s="78" t="s">
        <v>3462</v>
      </c>
      <c r="J2825" s="78" t="s">
        <v>69</v>
      </c>
      <c r="K2825" s="58">
        <f t="shared" si="3"/>
        <v>0</v>
      </c>
      <c r="L2825" s="91" t="str">
        <f t="shared" si="8"/>
        <v>Wed</v>
      </c>
      <c r="M2825" s="78" t="str">
        <f>IFERROR(VLOOKUP(A2825, Entries!A:B,2,false),"")</f>
        <v>Sector D2</v>
      </c>
      <c r="N2825" s="23" t="str">
        <f>IFERROR(VLOOKUP(A2825, Entries!A:K,11,false),"")</f>
        <v/>
      </c>
    </row>
    <row r="2826">
      <c r="A2826" s="78" t="s">
        <v>2466</v>
      </c>
      <c r="B2826" s="78" t="s">
        <v>27</v>
      </c>
      <c r="C2826" s="85">
        <v>44972.0</v>
      </c>
      <c r="D2826" s="85">
        <v>44972.0</v>
      </c>
      <c r="E2826" s="86">
        <v>9.69</v>
      </c>
      <c r="F2826" s="87">
        <v>11.67</v>
      </c>
      <c r="G2826" s="88">
        <f t="shared" si="1"/>
        <v>1.98</v>
      </c>
      <c r="H2826" s="89">
        <f t="shared" si="10"/>
        <v>0.1696658098</v>
      </c>
      <c r="I2826" s="78" t="s">
        <v>3463</v>
      </c>
      <c r="J2826" s="78" t="s">
        <v>69</v>
      </c>
      <c r="K2826" s="58">
        <f t="shared" si="3"/>
        <v>0</v>
      </c>
      <c r="L2826" s="91" t="str">
        <f t="shared" si="8"/>
        <v>Wed</v>
      </c>
      <c r="M2826" s="78" t="str">
        <f>IFERROR(VLOOKUP(A2826, Entries!A:B,2,false),"")</f>
        <v>Bethesda Softworks</v>
      </c>
      <c r="N2826" s="23" t="str">
        <f>IFERROR(VLOOKUP(A2826, Entries!A:K,11,false),"")</f>
        <v/>
      </c>
    </row>
    <row r="2827">
      <c r="A2827" s="78" t="s">
        <v>2466</v>
      </c>
      <c r="B2827" s="78" t="s">
        <v>27</v>
      </c>
      <c r="C2827" s="85">
        <v>44972.0</v>
      </c>
      <c r="D2827" s="85">
        <v>44973.0</v>
      </c>
      <c r="E2827" s="86">
        <v>9.69</v>
      </c>
      <c r="F2827" s="87">
        <v>11.67</v>
      </c>
      <c r="G2827" s="88">
        <f t="shared" si="1"/>
        <v>1.98</v>
      </c>
      <c r="H2827" s="89">
        <f t="shared" si="10"/>
        <v>0.1696658098</v>
      </c>
      <c r="I2827" s="78" t="s">
        <v>3464</v>
      </c>
      <c r="J2827" s="78" t="s">
        <v>69</v>
      </c>
      <c r="K2827" s="58">
        <f t="shared" si="3"/>
        <v>1</v>
      </c>
      <c r="L2827" s="91" t="str">
        <f t="shared" si="8"/>
        <v>Thu</v>
      </c>
      <c r="M2827" s="78" t="str">
        <f>IFERROR(VLOOKUP(A2827, Entries!A:B,2,false),"")</f>
        <v>Bethesda Softworks</v>
      </c>
      <c r="N2827" s="23" t="str">
        <f>IFERROR(VLOOKUP(A2827, Entries!A:K,11,false),"")</f>
        <v/>
      </c>
    </row>
    <row r="2828">
      <c r="A2828" s="78" t="s">
        <v>3144</v>
      </c>
      <c r="B2828" s="78" t="s">
        <v>27</v>
      </c>
      <c r="C2828" s="85">
        <v>44972.0</v>
      </c>
      <c r="D2828" s="85">
        <v>45042.0</v>
      </c>
      <c r="E2828" s="86">
        <v>17.09</v>
      </c>
      <c r="F2828" s="87">
        <v>19.22</v>
      </c>
      <c r="G2828" s="88">
        <f t="shared" si="1"/>
        <v>2.13</v>
      </c>
      <c r="H2828" s="89">
        <f t="shared" si="10"/>
        <v>0.1108220604</v>
      </c>
      <c r="I2828" s="78" t="s">
        <v>3465</v>
      </c>
      <c r="J2828" s="78" t="s">
        <v>69</v>
      </c>
      <c r="K2828" s="58">
        <f t="shared" si="3"/>
        <v>70</v>
      </c>
      <c r="L2828" s="91" t="str">
        <f t="shared" si="8"/>
        <v>Wed</v>
      </c>
      <c r="M2828" s="78" t="str">
        <f>IFERROR(VLOOKUP(A2828, Entries!A:B,2,false),"")</f>
        <v>Bethesda Softworks</v>
      </c>
      <c r="N2828" s="23" t="str">
        <f>IFERROR(VLOOKUP(A2828, Entries!A:K,11,false),"")</f>
        <v/>
      </c>
      <c r="O2828" s="23" t="b">
        <f>IFERROR(VLOOKUP(A2828, Entries!A:I,8,false),"")</f>
        <v>0</v>
      </c>
    </row>
    <row r="2829">
      <c r="A2829" s="78" t="s">
        <v>3366</v>
      </c>
      <c r="B2829" s="78" t="s">
        <v>25</v>
      </c>
      <c r="C2829" s="85">
        <v>44972.0</v>
      </c>
      <c r="D2829" s="85">
        <v>44973.0</v>
      </c>
      <c r="E2829" s="86">
        <v>3.5</v>
      </c>
      <c r="F2829" s="87">
        <v>4.79</v>
      </c>
      <c r="G2829" s="88">
        <f t="shared" si="1"/>
        <v>1.29</v>
      </c>
      <c r="H2829" s="89">
        <f t="shared" si="10"/>
        <v>0.2693110647</v>
      </c>
      <c r="I2829" s="78" t="s">
        <v>3466</v>
      </c>
      <c r="J2829" s="78" t="s">
        <v>69</v>
      </c>
      <c r="K2829" s="58">
        <f t="shared" si="3"/>
        <v>1</v>
      </c>
      <c r="L2829" s="91" t="str">
        <f t="shared" si="8"/>
        <v>Thu</v>
      </c>
      <c r="M2829" s="78" t="str">
        <f>IFERROR(VLOOKUP(A2829, Entries!A:B,2,false),"")</f>
        <v>Sector D2</v>
      </c>
      <c r="N2829" s="23" t="str">
        <f>IFERROR(VLOOKUP(A2829, Entries!A:K,11,false),"")</f>
        <v/>
      </c>
      <c r="O2829" s="23" t="b">
        <f>IFERROR(VLOOKUP(A2829, Entries!A:I,8,false),"")</f>
        <v>0</v>
      </c>
    </row>
    <row r="2830">
      <c r="A2830" s="78" t="s">
        <v>3467</v>
      </c>
      <c r="B2830" s="78" t="s">
        <v>25</v>
      </c>
      <c r="C2830" s="85">
        <v>44972.0</v>
      </c>
      <c r="D2830" s="85">
        <v>44975.0</v>
      </c>
      <c r="E2830" s="86">
        <v>5.63</v>
      </c>
      <c r="F2830" s="87">
        <v>6.99</v>
      </c>
      <c r="G2830" s="88">
        <f t="shared" si="1"/>
        <v>1.36</v>
      </c>
      <c r="H2830" s="89">
        <f t="shared" si="10"/>
        <v>0.1945636624</v>
      </c>
      <c r="I2830" s="78" t="s">
        <v>3468</v>
      </c>
      <c r="J2830" s="78" t="s">
        <v>69</v>
      </c>
      <c r="K2830" s="58">
        <f t="shared" si="3"/>
        <v>3</v>
      </c>
      <c r="L2830" s="91" t="str">
        <f t="shared" si="8"/>
        <v>Sat</v>
      </c>
      <c r="M2830" s="78" t="str">
        <f>IFERROR(VLOOKUP(A2830, Entries!A:B,2,false),"")</f>
        <v>Kalypso Media</v>
      </c>
      <c r="N2830" s="23" t="str">
        <f>IFERROR(VLOOKUP(A2830, Entries!A:K,11,false),"")</f>
        <v/>
      </c>
      <c r="O2830" s="23" t="b">
        <f>IFERROR(VLOOKUP(A2830, Entries!A:I,8,false),"")</f>
        <v>0</v>
      </c>
    </row>
    <row r="2831">
      <c r="A2831" s="78" t="s">
        <v>3469</v>
      </c>
      <c r="B2831" s="78" t="s">
        <v>27</v>
      </c>
      <c r="C2831" s="85">
        <v>44972.0</v>
      </c>
      <c r="D2831" s="85">
        <v>45336.0</v>
      </c>
      <c r="E2831" s="86">
        <v>22.79</v>
      </c>
      <c r="F2831" s="87">
        <v>24.87</v>
      </c>
      <c r="G2831" s="88">
        <f t="shared" si="1"/>
        <v>2.08</v>
      </c>
      <c r="H2831" s="89">
        <f t="shared" si="10"/>
        <v>0.08363490149</v>
      </c>
      <c r="I2831" s="78" t="s">
        <v>3470</v>
      </c>
      <c r="J2831" s="78" t="s">
        <v>69</v>
      </c>
      <c r="K2831" s="58">
        <f t="shared" si="3"/>
        <v>364</v>
      </c>
      <c r="L2831" s="91" t="str">
        <f t="shared" si="8"/>
        <v>Wed</v>
      </c>
      <c r="M2831" s="78" t="str">
        <f>IFERROR(VLOOKUP(A2831, Entries!A:B,2,false),"")</f>
        <v>Steel City Interactive</v>
      </c>
      <c r="N2831" s="23" t="str">
        <f>IFERROR(VLOOKUP(A2831, Entries!A:K,11,false),"")</f>
        <v/>
      </c>
      <c r="O2831" s="23" t="b">
        <f>IFERROR(VLOOKUP(A2831, Entries!A:I,8,false),"")</f>
        <v>0</v>
      </c>
    </row>
    <row r="2832">
      <c r="A2832" s="78" t="s">
        <v>1754</v>
      </c>
      <c r="B2832" s="78" t="s">
        <v>27</v>
      </c>
      <c r="C2832" s="85">
        <v>44973.0</v>
      </c>
      <c r="D2832" s="85">
        <v>44976.0</v>
      </c>
      <c r="E2832" s="86">
        <v>19.39</v>
      </c>
      <c r="F2832" s="87">
        <v>22.74</v>
      </c>
      <c r="G2832" s="88">
        <f t="shared" si="1"/>
        <v>3.35</v>
      </c>
      <c r="H2832" s="89">
        <f t="shared" si="10"/>
        <v>0.1473175022</v>
      </c>
      <c r="I2832" s="78" t="s">
        <v>3471</v>
      </c>
      <c r="J2832" s="78" t="s">
        <v>69</v>
      </c>
      <c r="K2832" s="58">
        <f t="shared" si="3"/>
        <v>3</v>
      </c>
      <c r="L2832" s="91" t="str">
        <f t="shared" si="8"/>
        <v>Sun</v>
      </c>
      <c r="M2832" s="78" t="str">
        <f>IFERROR(VLOOKUP(A2832, Entries!A:B,2,false),"")</f>
        <v>Arc System Works</v>
      </c>
      <c r="N2832" s="23" t="str">
        <f>IFERROR(VLOOKUP(A2832, Entries!A:K,11,false),"")</f>
        <v/>
      </c>
      <c r="O2832" s="23" t="b">
        <f>IFERROR(VLOOKUP(A2832, Entries!A:I,8,false),"")</f>
        <v>0</v>
      </c>
    </row>
    <row r="2833">
      <c r="A2833" s="78" t="s">
        <v>2466</v>
      </c>
      <c r="B2833" s="78" t="s">
        <v>27</v>
      </c>
      <c r="C2833" s="85">
        <v>44973.0</v>
      </c>
      <c r="D2833" s="85">
        <v>44973.0</v>
      </c>
      <c r="E2833" s="86">
        <v>9.69</v>
      </c>
      <c r="F2833" s="87">
        <v>11.85</v>
      </c>
      <c r="G2833" s="88">
        <f t="shared" si="1"/>
        <v>2.16</v>
      </c>
      <c r="H2833" s="89">
        <f t="shared" si="10"/>
        <v>0.182278481</v>
      </c>
      <c r="I2833" s="78" t="s">
        <v>3472</v>
      </c>
      <c r="J2833" s="78" t="s">
        <v>69</v>
      </c>
      <c r="K2833" s="58">
        <f t="shared" si="3"/>
        <v>0</v>
      </c>
      <c r="L2833" s="91" t="str">
        <f t="shared" si="8"/>
        <v>Thu</v>
      </c>
      <c r="M2833" s="78" t="str">
        <f>IFERROR(VLOOKUP(A2833, Entries!A:B,2,false),"")</f>
        <v>Bethesda Softworks</v>
      </c>
      <c r="N2833" s="23" t="str">
        <f>IFERROR(VLOOKUP(A2833, Entries!A:K,11,false),"")</f>
        <v/>
      </c>
    </row>
    <row r="2834">
      <c r="A2834" s="78" t="s">
        <v>2466</v>
      </c>
      <c r="B2834" s="78" t="s">
        <v>27</v>
      </c>
      <c r="C2834" s="85">
        <v>44973.0</v>
      </c>
      <c r="D2834" s="85">
        <v>44973.0</v>
      </c>
      <c r="E2834" s="86">
        <v>9.69</v>
      </c>
      <c r="F2834" s="87">
        <v>11.85</v>
      </c>
      <c r="G2834" s="88">
        <f t="shared" si="1"/>
        <v>2.16</v>
      </c>
      <c r="H2834" s="89">
        <f t="shared" si="10"/>
        <v>0.182278481</v>
      </c>
      <c r="I2834" s="78" t="s">
        <v>3473</v>
      </c>
      <c r="J2834" s="78" t="s">
        <v>69</v>
      </c>
      <c r="K2834" s="58">
        <f t="shared" si="3"/>
        <v>0</v>
      </c>
      <c r="L2834" s="91" t="str">
        <f t="shared" si="8"/>
        <v>Thu</v>
      </c>
      <c r="M2834" s="78" t="str">
        <f>IFERROR(VLOOKUP(A2834, Entries!A:B,2,false),"")</f>
        <v>Bethesda Softworks</v>
      </c>
      <c r="N2834" s="23" t="str">
        <f>IFERROR(VLOOKUP(A2834, Entries!A:K,11,false),"")</f>
        <v/>
      </c>
    </row>
    <row r="2835">
      <c r="A2835" s="78" t="s">
        <v>2466</v>
      </c>
      <c r="B2835" s="78" t="s">
        <v>27</v>
      </c>
      <c r="C2835" s="85">
        <v>44973.0</v>
      </c>
      <c r="D2835" s="85">
        <v>44973.0</v>
      </c>
      <c r="E2835" s="86">
        <v>9.69</v>
      </c>
      <c r="F2835" s="87">
        <v>11.85</v>
      </c>
      <c r="G2835" s="88">
        <f t="shared" si="1"/>
        <v>2.16</v>
      </c>
      <c r="H2835" s="89">
        <f t="shared" si="10"/>
        <v>0.182278481</v>
      </c>
      <c r="I2835" s="78" t="s">
        <v>3474</v>
      </c>
      <c r="J2835" s="78" t="s">
        <v>69</v>
      </c>
      <c r="K2835" s="58">
        <f t="shared" si="3"/>
        <v>0</v>
      </c>
      <c r="L2835" s="91" t="str">
        <f t="shared" si="8"/>
        <v>Thu</v>
      </c>
      <c r="M2835" s="78" t="str">
        <f>IFERROR(VLOOKUP(A2835, Entries!A:B,2,false),"")</f>
        <v>Bethesda Softworks</v>
      </c>
      <c r="N2835" s="23" t="str">
        <f>IFERROR(VLOOKUP(A2835, Entries!A:K,11,false),"")</f>
        <v/>
      </c>
    </row>
    <row r="2836">
      <c r="A2836" s="78" t="s">
        <v>2466</v>
      </c>
      <c r="B2836" s="78" t="s">
        <v>27</v>
      </c>
      <c r="C2836" s="85">
        <v>44973.0</v>
      </c>
      <c r="D2836" s="85">
        <v>44973.0</v>
      </c>
      <c r="E2836" s="86">
        <v>9.69</v>
      </c>
      <c r="F2836" s="87">
        <v>11.85</v>
      </c>
      <c r="G2836" s="88">
        <f t="shared" si="1"/>
        <v>2.16</v>
      </c>
      <c r="H2836" s="89">
        <f t="shared" si="10"/>
        <v>0.182278481</v>
      </c>
      <c r="I2836" s="78" t="s">
        <v>3475</v>
      </c>
      <c r="J2836" s="78" t="s">
        <v>69</v>
      </c>
      <c r="K2836" s="58">
        <f t="shared" si="3"/>
        <v>0</v>
      </c>
      <c r="L2836" s="91" t="str">
        <f t="shared" si="8"/>
        <v>Thu</v>
      </c>
      <c r="M2836" s="78" t="str">
        <f>IFERROR(VLOOKUP(A2836, Entries!A:B,2,false),"")</f>
        <v>Bethesda Softworks</v>
      </c>
      <c r="N2836" s="23" t="str">
        <f>IFERROR(VLOOKUP(A2836, Entries!A:K,11,false),"")</f>
        <v/>
      </c>
      <c r="O2836" s="23" t="b">
        <f>IFERROR(VLOOKUP(A2836, Entries!A:I,8,false),"")</f>
        <v>1</v>
      </c>
    </row>
    <row r="2837">
      <c r="A2837" s="78" t="s">
        <v>2466</v>
      </c>
      <c r="B2837" s="78" t="s">
        <v>27</v>
      </c>
      <c r="C2837" s="85">
        <v>44973.0</v>
      </c>
      <c r="D2837" s="85">
        <v>44973.0</v>
      </c>
      <c r="E2837" s="86">
        <v>9.69</v>
      </c>
      <c r="F2837" s="87">
        <v>11.85</v>
      </c>
      <c r="G2837" s="88">
        <f t="shared" si="1"/>
        <v>2.16</v>
      </c>
      <c r="H2837" s="89">
        <f t="shared" si="10"/>
        <v>0.182278481</v>
      </c>
      <c r="I2837" s="78" t="s">
        <v>3476</v>
      </c>
      <c r="J2837" s="78" t="s">
        <v>69</v>
      </c>
      <c r="K2837" s="58">
        <f t="shared" si="3"/>
        <v>0</v>
      </c>
      <c r="L2837" s="91" t="str">
        <f t="shared" si="8"/>
        <v>Thu</v>
      </c>
      <c r="M2837" s="78" t="str">
        <f>IFERROR(VLOOKUP(A2837, Entries!A:B,2,false),"")</f>
        <v>Bethesda Softworks</v>
      </c>
      <c r="N2837" s="23" t="str">
        <f>IFERROR(VLOOKUP(A2837, Entries!A:K,11,false),"")</f>
        <v/>
      </c>
      <c r="O2837" s="23" t="b">
        <f>IFERROR(VLOOKUP(A2837, Entries!A:I,8,false),"")</f>
        <v>1</v>
      </c>
    </row>
    <row r="2838">
      <c r="A2838" s="78" t="s">
        <v>2466</v>
      </c>
      <c r="B2838" s="78" t="s">
        <v>27</v>
      </c>
      <c r="C2838" s="85">
        <v>44973.0</v>
      </c>
      <c r="D2838" s="85">
        <v>44974.0</v>
      </c>
      <c r="E2838" s="86">
        <v>9.69</v>
      </c>
      <c r="F2838" s="87">
        <v>11.82</v>
      </c>
      <c r="G2838" s="88">
        <f t="shared" si="1"/>
        <v>2.13</v>
      </c>
      <c r="H2838" s="89">
        <f t="shared" si="10"/>
        <v>0.1802030457</v>
      </c>
      <c r="I2838" s="78" t="s">
        <v>3477</v>
      </c>
      <c r="J2838" s="78" t="s">
        <v>69</v>
      </c>
      <c r="K2838" s="58">
        <f t="shared" si="3"/>
        <v>1</v>
      </c>
      <c r="L2838" s="91" t="str">
        <f t="shared" si="8"/>
        <v>Fri</v>
      </c>
      <c r="M2838" s="78" t="str">
        <f>IFERROR(VLOOKUP(A2838, Entries!A:B,2,false),"")</f>
        <v>Bethesda Softworks</v>
      </c>
      <c r="N2838" s="23" t="str">
        <f>IFERROR(VLOOKUP(A2838, Entries!A:K,11,false),"")</f>
        <v/>
      </c>
      <c r="O2838" s="23" t="b">
        <f>IFERROR(VLOOKUP(A2838, Entries!A:I,8,false),"")</f>
        <v>1</v>
      </c>
    </row>
    <row r="2839">
      <c r="A2839" s="78" t="s">
        <v>3366</v>
      </c>
      <c r="B2839" s="78" t="s">
        <v>25</v>
      </c>
      <c r="C2839" s="85">
        <v>44973.0</v>
      </c>
      <c r="D2839" s="85">
        <v>44974.0</v>
      </c>
      <c r="E2839" s="86">
        <v>3.4</v>
      </c>
      <c r="F2839" s="87">
        <v>4.79</v>
      </c>
      <c r="G2839" s="88">
        <f t="shared" si="1"/>
        <v>1.39</v>
      </c>
      <c r="H2839" s="89">
        <f t="shared" si="10"/>
        <v>0.2901878914</v>
      </c>
      <c r="I2839" s="78" t="s">
        <v>3478</v>
      </c>
      <c r="J2839" s="78" t="s">
        <v>69</v>
      </c>
      <c r="K2839" s="58">
        <f t="shared" si="3"/>
        <v>1</v>
      </c>
      <c r="L2839" s="91" t="str">
        <f t="shared" si="8"/>
        <v>Fri</v>
      </c>
      <c r="M2839" s="78" t="str">
        <f>IFERROR(VLOOKUP(A2839, Entries!A:B,2,false),"")</f>
        <v>Sector D2</v>
      </c>
      <c r="N2839" s="23" t="str">
        <f>IFERROR(VLOOKUP(A2839, Entries!A:K,11,false),"")</f>
        <v/>
      </c>
      <c r="O2839" s="23" t="b">
        <f>IFERROR(VLOOKUP(A2839, Entries!A:I,8,false),"")</f>
        <v>0</v>
      </c>
    </row>
    <row r="2840">
      <c r="A2840" s="78" t="s">
        <v>3366</v>
      </c>
      <c r="B2840" s="78" t="s">
        <v>25</v>
      </c>
      <c r="C2840" s="85">
        <v>44973.0</v>
      </c>
      <c r="D2840" s="85">
        <v>44974.0</v>
      </c>
      <c r="E2840" s="86">
        <v>3.4</v>
      </c>
      <c r="F2840" s="87">
        <v>4.79</v>
      </c>
      <c r="G2840" s="88">
        <f t="shared" si="1"/>
        <v>1.39</v>
      </c>
      <c r="H2840" s="89">
        <f t="shared" si="10"/>
        <v>0.2901878914</v>
      </c>
      <c r="I2840" s="78" t="s">
        <v>3479</v>
      </c>
      <c r="J2840" s="78" t="s">
        <v>69</v>
      </c>
      <c r="K2840" s="58">
        <f t="shared" si="3"/>
        <v>1</v>
      </c>
      <c r="L2840" s="91" t="str">
        <f t="shared" si="8"/>
        <v>Fri</v>
      </c>
      <c r="M2840" s="78" t="str">
        <f>IFERROR(VLOOKUP(A2840, Entries!A:B,2,false),"")</f>
        <v>Sector D2</v>
      </c>
      <c r="N2840" s="23" t="str">
        <f>IFERROR(VLOOKUP(A2840, Entries!A:K,11,false),"")</f>
        <v/>
      </c>
      <c r="O2840" s="23" t="b">
        <f>IFERROR(VLOOKUP(A2840, Entries!A:I,8,false),"")</f>
        <v>0</v>
      </c>
    </row>
    <row r="2841">
      <c r="A2841" s="78" t="s">
        <v>3366</v>
      </c>
      <c r="B2841" s="78" t="s">
        <v>25</v>
      </c>
      <c r="C2841" s="85">
        <v>44973.0</v>
      </c>
      <c r="D2841" s="85">
        <v>44974.0</v>
      </c>
      <c r="E2841" s="86">
        <v>3.4</v>
      </c>
      <c r="F2841" s="87">
        <v>4.79</v>
      </c>
      <c r="G2841" s="88">
        <f t="shared" si="1"/>
        <v>1.39</v>
      </c>
      <c r="H2841" s="89">
        <f t="shared" si="10"/>
        <v>0.2901878914</v>
      </c>
      <c r="I2841" s="78" t="s">
        <v>3480</v>
      </c>
      <c r="J2841" s="78" t="s">
        <v>69</v>
      </c>
      <c r="K2841" s="58">
        <f t="shared" si="3"/>
        <v>1</v>
      </c>
      <c r="L2841" s="91" t="str">
        <f t="shared" si="8"/>
        <v>Fri</v>
      </c>
      <c r="M2841" s="78" t="str">
        <f>IFERROR(VLOOKUP(A2841, Entries!A:B,2,false),"")</f>
        <v>Sector D2</v>
      </c>
      <c r="N2841" s="23" t="str">
        <f>IFERROR(VLOOKUP(A2841, Entries!A:K,11,false),"")</f>
        <v/>
      </c>
      <c r="O2841" s="23" t="b">
        <f>IFERROR(VLOOKUP(A2841, Entries!A:I,8,false),"")</f>
        <v>0</v>
      </c>
    </row>
    <row r="2842">
      <c r="A2842" s="78" t="s">
        <v>3226</v>
      </c>
      <c r="B2842" s="78" t="s">
        <v>25</v>
      </c>
      <c r="C2842" s="85">
        <v>44973.0</v>
      </c>
      <c r="D2842" s="85">
        <v>44981.0</v>
      </c>
      <c r="E2842" s="86">
        <v>15.96</v>
      </c>
      <c r="F2842" s="87">
        <v>21.43</v>
      </c>
      <c r="G2842" s="88">
        <f t="shared" si="1"/>
        <v>5.47</v>
      </c>
      <c r="H2842" s="89">
        <f t="shared" si="10"/>
        <v>0.25524965</v>
      </c>
      <c r="I2842" s="78" t="s">
        <v>3481</v>
      </c>
      <c r="J2842" s="78" t="s">
        <v>69</v>
      </c>
      <c r="K2842" s="58">
        <f t="shared" si="3"/>
        <v>8</v>
      </c>
      <c r="L2842" s="91" t="str">
        <f t="shared" si="8"/>
        <v>Fri</v>
      </c>
      <c r="M2842" s="78" t="str">
        <f>IFERROR(VLOOKUP(A2842, Entries!A:B,2,false),"")</f>
        <v>Total Mayhem Games</v>
      </c>
      <c r="N2842" s="23" t="str">
        <f>IFERROR(VLOOKUP(A2842, Entries!A:K,11,false),"")</f>
        <v/>
      </c>
      <c r="O2842" s="23" t="b">
        <f>IFERROR(VLOOKUP(A2842, Entries!A:I,8,false),"")</f>
        <v>0</v>
      </c>
    </row>
    <row r="2843">
      <c r="A2843" s="78" t="s">
        <v>2789</v>
      </c>
      <c r="B2843" s="78" t="s">
        <v>19</v>
      </c>
      <c r="C2843" s="85">
        <v>44973.0</v>
      </c>
      <c r="D2843" s="85">
        <v>44976.0</v>
      </c>
      <c r="E2843" s="86">
        <v>4.08</v>
      </c>
      <c r="F2843" s="87">
        <v>4.56</v>
      </c>
      <c r="G2843" s="88">
        <f t="shared" si="1"/>
        <v>0.48</v>
      </c>
      <c r="H2843" s="89">
        <f t="shared" si="10"/>
        <v>0.1052631579</v>
      </c>
      <c r="I2843" s="78" t="s">
        <v>3482</v>
      </c>
      <c r="J2843" s="78" t="s">
        <v>69</v>
      </c>
      <c r="K2843" s="58">
        <f t="shared" si="3"/>
        <v>3</v>
      </c>
      <c r="L2843" s="91" t="str">
        <f t="shared" si="8"/>
        <v>Sun</v>
      </c>
      <c r="M2843" s="78" t="str">
        <f>IFERROR(VLOOKUP(A2843, Entries!A:B,2,false),"")</f>
        <v>Evil Tortilla Games</v>
      </c>
      <c r="N2843" s="23" t="str">
        <f>IFERROR(VLOOKUP(A2843, Entries!A:K,11,false),"")</f>
        <v/>
      </c>
      <c r="O2843" s="23" t="b">
        <f>IFERROR(VLOOKUP(A2843, Entries!A:I,8,false),"")</f>
        <v>1</v>
      </c>
    </row>
    <row r="2844">
      <c r="A2844" s="78" t="s">
        <v>2466</v>
      </c>
      <c r="B2844" s="78" t="s">
        <v>27</v>
      </c>
      <c r="C2844" s="85">
        <v>44974.0</v>
      </c>
      <c r="D2844" s="85">
        <v>44974.0</v>
      </c>
      <c r="E2844" s="86">
        <v>9.69</v>
      </c>
      <c r="F2844" s="87">
        <v>11.82</v>
      </c>
      <c r="G2844" s="88">
        <f t="shared" si="1"/>
        <v>2.13</v>
      </c>
      <c r="H2844" s="89">
        <f t="shared" si="10"/>
        <v>0.1802030457</v>
      </c>
      <c r="I2844" s="78" t="s">
        <v>3483</v>
      </c>
      <c r="J2844" s="78" t="s">
        <v>69</v>
      </c>
      <c r="K2844" s="58">
        <f t="shared" si="3"/>
        <v>0</v>
      </c>
      <c r="L2844" s="91" t="str">
        <f t="shared" si="8"/>
        <v>Fri</v>
      </c>
      <c r="M2844" s="78" t="str">
        <f>IFERROR(VLOOKUP(A2844, Entries!A:B,2,false),"")</f>
        <v>Bethesda Softworks</v>
      </c>
      <c r="N2844" s="23" t="str">
        <f>IFERROR(VLOOKUP(A2844, Entries!A:K,11,false),"")</f>
        <v/>
      </c>
      <c r="O2844" s="23" t="b">
        <f>IFERROR(VLOOKUP(A2844, Entries!A:I,8,false),"")</f>
        <v>1</v>
      </c>
    </row>
    <row r="2845">
      <c r="A2845" s="78" t="s">
        <v>2466</v>
      </c>
      <c r="B2845" s="78" t="s">
        <v>27</v>
      </c>
      <c r="C2845" s="85">
        <v>44974.0</v>
      </c>
      <c r="D2845" s="85">
        <v>44975.0</v>
      </c>
      <c r="E2845" s="86">
        <v>9.69</v>
      </c>
      <c r="F2845" s="87">
        <v>11.85</v>
      </c>
      <c r="G2845" s="88">
        <f t="shared" si="1"/>
        <v>2.16</v>
      </c>
      <c r="H2845" s="89">
        <f t="shared" si="10"/>
        <v>0.182278481</v>
      </c>
      <c r="I2845" s="78" t="s">
        <v>3484</v>
      </c>
      <c r="J2845" s="78" t="s">
        <v>69</v>
      </c>
      <c r="K2845" s="58">
        <f t="shared" si="3"/>
        <v>1</v>
      </c>
      <c r="L2845" s="91" t="str">
        <f t="shared" si="8"/>
        <v>Sat</v>
      </c>
      <c r="M2845" s="78" t="str">
        <f>IFERROR(VLOOKUP(A2845, Entries!A:B,2,false),"")</f>
        <v>Bethesda Softworks</v>
      </c>
      <c r="N2845" s="23" t="str">
        <f>IFERROR(VLOOKUP(A2845, Entries!A:K,11,false),"")</f>
        <v/>
      </c>
      <c r="O2845" s="23" t="b">
        <f>IFERROR(VLOOKUP(A2845, Entries!A:I,8,false),"")</f>
        <v>1</v>
      </c>
    </row>
    <row r="2846">
      <c r="A2846" s="78" t="s">
        <v>3366</v>
      </c>
      <c r="B2846" s="78" t="s">
        <v>25</v>
      </c>
      <c r="C2846" s="85">
        <v>44974.0</v>
      </c>
      <c r="D2846" s="85">
        <v>44975.0</v>
      </c>
      <c r="E2846" s="86">
        <v>3.6</v>
      </c>
      <c r="F2846" s="87">
        <v>4.79</v>
      </c>
      <c r="G2846" s="88">
        <f t="shared" si="1"/>
        <v>1.19</v>
      </c>
      <c r="H2846" s="89">
        <f t="shared" si="10"/>
        <v>0.248434238</v>
      </c>
      <c r="I2846" s="78" t="s">
        <v>3485</v>
      </c>
      <c r="J2846" s="78" t="s">
        <v>69</v>
      </c>
      <c r="K2846" s="58">
        <f t="shared" si="3"/>
        <v>1</v>
      </c>
      <c r="L2846" s="91" t="str">
        <f t="shared" si="8"/>
        <v>Sat</v>
      </c>
      <c r="M2846" s="78" t="str">
        <f>IFERROR(VLOOKUP(A2846, Entries!A:B,2,false),"")</f>
        <v>Sector D2</v>
      </c>
      <c r="N2846" s="23" t="str">
        <f>IFERROR(VLOOKUP(A2846, Entries!A:K,11,false),"")</f>
        <v/>
      </c>
      <c r="O2846" s="23" t="b">
        <f>IFERROR(VLOOKUP(A2846, Entries!A:I,8,false),"")</f>
        <v>0</v>
      </c>
    </row>
    <row r="2847">
      <c r="A2847" s="78" t="s">
        <v>3366</v>
      </c>
      <c r="B2847" s="78" t="s">
        <v>25</v>
      </c>
      <c r="C2847" s="85">
        <v>44974.0</v>
      </c>
      <c r="D2847" s="85">
        <v>44975.0</v>
      </c>
      <c r="E2847" s="86">
        <v>3.6</v>
      </c>
      <c r="F2847" s="87">
        <v>4.79</v>
      </c>
      <c r="G2847" s="88">
        <f t="shared" si="1"/>
        <v>1.19</v>
      </c>
      <c r="H2847" s="89">
        <f t="shared" si="10"/>
        <v>0.248434238</v>
      </c>
      <c r="I2847" s="78" t="s">
        <v>3486</v>
      </c>
      <c r="J2847" s="78" t="s">
        <v>69</v>
      </c>
      <c r="K2847" s="58">
        <f t="shared" si="3"/>
        <v>1</v>
      </c>
      <c r="L2847" s="91" t="str">
        <f t="shared" si="8"/>
        <v>Sat</v>
      </c>
      <c r="M2847" s="78" t="str">
        <f>IFERROR(VLOOKUP(A2847, Entries!A:B,2,false),"")</f>
        <v>Sector D2</v>
      </c>
      <c r="N2847" s="23" t="str">
        <f>IFERROR(VLOOKUP(A2847, Entries!A:K,11,false),"")</f>
        <v/>
      </c>
      <c r="O2847" s="23" t="b">
        <f>IFERROR(VLOOKUP(A2847, Entries!A:I,8,false),"")</f>
        <v>0</v>
      </c>
    </row>
    <row r="2848">
      <c r="A2848" s="78" t="s">
        <v>2466</v>
      </c>
      <c r="B2848" s="78" t="s">
        <v>27</v>
      </c>
      <c r="C2848" s="85">
        <v>44974.0</v>
      </c>
      <c r="D2848" s="85">
        <v>44975.0</v>
      </c>
      <c r="E2848" s="86">
        <v>9.69</v>
      </c>
      <c r="F2848" s="87">
        <v>11.85</v>
      </c>
      <c r="G2848" s="88">
        <f t="shared" si="1"/>
        <v>2.16</v>
      </c>
      <c r="H2848" s="89">
        <f t="shared" si="10"/>
        <v>0.182278481</v>
      </c>
      <c r="I2848" s="78" t="s">
        <v>3487</v>
      </c>
      <c r="J2848" s="78" t="s">
        <v>69</v>
      </c>
      <c r="K2848" s="58">
        <f t="shared" si="3"/>
        <v>1</v>
      </c>
      <c r="L2848" s="91" t="str">
        <f t="shared" si="8"/>
        <v>Sat</v>
      </c>
      <c r="M2848" s="78" t="str">
        <f>IFERROR(VLOOKUP(A2848, Entries!A:B,2,false),"")</f>
        <v>Bethesda Softworks</v>
      </c>
      <c r="N2848" s="23" t="str">
        <f>IFERROR(VLOOKUP(A2848, Entries!A:K,11,false),"")</f>
        <v/>
      </c>
      <c r="O2848" s="23" t="b">
        <f>IFERROR(VLOOKUP(A2848, Entries!A:I,8,false),"")</f>
        <v>1</v>
      </c>
    </row>
    <row r="2849">
      <c r="A2849" s="78" t="s">
        <v>2466</v>
      </c>
      <c r="B2849" s="78" t="s">
        <v>27</v>
      </c>
      <c r="C2849" s="85">
        <v>44974.0</v>
      </c>
      <c r="D2849" s="85">
        <v>44975.0</v>
      </c>
      <c r="E2849" s="86">
        <v>9.69</v>
      </c>
      <c r="F2849" s="87">
        <v>11.85</v>
      </c>
      <c r="G2849" s="88">
        <f t="shared" si="1"/>
        <v>2.16</v>
      </c>
      <c r="H2849" s="89">
        <f t="shared" si="10"/>
        <v>0.182278481</v>
      </c>
      <c r="I2849" s="78" t="s">
        <v>3488</v>
      </c>
      <c r="J2849" s="78" t="s">
        <v>69</v>
      </c>
      <c r="K2849" s="58">
        <f t="shared" si="3"/>
        <v>1</v>
      </c>
      <c r="L2849" s="91" t="str">
        <f t="shared" si="8"/>
        <v>Sat</v>
      </c>
      <c r="M2849" s="78" t="str">
        <f>IFERROR(VLOOKUP(A2849, Entries!A:B,2,false),"")</f>
        <v>Bethesda Softworks</v>
      </c>
      <c r="N2849" s="23" t="str">
        <f>IFERROR(VLOOKUP(A2849, Entries!A:K,11,false),"")</f>
        <v/>
      </c>
      <c r="O2849" s="23" t="b">
        <f>IFERROR(VLOOKUP(A2849, Entries!A:I,8,false),"")</f>
        <v>1</v>
      </c>
    </row>
    <row r="2850">
      <c r="A2850" s="78" t="s">
        <v>2466</v>
      </c>
      <c r="B2850" s="78" t="s">
        <v>27</v>
      </c>
      <c r="C2850" s="85">
        <v>44975.0</v>
      </c>
      <c r="D2850" s="85">
        <v>44975.0</v>
      </c>
      <c r="E2850" s="86">
        <v>9.69</v>
      </c>
      <c r="F2850" s="87">
        <v>11.85</v>
      </c>
      <c r="G2850" s="88">
        <f t="shared" si="1"/>
        <v>2.16</v>
      </c>
      <c r="H2850" s="89">
        <f t="shared" si="10"/>
        <v>0.182278481</v>
      </c>
      <c r="I2850" s="78" t="s">
        <v>3489</v>
      </c>
      <c r="J2850" s="78" t="s">
        <v>69</v>
      </c>
      <c r="K2850" s="58">
        <f t="shared" si="3"/>
        <v>0</v>
      </c>
      <c r="L2850" s="91" t="str">
        <f t="shared" si="8"/>
        <v>Sat</v>
      </c>
      <c r="M2850" s="78" t="str">
        <f>IFERROR(VLOOKUP(A2850, Entries!A:B,2,false),"")</f>
        <v>Bethesda Softworks</v>
      </c>
      <c r="N2850" s="23" t="str">
        <f>IFERROR(VLOOKUP(A2850, Entries!A:K,11,false),"")</f>
        <v/>
      </c>
      <c r="O2850" s="23" t="b">
        <f>IFERROR(VLOOKUP(A2850, Entries!A:I,8,false),"")</f>
        <v>1</v>
      </c>
    </row>
    <row r="2851">
      <c r="A2851" s="78" t="s">
        <v>2466</v>
      </c>
      <c r="B2851" s="78" t="s">
        <v>27</v>
      </c>
      <c r="C2851" s="85">
        <v>44975.0</v>
      </c>
      <c r="D2851" s="85">
        <v>44975.0</v>
      </c>
      <c r="E2851" s="86">
        <v>9.69</v>
      </c>
      <c r="F2851" s="87">
        <v>11.85</v>
      </c>
      <c r="G2851" s="88">
        <f t="shared" si="1"/>
        <v>2.16</v>
      </c>
      <c r="H2851" s="89">
        <f t="shared" si="10"/>
        <v>0.182278481</v>
      </c>
      <c r="I2851" s="78" t="s">
        <v>3490</v>
      </c>
      <c r="J2851" s="78" t="s">
        <v>69</v>
      </c>
      <c r="K2851" s="58">
        <f t="shared" si="3"/>
        <v>0</v>
      </c>
      <c r="L2851" s="91" t="str">
        <f t="shared" si="8"/>
        <v>Sat</v>
      </c>
      <c r="M2851" s="78" t="str">
        <f>IFERROR(VLOOKUP(A2851, Entries!A:B,2,false),"")</f>
        <v>Bethesda Softworks</v>
      </c>
      <c r="N2851" s="23" t="str">
        <f>IFERROR(VLOOKUP(A2851, Entries!A:K,11,false),"")</f>
        <v/>
      </c>
      <c r="O2851" s="23" t="b">
        <f>IFERROR(VLOOKUP(A2851, Entries!A:I,8,false),"")</f>
        <v>1</v>
      </c>
    </row>
    <row r="2852">
      <c r="A2852" s="78" t="s">
        <v>2466</v>
      </c>
      <c r="B2852" s="78" t="s">
        <v>27</v>
      </c>
      <c r="C2852" s="85">
        <v>44975.0</v>
      </c>
      <c r="D2852" s="85">
        <v>44975.0</v>
      </c>
      <c r="E2852" s="86">
        <v>9.69</v>
      </c>
      <c r="F2852" s="87">
        <v>11.85</v>
      </c>
      <c r="G2852" s="88">
        <f t="shared" si="1"/>
        <v>2.16</v>
      </c>
      <c r="H2852" s="89">
        <f t="shared" si="10"/>
        <v>0.182278481</v>
      </c>
      <c r="I2852" s="78" t="s">
        <v>3491</v>
      </c>
      <c r="J2852" s="78" t="s">
        <v>69</v>
      </c>
      <c r="K2852" s="58">
        <f t="shared" si="3"/>
        <v>0</v>
      </c>
      <c r="L2852" s="91" t="str">
        <f t="shared" si="8"/>
        <v>Sat</v>
      </c>
      <c r="M2852" s="78" t="str">
        <f>IFERROR(VLOOKUP(A2852, Entries!A:B,2,false),"")</f>
        <v>Bethesda Softworks</v>
      </c>
      <c r="N2852" s="23" t="str">
        <f>IFERROR(VLOOKUP(A2852, Entries!A:K,11,false),"")</f>
        <v/>
      </c>
      <c r="O2852" s="23" t="b">
        <f>IFERROR(VLOOKUP(A2852, Entries!A:I,8,false),"")</f>
        <v>1</v>
      </c>
    </row>
    <row r="2853">
      <c r="A2853" s="78" t="s">
        <v>2466</v>
      </c>
      <c r="B2853" s="78" t="s">
        <v>27</v>
      </c>
      <c r="C2853" s="85">
        <v>44975.0</v>
      </c>
      <c r="D2853" s="85">
        <v>44976.0</v>
      </c>
      <c r="E2853" s="86">
        <v>9.69</v>
      </c>
      <c r="F2853" s="87">
        <v>11.85</v>
      </c>
      <c r="G2853" s="88">
        <f t="shared" si="1"/>
        <v>2.16</v>
      </c>
      <c r="H2853" s="89">
        <f t="shared" si="10"/>
        <v>0.182278481</v>
      </c>
      <c r="I2853" s="78" t="s">
        <v>3492</v>
      </c>
      <c r="J2853" s="78" t="s">
        <v>69</v>
      </c>
      <c r="K2853" s="58">
        <f t="shared" si="3"/>
        <v>1</v>
      </c>
      <c r="L2853" s="91" t="str">
        <f t="shared" si="8"/>
        <v>Sun</v>
      </c>
      <c r="M2853" s="78" t="str">
        <f>IFERROR(VLOOKUP(A2853, Entries!A:B,2,false),"")</f>
        <v>Bethesda Softworks</v>
      </c>
      <c r="N2853" s="23" t="str">
        <f>IFERROR(VLOOKUP(A2853, Entries!A:K,11,false),"")</f>
        <v/>
      </c>
      <c r="O2853" s="23" t="b">
        <f>IFERROR(VLOOKUP(A2853, Entries!A:I,8,false),"")</f>
        <v>1</v>
      </c>
    </row>
    <row r="2854">
      <c r="A2854" s="78" t="s">
        <v>207</v>
      </c>
      <c r="B2854" s="78" t="s">
        <v>18</v>
      </c>
      <c r="C2854" s="85">
        <v>44975.0</v>
      </c>
      <c r="D2854" s="85">
        <v>44976.0</v>
      </c>
      <c r="E2854" s="86">
        <v>8.05</v>
      </c>
      <c r="F2854" s="87">
        <v>10.56</v>
      </c>
      <c r="G2854" s="88">
        <f t="shared" si="1"/>
        <v>2.51</v>
      </c>
      <c r="H2854" s="89">
        <f t="shared" si="10"/>
        <v>0.2376893939</v>
      </c>
      <c r="I2854" s="78" t="s">
        <v>3493</v>
      </c>
      <c r="J2854" s="78" t="s">
        <v>69</v>
      </c>
      <c r="K2854" s="58">
        <f t="shared" si="3"/>
        <v>1</v>
      </c>
      <c r="L2854" s="91" t="str">
        <f t="shared" si="8"/>
        <v>Sun</v>
      </c>
      <c r="M2854" s="78" t="str">
        <f>IFERROR(VLOOKUP(A2854, Entries!A:B,2,false),"")</f>
        <v>Square Enix</v>
      </c>
      <c r="N2854" s="23" t="str">
        <f>IFERROR(VLOOKUP(A2854, Entries!A:K,11,false),"")</f>
        <v/>
      </c>
      <c r="O2854" s="23" t="b">
        <f>IFERROR(VLOOKUP(A2854, Entries!A:I,8,false),"")</f>
        <v>0</v>
      </c>
    </row>
    <row r="2855">
      <c r="A2855" s="78" t="s">
        <v>207</v>
      </c>
      <c r="B2855" s="78" t="s">
        <v>18</v>
      </c>
      <c r="C2855" s="85">
        <v>44975.0</v>
      </c>
      <c r="D2855" s="85">
        <v>44977.0</v>
      </c>
      <c r="E2855" s="86">
        <v>8.05</v>
      </c>
      <c r="F2855" s="87">
        <v>10.56</v>
      </c>
      <c r="G2855" s="88">
        <f t="shared" si="1"/>
        <v>2.51</v>
      </c>
      <c r="H2855" s="89">
        <f t="shared" si="10"/>
        <v>0.2376893939</v>
      </c>
      <c r="I2855" s="78" t="s">
        <v>3494</v>
      </c>
      <c r="J2855" s="78" t="s">
        <v>69</v>
      </c>
      <c r="K2855" s="58">
        <f t="shared" si="3"/>
        <v>2</v>
      </c>
      <c r="L2855" s="91" t="str">
        <f t="shared" si="8"/>
        <v>Mon</v>
      </c>
      <c r="M2855" s="78" t="str">
        <f>IFERROR(VLOOKUP(A2855, Entries!A:B,2,false),"")</f>
        <v>Square Enix</v>
      </c>
      <c r="N2855" s="23" t="str">
        <f>IFERROR(VLOOKUP(A2855, Entries!A:K,11,false),"")</f>
        <v/>
      </c>
      <c r="O2855" s="23" t="b">
        <f>IFERROR(VLOOKUP(A2855, Entries!A:I,8,false),"")</f>
        <v>0</v>
      </c>
    </row>
    <row r="2856">
      <c r="A2856" s="78" t="s">
        <v>3430</v>
      </c>
      <c r="B2856" s="78" t="s">
        <v>25</v>
      </c>
      <c r="C2856" s="85">
        <v>44976.0</v>
      </c>
      <c r="D2856" s="85">
        <v>45001.0</v>
      </c>
      <c r="E2856" s="86">
        <v>6.21</v>
      </c>
      <c r="F2856" s="87">
        <v>7.02</v>
      </c>
      <c r="G2856" s="88">
        <f t="shared" si="1"/>
        <v>0.81</v>
      </c>
      <c r="H2856" s="89">
        <f t="shared" si="10"/>
        <v>0.1153846154</v>
      </c>
      <c r="I2856" s="78" t="s">
        <v>3495</v>
      </c>
      <c r="J2856" s="78" t="s">
        <v>69</v>
      </c>
      <c r="K2856" s="58">
        <f t="shared" si="3"/>
        <v>25</v>
      </c>
      <c r="L2856" s="91" t="str">
        <f t="shared" si="8"/>
        <v>Thu</v>
      </c>
      <c r="M2856" s="78" t="str">
        <f>IFERROR(VLOOKUP(A2856, Entries!A:B,2,false),"")</f>
        <v>HandyGames</v>
      </c>
      <c r="N2856" s="23" t="str">
        <f>IFERROR(VLOOKUP(A2856, Entries!A:K,11,false),"")</f>
        <v/>
      </c>
      <c r="O2856" s="23" t="b">
        <f>IFERROR(VLOOKUP(A2856, Entries!A:I,8,false),"")</f>
        <v>0</v>
      </c>
    </row>
    <row r="2857">
      <c r="A2857" s="78" t="s">
        <v>2466</v>
      </c>
      <c r="B2857" s="78" t="s">
        <v>27</v>
      </c>
      <c r="C2857" s="85">
        <v>44976.0</v>
      </c>
      <c r="D2857" s="85">
        <v>44976.0</v>
      </c>
      <c r="E2857" s="86">
        <v>9.69</v>
      </c>
      <c r="F2857" s="87">
        <v>11.85</v>
      </c>
      <c r="G2857" s="88">
        <f t="shared" si="1"/>
        <v>2.16</v>
      </c>
      <c r="H2857" s="89">
        <f t="shared" si="10"/>
        <v>0.182278481</v>
      </c>
      <c r="I2857" s="78" t="s">
        <v>3496</v>
      </c>
      <c r="J2857" s="78" t="s">
        <v>69</v>
      </c>
      <c r="K2857" s="58">
        <f t="shared" si="3"/>
        <v>0</v>
      </c>
      <c r="L2857" s="91" t="str">
        <f t="shared" si="8"/>
        <v>Sun</v>
      </c>
      <c r="M2857" s="78" t="str">
        <f>IFERROR(VLOOKUP(A2857, Entries!A:B,2,false),"")</f>
        <v>Bethesda Softworks</v>
      </c>
      <c r="N2857" s="23" t="str">
        <f>IFERROR(VLOOKUP(A2857, Entries!A:K,11,false),"")</f>
        <v/>
      </c>
      <c r="O2857" s="23" t="b">
        <f>IFERROR(VLOOKUP(A2857, Entries!A:I,8,false),"")</f>
        <v>1</v>
      </c>
    </row>
    <row r="2858">
      <c r="A2858" s="78" t="s">
        <v>2466</v>
      </c>
      <c r="B2858" s="78" t="s">
        <v>27</v>
      </c>
      <c r="C2858" s="85">
        <v>44976.0</v>
      </c>
      <c r="D2858" s="85">
        <v>44976.0</v>
      </c>
      <c r="E2858" s="86">
        <v>9.69</v>
      </c>
      <c r="F2858" s="87">
        <v>11.85</v>
      </c>
      <c r="G2858" s="88">
        <f t="shared" si="1"/>
        <v>2.16</v>
      </c>
      <c r="H2858" s="89">
        <f t="shared" si="10"/>
        <v>0.182278481</v>
      </c>
      <c r="I2858" s="78" t="s">
        <v>3497</v>
      </c>
      <c r="J2858" s="78" t="s">
        <v>69</v>
      </c>
      <c r="K2858" s="58">
        <f t="shared" si="3"/>
        <v>0</v>
      </c>
      <c r="L2858" s="91" t="str">
        <f t="shared" si="8"/>
        <v>Sun</v>
      </c>
      <c r="M2858" s="78" t="str">
        <f>IFERROR(VLOOKUP(A2858, Entries!A:B,2,false),"")</f>
        <v>Bethesda Softworks</v>
      </c>
      <c r="N2858" s="23" t="str">
        <f>IFERROR(VLOOKUP(A2858, Entries!A:K,11,false),"")</f>
        <v/>
      </c>
      <c r="O2858" s="23" t="b">
        <f>IFERROR(VLOOKUP(A2858, Entries!A:I,8,false),"")</f>
        <v>1</v>
      </c>
    </row>
    <row r="2859">
      <c r="A2859" s="78" t="s">
        <v>2466</v>
      </c>
      <c r="B2859" s="78" t="s">
        <v>27</v>
      </c>
      <c r="C2859" s="85">
        <v>44976.0</v>
      </c>
      <c r="D2859" s="85">
        <v>44977.0</v>
      </c>
      <c r="E2859" s="86">
        <v>9.69</v>
      </c>
      <c r="F2859" s="87">
        <v>11.39</v>
      </c>
      <c r="G2859" s="88">
        <f t="shared" si="1"/>
        <v>1.7</v>
      </c>
      <c r="H2859" s="89">
        <f t="shared" si="10"/>
        <v>0.1492537313</v>
      </c>
      <c r="I2859" s="78" t="s">
        <v>3498</v>
      </c>
      <c r="J2859" s="78" t="s">
        <v>69</v>
      </c>
      <c r="K2859" s="58">
        <f t="shared" si="3"/>
        <v>1</v>
      </c>
      <c r="L2859" s="91" t="str">
        <f t="shared" si="8"/>
        <v>Mon</v>
      </c>
      <c r="M2859" s="78" t="str">
        <f>IFERROR(VLOOKUP(A2859, Entries!A:B,2,false),"")</f>
        <v>Bethesda Softworks</v>
      </c>
      <c r="N2859" s="23" t="str">
        <f>IFERROR(VLOOKUP(A2859, Entries!A:K,11,false),"")</f>
        <v/>
      </c>
      <c r="O2859" s="23" t="b">
        <f>IFERROR(VLOOKUP(A2859, Entries!A:I,8,false),"")</f>
        <v>1</v>
      </c>
    </row>
    <row r="2860">
      <c r="A2860" s="78" t="s">
        <v>2466</v>
      </c>
      <c r="B2860" s="78" t="s">
        <v>27</v>
      </c>
      <c r="C2860" s="85">
        <v>44976.0</v>
      </c>
      <c r="D2860" s="85">
        <v>44978.0</v>
      </c>
      <c r="E2860" s="86">
        <v>9.69</v>
      </c>
      <c r="F2860" s="87">
        <v>11.39</v>
      </c>
      <c r="G2860" s="88">
        <f t="shared" si="1"/>
        <v>1.7</v>
      </c>
      <c r="H2860" s="89">
        <f t="shared" si="10"/>
        <v>0.1492537313</v>
      </c>
      <c r="I2860" s="78" t="s">
        <v>3499</v>
      </c>
      <c r="J2860" s="78" t="s">
        <v>69</v>
      </c>
      <c r="K2860" s="58">
        <f t="shared" si="3"/>
        <v>2</v>
      </c>
      <c r="L2860" s="91" t="str">
        <f t="shared" si="8"/>
        <v>Tue</v>
      </c>
      <c r="M2860" s="78" t="str">
        <f>IFERROR(VLOOKUP(A2860, Entries!A:B,2,false),"")</f>
        <v>Bethesda Softworks</v>
      </c>
      <c r="N2860" s="23" t="str">
        <f>IFERROR(VLOOKUP(A2860, Entries!A:K,11,false),"")</f>
        <v/>
      </c>
      <c r="O2860" s="23" t="b">
        <f>IFERROR(VLOOKUP(A2860, Entries!A:I,8,false),"")</f>
        <v>1</v>
      </c>
    </row>
    <row r="2861">
      <c r="A2861" s="78" t="s">
        <v>2466</v>
      </c>
      <c r="B2861" s="78" t="s">
        <v>27</v>
      </c>
      <c r="C2861" s="85">
        <v>44980.0</v>
      </c>
      <c r="D2861" s="85">
        <v>44980.0</v>
      </c>
      <c r="E2861" s="86">
        <v>9.69</v>
      </c>
      <c r="F2861" s="87">
        <v>11.41</v>
      </c>
      <c r="G2861" s="88">
        <f t="shared" si="1"/>
        <v>1.72</v>
      </c>
      <c r="H2861" s="89">
        <f t="shared" si="10"/>
        <v>0.1507449606</v>
      </c>
      <c r="I2861" s="78" t="s">
        <v>3500</v>
      </c>
      <c r="J2861" s="78" t="s">
        <v>69</v>
      </c>
      <c r="K2861" s="58">
        <f t="shared" si="3"/>
        <v>0</v>
      </c>
      <c r="L2861" s="91" t="str">
        <f t="shared" si="8"/>
        <v>Thu</v>
      </c>
      <c r="M2861" s="78" t="str">
        <f>IFERROR(VLOOKUP(A2861, Entries!A:B,2,false),"")</f>
        <v>Bethesda Softworks</v>
      </c>
      <c r="N2861" s="23" t="str">
        <f>IFERROR(VLOOKUP(A2861, Entries!A:K,11,false),"")</f>
        <v/>
      </c>
      <c r="O2861" s="23" t="b">
        <f>IFERROR(VLOOKUP(A2861, Entries!A:I,8,false),"")</f>
        <v>1</v>
      </c>
    </row>
    <row r="2862">
      <c r="A2862" s="78" t="s">
        <v>2466</v>
      </c>
      <c r="B2862" s="78" t="s">
        <v>27</v>
      </c>
      <c r="C2862" s="85">
        <v>44980.0</v>
      </c>
      <c r="D2862" s="85">
        <v>44982.0</v>
      </c>
      <c r="E2862" s="86">
        <v>9.69</v>
      </c>
      <c r="F2862" s="87">
        <v>11.37</v>
      </c>
      <c r="G2862" s="88">
        <f t="shared" si="1"/>
        <v>1.68</v>
      </c>
      <c r="H2862" s="89">
        <f t="shared" si="10"/>
        <v>0.1477572559</v>
      </c>
      <c r="I2862" s="78" t="s">
        <v>3501</v>
      </c>
      <c r="J2862" s="78" t="s">
        <v>69</v>
      </c>
      <c r="K2862" s="58">
        <f t="shared" si="3"/>
        <v>2</v>
      </c>
      <c r="L2862" s="91" t="str">
        <f t="shared" si="8"/>
        <v>Sat</v>
      </c>
      <c r="M2862" s="78" t="str">
        <f>IFERROR(VLOOKUP(A2862, Entries!A:B,2,false),"")</f>
        <v>Bethesda Softworks</v>
      </c>
      <c r="N2862" s="23" t="str">
        <f>IFERROR(VLOOKUP(A2862, Entries!A:K,11,false),"")</f>
        <v/>
      </c>
      <c r="O2862" s="23" t="b">
        <f>IFERROR(VLOOKUP(A2862, Entries!A:I,8,false),"")</f>
        <v>1</v>
      </c>
    </row>
    <row r="2863">
      <c r="A2863" s="78" t="s">
        <v>207</v>
      </c>
      <c r="B2863" s="78" t="s">
        <v>18</v>
      </c>
      <c r="C2863" s="85">
        <v>44980.0</v>
      </c>
      <c r="D2863" s="85">
        <v>44982.0</v>
      </c>
      <c r="E2863" s="86">
        <v>8.05</v>
      </c>
      <c r="F2863" s="87">
        <v>11.29</v>
      </c>
      <c r="G2863" s="88">
        <f t="shared" si="1"/>
        <v>3.24</v>
      </c>
      <c r="H2863" s="89">
        <f t="shared" si="10"/>
        <v>0.286979628</v>
      </c>
      <c r="I2863" s="78" t="s">
        <v>3502</v>
      </c>
      <c r="J2863" s="78" t="s">
        <v>69</v>
      </c>
      <c r="K2863" s="58">
        <f t="shared" si="3"/>
        <v>2</v>
      </c>
      <c r="L2863" s="91" t="str">
        <f t="shared" si="8"/>
        <v>Sat</v>
      </c>
      <c r="M2863" s="78" t="str">
        <f>IFERROR(VLOOKUP(A2863, Entries!A:B,2,false),"")</f>
        <v>Square Enix</v>
      </c>
      <c r="N2863" s="23" t="str">
        <f>IFERROR(VLOOKUP(A2863, Entries!A:K,11,false),"")</f>
        <v/>
      </c>
      <c r="O2863" s="23" t="b">
        <f>IFERROR(VLOOKUP(A2863, Entries!A:I,8,false),"")</f>
        <v>0</v>
      </c>
    </row>
    <row r="2864">
      <c r="A2864" s="78" t="s">
        <v>207</v>
      </c>
      <c r="B2864" s="78" t="s">
        <v>18</v>
      </c>
      <c r="C2864" s="85">
        <v>44980.0</v>
      </c>
      <c r="D2864" s="85">
        <v>44986.0</v>
      </c>
      <c r="E2864" s="86">
        <v>8.05</v>
      </c>
      <c r="F2864" s="87">
        <v>10.98</v>
      </c>
      <c r="G2864" s="88">
        <f t="shared" si="1"/>
        <v>2.93</v>
      </c>
      <c r="H2864" s="89">
        <f t="shared" si="10"/>
        <v>0.266848816</v>
      </c>
      <c r="I2864" s="78" t="s">
        <v>3503</v>
      </c>
      <c r="J2864" s="78" t="s">
        <v>69</v>
      </c>
      <c r="K2864" s="58">
        <f t="shared" si="3"/>
        <v>6</v>
      </c>
      <c r="L2864" s="91" t="str">
        <f t="shared" si="8"/>
        <v>Wed</v>
      </c>
      <c r="M2864" s="78" t="str">
        <f>IFERROR(VLOOKUP(A2864, Entries!A:B,2,false),"")</f>
        <v>Square Enix</v>
      </c>
      <c r="N2864" s="23" t="str">
        <f>IFERROR(VLOOKUP(A2864, Entries!A:K,11,false),"")</f>
        <v/>
      </c>
      <c r="O2864" s="23" t="b">
        <f>IFERROR(VLOOKUP(A2864, Entries!A:I,8,false),"")</f>
        <v>0</v>
      </c>
    </row>
    <row r="2865">
      <c r="A2865" s="78" t="s">
        <v>1754</v>
      </c>
      <c r="B2865" s="78" t="s">
        <v>32</v>
      </c>
      <c r="C2865" s="85">
        <v>44980.0</v>
      </c>
      <c r="D2865" s="85">
        <v>44981.0</v>
      </c>
      <c r="E2865" s="86">
        <v>17.94</v>
      </c>
      <c r="F2865" s="87">
        <v>20.2</v>
      </c>
      <c r="G2865" s="88">
        <f t="shared" si="1"/>
        <v>2.26</v>
      </c>
      <c r="H2865" s="89">
        <f t="shared" si="10"/>
        <v>0.1118811881</v>
      </c>
      <c r="I2865" s="78" t="s">
        <v>3504</v>
      </c>
      <c r="J2865" s="78" t="s">
        <v>69</v>
      </c>
      <c r="K2865" s="58">
        <f t="shared" si="3"/>
        <v>1</v>
      </c>
      <c r="L2865" s="91" t="str">
        <f t="shared" si="8"/>
        <v>Fri</v>
      </c>
      <c r="M2865" s="78" t="str">
        <f>IFERROR(VLOOKUP(A2865, Entries!A:B,2,false),"")</f>
        <v>Arc System Works</v>
      </c>
      <c r="N2865" s="23" t="str">
        <f>IFERROR(VLOOKUP(A2865, Entries!A:K,11,false),"")</f>
        <v/>
      </c>
      <c r="O2865" s="23" t="b">
        <f>IFERROR(VLOOKUP(A2865, Entries!A:I,8,false),"")</f>
        <v>0</v>
      </c>
    </row>
    <row r="2866">
      <c r="A2866" s="78" t="s">
        <v>1754</v>
      </c>
      <c r="B2866" s="78" t="s">
        <v>32</v>
      </c>
      <c r="C2866" s="85">
        <v>44980.0</v>
      </c>
      <c r="D2866" s="85">
        <v>44982.0</v>
      </c>
      <c r="E2866" s="86">
        <v>17.95</v>
      </c>
      <c r="F2866" s="87">
        <v>20.2</v>
      </c>
      <c r="G2866" s="88">
        <f t="shared" si="1"/>
        <v>2.25</v>
      </c>
      <c r="H2866" s="89">
        <f t="shared" si="10"/>
        <v>0.1113861386</v>
      </c>
      <c r="I2866" s="78" t="s">
        <v>3505</v>
      </c>
      <c r="J2866" s="78" t="s">
        <v>69</v>
      </c>
      <c r="K2866" s="58">
        <f t="shared" si="3"/>
        <v>2</v>
      </c>
      <c r="L2866" s="91" t="str">
        <f t="shared" si="8"/>
        <v>Sat</v>
      </c>
      <c r="M2866" s="78" t="str">
        <f>IFERROR(VLOOKUP(A2866, Entries!A:B,2,false),"")</f>
        <v>Arc System Works</v>
      </c>
      <c r="N2866" s="23" t="str">
        <f>IFERROR(VLOOKUP(A2866, Entries!A:K,11,false),"")</f>
        <v/>
      </c>
      <c r="O2866" s="23" t="b">
        <f>IFERROR(VLOOKUP(A2866, Entries!A:I,8,false),"")</f>
        <v>0</v>
      </c>
    </row>
    <row r="2867">
      <c r="A2867" s="78" t="s">
        <v>3325</v>
      </c>
      <c r="B2867" s="78" t="s">
        <v>25</v>
      </c>
      <c r="C2867" s="85">
        <v>44980.0</v>
      </c>
      <c r="D2867" s="85">
        <v>44983.0</v>
      </c>
      <c r="E2867" s="86">
        <v>16.64</v>
      </c>
      <c r="F2867" s="87">
        <v>18.55</v>
      </c>
      <c r="G2867" s="88">
        <f t="shared" si="1"/>
        <v>1.91</v>
      </c>
      <c r="H2867" s="89">
        <f t="shared" si="10"/>
        <v>0.1029649596</v>
      </c>
      <c r="I2867" s="78" t="s">
        <v>3506</v>
      </c>
      <c r="J2867" s="78" t="s">
        <v>69</v>
      </c>
      <c r="K2867" s="58">
        <f t="shared" si="3"/>
        <v>3</v>
      </c>
      <c r="L2867" s="91" t="str">
        <f t="shared" si="8"/>
        <v>Sun</v>
      </c>
      <c r="M2867" s="78" t="str">
        <f>IFERROR(VLOOKUP(A2867, Entries!A:B,2,false),"")</f>
        <v>Cheesecake Dev</v>
      </c>
      <c r="N2867" s="23" t="str">
        <f>IFERROR(VLOOKUP(A2867, Entries!A:K,11,false),"")</f>
        <v/>
      </c>
      <c r="O2867" s="23" t="b">
        <f>IFERROR(VLOOKUP(A2867, Entries!A:I,8,false),"")</f>
        <v>1</v>
      </c>
    </row>
    <row r="2868">
      <c r="A2868" s="78" t="s">
        <v>2789</v>
      </c>
      <c r="B2868" s="78" t="s">
        <v>19</v>
      </c>
      <c r="C2868" s="85">
        <v>44980.0</v>
      </c>
      <c r="D2868" s="85">
        <v>44980.0</v>
      </c>
      <c r="E2868" s="86">
        <v>3.95</v>
      </c>
      <c r="F2868" s="87">
        <v>4.69</v>
      </c>
      <c r="G2868" s="88">
        <f t="shared" si="1"/>
        <v>0.74</v>
      </c>
      <c r="H2868" s="89">
        <f t="shared" si="10"/>
        <v>0.157782516</v>
      </c>
      <c r="I2868" s="78" t="s">
        <v>3507</v>
      </c>
      <c r="J2868" s="78" t="s">
        <v>69</v>
      </c>
      <c r="K2868" s="58">
        <f t="shared" si="3"/>
        <v>0</v>
      </c>
      <c r="L2868" s="91" t="str">
        <f t="shared" si="8"/>
        <v>Thu</v>
      </c>
      <c r="M2868" s="78" t="str">
        <f>IFERROR(VLOOKUP(A2868, Entries!A:B,2,false),"")</f>
        <v>Evil Tortilla Games</v>
      </c>
      <c r="N2868" s="23" t="str">
        <f>IFERROR(VLOOKUP(A2868, Entries!A:K,11,false),"")</f>
        <v/>
      </c>
      <c r="O2868" s="23" t="b">
        <f>IFERROR(VLOOKUP(A2868, Entries!A:I,8,false),"")</f>
        <v>1</v>
      </c>
    </row>
    <row r="2869">
      <c r="A2869" s="78" t="s">
        <v>2466</v>
      </c>
      <c r="B2869" s="78" t="s">
        <v>27</v>
      </c>
      <c r="C2869" s="85">
        <v>44980.0</v>
      </c>
      <c r="D2869" s="85">
        <v>44981.0</v>
      </c>
      <c r="E2869" s="86">
        <v>9.69</v>
      </c>
      <c r="F2869" s="87">
        <v>11.39</v>
      </c>
      <c r="G2869" s="88">
        <f t="shared" si="1"/>
        <v>1.7</v>
      </c>
      <c r="H2869" s="89">
        <f t="shared" si="10"/>
        <v>0.1492537313</v>
      </c>
      <c r="I2869" s="78" t="s">
        <v>3508</v>
      </c>
      <c r="J2869" s="78" t="s">
        <v>69</v>
      </c>
      <c r="K2869" s="58">
        <f t="shared" si="3"/>
        <v>1</v>
      </c>
      <c r="L2869" s="91" t="str">
        <f t="shared" si="8"/>
        <v>Fri</v>
      </c>
      <c r="M2869" s="78" t="str">
        <f>IFERROR(VLOOKUP(A2869, Entries!A:B,2,false),"")</f>
        <v>Bethesda Softworks</v>
      </c>
      <c r="N2869" s="23" t="str">
        <f>IFERROR(VLOOKUP(A2869, Entries!A:K,11,false),"")</f>
        <v/>
      </c>
      <c r="O2869" s="23" t="b">
        <f>IFERROR(VLOOKUP(A2869, Entries!A:I,8,false),"")</f>
        <v>1</v>
      </c>
    </row>
    <row r="2870">
      <c r="A2870" s="78" t="s">
        <v>2466</v>
      </c>
      <c r="B2870" s="78" t="s">
        <v>27</v>
      </c>
      <c r="C2870" s="85">
        <v>44980.0</v>
      </c>
      <c r="D2870" s="85">
        <v>44981.0</v>
      </c>
      <c r="E2870" s="86">
        <v>9.69</v>
      </c>
      <c r="F2870" s="87">
        <v>11.39</v>
      </c>
      <c r="G2870" s="88">
        <f t="shared" si="1"/>
        <v>1.7</v>
      </c>
      <c r="H2870" s="89">
        <f t="shared" si="10"/>
        <v>0.1492537313</v>
      </c>
      <c r="I2870" s="78" t="s">
        <v>3509</v>
      </c>
      <c r="J2870" s="78" t="s">
        <v>69</v>
      </c>
      <c r="K2870" s="58">
        <f t="shared" si="3"/>
        <v>1</v>
      </c>
      <c r="L2870" s="91" t="str">
        <f t="shared" si="8"/>
        <v>Fri</v>
      </c>
      <c r="M2870" s="78" t="str">
        <f>IFERROR(VLOOKUP(A2870, Entries!A:B,2,false),"")</f>
        <v>Bethesda Softworks</v>
      </c>
      <c r="N2870" s="23" t="str">
        <f>IFERROR(VLOOKUP(A2870, Entries!A:K,11,false),"")</f>
        <v/>
      </c>
      <c r="O2870" s="23" t="b">
        <f>IFERROR(VLOOKUP(A2870, Entries!A:I,8,false),"")</f>
        <v>1</v>
      </c>
    </row>
    <row r="2871">
      <c r="A2871" s="78" t="s">
        <v>2789</v>
      </c>
      <c r="B2871" s="78" t="s">
        <v>19</v>
      </c>
      <c r="C2871" s="85">
        <v>44980.0</v>
      </c>
      <c r="D2871" s="85">
        <v>44980.0</v>
      </c>
      <c r="E2871" s="86">
        <v>4.1</v>
      </c>
      <c r="F2871" s="87">
        <v>4.69</v>
      </c>
      <c r="G2871" s="88">
        <f t="shared" si="1"/>
        <v>0.59</v>
      </c>
      <c r="H2871" s="89">
        <f t="shared" si="10"/>
        <v>0.1257995736</v>
      </c>
      <c r="I2871" s="78" t="s">
        <v>3510</v>
      </c>
      <c r="J2871" s="78" t="s">
        <v>69</v>
      </c>
      <c r="K2871" s="58">
        <f t="shared" si="3"/>
        <v>0</v>
      </c>
      <c r="L2871" s="91" t="str">
        <f t="shared" si="8"/>
        <v>Thu</v>
      </c>
      <c r="M2871" s="78" t="str">
        <f>IFERROR(VLOOKUP(A2871, Entries!A:B,2,false),"")</f>
        <v>Evil Tortilla Games</v>
      </c>
      <c r="N2871" s="23" t="str">
        <f>IFERROR(VLOOKUP(A2871, Entries!A:K,11,false),"")</f>
        <v/>
      </c>
      <c r="O2871" s="23" t="b">
        <f>IFERROR(VLOOKUP(A2871, Entries!A:I,8,false),"")</f>
        <v>1</v>
      </c>
    </row>
    <row r="2872">
      <c r="A2872" s="78" t="s">
        <v>2466</v>
      </c>
      <c r="B2872" s="78" t="s">
        <v>27</v>
      </c>
      <c r="C2872" s="85">
        <v>44981.0</v>
      </c>
      <c r="D2872" s="85">
        <v>44982.0</v>
      </c>
      <c r="E2872" s="86">
        <v>9.69</v>
      </c>
      <c r="F2872" s="87">
        <v>11.37</v>
      </c>
      <c r="G2872" s="88">
        <f t="shared" si="1"/>
        <v>1.68</v>
      </c>
      <c r="H2872" s="89">
        <f t="shared" si="10"/>
        <v>0.1477572559</v>
      </c>
      <c r="I2872" s="78" t="s">
        <v>3511</v>
      </c>
      <c r="J2872" s="78" t="s">
        <v>69</v>
      </c>
      <c r="K2872" s="58">
        <f t="shared" si="3"/>
        <v>1</v>
      </c>
      <c r="L2872" s="91" t="str">
        <f t="shared" si="8"/>
        <v>Sat</v>
      </c>
      <c r="M2872" s="78" t="str">
        <f>IFERROR(VLOOKUP(A2872, Entries!A:B,2,false),"")</f>
        <v>Bethesda Softworks</v>
      </c>
      <c r="N2872" s="23" t="str">
        <f>IFERROR(VLOOKUP(A2872, Entries!A:K,11,false),"")</f>
        <v/>
      </c>
      <c r="O2872" s="23" t="b">
        <f>IFERROR(VLOOKUP(A2872, Entries!A:I,8,false),"")</f>
        <v>1</v>
      </c>
    </row>
    <row r="2873">
      <c r="A2873" s="78" t="s">
        <v>2466</v>
      </c>
      <c r="B2873" s="78" t="s">
        <v>27</v>
      </c>
      <c r="C2873" s="85">
        <v>44981.0</v>
      </c>
      <c r="D2873" s="85">
        <v>44982.0</v>
      </c>
      <c r="E2873" s="86">
        <v>9.69</v>
      </c>
      <c r="F2873" s="87">
        <v>11.37</v>
      </c>
      <c r="G2873" s="88">
        <f t="shared" si="1"/>
        <v>1.68</v>
      </c>
      <c r="H2873" s="89">
        <f t="shared" si="10"/>
        <v>0.1477572559</v>
      </c>
      <c r="I2873" s="78" t="s">
        <v>3512</v>
      </c>
      <c r="J2873" s="78" t="s">
        <v>69</v>
      </c>
      <c r="K2873" s="58">
        <f t="shared" si="3"/>
        <v>1</v>
      </c>
      <c r="L2873" s="91" t="str">
        <f t="shared" si="8"/>
        <v>Sat</v>
      </c>
      <c r="M2873" s="78" t="str">
        <f>IFERROR(VLOOKUP(A2873, Entries!A:B,2,false),"")</f>
        <v>Bethesda Softworks</v>
      </c>
      <c r="N2873" s="23" t="str">
        <f>IFERROR(VLOOKUP(A2873, Entries!A:K,11,false),"")</f>
        <v/>
      </c>
      <c r="O2873" s="23" t="b">
        <f>IFERROR(VLOOKUP(A2873, Entries!A:I,8,false),"")</f>
        <v>1</v>
      </c>
    </row>
    <row r="2874">
      <c r="A2874" s="78" t="s">
        <v>2789</v>
      </c>
      <c r="B2874" s="78" t="s">
        <v>19</v>
      </c>
      <c r="C2874" s="85">
        <v>44981.0</v>
      </c>
      <c r="D2874" s="85">
        <v>44983.0</v>
      </c>
      <c r="E2874" s="86">
        <v>4.11</v>
      </c>
      <c r="F2874" s="87">
        <v>4.69</v>
      </c>
      <c r="G2874" s="88">
        <f t="shared" si="1"/>
        <v>0.58</v>
      </c>
      <c r="H2874" s="89">
        <f t="shared" si="10"/>
        <v>0.1236673774</v>
      </c>
      <c r="I2874" s="78" t="s">
        <v>3513</v>
      </c>
      <c r="J2874" s="78" t="s">
        <v>69</v>
      </c>
      <c r="K2874" s="58">
        <f t="shared" si="3"/>
        <v>2</v>
      </c>
      <c r="L2874" s="91" t="str">
        <f t="shared" si="8"/>
        <v>Sun</v>
      </c>
      <c r="M2874" s="78" t="str">
        <f>IFERROR(VLOOKUP(A2874, Entries!A:B,2,false),"")</f>
        <v>Evil Tortilla Games</v>
      </c>
      <c r="N2874" s="23" t="str">
        <f>IFERROR(VLOOKUP(A2874, Entries!A:K,11,false),"")</f>
        <v/>
      </c>
      <c r="O2874" s="23" t="b">
        <f>IFERROR(VLOOKUP(A2874, Entries!A:I,8,false),"")</f>
        <v>1</v>
      </c>
    </row>
    <row r="2875">
      <c r="A2875" s="78" t="s">
        <v>3226</v>
      </c>
      <c r="B2875" s="78" t="s">
        <v>25</v>
      </c>
      <c r="C2875" s="85">
        <v>44981.0</v>
      </c>
      <c r="D2875" s="85">
        <v>44990.0</v>
      </c>
      <c r="E2875" s="86">
        <v>15.96</v>
      </c>
      <c r="F2875" s="87">
        <v>21.43</v>
      </c>
      <c r="G2875" s="88">
        <f t="shared" si="1"/>
        <v>5.47</v>
      </c>
      <c r="H2875" s="89">
        <f t="shared" si="10"/>
        <v>0.25524965</v>
      </c>
      <c r="I2875" s="78" t="s">
        <v>3514</v>
      </c>
      <c r="J2875" s="78" t="s">
        <v>69</v>
      </c>
      <c r="K2875" s="58">
        <f t="shared" si="3"/>
        <v>9</v>
      </c>
      <c r="L2875" s="91" t="str">
        <f t="shared" si="8"/>
        <v>Sun</v>
      </c>
      <c r="M2875" s="78" t="str">
        <f>IFERROR(VLOOKUP(A2875, Entries!A:B,2,false),"")</f>
        <v>Total Mayhem Games</v>
      </c>
      <c r="N2875" s="23" t="str">
        <f>IFERROR(VLOOKUP(A2875, Entries!A:K,11,false),"")</f>
        <v/>
      </c>
      <c r="O2875" s="23" t="b">
        <f>IFERROR(VLOOKUP(A2875, Entries!A:I,8,false),"")</f>
        <v>0</v>
      </c>
    </row>
    <row r="2876">
      <c r="A2876" s="78" t="s">
        <v>3515</v>
      </c>
      <c r="B2876" s="78" t="s">
        <v>30</v>
      </c>
      <c r="C2876" s="85">
        <v>44981.0</v>
      </c>
      <c r="D2876" s="85">
        <v>44982.0</v>
      </c>
      <c r="E2876" s="86">
        <v>9.74</v>
      </c>
      <c r="F2876" s="87">
        <v>14.16</v>
      </c>
      <c r="G2876" s="88">
        <f t="shared" si="1"/>
        <v>4.42</v>
      </c>
      <c r="H2876" s="89">
        <f t="shared" si="10"/>
        <v>0.3121468927</v>
      </c>
      <c r="I2876" s="78" t="s">
        <v>3516</v>
      </c>
      <c r="J2876" s="78" t="s">
        <v>69</v>
      </c>
      <c r="K2876" s="58">
        <f t="shared" si="3"/>
        <v>1</v>
      </c>
      <c r="L2876" s="91" t="str">
        <f t="shared" si="8"/>
        <v>Sat</v>
      </c>
      <c r="M2876" s="78" t="str">
        <f>IFERROR(VLOOKUP(A2876, Entries!A:B,2,false),"")</f>
        <v>WOLCEN Studio</v>
      </c>
      <c r="N2876" s="23" t="str">
        <f>IFERROR(VLOOKUP(A2876, Entries!A:K,11,false),"")</f>
        <v/>
      </c>
      <c r="O2876" s="23" t="b">
        <f>IFERROR(VLOOKUP(A2876, Entries!A:I,8,false),"")</f>
        <v>0</v>
      </c>
    </row>
    <row r="2877">
      <c r="A2877" s="78" t="s">
        <v>1609</v>
      </c>
      <c r="B2877" s="78" t="s">
        <v>19</v>
      </c>
      <c r="C2877" s="85">
        <v>44981.0</v>
      </c>
      <c r="D2877" s="85">
        <v>44999.0</v>
      </c>
      <c r="E2877" s="86">
        <v>11.69</v>
      </c>
      <c r="F2877" s="87">
        <v>13.05</v>
      </c>
      <c r="G2877" s="88">
        <f t="shared" si="1"/>
        <v>1.36</v>
      </c>
      <c r="H2877" s="89">
        <f t="shared" si="10"/>
        <v>0.1042145594</v>
      </c>
      <c r="I2877" s="78" t="s">
        <v>3517</v>
      </c>
      <c r="J2877" s="78" t="s">
        <v>69</v>
      </c>
      <c r="K2877" s="58">
        <f t="shared" si="3"/>
        <v>18</v>
      </c>
      <c r="L2877" s="91" t="str">
        <f t="shared" si="8"/>
        <v>Tue</v>
      </c>
      <c r="M2877" s="78" t="str">
        <f>IFERROR(VLOOKUP(A2877, Entries!A:B,2,false),"")</f>
        <v>Dear Villagers</v>
      </c>
      <c r="N2877" s="23" t="str">
        <f>IFERROR(VLOOKUP(A2877, Entries!A:K,11,false),"")</f>
        <v/>
      </c>
      <c r="O2877" s="23" t="b">
        <f>IFERROR(VLOOKUP(A2877, Entries!A:I,8,false),"")</f>
        <v>0</v>
      </c>
    </row>
    <row r="2878">
      <c r="A2878" s="78" t="s">
        <v>3515</v>
      </c>
      <c r="B2878" s="78" t="s">
        <v>30</v>
      </c>
      <c r="C2878" s="85">
        <v>44982.0</v>
      </c>
      <c r="D2878" s="85">
        <v>44982.0</v>
      </c>
      <c r="E2878" s="86">
        <v>9.78</v>
      </c>
      <c r="F2878" s="87">
        <v>13.94</v>
      </c>
      <c r="G2878" s="88">
        <f t="shared" si="1"/>
        <v>4.16</v>
      </c>
      <c r="H2878" s="89">
        <f t="shared" si="10"/>
        <v>0.2984218077</v>
      </c>
      <c r="I2878" s="78" t="s">
        <v>3518</v>
      </c>
      <c r="J2878" s="78" t="s">
        <v>69</v>
      </c>
      <c r="K2878" s="58">
        <f t="shared" si="3"/>
        <v>0</v>
      </c>
      <c r="L2878" s="91" t="str">
        <f t="shared" si="8"/>
        <v>Sat</v>
      </c>
      <c r="M2878" s="78" t="str">
        <f>IFERROR(VLOOKUP(A2878, Entries!A:B,2,false),"")</f>
        <v>WOLCEN Studio</v>
      </c>
      <c r="N2878" s="23" t="str">
        <f>IFERROR(VLOOKUP(A2878, Entries!A:K,11,false),"")</f>
        <v/>
      </c>
      <c r="O2878" s="23" t="b">
        <f>IFERROR(VLOOKUP(A2878, Entries!A:I,8,false),"")</f>
        <v>0</v>
      </c>
    </row>
    <row r="2879">
      <c r="A2879" s="78" t="s">
        <v>2466</v>
      </c>
      <c r="B2879" s="78" t="s">
        <v>27</v>
      </c>
      <c r="C2879" s="85">
        <v>44982.0</v>
      </c>
      <c r="D2879" s="85">
        <v>44983.0</v>
      </c>
      <c r="E2879" s="86">
        <v>9.69</v>
      </c>
      <c r="F2879" s="87">
        <v>11.3</v>
      </c>
      <c r="G2879" s="88">
        <f t="shared" si="1"/>
        <v>1.61</v>
      </c>
      <c r="H2879" s="89">
        <f t="shared" si="10"/>
        <v>0.1424778761</v>
      </c>
      <c r="I2879" s="78" t="s">
        <v>3519</v>
      </c>
      <c r="J2879" s="78" t="s">
        <v>69</v>
      </c>
      <c r="K2879" s="58">
        <f t="shared" si="3"/>
        <v>1</v>
      </c>
      <c r="L2879" s="91" t="str">
        <f t="shared" si="8"/>
        <v>Sun</v>
      </c>
      <c r="M2879" s="78" t="str">
        <f>IFERROR(VLOOKUP(A2879, Entries!A:B,2,false),"")</f>
        <v>Bethesda Softworks</v>
      </c>
      <c r="N2879" s="23" t="str">
        <f>IFERROR(VLOOKUP(A2879, Entries!A:K,11,false),"")</f>
        <v/>
      </c>
      <c r="O2879" s="23" t="b">
        <f>IFERROR(VLOOKUP(A2879, Entries!A:I,8,false),"")</f>
        <v>1</v>
      </c>
    </row>
    <row r="2880">
      <c r="A2880" s="78" t="s">
        <v>2466</v>
      </c>
      <c r="B2880" s="78" t="s">
        <v>27</v>
      </c>
      <c r="C2880" s="85">
        <v>44982.0</v>
      </c>
      <c r="D2880" s="85">
        <v>44986.0</v>
      </c>
      <c r="E2880" s="86">
        <v>9.69</v>
      </c>
      <c r="F2880" s="87">
        <v>11.12</v>
      </c>
      <c r="G2880" s="88">
        <f t="shared" si="1"/>
        <v>1.43</v>
      </c>
      <c r="H2880" s="89">
        <f t="shared" si="10"/>
        <v>0.1285971223</v>
      </c>
      <c r="I2880" s="78" t="s">
        <v>3520</v>
      </c>
      <c r="J2880" s="78" t="s">
        <v>69</v>
      </c>
      <c r="K2880" s="58">
        <f t="shared" si="3"/>
        <v>4</v>
      </c>
      <c r="L2880" s="91" t="str">
        <f t="shared" si="8"/>
        <v>Wed</v>
      </c>
      <c r="M2880" s="78" t="str">
        <f>IFERROR(VLOOKUP(A2880, Entries!A:B,2,false),"")</f>
        <v>Bethesda Softworks</v>
      </c>
      <c r="N2880" s="23" t="str">
        <f>IFERROR(VLOOKUP(A2880, Entries!A:K,11,false),"")</f>
        <v/>
      </c>
      <c r="O2880" s="23" t="b">
        <f>IFERROR(VLOOKUP(A2880, Entries!A:I,8,false),"")</f>
        <v>1</v>
      </c>
    </row>
    <row r="2881">
      <c r="A2881" s="78" t="s">
        <v>3515</v>
      </c>
      <c r="B2881" s="78" t="s">
        <v>30</v>
      </c>
      <c r="C2881" s="85">
        <v>44982.0</v>
      </c>
      <c r="D2881" s="85">
        <v>44982.0</v>
      </c>
      <c r="E2881" s="86">
        <v>9.78</v>
      </c>
      <c r="F2881" s="87">
        <v>13.94</v>
      </c>
      <c r="G2881" s="88">
        <f t="shared" si="1"/>
        <v>4.16</v>
      </c>
      <c r="H2881" s="89">
        <f t="shared" si="10"/>
        <v>0.2984218077</v>
      </c>
      <c r="I2881" s="78" t="s">
        <v>3521</v>
      </c>
      <c r="J2881" s="78" t="s">
        <v>69</v>
      </c>
      <c r="K2881" s="58">
        <f t="shared" si="3"/>
        <v>0</v>
      </c>
      <c r="L2881" s="91" t="str">
        <f t="shared" si="8"/>
        <v>Sat</v>
      </c>
      <c r="M2881" s="78" t="str">
        <f>IFERROR(VLOOKUP(A2881, Entries!A:B,2,false),"")</f>
        <v>WOLCEN Studio</v>
      </c>
      <c r="N2881" s="23" t="str">
        <f>IFERROR(VLOOKUP(A2881, Entries!A:K,11,false),"")</f>
        <v/>
      </c>
      <c r="O2881" s="23" t="b">
        <f>IFERROR(VLOOKUP(A2881, Entries!A:I,8,false),"")</f>
        <v>0</v>
      </c>
    </row>
    <row r="2882">
      <c r="A2882" s="78" t="s">
        <v>3515</v>
      </c>
      <c r="B2882" s="78" t="s">
        <v>30</v>
      </c>
      <c r="C2882" s="85">
        <v>44982.0</v>
      </c>
      <c r="D2882" s="85">
        <v>44983.0</v>
      </c>
      <c r="E2882" s="86">
        <v>9.78</v>
      </c>
      <c r="F2882" s="87">
        <v>13.9</v>
      </c>
      <c r="G2882" s="88">
        <f t="shared" si="1"/>
        <v>4.12</v>
      </c>
      <c r="H2882" s="89">
        <f t="shared" si="10"/>
        <v>0.2964028777</v>
      </c>
      <c r="I2882" s="78" t="s">
        <v>3522</v>
      </c>
      <c r="J2882" s="78" t="s">
        <v>69</v>
      </c>
      <c r="K2882" s="58">
        <f t="shared" si="3"/>
        <v>1</v>
      </c>
      <c r="L2882" s="91" t="str">
        <f t="shared" si="8"/>
        <v>Sun</v>
      </c>
      <c r="M2882" s="78" t="str">
        <f>IFERROR(VLOOKUP(A2882, Entries!A:B,2,false),"")</f>
        <v>WOLCEN Studio</v>
      </c>
      <c r="N2882" s="23" t="str">
        <f>IFERROR(VLOOKUP(A2882, Entries!A:K,11,false),"")</f>
        <v/>
      </c>
      <c r="O2882" s="23" t="b">
        <f>IFERROR(VLOOKUP(A2882, Entries!A:I,8,false),"")</f>
        <v>0</v>
      </c>
    </row>
    <row r="2883">
      <c r="A2883" s="78" t="s">
        <v>3515</v>
      </c>
      <c r="B2883" s="78" t="s">
        <v>30</v>
      </c>
      <c r="C2883" s="85">
        <v>44982.0</v>
      </c>
      <c r="D2883" s="85">
        <v>44983.0</v>
      </c>
      <c r="E2883" s="86">
        <v>9.78</v>
      </c>
      <c r="F2883" s="87">
        <v>13.88</v>
      </c>
      <c r="G2883" s="88">
        <f t="shared" si="1"/>
        <v>4.1</v>
      </c>
      <c r="H2883" s="89">
        <f t="shared" si="10"/>
        <v>0.295389049</v>
      </c>
      <c r="I2883" s="78" t="s">
        <v>3523</v>
      </c>
      <c r="J2883" s="78" t="s">
        <v>69</v>
      </c>
      <c r="K2883" s="58">
        <f t="shared" si="3"/>
        <v>1</v>
      </c>
      <c r="L2883" s="91" t="str">
        <f t="shared" si="8"/>
        <v>Sun</v>
      </c>
      <c r="M2883" s="78" t="str">
        <f>IFERROR(VLOOKUP(A2883, Entries!A:B,2,false),"")</f>
        <v>WOLCEN Studio</v>
      </c>
      <c r="N2883" s="23" t="str">
        <f>IFERROR(VLOOKUP(A2883, Entries!A:K,11,false),"")</f>
        <v/>
      </c>
      <c r="O2883" s="23" t="b">
        <f>IFERROR(VLOOKUP(A2883, Entries!A:I,8,false),"")</f>
        <v>0</v>
      </c>
    </row>
    <row r="2884">
      <c r="A2884" s="78" t="s">
        <v>272</v>
      </c>
      <c r="B2884" s="78" t="s">
        <v>19</v>
      </c>
      <c r="C2884" s="85">
        <v>44982.0</v>
      </c>
      <c r="D2884" s="85">
        <v>44983.0</v>
      </c>
      <c r="E2884" s="86">
        <v>0.98</v>
      </c>
      <c r="F2884" s="87">
        <v>1.56</v>
      </c>
      <c r="G2884" s="88">
        <f t="shared" si="1"/>
        <v>0.58</v>
      </c>
      <c r="H2884" s="89">
        <f t="shared" si="10"/>
        <v>0.3717948718</v>
      </c>
      <c r="I2884" s="78" t="s">
        <v>3524</v>
      </c>
      <c r="J2884" s="78" t="s">
        <v>69</v>
      </c>
      <c r="K2884" s="58">
        <f t="shared" si="3"/>
        <v>1</v>
      </c>
      <c r="L2884" s="91" t="str">
        <f t="shared" si="8"/>
        <v>Sun</v>
      </c>
      <c r="M2884" s="78" t="str">
        <f>IFERROR(VLOOKUP(A2884, Entries!A:B,2,false),"")</f>
        <v>Starbreeze Publishing</v>
      </c>
      <c r="N2884" s="23" t="str">
        <f>IFERROR(VLOOKUP(A2884, Entries!A:K,11,false),"")</f>
        <v/>
      </c>
      <c r="O2884" s="23" t="b">
        <f>IFERROR(VLOOKUP(A2884, Entries!A:I,8,false),"")</f>
        <v>1</v>
      </c>
    </row>
    <row r="2885">
      <c r="A2885" s="78" t="s">
        <v>3366</v>
      </c>
      <c r="B2885" s="78" t="s">
        <v>25</v>
      </c>
      <c r="C2885" s="85">
        <v>44982.0</v>
      </c>
      <c r="D2885" s="85">
        <v>44983.0</v>
      </c>
      <c r="E2885" s="86">
        <v>4.97</v>
      </c>
      <c r="F2885" s="87">
        <v>5.69</v>
      </c>
      <c r="G2885" s="88">
        <f t="shared" si="1"/>
        <v>0.72</v>
      </c>
      <c r="H2885" s="89">
        <f t="shared" si="10"/>
        <v>0.1265377856</v>
      </c>
      <c r="I2885" s="78" t="s">
        <v>3525</v>
      </c>
      <c r="J2885" s="78" t="s">
        <v>69</v>
      </c>
      <c r="K2885" s="58">
        <f t="shared" si="3"/>
        <v>1</v>
      </c>
      <c r="L2885" s="91" t="str">
        <f t="shared" si="8"/>
        <v>Sun</v>
      </c>
      <c r="M2885" s="78" t="str">
        <f>IFERROR(VLOOKUP(A2885, Entries!A:B,2,false),"")</f>
        <v>Sector D2</v>
      </c>
      <c r="N2885" s="23" t="str">
        <f>IFERROR(VLOOKUP(A2885, Entries!A:K,11,false),"")</f>
        <v/>
      </c>
      <c r="O2885" s="23" t="b">
        <f>IFERROR(VLOOKUP(A2885, Entries!A:I,8,false),"")</f>
        <v>0</v>
      </c>
    </row>
    <row r="2886">
      <c r="A2886" s="78" t="s">
        <v>2789</v>
      </c>
      <c r="B2886" s="78" t="s">
        <v>19</v>
      </c>
      <c r="C2886" s="85">
        <v>44983.0</v>
      </c>
      <c r="D2886" s="85">
        <v>44989.0</v>
      </c>
      <c r="E2886" s="86">
        <v>4.12</v>
      </c>
      <c r="F2886" s="87">
        <v>7.89</v>
      </c>
      <c r="G2886" s="88">
        <f t="shared" si="1"/>
        <v>3.77</v>
      </c>
      <c r="H2886" s="89">
        <f t="shared" si="10"/>
        <v>0.4778200253</v>
      </c>
      <c r="I2886" s="78" t="s">
        <v>3526</v>
      </c>
      <c r="J2886" s="78" t="s">
        <v>69</v>
      </c>
      <c r="K2886" s="58">
        <f t="shared" si="3"/>
        <v>6</v>
      </c>
      <c r="L2886" s="91" t="str">
        <f t="shared" si="8"/>
        <v>Sat</v>
      </c>
      <c r="M2886" s="78" t="str">
        <f>IFERROR(VLOOKUP(A2886, Entries!A:B,2,false),"")</f>
        <v>Evil Tortilla Games</v>
      </c>
      <c r="N2886" s="23" t="str">
        <f>IFERROR(VLOOKUP(A2886, Entries!A:K,11,false),"")</f>
        <v/>
      </c>
      <c r="O2886" s="23" t="b">
        <f>IFERROR(VLOOKUP(A2886, Entries!A:I,8,false),"")</f>
        <v>1</v>
      </c>
    </row>
    <row r="2887">
      <c r="A2887" s="78" t="s">
        <v>3325</v>
      </c>
      <c r="B2887" s="78" t="s">
        <v>19</v>
      </c>
      <c r="C2887" s="85">
        <v>44983.0</v>
      </c>
      <c r="D2887" s="25"/>
      <c r="E2887" s="86">
        <v>16.9</v>
      </c>
      <c r="F2887" s="88"/>
      <c r="G2887" s="88">
        <f t="shared" si="1"/>
        <v>-16.9</v>
      </c>
      <c r="H2887" s="89" t="str">
        <f t="shared" si="10"/>
        <v/>
      </c>
      <c r="I2887" s="103" t="s">
        <v>3527</v>
      </c>
      <c r="J2887" s="78" t="s">
        <v>1129</v>
      </c>
      <c r="K2887" s="58" t="str">
        <f t="shared" si="3"/>
        <v/>
      </c>
      <c r="L2887" s="91" t="str">
        <f t="shared" si="8"/>
        <v/>
      </c>
      <c r="M2887" s="78" t="str">
        <f>IFERROR(VLOOKUP(A2887, Entries!A:B,2,false),"")</f>
        <v>Cheesecake Dev</v>
      </c>
      <c r="N2887" s="23" t="str">
        <f>IFERROR(VLOOKUP(A2887, Entries!A:K,11,false),"")</f>
        <v/>
      </c>
      <c r="O2887" s="23" t="str">
        <f>IFERROR(VLOOKUP(#REF!, Entries!A:I,8,false),"")</f>
        <v/>
      </c>
    </row>
    <row r="2888">
      <c r="A2888" s="78" t="s">
        <v>3366</v>
      </c>
      <c r="B2888" s="78" t="s">
        <v>25</v>
      </c>
      <c r="C2888" s="85">
        <v>44983.0</v>
      </c>
      <c r="D2888" s="85">
        <v>44983.0</v>
      </c>
      <c r="E2888" s="86">
        <v>4.97</v>
      </c>
      <c r="F2888" s="87">
        <v>5.91</v>
      </c>
      <c r="G2888" s="88">
        <f t="shared" si="1"/>
        <v>0.94</v>
      </c>
      <c r="H2888" s="89">
        <f t="shared" si="10"/>
        <v>0.1590524535</v>
      </c>
      <c r="I2888" s="78" t="s">
        <v>3528</v>
      </c>
      <c r="J2888" s="78" t="s">
        <v>69</v>
      </c>
      <c r="K2888" s="58">
        <f t="shared" si="3"/>
        <v>0</v>
      </c>
      <c r="L2888" s="91" t="str">
        <f t="shared" si="8"/>
        <v>Sun</v>
      </c>
      <c r="M2888" s="78" t="str">
        <f>IFERROR(VLOOKUP(A2888, Entries!A:B,2,false),"")</f>
        <v>Sector D2</v>
      </c>
      <c r="N2888" s="23" t="str">
        <f>IFERROR(VLOOKUP(A2888, Entries!A:K,11,false),"")</f>
        <v/>
      </c>
      <c r="O2888" s="23" t="b">
        <f>IFERROR(VLOOKUP(A2888, Entries!A:I,8,false),"")</f>
        <v>0</v>
      </c>
    </row>
    <row r="2889">
      <c r="A2889" s="78" t="s">
        <v>3515</v>
      </c>
      <c r="B2889" s="78" t="s">
        <v>30</v>
      </c>
      <c r="C2889" s="85">
        <v>44983.0</v>
      </c>
      <c r="D2889" s="85">
        <v>44983.0</v>
      </c>
      <c r="E2889" s="86">
        <v>9.78</v>
      </c>
      <c r="F2889" s="87">
        <v>13.88</v>
      </c>
      <c r="G2889" s="88">
        <f t="shared" si="1"/>
        <v>4.1</v>
      </c>
      <c r="H2889" s="89">
        <f t="shared" si="10"/>
        <v>0.295389049</v>
      </c>
      <c r="I2889" s="78" t="s">
        <v>3529</v>
      </c>
      <c r="J2889" s="78" t="s">
        <v>69</v>
      </c>
      <c r="K2889" s="58">
        <f t="shared" si="3"/>
        <v>0</v>
      </c>
      <c r="L2889" s="91" t="str">
        <f t="shared" si="8"/>
        <v>Sun</v>
      </c>
      <c r="M2889" s="78" t="str">
        <f>IFERROR(VLOOKUP(A2889, Entries!A:B,2,false),"")</f>
        <v>WOLCEN Studio</v>
      </c>
      <c r="N2889" s="23" t="str">
        <f>IFERROR(VLOOKUP(A2889, Entries!A:K,11,false),"")</f>
        <v/>
      </c>
      <c r="O2889" s="23" t="b">
        <f>IFERROR(VLOOKUP(A2889, Entries!A:I,8,false),"")</f>
        <v>0</v>
      </c>
    </row>
    <row r="2890">
      <c r="A2890" s="78" t="s">
        <v>3366</v>
      </c>
      <c r="B2890" s="78" t="s">
        <v>25</v>
      </c>
      <c r="C2890" s="85">
        <v>44983.0</v>
      </c>
      <c r="D2890" s="85">
        <v>44983.0</v>
      </c>
      <c r="E2890" s="86">
        <v>4.97</v>
      </c>
      <c r="F2890" s="87">
        <v>5.91</v>
      </c>
      <c r="G2890" s="88">
        <f t="shared" si="1"/>
        <v>0.94</v>
      </c>
      <c r="H2890" s="89">
        <f t="shared" si="10"/>
        <v>0.1590524535</v>
      </c>
      <c r="I2890" s="78" t="s">
        <v>3530</v>
      </c>
      <c r="J2890" s="78" t="s">
        <v>69</v>
      </c>
      <c r="K2890" s="58">
        <f t="shared" si="3"/>
        <v>0</v>
      </c>
      <c r="L2890" s="91" t="str">
        <f t="shared" si="8"/>
        <v>Sun</v>
      </c>
      <c r="M2890" s="78" t="str">
        <f>IFERROR(VLOOKUP(A2890, Entries!A:B,2,false),"")</f>
        <v>Sector D2</v>
      </c>
      <c r="N2890" s="23" t="str">
        <f>IFERROR(VLOOKUP(A2890, Entries!A:K,11,false),"")</f>
        <v/>
      </c>
      <c r="O2890" s="23" t="b">
        <f>IFERROR(VLOOKUP(A2890, Entries!A:I,8,false),"")</f>
        <v>0</v>
      </c>
    </row>
    <row r="2891">
      <c r="A2891" s="78" t="s">
        <v>272</v>
      </c>
      <c r="B2891" s="78" t="s">
        <v>19</v>
      </c>
      <c r="C2891" s="85">
        <v>44983.0</v>
      </c>
      <c r="D2891" s="85">
        <v>44983.0</v>
      </c>
      <c r="E2891" s="86">
        <v>0.93</v>
      </c>
      <c r="F2891" s="87">
        <v>1.56</v>
      </c>
      <c r="G2891" s="88">
        <f t="shared" si="1"/>
        <v>0.63</v>
      </c>
      <c r="H2891" s="89">
        <f t="shared" si="10"/>
        <v>0.4038461538</v>
      </c>
      <c r="I2891" s="78" t="s">
        <v>3531</v>
      </c>
      <c r="J2891" s="78" t="s">
        <v>69</v>
      </c>
      <c r="K2891" s="58">
        <f t="shared" si="3"/>
        <v>0</v>
      </c>
      <c r="L2891" s="91" t="str">
        <f t="shared" si="8"/>
        <v>Sun</v>
      </c>
      <c r="M2891" s="78" t="str">
        <f>IFERROR(VLOOKUP(A2891, Entries!A:B,2,false),"")</f>
        <v>Starbreeze Publishing</v>
      </c>
      <c r="N2891" s="23" t="str">
        <f>IFERROR(VLOOKUP(A2891, Entries!A:K,11,false),"")</f>
        <v/>
      </c>
      <c r="O2891" s="23" t="b">
        <f>IFERROR(VLOOKUP(A2891, Entries!A:I,8,false),"")</f>
        <v>1</v>
      </c>
    </row>
    <row r="2892">
      <c r="A2892" s="78" t="s">
        <v>272</v>
      </c>
      <c r="B2892" s="78" t="s">
        <v>19</v>
      </c>
      <c r="C2892" s="85">
        <v>44983.0</v>
      </c>
      <c r="D2892" s="85">
        <v>44983.0</v>
      </c>
      <c r="E2892" s="86">
        <v>0.93</v>
      </c>
      <c r="F2892" s="87">
        <v>1.56</v>
      </c>
      <c r="G2892" s="88">
        <f t="shared" si="1"/>
        <v>0.63</v>
      </c>
      <c r="H2892" s="89">
        <f t="shared" si="10"/>
        <v>0.4038461538</v>
      </c>
      <c r="I2892" s="78" t="s">
        <v>3532</v>
      </c>
      <c r="J2892" s="78" t="s">
        <v>69</v>
      </c>
      <c r="K2892" s="58">
        <f t="shared" si="3"/>
        <v>0</v>
      </c>
      <c r="L2892" s="91" t="str">
        <f t="shared" si="8"/>
        <v>Sun</v>
      </c>
      <c r="M2892" s="78" t="str">
        <f>IFERROR(VLOOKUP(A2892, Entries!A:B,2,false),"")</f>
        <v>Starbreeze Publishing</v>
      </c>
      <c r="N2892" s="23" t="str">
        <f>IFERROR(VLOOKUP(A2892, Entries!A:K,11,false),"")</f>
        <v/>
      </c>
      <c r="O2892" s="23" t="b">
        <f>IFERROR(VLOOKUP(A2892, Entries!A:I,8,false),"")</f>
        <v>1</v>
      </c>
    </row>
    <row r="2893">
      <c r="A2893" s="78" t="s">
        <v>272</v>
      </c>
      <c r="B2893" s="78" t="s">
        <v>19</v>
      </c>
      <c r="C2893" s="85">
        <v>44983.0</v>
      </c>
      <c r="D2893" s="85">
        <v>44983.0</v>
      </c>
      <c r="E2893" s="86">
        <v>0.93</v>
      </c>
      <c r="F2893" s="87">
        <v>1.56</v>
      </c>
      <c r="G2893" s="88">
        <f t="shared" si="1"/>
        <v>0.63</v>
      </c>
      <c r="H2893" s="89">
        <f t="shared" si="10"/>
        <v>0.4038461538</v>
      </c>
      <c r="I2893" s="78" t="s">
        <v>3533</v>
      </c>
      <c r="J2893" s="78" t="s">
        <v>69</v>
      </c>
      <c r="K2893" s="58">
        <f t="shared" si="3"/>
        <v>0</v>
      </c>
      <c r="L2893" s="91" t="str">
        <f t="shared" si="8"/>
        <v>Sun</v>
      </c>
      <c r="M2893" s="78" t="str">
        <f>IFERROR(VLOOKUP(A2893, Entries!A:B,2,false),"")</f>
        <v>Starbreeze Publishing</v>
      </c>
      <c r="N2893" s="23" t="str">
        <f>IFERROR(VLOOKUP(A2893, Entries!A:K,11,false),"")</f>
        <v/>
      </c>
      <c r="O2893" s="23" t="b">
        <f>IFERROR(VLOOKUP(A2893, Entries!A:I,8,false),"")</f>
        <v>1</v>
      </c>
    </row>
    <row r="2894">
      <c r="A2894" s="78" t="s">
        <v>3366</v>
      </c>
      <c r="B2894" s="78" t="s">
        <v>25</v>
      </c>
      <c r="C2894" s="85">
        <v>44983.0</v>
      </c>
      <c r="D2894" s="85">
        <v>44986.0</v>
      </c>
      <c r="E2894" s="86">
        <v>4.97</v>
      </c>
      <c r="F2894" s="87">
        <v>5.75</v>
      </c>
      <c r="G2894" s="88">
        <f t="shared" si="1"/>
        <v>0.78</v>
      </c>
      <c r="H2894" s="89">
        <f t="shared" si="10"/>
        <v>0.1356521739</v>
      </c>
      <c r="I2894" s="78" t="s">
        <v>3534</v>
      </c>
      <c r="J2894" s="78" t="s">
        <v>69</v>
      </c>
      <c r="K2894" s="58">
        <f t="shared" si="3"/>
        <v>3</v>
      </c>
      <c r="L2894" s="91" t="str">
        <f t="shared" si="8"/>
        <v>Wed</v>
      </c>
      <c r="M2894" s="78" t="str">
        <f>IFERROR(VLOOKUP(A2894, Entries!A:B,2,false),"")</f>
        <v>Sector D2</v>
      </c>
      <c r="N2894" s="23" t="str">
        <f>IFERROR(VLOOKUP(A2894, Entries!A:K,11,false),"")</f>
        <v/>
      </c>
      <c r="O2894" s="23" t="b">
        <f>IFERROR(VLOOKUP(A2894, Entries!A:I,8,false),"")</f>
        <v>0</v>
      </c>
    </row>
    <row r="2895">
      <c r="A2895" s="78" t="s">
        <v>272</v>
      </c>
      <c r="B2895" s="78" t="s">
        <v>19</v>
      </c>
      <c r="C2895" s="85">
        <v>44983.0</v>
      </c>
      <c r="D2895" s="85">
        <v>44983.0</v>
      </c>
      <c r="E2895" s="86">
        <v>0.93</v>
      </c>
      <c r="F2895" s="87">
        <v>1.57</v>
      </c>
      <c r="G2895" s="88">
        <f t="shared" si="1"/>
        <v>0.64</v>
      </c>
      <c r="H2895" s="89">
        <f t="shared" si="10"/>
        <v>0.4076433121</v>
      </c>
      <c r="I2895" s="78" t="s">
        <v>3535</v>
      </c>
      <c r="J2895" s="78" t="s">
        <v>69</v>
      </c>
      <c r="K2895" s="58">
        <f t="shared" si="3"/>
        <v>0</v>
      </c>
      <c r="L2895" s="91" t="str">
        <f t="shared" si="8"/>
        <v>Sun</v>
      </c>
      <c r="M2895" s="78" t="str">
        <f>IFERROR(VLOOKUP(A2895, Entries!A:B,2,false),"")</f>
        <v>Starbreeze Publishing</v>
      </c>
      <c r="N2895" s="23" t="str">
        <f>IFERROR(VLOOKUP(A2895, Entries!A:K,11,false),"")</f>
        <v/>
      </c>
      <c r="O2895" s="23" t="b">
        <f>IFERROR(VLOOKUP(A2895, Entries!A:I,8,false),"")</f>
        <v>1</v>
      </c>
    </row>
    <row r="2896">
      <c r="A2896" s="78" t="s">
        <v>2789</v>
      </c>
      <c r="B2896" s="78" t="s">
        <v>19</v>
      </c>
      <c r="C2896" s="85">
        <v>44983.0</v>
      </c>
      <c r="D2896" s="85">
        <v>44992.0</v>
      </c>
      <c r="E2896" s="86">
        <v>4.12</v>
      </c>
      <c r="F2896" s="87">
        <v>7.9</v>
      </c>
      <c r="G2896" s="88">
        <f t="shared" si="1"/>
        <v>3.78</v>
      </c>
      <c r="H2896" s="89">
        <f t="shared" si="10"/>
        <v>0.4784810127</v>
      </c>
      <c r="I2896" s="78" t="s">
        <v>3536</v>
      </c>
      <c r="J2896" s="78" t="s">
        <v>69</v>
      </c>
      <c r="K2896" s="58">
        <f t="shared" si="3"/>
        <v>9</v>
      </c>
      <c r="L2896" s="91" t="str">
        <f t="shared" si="8"/>
        <v>Tue</v>
      </c>
      <c r="M2896" s="78" t="str">
        <f>IFERROR(VLOOKUP(A2896, Entries!A:B,2,false),"")</f>
        <v>Evil Tortilla Games</v>
      </c>
      <c r="N2896" s="23" t="str">
        <f>IFERROR(VLOOKUP(A2896, Entries!A:K,11,false),"")</f>
        <v/>
      </c>
      <c r="O2896" s="23" t="b">
        <f>IFERROR(VLOOKUP(A2896, Entries!A:I,8,false),"")</f>
        <v>1</v>
      </c>
    </row>
    <row r="2897">
      <c r="A2897" s="78" t="s">
        <v>2906</v>
      </c>
      <c r="B2897" s="78" t="s">
        <v>27</v>
      </c>
      <c r="C2897" s="85">
        <v>44983.0</v>
      </c>
      <c r="D2897" s="85">
        <v>45084.0</v>
      </c>
      <c r="E2897" s="86">
        <v>6.79</v>
      </c>
      <c r="F2897" s="87">
        <v>8.85</v>
      </c>
      <c r="G2897" s="88">
        <f t="shared" si="1"/>
        <v>2.06</v>
      </c>
      <c r="H2897" s="89">
        <f t="shared" si="10"/>
        <v>0.2327683616</v>
      </c>
      <c r="I2897" s="78" t="s">
        <v>3537</v>
      </c>
      <c r="J2897" s="78" t="s">
        <v>69</v>
      </c>
      <c r="K2897" s="58">
        <f t="shared" si="3"/>
        <v>101</v>
      </c>
      <c r="L2897" s="91" t="str">
        <f t="shared" si="8"/>
        <v>Wed</v>
      </c>
      <c r="M2897" s="78" t="str">
        <f>IFERROR(VLOOKUP(A2897, Entries!A:B,2,false),"")</f>
        <v>FireFly Studios</v>
      </c>
      <c r="N2897" s="23" t="str">
        <f>IFERROR(VLOOKUP(A2897, Entries!A:K,11,false),"")</f>
        <v/>
      </c>
      <c r="O2897" s="23" t="b">
        <f>IFERROR(VLOOKUP(A2897, Entries!A:I,8,false),"")</f>
        <v>0</v>
      </c>
    </row>
    <row r="2898">
      <c r="A2898" s="78" t="s">
        <v>3366</v>
      </c>
      <c r="B2898" s="78" t="s">
        <v>25</v>
      </c>
      <c r="C2898" s="85">
        <v>44983.0</v>
      </c>
      <c r="D2898" s="85">
        <v>44983.0</v>
      </c>
      <c r="E2898" s="86">
        <v>4.95</v>
      </c>
      <c r="F2898" s="87">
        <v>5.86</v>
      </c>
      <c r="G2898" s="88">
        <f t="shared" si="1"/>
        <v>0.91</v>
      </c>
      <c r="H2898" s="89">
        <f t="shared" si="10"/>
        <v>0.1552901024</v>
      </c>
      <c r="I2898" s="78" t="s">
        <v>3538</v>
      </c>
      <c r="J2898" s="78" t="s">
        <v>69</v>
      </c>
      <c r="K2898" s="58">
        <f t="shared" si="3"/>
        <v>0</v>
      </c>
      <c r="L2898" s="91" t="str">
        <f t="shared" si="8"/>
        <v>Sun</v>
      </c>
      <c r="M2898" s="78" t="str">
        <f>IFERROR(VLOOKUP(A2898, Entries!A:B,2,false),"")</f>
        <v>Sector D2</v>
      </c>
      <c r="N2898" s="23" t="str">
        <f>IFERROR(VLOOKUP(A2898, Entries!A:K,11,false),"")</f>
        <v/>
      </c>
      <c r="O2898" s="23" t="b">
        <f>IFERROR(VLOOKUP(A2898, Entries!A:I,8,false),"")</f>
        <v>0</v>
      </c>
    </row>
    <row r="2899">
      <c r="A2899" s="78" t="s">
        <v>2624</v>
      </c>
      <c r="B2899" s="78" t="s">
        <v>27</v>
      </c>
      <c r="C2899" s="85">
        <v>44983.0</v>
      </c>
      <c r="D2899" s="85">
        <v>44988.0</v>
      </c>
      <c r="E2899" s="86">
        <v>3.79</v>
      </c>
      <c r="F2899" s="87">
        <v>4.2</v>
      </c>
      <c r="G2899" s="88">
        <f t="shared" si="1"/>
        <v>0.41</v>
      </c>
      <c r="H2899" s="89">
        <f t="shared" si="10"/>
        <v>0.09761904762</v>
      </c>
      <c r="I2899" s="78" t="s">
        <v>3539</v>
      </c>
      <c r="J2899" s="78" t="s">
        <v>69</v>
      </c>
      <c r="K2899" s="58">
        <f t="shared" si="3"/>
        <v>5</v>
      </c>
      <c r="L2899" s="91" t="str">
        <f t="shared" si="8"/>
        <v>Fri</v>
      </c>
      <c r="M2899" s="78" t="str">
        <f>IFERROR(VLOOKUP(A2899, Entries!A:B,2,false),"")</f>
        <v>Daedalic Entertainment</v>
      </c>
      <c r="N2899" s="23" t="str">
        <f>IFERROR(VLOOKUP(A2899, Entries!A:K,11,false),"")</f>
        <v/>
      </c>
      <c r="O2899" s="23" t="b">
        <f>IFERROR(VLOOKUP(A2899, Entries!A:I,8,false),"")</f>
        <v>0</v>
      </c>
    </row>
    <row r="2900">
      <c r="A2900" s="78" t="s">
        <v>3515</v>
      </c>
      <c r="B2900" s="78" t="s">
        <v>30</v>
      </c>
      <c r="C2900" s="85">
        <v>44983.0</v>
      </c>
      <c r="D2900" s="85">
        <v>44983.0</v>
      </c>
      <c r="E2900" s="86">
        <v>9.78</v>
      </c>
      <c r="F2900" s="87">
        <v>13.88</v>
      </c>
      <c r="G2900" s="88">
        <f t="shared" si="1"/>
        <v>4.1</v>
      </c>
      <c r="H2900" s="89">
        <f t="shared" si="10"/>
        <v>0.295389049</v>
      </c>
      <c r="I2900" s="78" t="s">
        <v>3540</v>
      </c>
      <c r="J2900" s="78" t="s">
        <v>69</v>
      </c>
      <c r="K2900" s="58">
        <f t="shared" si="3"/>
        <v>0</v>
      </c>
      <c r="L2900" s="91" t="str">
        <f t="shared" si="8"/>
        <v>Sun</v>
      </c>
      <c r="M2900" s="78" t="str">
        <f>IFERROR(VLOOKUP(A2900, Entries!A:B,2,false),"")</f>
        <v>WOLCEN Studio</v>
      </c>
      <c r="N2900" s="23" t="str">
        <f>IFERROR(VLOOKUP(A2900, Entries!A:K,11,false),"")</f>
        <v/>
      </c>
      <c r="O2900" s="23" t="b">
        <f>IFERROR(VLOOKUP(A2900, Entries!A:I,8,false),"")</f>
        <v>0</v>
      </c>
    </row>
    <row r="2901">
      <c r="A2901" s="78" t="s">
        <v>3515</v>
      </c>
      <c r="B2901" s="78" t="s">
        <v>30</v>
      </c>
      <c r="C2901" s="85">
        <v>44983.0</v>
      </c>
      <c r="D2901" s="85">
        <v>44983.0</v>
      </c>
      <c r="E2901" s="86">
        <v>9.78</v>
      </c>
      <c r="F2901" s="87">
        <v>13.88</v>
      </c>
      <c r="G2901" s="88">
        <f t="shared" si="1"/>
        <v>4.1</v>
      </c>
      <c r="H2901" s="89">
        <f t="shared" si="10"/>
        <v>0.295389049</v>
      </c>
      <c r="I2901" s="78" t="s">
        <v>3541</v>
      </c>
      <c r="J2901" s="78" t="s">
        <v>69</v>
      </c>
      <c r="K2901" s="58">
        <f t="shared" si="3"/>
        <v>0</v>
      </c>
      <c r="L2901" s="91" t="str">
        <f t="shared" si="8"/>
        <v>Sun</v>
      </c>
      <c r="M2901" s="78" t="str">
        <f>IFERROR(VLOOKUP(A2901, Entries!A:B,2,false),"")</f>
        <v>WOLCEN Studio</v>
      </c>
      <c r="N2901" s="23" t="str">
        <f>IFERROR(VLOOKUP(A2901, Entries!A:K,11,false),"")</f>
        <v/>
      </c>
      <c r="O2901" s="23" t="b">
        <f>IFERROR(VLOOKUP(A2901, Entries!A:I,8,false),"")</f>
        <v>0</v>
      </c>
    </row>
    <row r="2902">
      <c r="A2902" s="78" t="s">
        <v>3515</v>
      </c>
      <c r="B2902" s="78" t="s">
        <v>30</v>
      </c>
      <c r="C2902" s="85">
        <v>44983.0</v>
      </c>
      <c r="D2902" s="85">
        <v>44984.0</v>
      </c>
      <c r="E2902" s="86">
        <v>9.78</v>
      </c>
      <c r="F2902" s="87">
        <v>13.88</v>
      </c>
      <c r="G2902" s="88">
        <f t="shared" si="1"/>
        <v>4.1</v>
      </c>
      <c r="H2902" s="89">
        <f t="shared" si="10"/>
        <v>0.295389049</v>
      </c>
      <c r="I2902" s="78" t="s">
        <v>3542</v>
      </c>
      <c r="J2902" s="78" t="s">
        <v>69</v>
      </c>
      <c r="K2902" s="58">
        <f t="shared" si="3"/>
        <v>1</v>
      </c>
      <c r="L2902" s="91" t="str">
        <f t="shared" si="8"/>
        <v>Mon</v>
      </c>
      <c r="M2902" s="78" t="str">
        <f>IFERROR(VLOOKUP(A2902, Entries!A:B,2,false),"")</f>
        <v>WOLCEN Studio</v>
      </c>
      <c r="N2902" s="23" t="str">
        <f>IFERROR(VLOOKUP(A2902, Entries!A:K,11,false),"")</f>
        <v/>
      </c>
      <c r="O2902" s="23" t="b">
        <f>IFERROR(VLOOKUP(A2902, Entries!A:I,8,false),"")</f>
        <v>0</v>
      </c>
    </row>
    <row r="2903">
      <c r="A2903" s="78" t="s">
        <v>3515</v>
      </c>
      <c r="B2903" s="78" t="s">
        <v>30</v>
      </c>
      <c r="C2903" s="85">
        <v>44983.0</v>
      </c>
      <c r="D2903" s="85">
        <v>44985.0</v>
      </c>
      <c r="E2903" s="86">
        <v>9.78</v>
      </c>
      <c r="F2903" s="87">
        <v>13.83</v>
      </c>
      <c r="G2903" s="88">
        <f t="shared" si="1"/>
        <v>4.05</v>
      </c>
      <c r="H2903" s="89">
        <f t="shared" si="10"/>
        <v>0.2928416486</v>
      </c>
      <c r="I2903" s="78" t="s">
        <v>3543</v>
      </c>
      <c r="J2903" s="78" t="s">
        <v>69</v>
      </c>
      <c r="K2903" s="58">
        <f t="shared" si="3"/>
        <v>2</v>
      </c>
      <c r="L2903" s="91" t="str">
        <f t="shared" si="8"/>
        <v>Tue</v>
      </c>
      <c r="M2903" s="78" t="str">
        <f>IFERROR(VLOOKUP(A2903, Entries!A:B,2,false),"")</f>
        <v>WOLCEN Studio</v>
      </c>
      <c r="N2903" s="23" t="str">
        <f>IFERROR(VLOOKUP(A2903, Entries!A:K,11,false),"")</f>
        <v/>
      </c>
      <c r="O2903" s="23" t="b">
        <f>IFERROR(VLOOKUP(A2903, Entries!A:I,8,false),"")</f>
        <v>0</v>
      </c>
    </row>
    <row r="2904">
      <c r="A2904" s="78" t="s">
        <v>3515</v>
      </c>
      <c r="B2904" s="78" t="s">
        <v>30</v>
      </c>
      <c r="C2904" s="85">
        <v>44983.0</v>
      </c>
      <c r="D2904" s="85">
        <v>44986.0</v>
      </c>
      <c r="E2904" s="86">
        <v>9.78</v>
      </c>
      <c r="F2904" s="87">
        <v>11.85</v>
      </c>
      <c r="G2904" s="88">
        <f t="shared" si="1"/>
        <v>2.07</v>
      </c>
      <c r="H2904" s="89">
        <f t="shared" si="10"/>
        <v>0.1746835443</v>
      </c>
      <c r="I2904" s="78" t="s">
        <v>3544</v>
      </c>
      <c r="J2904" s="78" t="s">
        <v>69</v>
      </c>
      <c r="K2904" s="58">
        <f t="shared" si="3"/>
        <v>3</v>
      </c>
      <c r="L2904" s="91" t="str">
        <f t="shared" si="8"/>
        <v>Wed</v>
      </c>
      <c r="M2904" s="78" t="str">
        <f>IFERROR(VLOOKUP(A2904, Entries!A:B,2,false),"")</f>
        <v>WOLCEN Studio</v>
      </c>
      <c r="N2904" s="23" t="str">
        <f>IFERROR(VLOOKUP(A2904, Entries!A:K,11,false),"")</f>
        <v/>
      </c>
      <c r="O2904" s="23" t="b">
        <f>IFERROR(VLOOKUP(A2904, Entries!A:I,8,false),"")</f>
        <v>0</v>
      </c>
    </row>
    <row r="2905">
      <c r="A2905" s="78" t="s">
        <v>3515</v>
      </c>
      <c r="B2905" s="78" t="s">
        <v>30</v>
      </c>
      <c r="C2905" s="85">
        <v>44983.0</v>
      </c>
      <c r="D2905" s="85">
        <v>44987.0</v>
      </c>
      <c r="E2905" s="86">
        <v>9.78</v>
      </c>
      <c r="F2905" s="87">
        <v>11.37</v>
      </c>
      <c r="G2905" s="88">
        <f t="shared" si="1"/>
        <v>1.59</v>
      </c>
      <c r="H2905" s="89">
        <f t="shared" si="10"/>
        <v>0.1398416887</v>
      </c>
      <c r="I2905" s="78" t="s">
        <v>3545</v>
      </c>
      <c r="J2905" s="78" t="s">
        <v>69</v>
      </c>
      <c r="K2905" s="58">
        <f t="shared" si="3"/>
        <v>4</v>
      </c>
      <c r="L2905" s="91" t="str">
        <f t="shared" si="8"/>
        <v>Thu</v>
      </c>
      <c r="M2905" s="78" t="str">
        <f>IFERROR(VLOOKUP(A2905, Entries!A:B,2,false),"")</f>
        <v>WOLCEN Studio</v>
      </c>
      <c r="N2905" s="23" t="str">
        <f>IFERROR(VLOOKUP(A2905, Entries!A:K,11,false),"")</f>
        <v/>
      </c>
      <c r="O2905" s="23" t="b">
        <f>IFERROR(VLOOKUP(A2905, Entries!A:I,8,false),"")</f>
        <v>0</v>
      </c>
    </row>
    <row r="2906">
      <c r="A2906" s="78" t="s">
        <v>3515</v>
      </c>
      <c r="B2906" s="78" t="s">
        <v>30</v>
      </c>
      <c r="C2906" s="85">
        <v>44983.0</v>
      </c>
      <c r="D2906" s="85">
        <v>44987.0</v>
      </c>
      <c r="E2906" s="86">
        <v>9.78</v>
      </c>
      <c r="F2906" s="87">
        <v>11.16</v>
      </c>
      <c r="G2906" s="88">
        <f t="shared" si="1"/>
        <v>1.38</v>
      </c>
      <c r="H2906" s="89">
        <f t="shared" si="10"/>
        <v>0.123655914</v>
      </c>
      <c r="I2906" s="78" t="s">
        <v>3546</v>
      </c>
      <c r="J2906" s="78" t="s">
        <v>69</v>
      </c>
      <c r="K2906" s="58">
        <f t="shared" si="3"/>
        <v>4</v>
      </c>
      <c r="L2906" s="91" t="str">
        <f t="shared" si="8"/>
        <v>Thu</v>
      </c>
      <c r="M2906" s="78" t="str">
        <f>IFERROR(VLOOKUP(A2906, Entries!A:B,2,false),"")</f>
        <v>WOLCEN Studio</v>
      </c>
      <c r="N2906" s="23" t="str">
        <f>IFERROR(VLOOKUP(A2906, Entries!A:K,11,false),"")</f>
        <v/>
      </c>
      <c r="O2906" s="23" t="b">
        <f>IFERROR(VLOOKUP(A2906, Entries!A:I,8,false),"")</f>
        <v>0</v>
      </c>
    </row>
    <row r="2907">
      <c r="A2907" s="78" t="s">
        <v>2339</v>
      </c>
      <c r="B2907" s="78" t="s">
        <v>27</v>
      </c>
      <c r="C2907" s="85">
        <v>44984.0</v>
      </c>
      <c r="D2907" s="85">
        <v>44986.0</v>
      </c>
      <c r="E2907" s="86">
        <v>4.69</v>
      </c>
      <c r="F2907" s="87">
        <v>6.6</v>
      </c>
      <c r="G2907" s="88">
        <f t="shared" si="1"/>
        <v>1.91</v>
      </c>
      <c r="H2907" s="89">
        <f t="shared" si="10"/>
        <v>0.2893939394</v>
      </c>
      <c r="I2907" s="78" t="s">
        <v>3547</v>
      </c>
      <c r="J2907" s="78" t="s">
        <v>69</v>
      </c>
      <c r="K2907" s="58">
        <f t="shared" si="3"/>
        <v>2</v>
      </c>
      <c r="L2907" s="91" t="str">
        <f t="shared" si="8"/>
        <v>Wed</v>
      </c>
      <c r="M2907" s="78" t="str">
        <f>IFERROR(VLOOKUP(A2907, Entries!A:B,2,false),"")</f>
        <v>PlayWay</v>
      </c>
      <c r="N2907" s="23" t="str">
        <f>IFERROR(VLOOKUP(A2907, Entries!A:K,11,false),"")</f>
        <v/>
      </c>
      <c r="O2907" s="23" t="b">
        <f>IFERROR(VLOOKUP(A2907, Entries!A:I,8,false),"")</f>
        <v>0</v>
      </c>
    </row>
    <row r="2908">
      <c r="A2908" s="78" t="s">
        <v>3515</v>
      </c>
      <c r="B2908" s="78" t="s">
        <v>30</v>
      </c>
      <c r="C2908" s="85">
        <v>44985.0</v>
      </c>
      <c r="D2908" s="85">
        <v>44988.0</v>
      </c>
      <c r="E2908" s="86">
        <v>9.78</v>
      </c>
      <c r="F2908" s="87">
        <v>12.72</v>
      </c>
      <c r="G2908" s="88">
        <f t="shared" si="1"/>
        <v>2.94</v>
      </c>
      <c r="H2908" s="89">
        <f t="shared" si="10"/>
        <v>0.2311320755</v>
      </c>
      <c r="I2908" s="78" t="s">
        <v>3548</v>
      </c>
      <c r="J2908" s="78" t="s">
        <v>69</v>
      </c>
      <c r="K2908" s="58">
        <f t="shared" si="3"/>
        <v>3</v>
      </c>
      <c r="L2908" s="91" t="str">
        <f t="shared" si="8"/>
        <v>Fri</v>
      </c>
      <c r="M2908" s="78" t="str">
        <f>IFERROR(VLOOKUP(A2908, Entries!A:B,2,false),"")</f>
        <v>WOLCEN Studio</v>
      </c>
      <c r="N2908" s="23" t="str">
        <f>IFERROR(VLOOKUP(A2908, Entries!A:K,11,false),"")</f>
        <v/>
      </c>
      <c r="O2908" s="23" t="b">
        <f>IFERROR(VLOOKUP(A2908, Entries!A:I,8,false),"")</f>
        <v>0</v>
      </c>
    </row>
    <row r="2909">
      <c r="A2909" s="78" t="s">
        <v>3515</v>
      </c>
      <c r="B2909" s="78" t="s">
        <v>30</v>
      </c>
      <c r="C2909" s="85">
        <v>44985.0</v>
      </c>
      <c r="D2909" s="85">
        <v>44987.0</v>
      </c>
      <c r="E2909" s="86">
        <v>9.78</v>
      </c>
      <c r="F2909" s="87">
        <v>12.72</v>
      </c>
      <c r="G2909" s="88">
        <f t="shared" si="1"/>
        <v>2.94</v>
      </c>
      <c r="H2909" s="89">
        <f t="shared" si="10"/>
        <v>0.2311320755</v>
      </c>
      <c r="I2909" s="78" t="s">
        <v>3549</v>
      </c>
      <c r="J2909" s="78" t="s">
        <v>69</v>
      </c>
      <c r="K2909" s="58">
        <f t="shared" si="3"/>
        <v>2</v>
      </c>
      <c r="L2909" s="91" t="str">
        <f t="shared" si="8"/>
        <v>Thu</v>
      </c>
      <c r="M2909" s="78" t="str">
        <f>IFERROR(VLOOKUP(A2909, Entries!A:B,2,false),"")</f>
        <v>WOLCEN Studio</v>
      </c>
      <c r="N2909" s="23" t="str">
        <f>IFERROR(VLOOKUP(A2909, Entries!A:K,11,false),"")</f>
        <v/>
      </c>
      <c r="O2909" s="23" t="b">
        <f>IFERROR(VLOOKUP(A2909, Entries!A:I,8,false),"")</f>
        <v>0</v>
      </c>
    </row>
    <row r="2910">
      <c r="A2910" s="78" t="s">
        <v>678</v>
      </c>
      <c r="B2910" s="78" t="s">
        <v>27</v>
      </c>
      <c r="C2910" s="85">
        <v>44985.0</v>
      </c>
      <c r="D2910" s="85">
        <v>44989.0</v>
      </c>
      <c r="E2910" s="86">
        <v>6.39</v>
      </c>
      <c r="F2910" s="87">
        <v>10.18</v>
      </c>
      <c r="G2910" s="88">
        <f t="shared" si="1"/>
        <v>3.79</v>
      </c>
      <c r="H2910" s="89">
        <f t="shared" si="10"/>
        <v>0.3722986248</v>
      </c>
      <c r="I2910" s="78" t="s">
        <v>3550</v>
      </c>
      <c r="J2910" s="78" t="s">
        <v>69</v>
      </c>
      <c r="K2910" s="58">
        <f t="shared" si="3"/>
        <v>4</v>
      </c>
      <c r="L2910" s="91" t="str">
        <f t="shared" si="8"/>
        <v>Sat</v>
      </c>
      <c r="M2910" s="78" t="str">
        <f>IFERROR(VLOOKUP(A2910, Entries!A:B,2,false),"")</f>
        <v>FireFly Studios</v>
      </c>
      <c r="N2910" s="23" t="str">
        <f>IFERROR(VLOOKUP(A2910, Entries!A:K,11,false),"")</f>
        <v/>
      </c>
      <c r="O2910" s="23" t="b">
        <f>IFERROR(VLOOKUP(A2910, Entries!A:I,8,false),"")</f>
        <v>0</v>
      </c>
    </row>
    <row r="2911">
      <c r="A2911" s="78" t="s">
        <v>2339</v>
      </c>
      <c r="B2911" s="78" t="s">
        <v>27</v>
      </c>
      <c r="C2911" s="85">
        <v>44986.0</v>
      </c>
      <c r="D2911" s="85">
        <v>44986.0</v>
      </c>
      <c r="E2911" s="86">
        <v>4.69</v>
      </c>
      <c r="F2911" s="87">
        <v>6.56</v>
      </c>
      <c r="G2911" s="88">
        <f t="shared" si="1"/>
        <v>1.87</v>
      </c>
      <c r="H2911" s="89">
        <f t="shared" si="10"/>
        <v>0.2850609756</v>
      </c>
      <c r="I2911" s="78" t="s">
        <v>3551</v>
      </c>
      <c r="J2911" s="78" t="s">
        <v>69</v>
      </c>
      <c r="K2911" s="58">
        <f t="shared" si="3"/>
        <v>0</v>
      </c>
      <c r="L2911" s="91" t="str">
        <f t="shared" si="8"/>
        <v>Wed</v>
      </c>
      <c r="M2911" s="78" t="str">
        <f>IFERROR(VLOOKUP(A2911, Entries!A:B,2,false),"")</f>
        <v>PlayWay</v>
      </c>
      <c r="N2911" s="23" t="str">
        <f>IFERROR(VLOOKUP(A2911, Entries!A:K,11,false),"")</f>
        <v/>
      </c>
      <c r="O2911" s="23" t="b">
        <f>IFERROR(VLOOKUP(A2911, Entries!A:I,8,false),"")</f>
        <v>0</v>
      </c>
    </row>
    <row r="2912">
      <c r="A2912" s="78" t="s">
        <v>3366</v>
      </c>
      <c r="B2912" s="78" t="s">
        <v>25</v>
      </c>
      <c r="C2912" s="85">
        <v>44986.0</v>
      </c>
      <c r="D2912" s="85">
        <v>44986.0</v>
      </c>
      <c r="E2912" s="86">
        <v>4.88</v>
      </c>
      <c r="F2912" s="87">
        <v>5.75</v>
      </c>
      <c r="G2912" s="88">
        <f t="shared" si="1"/>
        <v>0.87</v>
      </c>
      <c r="H2912" s="89">
        <f t="shared" si="10"/>
        <v>0.1513043478</v>
      </c>
      <c r="I2912" s="78" t="s">
        <v>3552</v>
      </c>
      <c r="J2912" s="78" t="s">
        <v>69</v>
      </c>
      <c r="K2912" s="58">
        <f t="shared" si="3"/>
        <v>0</v>
      </c>
      <c r="L2912" s="91" t="str">
        <f t="shared" si="8"/>
        <v>Wed</v>
      </c>
      <c r="M2912" s="78" t="str">
        <f>IFERROR(VLOOKUP(A2912, Entries!A:B,2,false),"")</f>
        <v>Sector D2</v>
      </c>
      <c r="N2912" s="23" t="str">
        <f>IFERROR(VLOOKUP(A2912, Entries!A:K,11,false),"")</f>
        <v/>
      </c>
      <c r="O2912" s="23" t="b">
        <f>IFERROR(VLOOKUP(A2912, Entries!A:I,8,false),"")</f>
        <v>0</v>
      </c>
    </row>
    <row r="2913">
      <c r="A2913" s="78" t="s">
        <v>3366</v>
      </c>
      <c r="B2913" s="78" t="s">
        <v>25</v>
      </c>
      <c r="C2913" s="85">
        <v>44986.0</v>
      </c>
      <c r="D2913" s="85">
        <v>44986.0</v>
      </c>
      <c r="E2913" s="86">
        <v>4.88</v>
      </c>
      <c r="F2913" s="87">
        <v>5.75</v>
      </c>
      <c r="G2913" s="88">
        <f t="shared" si="1"/>
        <v>0.87</v>
      </c>
      <c r="H2913" s="89">
        <f t="shared" si="10"/>
        <v>0.1513043478</v>
      </c>
      <c r="I2913" s="78" t="s">
        <v>3553</v>
      </c>
      <c r="J2913" s="78" t="s">
        <v>69</v>
      </c>
      <c r="K2913" s="58">
        <f t="shared" si="3"/>
        <v>0</v>
      </c>
      <c r="L2913" s="91" t="str">
        <f t="shared" si="8"/>
        <v>Wed</v>
      </c>
      <c r="M2913" s="78" t="str">
        <f>IFERROR(VLOOKUP(A2913, Entries!A:B,2,false),"")</f>
        <v>Sector D2</v>
      </c>
      <c r="N2913" s="23" t="str">
        <f>IFERROR(VLOOKUP(A2913, Entries!A:K,11,false),"")</f>
        <v/>
      </c>
      <c r="O2913" s="23" t="b">
        <f>IFERROR(VLOOKUP(A2913, Entries!A:I,8,false),"")</f>
        <v>0</v>
      </c>
    </row>
    <row r="2914">
      <c r="A2914" s="78" t="s">
        <v>3515</v>
      </c>
      <c r="B2914" s="78" t="s">
        <v>30</v>
      </c>
      <c r="C2914" s="85">
        <v>44986.0</v>
      </c>
      <c r="D2914" s="85">
        <v>44988.0</v>
      </c>
      <c r="E2914" s="86">
        <v>9.75</v>
      </c>
      <c r="F2914" s="87">
        <v>12.72</v>
      </c>
      <c r="G2914" s="88">
        <f t="shared" si="1"/>
        <v>2.97</v>
      </c>
      <c r="H2914" s="89">
        <f t="shared" si="10"/>
        <v>0.233490566</v>
      </c>
      <c r="I2914" s="78" t="s">
        <v>3554</v>
      </c>
      <c r="J2914" s="78" t="s">
        <v>69</v>
      </c>
      <c r="K2914" s="58">
        <f t="shared" si="3"/>
        <v>2</v>
      </c>
      <c r="L2914" s="91" t="str">
        <f t="shared" si="8"/>
        <v>Fri</v>
      </c>
      <c r="M2914" s="78" t="str">
        <f>IFERROR(VLOOKUP(A2914, Entries!A:B,2,false),"")</f>
        <v>WOLCEN Studio</v>
      </c>
      <c r="N2914" s="23" t="str">
        <f>IFERROR(VLOOKUP(A2914, Entries!A:K,11,false),"")</f>
        <v/>
      </c>
      <c r="O2914" s="23" t="b">
        <f>IFERROR(VLOOKUP(A2914, Entries!A:I,8,false),"")</f>
        <v>0</v>
      </c>
    </row>
    <row r="2915">
      <c r="A2915" s="78" t="s">
        <v>2066</v>
      </c>
      <c r="B2915" s="78" t="s">
        <v>25</v>
      </c>
      <c r="C2915" s="85">
        <v>44986.0</v>
      </c>
      <c r="D2915" s="85">
        <v>45212.0</v>
      </c>
      <c r="E2915" s="86">
        <v>10.39</v>
      </c>
      <c r="F2915" s="87">
        <v>14.03</v>
      </c>
      <c r="G2915" s="88">
        <f t="shared" si="1"/>
        <v>3.64</v>
      </c>
      <c r="H2915" s="89">
        <f t="shared" si="10"/>
        <v>0.2594440485</v>
      </c>
      <c r="I2915" s="78" t="s">
        <v>3555</v>
      </c>
      <c r="J2915" s="78" t="s">
        <v>69</v>
      </c>
      <c r="K2915" s="58">
        <f t="shared" si="3"/>
        <v>226</v>
      </c>
      <c r="L2915" s="91" t="str">
        <f t="shared" si="8"/>
        <v>Fri</v>
      </c>
      <c r="M2915" s="78" t="str">
        <f>IFERROR(VLOOKUP(A2915, Entries!A:B,2,false),"")</f>
        <v>Annapurna Interactive</v>
      </c>
      <c r="N2915" s="23" t="str">
        <f>IFERROR(VLOOKUP(A2915, Entries!A:K,11,false),"")</f>
        <v/>
      </c>
      <c r="O2915" s="23" t="b">
        <f>IFERROR(VLOOKUP(A2915, Entries!A:I,8,false),"")</f>
        <v>0</v>
      </c>
    </row>
    <row r="2916">
      <c r="A2916" s="78" t="s">
        <v>2466</v>
      </c>
      <c r="B2916" s="78" t="s">
        <v>27</v>
      </c>
      <c r="C2916" s="85">
        <v>44987.0</v>
      </c>
      <c r="D2916" s="85">
        <v>44987.0</v>
      </c>
      <c r="E2916" s="86">
        <v>9.69</v>
      </c>
      <c r="F2916" s="87">
        <v>11.41</v>
      </c>
      <c r="G2916" s="88">
        <f t="shared" si="1"/>
        <v>1.72</v>
      </c>
      <c r="H2916" s="89">
        <f t="shared" si="10"/>
        <v>0.1507449606</v>
      </c>
      <c r="I2916" s="78" t="s">
        <v>3556</v>
      </c>
      <c r="J2916" s="78" t="s">
        <v>69</v>
      </c>
      <c r="K2916" s="58">
        <f t="shared" si="3"/>
        <v>0</v>
      </c>
      <c r="L2916" s="91" t="str">
        <f t="shared" si="8"/>
        <v>Thu</v>
      </c>
      <c r="M2916" s="78" t="str">
        <f>IFERROR(VLOOKUP(A2916, Entries!A:B,2,false),"")</f>
        <v>Bethesda Softworks</v>
      </c>
      <c r="N2916" s="23" t="str">
        <f>IFERROR(VLOOKUP(A2916, Entries!A:K,11,false),"")</f>
        <v/>
      </c>
      <c r="O2916" s="23" t="b">
        <f>IFERROR(VLOOKUP(A2916, Entries!A:I,8,false),"")</f>
        <v>1</v>
      </c>
    </row>
    <row r="2917">
      <c r="A2917" s="78" t="s">
        <v>2466</v>
      </c>
      <c r="B2917" s="78" t="s">
        <v>27</v>
      </c>
      <c r="C2917" s="85">
        <v>44987.0</v>
      </c>
      <c r="D2917" s="85">
        <v>44988.0</v>
      </c>
      <c r="E2917" s="86">
        <v>9.69</v>
      </c>
      <c r="F2917" s="87">
        <v>11.39</v>
      </c>
      <c r="G2917" s="88">
        <f t="shared" si="1"/>
        <v>1.7</v>
      </c>
      <c r="H2917" s="89">
        <f t="shared" si="10"/>
        <v>0.1492537313</v>
      </c>
      <c r="I2917" s="78" t="s">
        <v>3557</v>
      </c>
      <c r="J2917" s="78" t="s">
        <v>69</v>
      </c>
      <c r="K2917" s="58">
        <f t="shared" si="3"/>
        <v>1</v>
      </c>
      <c r="L2917" s="91" t="str">
        <f t="shared" si="8"/>
        <v>Fri</v>
      </c>
      <c r="M2917" s="78" t="str">
        <f>IFERROR(VLOOKUP(A2917, Entries!A:B,2,false),"")</f>
        <v>Bethesda Softworks</v>
      </c>
      <c r="N2917" s="23" t="str">
        <f>IFERROR(VLOOKUP(A2917, Entries!A:K,11,false),"")</f>
        <v/>
      </c>
      <c r="O2917" s="23" t="b">
        <f>IFERROR(VLOOKUP(A2917, Entries!A:I,8,false),"")</f>
        <v>1</v>
      </c>
    </row>
    <row r="2918">
      <c r="A2918" s="78" t="s">
        <v>3366</v>
      </c>
      <c r="B2918" s="78" t="s">
        <v>25</v>
      </c>
      <c r="C2918" s="85">
        <v>44987.0</v>
      </c>
      <c r="D2918" s="85">
        <v>44990.0</v>
      </c>
      <c r="E2918" s="86">
        <v>4.88</v>
      </c>
      <c r="F2918" s="87">
        <v>5.6</v>
      </c>
      <c r="G2918" s="88">
        <f t="shared" si="1"/>
        <v>0.72</v>
      </c>
      <c r="H2918" s="89">
        <f t="shared" si="10"/>
        <v>0.1285714286</v>
      </c>
      <c r="I2918" s="78" t="s">
        <v>3558</v>
      </c>
      <c r="J2918" s="78" t="s">
        <v>69</v>
      </c>
      <c r="K2918" s="58">
        <f t="shared" si="3"/>
        <v>3</v>
      </c>
      <c r="L2918" s="91" t="str">
        <f t="shared" si="8"/>
        <v>Sun</v>
      </c>
      <c r="M2918" s="78" t="str">
        <f>IFERROR(VLOOKUP(A2918, Entries!A:B,2,false),"")</f>
        <v>Sector D2</v>
      </c>
      <c r="N2918" s="23" t="str">
        <f>IFERROR(VLOOKUP(A2918, Entries!A:K,11,false),"")</f>
        <v/>
      </c>
      <c r="O2918" s="23" t="b">
        <f>IFERROR(VLOOKUP(A2918, Entries!A:I,8,false),"")</f>
        <v>0</v>
      </c>
    </row>
    <row r="2919">
      <c r="A2919" s="78" t="s">
        <v>3366</v>
      </c>
      <c r="B2919" s="78" t="s">
        <v>25</v>
      </c>
      <c r="C2919" s="85">
        <v>44987.0</v>
      </c>
      <c r="D2919" s="85">
        <v>44991.0</v>
      </c>
      <c r="E2919" s="86">
        <v>4.88</v>
      </c>
      <c r="F2919" s="87">
        <v>5.6</v>
      </c>
      <c r="G2919" s="88">
        <f t="shared" si="1"/>
        <v>0.72</v>
      </c>
      <c r="H2919" s="89">
        <f t="shared" si="10"/>
        <v>0.1285714286</v>
      </c>
      <c r="I2919" s="78" t="s">
        <v>3559</v>
      </c>
      <c r="J2919" s="78" t="s">
        <v>69</v>
      </c>
      <c r="K2919" s="58">
        <f t="shared" si="3"/>
        <v>4</v>
      </c>
      <c r="L2919" s="91" t="str">
        <f t="shared" si="8"/>
        <v>Mon</v>
      </c>
      <c r="M2919" s="78" t="str">
        <f>IFERROR(VLOOKUP(A2919, Entries!A:B,2,false),"")</f>
        <v>Sector D2</v>
      </c>
      <c r="N2919" s="23" t="str">
        <f>IFERROR(VLOOKUP(A2919, Entries!A:K,11,false),"")</f>
        <v/>
      </c>
      <c r="O2919" s="23" t="b">
        <f>IFERROR(VLOOKUP(A2919, Entries!A:I,8,false),"")</f>
        <v>0</v>
      </c>
    </row>
    <row r="2920">
      <c r="A2920" s="78" t="s">
        <v>2466</v>
      </c>
      <c r="B2920" s="78" t="s">
        <v>27</v>
      </c>
      <c r="C2920" s="85">
        <v>44987.0</v>
      </c>
      <c r="D2920" s="85">
        <v>44989.0</v>
      </c>
      <c r="E2920" s="86">
        <v>9.69</v>
      </c>
      <c r="F2920" s="87">
        <v>11.42</v>
      </c>
      <c r="G2920" s="88">
        <f t="shared" si="1"/>
        <v>1.73</v>
      </c>
      <c r="H2920" s="89">
        <f t="shared" si="10"/>
        <v>0.1514886165</v>
      </c>
      <c r="I2920" s="78" t="s">
        <v>3560</v>
      </c>
      <c r="J2920" s="78" t="s">
        <v>69</v>
      </c>
      <c r="K2920" s="58">
        <f t="shared" si="3"/>
        <v>2</v>
      </c>
      <c r="L2920" s="91" t="str">
        <f t="shared" si="8"/>
        <v>Sat</v>
      </c>
      <c r="M2920" s="78" t="str">
        <f>IFERROR(VLOOKUP(A2920, Entries!A:B,2,false),"")</f>
        <v>Bethesda Softworks</v>
      </c>
      <c r="N2920" s="23" t="str">
        <f>IFERROR(VLOOKUP(A2920, Entries!A:K,11,false),"")</f>
        <v/>
      </c>
      <c r="O2920" s="23" t="b">
        <f>IFERROR(VLOOKUP(A2920, Entries!A:I,8,false),"")</f>
        <v>1</v>
      </c>
    </row>
    <row r="2921">
      <c r="A2921" s="78" t="s">
        <v>2466</v>
      </c>
      <c r="B2921" s="78" t="s">
        <v>27</v>
      </c>
      <c r="C2921" s="85">
        <v>44987.0</v>
      </c>
      <c r="D2921" s="85">
        <v>44990.0</v>
      </c>
      <c r="E2921" s="86">
        <v>9.69</v>
      </c>
      <c r="F2921" s="87">
        <v>11.42</v>
      </c>
      <c r="G2921" s="88">
        <f t="shared" si="1"/>
        <v>1.73</v>
      </c>
      <c r="H2921" s="89">
        <f t="shared" si="10"/>
        <v>0.1514886165</v>
      </c>
      <c r="I2921" s="78" t="s">
        <v>3561</v>
      </c>
      <c r="J2921" s="78" t="s">
        <v>69</v>
      </c>
      <c r="K2921" s="58">
        <f t="shared" si="3"/>
        <v>3</v>
      </c>
      <c r="L2921" s="91" t="str">
        <f t="shared" si="8"/>
        <v>Sun</v>
      </c>
      <c r="M2921" s="78" t="str">
        <f>IFERROR(VLOOKUP(A2921, Entries!A:B,2,false),"")</f>
        <v>Bethesda Softworks</v>
      </c>
      <c r="N2921" s="23" t="str">
        <f>IFERROR(VLOOKUP(A2921, Entries!A:K,11,false),"")</f>
        <v/>
      </c>
      <c r="O2921" s="23" t="b">
        <f>IFERROR(VLOOKUP(A2921, Entries!A:I,8,false),"")</f>
        <v>1</v>
      </c>
    </row>
    <row r="2922">
      <c r="A2922" s="78" t="s">
        <v>3515</v>
      </c>
      <c r="B2922" s="78" t="s">
        <v>30</v>
      </c>
      <c r="C2922" s="85">
        <v>44987.0</v>
      </c>
      <c r="D2922" s="85">
        <v>44988.0</v>
      </c>
      <c r="E2922" s="86">
        <v>9.75</v>
      </c>
      <c r="F2922" s="87">
        <v>12.56</v>
      </c>
      <c r="G2922" s="88">
        <f t="shared" si="1"/>
        <v>2.81</v>
      </c>
      <c r="H2922" s="89">
        <f t="shared" si="10"/>
        <v>0.2237261146</v>
      </c>
      <c r="I2922" s="78" t="s">
        <v>3562</v>
      </c>
      <c r="J2922" s="78" t="s">
        <v>69</v>
      </c>
      <c r="K2922" s="58">
        <f t="shared" si="3"/>
        <v>1</v>
      </c>
      <c r="L2922" s="91" t="str">
        <f t="shared" si="8"/>
        <v>Fri</v>
      </c>
      <c r="M2922" s="78" t="str">
        <f>IFERROR(VLOOKUP(A2922, Entries!A:B,2,false),"")</f>
        <v>WOLCEN Studio</v>
      </c>
      <c r="N2922" s="23" t="str">
        <f>IFERROR(VLOOKUP(A2922, Entries!A:K,11,false),"")</f>
        <v/>
      </c>
      <c r="O2922" s="23" t="b">
        <f>IFERROR(VLOOKUP(A2922, Entries!A:I,8,false),"")</f>
        <v>0</v>
      </c>
    </row>
    <row r="2923">
      <c r="A2923" s="78" t="s">
        <v>2818</v>
      </c>
      <c r="B2923" s="78" t="s">
        <v>27</v>
      </c>
      <c r="C2923" s="85">
        <v>44987.0</v>
      </c>
      <c r="D2923" s="85">
        <v>44988.0</v>
      </c>
      <c r="E2923" s="86">
        <v>3.79</v>
      </c>
      <c r="F2923" s="87">
        <v>5.22</v>
      </c>
      <c r="G2923" s="88">
        <f t="shared" si="1"/>
        <v>1.43</v>
      </c>
      <c r="H2923" s="89">
        <f t="shared" si="10"/>
        <v>0.2739463602</v>
      </c>
      <c r="I2923" s="78" t="s">
        <v>3563</v>
      </c>
      <c r="J2923" s="78" t="s">
        <v>69</v>
      </c>
      <c r="K2923" s="58">
        <f t="shared" si="3"/>
        <v>1</v>
      </c>
      <c r="L2923" s="91" t="str">
        <f t="shared" si="8"/>
        <v>Fri</v>
      </c>
      <c r="M2923" s="78" t="str">
        <f>IFERROR(VLOOKUP(A2923, Entries!A:B,2,false),"")</f>
        <v>Daedalic Entertainment</v>
      </c>
      <c r="N2923" s="23" t="str">
        <f>IFERROR(VLOOKUP(A2923, Entries!A:K,11,false),"")</f>
        <v/>
      </c>
      <c r="O2923" s="23" t="b">
        <f>IFERROR(VLOOKUP(A2923, Entries!A:I,8,false),"")</f>
        <v>1</v>
      </c>
    </row>
    <row r="2924">
      <c r="A2924" s="78" t="s">
        <v>3515</v>
      </c>
      <c r="B2924" s="78" t="s">
        <v>30</v>
      </c>
      <c r="C2924" s="85">
        <v>44987.0</v>
      </c>
      <c r="D2924" s="85">
        <v>44988.0</v>
      </c>
      <c r="E2924" s="86">
        <v>9.75</v>
      </c>
      <c r="F2924" s="87">
        <v>12.51</v>
      </c>
      <c r="G2924" s="88">
        <f t="shared" si="1"/>
        <v>2.76</v>
      </c>
      <c r="H2924" s="89">
        <f t="shared" si="10"/>
        <v>0.2206235012</v>
      </c>
      <c r="I2924" s="78" t="s">
        <v>3564</v>
      </c>
      <c r="J2924" s="78" t="s">
        <v>69</v>
      </c>
      <c r="K2924" s="58">
        <f t="shared" si="3"/>
        <v>1</v>
      </c>
      <c r="L2924" s="91" t="str">
        <f t="shared" si="8"/>
        <v>Fri</v>
      </c>
      <c r="M2924" s="78" t="str">
        <f>IFERROR(VLOOKUP(A2924, Entries!A:B,2,false),"")</f>
        <v>WOLCEN Studio</v>
      </c>
      <c r="N2924" s="23" t="str">
        <f>IFERROR(VLOOKUP(A2924, Entries!A:K,11,false),"")</f>
        <v/>
      </c>
      <c r="O2924" s="23" t="b">
        <f>IFERROR(VLOOKUP(A2924, Entries!A:I,8,false),"")</f>
        <v>0</v>
      </c>
    </row>
    <row r="2925">
      <c r="A2925" s="78" t="s">
        <v>3515</v>
      </c>
      <c r="B2925" s="78" t="s">
        <v>30</v>
      </c>
      <c r="C2925" s="85">
        <v>44987.0</v>
      </c>
      <c r="D2925" s="85">
        <v>45000.0</v>
      </c>
      <c r="E2925" s="86">
        <v>9.75</v>
      </c>
      <c r="F2925" s="87">
        <v>12.67</v>
      </c>
      <c r="G2925" s="88">
        <f t="shared" si="1"/>
        <v>2.92</v>
      </c>
      <c r="H2925" s="89">
        <f t="shared" si="10"/>
        <v>0.2304656669</v>
      </c>
      <c r="I2925" s="78" t="s">
        <v>3565</v>
      </c>
      <c r="J2925" s="78" t="s">
        <v>69</v>
      </c>
      <c r="K2925" s="58">
        <f t="shared" si="3"/>
        <v>13</v>
      </c>
      <c r="L2925" s="91" t="str">
        <f t="shared" si="8"/>
        <v>Wed</v>
      </c>
      <c r="M2925" s="78" t="str">
        <f>IFERROR(VLOOKUP(A2925, Entries!A:B,2,false),"")</f>
        <v>WOLCEN Studio</v>
      </c>
      <c r="N2925" s="23" t="str">
        <f>IFERROR(VLOOKUP(A2925, Entries!A:K,11,false),"")</f>
        <v/>
      </c>
      <c r="O2925" s="23" t="b">
        <f>IFERROR(VLOOKUP(A2925, Entries!A:I,8,false),"")</f>
        <v>0</v>
      </c>
    </row>
    <row r="2926">
      <c r="A2926" s="78" t="s">
        <v>3515</v>
      </c>
      <c r="B2926" s="78" t="s">
        <v>30</v>
      </c>
      <c r="C2926" s="85">
        <v>44988.0</v>
      </c>
      <c r="D2926" s="85">
        <v>45000.0</v>
      </c>
      <c r="E2926" s="86">
        <v>9.74</v>
      </c>
      <c r="F2926" s="87">
        <v>12.58</v>
      </c>
      <c r="G2926" s="88">
        <f t="shared" si="1"/>
        <v>2.84</v>
      </c>
      <c r="H2926" s="89">
        <f t="shared" si="10"/>
        <v>0.2257551669</v>
      </c>
      <c r="I2926" s="78" t="s">
        <v>3566</v>
      </c>
      <c r="J2926" s="78" t="s">
        <v>69</v>
      </c>
      <c r="K2926" s="58">
        <f t="shared" si="3"/>
        <v>12</v>
      </c>
      <c r="L2926" s="91" t="str">
        <f t="shared" si="8"/>
        <v>Wed</v>
      </c>
      <c r="M2926" s="78" t="str">
        <f>IFERROR(VLOOKUP(A2926, Entries!A:B,2,false),"")</f>
        <v>WOLCEN Studio</v>
      </c>
      <c r="N2926" s="23" t="str">
        <f>IFERROR(VLOOKUP(A2926, Entries!A:K,11,false),"")</f>
        <v/>
      </c>
      <c r="O2926" s="23" t="b">
        <f>IFERROR(VLOOKUP(A2926, Entries!A:I,8,false),"")</f>
        <v>0</v>
      </c>
    </row>
    <row r="2927">
      <c r="A2927" s="78" t="s">
        <v>3515</v>
      </c>
      <c r="B2927" s="78" t="s">
        <v>30</v>
      </c>
      <c r="C2927" s="85">
        <v>44988.0</v>
      </c>
      <c r="D2927" s="85">
        <v>45000.0</v>
      </c>
      <c r="E2927" s="86">
        <v>9.74</v>
      </c>
      <c r="F2927" s="87">
        <v>12.58</v>
      </c>
      <c r="G2927" s="88">
        <f t="shared" si="1"/>
        <v>2.84</v>
      </c>
      <c r="H2927" s="89">
        <f t="shared" si="10"/>
        <v>0.2257551669</v>
      </c>
      <c r="I2927" s="78" t="s">
        <v>3567</v>
      </c>
      <c r="J2927" s="78" t="s">
        <v>69</v>
      </c>
      <c r="K2927" s="58">
        <f t="shared" si="3"/>
        <v>12</v>
      </c>
      <c r="L2927" s="91" t="str">
        <f t="shared" si="8"/>
        <v>Wed</v>
      </c>
      <c r="M2927" s="78" t="str">
        <f>IFERROR(VLOOKUP(A2927, Entries!A:B,2,false),"")</f>
        <v>WOLCEN Studio</v>
      </c>
      <c r="N2927" s="23" t="str">
        <f>IFERROR(VLOOKUP(A2927, Entries!A:K,11,false),"")</f>
        <v/>
      </c>
      <c r="O2927" s="23" t="b">
        <f>IFERROR(VLOOKUP(A2927, Entries!A:I,8,false),"")</f>
        <v>0</v>
      </c>
    </row>
    <row r="2928">
      <c r="A2928" s="78" t="s">
        <v>974</v>
      </c>
      <c r="B2928" s="78" t="s">
        <v>22</v>
      </c>
      <c r="C2928" s="85">
        <v>44988.0</v>
      </c>
      <c r="D2928" s="85">
        <v>45155.0</v>
      </c>
      <c r="E2928" s="86">
        <v>9.46</v>
      </c>
      <c r="F2928" s="87">
        <v>12.98</v>
      </c>
      <c r="G2928" s="88">
        <f t="shared" si="1"/>
        <v>3.52</v>
      </c>
      <c r="H2928" s="89">
        <f t="shared" si="10"/>
        <v>0.2711864407</v>
      </c>
      <c r="I2928" s="78" t="s">
        <v>3568</v>
      </c>
      <c r="J2928" s="78" t="s">
        <v>69</v>
      </c>
      <c r="K2928" s="58">
        <f t="shared" si="3"/>
        <v>167</v>
      </c>
      <c r="L2928" s="91" t="str">
        <f t="shared" si="8"/>
        <v>Thu</v>
      </c>
      <c r="M2928" s="78" t="str">
        <f>IFERROR(VLOOKUP(A2928, Entries!A:B,2,false),"")</f>
        <v>Anvil Game Studios</v>
      </c>
      <c r="N2928" s="23" t="str">
        <f>IFERROR(VLOOKUP(A2928, Entries!A:K,11,false),"")</f>
        <v/>
      </c>
      <c r="O2928" s="23" t="b">
        <f>IFERROR(VLOOKUP(A2928, Entries!A:I,8,false),"")</f>
        <v>1</v>
      </c>
    </row>
    <row r="2929">
      <c r="A2929" s="94" t="s">
        <v>3569</v>
      </c>
      <c r="B2929" s="78" t="s">
        <v>32</v>
      </c>
      <c r="C2929" s="85">
        <v>44988.0</v>
      </c>
      <c r="D2929" s="85">
        <v>45556.0</v>
      </c>
      <c r="E2929" s="86">
        <v>12.3</v>
      </c>
      <c r="F2929" s="87">
        <v>10.66</v>
      </c>
      <c r="G2929" s="88">
        <f t="shared" si="1"/>
        <v>-1.64</v>
      </c>
      <c r="H2929" s="89">
        <f t="shared" si="10"/>
        <v>-0.1538461538</v>
      </c>
      <c r="I2929" s="78" t="s">
        <v>3570</v>
      </c>
      <c r="J2929" s="78" t="s">
        <v>69</v>
      </c>
      <c r="K2929" s="58">
        <f t="shared" si="3"/>
        <v>568</v>
      </c>
      <c r="L2929" s="91" t="str">
        <f t="shared" si="8"/>
        <v>Sat</v>
      </c>
      <c r="M2929" s="78" t="str">
        <f>IFERROR(VLOOKUP(A2887, Entries!A:B,2,false),"")</f>
        <v>Cheesecake Dev</v>
      </c>
      <c r="N2929" s="23" t="str">
        <f>IFERROR(VLOOKUP(A2929, Entries!A:K,11,false),"")</f>
        <v/>
      </c>
      <c r="O2929" s="23" t="b">
        <f>IFERROR(VLOOKUP(A2887, Entries!A:I,8,false),"")</f>
        <v>1</v>
      </c>
    </row>
    <row r="2930">
      <c r="A2930" s="78" t="s">
        <v>2818</v>
      </c>
      <c r="B2930" s="78" t="s">
        <v>27</v>
      </c>
      <c r="C2930" s="85">
        <v>44988.0</v>
      </c>
      <c r="D2930" s="85">
        <v>44988.0</v>
      </c>
      <c r="E2930" s="86">
        <v>3.79</v>
      </c>
      <c r="F2930" s="87">
        <v>5.22</v>
      </c>
      <c r="G2930" s="88">
        <f t="shared" si="1"/>
        <v>1.43</v>
      </c>
      <c r="H2930" s="89">
        <f t="shared" si="10"/>
        <v>0.2739463602</v>
      </c>
      <c r="I2930" s="78" t="s">
        <v>3571</v>
      </c>
      <c r="J2930" s="78" t="s">
        <v>69</v>
      </c>
      <c r="K2930" s="58">
        <f t="shared" si="3"/>
        <v>0</v>
      </c>
      <c r="L2930" s="91" t="str">
        <f t="shared" si="8"/>
        <v>Fri</v>
      </c>
      <c r="M2930" s="78" t="str">
        <f>IFERROR(VLOOKUP(A2930, Entries!A:B,2,false),"")</f>
        <v>Daedalic Entertainment</v>
      </c>
      <c r="N2930" s="23" t="str">
        <f>IFERROR(VLOOKUP(A2930, Entries!A:K,11,false),"")</f>
        <v/>
      </c>
      <c r="O2930" s="23" t="b">
        <f>IFERROR(VLOOKUP(A2930, Entries!A:I,8,false),"")</f>
        <v>1</v>
      </c>
    </row>
    <row r="2931">
      <c r="A2931" s="78" t="s">
        <v>2818</v>
      </c>
      <c r="B2931" s="78" t="s">
        <v>27</v>
      </c>
      <c r="C2931" s="85">
        <v>44988.0</v>
      </c>
      <c r="D2931" s="85">
        <v>44989.0</v>
      </c>
      <c r="E2931" s="86">
        <v>3.79</v>
      </c>
      <c r="F2931" s="87">
        <v>5.08</v>
      </c>
      <c r="G2931" s="88">
        <f t="shared" si="1"/>
        <v>1.29</v>
      </c>
      <c r="H2931" s="89">
        <f t="shared" si="10"/>
        <v>0.2539370079</v>
      </c>
      <c r="I2931" s="78" t="s">
        <v>3572</v>
      </c>
      <c r="J2931" s="78" t="s">
        <v>69</v>
      </c>
      <c r="K2931" s="58">
        <f t="shared" si="3"/>
        <v>1</v>
      </c>
      <c r="L2931" s="91" t="str">
        <f t="shared" si="8"/>
        <v>Sat</v>
      </c>
      <c r="M2931" s="78" t="str">
        <f>IFERROR(VLOOKUP(A2931, Entries!A:B,2,false),"")</f>
        <v>Daedalic Entertainment</v>
      </c>
      <c r="N2931" s="23" t="str">
        <f>IFERROR(VLOOKUP(A2931, Entries!A:K,11,false),"")</f>
        <v/>
      </c>
      <c r="O2931" s="23" t="b">
        <f>IFERROR(VLOOKUP(A2931, Entries!A:I,8,false),"")</f>
        <v>1</v>
      </c>
    </row>
    <row r="2932">
      <c r="A2932" s="78" t="s">
        <v>3515</v>
      </c>
      <c r="B2932" s="78" t="s">
        <v>30</v>
      </c>
      <c r="C2932" s="85">
        <v>44988.0</v>
      </c>
      <c r="D2932" s="85">
        <v>45000.0</v>
      </c>
      <c r="E2932" s="86">
        <v>9.74</v>
      </c>
      <c r="F2932" s="87">
        <v>12.61</v>
      </c>
      <c r="G2932" s="88">
        <f t="shared" si="1"/>
        <v>2.87</v>
      </c>
      <c r="H2932" s="89">
        <f t="shared" si="10"/>
        <v>0.2275971451</v>
      </c>
      <c r="I2932" s="78" t="s">
        <v>3573</v>
      </c>
      <c r="J2932" s="78" t="s">
        <v>69</v>
      </c>
      <c r="K2932" s="58">
        <f t="shared" si="3"/>
        <v>12</v>
      </c>
      <c r="L2932" s="91" t="str">
        <f t="shared" si="8"/>
        <v>Wed</v>
      </c>
      <c r="M2932" s="78" t="str">
        <f>IFERROR(VLOOKUP(A2932, Entries!A:B,2,false),"")</f>
        <v>WOLCEN Studio</v>
      </c>
      <c r="N2932" s="23" t="str">
        <f>IFERROR(VLOOKUP(A2932, Entries!A:K,11,false),"")</f>
        <v/>
      </c>
      <c r="O2932" s="23" t="b">
        <f>IFERROR(VLOOKUP(A2932, Entries!A:I,8,false),"")</f>
        <v>0</v>
      </c>
    </row>
    <row r="2933">
      <c r="A2933" s="78" t="s">
        <v>3515</v>
      </c>
      <c r="B2933" s="78" t="s">
        <v>30</v>
      </c>
      <c r="C2933" s="85">
        <v>44988.0</v>
      </c>
      <c r="D2933" s="85">
        <v>45001.0</v>
      </c>
      <c r="E2933" s="86">
        <v>9.74</v>
      </c>
      <c r="F2933" s="87">
        <v>13.9</v>
      </c>
      <c r="G2933" s="88">
        <f t="shared" si="1"/>
        <v>4.16</v>
      </c>
      <c r="H2933" s="89">
        <f t="shared" si="10"/>
        <v>0.2992805755</v>
      </c>
      <c r="I2933" s="78" t="s">
        <v>3574</v>
      </c>
      <c r="J2933" s="78" t="s">
        <v>69</v>
      </c>
      <c r="K2933" s="58">
        <f t="shared" si="3"/>
        <v>13</v>
      </c>
      <c r="L2933" s="91" t="str">
        <f t="shared" si="8"/>
        <v>Thu</v>
      </c>
      <c r="M2933" s="78" t="str">
        <f>IFERROR(VLOOKUP(A2933, Entries!A:B,2,false),"")</f>
        <v>WOLCEN Studio</v>
      </c>
      <c r="N2933" s="23" t="str">
        <f>IFERROR(VLOOKUP(A2933, Entries!A:K,11,false),"")</f>
        <v/>
      </c>
      <c r="O2933" s="23" t="b">
        <f>IFERROR(VLOOKUP(A2933, Entries!A:I,8,false),"")</f>
        <v>0</v>
      </c>
    </row>
    <row r="2934">
      <c r="A2934" s="78" t="s">
        <v>678</v>
      </c>
      <c r="B2934" s="78" t="s">
        <v>27</v>
      </c>
      <c r="C2934" s="85">
        <v>44989.0</v>
      </c>
      <c r="D2934" s="85">
        <v>44996.0</v>
      </c>
      <c r="E2934" s="86">
        <v>6.39</v>
      </c>
      <c r="F2934" s="87">
        <v>10.29</v>
      </c>
      <c r="G2934" s="88">
        <f t="shared" si="1"/>
        <v>3.9</v>
      </c>
      <c r="H2934" s="89">
        <f t="shared" si="10"/>
        <v>0.3790087464</v>
      </c>
      <c r="I2934" s="78" t="s">
        <v>3575</v>
      </c>
      <c r="J2934" s="78" t="s">
        <v>69</v>
      </c>
      <c r="K2934" s="58">
        <f t="shared" si="3"/>
        <v>7</v>
      </c>
      <c r="L2934" s="91" t="str">
        <f t="shared" si="8"/>
        <v>Sat</v>
      </c>
      <c r="M2934" s="78" t="str">
        <f>IFERROR(VLOOKUP(A2934, Entries!A:B,2,false),"")</f>
        <v>FireFly Studios</v>
      </c>
      <c r="N2934" s="23" t="str">
        <f>IFERROR(VLOOKUP(A2934, Entries!A:K,11,false),"")</f>
        <v/>
      </c>
      <c r="O2934" s="23" t="b">
        <f>IFERROR(VLOOKUP(A2934, Entries!A:I,8,false),"")</f>
        <v>0</v>
      </c>
    </row>
    <row r="2935">
      <c r="A2935" s="78" t="s">
        <v>2339</v>
      </c>
      <c r="B2935" s="78" t="s">
        <v>27</v>
      </c>
      <c r="C2935" s="85">
        <v>44989.0</v>
      </c>
      <c r="D2935" s="85">
        <v>44994.0</v>
      </c>
      <c r="E2935" s="86">
        <v>4.69</v>
      </c>
      <c r="F2935" s="87">
        <v>5.58</v>
      </c>
      <c r="G2935" s="88">
        <f t="shared" si="1"/>
        <v>0.89</v>
      </c>
      <c r="H2935" s="89">
        <f t="shared" si="10"/>
        <v>0.1594982079</v>
      </c>
      <c r="I2935" s="78" t="s">
        <v>3576</v>
      </c>
      <c r="J2935" s="78" t="s">
        <v>69</v>
      </c>
      <c r="K2935" s="58">
        <f t="shared" si="3"/>
        <v>5</v>
      </c>
      <c r="L2935" s="91" t="str">
        <f t="shared" si="8"/>
        <v>Thu</v>
      </c>
      <c r="M2935" s="78" t="str">
        <f>IFERROR(VLOOKUP(A2935, Entries!A:B,2,false),"")</f>
        <v>PlayWay</v>
      </c>
      <c r="N2935" s="23" t="str">
        <f>IFERROR(VLOOKUP(A2935, Entries!A:K,11,false),"")</f>
        <v/>
      </c>
      <c r="O2935" s="23" t="b">
        <f>IFERROR(VLOOKUP(A2935, Entries!A:I,8,false),"")</f>
        <v>0</v>
      </c>
    </row>
    <row r="2936">
      <c r="A2936" s="78" t="s">
        <v>2818</v>
      </c>
      <c r="B2936" s="78" t="s">
        <v>27</v>
      </c>
      <c r="C2936" s="85">
        <v>44989.0</v>
      </c>
      <c r="D2936" s="85">
        <v>44990.0</v>
      </c>
      <c r="E2936" s="86">
        <v>3.79</v>
      </c>
      <c r="F2936" s="87">
        <v>5.0</v>
      </c>
      <c r="G2936" s="88">
        <f t="shared" si="1"/>
        <v>1.21</v>
      </c>
      <c r="H2936" s="89">
        <f t="shared" si="10"/>
        <v>0.242</v>
      </c>
      <c r="I2936" s="78" t="s">
        <v>3577</v>
      </c>
      <c r="J2936" s="78" t="s">
        <v>69</v>
      </c>
      <c r="K2936" s="58">
        <f t="shared" si="3"/>
        <v>1</v>
      </c>
      <c r="L2936" s="91" t="str">
        <f t="shared" si="8"/>
        <v>Sun</v>
      </c>
      <c r="M2936" s="78" t="str">
        <f>IFERROR(VLOOKUP(A2936, Entries!A:B,2,false),"")</f>
        <v>Daedalic Entertainment</v>
      </c>
      <c r="N2936" s="23" t="str">
        <f>IFERROR(VLOOKUP(A2936, Entries!A:K,11,false),"")</f>
        <v/>
      </c>
      <c r="O2936" s="23" t="b">
        <f>IFERROR(VLOOKUP(A2936, Entries!A:I,8,false),"")</f>
        <v>1</v>
      </c>
    </row>
    <row r="2937">
      <c r="A2937" s="78" t="s">
        <v>2466</v>
      </c>
      <c r="B2937" s="78" t="s">
        <v>27</v>
      </c>
      <c r="C2937" s="85">
        <v>44990.0</v>
      </c>
      <c r="D2937" s="85">
        <v>44990.0</v>
      </c>
      <c r="E2937" s="86">
        <v>9.69</v>
      </c>
      <c r="F2937" s="87">
        <v>11.42</v>
      </c>
      <c r="G2937" s="88">
        <f t="shared" si="1"/>
        <v>1.73</v>
      </c>
      <c r="H2937" s="89">
        <f t="shared" si="10"/>
        <v>0.1514886165</v>
      </c>
      <c r="I2937" s="78" t="s">
        <v>3578</v>
      </c>
      <c r="J2937" s="78" t="s">
        <v>69</v>
      </c>
      <c r="K2937" s="58">
        <f t="shared" si="3"/>
        <v>0</v>
      </c>
      <c r="L2937" s="91" t="str">
        <f t="shared" si="8"/>
        <v>Sun</v>
      </c>
      <c r="M2937" s="78" t="str">
        <f>IFERROR(VLOOKUP(A2937, Entries!A:B,2,false),"")</f>
        <v>Bethesda Softworks</v>
      </c>
      <c r="N2937" s="23" t="str">
        <f>IFERROR(VLOOKUP(A2937, Entries!A:K,11,false),"")</f>
        <v/>
      </c>
      <c r="O2937" s="23" t="b">
        <f>IFERROR(VLOOKUP(A2937, Entries!A:I,8,false),"")</f>
        <v>1</v>
      </c>
    </row>
    <row r="2938">
      <c r="A2938" s="78" t="s">
        <v>2466</v>
      </c>
      <c r="B2938" s="78" t="s">
        <v>27</v>
      </c>
      <c r="C2938" s="85">
        <v>44990.0</v>
      </c>
      <c r="D2938" s="85">
        <v>44990.0</v>
      </c>
      <c r="E2938" s="86">
        <v>9.69</v>
      </c>
      <c r="F2938" s="87">
        <v>11.42</v>
      </c>
      <c r="G2938" s="88">
        <f t="shared" si="1"/>
        <v>1.73</v>
      </c>
      <c r="H2938" s="89">
        <f t="shared" si="10"/>
        <v>0.1514886165</v>
      </c>
      <c r="I2938" s="78" t="s">
        <v>3579</v>
      </c>
      <c r="J2938" s="78" t="s">
        <v>69</v>
      </c>
      <c r="K2938" s="58">
        <f t="shared" si="3"/>
        <v>0</v>
      </c>
      <c r="L2938" s="91" t="str">
        <f t="shared" si="8"/>
        <v>Sun</v>
      </c>
      <c r="M2938" s="78" t="str">
        <f>IFERROR(VLOOKUP(A2938, Entries!A:B,2,false),"")</f>
        <v>Bethesda Softworks</v>
      </c>
      <c r="N2938" s="23" t="str">
        <f>IFERROR(VLOOKUP(A2938, Entries!A:K,11,false),"")</f>
        <v/>
      </c>
      <c r="O2938" s="23" t="b">
        <f>IFERROR(VLOOKUP(A2938, Entries!A:I,8,false),"")</f>
        <v>1</v>
      </c>
    </row>
    <row r="2939">
      <c r="A2939" s="78" t="s">
        <v>1338</v>
      </c>
      <c r="B2939" s="78" t="s">
        <v>25</v>
      </c>
      <c r="C2939" s="85">
        <v>44990.0</v>
      </c>
      <c r="D2939" s="85">
        <v>44996.0</v>
      </c>
      <c r="E2939" s="86">
        <v>4.63</v>
      </c>
      <c r="F2939" s="87">
        <v>7.62</v>
      </c>
      <c r="G2939" s="88">
        <f t="shared" si="1"/>
        <v>2.99</v>
      </c>
      <c r="H2939" s="89">
        <f t="shared" si="10"/>
        <v>0.3923884514</v>
      </c>
      <c r="I2939" s="78" t="s">
        <v>3580</v>
      </c>
      <c r="J2939" s="78" t="s">
        <v>69</v>
      </c>
      <c r="K2939" s="58">
        <f t="shared" si="3"/>
        <v>6</v>
      </c>
      <c r="L2939" s="91" t="str">
        <f t="shared" si="8"/>
        <v>Sat</v>
      </c>
      <c r="M2939" s="78" t="str">
        <f>IFERROR(VLOOKUP(A2939, Entries!A:B,2,false),"")</f>
        <v>SEGA</v>
      </c>
      <c r="N2939" s="23" t="str">
        <f>IFERROR(VLOOKUP(A2939, Entries!A:K,11,false),"")</f>
        <v/>
      </c>
      <c r="O2939" s="23" t="b">
        <f>IFERROR(VLOOKUP(A2939, Entries!A:I,8,false),"")</f>
        <v>0</v>
      </c>
    </row>
    <row r="2940">
      <c r="A2940" s="78" t="s">
        <v>3366</v>
      </c>
      <c r="B2940" s="78" t="s">
        <v>25</v>
      </c>
      <c r="C2940" s="85">
        <v>44990.0</v>
      </c>
      <c r="D2940" s="85">
        <v>44991.0</v>
      </c>
      <c r="E2940" s="86">
        <v>4.71</v>
      </c>
      <c r="F2940" s="87">
        <v>5.6</v>
      </c>
      <c r="G2940" s="88">
        <f t="shared" si="1"/>
        <v>0.89</v>
      </c>
      <c r="H2940" s="89">
        <f t="shared" si="10"/>
        <v>0.1589285714</v>
      </c>
      <c r="I2940" s="78" t="s">
        <v>3581</v>
      </c>
      <c r="J2940" s="78" t="s">
        <v>69</v>
      </c>
      <c r="K2940" s="58">
        <f t="shared" si="3"/>
        <v>1</v>
      </c>
      <c r="L2940" s="91" t="str">
        <f t="shared" si="8"/>
        <v>Mon</v>
      </c>
      <c r="M2940" s="78" t="str">
        <f>IFERROR(VLOOKUP(A2940, Entries!A:B,2,false),"")</f>
        <v>Sector D2</v>
      </c>
      <c r="N2940" s="23" t="str">
        <f>IFERROR(VLOOKUP(A2940, Entries!A:K,11,false),"")</f>
        <v/>
      </c>
      <c r="O2940" s="23" t="b">
        <f>IFERROR(VLOOKUP(A2940, Entries!A:I,8,false),"")</f>
        <v>0</v>
      </c>
    </row>
    <row r="2941">
      <c r="A2941" s="78" t="s">
        <v>2466</v>
      </c>
      <c r="B2941" s="78" t="s">
        <v>27</v>
      </c>
      <c r="C2941" s="85">
        <v>44990.0</v>
      </c>
      <c r="D2941" s="85">
        <v>44991.0</v>
      </c>
      <c r="E2941" s="86">
        <v>9.69</v>
      </c>
      <c r="F2941" s="87">
        <v>11.42</v>
      </c>
      <c r="G2941" s="88">
        <f t="shared" si="1"/>
        <v>1.73</v>
      </c>
      <c r="H2941" s="89">
        <f t="shared" si="10"/>
        <v>0.1514886165</v>
      </c>
      <c r="I2941" s="78" t="s">
        <v>3582</v>
      </c>
      <c r="J2941" s="78" t="s">
        <v>69</v>
      </c>
      <c r="K2941" s="58">
        <f t="shared" si="3"/>
        <v>1</v>
      </c>
      <c r="L2941" s="91" t="str">
        <f t="shared" si="8"/>
        <v>Mon</v>
      </c>
      <c r="M2941" s="78" t="str">
        <f>IFERROR(VLOOKUP(A2941, Entries!A:B,2,false),"")</f>
        <v>Bethesda Softworks</v>
      </c>
      <c r="N2941" s="23" t="str">
        <f>IFERROR(VLOOKUP(A2941, Entries!A:K,11,false),"")</f>
        <v/>
      </c>
      <c r="O2941" s="23" t="b">
        <f>IFERROR(VLOOKUP(A2941, Entries!A:I,8,false),"")</f>
        <v>1</v>
      </c>
    </row>
    <row r="2942">
      <c r="A2942" s="78" t="s">
        <v>2466</v>
      </c>
      <c r="B2942" s="78" t="s">
        <v>27</v>
      </c>
      <c r="C2942" s="85">
        <v>44990.0</v>
      </c>
      <c r="D2942" s="85">
        <v>44991.0</v>
      </c>
      <c r="E2942" s="86">
        <v>9.69</v>
      </c>
      <c r="F2942" s="87">
        <v>11.42</v>
      </c>
      <c r="G2942" s="88">
        <f t="shared" si="1"/>
        <v>1.73</v>
      </c>
      <c r="H2942" s="89">
        <f t="shared" si="10"/>
        <v>0.1514886165</v>
      </c>
      <c r="I2942" s="78" t="s">
        <v>3583</v>
      </c>
      <c r="J2942" s="78" t="s">
        <v>69</v>
      </c>
      <c r="K2942" s="58">
        <f t="shared" si="3"/>
        <v>1</v>
      </c>
      <c r="L2942" s="91" t="str">
        <f t="shared" si="8"/>
        <v>Mon</v>
      </c>
      <c r="M2942" s="78" t="str">
        <f>IFERROR(VLOOKUP(A2942, Entries!A:B,2,false),"")</f>
        <v>Bethesda Softworks</v>
      </c>
      <c r="N2942" s="23" t="str">
        <f>IFERROR(VLOOKUP(A2942, Entries!A:K,11,false),"")</f>
        <v/>
      </c>
      <c r="O2942" s="23" t="b">
        <f>IFERROR(VLOOKUP(A2942, Entries!A:I,8,false),"")</f>
        <v>1</v>
      </c>
    </row>
    <row r="2943">
      <c r="A2943" s="78" t="s">
        <v>2466</v>
      </c>
      <c r="B2943" s="78" t="s">
        <v>27</v>
      </c>
      <c r="C2943" s="85">
        <v>44991.0</v>
      </c>
      <c r="D2943" s="85">
        <v>44991.0</v>
      </c>
      <c r="E2943" s="86">
        <v>9.69</v>
      </c>
      <c r="F2943" s="87">
        <v>11.42</v>
      </c>
      <c r="G2943" s="88">
        <f t="shared" si="1"/>
        <v>1.73</v>
      </c>
      <c r="H2943" s="89">
        <f t="shared" si="10"/>
        <v>0.1514886165</v>
      </c>
      <c r="I2943" s="78" t="s">
        <v>3584</v>
      </c>
      <c r="J2943" s="78" t="s">
        <v>69</v>
      </c>
      <c r="K2943" s="58">
        <f t="shared" si="3"/>
        <v>0</v>
      </c>
      <c r="L2943" s="91" t="str">
        <f t="shared" si="8"/>
        <v>Mon</v>
      </c>
      <c r="M2943" s="78" t="str">
        <f>IFERROR(VLOOKUP(A2943, Entries!A:B,2,false),"")</f>
        <v>Bethesda Softworks</v>
      </c>
      <c r="N2943" s="23" t="str">
        <f>IFERROR(VLOOKUP(A2943, Entries!A:K,11,false),"")</f>
        <v/>
      </c>
      <c r="O2943" s="23" t="b">
        <f>IFERROR(VLOOKUP(A2943, Entries!A:I,8,false),"")</f>
        <v>1</v>
      </c>
    </row>
    <row r="2944">
      <c r="A2944" s="78" t="s">
        <v>2466</v>
      </c>
      <c r="B2944" s="78" t="s">
        <v>27</v>
      </c>
      <c r="C2944" s="85">
        <v>44991.0</v>
      </c>
      <c r="D2944" s="85">
        <v>44991.0</v>
      </c>
      <c r="E2944" s="86">
        <v>9.69</v>
      </c>
      <c r="F2944" s="87">
        <v>11.42</v>
      </c>
      <c r="G2944" s="88">
        <f t="shared" si="1"/>
        <v>1.73</v>
      </c>
      <c r="H2944" s="89">
        <f t="shared" si="10"/>
        <v>0.1514886165</v>
      </c>
      <c r="I2944" s="78" t="s">
        <v>3585</v>
      </c>
      <c r="J2944" s="78" t="s">
        <v>69</v>
      </c>
      <c r="K2944" s="58">
        <f t="shared" si="3"/>
        <v>0</v>
      </c>
      <c r="L2944" s="91" t="str">
        <f t="shared" si="8"/>
        <v>Mon</v>
      </c>
      <c r="M2944" s="78" t="str">
        <f>IFERROR(VLOOKUP(A2944, Entries!A:B,2,false),"")</f>
        <v>Bethesda Softworks</v>
      </c>
      <c r="N2944" s="23" t="str">
        <f>IFERROR(VLOOKUP(A2944, Entries!A:K,11,false),"")</f>
        <v/>
      </c>
      <c r="O2944" s="23" t="b">
        <f>IFERROR(VLOOKUP(A2944, Entries!A:I,8,false),"")</f>
        <v>1</v>
      </c>
    </row>
    <row r="2945">
      <c r="A2945" s="78" t="s">
        <v>3366</v>
      </c>
      <c r="B2945" s="78" t="s">
        <v>25</v>
      </c>
      <c r="C2945" s="85">
        <v>44991.0</v>
      </c>
      <c r="D2945" s="85">
        <v>44991.0</v>
      </c>
      <c r="E2945" s="86">
        <v>4.71</v>
      </c>
      <c r="F2945" s="87">
        <v>5.6</v>
      </c>
      <c r="G2945" s="88">
        <f t="shared" si="1"/>
        <v>0.89</v>
      </c>
      <c r="H2945" s="89">
        <f t="shared" si="10"/>
        <v>0.1589285714</v>
      </c>
      <c r="I2945" s="78" t="s">
        <v>3586</v>
      </c>
      <c r="J2945" s="78" t="s">
        <v>69</v>
      </c>
      <c r="K2945" s="58">
        <f t="shared" si="3"/>
        <v>0</v>
      </c>
      <c r="L2945" s="91" t="str">
        <f t="shared" si="8"/>
        <v>Mon</v>
      </c>
      <c r="M2945" s="78" t="str">
        <f>IFERROR(VLOOKUP(A2945, Entries!A:B,2,false),"")</f>
        <v>Sector D2</v>
      </c>
      <c r="N2945" s="23" t="str">
        <f>IFERROR(VLOOKUP(A2945, Entries!A:K,11,false),"")</f>
        <v/>
      </c>
      <c r="O2945" s="23" t="b">
        <f>IFERROR(VLOOKUP(A2945, Entries!A:I,8,false),"")</f>
        <v>0</v>
      </c>
    </row>
    <row r="2946">
      <c r="A2946" s="78" t="s">
        <v>2466</v>
      </c>
      <c r="B2946" s="78" t="s">
        <v>27</v>
      </c>
      <c r="C2946" s="85">
        <v>44991.0</v>
      </c>
      <c r="D2946" s="85">
        <v>44992.0</v>
      </c>
      <c r="E2946" s="86">
        <v>9.69</v>
      </c>
      <c r="F2946" s="87">
        <v>11.39</v>
      </c>
      <c r="G2946" s="88">
        <f t="shared" si="1"/>
        <v>1.7</v>
      </c>
      <c r="H2946" s="89">
        <f t="shared" si="10"/>
        <v>0.1492537313</v>
      </c>
      <c r="I2946" s="78" t="s">
        <v>3587</v>
      </c>
      <c r="J2946" s="78" t="s">
        <v>69</v>
      </c>
      <c r="K2946" s="58">
        <f t="shared" si="3"/>
        <v>1</v>
      </c>
      <c r="L2946" s="91" t="str">
        <f t="shared" si="8"/>
        <v>Tue</v>
      </c>
      <c r="M2946" s="78" t="str">
        <f>IFERROR(VLOOKUP(A2946, Entries!A:B,2,false),"")</f>
        <v>Bethesda Softworks</v>
      </c>
      <c r="N2946" s="23" t="str">
        <f>IFERROR(VLOOKUP(A2946, Entries!A:K,11,false),"")</f>
        <v/>
      </c>
      <c r="O2946" s="23" t="b">
        <f>IFERROR(VLOOKUP(A2946, Entries!A:I,8,false),"")</f>
        <v>1</v>
      </c>
    </row>
    <row r="2947">
      <c r="A2947" s="78" t="s">
        <v>2466</v>
      </c>
      <c r="B2947" s="78" t="s">
        <v>27</v>
      </c>
      <c r="C2947" s="85">
        <v>44991.0</v>
      </c>
      <c r="D2947" s="85">
        <v>44992.0</v>
      </c>
      <c r="E2947" s="86">
        <v>9.69</v>
      </c>
      <c r="F2947" s="87">
        <v>11.37</v>
      </c>
      <c r="G2947" s="88">
        <f t="shared" si="1"/>
        <v>1.68</v>
      </c>
      <c r="H2947" s="89">
        <f t="shared" si="10"/>
        <v>0.1477572559</v>
      </c>
      <c r="I2947" s="78" t="s">
        <v>3588</v>
      </c>
      <c r="J2947" s="78" t="s">
        <v>69</v>
      </c>
      <c r="K2947" s="58">
        <f t="shared" si="3"/>
        <v>1</v>
      </c>
      <c r="L2947" s="91" t="str">
        <f t="shared" si="8"/>
        <v>Tue</v>
      </c>
      <c r="M2947" s="78" t="str">
        <f>IFERROR(VLOOKUP(A2947, Entries!A:B,2,false),"")</f>
        <v>Bethesda Softworks</v>
      </c>
      <c r="N2947" s="23" t="str">
        <f>IFERROR(VLOOKUP(A2947, Entries!A:K,11,false),"")</f>
        <v/>
      </c>
      <c r="O2947" s="23" t="b">
        <f>IFERROR(VLOOKUP(A2947, Entries!A:I,8,false),"")</f>
        <v>1</v>
      </c>
    </row>
    <row r="2948">
      <c r="A2948" s="78" t="s">
        <v>3366</v>
      </c>
      <c r="B2948" s="78" t="s">
        <v>25</v>
      </c>
      <c r="C2948" s="85">
        <v>44991.0</v>
      </c>
      <c r="D2948" s="85">
        <v>44992.0</v>
      </c>
      <c r="E2948" s="86">
        <v>4.71</v>
      </c>
      <c r="F2948" s="87">
        <v>5.6</v>
      </c>
      <c r="G2948" s="88">
        <f t="shared" si="1"/>
        <v>0.89</v>
      </c>
      <c r="H2948" s="89">
        <f t="shared" si="10"/>
        <v>0.1589285714</v>
      </c>
      <c r="I2948" s="78" t="s">
        <v>3589</v>
      </c>
      <c r="J2948" s="78" t="s">
        <v>69</v>
      </c>
      <c r="K2948" s="58">
        <f t="shared" si="3"/>
        <v>1</v>
      </c>
      <c r="L2948" s="91" t="str">
        <f t="shared" si="8"/>
        <v>Tue</v>
      </c>
      <c r="M2948" s="78" t="str">
        <f>IFERROR(VLOOKUP(A2948, Entries!A:B,2,false),"")</f>
        <v>Sector D2</v>
      </c>
      <c r="N2948" s="23" t="str">
        <f>IFERROR(VLOOKUP(A2948, Entries!A:K,11,false),"")</f>
        <v/>
      </c>
      <c r="O2948" s="23" t="b">
        <f>IFERROR(VLOOKUP(A2948, Entries!A:I,8,false),"")</f>
        <v>0</v>
      </c>
    </row>
    <row r="2949">
      <c r="A2949" s="78" t="s">
        <v>3366</v>
      </c>
      <c r="B2949" s="78" t="s">
        <v>25</v>
      </c>
      <c r="C2949" s="85">
        <v>44991.0</v>
      </c>
      <c r="D2949" s="85">
        <v>44991.0</v>
      </c>
      <c r="E2949" s="86">
        <v>4.71</v>
      </c>
      <c r="F2949" s="87">
        <v>5.6</v>
      </c>
      <c r="G2949" s="88">
        <f t="shared" si="1"/>
        <v>0.89</v>
      </c>
      <c r="H2949" s="89">
        <f t="shared" si="10"/>
        <v>0.1589285714</v>
      </c>
      <c r="I2949" s="78" t="s">
        <v>3590</v>
      </c>
      <c r="J2949" s="78" t="s">
        <v>69</v>
      </c>
      <c r="K2949" s="58">
        <f t="shared" si="3"/>
        <v>0</v>
      </c>
      <c r="L2949" s="91" t="str">
        <f t="shared" si="8"/>
        <v>Mon</v>
      </c>
      <c r="M2949" s="78" t="str">
        <f>IFERROR(VLOOKUP(A2949, Entries!A:B,2,false),"")</f>
        <v>Sector D2</v>
      </c>
      <c r="N2949" s="23" t="str">
        <f>IFERROR(VLOOKUP(A2949, Entries!A:K,11,false),"")</f>
        <v/>
      </c>
      <c r="O2949" s="23" t="b">
        <f>IFERROR(VLOOKUP(A2949, Entries!A:I,8,false),"")</f>
        <v>0</v>
      </c>
    </row>
    <row r="2950">
      <c r="A2950" s="78" t="s">
        <v>3366</v>
      </c>
      <c r="B2950" s="78" t="s">
        <v>25</v>
      </c>
      <c r="C2950" s="85">
        <v>44991.0</v>
      </c>
      <c r="D2950" s="85">
        <v>44991.0</v>
      </c>
      <c r="E2950" s="86">
        <v>4.71</v>
      </c>
      <c r="F2950" s="87">
        <v>5.6</v>
      </c>
      <c r="G2950" s="88">
        <f t="shared" si="1"/>
        <v>0.89</v>
      </c>
      <c r="H2950" s="89">
        <f t="shared" si="10"/>
        <v>0.1589285714</v>
      </c>
      <c r="I2950" s="78" t="s">
        <v>3591</v>
      </c>
      <c r="J2950" s="78" t="s">
        <v>69</v>
      </c>
      <c r="K2950" s="58">
        <f t="shared" si="3"/>
        <v>0</v>
      </c>
      <c r="L2950" s="91" t="str">
        <f t="shared" si="8"/>
        <v>Mon</v>
      </c>
      <c r="M2950" s="78" t="str">
        <f>IFERROR(VLOOKUP(A2950, Entries!A:B,2,false),"")</f>
        <v>Sector D2</v>
      </c>
      <c r="N2950" s="23" t="str">
        <f>IFERROR(VLOOKUP(A2950, Entries!A:K,11,false),"")</f>
        <v/>
      </c>
      <c r="O2950" s="23" t="b">
        <f>IFERROR(VLOOKUP(A2950, Entries!A:I,8,false),"")</f>
        <v>0</v>
      </c>
    </row>
    <row r="2951">
      <c r="A2951" s="78" t="s">
        <v>1849</v>
      </c>
      <c r="B2951" s="78" t="s">
        <v>25</v>
      </c>
      <c r="C2951" s="85">
        <v>44991.0</v>
      </c>
      <c r="D2951" s="85">
        <v>44994.0</v>
      </c>
      <c r="E2951" s="86">
        <v>4.98</v>
      </c>
      <c r="F2951" s="87">
        <v>6.82</v>
      </c>
      <c r="G2951" s="88">
        <f t="shared" si="1"/>
        <v>1.84</v>
      </c>
      <c r="H2951" s="89">
        <f t="shared" si="10"/>
        <v>0.2697947214</v>
      </c>
      <c r="I2951" s="78" t="s">
        <v>3592</v>
      </c>
      <c r="J2951" s="78" t="s">
        <v>69</v>
      </c>
      <c r="K2951" s="58">
        <f t="shared" si="3"/>
        <v>3</v>
      </c>
      <c r="L2951" s="91" t="str">
        <f t="shared" si="8"/>
        <v>Thu</v>
      </c>
      <c r="M2951" s="78" t="str">
        <f>IFERROR(VLOOKUP(A2951, Entries!A:B,2,false),"")</f>
        <v>Marmalade Game Studio</v>
      </c>
      <c r="N2951" s="23" t="str">
        <f>IFERROR(VLOOKUP(A2951, Entries!A:K,11,false),"")</f>
        <v/>
      </c>
      <c r="O2951" s="23" t="b">
        <f>IFERROR(VLOOKUP(A2951, Entries!A:I,8,false),"")</f>
        <v>0</v>
      </c>
    </row>
    <row r="2952">
      <c r="A2952" s="78" t="s">
        <v>3593</v>
      </c>
      <c r="B2952" s="78" t="s">
        <v>27</v>
      </c>
      <c r="C2952" s="85">
        <v>44991.0</v>
      </c>
      <c r="D2952" s="85">
        <v>44991.0</v>
      </c>
      <c r="E2952" s="86">
        <v>17.09</v>
      </c>
      <c r="F2952" s="87">
        <v>21.89</v>
      </c>
      <c r="G2952" s="88">
        <f t="shared" si="1"/>
        <v>4.8</v>
      </c>
      <c r="H2952" s="89">
        <f t="shared" si="10"/>
        <v>0.2192782092</v>
      </c>
      <c r="I2952" s="78" t="s">
        <v>3594</v>
      </c>
      <c r="J2952" s="78" t="s">
        <v>69</v>
      </c>
      <c r="K2952" s="58">
        <f t="shared" si="3"/>
        <v>0</v>
      </c>
      <c r="L2952" s="91" t="str">
        <f t="shared" si="8"/>
        <v>Mon</v>
      </c>
      <c r="M2952" s="78" t="str">
        <f>IFERROR(VLOOKUP(A2952, Entries!A:B,2,false),"")</f>
        <v>Bethesda Softworks</v>
      </c>
      <c r="N2952" s="23" t="str">
        <f>IFERROR(VLOOKUP(A2952, Entries!A:K,11,false),"")</f>
        <v/>
      </c>
      <c r="O2952" s="23" t="b">
        <f>IFERROR(VLOOKUP(A2952, Entries!A:I,8,false),"")</f>
        <v>0</v>
      </c>
    </row>
    <row r="2953">
      <c r="A2953" s="78" t="s">
        <v>1832</v>
      </c>
      <c r="B2953" s="78" t="s">
        <v>22</v>
      </c>
      <c r="C2953" s="85">
        <v>44991.0</v>
      </c>
      <c r="D2953" s="85">
        <v>45199.0</v>
      </c>
      <c r="E2953" s="86">
        <v>13.8</v>
      </c>
      <c r="F2953" s="87">
        <v>15.31</v>
      </c>
      <c r="G2953" s="88">
        <f t="shared" si="1"/>
        <v>1.51</v>
      </c>
      <c r="H2953" s="89">
        <f t="shared" si="10"/>
        <v>0.09862834749</v>
      </c>
      <c r="I2953" s="78" t="s">
        <v>3595</v>
      </c>
      <c r="J2953" s="78" t="s">
        <v>69</v>
      </c>
      <c r="K2953" s="58">
        <f t="shared" si="3"/>
        <v>208</v>
      </c>
      <c r="L2953" s="91" t="str">
        <f t="shared" si="8"/>
        <v>Sat</v>
      </c>
      <c r="M2953" s="78" t="str">
        <f>IFERROR(VLOOKUP(A2953, Entries!A:B,2,false),"")</f>
        <v>Bethesda Softworks</v>
      </c>
      <c r="N2953" s="23" t="str">
        <f>IFERROR(VLOOKUP(A2953, Entries!A:K,11,false),"")</f>
        <v/>
      </c>
      <c r="O2953" s="23" t="b">
        <f>IFERROR(VLOOKUP(A2953, Entries!A:I,8,false),"")</f>
        <v>1</v>
      </c>
    </row>
    <row r="2954">
      <c r="A2954" s="78" t="s">
        <v>1832</v>
      </c>
      <c r="B2954" s="78" t="s">
        <v>19</v>
      </c>
      <c r="C2954" s="85">
        <v>44991.0</v>
      </c>
      <c r="D2954" s="85">
        <v>45204.0</v>
      </c>
      <c r="E2954" s="86">
        <v>14.01</v>
      </c>
      <c r="F2954" s="87">
        <v>15.22</v>
      </c>
      <c r="G2954" s="88">
        <f t="shared" si="1"/>
        <v>1.21</v>
      </c>
      <c r="H2954" s="89">
        <f t="shared" si="10"/>
        <v>0.07950065703</v>
      </c>
      <c r="I2954" s="78" t="s">
        <v>3596</v>
      </c>
      <c r="J2954" s="78" t="s">
        <v>69</v>
      </c>
      <c r="K2954" s="58">
        <f t="shared" si="3"/>
        <v>213</v>
      </c>
      <c r="L2954" s="91" t="str">
        <f t="shared" si="8"/>
        <v>Thu</v>
      </c>
      <c r="M2954" s="78" t="str">
        <f>IFERROR(VLOOKUP(A2954, Entries!A:B,2,false),"")</f>
        <v>Bethesda Softworks</v>
      </c>
      <c r="N2954" s="23" t="str">
        <f>IFERROR(VLOOKUP(A2954, Entries!A:K,11,false),"")</f>
        <v/>
      </c>
      <c r="O2954" s="23" t="b">
        <f>IFERROR(VLOOKUP(A2954, Entries!A:I,8,false),"")</f>
        <v>1</v>
      </c>
    </row>
    <row r="2955">
      <c r="A2955" s="78" t="s">
        <v>3593</v>
      </c>
      <c r="B2955" s="78" t="s">
        <v>27</v>
      </c>
      <c r="C2955" s="85">
        <v>44991.0</v>
      </c>
      <c r="D2955" s="85">
        <v>44998.0</v>
      </c>
      <c r="E2955" s="86">
        <v>17.09</v>
      </c>
      <c r="F2955" s="87">
        <v>20.01</v>
      </c>
      <c r="G2955" s="88">
        <f t="shared" si="1"/>
        <v>2.92</v>
      </c>
      <c r="H2955" s="89">
        <f t="shared" si="10"/>
        <v>0.1459270365</v>
      </c>
      <c r="I2955" s="78" t="s">
        <v>3597</v>
      </c>
      <c r="J2955" s="78" t="s">
        <v>69</v>
      </c>
      <c r="K2955" s="58">
        <f t="shared" si="3"/>
        <v>7</v>
      </c>
      <c r="L2955" s="91" t="str">
        <f t="shared" si="8"/>
        <v>Mon</v>
      </c>
      <c r="M2955" s="78" t="str">
        <f>IFERROR(VLOOKUP(A2955, Entries!A:B,2,false),"")</f>
        <v>Bethesda Softworks</v>
      </c>
      <c r="N2955" s="23" t="str">
        <f>IFERROR(VLOOKUP(A2955, Entries!A:K,11,false),"")</f>
        <v/>
      </c>
      <c r="O2955" s="23" t="b">
        <f>IFERROR(VLOOKUP(A2955, Entries!A:I,8,false),"")</f>
        <v>0</v>
      </c>
    </row>
    <row r="2956">
      <c r="A2956" s="78" t="s">
        <v>3226</v>
      </c>
      <c r="B2956" s="78" t="s">
        <v>25</v>
      </c>
      <c r="C2956" s="85">
        <v>44992.0</v>
      </c>
      <c r="D2956" s="85">
        <v>45096.0</v>
      </c>
      <c r="E2956" s="86">
        <v>15.96</v>
      </c>
      <c r="F2956" s="87">
        <v>25.77</v>
      </c>
      <c r="G2956" s="88">
        <f t="shared" si="1"/>
        <v>9.81</v>
      </c>
      <c r="H2956" s="89">
        <f t="shared" si="10"/>
        <v>0.3806752037</v>
      </c>
      <c r="I2956" s="78" t="s">
        <v>3598</v>
      </c>
      <c r="J2956" s="78" t="s">
        <v>69</v>
      </c>
      <c r="K2956" s="58">
        <f t="shared" si="3"/>
        <v>104</v>
      </c>
      <c r="L2956" s="91" t="str">
        <f t="shared" si="8"/>
        <v>Mon</v>
      </c>
      <c r="M2956" s="78" t="str">
        <f>IFERROR(VLOOKUP(A2956, Entries!A:B,2,false),"")</f>
        <v>Total Mayhem Games</v>
      </c>
      <c r="N2956" s="23" t="str">
        <f>IFERROR(VLOOKUP(A2956, Entries!A:K,11,false),"")</f>
        <v/>
      </c>
      <c r="O2956" s="23" t="b">
        <f>IFERROR(VLOOKUP(A2956, Entries!A:I,8,false),"")</f>
        <v>0</v>
      </c>
    </row>
    <row r="2957">
      <c r="A2957" s="78" t="s">
        <v>3366</v>
      </c>
      <c r="B2957" s="78" t="s">
        <v>25</v>
      </c>
      <c r="C2957" s="85">
        <v>44992.0</v>
      </c>
      <c r="D2957" s="85">
        <v>44992.0</v>
      </c>
      <c r="E2957" s="86">
        <v>4.71</v>
      </c>
      <c r="F2957" s="87">
        <v>5.6</v>
      </c>
      <c r="G2957" s="88">
        <f t="shared" si="1"/>
        <v>0.89</v>
      </c>
      <c r="H2957" s="89">
        <f t="shared" si="10"/>
        <v>0.1589285714</v>
      </c>
      <c r="I2957" s="78" t="s">
        <v>3599</v>
      </c>
      <c r="J2957" s="78" t="s">
        <v>69</v>
      </c>
      <c r="K2957" s="58">
        <f t="shared" si="3"/>
        <v>0</v>
      </c>
      <c r="L2957" s="91" t="str">
        <f t="shared" si="8"/>
        <v>Tue</v>
      </c>
      <c r="M2957" s="78" t="str">
        <f>IFERROR(VLOOKUP(A2957, Entries!A:B,2,false),"")</f>
        <v>Sector D2</v>
      </c>
      <c r="N2957" s="23" t="str">
        <f>IFERROR(VLOOKUP(A2957, Entries!A:K,11,false),"")</f>
        <v/>
      </c>
      <c r="O2957" s="23" t="b">
        <f>IFERROR(VLOOKUP(A2957, Entries!A:I,8,false),"")</f>
        <v>0</v>
      </c>
    </row>
    <row r="2958">
      <c r="A2958" s="78" t="s">
        <v>3366</v>
      </c>
      <c r="B2958" s="78" t="s">
        <v>25</v>
      </c>
      <c r="C2958" s="85">
        <v>44992.0</v>
      </c>
      <c r="D2958" s="85">
        <v>44993.0</v>
      </c>
      <c r="E2958" s="86">
        <v>4.71</v>
      </c>
      <c r="F2958" s="87">
        <v>5.6</v>
      </c>
      <c r="G2958" s="88">
        <f t="shared" si="1"/>
        <v>0.89</v>
      </c>
      <c r="H2958" s="89">
        <f t="shared" si="10"/>
        <v>0.1589285714</v>
      </c>
      <c r="I2958" s="78" t="s">
        <v>3600</v>
      </c>
      <c r="J2958" s="78" t="s">
        <v>69</v>
      </c>
      <c r="K2958" s="58">
        <f t="shared" si="3"/>
        <v>1</v>
      </c>
      <c r="L2958" s="91" t="str">
        <f t="shared" si="8"/>
        <v>Wed</v>
      </c>
      <c r="M2958" s="78" t="str">
        <f>IFERROR(VLOOKUP(A2958, Entries!A:B,2,false),"")</f>
        <v>Sector D2</v>
      </c>
      <c r="N2958" s="23" t="str">
        <f>IFERROR(VLOOKUP(A2958, Entries!A:K,11,false),"")</f>
        <v/>
      </c>
      <c r="O2958" s="23" t="b">
        <f>IFERROR(VLOOKUP(A2958, Entries!A:I,8,false),"")</f>
        <v>0</v>
      </c>
    </row>
    <row r="2959">
      <c r="A2959" s="78" t="s">
        <v>3366</v>
      </c>
      <c r="B2959" s="78" t="s">
        <v>25</v>
      </c>
      <c r="C2959" s="85">
        <v>44992.0</v>
      </c>
      <c r="D2959" s="85">
        <v>44994.0</v>
      </c>
      <c r="E2959" s="86">
        <v>4.71</v>
      </c>
      <c r="F2959" s="87">
        <v>5.6</v>
      </c>
      <c r="G2959" s="88">
        <f t="shared" si="1"/>
        <v>0.89</v>
      </c>
      <c r="H2959" s="89">
        <f t="shared" si="10"/>
        <v>0.1589285714</v>
      </c>
      <c r="I2959" s="78" t="s">
        <v>3601</v>
      </c>
      <c r="J2959" s="78" t="s">
        <v>69</v>
      </c>
      <c r="K2959" s="58">
        <f t="shared" si="3"/>
        <v>2</v>
      </c>
      <c r="L2959" s="91" t="str">
        <f t="shared" si="8"/>
        <v>Thu</v>
      </c>
      <c r="M2959" s="78" t="str">
        <f>IFERROR(VLOOKUP(A2959, Entries!A:B,2,false),"")</f>
        <v>Sector D2</v>
      </c>
      <c r="N2959" s="23" t="str">
        <f>IFERROR(VLOOKUP(A2959, Entries!A:K,11,false),"")</f>
        <v/>
      </c>
      <c r="O2959" s="23" t="b">
        <f>IFERROR(VLOOKUP(A2959, Entries!A:I,8,false),"")</f>
        <v>0</v>
      </c>
    </row>
    <row r="2960">
      <c r="A2960" s="78" t="s">
        <v>2789</v>
      </c>
      <c r="B2960" s="78" t="s">
        <v>19</v>
      </c>
      <c r="C2960" s="85">
        <v>44992.0</v>
      </c>
      <c r="D2960" s="85">
        <v>44993.0</v>
      </c>
      <c r="E2960" s="86">
        <v>4.09</v>
      </c>
      <c r="F2960" s="87">
        <v>5.77</v>
      </c>
      <c r="G2960" s="88">
        <f t="shared" si="1"/>
        <v>1.68</v>
      </c>
      <c r="H2960" s="89">
        <f t="shared" si="10"/>
        <v>0.2911611785</v>
      </c>
      <c r="I2960" s="78" t="s">
        <v>3602</v>
      </c>
      <c r="J2960" s="78" t="s">
        <v>69</v>
      </c>
      <c r="K2960" s="58">
        <f t="shared" si="3"/>
        <v>1</v>
      </c>
      <c r="L2960" s="91" t="str">
        <f t="shared" si="8"/>
        <v>Wed</v>
      </c>
      <c r="M2960" s="78" t="str">
        <f>IFERROR(VLOOKUP(A2960, Entries!A:B,2,false),"")</f>
        <v>Evil Tortilla Games</v>
      </c>
      <c r="N2960" s="23" t="str">
        <f>IFERROR(VLOOKUP(A2960, Entries!A:K,11,false),"")</f>
        <v/>
      </c>
      <c r="O2960" s="23" t="b">
        <f>IFERROR(VLOOKUP(A2960, Entries!A:I,8,false),"")</f>
        <v>1</v>
      </c>
    </row>
    <row r="2961">
      <c r="A2961" s="78" t="s">
        <v>2466</v>
      </c>
      <c r="B2961" s="78" t="s">
        <v>27</v>
      </c>
      <c r="C2961" s="85">
        <v>44992.0</v>
      </c>
      <c r="D2961" s="85">
        <v>44993.0</v>
      </c>
      <c r="E2961" s="86">
        <v>9.69</v>
      </c>
      <c r="F2961" s="87">
        <v>11.37</v>
      </c>
      <c r="G2961" s="88">
        <f t="shared" si="1"/>
        <v>1.68</v>
      </c>
      <c r="H2961" s="89">
        <f t="shared" si="10"/>
        <v>0.1477572559</v>
      </c>
      <c r="I2961" s="78" t="s">
        <v>3603</v>
      </c>
      <c r="J2961" s="78" t="s">
        <v>69</v>
      </c>
      <c r="K2961" s="58">
        <f t="shared" si="3"/>
        <v>1</v>
      </c>
      <c r="L2961" s="91" t="str">
        <f t="shared" si="8"/>
        <v>Wed</v>
      </c>
      <c r="M2961" s="78" t="str">
        <f>IFERROR(VLOOKUP(A2961, Entries!A:B,2,false),"")</f>
        <v>Bethesda Softworks</v>
      </c>
      <c r="N2961" s="23" t="str">
        <f>IFERROR(VLOOKUP(A2961, Entries!A:K,11,false),"")</f>
        <v/>
      </c>
      <c r="O2961" s="23" t="b">
        <f>IFERROR(VLOOKUP(A2961, Entries!A:I,8,false),"")</f>
        <v>1</v>
      </c>
    </row>
    <row r="2962">
      <c r="A2962" s="78" t="s">
        <v>2466</v>
      </c>
      <c r="B2962" s="78" t="s">
        <v>27</v>
      </c>
      <c r="C2962" s="85">
        <v>44992.0</v>
      </c>
      <c r="D2962" s="85">
        <v>44993.0</v>
      </c>
      <c r="E2962" s="86">
        <v>9.69</v>
      </c>
      <c r="F2962" s="87">
        <v>11.37</v>
      </c>
      <c r="G2962" s="88">
        <f t="shared" si="1"/>
        <v>1.68</v>
      </c>
      <c r="H2962" s="89">
        <f t="shared" si="10"/>
        <v>0.1477572559</v>
      </c>
      <c r="I2962" s="78" t="s">
        <v>3604</v>
      </c>
      <c r="J2962" s="78" t="s">
        <v>69</v>
      </c>
      <c r="K2962" s="58">
        <f t="shared" si="3"/>
        <v>1</v>
      </c>
      <c r="L2962" s="91" t="str">
        <f t="shared" si="8"/>
        <v>Wed</v>
      </c>
      <c r="M2962" s="78" t="str">
        <f>IFERROR(VLOOKUP(A2962, Entries!A:B,2,false),"")</f>
        <v>Bethesda Softworks</v>
      </c>
      <c r="N2962" s="23" t="str">
        <f>IFERROR(VLOOKUP(A2962, Entries!A:K,11,false),"")</f>
        <v/>
      </c>
      <c r="O2962" s="23" t="b">
        <f>IFERROR(VLOOKUP(A2962, Entries!A:I,8,false),"")</f>
        <v>1</v>
      </c>
    </row>
    <row r="2963">
      <c r="A2963" s="78" t="s">
        <v>2818</v>
      </c>
      <c r="B2963" s="78" t="s">
        <v>27</v>
      </c>
      <c r="C2963" s="85">
        <v>44992.0</v>
      </c>
      <c r="D2963" s="85">
        <v>44993.0</v>
      </c>
      <c r="E2963" s="86">
        <v>4.59</v>
      </c>
      <c r="F2963" s="87">
        <v>5.76</v>
      </c>
      <c r="G2963" s="88">
        <f t="shared" si="1"/>
        <v>1.17</v>
      </c>
      <c r="H2963" s="89">
        <f t="shared" si="10"/>
        <v>0.203125</v>
      </c>
      <c r="I2963" s="78" t="s">
        <v>3605</v>
      </c>
      <c r="J2963" s="78" t="s">
        <v>69</v>
      </c>
      <c r="K2963" s="58">
        <f t="shared" si="3"/>
        <v>1</v>
      </c>
      <c r="L2963" s="91" t="str">
        <f t="shared" si="8"/>
        <v>Wed</v>
      </c>
      <c r="M2963" s="78" t="str">
        <f>IFERROR(VLOOKUP(A2963, Entries!A:B,2,false),"")</f>
        <v>Daedalic Entertainment</v>
      </c>
      <c r="N2963" s="23" t="str">
        <f>IFERROR(VLOOKUP(A2963, Entries!A:K,11,false),"")</f>
        <v/>
      </c>
      <c r="O2963" s="23" t="b">
        <f>IFERROR(VLOOKUP(A2963, Entries!A:I,8,false),"")</f>
        <v>1</v>
      </c>
    </row>
    <row r="2964">
      <c r="A2964" s="78" t="s">
        <v>3366</v>
      </c>
      <c r="B2964" s="78" t="s">
        <v>25</v>
      </c>
      <c r="C2964" s="85">
        <v>44993.0</v>
      </c>
      <c r="D2964" s="85">
        <v>44994.0</v>
      </c>
      <c r="E2964" s="86">
        <v>4.71</v>
      </c>
      <c r="F2964" s="87">
        <v>5.6</v>
      </c>
      <c r="G2964" s="88">
        <f t="shared" si="1"/>
        <v>0.89</v>
      </c>
      <c r="H2964" s="89">
        <f t="shared" si="10"/>
        <v>0.1589285714</v>
      </c>
      <c r="I2964" s="78" t="s">
        <v>3606</v>
      </c>
      <c r="J2964" s="78" t="s">
        <v>69</v>
      </c>
      <c r="K2964" s="58">
        <f t="shared" si="3"/>
        <v>1</v>
      </c>
      <c r="L2964" s="91" t="str">
        <f t="shared" si="8"/>
        <v>Thu</v>
      </c>
      <c r="M2964" s="78" t="str">
        <f>IFERROR(VLOOKUP(A2964, Entries!A:B,2,false),"")</f>
        <v>Sector D2</v>
      </c>
      <c r="N2964" s="23" t="str">
        <f>IFERROR(VLOOKUP(A2964, Entries!A:K,11,false),"")</f>
        <v/>
      </c>
      <c r="O2964" s="23" t="b">
        <f>IFERROR(VLOOKUP(A2964, Entries!A:I,8,false),"")</f>
        <v>0</v>
      </c>
    </row>
    <row r="2965">
      <c r="A2965" s="78" t="s">
        <v>3366</v>
      </c>
      <c r="B2965" s="78" t="s">
        <v>25</v>
      </c>
      <c r="C2965" s="85">
        <v>44993.0</v>
      </c>
      <c r="D2965" s="85">
        <v>44994.0</v>
      </c>
      <c r="E2965" s="86">
        <v>4.71</v>
      </c>
      <c r="F2965" s="87">
        <v>5.6</v>
      </c>
      <c r="G2965" s="88">
        <f t="shared" si="1"/>
        <v>0.89</v>
      </c>
      <c r="H2965" s="89">
        <f t="shared" si="10"/>
        <v>0.1589285714</v>
      </c>
      <c r="I2965" s="78" t="s">
        <v>3607</v>
      </c>
      <c r="J2965" s="78" t="s">
        <v>69</v>
      </c>
      <c r="K2965" s="58">
        <f t="shared" si="3"/>
        <v>1</v>
      </c>
      <c r="L2965" s="91" t="str">
        <f t="shared" si="8"/>
        <v>Thu</v>
      </c>
      <c r="M2965" s="78" t="str">
        <f>IFERROR(VLOOKUP(A2965, Entries!A:B,2,false),"")</f>
        <v>Sector D2</v>
      </c>
      <c r="N2965" s="23" t="str">
        <f>IFERROR(VLOOKUP(A2965, Entries!A:K,11,false),"")</f>
        <v/>
      </c>
      <c r="O2965" s="23" t="b">
        <f>IFERROR(VLOOKUP(A2965, Entries!A:I,8,false),"")</f>
        <v>0</v>
      </c>
    </row>
    <row r="2966">
      <c r="A2966" s="78" t="s">
        <v>2818</v>
      </c>
      <c r="B2966" s="78" t="s">
        <v>27</v>
      </c>
      <c r="C2966" s="85">
        <v>44993.0</v>
      </c>
      <c r="D2966" s="85">
        <v>44994.0</v>
      </c>
      <c r="E2966" s="86">
        <v>4.59</v>
      </c>
      <c r="F2966" s="87">
        <v>5.76</v>
      </c>
      <c r="G2966" s="88">
        <f t="shared" si="1"/>
        <v>1.17</v>
      </c>
      <c r="H2966" s="89">
        <f t="shared" si="10"/>
        <v>0.203125</v>
      </c>
      <c r="I2966" s="78" t="s">
        <v>3608</v>
      </c>
      <c r="J2966" s="78" t="s">
        <v>69</v>
      </c>
      <c r="K2966" s="58">
        <f t="shared" si="3"/>
        <v>1</v>
      </c>
      <c r="L2966" s="91" t="str">
        <f t="shared" si="8"/>
        <v>Thu</v>
      </c>
      <c r="M2966" s="78" t="str">
        <f>IFERROR(VLOOKUP(A2966, Entries!A:B,2,false),"")</f>
        <v>Daedalic Entertainment</v>
      </c>
      <c r="N2966" s="23" t="str">
        <f>IFERROR(VLOOKUP(A2966, Entries!A:K,11,false),"")</f>
        <v/>
      </c>
      <c r="O2966" s="23" t="b">
        <f>IFERROR(VLOOKUP(A2966, Entries!A:I,8,false),"")</f>
        <v>1</v>
      </c>
    </row>
    <row r="2967">
      <c r="A2967" s="78" t="s">
        <v>2818</v>
      </c>
      <c r="B2967" s="78" t="s">
        <v>27</v>
      </c>
      <c r="C2967" s="85">
        <v>44993.0</v>
      </c>
      <c r="D2967" s="85">
        <v>44994.0</v>
      </c>
      <c r="E2967" s="86">
        <v>4.59</v>
      </c>
      <c r="F2967" s="87">
        <v>5.74</v>
      </c>
      <c r="G2967" s="88">
        <f t="shared" si="1"/>
        <v>1.15</v>
      </c>
      <c r="H2967" s="89">
        <f t="shared" si="10"/>
        <v>0.2003484321</v>
      </c>
      <c r="I2967" s="78" t="s">
        <v>3609</v>
      </c>
      <c r="J2967" s="78" t="s">
        <v>69</v>
      </c>
      <c r="K2967" s="58">
        <f t="shared" si="3"/>
        <v>1</v>
      </c>
      <c r="L2967" s="91" t="str">
        <f t="shared" si="8"/>
        <v>Thu</v>
      </c>
      <c r="M2967" s="78" t="str">
        <f>IFERROR(VLOOKUP(A2967, Entries!A:B,2,false),"")</f>
        <v>Daedalic Entertainment</v>
      </c>
      <c r="N2967" s="23" t="str">
        <f>IFERROR(VLOOKUP(A2967, Entries!A:K,11,false),"")</f>
        <v/>
      </c>
      <c r="O2967" s="23" t="b">
        <f>IFERROR(VLOOKUP(A2967, Entries!A:I,8,false),"")</f>
        <v>1</v>
      </c>
    </row>
    <row r="2968">
      <c r="A2968" s="78" t="s">
        <v>2466</v>
      </c>
      <c r="B2968" s="78" t="s">
        <v>27</v>
      </c>
      <c r="C2968" s="85">
        <v>44993.0</v>
      </c>
      <c r="D2968" s="85">
        <v>45018.0</v>
      </c>
      <c r="E2968" s="86">
        <v>9.69</v>
      </c>
      <c r="F2968" s="87">
        <v>10.7</v>
      </c>
      <c r="G2968" s="88">
        <f t="shared" si="1"/>
        <v>1.01</v>
      </c>
      <c r="H2968" s="89">
        <f t="shared" si="10"/>
        <v>0.09439252336</v>
      </c>
      <c r="I2968" s="78" t="s">
        <v>3610</v>
      </c>
      <c r="J2968" s="78" t="s">
        <v>69</v>
      </c>
      <c r="K2968" s="58">
        <f t="shared" si="3"/>
        <v>25</v>
      </c>
      <c r="L2968" s="91" t="str">
        <f t="shared" si="8"/>
        <v>Sun</v>
      </c>
      <c r="M2968" s="78" t="str">
        <f>IFERROR(VLOOKUP(A2968, Entries!A:B,2,false),"")</f>
        <v>Bethesda Softworks</v>
      </c>
      <c r="N2968" s="23" t="str">
        <f>IFERROR(VLOOKUP(A2968, Entries!A:K,11,false),"")</f>
        <v/>
      </c>
      <c r="O2968" s="23" t="b">
        <f>IFERROR(VLOOKUP(A2968, Entries!A:I,8,false),"")</f>
        <v>1</v>
      </c>
    </row>
    <row r="2969">
      <c r="A2969" s="78" t="s">
        <v>2339</v>
      </c>
      <c r="B2969" s="78" t="s">
        <v>19</v>
      </c>
      <c r="C2969" s="85">
        <v>44994.0</v>
      </c>
      <c r="D2969" s="85">
        <v>45221.0</v>
      </c>
      <c r="E2969" s="86">
        <v>2.76</v>
      </c>
      <c r="F2969" s="87">
        <v>3.42</v>
      </c>
      <c r="G2969" s="88">
        <f t="shared" si="1"/>
        <v>0.66</v>
      </c>
      <c r="H2969" s="89">
        <f t="shared" si="10"/>
        <v>0.1929824561</v>
      </c>
      <c r="I2969" s="78" t="s">
        <v>3611</v>
      </c>
      <c r="J2969" s="78" t="s">
        <v>69</v>
      </c>
      <c r="K2969" s="58">
        <f t="shared" si="3"/>
        <v>227</v>
      </c>
      <c r="L2969" s="91" t="str">
        <f t="shared" si="8"/>
        <v>Sun</v>
      </c>
      <c r="M2969" s="78" t="str">
        <f>IFERROR(VLOOKUP(A2969, Entries!A:B,2,false),"")</f>
        <v>PlayWay</v>
      </c>
      <c r="N2969" s="23" t="str">
        <f>IFERROR(VLOOKUP(A2969, Entries!A:K,11,false),"")</f>
        <v/>
      </c>
      <c r="O2969" s="23" t="b">
        <f>IFERROR(VLOOKUP(A2969, Entries!A:I,8,false),"")</f>
        <v>0</v>
      </c>
    </row>
    <row r="2970">
      <c r="A2970" s="78" t="s">
        <v>3366</v>
      </c>
      <c r="B2970" s="78" t="s">
        <v>25</v>
      </c>
      <c r="C2970" s="85">
        <v>44994.0</v>
      </c>
      <c r="D2970" s="85">
        <v>44994.0</v>
      </c>
      <c r="E2970" s="86">
        <v>4.71</v>
      </c>
      <c r="F2970" s="87">
        <v>5.6</v>
      </c>
      <c r="G2970" s="88">
        <f t="shared" si="1"/>
        <v>0.89</v>
      </c>
      <c r="H2970" s="89">
        <f t="shared" si="10"/>
        <v>0.1589285714</v>
      </c>
      <c r="I2970" s="78" t="s">
        <v>3612</v>
      </c>
      <c r="J2970" s="78" t="s">
        <v>69</v>
      </c>
      <c r="K2970" s="58">
        <f t="shared" si="3"/>
        <v>0</v>
      </c>
      <c r="L2970" s="91" t="str">
        <f t="shared" si="8"/>
        <v>Thu</v>
      </c>
      <c r="M2970" s="78" t="str">
        <f>IFERROR(VLOOKUP(A2970, Entries!A:B,2,false),"")</f>
        <v>Sector D2</v>
      </c>
      <c r="N2970" s="23" t="str">
        <f>IFERROR(VLOOKUP(A2970, Entries!A:K,11,false),"")</f>
        <v/>
      </c>
      <c r="O2970" s="23" t="b">
        <f>IFERROR(VLOOKUP(A2970, Entries!A:I,8,false),"")</f>
        <v>0</v>
      </c>
    </row>
    <row r="2971">
      <c r="A2971" s="78" t="s">
        <v>3366</v>
      </c>
      <c r="B2971" s="78" t="s">
        <v>25</v>
      </c>
      <c r="C2971" s="85">
        <v>44994.0</v>
      </c>
      <c r="D2971" s="85">
        <v>44994.0</v>
      </c>
      <c r="E2971" s="86">
        <v>4.71</v>
      </c>
      <c r="F2971" s="87">
        <v>5.6</v>
      </c>
      <c r="G2971" s="88">
        <f t="shared" si="1"/>
        <v>0.89</v>
      </c>
      <c r="H2971" s="89">
        <f t="shared" si="10"/>
        <v>0.1589285714</v>
      </c>
      <c r="I2971" s="78" t="s">
        <v>3613</v>
      </c>
      <c r="J2971" s="78" t="s">
        <v>69</v>
      </c>
      <c r="K2971" s="58">
        <f t="shared" si="3"/>
        <v>0</v>
      </c>
      <c r="L2971" s="91" t="str">
        <f t="shared" si="8"/>
        <v>Thu</v>
      </c>
      <c r="M2971" s="78" t="str">
        <f>IFERROR(VLOOKUP(A2971, Entries!A:B,2,false),"")</f>
        <v>Sector D2</v>
      </c>
      <c r="N2971" s="23" t="str">
        <f>IFERROR(VLOOKUP(A2971, Entries!A:K,11,false),"")</f>
        <v/>
      </c>
      <c r="O2971" s="23" t="b">
        <f>IFERROR(VLOOKUP(A2971, Entries!A:I,8,false),"")</f>
        <v>0</v>
      </c>
    </row>
    <row r="2972">
      <c r="A2972" s="78" t="s">
        <v>3366</v>
      </c>
      <c r="B2972" s="78" t="s">
        <v>25</v>
      </c>
      <c r="C2972" s="85">
        <v>44994.0</v>
      </c>
      <c r="D2972" s="85">
        <v>44995.0</v>
      </c>
      <c r="E2972" s="86">
        <v>4.71</v>
      </c>
      <c r="F2972" s="87">
        <v>5.6</v>
      </c>
      <c r="G2972" s="88">
        <f t="shared" si="1"/>
        <v>0.89</v>
      </c>
      <c r="H2972" s="89">
        <f t="shared" si="10"/>
        <v>0.1589285714</v>
      </c>
      <c r="I2972" s="78" t="s">
        <v>3614</v>
      </c>
      <c r="J2972" s="78" t="s">
        <v>69</v>
      </c>
      <c r="K2972" s="58">
        <f t="shared" si="3"/>
        <v>1</v>
      </c>
      <c r="L2972" s="91" t="str">
        <f t="shared" si="8"/>
        <v>Fri</v>
      </c>
      <c r="M2972" s="78" t="str">
        <f>IFERROR(VLOOKUP(A2972, Entries!A:B,2,false),"")</f>
        <v>Sector D2</v>
      </c>
      <c r="N2972" s="23" t="str">
        <f>IFERROR(VLOOKUP(A2972, Entries!A:K,11,false),"")</f>
        <v/>
      </c>
      <c r="O2972" s="23" t="b">
        <f>IFERROR(VLOOKUP(A2972, Entries!A:I,8,false),"")</f>
        <v>0</v>
      </c>
    </row>
    <row r="2973">
      <c r="A2973" s="78" t="s">
        <v>3366</v>
      </c>
      <c r="B2973" s="78" t="s">
        <v>25</v>
      </c>
      <c r="C2973" s="85">
        <v>44994.0</v>
      </c>
      <c r="D2973" s="85">
        <v>44995.0</v>
      </c>
      <c r="E2973" s="86">
        <v>4.71</v>
      </c>
      <c r="F2973" s="87">
        <v>5.6</v>
      </c>
      <c r="G2973" s="88">
        <f t="shared" si="1"/>
        <v>0.89</v>
      </c>
      <c r="H2973" s="89">
        <f t="shared" si="10"/>
        <v>0.1589285714</v>
      </c>
      <c r="I2973" s="78" t="s">
        <v>3615</v>
      </c>
      <c r="J2973" s="78" t="s">
        <v>69</v>
      </c>
      <c r="K2973" s="58">
        <f t="shared" si="3"/>
        <v>1</v>
      </c>
      <c r="L2973" s="91" t="str">
        <f t="shared" si="8"/>
        <v>Fri</v>
      </c>
      <c r="M2973" s="78" t="str">
        <f>IFERROR(VLOOKUP(A2973, Entries!A:B,2,false),"")</f>
        <v>Sector D2</v>
      </c>
      <c r="N2973" s="23" t="str">
        <f>IFERROR(VLOOKUP(A2973, Entries!A:K,11,false),"")</f>
        <v/>
      </c>
      <c r="O2973" s="23" t="b">
        <f>IFERROR(VLOOKUP(A2973, Entries!A:I,8,false),"")</f>
        <v>0</v>
      </c>
    </row>
    <row r="2974">
      <c r="A2974" s="78" t="s">
        <v>1849</v>
      </c>
      <c r="B2974" s="78" t="s">
        <v>25</v>
      </c>
      <c r="C2974" s="85">
        <v>44994.0</v>
      </c>
      <c r="D2974" s="85">
        <v>44998.0</v>
      </c>
      <c r="E2974" s="86">
        <v>4.98</v>
      </c>
      <c r="F2974" s="87">
        <v>6.83</v>
      </c>
      <c r="G2974" s="88">
        <f t="shared" si="1"/>
        <v>1.85</v>
      </c>
      <c r="H2974" s="89">
        <f t="shared" si="10"/>
        <v>0.270863836</v>
      </c>
      <c r="I2974" s="78" t="s">
        <v>3616</v>
      </c>
      <c r="J2974" s="78" t="s">
        <v>69</v>
      </c>
      <c r="K2974" s="58">
        <f t="shared" si="3"/>
        <v>4</v>
      </c>
      <c r="L2974" s="91" t="str">
        <f t="shared" si="8"/>
        <v>Mon</v>
      </c>
      <c r="M2974" s="78" t="str">
        <f>IFERROR(VLOOKUP(A2974, Entries!A:B,2,false),"")</f>
        <v>Marmalade Game Studio</v>
      </c>
      <c r="N2974" s="23" t="str">
        <f>IFERROR(VLOOKUP(A2974, Entries!A:K,11,false),"")</f>
        <v/>
      </c>
      <c r="O2974" s="23" t="b">
        <f>IFERROR(VLOOKUP(A2974, Entries!A:I,8,false),"")</f>
        <v>0</v>
      </c>
    </row>
    <row r="2975">
      <c r="A2975" s="78" t="s">
        <v>2818</v>
      </c>
      <c r="B2975" s="78" t="s">
        <v>27</v>
      </c>
      <c r="C2975" s="85">
        <v>44994.0</v>
      </c>
      <c r="D2975" s="85">
        <v>44994.0</v>
      </c>
      <c r="E2975" s="86">
        <v>4.59</v>
      </c>
      <c r="F2975" s="87">
        <v>5.74</v>
      </c>
      <c r="G2975" s="88">
        <f t="shared" si="1"/>
        <v>1.15</v>
      </c>
      <c r="H2975" s="89">
        <f t="shared" si="10"/>
        <v>0.2003484321</v>
      </c>
      <c r="I2975" s="78" t="s">
        <v>3617</v>
      </c>
      <c r="J2975" s="78" t="s">
        <v>69</v>
      </c>
      <c r="K2975" s="58">
        <f t="shared" si="3"/>
        <v>0</v>
      </c>
      <c r="L2975" s="91" t="str">
        <f t="shared" si="8"/>
        <v>Thu</v>
      </c>
      <c r="M2975" s="78" t="str">
        <f>IFERROR(VLOOKUP(A2975, Entries!A:B,2,false),"")</f>
        <v>Daedalic Entertainment</v>
      </c>
      <c r="N2975" s="23" t="str">
        <f>IFERROR(VLOOKUP(A2975, Entries!A:K,11,false),"")</f>
        <v/>
      </c>
      <c r="O2975" s="23" t="b">
        <f>IFERROR(VLOOKUP(A2975, Entries!A:I,8,false),"")</f>
        <v>1</v>
      </c>
    </row>
    <row r="2976">
      <c r="A2976" s="78" t="s">
        <v>2818</v>
      </c>
      <c r="B2976" s="78" t="s">
        <v>27</v>
      </c>
      <c r="C2976" s="85">
        <v>44994.0</v>
      </c>
      <c r="D2976" s="85">
        <v>44994.0</v>
      </c>
      <c r="E2976" s="86">
        <v>4.59</v>
      </c>
      <c r="F2976" s="87">
        <v>5.74</v>
      </c>
      <c r="G2976" s="88">
        <f t="shared" si="1"/>
        <v>1.15</v>
      </c>
      <c r="H2976" s="89">
        <f t="shared" si="10"/>
        <v>0.2003484321</v>
      </c>
      <c r="I2976" s="78" t="s">
        <v>3618</v>
      </c>
      <c r="J2976" s="78" t="s">
        <v>69</v>
      </c>
      <c r="K2976" s="58">
        <f t="shared" si="3"/>
        <v>0</v>
      </c>
      <c r="L2976" s="91" t="str">
        <f t="shared" si="8"/>
        <v>Thu</v>
      </c>
      <c r="M2976" s="78" t="str">
        <f>IFERROR(VLOOKUP(A2976, Entries!A:B,2,false),"")</f>
        <v>Daedalic Entertainment</v>
      </c>
      <c r="N2976" s="23" t="str">
        <f>IFERROR(VLOOKUP(A2976, Entries!A:K,11,false),"")</f>
        <v/>
      </c>
      <c r="O2976" s="23" t="b">
        <f>IFERROR(VLOOKUP(A2976, Entries!A:I,8,false),"")</f>
        <v>1</v>
      </c>
    </row>
    <row r="2977">
      <c r="A2977" s="78" t="s">
        <v>3619</v>
      </c>
      <c r="B2977" s="78" t="s">
        <v>19</v>
      </c>
      <c r="C2977" s="85">
        <v>44995.0</v>
      </c>
      <c r="D2977" s="85">
        <v>44996.0</v>
      </c>
      <c r="E2977" s="86">
        <v>24.31</v>
      </c>
      <c r="F2977" s="87">
        <v>27.08</v>
      </c>
      <c r="G2977" s="88">
        <f t="shared" si="1"/>
        <v>2.77</v>
      </c>
      <c r="H2977" s="89">
        <f t="shared" si="10"/>
        <v>0.1022895126</v>
      </c>
      <c r="I2977" s="78" t="s">
        <v>3620</v>
      </c>
      <c r="J2977" s="78" t="s">
        <v>69</v>
      </c>
      <c r="K2977" s="58">
        <f t="shared" si="3"/>
        <v>1</v>
      </c>
      <c r="L2977" s="91" t="str">
        <f t="shared" si="8"/>
        <v>Sat</v>
      </c>
      <c r="M2977" s="78" t="str">
        <f>IFERROR(VLOOKUP(A2977, Entries!A:B,2,false),"")</f>
        <v>SEGA</v>
      </c>
      <c r="N2977" s="23" t="str">
        <f>IFERROR(VLOOKUP(A2977, Entries!A:K,11,false),"")</f>
        <v/>
      </c>
    </row>
    <row r="2978">
      <c r="A2978" s="78" t="s">
        <v>2818</v>
      </c>
      <c r="B2978" s="78" t="s">
        <v>27</v>
      </c>
      <c r="C2978" s="85">
        <v>44995.0</v>
      </c>
      <c r="D2978" s="85">
        <v>44995.0</v>
      </c>
      <c r="E2978" s="86">
        <v>4.59</v>
      </c>
      <c r="F2978" s="87">
        <v>6.63</v>
      </c>
      <c r="G2978" s="88">
        <f t="shared" si="1"/>
        <v>2.04</v>
      </c>
      <c r="H2978" s="89">
        <f t="shared" si="10"/>
        <v>0.3076923077</v>
      </c>
      <c r="I2978" s="78" t="s">
        <v>3621</v>
      </c>
      <c r="J2978" s="78" t="s">
        <v>69</v>
      </c>
      <c r="K2978" s="58">
        <f t="shared" si="3"/>
        <v>0</v>
      </c>
      <c r="L2978" s="91" t="str">
        <f t="shared" si="8"/>
        <v>Fri</v>
      </c>
      <c r="M2978" s="78" t="str">
        <f>IFERROR(VLOOKUP(A2978, Entries!A:B,2,false),"")</f>
        <v>Daedalic Entertainment</v>
      </c>
      <c r="N2978" s="23" t="str">
        <f>IFERROR(VLOOKUP(A2978, Entries!A:K,11,false),"")</f>
        <v/>
      </c>
    </row>
    <row r="2979">
      <c r="A2979" s="78" t="s">
        <v>2818</v>
      </c>
      <c r="B2979" s="78" t="s">
        <v>27</v>
      </c>
      <c r="C2979" s="85">
        <v>44995.0</v>
      </c>
      <c r="D2979" s="85">
        <v>44995.0</v>
      </c>
      <c r="E2979" s="86">
        <v>4.59</v>
      </c>
      <c r="F2979" s="87">
        <v>6.63</v>
      </c>
      <c r="G2979" s="88">
        <f t="shared" si="1"/>
        <v>2.04</v>
      </c>
      <c r="H2979" s="89">
        <f t="shared" si="10"/>
        <v>0.3076923077</v>
      </c>
      <c r="I2979" s="78" t="s">
        <v>3622</v>
      </c>
      <c r="J2979" s="78" t="s">
        <v>69</v>
      </c>
      <c r="K2979" s="58">
        <f t="shared" si="3"/>
        <v>0</v>
      </c>
      <c r="L2979" s="91" t="str">
        <f t="shared" si="8"/>
        <v>Fri</v>
      </c>
      <c r="M2979" s="78" t="str">
        <f>IFERROR(VLOOKUP(A2979, Entries!A:B,2,false),"")</f>
        <v>Daedalic Entertainment</v>
      </c>
      <c r="N2979" s="23" t="str">
        <f>IFERROR(VLOOKUP(A2979, Entries!A:K,11,false),"")</f>
        <v/>
      </c>
    </row>
    <row r="2980">
      <c r="A2980" s="78" t="s">
        <v>3366</v>
      </c>
      <c r="B2980" s="78" t="s">
        <v>25</v>
      </c>
      <c r="C2980" s="85">
        <v>44995.0</v>
      </c>
      <c r="D2980" s="85">
        <v>44995.0</v>
      </c>
      <c r="E2980" s="86">
        <v>4.71</v>
      </c>
      <c r="F2980" s="87">
        <v>5.6</v>
      </c>
      <c r="G2980" s="88">
        <f t="shared" si="1"/>
        <v>0.89</v>
      </c>
      <c r="H2980" s="89">
        <f t="shared" si="10"/>
        <v>0.1589285714</v>
      </c>
      <c r="I2980" s="78" t="s">
        <v>3623</v>
      </c>
      <c r="J2980" s="78" t="s">
        <v>69</v>
      </c>
      <c r="K2980" s="58">
        <f t="shared" si="3"/>
        <v>0</v>
      </c>
      <c r="L2980" s="91" t="str">
        <f t="shared" si="8"/>
        <v>Fri</v>
      </c>
      <c r="M2980" s="78" t="str">
        <f>IFERROR(VLOOKUP(A2980, Entries!A:B,2,false),"")</f>
        <v>Sector D2</v>
      </c>
      <c r="N2980" s="23" t="str">
        <f>IFERROR(VLOOKUP(A2980, Entries!A:K,11,false),"")</f>
        <v/>
      </c>
    </row>
    <row r="2981">
      <c r="A2981" s="78" t="s">
        <v>3366</v>
      </c>
      <c r="B2981" s="78" t="s">
        <v>25</v>
      </c>
      <c r="C2981" s="85">
        <v>44995.0</v>
      </c>
      <c r="D2981" s="85">
        <v>44996.0</v>
      </c>
      <c r="E2981" s="86">
        <v>4.71</v>
      </c>
      <c r="F2981" s="87">
        <v>5.59</v>
      </c>
      <c r="G2981" s="88">
        <f t="shared" si="1"/>
        <v>0.88</v>
      </c>
      <c r="H2981" s="89">
        <f t="shared" si="10"/>
        <v>0.1574239714</v>
      </c>
      <c r="I2981" s="78" t="s">
        <v>3624</v>
      </c>
      <c r="J2981" s="78" t="s">
        <v>69</v>
      </c>
      <c r="K2981" s="58">
        <f t="shared" si="3"/>
        <v>1</v>
      </c>
      <c r="L2981" s="91" t="str">
        <f t="shared" si="8"/>
        <v>Sat</v>
      </c>
      <c r="M2981" s="78" t="str">
        <f>IFERROR(VLOOKUP(A2981, Entries!A:B,2,false),"")</f>
        <v>Sector D2</v>
      </c>
      <c r="N2981" s="23" t="str">
        <f>IFERROR(VLOOKUP(A2981, Entries!A:K,11,false),"")</f>
        <v/>
      </c>
    </row>
    <row r="2982">
      <c r="A2982" s="78" t="s">
        <v>3366</v>
      </c>
      <c r="B2982" s="78" t="s">
        <v>25</v>
      </c>
      <c r="C2982" s="85">
        <v>44995.0</v>
      </c>
      <c r="D2982" s="85">
        <v>44996.0</v>
      </c>
      <c r="E2982" s="86">
        <v>4.71</v>
      </c>
      <c r="F2982" s="87">
        <v>5.59</v>
      </c>
      <c r="G2982" s="88">
        <f t="shared" si="1"/>
        <v>0.88</v>
      </c>
      <c r="H2982" s="89">
        <f t="shared" si="10"/>
        <v>0.1574239714</v>
      </c>
      <c r="I2982" s="78" t="s">
        <v>3625</v>
      </c>
      <c r="J2982" s="78" t="s">
        <v>69</v>
      </c>
      <c r="K2982" s="58">
        <f t="shared" si="3"/>
        <v>1</v>
      </c>
      <c r="L2982" s="91" t="str">
        <f t="shared" si="8"/>
        <v>Sat</v>
      </c>
      <c r="M2982" s="78" t="str">
        <f>IFERROR(VLOOKUP(A2982, Entries!A:B,2,false),"")</f>
        <v>Sector D2</v>
      </c>
      <c r="N2982" s="23" t="str">
        <f>IFERROR(VLOOKUP(A2982, Entries!A:K,11,false),"")</f>
        <v/>
      </c>
    </row>
    <row r="2983">
      <c r="A2983" s="78" t="s">
        <v>3366</v>
      </c>
      <c r="B2983" s="78" t="s">
        <v>25</v>
      </c>
      <c r="C2983" s="85">
        <v>44995.0</v>
      </c>
      <c r="D2983" s="85">
        <v>44999.0</v>
      </c>
      <c r="E2983" s="86">
        <v>4.71</v>
      </c>
      <c r="F2983" s="87">
        <v>5.81</v>
      </c>
      <c r="G2983" s="88">
        <f t="shared" si="1"/>
        <v>1.1</v>
      </c>
      <c r="H2983" s="89">
        <f t="shared" si="10"/>
        <v>0.1893287435</v>
      </c>
      <c r="I2983" s="78" t="s">
        <v>3626</v>
      </c>
      <c r="J2983" s="78" t="s">
        <v>69</v>
      </c>
      <c r="K2983" s="58">
        <f t="shared" si="3"/>
        <v>4</v>
      </c>
      <c r="L2983" s="91" t="str">
        <f t="shared" si="8"/>
        <v>Tue</v>
      </c>
      <c r="M2983" s="78" t="str">
        <f>IFERROR(VLOOKUP(A2983, Entries!A:B,2,false),"")</f>
        <v>Sector D2</v>
      </c>
      <c r="N2983" s="23" t="str">
        <f>IFERROR(VLOOKUP(A2983, Entries!A:K,11,false),"")</f>
        <v/>
      </c>
    </row>
    <row r="2984">
      <c r="A2984" s="78" t="s">
        <v>2075</v>
      </c>
      <c r="B2984" s="78" t="s">
        <v>18</v>
      </c>
      <c r="C2984" s="85">
        <v>44995.0</v>
      </c>
      <c r="D2984" s="25"/>
      <c r="E2984" s="86">
        <v>11.2</v>
      </c>
      <c r="F2984" s="88"/>
      <c r="G2984" s="88">
        <f t="shared" si="1"/>
        <v>-11.2</v>
      </c>
      <c r="H2984" s="89" t="str">
        <f t="shared" si="10"/>
        <v/>
      </c>
      <c r="I2984" s="103" t="s">
        <v>3627</v>
      </c>
      <c r="J2984" s="78" t="s">
        <v>1129</v>
      </c>
      <c r="K2984" s="58" t="str">
        <f t="shared" si="3"/>
        <v/>
      </c>
      <c r="L2984" s="91" t="str">
        <f t="shared" si="8"/>
        <v/>
      </c>
      <c r="M2984" s="78" t="str">
        <f>IFERROR(VLOOKUP(A2984, Entries!A:B,2,false),"")</f>
        <v>Warner Bros</v>
      </c>
      <c r="N2984" s="23" t="str">
        <f>IFERROR(VLOOKUP(A2984, Entries!A:K,11,false),"")</f>
        <v/>
      </c>
      <c r="O2984" s="23" t="b">
        <f>IFERROR(VLOOKUP(A2984, Entries!A:I,8,false),"")</f>
        <v>0</v>
      </c>
    </row>
    <row r="2985">
      <c r="A2985" s="78" t="s">
        <v>2075</v>
      </c>
      <c r="B2985" s="78" t="s">
        <v>18</v>
      </c>
      <c r="C2985" s="85">
        <v>44995.0</v>
      </c>
      <c r="D2985" s="25"/>
      <c r="E2985" s="86">
        <v>11.19</v>
      </c>
      <c r="F2985" s="88"/>
      <c r="G2985" s="88">
        <f t="shared" si="1"/>
        <v>-11.19</v>
      </c>
      <c r="H2985" s="89" t="str">
        <f t="shared" si="10"/>
        <v/>
      </c>
      <c r="I2985" s="103" t="s">
        <v>3628</v>
      </c>
      <c r="J2985" s="78" t="s">
        <v>1129</v>
      </c>
      <c r="K2985" s="58" t="str">
        <f t="shared" si="3"/>
        <v/>
      </c>
      <c r="L2985" s="91" t="str">
        <f t="shared" si="8"/>
        <v/>
      </c>
      <c r="M2985" s="78" t="str">
        <f>IFERROR(VLOOKUP(A2985, Entries!A:B,2,false),"")</f>
        <v>Warner Bros</v>
      </c>
      <c r="N2985" s="23" t="str">
        <f>IFERROR(VLOOKUP(A2985, Entries!A:K,11,false),"")</f>
        <v/>
      </c>
      <c r="O2985" s="23" t="b">
        <f>IFERROR(VLOOKUP(A2985, Entries!A:I,8,false),"")</f>
        <v>0</v>
      </c>
    </row>
    <row r="2986">
      <c r="A2986" s="78" t="s">
        <v>3269</v>
      </c>
      <c r="B2986" s="78" t="s">
        <v>27</v>
      </c>
      <c r="C2986" s="85">
        <v>44995.0</v>
      </c>
      <c r="D2986" s="85">
        <v>45005.0</v>
      </c>
      <c r="E2986" s="86">
        <v>9.69</v>
      </c>
      <c r="F2986" s="87">
        <v>13.85</v>
      </c>
      <c r="G2986" s="88">
        <f t="shared" si="1"/>
        <v>4.16</v>
      </c>
      <c r="H2986" s="89">
        <f t="shared" si="10"/>
        <v>0.3003610108</v>
      </c>
      <c r="I2986" s="78" t="s">
        <v>3629</v>
      </c>
      <c r="J2986" s="78" t="s">
        <v>69</v>
      </c>
      <c r="K2986" s="58">
        <f t="shared" si="3"/>
        <v>10</v>
      </c>
      <c r="L2986" s="91" t="str">
        <f t="shared" si="8"/>
        <v>Mon</v>
      </c>
      <c r="M2986" s="78" t="str">
        <f>IFERROR(VLOOKUP(A2986, Entries!A:B,2,false),"")</f>
        <v>Daedalic Entertainment</v>
      </c>
      <c r="N2986" s="23" t="str">
        <f>IFERROR(VLOOKUP(A2986, Entries!A:K,11,false),"")</f>
        <v/>
      </c>
    </row>
    <row r="2987">
      <c r="A2987" s="78" t="s">
        <v>2818</v>
      </c>
      <c r="B2987" s="78" t="s">
        <v>27</v>
      </c>
      <c r="C2987" s="85">
        <v>44995.0</v>
      </c>
      <c r="D2987" s="85">
        <v>44995.0</v>
      </c>
      <c r="E2987" s="86">
        <v>4.59</v>
      </c>
      <c r="F2987" s="87">
        <v>6.63</v>
      </c>
      <c r="G2987" s="88">
        <f t="shared" si="1"/>
        <v>2.04</v>
      </c>
      <c r="H2987" s="89">
        <f t="shared" si="10"/>
        <v>0.3076923077</v>
      </c>
      <c r="I2987" s="78" t="s">
        <v>3630</v>
      </c>
      <c r="J2987" s="78" t="s">
        <v>69</v>
      </c>
      <c r="K2987" s="58">
        <f t="shared" si="3"/>
        <v>0</v>
      </c>
      <c r="L2987" s="91" t="str">
        <f t="shared" si="8"/>
        <v>Fri</v>
      </c>
      <c r="M2987" s="78" t="str">
        <f>IFERROR(VLOOKUP(A2987, Entries!A:B,2,false),"")</f>
        <v>Daedalic Entertainment</v>
      </c>
      <c r="N2987" s="23" t="str">
        <f>IFERROR(VLOOKUP(A2987, Entries!A:K,11,false),"")</f>
        <v/>
      </c>
    </row>
    <row r="2988">
      <c r="A2988" s="78" t="s">
        <v>2818</v>
      </c>
      <c r="B2988" s="78" t="s">
        <v>27</v>
      </c>
      <c r="C2988" s="85">
        <v>44995.0</v>
      </c>
      <c r="D2988" s="85">
        <v>44995.0</v>
      </c>
      <c r="E2988" s="86">
        <v>4.59</v>
      </c>
      <c r="F2988" s="87">
        <v>6.53</v>
      </c>
      <c r="G2988" s="88">
        <f t="shared" si="1"/>
        <v>1.94</v>
      </c>
      <c r="H2988" s="89">
        <f t="shared" si="10"/>
        <v>0.2970903522</v>
      </c>
      <c r="I2988" s="78" t="s">
        <v>3631</v>
      </c>
      <c r="J2988" s="78" t="s">
        <v>69</v>
      </c>
      <c r="K2988" s="58">
        <f t="shared" si="3"/>
        <v>0</v>
      </c>
      <c r="L2988" s="91" t="str">
        <f t="shared" si="8"/>
        <v>Fri</v>
      </c>
      <c r="M2988" s="78" t="str">
        <f>IFERROR(VLOOKUP(A2988, Entries!A:B,2,false),"")</f>
        <v>Daedalic Entertainment</v>
      </c>
      <c r="N2988" s="23" t="str">
        <f>IFERROR(VLOOKUP(A2988, Entries!A:K,11,false),"")</f>
        <v/>
      </c>
    </row>
    <row r="2989">
      <c r="A2989" s="78" t="s">
        <v>2818</v>
      </c>
      <c r="B2989" s="78" t="s">
        <v>27</v>
      </c>
      <c r="C2989" s="85">
        <v>44995.0</v>
      </c>
      <c r="D2989" s="85">
        <v>44996.0</v>
      </c>
      <c r="E2989" s="86">
        <v>4.59</v>
      </c>
      <c r="F2989" s="87">
        <v>6.43</v>
      </c>
      <c r="G2989" s="88">
        <f t="shared" si="1"/>
        <v>1.84</v>
      </c>
      <c r="H2989" s="89">
        <f t="shared" si="10"/>
        <v>0.2861586314</v>
      </c>
      <c r="I2989" s="78" t="s">
        <v>3632</v>
      </c>
      <c r="J2989" s="78" t="s">
        <v>69</v>
      </c>
      <c r="K2989" s="58">
        <f t="shared" si="3"/>
        <v>1</v>
      </c>
      <c r="L2989" s="91" t="str">
        <f t="shared" si="8"/>
        <v>Sat</v>
      </c>
      <c r="M2989" s="78" t="str">
        <f>IFERROR(VLOOKUP(A2989, Entries!A:B,2,false),"")</f>
        <v>Daedalic Entertainment</v>
      </c>
      <c r="N2989" s="23" t="str">
        <f>IFERROR(VLOOKUP(A2989, Entries!A:K,11,false),"")</f>
        <v/>
      </c>
    </row>
    <row r="2990">
      <c r="A2990" s="78" t="s">
        <v>2818</v>
      </c>
      <c r="B2990" s="78" t="s">
        <v>27</v>
      </c>
      <c r="C2990" s="85">
        <v>44995.0</v>
      </c>
      <c r="D2990" s="85">
        <v>44996.0</v>
      </c>
      <c r="E2990" s="86">
        <v>4.59</v>
      </c>
      <c r="F2990" s="87">
        <v>6.53</v>
      </c>
      <c r="G2990" s="88">
        <f t="shared" si="1"/>
        <v>1.94</v>
      </c>
      <c r="H2990" s="89">
        <f t="shared" si="10"/>
        <v>0.2970903522</v>
      </c>
      <c r="I2990" s="78" t="s">
        <v>3633</v>
      </c>
      <c r="J2990" s="78" t="s">
        <v>69</v>
      </c>
      <c r="K2990" s="58">
        <f t="shared" si="3"/>
        <v>1</v>
      </c>
      <c r="L2990" s="91" t="str">
        <f t="shared" si="8"/>
        <v>Sat</v>
      </c>
      <c r="M2990" s="78" t="str">
        <f>IFERROR(VLOOKUP(A2990, Entries!A:B,2,false),"")</f>
        <v>Daedalic Entertainment</v>
      </c>
      <c r="N2990" s="23" t="str">
        <f>IFERROR(VLOOKUP(A2990, Entries!A:K,11,false),"")</f>
        <v/>
      </c>
    </row>
    <row r="2991">
      <c r="A2991" s="78" t="s">
        <v>2818</v>
      </c>
      <c r="B2991" s="78" t="s">
        <v>27</v>
      </c>
      <c r="C2991" s="85">
        <v>44995.0</v>
      </c>
      <c r="D2991" s="85">
        <v>44996.0</v>
      </c>
      <c r="E2991" s="86">
        <v>4.59</v>
      </c>
      <c r="F2991" s="87">
        <v>6.53</v>
      </c>
      <c r="G2991" s="88">
        <f t="shared" si="1"/>
        <v>1.94</v>
      </c>
      <c r="H2991" s="89">
        <f t="shared" si="10"/>
        <v>0.2970903522</v>
      </c>
      <c r="I2991" s="78" t="s">
        <v>3634</v>
      </c>
      <c r="J2991" s="78" t="s">
        <v>69</v>
      </c>
      <c r="K2991" s="58">
        <f t="shared" si="3"/>
        <v>1</v>
      </c>
      <c r="L2991" s="91" t="str">
        <f t="shared" si="8"/>
        <v>Sat</v>
      </c>
      <c r="M2991" s="78" t="str">
        <f>IFERROR(VLOOKUP(A2991, Entries!A:B,2,false),"")</f>
        <v>Daedalic Entertainment</v>
      </c>
      <c r="N2991" s="23" t="str">
        <f>IFERROR(VLOOKUP(A2991, Entries!A:K,11,false),"")</f>
        <v/>
      </c>
    </row>
    <row r="2992">
      <c r="A2992" s="78" t="s">
        <v>2818</v>
      </c>
      <c r="B2992" s="78" t="s">
        <v>27</v>
      </c>
      <c r="C2992" s="85">
        <v>44995.0</v>
      </c>
      <c r="D2992" s="85">
        <v>44996.0</v>
      </c>
      <c r="E2992" s="86">
        <v>4.59</v>
      </c>
      <c r="F2992" s="87">
        <v>6.53</v>
      </c>
      <c r="G2992" s="88">
        <f t="shared" si="1"/>
        <v>1.94</v>
      </c>
      <c r="H2992" s="89">
        <f t="shared" si="10"/>
        <v>0.2970903522</v>
      </c>
      <c r="I2992" s="78" t="s">
        <v>3635</v>
      </c>
      <c r="J2992" s="78" t="s">
        <v>69</v>
      </c>
      <c r="K2992" s="58">
        <f t="shared" si="3"/>
        <v>1</v>
      </c>
      <c r="L2992" s="91" t="str">
        <f t="shared" si="8"/>
        <v>Sat</v>
      </c>
      <c r="M2992" s="78" t="str">
        <f>IFERROR(VLOOKUP(A2992, Entries!A:B,2,false),"")</f>
        <v>Daedalic Entertainment</v>
      </c>
      <c r="N2992" s="23" t="str">
        <f>IFERROR(VLOOKUP(A2992, Entries!A:K,11,false),"")</f>
        <v/>
      </c>
    </row>
    <row r="2993">
      <c r="A2993" s="78" t="s">
        <v>2517</v>
      </c>
      <c r="B2993" s="78" t="s">
        <v>22</v>
      </c>
      <c r="C2993" s="85">
        <v>44995.0</v>
      </c>
      <c r="D2993" s="85">
        <v>45018.0</v>
      </c>
      <c r="E2993" s="86">
        <v>12.61</v>
      </c>
      <c r="F2993" s="87">
        <v>14.26</v>
      </c>
      <c r="G2993" s="88">
        <f t="shared" si="1"/>
        <v>1.65</v>
      </c>
      <c r="H2993" s="89">
        <f t="shared" si="10"/>
        <v>0.1157082749</v>
      </c>
      <c r="I2993" s="78" t="s">
        <v>3636</v>
      </c>
      <c r="J2993" s="78" t="s">
        <v>69</v>
      </c>
      <c r="K2993" s="58">
        <f t="shared" si="3"/>
        <v>23</v>
      </c>
      <c r="L2993" s="91" t="str">
        <f t="shared" si="8"/>
        <v>Sun</v>
      </c>
      <c r="M2993" s="78" t="str">
        <f>IFERROR(VLOOKUP(A2993, Entries!A:B,2,false),"")</f>
        <v>Bethesda Softworks</v>
      </c>
      <c r="N2993" s="23" t="str">
        <f>IFERROR(VLOOKUP(A2993, Entries!A:K,11,false),"")</f>
        <v/>
      </c>
    </row>
    <row r="2994">
      <c r="A2994" s="78" t="s">
        <v>3637</v>
      </c>
      <c r="B2994" s="78" t="s">
        <v>21</v>
      </c>
      <c r="C2994" s="85">
        <v>44995.0</v>
      </c>
      <c r="D2994" s="25"/>
      <c r="E2994" s="86">
        <v>13.02</v>
      </c>
      <c r="F2994" s="88"/>
      <c r="G2994" s="88">
        <f t="shared" si="1"/>
        <v>-13.02</v>
      </c>
      <c r="H2994" s="89" t="str">
        <f t="shared" si="10"/>
        <v/>
      </c>
      <c r="I2994" s="103" t="s">
        <v>3638</v>
      </c>
      <c r="J2994" s="78" t="s">
        <v>1129</v>
      </c>
      <c r="K2994" s="58" t="str">
        <f t="shared" si="3"/>
        <v/>
      </c>
      <c r="L2994" s="91" t="str">
        <f t="shared" si="8"/>
        <v/>
      </c>
      <c r="M2994" s="78" t="str">
        <f>IFERROR(VLOOKUP(A2994, Entries!A:B,2,false),"")</f>
        <v>Bedtime Digital Games</v>
      </c>
      <c r="N2994" s="23" t="str">
        <f>IFERROR(VLOOKUP(A2994, Entries!A:K,11,false),"")</f>
        <v/>
      </c>
      <c r="O2994" s="23" t="b">
        <f>IFERROR(VLOOKUP(A2994, Entries!A:I,8,false),"")</f>
        <v>0</v>
      </c>
    </row>
    <row r="2995">
      <c r="A2995" s="78" t="s">
        <v>3637</v>
      </c>
      <c r="B2995" s="78" t="s">
        <v>21</v>
      </c>
      <c r="C2995" s="85">
        <v>44995.0</v>
      </c>
      <c r="D2995" s="25"/>
      <c r="E2995" s="86">
        <v>13.01</v>
      </c>
      <c r="F2995" s="88"/>
      <c r="G2995" s="88">
        <f t="shared" si="1"/>
        <v>-13.01</v>
      </c>
      <c r="H2995" s="89" t="str">
        <f t="shared" si="10"/>
        <v/>
      </c>
      <c r="I2995" s="103" t="s">
        <v>3639</v>
      </c>
      <c r="J2995" s="78" t="s">
        <v>1129</v>
      </c>
      <c r="K2995" s="58" t="str">
        <f t="shared" si="3"/>
        <v/>
      </c>
      <c r="L2995" s="91" t="str">
        <f t="shared" si="8"/>
        <v/>
      </c>
      <c r="M2995" s="78" t="str">
        <f>IFERROR(VLOOKUP(A2995, Entries!A:B,2,false),"")</f>
        <v>Bedtime Digital Games</v>
      </c>
      <c r="N2995" s="23" t="str">
        <f>IFERROR(VLOOKUP(A2995, Entries!A:K,11,false),"")</f>
        <v/>
      </c>
      <c r="O2995" s="23" t="b">
        <f>IFERROR(VLOOKUP(A2995, Entries!A:I,8,false),"")</f>
        <v>0</v>
      </c>
    </row>
    <row r="2996">
      <c r="A2996" s="78" t="s">
        <v>2789</v>
      </c>
      <c r="B2996" s="78" t="s">
        <v>19</v>
      </c>
      <c r="C2996" s="85">
        <v>44995.0</v>
      </c>
      <c r="D2996" s="85">
        <v>44996.0</v>
      </c>
      <c r="E2996" s="86">
        <v>4.12</v>
      </c>
      <c r="F2996" s="87">
        <v>5.77</v>
      </c>
      <c r="G2996" s="88">
        <f t="shared" si="1"/>
        <v>1.65</v>
      </c>
      <c r="H2996" s="89">
        <f t="shared" si="10"/>
        <v>0.2859618718</v>
      </c>
      <c r="I2996" s="78" t="s">
        <v>3640</v>
      </c>
      <c r="J2996" s="78" t="s">
        <v>69</v>
      </c>
      <c r="K2996" s="58">
        <f t="shared" si="3"/>
        <v>1</v>
      </c>
      <c r="L2996" s="91" t="str">
        <f t="shared" si="8"/>
        <v>Sat</v>
      </c>
      <c r="M2996" s="78" t="str">
        <f>IFERROR(VLOOKUP(A2996, Entries!A:B,2,false),"")</f>
        <v>Evil Tortilla Games</v>
      </c>
      <c r="N2996" s="23" t="str">
        <f>IFERROR(VLOOKUP(A2996, Entries!A:K,11,false),"")</f>
        <v/>
      </c>
    </row>
    <row r="2997">
      <c r="A2997" s="78" t="s">
        <v>272</v>
      </c>
      <c r="B2997" s="78" t="s">
        <v>19</v>
      </c>
      <c r="C2997" s="85">
        <v>44995.0</v>
      </c>
      <c r="D2997" s="85">
        <v>44995.0</v>
      </c>
      <c r="E2997" s="86">
        <v>0.93</v>
      </c>
      <c r="F2997" s="87">
        <v>1.05</v>
      </c>
      <c r="G2997" s="88">
        <f t="shared" si="1"/>
        <v>0.12</v>
      </c>
      <c r="H2997" s="89">
        <f t="shared" si="10"/>
        <v>0.1142857143</v>
      </c>
      <c r="I2997" s="78" t="s">
        <v>3641</v>
      </c>
      <c r="J2997" s="78" t="s">
        <v>69</v>
      </c>
      <c r="K2997" s="58">
        <f t="shared" si="3"/>
        <v>0</v>
      </c>
      <c r="L2997" s="91" t="str">
        <f t="shared" si="8"/>
        <v>Fri</v>
      </c>
      <c r="M2997" s="78" t="str">
        <f>IFERROR(VLOOKUP(A2997, Entries!A:B,2,false),"")</f>
        <v>Starbreeze Publishing</v>
      </c>
      <c r="N2997" s="23" t="str">
        <f>IFERROR(VLOOKUP(A2997, Entries!A:K,11,false),"")</f>
        <v/>
      </c>
    </row>
    <row r="2998">
      <c r="A2998" s="78" t="s">
        <v>272</v>
      </c>
      <c r="B2998" s="78" t="s">
        <v>19</v>
      </c>
      <c r="C2998" s="85">
        <v>44995.0</v>
      </c>
      <c r="D2998" s="85">
        <v>44995.0</v>
      </c>
      <c r="E2998" s="86">
        <v>0.93</v>
      </c>
      <c r="F2998" s="87">
        <v>1.03</v>
      </c>
      <c r="G2998" s="88">
        <f t="shared" si="1"/>
        <v>0.1</v>
      </c>
      <c r="H2998" s="89">
        <f t="shared" si="10"/>
        <v>0.09708737864</v>
      </c>
      <c r="I2998" s="78" t="s">
        <v>3642</v>
      </c>
      <c r="J2998" s="78" t="s">
        <v>69</v>
      </c>
      <c r="K2998" s="58">
        <f t="shared" si="3"/>
        <v>0</v>
      </c>
      <c r="L2998" s="91" t="str">
        <f t="shared" si="8"/>
        <v>Fri</v>
      </c>
      <c r="M2998" s="78" t="str">
        <f>IFERROR(VLOOKUP(A2998, Entries!A:B,2,false),"")</f>
        <v>Starbreeze Publishing</v>
      </c>
      <c r="N2998" s="23" t="str">
        <f>IFERROR(VLOOKUP(A2998, Entries!A:K,11,false),"")</f>
        <v/>
      </c>
    </row>
    <row r="2999">
      <c r="A2999" s="78" t="s">
        <v>3643</v>
      </c>
      <c r="B2999" s="78" t="s">
        <v>25</v>
      </c>
      <c r="C2999" s="85">
        <v>44995.0</v>
      </c>
      <c r="D2999" s="85">
        <v>45007.0</v>
      </c>
      <c r="E2999" s="86">
        <v>0.0</v>
      </c>
      <c r="F2999" s="87">
        <v>0.01</v>
      </c>
      <c r="G2999" s="88">
        <f t="shared" si="1"/>
        <v>0.01</v>
      </c>
      <c r="H2999" s="89">
        <f t="shared" si="10"/>
        <v>1</v>
      </c>
      <c r="I2999" s="78" t="s">
        <v>3644</v>
      </c>
      <c r="J2999" s="78" t="s">
        <v>69</v>
      </c>
      <c r="K2999" s="58">
        <f t="shared" si="3"/>
        <v>12</v>
      </c>
      <c r="L2999" s="91" t="str">
        <f t="shared" si="8"/>
        <v>Wed</v>
      </c>
      <c r="M2999" s="78" t="str">
        <f>IFERROR(VLOOKUP(A2999, Entries!A:B,2,false),"")</f>
        <v/>
      </c>
      <c r="N2999" s="23" t="str">
        <f>IFERROR(VLOOKUP(A2999, Entries!A:K,11,false),"")</f>
        <v/>
      </c>
      <c r="O2999" s="23" t="str">
        <f>IFERROR(VLOOKUP(A2999, Entries!A:I,8,false),"")</f>
        <v/>
      </c>
    </row>
    <row r="3000">
      <c r="A3000" s="78" t="s">
        <v>272</v>
      </c>
      <c r="B3000" s="78" t="s">
        <v>19</v>
      </c>
      <c r="C3000" s="85">
        <v>44995.0</v>
      </c>
      <c r="D3000" s="85">
        <v>44995.0</v>
      </c>
      <c r="E3000" s="86">
        <v>0.93</v>
      </c>
      <c r="F3000" s="87">
        <v>1.12</v>
      </c>
      <c r="G3000" s="88">
        <f t="shared" si="1"/>
        <v>0.19</v>
      </c>
      <c r="H3000" s="89">
        <f t="shared" si="10"/>
        <v>0.1696428571</v>
      </c>
      <c r="I3000" s="78" t="s">
        <v>3645</v>
      </c>
      <c r="J3000" s="78" t="s">
        <v>69</v>
      </c>
      <c r="K3000" s="58">
        <f t="shared" si="3"/>
        <v>0</v>
      </c>
      <c r="L3000" s="91" t="str">
        <f t="shared" si="8"/>
        <v>Fri</v>
      </c>
      <c r="M3000" s="78" t="str">
        <f>IFERROR(VLOOKUP(A3000, Entries!A:B,2,false),"")</f>
        <v>Starbreeze Publishing</v>
      </c>
      <c r="N3000" s="23" t="str">
        <f>IFERROR(VLOOKUP(A3000, Entries!A:K,11,false),"")</f>
        <v/>
      </c>
    </row>
    <row r="3001">
      <c r="A3001" s="78" t="s">
        <v>272</v>
      </c>
      <c r="B3001" s="78" t="s">
        <v>19</v>
      </c>
      <c r="C3001" s="85">
        <v>44995.0</v>
      </c>
      <c r="D3001" s="85">
        <v>44996.0</v>
      </c>
      <c r="E3001" s="86">
        <v>0.93</v>
      </c>
      <c r="F3001" s="87">
        <v>1.11</v>
      </c>
      <c r="G3001" s="88">
        <f t="shared" si="1"/>
        <v>0.18</v>
      </c>
      <c r="H3001" s="89">
        <f t="shared" si="10"/>
        <v>0.1621621622</v>
      </c>
      <c r="I3001" s="78" t="s">
        <v>3646</v>
      </c>
      <c r="J3001" s="78" t="s">
        <v>69</v>
      </c>
      <c r="K3001" s="58">
        <f t="shared" si="3"/>
        <v>1</v>
      </c>
      <c r="L3001" s="91" t="str">
        <f t="shared" si="8"/>
        <v>Sat</v>
      </c>
      <c r="M3001" s="78" t="str">
        <f>IFERROR(VLOOKUP(A3001, Entries!A:B,2,false),"")</f>
        <v>Starbreeze Publishing</v>
      </c>
      <c r="N3001" s="23" t="str">
        <f>IFERROR(VLOOKUP(A3001, Entries!A:K,11,false),"")</f>
        <v/>
      </c>
    </row>
    <row r="3002">
      <c r="A3002" s="78" t="s">
        <v>272</v>
      </c>
      <c r="B3002" s="78" t="s">
        <v>19</v>
      </c>
      <c r="C3002" s="85">
        <v>44995.0</v>
      </c>
      <c r="D3002" s="85">
        <v>44997.0</v>
      </c>
      <c r="E3002" s="86">
        <v>0.92</v>
      </c>
      <c r="F3002" s="87">
        <v>1.11</v>
      </c>
      <c r="G3002" s="88">
        <f t="shared" si="1"/>
        <v>0.19</v>
      </c>
      <c r="H3002" s="89">
        <f t="shared" si="10"/>
        <v>0.1711711712</v>
      </c>
      <c r="I3002" s="78" t="s">
        <v>3647</v>
      </c>
      <c r="J3002" s="78" t="s">
        <v>69</v>
      </c>
      <c r="K3002" s="58">
        <f t="shared" si="3"/>
        <v>2</v>
      </c>
      <c r="L3002" s="91" t="str">
        <f t="shared" si="8"/>
        <v>Sun</v>
      </c>
      <c r="M3002" s="78" t="str">
        <f>IFERROR(VLOOKUP(A3002, Entries!A:B,2,false),"")</f>
        <v>Starbreeze Publishing</v>
      </c>
      <c r="N3002" s="23" t="str">
        <f>IFERROR(VLOOKUP(A3002, Entries!A:K,11,false),"")</f>
        <v/>
      </c>
    </row>
    <row r="3003">
      <c r="A3003" s="78" t="s">
        <v>2818</v>
      </c>
      <c r="B3003" s="78" t="s">
        <v>27</v>
      </c>
      <c r="C3003" s="85">
        <v>44996.0</v>
      </c>
      <c r="D3003" s="85">
        <v>44997.0</v>
      </c>
      <c r="E3003" s="86">
        <v>4.59</v>
      </c>
      <c r="F3003" s="87">
        <v>6.59</v>
      </c>
      <c r="G3003" s="88">
        <f t="shared" si="1"/>
        <v>2</v>
      </c>
      <c r="H3003" s="89">
        <f t="shared" si="10"/>
        <v>0.3034901366</v>
      </c>
      <c r="I3003" s="78" t="s">
        <v>3648</v>
      </c>
      <c r="J3003" s="78" t="s">
        <v>69</v>
      </c>
      <c r="K3003" s="58">
        <f t="shared" si="3"/>
        <v>1</v>
      </c>
      <c r="L3003" s="91" t="str">
        <f t="shared" si="8"/>
        <v>Sun</v>
      </c>
      <c r="M3003" s="78" t="str">
        <f>IFERROR(VLOOKUP(A3003, Entries!A:B,2,false),"")</f>
        <v>Daedalic Entertainment</v>
      </c>
      <c r="N3003" s="23" t="str">
        <f>IFERROR(VLOOKUP(A3003, Entries!A:K,11,false),"")</f>
        <v/>
      </c>
    </row>
    <row r="3004">
      <c r="A3004" s="78" t="s">
        <v>2818</v>
      </c>
      <c r="B3004" s="78" t="s">
        <v>27</v>
      </c>
      <c r="C3004" s="85">
        <v>44996.0</v>
      </c>
      <c r="D3004" s="85">
        <v>44997.0</v>
      </c>
      <c r="E3004" s="86">
        <v>4.59</v>
      </c>
      <c r="F3004" s="87">
        <v>6.63</v>
      </c>
      <c r="G3004" s="88">
        <f t="shared" si="1"/>
        <v>2.04</v>
      </c>
      <c r="H3004" s="89">
        <f t="shared" si="10"/>
        <v>0.3076923077</v>
      </c>
      <c r="I3004" s="78" t="s">
        <v>3649</v>
      </c>
      <c r="J3004" s="78" t="s">
        <v>69</v>
      </c>
      <c r="K3004" s="58">
        <f t="shared" si="3"/>
        <v>1</v>
      </c>
      <c r="L3004" s="91" t="str">
        <f t="shared" si="8"/>
        <v>Sun</v>
      </c>
      <c r="M3004" s="78" t="str">
        <f>IFERROR(VLOOKUP(A3004, Entries!A:B,2,false),"")</f>
        <v>Daedalic Entertainment</v>
      </c>
      <c r="N3004" s="23" t="str">
        <f>IFERROR(VLOOKUP(A3004, Entries!A:K,11,false),"")</f>
        <v/>
      </c>
    </row>
    <row r="3005">
      <c r="A3005" s="78" t="s">
        <v>3366</v>
      </c>
      <c r="B3005" s="78" t="s">
        <v>25</v>
      </c>
      <c r="C3005" s="85">
        <v>44996.0</v>
      </c>
      <c r="D3005" s="85">
        <v>44996.0</v>
      </c>
      <c r="E3005" s="86">
        <v>4.71</v>
      </c>
      <c r="F3005" s="87">
        <v>5.59</v>
      </c>
      <c r="G3005" s="88">
        <f t="shared" si="1"/>
        <v>0.88</v>
      </c>
      <c r="H3005" s="89">
        <f t="shared" si="10"/>
        <v>0.1574239714</v>
      </c>
      <c r="I3005" s="78" t="s">
        <v>3650</v>
      </c>
      <c r="J3005" s="78" t="s">
        <v>69</v>
      </c>
      <c r="K3005" s="58">
        <f t="shared" si="3"/>
        <v>0</v>
      </c>
      <c r="L3005" s="91" t="str">
        <f t="shared" si="8"/>
        <v>Sat</v>
      </c>
      <c r="M3005" s="78" t="str">
        <f>IFERROR(VLOOKUP(A3005, Entries!A:B,2,false),"")</f>
        <v>Sector D2</v>
      </c>
      <c r="N3005" s="23" t="str">
        <f>IFERROR(VLOOKUP(A3005, Entries!A:K,11,false),"")</f>
        <v/>
      </c>
    </row>
    <row r="3006">
      <c r="A3006" s="78" t="s">
        <v>3366</v>
      </c>
      <c r="B3006" s="78" t="s">
        <v>25</v>
      </c>
      <c r="C3006" s="85">
        <v>44996.0</v>
      </c>
      <c r="D3006" s="85">
        <v>45000.0</v>
      </c>
      <c r="E3006" s="86">
        <v>4.71</v>
      </c>
      <c r="F3006" s="87">
        <v>5.78</v>
      </c>
      <c r="G3006" s="88">
        <f t="shared" si="1"/>
        <v>1.07</v>
      </c>
      <c r="H3006" s="89">
        <f t="shared" si="10"/>
        <v>0.1851211073</v>
      </c>
      <c r="I3006" s="78" t="s">
        <v>3651</v>
      </c>
      <c r="J3006" s="78" t="s">
        <v>69</v>
      </c>
      <c r="K3006" s="58">
        <f t="shared" si="3"/>
        <v>4</v>
      </c>
      <c r="L3006" s="91" t="str">
        <f t="shared" si="8"/>
        <v>Wed</v>
      </c>
      <c r="M3006" s="78" t="str">
        <f>IFERROR(VLOOKUP(A3006, Entries!A:B,2,false),"")</f>
        <v>Sector D2</v>
      </c>
      <c r="N3006" s="23" t="str">
        <f>IFERROR(VLOOKUP(A3006, Entries!A:K,11,false),"")</f>
        <v/>
      </c>
    </row>
    <row r="3007">
      <c r="A3007" s="78" t="s">
        <v>3366</v>
      </c>
      <c r="B3007" s="78" t="s">
        <v>25</v>
      </c>
      <c r="C3007" s="85">
        <v>44996.0</v>
      </c>
      <c r="D3007" s="85">
        <v>45003.0</v>
      </c>
      <c r="E3007" s="86">
        <v>4.71</v>
      </c>
      <c r="F3007" s="87">
        <v>5.6</v>
      </c>
      <c r="G3007" s="88">
        <f t="shared" si="1"/>
        <v>0.89</v>
      </c>
      <c r="H3007" s="89">
        <f t="shared" si="10"/>
        <v>0.1589285714</v>
      </c>
      <c r="I3007" s="78" t="s">
        <v>3652</v>
      </c>
      <c r="J3007" s="78" t="s">
        <v>69</v>
      </c>
      <c r="K3007" s="58">
        <f t="shared" si="3"/>
        <v>7</v>
      </c>
      <c r="L3007" s="91" t="str">
        <f t="shared" si="8"/>
        <v>Sat</v>
      </c>
      <c r="M3007" s="78" t="str">
        <f>IFERROR(VLOOKUP(A3007, Entries!A:B,2,false),"")</f>
        <v>Sector D2</v>
      </c>
      <c r="N3007" s="23" t="str">
        <f>IFERROR(VLOOKUP(A3007, Entries!A:K,11,false),"")</f>
        <v/>
      </c>
    </row>
    <row r="3008">
      <c r="A3008" s="78" t="s">
        <v>3366</v>
      </c>
      <c r="B3008" s="78" t="s">
        <v>25</v>
      </c>
      <c r="C3008" s="85">
        <v>44996.0</v>
      </c>
      <c r="D3008" s="85">
        <v>45003.0</v>
      </c>
      <c r="E3008" s="86">
        <v>4.71</v>
      </c>
      <c r="F3008" s="87">
        <v>5.6</v>
      </c>
      <c r="G3008" s="88">
        <f t="shared" si="1"/>
        <v>0.89</v>
      </c>
      <c r="H3008" s="89">
        <f t="shared" si="10"/>
        <v>0.1589285714</v>
      </c>
      <c r="I3008" s="78" t="s">
        <v>3653</v>
      </c>
      <c r="J3008" s="78" t="s">
        <v>69</v>
      </c>
      <c r="K3008" s="58">
        <f t="shared" si="3"/>
        <v>7</v>
      </c>
      <c r="L3008" s="91" t="str">
        <f t="shared" si="8"/>
        <v>Sat</v>
      </c>
      <c r="M3008" s="78" t="str">
        <f>IFERROR(VLOOKUP(A3008, Entries!A:B,2,false),"")</f>
        <v>Sector D2</v>
      </c>
      <c r="N3008" s="23" t="str">
        <f>IFERROR(VLOOKUP(A3008, Entries!A:K,11,false),"")</f>
        <v/>
      </c>
    </row>
    <row r="3009">
      <c r="A3009" s="78" t="s">
        <v>3654</v>
      </c>
      <c r="B3009" s="78" t="s">
        <v>27</v>
      </c>
      <c r="C3009" s="85">
        <v>44996.0</v>
      </c>
      <c r="D3009" s="85">
        <v>45010.0</v>
      </c>
      <c r="E3009" s="86">
        <v>16.99</v>
      </c>
      <c r="F3009" s="87">
        <v>17.79</v>
      </c>
      <c r="G3009" s="88">
        <f t="shared" si="1"/>
        <v>0.8</v>
      </c>
      <c r="H3009" s="89">
        <f t="shared" si="10"/>
        <v>0.04496908375</v>
      </c>
      <c r="I3009" s="78" t="s">
        <v>3655</v>
      </c>
      <c r="J3009" s="78" t="s">
        <v>69</v>
      </c>
      <c r="K3009" s="58">
        <f t="shared" si="3"/>
        <v>14</v>
      </c>
      <c r="L3009" s="91" t="str">
        <f t="shared" si="8"/>
        <v>Sat</v>
      </c>
      <c r="M3009" s="78" t="str">
        <f>IFERROR(VLOOKUP(A3009, Entries!A:B,2,false),"")</f>
        <v>astragon Entertainment</v>
      </c>
      <c r="N3009" s="23" t="str">
        <f>IFERROR(VLOOKUP(A3009, Entries!A:K,11,false),"")</f>
        <v/>
      </c>
    </row>
    <row r="3010">
      <c r="A3010" s="78" t="s">
        <v>2789</v>
      </c>
      <c r="B3010" s="78" t="s">
        <v>19</v>
      </c>
      <c r="C3010" s="85">
        <v>44996.0</v>
      </c>
      <c r="D3010" s="85">
        <v>45027.0</v>
      </c>
      <c r="E3010" s="86">
        <v>4.11</v>
      </c>
      <c r="F3010" s="87">
        <v>4.63</v>
      </c>
      <c r="G3010" s="88">
        <f t="shared" si="1"/>
        <v>0.52</v>
      </c>
      <c r="H3010" s="89">
        <f t="shared" si="10"/>
        <v>0.1123110151</v>
      </c>
      <c r="I3010" s="78" t="s">
        <v>3656</v>
      </c>
      <c r="J3010" s="78" t="s">
        <v>69</v>
      </c>
      <c r="K3010" s="58">
        <f t="shared" si="3"/>
        <v>31</v>
      </c>
      <c r="L3010" s="91" t="str">
        <f t="shared" si="8"/>
        <v>Tue</v>
      </c>
      <c r="M3010" s="78" t="str">
        <f>IFERROR(VLOOKUP(A3010, Entries!A:B,2,false),"")</f>
        <v>Evil Tortilla Games</v>
      </c>
      <c r="N3010" s="23" t="str">
        <f>IFERROR(VLOOKUP(A3010, Entries!A:K,11,false),"")</f>
        <v/>
      </c>
    </row>
    <row r="3011">
      <c r="A3011" s="78" t="s">
        <v>1338</v>
      </c>
      <c r="B3011" s="78" t="s">
        <v>25</v>
      </c>
      <c r="C3011" s="85">
        <v>44996.0</v>
      </c>
      <c r="D3011" s="85">
        <v>44996.0</v>
      </c>
      <c r="E3011" s="86">
        <v>4.58</v>
      </c>
      <c r="F3011" s="87">
        <v>7.62</v>
      </c>
      <c r="G3011" s="88">
        <f t="shared" si="1"/>
        <v>3.04</v>
      </c>
      <c r="H3011" s="89">
        <f t="shared" si="10"/>
        <v>0.3989501312</v>
      </c>
      <c r="I3011" s="78" t="s">
        <v>3657</v>
      </c>
      <c r="J3011" s="78" t="s">
        <v>69</v>
      </c>
      <c r="K3011" s="58">
        <f t="shared" si="3"/>
        <v>0</v>
      </c>
      <c r="L3011" s="91" t="str">
        <f t="shared" si="8"/>
        <v>Sat</v>
      </c>
      <c r="M3011" s="78" t="str">
        <f>IFERROR(VLOOKUP(A3011, Entries!A:B,2,false),"")</f>
        <v>SEGA</v>
      </c>
      <c r="N3011" s="23" t="str">
        <f>IFERROR(VLOOKUP(A3011, Entries!A:K,11,false),"")</f>
        <v/>
      </c>
    </row>
    <row r="3012">
      <c r="A3012" s="78" t="s">
        <v>2380</v>
      </c>
      <c r="B3012" s="78" t="s">
        <v>22</v>
      </c>
      <c r="C3012" s="85">
        <v>44996.0</v>
      </c>
      <c r="D3012" s="85">
        <v>45025.0</v>
      </c>
      <c r="E3012" s="86">
        <v>15.13</v>
      </c>
      <c r="F3012" s="87">
        <v>27.79</v>
      </c>
      <c r="G3012" s="88">
        <f t="shared" si="1"/>
        <v>12.66</v>
      </c>
      <c r="H3012" s="89">
        <f t="shared" si="10"/>
        <v>0.4555595538</v>
      </c>
      <c r="I3012" s="78" t="s">
        <v>3658</v>
      </c>
      <c r="J3012" s="78" t="s">
        <v>69</v>
      </c>
      <c r="K3012" s="58">
        <f t="shared" si="3"/>
        <v>29</v>
      </c>
      <c r="L3012" s="91" t="str">
        <f t="shared" si="8"/>
        <v>Sun</v>
      </c>
      <c r="M3012" s="78" t="str">
        <f>IFERROR(VLOOKUP(A3012, Entries!A:B,2,false),"")</f>
        <v>Brightrock Games</v>
      </c>
      <c r="N3012" s="23" t="str">
        <f>IFERROR(VLOOKUP(A3012, Entries!A:K,11,false),"")</f>
        <v/>
      </c>
    </row>
    <row r="3013">
      <c r="A3013" s="78" t="s">
        <v>2528</v>
      </c>
      <c r="B3013" s="78" t="s">
        <v>25</v>
      </c>
      <c r="C3013" s="85">
        <v>44996.0</v>
      </c>
      <c r="D3013" s="85">
        <v>45009.0</v>
      </c>
      <c r="E3013" s="86">
        <v>5.79</v>
      </c>
      <c r="F3013" s="87">
        <v>6.65</v>
      </c>
      <c r="G3013" s="88">
        <f t="shared" si="1"/>
        <v>0.86</v>
      </c>
      <c r="H3013" s="89">
        <f t="shared" si="10"/>
        <v>0.1293233083</v>
      </c>
      <c r="I3013" s="78" t="s">
        <v>3659</v>
      </c>
      <c r="J3013" s="78" t="s">
        <v>69</v>
      </c>
      <c r="K3013" s="58">
        <f t="shared" si="3"/>
        <v>13</v>
      </c>
      <c r="L3013" s="91" t="str">
        <f t="shared" si="8"/>
        <v>Fri</v>
      </c>
      <c r="M3013" s="78" t="str">
        <f>IFERROR(VLOOKUP(A3013, Entries!A:B,2,false),"")</f>
        <v>Cheesecake Dev</v>
      </c>
      <c r="N3013" s="23" t="str">
        <f>IFERROR(VLOOKUP(A3013, Entries!A:K,11,false),"")</f>
        <v/>
      </c>
    </row>
    <row r="3014">
      <c r="A3014" s="78" t="s">
        <v>1338</v>
      </c>
      <c r="B3014" s="78" t="s">
        <v>25</v>
      </c>
      <c r="C3014" s="85">
        <v>44996.0</v>
      </c>
      <c r="D3014" s="85">
        <v>44997.0</v>
      </c>
      <c r="E3014" s="86">
        <v>4.58</v>
      </c>
      <c r="F3014" s="87">
        <v>7.62</v>
      </c>
      <c r="G3014" s="88">
        <f t="shared" si="1"/>
        <v>3.04</v>
      </c>
      <c r="H3014" s="89">
        <f t="shared" si="10"/>
        <v>0.3989501312</v>
      </c>
      <c r="I3014" s="78" t="s">
        <v>3660</v>
      </c>
      <c r="J3014" s="78" t="s">
        <v>69</v>
      </c>
      <c r="K3014" s="58">
        <f t="shared" si="3"/>
        <v>1</v>
      </c>
      <c r="L3014" s="91" t="str">
        <f t="shared" si="8"/>
        <v>Sun</v>
      </c>
      <c r="M3014" s="78" t="str">
        <f>IFERROR(VLOOKUP(A3014, Entries!A:B,2,false),"")</f>
        <v>SEGA</v>
      </c>
      <c r="N3014" s="23" t="str">
        <f>IFERROR(VLOOKUP(A3014, Entries!A:K,11,false),"")</f>
        <v/>
      </c>
    </row>
    <row r="3015">
      <c r="A3015" s="78" t="s">
        <v>1338</v>
      </c>
      <c r="B3015" s="78" t="s">
        <v>25</v>
      </c>
      <c r="C3015" s="85">
        <v>44996.0</v>
      </c>
      <c r="D3015" s="85">
        <v>45026.0</v>
      </c>
      <c r="E3015" s="86">
        <v>4.58</v>
      </c>
      <c r="F3015" s="87">
        <v>6.03</v>
      </c>
      <c r="G3015" s="88">
        <f t="shared" si="1"/>
        <v>1.45</v>
      </c>
      <c r="H3015" s="89">
        <f t="shared" si="10"/>
        <v>0.2404643449</v>
      </c>
      <c r="I3015" s="78" t="s">
        <v>3661</v>
      </c>
      <c r="J3015" s="78" t="s">
        <v>69</v>
      </c>
      <c r="K3015" s="58">
        <f t="shared" si="3"/>
        <v>30</v>
      </c>
      <c r="L3015" s="91" t="str">
        <f t="shared" si="8"/>
        <v>Mon</v>
      </c>
      <c r="M3015" s="78" t="str">
        <f>IFERROR(VLOOKUP(A3015, Entries!A:B,2,false),"")</f>
        <v>SEGA</v>
      </c>
      <c r="N3015" s="23" t="str">
        <f>IFERROR(VLOOKUP(A3015, Entries!A:K,11,false),"")</f>
        <v/>
      </c>
    </row>
    <row r="3016">
      <c r="A3016" s="78" t="s">
        <v>3242</v>
      </c>
      <c r="B3016" s="78" t="s">
        <v>27</v>
      </c>
      <c r="C3016" s="85">
        <v>44997.0</v>
      </c>
      <c r="D3016" s="85">
        <v>45001.0</v>
      </c>
      <c r="E3016" s="86">
        <v>17.09</v>
      </c>
      <c r="F3016" s="87">
        <v>21.08</v>
      </c>
      <c r="G3016" s="88">
        <f t="shared" si="1"/>
        <v>3.99</v>
      </c>
      <c r="H3016" s="89">
        <f t="shared" si="10"/>
        <v>0.1892789374</v>
      </c>
      <c r="I3016" s="78" t="s">
        <v>3662</v>
      </c>
      <c r="J3016" s="78" t="s">
        <v>69</v>
      </c>
      <c r="K3016" s="58">
        <f t="shared" si="3"/>
        <v>4</v>
      </c>
      <c r="L3016" s="91" t="str">
        <f t="shared" si="8"/>
        <v>Thu</v>
      </c>
      <c r="M3016" s="78" t="str">
        <f>IFERROR(VLOOKUP(A3016, Entries!A:B,2,false),"")</f>
        <v>Devolver Digital</v>
      </c>
      <c r="N3016" s="23" t="str">
        <f>IFERROR(VLOOKUP(A3016, Entries!A:K,11,false),"")</f>
        <v/>
      </c>
    </row>
    <row r="3017">
      <c r="A3017" s="78" t="s">
        <v>75</v>
      </c>
      <c r="B3017" s="78" t="s">
        <v>23</v>
      </c>
      <c r="C3017" s="85">
        <v>44997.0</v>
      </c>
      <c r="D3017" s="85"/>
      <c r="E3017" s="86">
        <v>19.99</v>
      </c>
      <c r="F3017" s="88"/>
      <c r="G3017" s="88">
        <f t="shared" si="1"/>
        <v>-19.99</v>
      </c>
      <c r="H3017" s="89" t="str">
        <f t="shared" si="10"/>
        <v/>
      </c>
      <c r="I3017" s="103" t="s">
        <v>3663</v>
      </c>
      <c r="J3017" s="78" t="s">
        <v>1129</v>
      </c>
      <c r="K3017" s="58" t="str">
        <f t="shared" si="3"/>
        <v/>
      </c>
      <c r="L3017" s="91" t="str">
        <f t="shared" si="8"/>
        <v/>
      </c>
      <c r="M3017" s="78" t="str">
        <f>IFERROR(VLOOKUP(A3017, Entries!A:B,2,false),"")</f>
        <v>Square Enix</v>
      </c>
      <c r="N3017" s="23" t="str">
        <f>IFERROR(VLOOKUP(A3017, Entries!A:K,11,false),"")</f>
        <v/>
      </c>
      <c r="O3017" s="23" t="b">
        <f>IFERROR(VLOOKUP(A3017, Entries!A:I,8,false),"")</f>
        <v>1</v>
      </c>
    </row>
    <row r="3018">
      <c r="A3018" s="78" t="s">
        <v>207</v>
      </c>
      <c r="B3018" s="78" t="s">
        <v>18</v>
      </c>
      <c r="C3018" s="85">
        <v>44997.0</v>
      </c>
      <c r="D3018" s="25"/>
      <c r="E3018" s="86">
        <v>14.1</v>
      </c>
      <c r="F3018" s="88"/>
      <c r="G3018" s="88">
        <f t="shared" si="1"/>
        <v>-14.1</v>
      </c>
      <c r="H3018" s="89" t="str">
        <f t="shared" si="10"/>
        <v/>
      </c>
      <c r="I3018" s="103" t="s">
        <v>3664</v>
      </c>
      <c r="J3018" s="78" t="s">
        <v>1129</v>
      </c>
      <c r="K3018" s="58" t="str">
        <f t="shared" si="3"/>
        <v/>
      </c>
      <c r="L3018" s="91" t="str">
        <f t="shared" si="8"/>
        <v/>
      </c>
      <c r="M3018" s="78" t="str">
        <f>IFERROR(VLOOKUP(A3018, Entries!A:B,2,false),"")</f>
        <v>Square Enix</v>
      </c>
      <c r="N3018" s="23" t="str">
        <f>IFERROR(VLOOKUP(A3018, Entries!A:K,11,false),"")</f>
        <v/>
      </c>
      <c r="O3018" s="23" t="b">
        <f>IFERROR(VLOOKUP(A3018, Entries!A:I,8,false),"")</f>
        <v>0</v>
      </c>
    </row>
    <row r="3019">
      <c r="A3019" s="78" t="s">
        <v>1849</v>
      </c>
      <c r="B3019" s="78" t="s">
        <v>25</v>
      </c>
      <c r="C3019" s="85">
        <v>44998.0</v>
      </c>
      <c r="D3019" s="85">
        <v>44999.0</v>
      </c>
      <c r="E3019" s="86">
        <v>4.96</v>
      </c>
      <c r="F3019" s="87">
        <v>6.83</v>
      </c>
      <c r="G3019" s="88">
        <f t="shared" si="1"/>
        <v>1.87</v>
      </c>
      <c r="H3019" s="89">
        <f t="shared" si="10"/>
        <v>0.2737920937</v>
      </c>
      <c r="I3019" s="78" t="s">
        <v>3665</v>
      </c>
      <c r="J3019" s="78" t="s">
        <v>69</v>
      </c>
      <c r="K3019" s="58">
        <f t="shared" si="3"/>
        <v>1</v>
      </c>
      <c r="L3019" s="91" t="str">
        <f t="shared" si="8"/>
        <v>Tue</v>
      </c>
      <c r="M3019" s="78" t="str">
        <f>IFERROR(VLOOKUP(A3019, Entries!A:B,2,false),"")</f>
        <v>Marmalade Game Studio</v>
      </c>
      <c r="N3019" s="23" t="str">
        <f>IFERROR(VLOOKUP(A3019, Entries!A:K,11,false),"")</f>
        <v/>
      </c>
    </row>
    <row r="3020">
      <c r="A3020" s="78" t="s">
        <v>1849</v>
      </c>
      <c r="B3020" s="78" t="s">
        <v>25</v>
      </c>
      <c r="C3020" s="85">
        <v>44998.0</v>
      </c>
      <c r="D3020" s="85">
        <v>45011.0</v>
      </c>
      <c r="E3020" s="86">
        <v>4.96</v>
      </c>
      <c r="F3020" s="87">
        <v>7.3</v>
      </c>
      <c r="G3020" s="88">
        <f t="shared" si="1"/>
        <v>2.34</v>
      </c>
      <c r="H3020" s="89">
        <f t="shared" si="10"/>
        <v>0.3205479452</v>
      </c>
      <c r="I3020" s="78" t="s">
        <v>3666</v>
      </c>
      <c r="J3020" s="78" t="s">
        <v>69</v>
      </c>
      <c r="K3020" s="58">
        <f t="shared" si="3"/>
        <v>13</v>
      </c>
      <c r="L3020" s="91" t="str">
        <f t="shared" si="8"/>
        <v>Sun</v>
      </c>
      <c r="M3020" s="78" t="str">
        <f>IFERROR(VLOOKUP(A3020, Entries!A:B,2,false),"")</f>
        <v>Marmalade Game Studio</v>
      </c>
      <c r="N3020" s="23" t="str">
        <f>IFERROR(VLOOKUP(A3020, Entries!A:K,11,false),"")</f>
        <v/>
      </c>
    </row>
    <row r="3021">
      <c r="A3021" s="78" t="s">
        <v>840</v>
      </c>
      <c r="B3021" s="78" t="s">
        <v>22</v>
      </c>
      <c r="C3021" s="85">
        <v>44998.0</v>
      </c>
      <c r="D3021" s="85">
        <v>45035.0</v>
      </c>
      <c r="E3021" s="86">
        <v>5.91</v>
      </c>
      <c r="F3021" s="87">
        <v>5.99</v>
      </c>
      <c r="G3021" s="88">
        <f t="shared" si="1"/>
        <v>0.08</v>
      </c>
      <c r="H3021" s="89">
        <f t="shared" si="10"/>
        <v>0.01335559265</v>
      </c>
      <c r="I3021" s="78" t="s">
        <v>3667</v>
      </c>
      <c r="J3021" s="78" t="s">
        <v>69</v>
      </c>
      <c r="K3021" s="58">
        <f t="shared" si="3"/>
        <v>37</v>
      </c>
      <c r="L3021" s="91" t="str">
        <f t="shared" si="8"/>
        <v>Wed</v>
      </c>
      <c r="M3021" s="78" t="str">
        <f>IFERROR(VLOOKUP(A3021, Entries!A:B,2,false),"")</f>
        <v>Square Enix</v>
      </c>
      <c r="N3021" s="23" t="str">
        <f>IFERROR(VLOOKUP(A3021, Entries!A:K,11,false),"")</f>
        <v/>
      </c>
    </row>
    <row r="3022">
      <c r="A3022" s="78" t="s">
        <v>2818</v>
      </c>
      <c r="B3022" s="78" t="s">
        <v>30</v>
      </c>
      <c r="C3022" s="85">
        <v>44998.0</v>
      </c>
      <c r="D3022" s="85">
        <v>45002.0</v>
      </c>
      <c r="E3022" s="86">
        <v>0.0</v>
      </c>
      <c r="F3022" s="87">
        <v>5.24</v>
      </c>
      <c r="G3022" s="88">
        <f t="shared" si="1"/>
        <v>5.24</v>
      </c>
      <c r="H3022" s="89">
        <f t="shared" si="10"/>
        <v>1</v>
      </c>
      <c r="I3022" s="78" t="s">
        <v>3668</v>
      </c>
      <c r="J3022" s="78" t="s">
        <v>69</v>
      </c>
      <c r="K3022" s="58">
        <f t="shared" si="3"/>
        <v>4</v>
      </c>
      <c r="L3022" s="91" t="str">
        <f t="shared" si="8"/>
        <v>Fri</v>
      </c>
      <c r="M3022" s="78" t="str">
        <f>IFERROR(VLOOKUP(A3022, Entries!A:B,2,false),"")</f>
        <v>Daedalic Entertainment</v>
      </c>
      <c r="N3022" s="23" t="str">
        <f>IFERROR(VLOOKUP(A3022, Entries!A:K,11,false),"")</f>
        <v/>
      </c>
    </row>
    <row r="3023">
      <c r="A3023" s="78" t="s">
        <v>2818</v>
      </c>
      <c r="B3023" s="78" t="s">
        <v>30</v>
      </c>
      <c r="C3023" s="85">
        <v>44998.0</v>
      </c>
      <c r="D3023" s="85">
        <v>45002.0</v>
      </c>
      <c r="E3023" s="86">
        <v>4.12</v>
      </c>
      <c r="F3023" s="87">
        <v>5.24</v>
      </c>
      <c r="G3023" s="88">
        <f t="shared" si="1"/>
        <v>1.12</v>
      </c>
      <c r="H3023" s="89">
        <f t="shared" si="10"/>
        <v>0.213740458</v>
      </c>
      <c r="I3023" s="78" t="s">
        <v>3669</v>
      </c>
      <c r="J3023" s="78" t="s">
        <v>69</v>
      </c>
      <c r="K3023" s="58">
        <f t="shared" si="3"/>
        <v>4</v>
      </c>
      <c r="L3023" s="91" t="str">
        <f t="shared" si="8"/>
        <v>Fri</v>
      </c>
      <c r="M3023" s="78" t="str">
        <f>IFERROR(VLOOKUP(A3023, Entries!A:B,2,false),"")</f>
        <v>Daedalic Entertainment</v>
      </c>
      <c r="N3023" s="23" t="str">
        <f>IFERROR(VLOOKUP(A3023, Entries!A:K,11,false),"")</f>
        <v/>
      </c>
    </row>
    <row r="3024">
      <c r="A3024" s="78" t="s">
        <v>3593</v>
      </c>
      <c r="B3024" s="78" t="s">
        <v>27</v>
      </c>
      <c r="C3024" s="85">
        <v>44998.0</v>
      </c>
      <c r="D3024" s="85">
        <v>45797.0</v>
      </c>
      <c r="E3024" s="86">
        <v>10.22</v>
      </c>
      <c r="F3024" s="87">
        <v>13.09</v>
      </c>
      <c r="G3024" s="88">
        <f t="shared" si="1"/>
        <v>2.87</v>
      </c>
      <c r="H3024" s="89">
        <f t="shared" si="10"/>
        <v>0.2192513369</v>
      </c>
      <c r="I3024" s="103" t="s">
        <v>3670</v>
      </c>
      <c r="J3024" s="78" t="s">
        <v>69</v>
      </c>
      <c r="K3024" s="58">
        <f t="shared" si="3"/>
        <v>799</v>
      </c>
      <c r="L3024" s="91" t="str">
        <f t="shared" si="8"/>
        <v>Tue</v>
      </c>
      <c r="M3024" s="78" t="str">
        <f>IFERROR(VLOOKUP(A3024, Entries!A:B,2,false),"")</f>
        <v>Bethesda Softworks</v>
      </c>
      <c r="N3024" s="23" t="str">
        <f>IFERROR(VLOOKUP(A3024, Entries!A:K,11,false),"")</f>
        <v/>
      </c>
      <c r="O3024" s="23" t="b">
        <f>IFERROR(VLOOKUP(A3024, Entries!A:I,8,false),"")</f>
        <v>0</v>
      </c>
    </row>
    <row r="3025">
      <c r="A3025" s="78" t="s">
        <v>1148</v>
      </c>
      <c r="B3025" s="78" t="s">
        <v>22</v>
      </c>
      <c r="C3025" s="85">
        <v>44998.0</v>
      </c>
      <c r="D3025" s="85">
        <v>45013.0</v>
      </c>
      <c r="E3025" s="86">
        <v>4.7</v>
      </c>
      <c r="F3025" s="87">
        <v>5.74</v>
      </c>
      <c r="G3025" s="88">
        <f t="shared" si="1"/>
        <v>1.04</v>
      </c>
      <c r="H3025" s="89">
        <f t="shared" si="10"/>
        <v>0.181184669</v>
      </c>
      <c r="I3025" s="78" t="s">
        <v>3671</v>
      </c>
      <c r="J3025" s="78" t="s">
        <v>69</v>
      </c>
      <c r="K3025" s="58">
        <f t="shared" si="3"/>
        <v>15</v>
      </c>
      <c r="L3025" s="91" t="str">
        <f t="shared" si="8"/>
        <v>Tue</v>
      </c>
      <c r="M3025" s="78" t="str">
        <f>IFERROR(VLOOKUP(A3025, Entries!A:B,2,false),"")</f>
        <v>Square Enix</v>
      </c>
      <c r="N3025" s="23" t="str">
        <f>IFERROR(VLOOKUP(A3025, Entries!A:K,11,false),"")</f>
        <v/>
      </c>
    </row>
    <row r="3026">
      <c r="A3026" s="78" t="s">
        <v>3672</v>
      </c>
      <c r="B3026" s="78" t="s">
        <v>19</v>
      </c>
      <c r="C3026" s="85">
        <v>44999.0</v>
      </c>
      <c r="D3026" s="85">
        <v>45030.0</v>
      </c>
      <c r="E3026" s="86">
        <v>0.0</v>
      </c>
      <c r="F3026" s="87">
        <v>0.21</v>
      </c>
      <c r="G3026" s="88">
        <f t="shared" si="1"/>
        <v>0.21</v>
      </c>
      <c r="H3026" s="89">
        <f t="shared" si="10"/>
        <v>1</v>
      </c>
      <c r="I3026" s="78" t="s">
        <v>3673</v>
      </c>
      <c r="J3026" s="78" t="s">
        <v>69</v>
      </c>
      <c r="K3026" s="58">
        <f t="shared" si="3"/>
        <v>31</v>
      </c>
      <c r="L3026" s="91" t="str">
        <f t="shared" si="8"/>
        <v>Fri</v>
      </c>
      <c r="M3026" s="78" t="str">
        <f>IFERROR(VLOOKUP(A3026, Entries!A:B,2,false),"")</f>
        <v>HypeTrain Digital</v>
      </c>
      <c r="N3026" s="23" t="str">
        <f>IFERROR(VLOOKUP(A3026, Entries!A:K,11,false),"")</f>
        <v/>
      </c>
    </row>
    <row r="3027">
      <c r="A3027" s="78" t="s">
        <v>3619</v>
      </c>
      <c r="B3027" s="78" t="s">
        <v>19</v>
      </c>
      <c r="C3027" s="85">
        <v>45000.0</v>
      </c>
      <c r="D3027" s="85"/>
      <c r="E3027" s="86">
        <v>24.31</v>
      </c>
      <c r="F3027" s="88"/>
      <c r="G3027" s="88">
        <f t="shared" si="1"/>
        <v>-24.31</v>
      </c>
      <c r="H3027" s="89" t="str">
        <f t="shared" si="10"/>
        <v/>
      </c>
      <c r="I3027" s="103" t="s">
        <v>3674</v>
      </c>
      <c r="J3027" s="78" t="s">
        <v>1129</v>
      </c>
      <c r="K3027" s="58" t="str">
        <f t="shared" si="3"/>
        <v/>
      </c>
      <c r="L3027" s="91" t="str">
        <f t="shared" si="8"/>
        <v/>
      </c>
      <c r="M3027" s="78" t="str">
        <f>IFERROR(VLOOKUP(A3027, Entries!A:B,2,false),"")</f>
        <v>SEGA</v>
      </c>
      <c r="N3027" s="23" t="str">
        <f>IFERROR(VLOOKUP(A3027, Entries!A:K,11,false),"")</f>
        <v/>
      </c>
      <c r="O3027" s="23" t="b">
        <f>IFERROR(VLOOKUP(A3027, Entries!A:I,8,false),"")</f>
        <v>0</v>
      </c>
    </row>
    <row r="3028">
      <c r="A3028" s="78" t="s">
        <v>3675</v>
      </c>
      <c r="B3028" s="78" t="s">
        <v>27</v>
      </c>
      <c r="C3028" s="85">
        <v>45000.0</v>
      </c>
      <c r="D3028" s="85">
        <v>45009.0</v>
      </c>
      <c r="E3028" s="86">
        <v>14.79</v>
      </c>
      <c r="F3028" s="87">
        <v>20.03</v>
      </c>
      <c r="G3028" s="88">
        <f t="shared" si="1"/>
        <v>5.24</v>
      </c>
      <c r="H3028" s="89">
        <f t="shared" si="10"/>
        <v>0.2616075886</v>
      </c>
      <c r="I3028" s="78" t="s">
        <v>3676</v>
      </c>
      <c r="J3028" s="78" t="s">
        <v>69</v>
      </c>
      <c r="K3028" s="58">
        <f t="shared" si="3"/>
        <v>9</v>
      </c>
      <c r="L3028" s="91" t="str">
        <f t="shared" si="8"/>
        <v>Fri</v>
      </c>
      <c r="M3028" s="78" t="str">
        <f>IFERROR(VLOOKUP(A3028, Entries!A:B,2,false),"")</f>
        <v>Warner Bros</v>
      </c>
      <c r="N3028" s="23" t="str">
        <f>IFERROR(VLOOKUP(A3028, Entries!A:K,11,false),"")</f>
        <v/>
      </c>
    </row>
    <row r="3029">
      <c r="A3029" s="78" t="s">
        <v>3366</v>
      </c>
      <c r="B3029" s="78" t="s">
        <v>25</v>
      </c>
      <c r="C3029" s="85">
        <v>45000.0</v>
      </c>
      <c r="D3029" s="85">
        <v>45003.0</v>
      </c>
      <c r="E3029" s="86">
        <v>4.63</v>
      </c>
      <c r="F3029" s="87">
        <v>5.6</v>
      </c>
      <c r="G3029" s="88">
        <f t="shared" si="1"/>
        <v>0.97</v>
      </c>
      <c r="H3029" s="89">
        <f t="shared" si="10"/>
        <v>0.1732142857</v>
      </c>
      <c r="I3029" s="78" t="s">
        <v>3677</v>
      </c>
      <c r="J3029" s="78" t="s">
        <v>69</v>
      </c>
      <c r="K3029" s="58">
        <f t="shared" si="3"/>
        <v>3</v>
      </c>
      <c r="L3029" s="91" t="str">
        <f t="shared" si="8"/>
        <v>Sat</v>
      </c>
      <c r="M3029" s="78" t="str">
        <f>IFERROR(VLOOKUP(A3029, Entries!A:B,2,false),"")</f>
        <v>Sector D2</v>
      </c>
      <c r="N3029" s="23" t="str">
        <f>IFERROR(VLOOKUP(A3029, Entries!A:K,11,false),"")</f>
        <v/>
      </c>
    </row>
    <row r="3030">
      <c r="A3030" s="78" t="s">
        <v>3366</v>
      </c>
      <c r="B3030" s="78" t="s">
        <v>25</v>
      </c>
      <c r="C3030" s="85">
        <v>45000.0</v>
      </c>
      <c r="D3030" s="85">
        <v>45003.0</v>
      </c>
      <c r="E3030" s="86">
        <v>4.63</v>
      </c>
      <c r="F3030" s="87">
        <v>5.6</v>
      </c>
      <c r="G3030" s="88">
        <f t="shared" si="1"/>
        <v>0.97</v>
      </c>
      <c r="H3030" s="89">
        <f t="shared" si="10"/>
        <v>0.1732142857</v>
      </c>
      <c r="I3030" s="78" t="s">
        <v>3678</v>
      </c>
      <c r="J3030" s="78" t="s">
        <v>69</v>
      </c>
      <c r="K3030" s="58">
        <f t="shared" si="3"/>
        <v>3</v>
      </c>
      <c r="L3030" s="91" t="str">
        <f t="shared" si="8"/>
        <v>Sat</v>
      </c>
      <c r="M3030" s="78" t="str">
        <f>IFERROR(VLOOKUP(A3030, Entries!A:B,2,false),"")</f>
        <v>Sector D2</v>
      </c>
      <c r="N3030" s="23" t="str">
        <f>IFERROR(VLOOKUP(A3030, Entries!A:K,11,false),"")</f>
        <v/>
      </c>
    </row>
    <row r="3031">
      <c r="A3031" s="78" t="s">
        <v>3366</v>
      </c>
      <c r="B3031" s="78" t="s">
        <v>25</v>
      </c>
      <c r="C3031" s="85">
        <v>45000.0</v>
      </c>
      <c r="D3031" s="85">
        <v>45004.0</v>
      </c>
      <c r="E3031" s="86">
        <v>4.63</v>
      </c>
      <c r="F3031" s="87">
        <v>5.56</v>
      </c>
      <c r="G3031" s="88">
        <f t="shared" si="1"/>
        <v>0.93</v>
      </c>
      <c r="H3031" s="89">
        <f t="shared" si="10"/>
        <v>0.1672661871</v>
      </c>
      <c r="I3031" s="78" t="s">
        <v>3679</v>
      </c>
      <c r="J3031" s="78" t="s">
        <v>69</v>
      </c>
      <c r="K3031" s="58">
        <f t="shared" si="3"/>
        <v>4</v>
      </c>
      <c r="L3031" s="91" t="str">
        <f t="shared" si="8"/>
        <v>Sun</v>
      </c>
      <c r="M3031" s="78" t="str">
        <f>IFERROR(VLOOKUP(A3031, Entries!A:B,2,false),"")</f>
        <v>Sector D2</v>
      </c>
      <c r="N3031" s="23" t="str">
        <f>IFERROR(VLOOKUP(A3031, Entries!A:K,11,false),"")</f>
        <v/>
      </c>
    </row>
    <row r="3032">
      <c r="A3032" s="78" t="s">
        <v>3430</v>
      </c>
      <c r="B3032" s="78" t="s">
        <v>25</v>
      </c>
      <c r="C3032" s="85">
        <v>45001.0</v>
      </c>
      <c r="D3032" s="85">
        <v>45006.0</v>
      </c>
      <c r="E3032" s="86">
        <v>5.63</v>
      </c>
      <c r="F3032" s="87">
        <v>7.31</v>
      </c>
      <c r="G3032" s="88">
        <f t="shared" si="1"/>
        <v>1.68</v>
      </c>
      <c r="H3032" s="89">
        <f t="shared" si="10"/>
        <v>0.2298221614</v>
      </c>
      <c r="I3032" s="78" t="s">
        <v>3680</v>
      </c>
      <c r="J3032" s="78" t="s">
        <v>69</v>
      </c>
      <c r="K3032" s="58">
        <f t="shared" si="3"/>
        <v>5</v>
      </c>
      <c r="L3032" s="91" t="str">
        <f t="shared" si="8"/>
        <v>Tue</v>
      </c>
      <c r="M3032" s="78" t="str">
        <f>IFERROR(VLOOKUP(A3032, Entries!A:B,2,false),"")</f>
        <v>HandyGames</v>
      </c>
      <c r="N3032" s="23" t="str">
        <f>IFERROR(VLOOKUP(A3032, Entries!A:K,11,false),"")</f>
        <v/>
      </c>
    </row>
    <row r="3033">
      <c r="A3033" s="78" t="s">
        <v>3242</v>
      </c>
      <c r="B3033" s="78" t="s">
        <v>19</v>
      </c>
      <c r="C3033" s="85">
        <v>45001.0</v>
      </c>
      <c r="D3033" s="85">
        <v>45002.0</v>
      </c>
      <c r="E3033" s="86">
        <v>17.56</v>
      </c>
      <c r="F3033" s="87">
        <v>21.08</v>
      </c>
      <c r="G3033" s="88">
        <f t="shared" si="1"/>
        <v>3.52</v>
      </c>
      <c r="H3033" s="89">
        <f t="shared" si="10"/>
        <v>0.1669829222</v>
      </c>
      <c r="I3033" s="78" t="s">
        <v>3681</v>
      </c>
      <c r="J3033" s="78" t="s">
        <v>69</v>
      </c>
      <c r="K3033" s="58">
        <f t="shared" si="3"/>
        <v>1</v>
      </c>
      <c r="L3033" s="91" t="str">
        <f t="shared" si="8"/>
        <v>Fri</v>
      </c>
      <c r="M3033" s="78" t="str">
        <f>IFERROR(VLOOKUP(A3033, Entries!A:B,2,false),"")</f>
        <v>Devolver Digital</v>
      </c>
      <c r="N3033" s="23" t="str">
        <f>IFERROR(VLOOKUP(A3033, Entries!A:K,11,false),"")</f>
        <v/>
      </c>
    </row>
    <row r="3034">
      <c r="A3034" s="78" t="s">
        <v>3682</v>
      </c>
      <c r="B3034" s="78" t="s">
        <v>19</v>
      </c>
      <c r="C3034" s="85">
        <v>45001.0</v>
      </c>
      <c r="D3034" s="85">
        <v>45003.0</v>
      </c>
      <c r="E3034" s="86">
        <v>0.0</v>
      </c>
      <c r="F3034" s="87">
        <v>0.38</v>
      </c>
      <c r="G3034" s="88">
        <f t="shared" si="1"/>
        <v>0.38</v>
      </c>
      <c r="H3034" s="89">
        <f t="shared" si="10"/>
        <v>1</v>
      </c>
      <c r="I3034" s="78" t="s">
        <v>3683</v>
      </c>
      <c r="J3034" s="78" t="s">
        <v>69</v>
      </c>
      <c r="K3034" s="58">
        <f t="shared" si="3"/>
        <v>2</v>
      </c>
      <c r="L3034" s="91" t="str">
        <f t="shared" si="8"/>
        <v>Sat</v>
      </c>
      <c r="M3034" s="78" t="str">
        <f>IFERROR(VLOOKUP(A3034, Entries!A:B,2,false),"")</f>
        <v>Digerati</v>
      </c>
      <c r="N3034" s="23" t="str">
        <f>IFERROR(VLOOKUP(A3034, Entries!A:K,11,false),"")</f>
        <v/>
      </c>
    </row>
    <row r="3035">
      <c r="A3035" s="78" t="s">
        <v>3684</v>
      </c>
      <c r="B3035" s="78" t="s">
        <v>23</v>
      </c>
      <c r="C3035" s="85">
        <v>45001.0</v>
      </c>
      <c r="D3035" s="85">
        <v>45321.0</v>
      </c>
      <c r="E3035" s="86">
        <v>14.84</v>
      </c>
      <c r="F3035" s="87">
        <v>16.17</v>
      </c>
      <c r="G3035" s="88">
        <f t="shared" si="1"/>
        <v>1.33</v>
      </c>
      <c r="H3035" s="89">
        <f t="shared" si="10"/>
        <v>0.08225108225</v>
      </c>
      <c r="I3035" s="78" t="s">
        <v>3685</v>
      </c>
      <c r="J3035" s="78" t="s">
        <v>69</v>
      </c>
      <c r="K3035" s="58">
        <f t="shared" si="3"/>
        <v>320</v>
      </c>
      <c r="L3035" s="91" t="str">
        <f t="shared" si="8"/>
        <v>Tue</v>
      </c>
      <c r="M3035" s="78" t="str">
        <f>IFERROR(VLOOKUP(A3035, Entries!A:B,2,false),"")</f>
        <v>SEGA</v>
      </c>
      <c r="N3035" s="23" t="str">
        <f>IFERROR(VLOOKUP(A3035, Entries!A:K,11,false),"")</f>
        <v/>
      </c>
      <c r="O3035" s="23" t="b">
        <f>IFERROR(VLOOKUP(A3035, Entries!A:I,8,false),"")</f>
        <v>0</v>
      </c>
    </row>
    <row r="3036">
      <c r="A3036" s="78" t="s">
        <v>3242</v>
      </c>
      <c r="B3036" s="78" t="s">
        <v>19</v>
      </c>
      <c r="C3036" s="85">
        <v>45002.0</v>
      </c>
      <c r="D3036" s="85">
        <v>45004.0</v>
      </c>
      <c r="E3036" s="86">
        <v>17.58</v>
      </c>
      <c r="F3036" s="87">
        <v>20.82</v>
      </c>
      <c r="G3036" s="88">
        <f t="shared" si="1"/>
        <v>3.24</v>
      </c>
      <c r="H3036" s="89">
        <f t="shared" si="10"/>
        <v>0.1556195965</v>
      </c>
      <c r="I3036" s="78" t="s">
        <v>3686</v>
      </c>
      <c r="J3036" s="78" t="s">
        <v>69</v>
      </c>
      <c r="K3036" s="58">
        <f t="shared" si="3"/>
        <v>2</v>
      </c>
      <c r="L3036" s="91" t="str">
        <f t="shared" si="8"/>
        <v>Sun</v>
      </c>
      <c r="M3036" s="78" t="str">
        <f>IFERROR(VLOOKUP(A3036, Entries!A:B,2,false),"")</f>
        <v>Devolver Digital</v>
      </c>
      <c r="N3036" s="23" t="str">
        <f>IFERROR(VLOOKUP(A3036, Entries!A:K,11,false),"")</f>
        <v/>
      </c>
    </row>
    <row r="3037">
      <c r="A3037" s="78" t="s">
        <v>3687</v>
      </c>
      <c r="B3037" s="78" t="s">
        <v>32</v>
      </c>
      <c r="C3037" s="85">
        <v>45002.0</v>
      </c>
      <c r="D3037" s="85">
        <v>45171.0</v>
      </c>
      <c r="E3037" s="86">
        <v>26.19</v>
      </c>
      <c r="F3037" s="87">
        <v>28.73</v>
      </c>
      <c r="G3037" s="88">
        <f t="shared" si="1"/>
        <v>2.54</v>
      </c>
      <c r="H3037" s="89">
        <f t="shared" si="10"/>
        <v>0.08840932823</v>
      </c>
      <c r="I3037" s="78" t="s">
        <v>3688</v>
      </c>
      <c r="J3037" s="78" t="s">
        <v>69</v>
      </c>
      <c r="K3037" s="58">
        <f t="shared" si="3"/>
        <v>169</v>
      </c>
      <c r="L3037" s="91" t="str">
        <f t="shared" si="8"/>
        <v>Sat</v>
      </c>
      <c r="M3037" s="78" t="str">
        <f>IFERROR(VLOOKUP(A3037, Entries!A:B,2,false),"")</f>
        <v>KOEI TECMO GAMES</v>
      </c>
      <c r="N3037" s="23" t="str">
        <f>IFERROR(VLOOKUP(A3037, Entries!A:K,11,false),"")</f>
        <v/>
      </c>
      <c r="O3037" s="23" t="b">
        <f>IFERROR(VLOOKUP(A3037, Entries!A:I,8,false),"")</f>
        <v>0</v>
      </c>
    </row>
    <row r="3038">
      <c r="A3038" s="78" t="s">
        <v>2818</v>
      </c>
      <c r="B3038" s="78" t="s">
        <v>30</v>
      </c>
      <c r="C3038" s="85">
        <v>45002.0</v>
      </c>
      <c r="D3038" s="85">
        <v>45004.0</v>
      </c>
      <c r="E3038" s="86">
        <v>0.0</v>
      </c>
      <c r="F3038" s="87">
        <v>4.89</v>
      </c>
      <c r="G3038" s="88">
        <f t="shared" si="1"/>
        <v>4.89</v>
      </c>
      <c r="H3038" s="89">
        <f t="shared" si="10"/>
        <v>1</v>
      </c>
      <c r="I3038" s="78" t="s">
        <v>3689</v>
      </c>
      <c r="J3038" s="78" t="s">
        <v>69</v>
      </c>
      <c r="K3038" s="58">
        <f t="shared" si="3"/>
        <v>2</v>
      </c>
      <c r="L3038" s="91" t="str">
        <f t="shared" si="8"/>
        <v>Sun</v>
      </c>
      <c r="M3038" s="78" t="str">
        <f>IFERROR(VLOOKUP(A3038, Entries!A:B,2,false),"")</f>
        <v>Daedalic Entertainment</v>
      </c>
      <c r="N3038" s="23" t="str">
        <f>IFERROR(VLOOKUP(A3038, Entries!A:K,11,false),"")</f>
        <v/>
      </c>
    </row>
    <row r="3039">
      <c r="A3039" s="78" t="s">
        <v>2818</v>
      </c>
      <c r="B3039" s="78" t="s">
        <v>30</v>
      </c>
      <c r="C3039" s="85">
        <v>45002.0</v>
      </c>
      <c r="D3039" s="85">
        <v>45004.0</v>
      </c>
      <c r="E3039" s="86">
        <v>4.13</v>
      </c>
      <c r="F3039" s="87">
        <v>4.89</v>
      </c>
      <c r="G3039" s="88">
        <f t="shared" si="1"/>
        <v>0.76</v>
      </c>
      <c r="H3039" s="89">
        <f t="shared" si="10"/>
        <v>0.1554192229</v>
      </c>
      <c r="I3039" s="78" t="s">
        <v>3690</v>
      </c>
      <c r="J3039" s="78" t="s">
        <v>69</v>
      </c>
      <c r="K3039" s="58">
        <f t="shared" si="3"/>
        <v>2</v>
      </c>
      <c r="L3039" s="91" t="str">
        <f t="shared" si="8"/>
        <v>Sun</v>
      </c>
      <c r="M3039" s="78" t="str">
        <f>IFERROR(VLOOKUP(A3039, Entries!A:B,2,false),"")</f>
        <v>Daedalic Entertainment</v>
      </c>
      <c r="N3039" s="23" t="str">
        <f>IFERROR(VLOOKUP(A3039, Entries!A:K,11,false),"")</f>
        <v/>
      </c>
    </row>
    <row r="3040">
      <c r="A3040" s="78" t="s">
        <v>3691</v>
      </c>
      <c r="B3040" s="78" t="s">
        <v>30</v>
      </c>
      <c r="C3040" s="85">
        <v>45002.0</v>
      </c>
      <c r="D3040" s="85">
        <v>45002.0</v>
      </c>
      <c r="E3040" s="86">
        <v>4.43</v>
      </c>
      <c r="F3040" s="87">
        <v>6.58</v>
      </c>
      <c r="G3040" s="88">
        <f t="shared" si="1"/>
        <v>2.15</v>
      </c>
      <c r="H3040" s="89">
        <f t="shared" si="10"/>
        <v>0.3267477204</v>
      </c>
      <c r="I3040" s="78" t="s">
        <v>3692</v>
      </c>
      <c r="J3040" s="78" t="s">
        <v>69</v>
      </c>
      <c r="K3040" s="58">
        <f t="shared" si="3"/>
        <v>0</v>
      </c>
      <c r="L3040" s="91" t="str">
        <f t="shared" si="8"/>
        <v>Fri</v>
      </c>
      <c r="M3040" s="78" t="str">
        <f>IFERROR(VLOOKUP(A3040, Entries!A:B,2,false),"")</f>
        <v>Klei Entertainment</v>
      </c>
      <c r="N3040" s="23" t="str">
        <f>IFERROR(VLOOKUP(A3040, Entries!A:K,11,false),"")</f>
        <v/>
      </c>
    </row>
    <row r="3041">
      <c r="A3041" s="78" t="s">
        <v>3366</v>
      </c>
      <c r="B3041" s="78" t="s">
        <v>25</v>
      </c>
      <c r="C3041" s="85">
        <v>45003.0</v>
      </c>
      <c r="D3041" s="85">
        <v>45004.0</v>
      </c>
      <c r="E3041" s="86">
        <v>4.57</v>
      </c>
      <c r="F3041" s="87">
        <v>5.56</v>
      </c>
      <c r="G3041" s="88">
        <f t="shared" si="1"/>
        <v>0.99</v>
      </c>
      <c r="H3041" s="89">
        <f t="shared" si="10"/>
        <v>0.178057554</v>
      </c>
      <c r="I3041" s="78" t="s">
        <v>3693</v>
      </c>
      <c r="J3041" s="78" t="s">
        <v>69</v>
      </c>
      <c r="K3041" s="58">
        <f t="shared" si="3"/>
        <v>1</v>
      </c>
      <c r="L3041" s="91" t="str">
        <f t="shared" si="8"/>
        <v>Sun</v>
      </c>
      <c r="M3041" s="78" t="str">
        <f>IFERROR(VLOOKUP(A3041, Entries!A:B,2,false),"")</f>
        <v>Sector D2</v>
      </c>
      <c r="N3041" s="23" t="str">
        <f>IFERROR(VLOOKUP(A3041, Entries!A:K,11,false),"")</f>
        <v/>
      </c>
    </row>
    <row r="3042">
      <c r="A3042" s="78" t="s">
        <v>2238</v>
      </c>
      <c r="B3042" s="78" t="s">
        <v>23</v>
      </c>
      <c r="C3042" s="85">
        <v>45002.0</v>
      </c>
      <c r="D3042" s="85">
        <v>45003.0</v>
      </c>
      <c r="E3042" s="86">
        <v>31.1</v>
      </c>
      <c r="F3042" s="87">
        <v>44.9</v>
      </c>
      <c r="G3042" s="88">
        <f t="shared" si="1"/>
        <v>13.8</v>
      </c>
      <c r="H3042" s="89">
        <f t="shared" si="10"/>
        <v>0.3073496659</v>
      </c>
      <c r="I3042" s="78" t="s">
        <v>3694</v>
      </c>
      <c r="J3042" s="78" t="s">
        <v>69</v>
      </c>
      <c r="K3042" s="58">
        <f t="shared" si="3"/>
        <v>1</v>
      </c>
      <c r="L3042" s="91" t="str">
        <f t="shared" si="8"/>
        <v>Sat</v>
      </c>
      <c r="M3042" s="78" t="str">
        <f>IFERROR(VLOOKUP(A3042, Entries!A:B,2,false),"")</f>
        <v>Shiro Games</v>
      </c>
      <c r="N3042" s="23" t="str">
        <f>IFERROR(VLOOKUP(A3042, Entries!A:K,11,false),"")</f>
        <v/>
      </c>
    </row>
    <row r="3043">
      <c r="A3043" s="78" t="s">
        <v>3691</v>
      </c>
      <c r="B3043" s="78" t="s">
        <v>30</v>
      </c>
      <c r="C3043" s="85">
        <v>45002.0</v>
      </c>
      <c r="D3043" s="85">
        <v>45003.0</v>
      </c>
      <c r="E3043" s="86">
        <v>4.43</v>
      </c>
      <c r="F3043" s="87">
        <v>6.58</v>
      </c>
      <c r="G3043" s="88">
        <f t="shared" si="1"/>
        <v>2.15</v>
      </c>
      <c r="H3043" s="89">
        <f t="shared" si="10"/>
        <v>0.3267477204</v>
      </c>
      <c r="I3043" s="78" t="s">
        <v>3695</v>
      </c>
      <c r="J3043" s="78" t="s">
        <v>69</v>
      </c>
      <c r="K3043" s="58">
        <f t="shared" si="3"/>
        <v>1</v>
      </c>
      <c r="L3043" s="91" t="str">
        <f t="shared" si="8"/>
        <v>Sat</v>
      </c>
      <c r="M3043" s="78" t="str">
        <f>IFERROR(VLOOKUP(A3043, Entries!A:B,2,false),"")</f>
        <v>Klei Entertainment</v>
      </c>
      <c r="N3043" s="23" t="str">
        <f>IFERROR(VLOOKUP(A3043, Entries!A:K,11,false),"")</f>
        <v/>
      </c>
    </row>
    <row r="3044">
      <c r="A3044" s="78" t="s">
        <v>3691</v>
      </c>
      <c r="B3044" s="78" t="s">
        <v>30</v>
      </c>
      <c r="C3044" s="85">
        <v>45002.0</v>
      </c>
      <c r="D3044" s="85">
        <v>45012.0</v>
      </c>
      <c r="E3044" s="86">
        <v>4.43</v>
      </c>
      <c r="F3044" s="87">
        <v>6.39</v>
      </c>
      <c r="G3044" s="88">
        <f t="shared" si="1"/>
        <v>1.96</v>
      </c>
      <c r="H3044" s="89">
        <f t="shared" si="10"/>
        <v>0.3067292645</v>
      </c>
      <c r="I3044" s="78" t="s">
        <v>3696</v>
      </c>
      <c r="J3044" s="78" t="s">
        <v>69</v>
      </c>
      <c r="K3044" s="58">
        <f t="shared" si="3"/>
        <v>10</v>
      </c>
      <c r="L3044" s="91" t="str">
        <f t="shared" si="8"/>
        <v>Mon</v>
      </c>
      <c r="M3044" s="78" t="str">
        <f>IFERROR(VLOOKUP(A3044, Entries!A:B,2,false),"")</f>
        <v>Klei Entertainment</v>
      </c>
      <c r="N3044" s="23" t="str">
        <f>IFERROR(VLOOKUP(A3044, Entries!A:K,11,false),"")</f>
        <v/>
      </c>
    </row>
    <row r="3045">
      <c r="A3045" s="78" t="s">
        <v>2096</v>
      </c>
      <c r="B3045" s="78" t="s">
        <v>25</v>
      </c>
      <c r="C3045" s="85">
        <v>45002.0</v>
      </c>
      <c r="D3045" s="85">
        <v>45979.0</v>
      </c>
      <c r="E3045" s="86">
        <v>7.83</v>
      </c>
      <c r="F3045" s="87">
        <v>2.25</v>
      </c>
      <c r="G3045" s="88">
        <f t="shared" si="1"/>
        <v>-5.58</v>
      </c>
      <c r="H3045" s="89">
        <f t="shared" si="10"/>
        <v>-2.48</v>
      </c>
      <c r="I3045" s="103" t="s">
        <v>3697</v>
      </c>
      <c r="J3045" s="78" t="s">
        <v>69</v>
      </c>
      <c r="K3045" s="58">
        <f t="shared" si="3"/>
        <v>977</v>
      </c>
      <c r="L3045" s="91" t="str">
        <f t="shared" si="8"/>
        <v>Tue</v>
      </c>
      <c r="M3045" s="78" t="str">
        <f>IFERROR(VLOOKUP(A3045, Entries!A:B,2,false),"")</f>
        <v>Subset Games</v>
      </c>
      <c r="N3045" s="23" t="str">
        <f>IFERROR(VLOOKUP(A3045, Entries!A:K,11,false),"")</f>
        <v/>
      </c>
      <c r="O3045" s="23" t="b">
        <f>IFERROR(VLOOKUP(A3045, Entries!A:I,8,false),"")</f>
        <v>0</v>
      </c>
    </row>
    <row r="3046">
      <c r="A3046" s="78" t="s">
        <v>2238</v>
      </c>
      <c r="B3046" s="78" t="s">
        <v>23</v>
      </c>
      <c r="C3046" s="85">
        <v>45003.0</v>
      </c>
      <c r="D3046" s="85">
        <v>45005.0</v>
      </c>
      <c r="E3046" s="86">
        <v>30.94</v>
      </c>
      <c r="F3046" s="87">
        <v>37.96</v>
      </c>
      <c r="G3046" s="88">
        <f t="shared" si="1"/>
        <v>7.02</v>
      </c>
      <c r="H3046" s="89">
        <f t="shared" si="10"/>
        <v>0.1849315068</v>
      </c>
      <c r="I3046" s="78" t="s">
        <v>3698</v>
      </c>
      <c r="J3046" s="78" t="s">
        <v>69</v>
      </c>
      <c r="K3046" s="58">
        <f t="shared" si="3"/>
        <v>2</v>
      </c>
      <c r="L3046" s="91" t="str">
        <f t="shared" si="8"/>
        <v>Mon</v>
      </c>
      <c r="M3046" s="78" t="str">
        <f>IFERROR(VLOOKUP(A3046, Entries!A:B,2,false),"")</f>
        <v>Shiro Games</v>
      </c>
      <c r="N3046" s="23" t="str">
        <f>IFERROR(VLOOKUP(A3046, Entries!A:K,11,false),"")</f>
        <v/>
      </c>
    </row>
    <row r="3047">
      <c r="A3047" s="78" t="s">
        <v>3366</v>
      </c>
      <c r="B3047" s="78" t="s">
        <v>25</v>
      </c>
      <c r="C3047" s="85">
        <v>45003.0</v>
      </c>
      <c r="D3047" s="85">
        <v>45004.0</v>
      </c>
      <c r="E3047" s="86">
        <v>4.57</v>
      </c>
      <c r="F3047" s="87">
        <v>5.56</v>
      </c>
      <c r="G3047" s="88">
        <f t="shared" si="1"/>
        <v>0.99</v>
      </c>
      <c r="H3047" s="89">
        <f t="shared" si="10"/>
        <v>0.178057554</v>
      </c>
      <c r="I3047" s="78" t="s">
        <v>3699</v>
      </c>
      <c r="J3047" s="78" t="s">
        <v>69</v>
      </c>
      <c r="K3047" s="58">
        <f t="shared" si="3"/>
        <v>1</v>
      </c>
      <c r="L3047" s="91" t="str">
        <f t="shared" si="8"/>
        <v>Sun</v>
      </c>
      <c r="M3047" s="78" t="str">
        <f>IFERROR(VLOOKUP(A3047, Entries!A:B,2,false),"")</f>
        <v>Sector D2</v>
      </c>
      <c r="N3047" s="23" t="str">
        <f>IFERROR(VLOOKUP(A3047, Entries!A:K,11,false),"")</f>
        <v/>
      </c>
    </row>
    <row r="3048">
      <c r="A3048" s="78" t="s">
        <v>2238</v>
      </c>
      <c r="B3048" s="78" t="s">
        <v>23</v>
      </c>
      <c r="C3048" s="85">
        <v>45003.0</v>
      </c>
      <c r="D3048" s="85">
        <v>45006.0</v>
      </c>
      <c r="E3048" s="86">
        <v>30.94</v>
      </c>
      <c r="F3048" s="87">
        <v>44.35</v>
      </c>
      <c r="G3048" s="88">
        <f t="shared" si="1"/>
        <v>13.41</v>
      </c>
      <c r="H3048" s="89">
        <f t="shared" si="10"/>
        <v>0.302367531</v>
      </c>
      <c r="I3048" s="78" t="s">
        <v>3700</v>
      </c>
      <c r="J3048" s="78" t="s">
        <v>69</v>
      </c>
      <c r="K3048" s="58">
        <f t="shared" si="3"/>
        <v>3</v>
      </c>
      <c r="L3048" s="91" t="str">
        <f t="shared" si="8"/>
        <v>Tue</v>
      </c>
      <c r="M3048" s="78" t="str">
        <f>IFERROR(VLOOKUP(A3048, Entries!A:B,2,false),"")</f>
        <v>Shiro Games</v>
      </c>
      <c r="N3048" s="23" t="str">
        <f>IFERROR(VLOOKUP(A3048, Entries!A:K,11,false),"")</f>
        <v/>
      </c>
    </row>
    <row r="3049">
      <c r="A3049" s="78" t="s">
        <v>3366</v>
      </c>
      <c r="B3049" s="78" t="s">
        <v>25</v>
      </c>
      <c r="C3049" s="85">
        <v>45003.0</v>
      </c>
      <c r="D3049" s="85">
        <v>45004.0</v>
      </c>
      <c r="E3049" s="86">
        <v>4.55</v>
      </c>
      <c r="F3049" s="87">
        <v>5.56</v>
      </c>
      <c r="G3049" s="88">
        <f t="shared" si="1"/>
        <v>1.01</v>
      </c>
      <c r="H3049" s="89">
        <f t="shared" si="10"/>
        <v>0.1816546763</v>
      </c>
      <c r="I3049" s="78" t="s">
        <v>3701</v>
      </c>
      <c r="J3049" s="78" t="s">
        <v>69</v>
      </c>
      <c r="K3049" s="58">
        <f t="shared" si="3"/>
        <v>1</v>
      </c>
      <c r="L3049" s="91" t="str">
        <f t="shared" si="8"/>
        <v>Sun</v>
      </c>
      <c r="M3049" s="78" t="str">
        <f>IFERROR(VLOOKUP(A3049, Entries!A:B,2,false),"")</f>
        <v>Sector D2</v>
      </c>
      <c r="N3049" s="23" t="str">
        <f>IFERROR(VLOOKUP(A3049, Entries!A:K,11,false),"")</f>
        <v/>
      </c>
    </row>
    <row r="3050">
      <c r="A3050" s="78" t="s">
        <v>3366</v>
      </c>
      <c r="B3050" s="78" t="s">
        <v>25</v>
      </c>
      <c r="C3050" s="85">
        <v>45003.0</v>
      </c>
      <c r="D3050" s="85">
        <v>45004.0</v>
      </c>
      <c r="E3050" s="86">
        <v>4.55</v>
      </c>
      <c r="F3050" s="87">
        <v>5.56</v>
      </c>
      <c r="G3050" s="88">
        <f t="shared" si="1"/>
        <v>1.01</v>
      </c>
      <c r="H3050" s="89">
        <f t="shared" si="10"/>
        <v>0.1816546763</v>
      </c>
      <c r="I3050" s="78" t="s">
        <v>3702</v>
      </c>
      <c r="J3050" s="78" t="s">
        <v>69</v>
      </c>
      <c r="K3050" s="58">
        <f t="shared" si="3"/>
        <v>1</v>
      </c>
      <c r="L3050" s="91" t="str">
        <f t="shared" si="8"/>
        <v>Sun</v>
      </c>
      <c r="M3050" s="78" t="str">
        <f>IFERROR(VLOOKUP(A3050, Entries!A:B,2,false),"")</f>
        <v>Sector D2</v>
      </c>
      <c r="N3050" s="23" t="str">
        <f>IFERROR(VLOOKUP(A3050, Entries!A:K,11,false),"")</f>
        <v/>
      </c>
    </row>
    <row r="3051">
      <c r="A3051" s="78" t="s">
        <v>3366</v>
      </c>
      <c r="B3051" s="78" t="s">
        <v>25</v>
      </c>
      <c r="C3051" s="85">
        <v>45004.0</v>
      </c>
      <c r="D3051" s="85">
        <v>45005.0</v>
      </c>
      <c r="E3051" s="86">
        <v>4.52</v>
      </c>
      <c r="F3051" s="87">
        <v>5.59</v>
      </c>
      <c r="G3051" s="88">
        <f t="shared" si="1"/>
        <v>1.07</v>
      </c>
      <c r="H3051" s="89">
        <f t="shared" si="10"/>
        <v>0.1914132379</v>
      </c>
      <c r="I3051" s="78" t="s">
        <v>3703</v>
      </c>
      <c r="J3051" s="78" t="s">
        <v>69</v>
      </c>
      <c r="K3051" s="58">
        <f t="shared" si="3"/>
        <v>1</v>
      </c>
      <c r="L3051" s="91" t="str">
        <f t="shared" si="8"/>
        <v>Mon</v>
      </c>
      <c r="M3051" s="78" t="str">
        <f>IFERROR(VLOOKUP(A3051, Entries!A:B,2,false),"")</f>
        <v>Sector D2</v>
      </c>
      <c r="N3051" s="23" t="str">
        <f>IFERROR(VLOOKUP(A3051, Entries!A:K,11,false),"")</f>
        <v/>
      </c>
    </row>
    <row r="3052">
      <c r="A3052" s="78" t="s">
        <v>3366</v>
      </c>
      <c r="B3052" s="78" t="s">
        <v>25</v>
      </c>
      <c r="C3052" s="85">
        <v>45004.0</v>
      </c>
      <c r="D3052" s="85">
        <v>45006.0</v>
      </c>
      <c r="E3052" s="86">
        <v>4.52</v>
      </c>
      <c r="F3052" s="87">
        <v>5.59</v>
      </c>
      <c r="G3052" s="88">
        <f t="shared" si="1"/>
        <v>1.07</v>
      </c>
      <c r="H3052" s="89">
        <f t="shared" si="10"/>
        <v>0.1914132379</v>
      </c>
      <c r="I3052" s="78" t="s">
        <v>3704</v>
      </c>
      <c r="J3052" s="78" t="s">
        <v>69</v>
      </c>
      <c r="K3052" s="58">
        <f t="shared" si="3"/>
        <v>2</v>
      </c>
      <c r="L3052" s="91" t="str">
        <f t="shared" si="8"/>
        <v>Tue</v>
      </c>
      <c r="M3052" s="78" t="str">
        <f>IFERROR(VLOOKUP(A3052, Entries!A:B,2,false),"")</f>
        <v>Sector D2</v>
      </c>
      <c r="N3052" s="23" t="str">
        <f>IFERROR(VLOOKUP(A3052, Entries!A:K,11,false),"")</f>
        <v/>
      </c>
    </row>
    <row r="3053">
      <c r="A3053" s="78" t="s">
        <v>75</v>
      </c>
      <c r="B3053" s="78" t="s">
        <v>32</v>
      </c>
      <c r="C3053" s="85">
        <v>45004.0</v>
      </c>
      <c r="D3053" s="25"/>
      <c r="E3053" s="86">
        <v>9.88</v>
      </c>
      <c r="F3053" s="88"/>
      <c r="G3053" s="88">
        <f t="shared" si="1"/>
        <v>-9.88</v>
      </c>
      <c r="H3053" s="89" t="str">
        <f t="shared" si="10"/>
        <v/>
      </c>
      <c r="I3053" s="103" t="s">
        <v>3705</v>
      </c>
      <c r="J3053" s="78" t="s">
        <v>1129</v>
      </c>
      <c r="K3053" s="58" t="str">
        <f t="shared" si="3"/>
        <v/>
      </c>
      <c r="L3053" s="91" t="str">
        <f t="shared" si="8"/>
        <v/>
      </c>
      <c r="M3053" s="78" t="str">
        <f>IFERROR(VLOOKUP(A3053, Entries!A:B,2,false),"")</f>
        <v>Square Enix</v>
      </c>
      <c r="N3053" s="23" t="str">
        <f>IFERROR(VLOOKUP(A3053, Entries!A:K,11,false),"")</f>
        <v/>
      </c>
      <c r="O3053" s="23" t="b">
        <f>IFERROR(VLOOKUP(A3053, Entries!A:I,8,false),"")</f>
        <v>1</v>
      </c>
    </row>
    <row r="3054">
      <c r="A3054" s="78" t="s">
        <v>75</v>
      </c>
      <c r="B3054" s="78" t="s">
        <v>32</v>
      </c>
      <c r="C3054" s="85">
        <v>45004.0</v>
      </c>
      <c r="D3054" s="25"/>
      <c r="E3054" s="86">
        <v>9.87</v>
      </c>
      <c r="F3054" s="88"/>
      <c r="G3054" s="88">
        <f t="shared" si="1"/>
        <v>-9.87</v>
      </c>
      <c r="H3054" s="89" t="str">
        <f t="shared" si="10"/>
        <v/>
      </c>
      <c r="I3054" s="103" t="s">
        <v>3706</v>
      </c>
      <c r="J3054" s="78" t="s">
        <v>1129</v>
      </c>
      <c r="K3054" s="58" t="str">
        <f t="shared" si="3"/>
        <v/>
      </c>
      <c r="L3054" s="91" t="str">
        <f t="shared" si="8"/>
        <v/>
      </c>
      <c r="M3054" s="78" t="str">
        <f>IFERROR(VLOOKUP(A3054, Entries!A:B,2,false),"")</f>
        <v>Square Enix</v>
      </c>
      <c r="N3054" s="23" t="str">
        <f>IFERROR(VLOOKUP(A3054, Entries!A:K,11,false),"")</f>
        <v/>
      </c>
      <c r="O3054" s="23" t="b">
        <f>IFERROR(VLOOKUP(A3054, Entries!A:I,8,false),"")</f>
        <v>1</v>
      </c>
    </row>
    <row r="3055">
      <c r="A3055" s="78" t="s">
        <v>3707</v>
      </c>
      <c r="B3055" s="78" t="s">
        <v>19</v>
      </c>
      <c r="C3055" s="85">
        <v>45004.0</v>
      </c>
      <c r="D3055" s="85">
        <v>45015.0</v>
      </c>
      <c r="E3055" s="86">
        <v>10.7</v>
      </c>
      <c r="F3055" s="87">
        <v>14.5</v>
      </c>
      <c r="G3055" s="88">
        <f t="shared" si="1"/>
        <v>3.8</v>
      </c>
      <c r="H3055" s="89">
        <f t="shared" si="10"/>
        <v>0.2620689655</v>
      </c>
      <c r="I3055" s="78" t="s">
        <v>3708</v>
      </c>
      <c r="J3055" s="78" t="s">
        <v>69</v>
      </c>
      <c r="K3055" s="58">
        <f t="shared" si="3"/>
        <v>11</v>
      </c>
      <c r="L3055" s="91" t="str">
        <f t="shared" si="8"/>
        <v>Thu</v>
      </c>
      <c r="M3055" s="78" t="str">
        <f>IFERROR(VLOOKUP(A3055, Entries!A:B,2,false),"")</f>
        <v>Good Shepherd Entertainment</v>
      </c>
      <c r="N3055" s="23" t="str">
        <f>IFERROR(VLOOKUP(A3055, Entries!A:K,11,false),"")</f>
        <v/>
      </c>
    </row>
    <row r="3056">
      <c r="A3056" s="78" t="s">
        <v>2238</v>
      </c>
      <c r="B3056" s="78" t="s">
        <v>23</v>
      </c>
      <c r="C3056" s="85">
        <v>45004.0</v>
      </c>
      <c r="D3056" s="85">
        <v>45006.0</v>
      </c>
      <c r="E3056" s="86">
        <v>30.94</v>
      </c>
      <c r="F3056" s="87">
        <v>45.31</v>
      </c>
      <c r="G3056" s="88">
        <f t="shared" si="1"/>
        <v>14.37</v>
      </c>
      <c r="H3056" s="89">
        <f t="shared" si="10"/>
        <v>0.3171485323</v>
      </c>
      <c r="I3056" s="78" t="s">
        <v>3709</v>
      </c>
      <c r="J3056" s="78" t="s">
        <v>69</v>
      </c>
      <c r="K3056" s="58">
        <f t="shared" si="3"/>
        <v>2</v>
      </c>
      <c r="L3056" s="91" t="str">
        <f t="shared" si="8"/>
        <v>Tue</v>
      </c>
      <c r="M3056" s="78" t="str">
        <f>IFERROR(VLOOKUP(A3056, Entries!A:B,2,false),"")</f>
        <v>Shiro Games</v>
      </c>
      <c r="N3056" s="23" t="str">
        <f>IFERROR(VLOOKUP(A3056, Entries!A:K,11,false),"")</f>
        <v/>
      </c>
    </row>
    <row r="3057">
      <c r="A3057" s="78" t="s">
        <v>1740</v>
      </c>
      <c r="B3057" s="78" t="s">
        <v>18</v>
      </c>
      <c r="C3057" s="85">
        <v>45004.0</v>
      </c>
      <c r="D3057" s="85">
        <v>45185.0</v>
      </c>
      <c r="E3057" s="86">
        <v>6.58</v>
      </c>
      <c r="F3057" s="87">
        <v>9.61</v>
      </c>
      <c r="G3057" s="88">
        <f t="shared" si="1"/>
        <v>3.03</v>
      </c>
      <c r="H3057" s="89">
        <f t="shared" si="10"/>
        <v>0.3152965661</v>
      </c>
      <c r="I3057" s="78" t="s">
        <v>3710</v>
      </c>
      <c r="J3057" s="78" t="s">
        <v>69</v>
      </c>
      <c r="K3057" s="58">
        <f t="shared" si="3"/>
        <v>181</v>
      </c>
      <c r="L3057" s="91" t="str">
        <f t="shared" si="8"/>
        <v>Sat</v>
      </c>
      <c r="M3057" s="78" t="str">
        <f>IFERROR(VLOOKUP(A3057, Entries!A:B,2,false),"")</f>
        <v>DANGEN Entertainment</v>
      </c>
      <c r="N3057" s="23" t="str">
        <f>IFERROR(VLOOKUP(A3057, Entries!A:K,11,false),"")</f>
        <v/>
      </c>
      <c r="O3057" s="23" t="b">
        <f>IFERROR(VLOOKUP(A3057, Entries!A:I,8,false),"")</f>
        <v>0</v>
      </c>
    </row>
    <row r="3058">
      <c r="A3058" s="78" t="s">
        <v>3242</v>
      </c>
      <c r="B3058" s="78" t="s">
        <v>19</v>
      </c>
      <c r="C3058" s="85">
        <v>45004.0</v>
      </c>
      <c r="D3058" s="85">
        <v>45034.0</v>
      </c>
      <c r="E3058" s="86">
        <v>17.49</v>
      </c>
      <c r="F3058" s="87">
        <v>18.19</v>
      </c>
      <c r="G3058" s="88">
        <f t="shared" si="1"/>
        <v>0.7</v>
      </c>
      <c r="H3058" s="89">
        <f t="shared" si="10"/>
        <v>0.03848268279</v>
      </c>
      <c r="I3058" s="78" t="s">
        <v>3711</v>
      </c>
      <c r="J3058" s="78" t="s">
        <v>69</v>
      </c>
      <c r="K3058" s="58">
        <f t="shared" si="3"/>
        <v>30</v>
      </c>
      <c r="L3058" s="91" t="str">
        <f t="shared" si="8"/>
        <v>Tue</v>
      </c>
      <c r="M3058" s="78" t="str">
        <f>IFERROR(VLOOKUP(A3058, Entries!A:B,2,false),"")</f>
        <v>Devolver Digital</v>
      </c>
      <c r="N3058" s="23" t="str">
        <f>IFERROR(VLOOKUP(A3058, Entries!A:K,11,false),"")</f>
        <v/>
      </c>
    </row>
    <row r="3059">
      <c r="A3059" s="78" t="s">
        <v>2133</v>
      </c>
      <c r="B3059" s="78" t="s">
        <v>19</v>
      </c>
      <c r="C3059" s="85">
        <v>45004.0</v>
      </c>
      <c r="D3059" s="85">
        <v>45011.0</v>
      </c>
      <c r="E3059" s="86">
        <v>0.0</v>
      </c>
      <c r="F3059" s="87">
        <v>0.41</v>
      </c>
      <c r="G3059" s="88">
        <f t="shared" si="1"/>
        <v>0.41</v>
      </c>
      <c r="H3059" s="89">
        <f t="shared" si="10"/>
        <v>1</v>
      </c>
      <c r="I3059" s="78" t="s">
        <v>3712</v>
      </c>
      <c r="J3059" s="78" t="s">
        <v>69</v>
      </c>
      <c r="K3059" s="58">
        <f t="shared" si="3"/>
        <v>7</v>
      </c>
      <c r="L3059" s="91" t="str">
        <f t="shared" si="8"/>
        <v>Sun</v>
      </c>
      <c r="M3059" s="78" t="str">
        <f>IFERROR(VLOOKUP(A3059, Entries!A:B,2,false),"")</f>
        <v>Microids</v>
      </c>
      <c r="N3059" s="23" t="str">
        <f>IFERROR(VLOOKUP(A3059, Entries!A:K,11,false),"")</f>
        <v/>
      </c>
    </row>
    <row r="3060">
      <c r="A3060" s="78" t="s">
        <v>3366</v>
      </c>
      <c r="B3060" s="78" t="s">
        <v>25</v>
      </c>
      <c r="C3060" s="85">
        <v>45004.0</v>
      </c>
      <c r="D3060" s="85">
        <v>45006.0</v>
      </c>
      <c r="E3060" s="86">
        <v>4.59</v>
      </c>
      <c r="F3060" s="87">
        <v>5.59</v>
      </c>
      <c r="G3060" s="88">
        <f t="shared" si="1"/>
        <v>1</v>
      </c>
      <c r="H3060" s="89">
        <f t="shared" si="10"/>
        <v>0.1788908766</v>
      </c>
      <c r="I3060" s="78" t="s">
        <v>3713</v>
      </c>
      <c r="J3060" s="78" t="s">
        <v>69</v>
      </c>
      <c r="K3060" s="58">
        <f t="shared" si="3"/>
        <v>2</v>
      </c>
      <c r="L3060" s="91" t="str">
        <f t="shared" si="8"/>
        <v>Tue</v>
      </c>
      <c r="M3060" s="78" t="str">
        <f>IFERROR(VLOOKUP(A3060, Entries!A:B,2,false),"")</f>
        <v>Sector D2</v>
      </c>
      <c r="N3060" s="23" t="str">
        <f>IFERROR(VLOOKUP(A3060, Entries!A:K,11,false),"")</f>
        <v/>
      </c>
    </row>
    <row r="3061">
      <c r="A3061" s="78" t="s">
        <v>3366</v>
      </c>
      <c r="B3061" s="78" t="s">
        <v>25</v>
      </c>
      <c r="C3061" s="85">
        <v>45004.0</v>
      </c>
      <c r="D3061" s="85">
        <v>45006.0</v>
      </c>
      <c r="E3061" s="86">
        <v>4.59</v>
      </c>
      <c r="F3061" s="87">
        <v>5.59</v>
      </c>
      <c r="G3061" s="88">
        <f t="shared" si="1"/>
        <v>1</v>
      </c>
      <c r="H3061" s="89">
        <f t="shared" si="10"/>
        <v>0.1788908766</v>
      </c>
      <c r="I3061" s="78" t="s">
        <v>3714</v>
      </c>
      <c r="J3061" s="78" t="s">
        <v>69</v>
      </c>
      <c r="K3061" s="58">
        <f t="shared" si="3"/>
        <v>2</v>
      </c>
      <c r="L3061" s="91" t="str">
        <f t="shared" si="8"/>
        <v>Tue</v>
      </c>
      <c r="M3061" s="78" t="str">
        <f>IFERROR(VLOOKUP(A3061, Entries!A:B,2,false),"")</f>
        <v>Sector D2</v>
      </c>
      <c r="N3061" s="23" t="str">
        <f>IFERROR(VLOOKUP(A3061, Entries!A:K,11,false),"")</f>
        <v/>
      </c>
    </row>
    <row r="3062">
      <c r="A3062" s="78" t="s">
        <v>1609</v>
      </c>
      <c r="B3062" s="78" t="s">
        <v>23</v>
      </c>
      <c r="C3062" s="85">
        <v>45005.0</v>
      </c>
      <c r="D3062" s="85">
        <v>45021.0</v>
      </c>
      <c r="E3062" s="86">
        <v>10.22</v>
      </c>
      <c r="F3062" s="87">
        <v>12.86</v>
      </c>
      <c r="G3062" s="88">
        <f t="shared" si="1"/>
        <v>2.64</v>
      </c>
      <c r="H3062" s="89">
        <f t="shared" si="10"/>
        <v>0.2052877138</v>
      </c>
      <c r="I3062" s="78" t="s">
        <v>3715</v>
      </c>
      <c r="J3062" s="78" t="s">
        <v>69</v>
      </c>
      <c r="K3062" s="58">
        <f t="shared" si="3"/>
        <v>16</v>
      </c>
      <c r="L3062" s="91" t="str">
        <f t="shared" si="8"/>
        <v>Wed</v>
      </c>
      <c r="M3062" s="78" t="str">
        <f>IFERROR(VLOOKUP(A3062, Entries!A:B,2,false),"")</f>
        <v>Dear Villagers</v>
      </c>
      <c r="N3062" s="23" t="str">
        <f>IFERROR(VLOOKUP(A3062, Entries!A:K,11,false),"")</f>
        <v/>
      </c>
    </row>
    <row r="3063">
      <c r="A3063" s="78" t="s">
        <v>3269</v>
      </c>
      <c r="B3063" s="78" t="s">
        <v>27</v>
      </c>
      <c r="C3063" s="85">
        <v>45005.0</v>
      </c>
      <c r="D3063" s="85">
        <v>45214.0</v>
      </c>
      <c r="E3063" s="86">
        <v>9.89</v>
      </c>
      <c r="F3063" s="87">
        <v>14.75</v>
      </c>
      <c r="G3063" s="88">
        <f t="shared" si="1"/>
        <v>4.86</v>
      </c>
      <c r="H3063" s="89">
        <f t="shared" si="10"/>
        <v>0.3294915254</v>
      </c>
      <c r="I3063" s="78" t="s">
        <v>3716</v>
      </c>
      <c r="J3063" s="78" t="s">
        <v>69</v>
      </c>
      <c r="K3063" s="58">
        <f t="shared" si="3"/>
        <v>209</v>
      </c>
      <c r="L3063" s="91" t="str">
        <f t="shared" si="8"/>
        <v>Sun</v>
      </c>
      <c r="M3063" s="78" t="str">
        <f>IFERROR(VLOOKUP(A3063, Entries!A:B,2,false),"")</f>
        <v>Daedalic Entertainment</v>
      </c>
      <c r="N3063" s="23" t="str">
        <f>IFERROR(VLOOKUP(A3063, Entries!A:K,11,false),"")</f>
        <v/>
      </c>
      <c r="O3063" s="23" t="b">
        <f>IFERROR(VLOOKUP(A3063, Entries!A:I,8,false),"")</f>
        <v>0</v>
      </c>
    </row>
    <row r="3064">
      <c r="A3064" s="78" t="s">
        <v>2238</v>
      </c>
      <c r="B3064" s="78" t="s">
        <v>23</v>
      </c>
      <c r="C3064" s="85">
        <v>45006.0</v>
      </c>
      <c r="D3064" s="85">
        <v>45006.0</v>
      </c>
      <c r="E3064" s="86">
        <v>30.86</v>
      </c>
      <c r="F3064" s="87">
        <v>46.64</v>
      </c>
      <c r="G3064" s="88">
        <f t="shared" si="1"/>
        <v>15.78</v>
      </c>
      <c r="H3064" s="89">
        <f t="shared" si="10"/>
        <v>0.3383361921</v>
      </c>
      <c r="I3064" s="78" t="s">
        <v>3717</v>
      </c>
      <c r="J3064" s="78" t="s">
        <v>69</v>
      </c>
      <c r="K3064" s="58">
        <f t="shared" si="3"/>
        <v>0</v>
      </c>
      <c r="L3064" s="91" t="str">
        <f t="shared" si="8"/>
        <v>Tue</v>
      </c>
      <c r="M3064" s="78" t="str">
        <f>IFERROR(VLOOKUP(A3064, Entries!A:B,2,false),"")</f>
        <v>Shiro Games</v>
      </c>
      <c r="N3064" s="23" t="str">
        <f>IFERROR(VLOOKUP(A3064, Entries!A:K,11,false),"")</f>
        <v/>
      </c>
    </row>
    <row r="3065">
      <c r="A3065" s="78" t="s">
        <v>2238</v>
      </c>
      <c r="B3065" s="78" t="s">
        <v>23</v>
      </c>
      <c r="C3065" s="85">
        <v>45006.0</v>
      </c>
      <c r="D3065" s="85">
        <v>45006.0</v>
      </c>
      <c r="E3065" s="86">
        <v>30.86</v>
      </c>
      <c r="F3065" s="87">
        <v>44.04</v>
      </c>
      <c r="G3065" s="88">
        <f t="shared" si="1"/>
        <v>13.18</v>
      </c>
      <c r="H3065" s="89">
        <f t="shared" si="10"/>
        <v>0.2992733878</v>
      </c>
      <c r="I3065" s="78" t="s">
        <v>3718</v>
      </c>
      <c r="J3065" s="78" t="s">
        <v>69</v>
      </c>
      <c r="K3065" s="58">
        <f t="shared" si="3"/>
        <v>0</v>
      </c>
      <c r="L3065" s="91" t="str">
        <f t="shared" si="8"/>
        <v>Tue</v>
      </c>
      <c r="M3065" s="78" t="str">
        <f>IFERROR(VLOOKUP(A3065, Entries!A:B,2,false),"")</f>
        <v>Shiro Games</v>
      </c>
      <c r="N3065" s="23" t="str">
        <f>IFERROR(VLOOKUP(A3065, Entries!A:K,11,false),"")</f>
        <v/>
      </c>
    </row>
    <row r="3066">
      <c r="A3066" s="78" t="s">
        <v>3366</v>
      </c>
      <c r="B3066" s="78" t="s">
        <v>25</v>
      </c>
      <c r="C3066" s="85">
        <v>45006.0</v>
      </c>
      <c r="D3066" s="85">
        <v>45008.0</v>
      </c>
      <c r="E3066" s="86">
        <v>4.59</v>
      </c>
      <c r="F3066" s="87">
        <v>5.6</v>
      </c>
      <c r="G3066" s="88">
        <f t="shared" si="1"/>
        <v>1.01</v>
      </c>
      <c r="H3066" s="89">
        <f t="shared" si="10"/>
        <v>0.1803571429</v>
      </c>
      <c r="I3066" s="78" t="s">
        <v>3719</v>
      </c>
      <c r="J3066" s="78" t="s">
        <v>69</v>
      </c>
      <c r="K3066" s="58">
        <f t="shared" si="3"/>
        <v>2</v>
      </c>
      <c r="L3066" s="91" t="str">
        <f t="shared" si="8"/>
        <v>Thu</v>
      </c>
      <c r="M3066" s="78" t="str">
        <f>IFERROR(VLOOKUP(A3066, Entries!A:B,2,false),"")</f>
        <v>Sector D2</v>
      </c>
      <c r="N3066" s="23" t="str">
        <f>IFERROR(VLOOKUP(A3066, Entries!A:K,11,false),"")</f>
        <v/>
      </c>
    </row>
    <row r="3067">
      <c r="A3067" s="78" t="s">
        <v>3366</v>
      </c>
      <c r="B3067" s="78" t="s">
        <v>25</v>
      </c>
      <c r="C3067" s="85">
        <v>45006.0</v>
      </c>
      <c r="D3067" s="85">
        <v>45008.0</v>
      </c>
      <c r="E3067" s="86">
        <v>4.59</v>
      </c>
      <c r="F3067" s="87">
        <v>5.6</v>
      </c>
      <c r="G3067" s="88">
        <f t="shared" si="1"/>
        <v>1.01</v>
      </c>
      <c r="H3067" s="89">
        <f t="shared" si="10"/>
        <v>0.1803571429</v>
      </c>
      <c r="I3067" s="78" t="s">
        <v>3720</v>
      </c>
      <c r="J3067" s="78" t="s">
        <v>69</v>
      </c>
      <c r="K3067" s="58">
        <f t="shared" si="3"/>
        <v>2</v>
      </c>
      <c r="L3067" s="91" t="str">
        <f t="shared" si="8"/>
        <v>Thu</v>
      </c>
      <c r="M3067" s="78" t="str">
        <f>IFERROR(VLOOKUP(A3067, Entries!A:B,2,false),"")</f>
        <v>Sector D2</v>
      </c>
      <c r="N3067" s="23" t="str">
        <f>IFERROR(VLOOKUP(A3067, Entries!A:K,11,false),"")</f>
        <v/>
      </c>
    </row>
    <row r="3068">
      <c r="A3068" s="78" t="s">
        <v>3366</v>
      </c>
      <c r="B3068" s="78" t="s">
        <v>25</v>
      </c>
      <c r="C3068" s="85">
        <v>45006.0</v>
      </c>
      <c r="D3068" s="85">
        <v>45008.0</v>
      </c>
      <c r="E3068" s="86">
        <v>4.59</v>
      </c>
      <c r="F3068" s="87">
        <v>5.6</v>
      </c>
      <c r="G3068" s="88">
        <f t="shared" si="1"/>
        <v>1.01</v>
      </c>
      <c r="H3068" s="89">
        <f t="shared" si="10"/>
        <v>0.1803571429</v>
      </c>
      <c r="I3068" s="78" t="s">
        <v>3721</v>
      </c>
      <c r="J3068" s="78" t="s">
        <v>69</v>
      </c>
      <c r="K3068" s="58">
        <f t="shared" si="3"/>
        <v>2</v>
      </c>
      <c r="L3068" s="91" t="str">
        <f t="shared" si="8"/>
        <v>Thu</v>
      </c>
      <c r="M3068" s="78" t="str">
        <f>IFERROR(VLOOKUP(A3068, Entries!A:B,2,false),"")</f>
        <v>Sector D2</v>
      </c>
      <c r="N3068" s="23" t="str">
        <f>IFERROR(VLOOKUP(A3068, Entries!A:K,11,false),"")</f>
        <v/>
      </c>
    </row>
    <row r="3069">
      <c r="A3069" s="78" t="s">
        <v>2238</v>
      </c>
      <c r="B3069" s="78" t="s">
        <v>23</v>
      </c>
      <c r="C3069" s="85">
        <v>45006.0</v>
      </c>
      <c r="D3069" s="85">
        <v>45032.0</v>
      </c>
      <c r="E3069" s="86">
        <v>30.86</v>
      </c>
      <c r="F3069" s="87">
        <v>42.26</v>
      </c>
      <c r="G3069" s="88">
        <f t="shared" si="1"/>
        <v>11.4</v>
      </c>
      <c r="H3069" s="89">
        <f t="shared" si="10"/>
        <v>0.269758637</v>
      </c>
      <c r="I3069" s="78" t="s">
        <v>3722</v>
      </c>
      <c r="J3069" s="78" t="s">
        <v>69</v>
      </c>
      <c r="K3069" s="58">
        <f t="shared" si="3"/>
        <v>26</v>
      </c>
      <c r="L3069" s="91" t="str">
        <f t="shared" si="8"/>
        <v>Sun</v>
      </c>
      <c r="M3069" s="78" t="str">
        <f>IFERROR(VLOOKUP(A3069, Entries!A:B,2,false),"")</f>
        <v>Shiro Games</v>
      </c>
      <c r="N3069" s="23" t="str">
        <f>IFERROR(VLOOKUP(A3069, Entries!A:K,11,false),"")</f>
        <v/>
      </c>
    </row>
    <row r="3070">
      <c r="A3070" s="78" t="s">
        <v>2238</v>
      </c>
      <c r="B3070" s="78" t="s">
        <v>23</v>
      </c>
      <c r="C3070" s="85">
        <v>45006.0</v>
      </c>
      <c r="D3070" s="85">
        <v>45032.0</v>
      </c>
      <c r="E3070" s="86">
        <v>30.86</v>
      </c>
      <c r="F3070" s="87">
        <v>42.26</v>
      </c>
      <c r="G3070" s="88">
        <f t="shared" si="1"/>
        <v>11.4</v>
      </c>
      <c r="H3070" s="89">
        <f t="shared" si="10"/>
        <v>0.269758637</v>
      </c>
      <c r="I3070" s="78" t="s">
        <v>3723</v>
      </c>
      <c r="J3070" s="78" t="s">
        <v>69</v>
      </c>
      <c r="K3070" s="58">
        <f t="shared" si="3"/>
        <v>26</v>
      </c>
      <c r="L3070" s="91" t="str">
        <f t="shared" si="8"/>
        <v>Sun</v>
      </c>
      <c r="M3070" s="78" t="str">
        <f>IFERROR(VLOOKUP(A3070, Entries!A:B,2,false),"")</f>
        <v>Shiro Games</v>
      </c>
      <c r="N3070" s="23" t="str">
        <f>IFERROR(VLOOKUP(A3070, Entries!A:K,11,false),"")</f>
        <v/>
      </c>
    </row>
    <row r="3071">
      <c r="A3071" s="78" t="s">
        <v>2238</v>
      </c>
      <c r="B3071" s="78" t="s">
        <v>23</v>
      </c>
      <c r="C3071" s="85">
        <v>45006.0</v>
      </c>
      <c r="D3071" s="85">
        <v>45078.0</v>
      </c>
      <c r="E3071" s="86">
        <v>30.86</v>
      </c>
      <c r="F3071" s="87">
        <v>48.35</v>
      </c>
      <c r="G3071" s="88">
        <f t="shared" si="1"/>
        <v>17.49</v>
      </c>
      <c r="H3071" s="89">
        <f t="shared" si="10"/>
        <v>0.361737332</v>
      </c>
      <c r="I3071" s="78" t="s">
        <v>3724</v>
      </c>
      <c r="J3071" s="78" t="s">
        <v>69</v>
      </c>
      <c r="K3071" s="58">
        <f t="shared" si="3"/>
        <v>72</v>
      </c>
      <c r="L3071" s="91" t="str">
        <f t="shared" si="8"/>
        <v>Thu</v>
      </c>
      <c r="M3071" s="78" t="str">
        <f>IFERROR(VLOOKUP(A3071, Entries!A:B,2,false),"")</f>
        <v>Shiro Games</v>
      </c>
      <c r="N3071" s="23" t="str">
        <f>IFERROR(VLOOKUP(A3071, Entries!A:K,11,false),"")</f>
        <v/>
      </c>
      <c r="O3071" s="23" t="b">
        <f>IFERROR(VLOOKUP(A3071, Entries!A:I,8,false),"")</f>
        <v>0</v>
      </c>
    </row>
    <row r="3072">
      <c r="A3072" s="94" t="s">
        <v>2238</v>
      </c>
      <c r="B3072" s="78" t="s">
        <v>23</v>
      </c>
      <c r="C3072" s="85">
        <v>45006.0</v>
      </c>
      <c r="D3072" s="85">
        <v>45673.0</v>
      </c>
      <c r="E3072" s="86">
        <v>30.86</v>
      </c>
      <c r="F3072" s="87">
        <v>30.3</v>
      </c>
      <c r="G3072" s="88">
        <f t="shared" si="1"/>
        <v>-0.56</v>
      </c>
      <c r="H3072" s="89">
        <f t="shared" si="10"/>
        <v>-0.01848184818</v>
      </c>
      <c r="I3072" s="78" t="s">
        <v>3725</v>
      </c>
      <c r="J3072" s="78" t="s">
        <v>69</v>
      </c>
      <c r="K3072" s="58">
        <f t="shared" si="3"/>
        <v>667</v>
      </c>
      <c r="L3072" s="91" t="str">
        <f t="shared" si="8"/>
        <v>Thu</v>
      </c>
      <c r="M3072" s="78" t="str">
        <f>IFERROR(VLOOKUP(A3072, Entries!A:B,2,false),"")</f>
        <v>Shiro Games</v>
      </c>
      <c r="N3072" s="23" t="str">
        <f>IFERROR(VLOOKUP(A3072, Entries!A:K,11,false),"")</f>
        <v/>
      </c>
      <c r="O3072" s="23" t="b">
        <f>IFERROR(VLOOKUP(A3072, Entries!A:I,8,false),"")</f>
        <v>0</v>
      </c>
    </row>
    <row r="3073">
      <c r="A3073" s="94" t="s">
        <v>2238</v>
      </c>
      <c r="B3073" s="78" t="s">
        <v>23</v>
      </c>
      <c r="C3073" s="85">
        <v>45007.0</v>
      </c>
      <c r="D3073" s="85">
        <v>45676.0</v>
      </c>
      <c r="E3073" s="86">
        <v>30.65</v>
      </c>
      <c r="F3073" s="87">
        <v>30.3</v>
      </c>
      <c r="G3073" s="88">
        <f t="shared" si="1"/>
        <v>-0.35</v>
      </c>
      <c r="H3073" s="89">
        <f t="shared" si="10"/>
        <v>-0.01155115512</v>
      </c>
      <c r="I3073" s="78" t="s">
        <v>3726</v>
      </c>
      <c r="J3073" s="78" t="s">
        <v>69</v>
      </c>
      <c r="K3073" s="58">
        <f t="shared" si="3"/>
        <v>669</v>
      </c>
      <c r="L3073" s="91" t="str">
        <f t="shared" si="8"/>
        <v>Sun</v>
      </c>
      <c r="M3073" s="78" t="str">
        <f>IFERROR(VLOOKUP(A3073, Entries!A:B,2,false),"")</f>
        <v>Shiro Games</v>
      </c>
      <c r="N3073" s="23" t="str">
        <f>IFERROR(VLOOKUP(A3073, Entries!A:K,11,false),"")</f>
        <v/>
      </c>
      <c r="O3073" s="23" t="b">
        <f>IFERROR(VLOOKUP(A3073, Entries!A:I,8,false),"")</f>
        <v>0</v>
      </c>
    </row>
    <row r="3074">
      <c r="A3074" s="78" t="s">
        <v>1096</v>
      </c>
      <c r="B3074" s="78" t="s">
        <v>22</v>
      </c>
      <c r="C3074" s="85">
        <v>45007.0</v>
      </c>
      <c r="D3074" s="85">
        <v>45008.0</v>
      </c>
      <c r="E3074" s="86">
        <v>13.62</v>
      </c>
      <c r="F3074" s="87">
        <v>15.14</v>
      </c>
      <c r="G3074" s="88">
        <f t="shared" si="1"/>
        <v>1.52</v>
      </c>
      <c r="H3074" s="89">
        <f t="shared" si="10"/>
        <v>0.1003963012</v>
      </c>
      <c r="I3074" s="78" t="s">
        <v>3727</v>
      </c>
      <c r="J3074" s="78" t="s">
        <v>69</v>
      </c>
      <c r="K3074" s="58">
        <f t="shared" si="3"/>
        <v>1</v>
      </c>
      <c r="L3074" s="91" t="str">
        <f t="shared" si="8"/>
        <v>Thu</v>
      </c>
      <c r="M3074" s="78" t="str">
        <f>IFERROR(VLOOKUP(A3074, Entries!A:B,2,false),"")</f>
        <v>Good Shepherd Entertainment</v>
      </c>
      <c r="N3074" s="23" t="str">
        <f>IFERROR(VLOOKUP(A3074, Entries!A:K,11,false),"")</f>
        <v/>
      </c>
    </row>
    <row r="3075">
      <c r="A3075" s="78" t="s">
        <v>2789</v>
      </c>
      <c r="B3075" s="78" t="s">
        <v>19</v>
      </c>
      <c r="C3075" s="85">
        <v>45008.0</v>
      </c>
      <c r="D3075" s="85">
        <v>45011.0</v>
      </c>
      <c r="E3075" s="86">
        <v>3.51</v>
      </c>
      <c r="F3075" s="87">
        <v>4.63</v>
      </c>
      <c r="G3075" s="88">
        <f t="shared" si="1"/>
        <v>1.12</v>
      </c>
      <c r="H3075" s="89">
        <f t="shared" si="10"/>
        <v>0.2419006479</v>
      </c>
      <c r="I3075" s="78" t="s">
        <v>3728</v>
      </c>
      <c r="J3075" s="78" t="s">
        <v>69</v>
      </c>
      <c r="K3075" s="58">
        <f t="shared" si="3"/>
        <v>3</v>
      </c>
      <c r="L3075" s="91" t="str">
        <f t="shared" si="8"/>
        <v>Sun</v>
      </c>
      <c r="M3075" s="78" t="str">
        <f>IFERROR(VLOOKUP(A3075, Entries!A:B,2,false),"")</f>
        <v>Evil Tortilla Games</v>
      </c>
      <c r="N3075" s="23" t="str">
        <f>IFERROR(VLOOKUP(A3075, Entries!A:K,11,false),"")</f>
        <v/>
      </c>
    </row>
    <row r="3076">
      <c r="A3076" s="78" t="s">
        <v>3366</v>
      </c>
      <c r="B3076" s="78" t="s">
        <v>25</v>
      </c>
      <c r="C3076" s="85">
        <v>45008.0</v>
      </c>
      <c r="D3076" s="85">
        <v>45008.0</v>
      </c>
      <c r="E3076" s="86">
        <v>4.59</v>
      </c>
      <c r="F3076" s="87">
        <v>5.6</v>
      </c>
      <c r="G3076" s="88">
        <f t="shared" si="1"/>
        <v>1.01</v>
      </c>
      <c r="H3076" s="89">
        <f t="shared" si="10"/>
        <v>0.1803571429</v>
      </c>
      <c r="I3076" s="78" t="s">
        <v>3729</v>
      </c>
      <c r="J3076" s="78" t="s">
        <v>69</v>
      </c>
      <c r="K3076" s="58">
        <f t="shared" si="3"/>
        <v>0</v>
      </c>
      <c r="L3076" s="91" t="str">
        <f t="shared" si="8"/>
        <v>Thu</v>
      </c>
      <c r="M3076" s="78" t="str">
        <f>IFERROR(VLOOKUP(A3076, Entries!A:B,2,false),"")</f>
        <v>Sector D2</v>
      </c>
      <c r="N3076" s="23" t="str">
        <f>IFERROR(VLOOKUP(A3076, Entries!A:K,11,false),"")</f>
        <v/>
      </c>
    </row>
    <row r="3077">
      <c r="A3077" s="78" t="s">
        <v>3366</v>
      </c>
      <c r="B3077" s="78" t="s">
        <v>25</v>
      </c>
      <c r="C3077" s="85">
        <v>45008.0</v>
      </c>
      <c r="D3077" s="85">
        <v>45009.0</v>
      </c>
      <c r="E3077" s="86">
        <v>4.59</v>
      </c>
      <c r="F3077" s="87">
        <v>5.6</v>
      </c>
      <c r="G3077" s="88">
        <f t="shared" si="1"/>
        <v>1.01</v>
      </c>
      <c r="H3077" s="89">
        <f t="shared" si="10"/>
        <v>0.1803571429</v>
      </c>
      <c r="I3077" s="78" t="s">
        <v>3730</v>
      </c>
      <c r="J3077" s="78" t="s">
        <v>69</v>
      </c>
      <c r="K3077" s="58">
        <f t="shared" si="3"/>
        <v>1</v>
      </c>
      <c r="L3077" s="91" t="str">
        <f t="shared" si="8"/>
        <v>Fri</v>
      </c>
      <c r="M3077" s="78" t="str">
        <f>IFERROR(VLOOKUP(A3077, Entries!A:B,2,false),"")</f>
        <v>Sector D2</v>
      </c>
      <c r="N3077" s="23" t="str">
        <f>IFERROR(VLOOKUP(A3077, Entries!A:K,11,false),"")</f>
        <v/>
      </c>
    </row>
    <row r="3078">
      <c r="A3078" s="78" t="s">
        <v>3366</v>
      </c>
      <c r="B3078" s="78" t="s">
        <v>25</v>
      </c>
      <c r="C3078" s="85">
        <v>45008.0</v>
      </c>
      <c r="D3078" s="85">
        <v>45009.0</v>
      </c>
      <c r="E3078" s="86">
        <v>4.59</v>
      </c>
      <c r="F3078" s="87">
        <v>5.6</v>
      </c>
      <c r="G3078" s="88">
        <f t="shared" si="1"/>
        <v>1.01</v>
      </c>
      <c r="H3078" s="89">
        <f t="shared" si="10"/>
        <v>0.1803571429</v>
      </c>
      <c r="I3078" s="78" t="s">
        <v>3731</v>
      </c>
      <c r="J3078" s="78" t="s">
        <v>69</v>
      </c>
      <c r="K3078" s="58">
        <f t="shared" si="3"/>
        <v>1</v>
      </c>
      <c r="L3078" s="91" t="str">
        <f t="shared" si="8"/>
        <v>Fri</v>
      </c>
      <c r="M3078" s="78" t="str">
        <f>IFERROR(VLOOKUP(A3078, Entries!A:B,2,false),"")</f>
        <v>Sector D2</v>
      </c>
      <c r="N3078" s="23" t="str">
        <f>IFERROR(VLOOKUP(A3078, Entries!A:K,11,false),"")</f>
        <v/>
      </c>
    </row>
    <row r="3079">
      <c r="A3079" s="78" t="s">
        <v>3430</v>
      </c>
      <c r="B3079" s="78" t="s">
        <v>25</v>
      </c>
      <c r="C3079" s="85">
        <v>45008.0</v>
      </c>
      <c r="D3079" s="85">
        <v>45013.0</v>
      </c>
      <c r="E3079" s="86">
        <v>6.08</v>
      </c>
      <c r="F3079" s="87">
        <v>10.23</v>
      </c>
      <c r="G3079" s="88">
        <f t="shared" si="1"/>
        <v>4.15</v>
      </c>
      <c r="H3079" s="89">
        <f t="shared" si="10"/>
        <v>0.4056695992</v>
      </c>
      <c r="I3079" s="78" t="s">
        <v>3732</v>
      </c>
      <c r="J3079" s="78" t="s">
        <v>69</v>
      </c>
      <c r="K3079" s="58">
        <f t="shared" si="3"/>
        <v>5</v>
      </c>
      <c r="L3079" s="91" t="str">
        <f t="shared" si="8"/>
        <v>Tue</v>
      </c>
      <c r="M3079" s="78" t="str">
        <f>IFERROR(VLOOKUP(A3079, Entries!A:B,2,false),"")</f>
        <v>HandyGames</v>
      </c>
      <c r="N3079" s="23" t="str">
        <f>IFERROR(VLOOKUP(A3079, Entries!A:K,11,false),"")</f>
        <v/>
      </c>
    </row>
    <row r="3080">
      <c r="A3080" s="78" t="s">
        <v>3366</v>
      </c>
      <c r="B3080" s="78" t="s">
        <v>25</v>
      </c>
      <c r="C3080" s="85">
        <v>45008.0</v>
      </c>
      <c r="D3080" s="85">
        <v>45009.0</v>
      </c>
      <c r="E3080" s="86">
        <v>4.59</v>
      </c>
      <c r="F3080" s="87">
        <v>5.6</v>
      </c>
      <c r="G3080" s="88">
        <f t="shared" si="1"/>
        <v>1.01</v>
      </c>
      <c r="H3080" s="89">
        <f t="shared" si="10"/>
        <v>0.1803571429</v>
      </c>
      <c r="I3080" s="78" t="s">
        <v>3733</v>
      </c>
      <c r="J3080" s="78" t="s">
        <v>69</v>
      </c>
      <c r="K3080" s="58">
        <f t="shared" si="3"/>
        <v>1</v>
      </c>
      <c r="L3080" s="91" t="str">
        <f t="shared" si="8"/>
        <v>Fri</v>
      </c>
      <c r="M3080" s="78" t="str">
        <f>IFERROR(VLOOKUP(A3080, Entries!A:B,2,false),"")</f>
        <v>Sector D2</v>
      </c>
      <c r="N3080" s="23" t="str">
        <f>IFERROR(VLOOKUP(A3080, Entries!A:K,11,false),"")</f>
        <v/>
      </c>
    </row>
    <row r="3081">
      <c r="A3081" s="78" t="s">
        <v>3366</v>
      </c>
      <c r="B3081" s="78" t="s">
        <v>25</v>
      </c>
      <c r="C3081" s="85">
        <v>45008.0</v>
      </c>
      <c r="D3081" s="85">
        <v>45010.0</v>
      </c>
      <c r="E3081" s="86">
        <v>4.59</v>
      </c>
      <c r="F3081" s="87">
        <v>5.6</v>
      </c>
      <c r="G3081" s="88">
        <f t="shared" si="1"/>
        <v>1.01</v>
      </c>
      <c r="H3081" s="89">
        <f t="shared" si="10"/>
        <v>0.1803571429</v>
      </c>
      <c r="I3081" s="78" t="s">
        <v>3734</v>
      </c>
      <c r="J3081" s="78" t="s">
        <v>69</v>
      </c>
      <c r="K3081" s="58">
        <f t="shared" si="3"/>
        <v>2</v>
      </c>
      <c r="L3081" s="91" t="str">
        <f t="shared" si="8"/>
        <v>Sat</v>
      </c>
      <c r="M3081" s="78" t="str">
        <f>IFERROR(VLOOKUP(A3081, Entries!A:B,2,false),"")</f>
        <v>Sector D2</v>
      </c>
      <c r="N3081" s="23" t="str">
        <f>IFERROR(VLOOKUP(A3081, Entries!A:K,11,false),"")</f>
        <v/>
      </c>
    </row>
    <row r="3082">
      <c r="A3082" s="78" t="s">
        <v>3366</v>
      </c>
      <c r="B3082" s="78" t="s">
        <v>25</v>
      </c>
      <c r="C3082" s="85">
        <v>45008.0</v>
      </c>
      <c r="D3082" s="85">
        <v>45011.0</v>
      </c>
      <c r="E3082" s="86">
        <v>4.59</v>
      </c>
      <c r="F3082" s="87">
        <v>5.58</v>
      </c>
      <c r="G3082" s="88">
        <f t="shared" si="1"/>
        <v>0.99</v>
      </c>
      <c r="H3082" s="89">
        <f t="shared" si="10"/>
        <v>0.1774193548</v>
      </c>
      <c r="I3082" s="78" t="s">
        <v>3735</v>
      </c>
      <c r="J3082" s="78" t="s">
        <v>69</v>
      </c>
      <c r="K3082" s="58">
        <f t="shared" si="3"/>
        <v>3</v>
      </c>
      <c r="L3082" s="91" t="str">
        <f t="shared" si="8"/>
        <v>Sun</v>
      </c>
      <c r="M3082" s="78" t="str">
        <f>IFERROR(VLOOKUP(A3082, Entries!A:B,2,false),"")</f>
        <v>Sector D2</v>
      </c>
      <c r="N3082" s="23" t="str">
        <f>IFERROR(VLOOKUP(A3082, Entries!A:K,11,false),"")</f>
        <v/>
      </c>
    </row>
    <row r="3083">
      <c r="A3083" s="78" t="s">
        <v>3675</v>
      </c>
      <c r="B3083" s="78" t="s">
        <v>27</v>
      </c>
      <c r="C3083" s="85">
        <v>45009.0</v>
      </c>
      <c r="D3083" s="85">
        <v>45019.0</v>
      </c>
      <c r="E3083" s="86">
        <v>14.79</v>
      </c>
      <c r="F3083" s="87">
        <v>20.44</v>
      </c>
      <c r="G3083" s="88">
        <f t="shared" si="1"/>
        <v>5.65</v>
      </c>
      <c r="H3083" s="89">
        <f t="shared" si="10"/>
        <v>0.2764187867</v>
      </c>
      <c r="I3083" s="78" t="s">
        <v>3736</v>
      </c>
      <c r="J3083" s="78" t="s">
        <v>69</v>
      </c>
      <c r="K3083" s="58">
        <f t="shared" si="3"/>
        <v>10</v>
      </c>
      <c r="L3083" s="91" t="str">
        <f t="shared" si="8"/>
        <v>Mon</v>
      </c>
      <c r="M3083" s="78" t="str">
        <f>IFERROR(VLOOKUP(A3083, Entries!A:B,2,false),"")</f>
        <v>Warner Bros</v>
      </c>
      <c r="N3083" s="23" t="str">
        <f>IFERROR(VLOOKUP(A3083, Entries!A:K,11,false),"")</f>
        <v/>
      </c>
    </row>
    <row r="3084">
      <c r="A3084" s="78" t="s">
        <v>3515</v>
      </c>
      <c r="B3084" s="78" t="s">
        <v>30</v>
      </c>
      <c r="C3084" s="85">
        <v>45009.0</v>
      </c>
      <c r="D3084" s="85">
        <v>45009.0</v>
      </c>
      <c r="E3084" s="86">
        <v>12.69</v>
      </c>
      <c r="F3084" s="87">
        <v>13.73</v>
      </c>
      <c r="G3084" s="88">
        <f t="shared" si="1"/>
        <v>1.04</v>
      </c>
      <c r="H3084" s="89">
        <f t="shared" si="10"/>
        <v>0.07574654042</v>
      </c>
      <c r="I3084" s="78" t="s">
        <v>3737</v>
      </c>
      <c r="J3084" s="78" t="s">
        <v>69</v>
      </c>
      <c r="K3084" s="58">
        <f t="shared" si="3"/>
        <v>0</v>
      </c>
      <c r="L3084" s="91" t="str">
        <f t="shared" si="8"/>
        <v>Fri</v>
      </c>
      <c r="M3084" s="78" t="str">
        <f>IFERROR(VLOOKUP(A3084, Entries!A:B,2,false),"")</f>
        <v>WOLCEN Studio</v>
      </c>
      <c r="N3084" s="23" t="str">
        <f>IFERROR(VLOOKUP(A3084, Entries!A:K,11,false),"")</f>
        <v/>
      </c>
    </row>
    <row r="3085">
      <c r="A3085" s="78" t="s">
        <v>3738</v>
      </c>
      <c r="B3085" s="78" t="s">
        <v>22</v>
      </c>
      <c r="C3085" s="85">
        <v>45009.0</v>
      </c>
      <c r="D3085" s="85">
        <v>45076.0</v>
      </c>
      <c r="E3085" s="86">
        <v>42.01</v>
      </c>
      <c r="F3085" s="87">
        <v>43.3</v>
      </c>
      <c r="G3085" s="88">
        <f t="shared" si="1"/>
        <v>1.29</v>
      </c>
      <c r="H3085" s="89">
        <f t="shared" si="10"/>
        <v>0.02979214781</v>
      </c>
      <c r="I3085" s="78" t="s">
        <v>3739</v>
      </c>
      <c r="J3085" s="78" t="s">
        <v>69</v>
      </c>
      <c r="K3085" s="58">
        <f t="shared" si="3"/>
        <v>67</v>
      </c>
      <c r="L3085" s="91" t="str">
        <f t="shared" si="8"/>
        <v>Tue</v>
      </c>
      <c r="M3085" s="78" t="str">
        <f>IFERROR(VLOOKUP(A3085, Entries!A:B,2,false),"")</f>
        <v>Square Enix</v>
      </c>
      <c r="N3085" s="23" t="str">
        <f>IFERROR(VLOOKUP(A3085, Entries!A:K,11,false),"")</f>
        <v/>
      </c>
      <c r="O3085" s="23" t="b">
        <f>IFERROR(VLOOKUP(A3085, Entries!A:I,8,false),"")</f>
        <v>0</v>
      </c>
    </row>
    <row r="3086">
      <c r="A3086" s="78" t="s">
        <v>3515</v>
      </c>
      <c r="B3086" s="78" t="s">
        <v>30</v>
      </c>
      <c r="C3086" s="85">
        <v>45009.0</v>
      </c>
      <c r="D3086" s="85">
        <v>45011.0</v>
      </c>
      <c r="E3086" s="86">
        <v>12.69</v>
      </c>
      <c r="F3086" s="87">
        <v>13.68</v>
      </c>
      <c r="G3086" s="88">
        <f t="shared" si="1"/>
        <v>0.99</v>
      </c>
      <c r="H3086" s="89">
        <f t="shared" si="10"/>
        <v>0.07236842105</v>
      </c>
      <c r="I3086" s="78" t="s">
        <v>3740</v>
      </c>
      <c r="J3086" s="78" t="s">
        <v>69</v>
      </c>
      <c r="K3086" s="58">
        <f t="shared" si="3"/>
        <v>2</v>
      </c>
      <c r="L3086" s="91" t="str">
        <f t="shared" si="8"/>
        <v>Sun</v>
      </c>
      <c r="M3086" s="78" t="str">
        <f>IFERROR(VLOOKUP(A3086, Entries!A:B,2,false),"")</f>
        <v>WOLCEN Studio</v>
      </c>
      <c r="N3086" s="23" t="str">
        <f>IFERROR(VLOOKUP(A3086, Entries!A:K,11,false),"")</f>
        <v/>
      </c>
    </row>
    <row r="3087">
      <c r="A3087" s="78" t="s">
        <v>2528</v>
      </c>
      <c r="B3087" s="78" t="s">
        <v>25</v>
      </c>
      <c r="C3087" s="85">
        <v>45009.0</v>
      </c>
      <c r="D3087" s="85">
        <v>45020.0</v>
      </c>
      <c r="E3087" s="86">
        <v>5.79</v>
      </c>
      <c r="F3087" s="87">
        <v>6.66</v>
      </c>
      <c r="G3087" s="88">
        <f t="shared" si="1"/>
        <v>0.87</v>
      </c>
      <c r="H3087" s="89">
        <f t="shared" si="10"/>
        <v>0.1306306306</v>
      </c>
      <c r="I3087" s="78" t="s">
        <v>3741</v>
      </c>
      <c r="J3087" s="78" t="s">
        <v>69</v>
      </c>
      <c r="K3087" s="58">
        <f t="shared" si="3"/>
        <v>11</v>
      </c>
      <c r="L3087" s="91" t="str">
        <f t="shared" si="8"/>
        <v>Tue</v>
      </c>
      <c r="M3087" s="78" t="str">
        <f>IFERROR(VLOOKUP(A3087, Entries!A:B,2,false),"")</f>
        <v>Cheesecake Dev</v>
      </c>
      <c r="N3087" s="23" t="str">
        <f>IFERROR(VLOOKUP(A3087, Entries!A:K,11,false),"")</f>
        <v/>
      </c>
    </row>
    <row r="3088">
      <c r="A3088" s="78" t="s">
        <v>3366</v>
      </c>
      <c r="B3088" s="78" t="s">
        <v>25</v>
      </c>
      <c r="C3088" s="85">
        <v>45009.0</v>
      </c>
      <c r="D3088" s="85">
        <v>45012.0</v>
      </c>
      <c r="E3088" s="86">
        <v>4.59</v>
      </c>
      <c r="F3088" s="87">
        <v>5.5</v>
      </c>
      <c r="G3088" s="88">
        <f t="shared" si="1"/>
        <v>0.91</v>
      </c>
      <c r="H3088" s="89">
        <f t="shared" si="10"/>
        <v>0.1654545455</v>
      </c>
      <c r="I3088" s="78" t="s">
        <v>3742</v>
      </c>
      <c r="J3088" s="78" t="s">
        <v>69</v>
      </c>
      <c r="K3088" s="58">
        <f t="shared" si="3"/>
        <v>3</v>
      </c>
      <c r="L3088" s="91" t="str">
        <f t="shared" si="8"/>
        <v>Mon</v>
      </c>
      <c r="M3088" s="78" t="str">
        <f>IFERROR(VLOOKUP(A3088, Entries!A:B,2,false),"")</f>
        <v>Sector D2</v>
      </c>
      <c r="N3088" s="23" t="str">
        <f>IFERROR(VLOOKUP(A3088, Entries!A:K,11,false),"")</f>
        <v/>
      </c>
    </row>
    <row r="3089">
      <c r="A3089" s="78" t="s">
        <v>3366</v>
      </c>
      <c r="B3089" s="78" t="s">
        <v>25</v>
      </c>
      <c r="C3089" s="85">
        <v>45009.0</v>
      </c>
      <c r="D3089" s="85">
        <v>45012.0</v>
      </c>
      <c r="E3089" s="86">
        <v>4.59</v>
      </c>
      <c r="F3089" s="87">
        <v>5.56</v>
      </c>
      <c r="G3089" s="88">
        <f t="shared" si="1"/>
        <v>0.97</v>
      </c>
      <c r="H3089" s="89">
        <f t="shared" si="10"/>
        <v>0.1744604317</v>
      </c>
      <c r="I3089" s="78" t="s">
        <v>3743</v>
      </c>
      <c r="J3089" s="78" t="s">
        <v>69</v>
      </c>
      <c r="K3089" s="58">
        <f t="shared" si="3"/>
        <v>3</v>
      </c>
      <c r="L3089" s="91" t="str">
        <f t="shared" si="8"/>
        <v>Mon</v>
      </c>
      <c r="M3089" s="78" t="str">
        <f>IFERROR(VLOOKUP(A3089, Entries!A:B,2,false),"")</f>
        <v>Sector D2</v>
      </c>
      <c r="N3089" s="23" t="str">
        <f>IFERROR(VLOOKUP(A3089, Entries!A:K,11,false),"")</f>
        <v/>
      </c>
    </row>
    <row r="3090">
      <c r="A3090" s="78" t="s">
        <v>3366</v>
      </c>
      <c r="B3090" s="78" t="s">
        <v>25</v>
      </c>
      <c r="C3090" s="85">
        <v>45009.0</v>
      </c>
      <c r="D3090" s="85">
        <v>45012.0</v>
      </c>
      <c r="E3090" s="86">
        <v>4.59</v>
      </c>
      <c r="F3090" s="87">
        <v>5.56</v>
      </c>
      <c r="G3090" s="88">
        <f t="shared" si="1"/>
        <v>0.97</v>
      </c>
      <c r="H3090" s="89">
        <f t="shared" si="10"/>
        <v>0.1744604317</v>
      </c>
      <c r="I3090" s="78" t="s">
        <v>3744</v>
      </c>
      <c r="J3090" s="78" t="s">
        <v>69</v>
      </c>
      <c r="K3090" s="58">
        <f t="shared" si="3"/>
        <v>3</v>
      </c>
      <c r="L3090" s="91" t="str">
        <f t="shared" si="8"/>
        <v>Mon</v>
      </c>
      <c r="M3090" s="78" t="str">
        <f>IFERROR(VLOOKUP(A3090, Entries!A:B,2,false),"")</f>
        <v>Sector D2</v>
      </c>
      <c r="N3090" s="23" t="str">
        <f>IFERROR(VLOOKUP(A3090, Entries!A:K,11,false),"")</f>
        <v/>
      </c>
    </row>
    <row r="3091">
      <c r="A3091" s="78" t="s">
        <v>678</v>
      </c>
      <c r="B3091" s="78" t="s">
        <v>25</v>
      </c>
      <c r="C3091" s="85">
        <v>45009.0</v>
      </c>
      <c r="D3091" s="85">
        <v>45016.0</v>
      </c>
      <c r="E3091" s="86">
        <v>12.7</v>
      </c>
      <c r="F3091" s="87">
        <v>22.29</v>
      </c>
      <c r="G3091" s="88">
        <f t="shared" si="1"/>
        <v>9.59</v>
      </c>
      <c r="H3091" s="89">
        <f t="shared" si="10"/>
        <v>0.4302377748</v>
      </c>
      <c r="I3091" s="78" t="s">
        <v>3745</v>
      </c>
      <c r="J3091" s="78" t="s">
        <v>69</v>
      </c>
      <c r="K3091" s="58">
        <f t="shared" si="3"/>
        <v>7</v>
      </c>
      <c r="L3091" s="91" t="str">
        <f t="shared" si="8"/>
        <v>Fri</v>
      </c>
      <c r="M3091" s="78" t="str">
        <f>IFERROR(VLOOKUP(A3091, Entries!A:B,2,false),"")</f>
        <v>FireFly Studios</v>
      </c>
      <c r="N3091" s="23" t="str">
        <f>IFERROR(VLOOKUP(A3091, Entries!A:K,11,false),"")</f>
        <v/>
      </c>
    </row>
    <row r="3092">
      <c r="A3092" s="78" t="s">
        <v>1700</v>
      </c>
      <c r="B3092" s="78" t="s">
        <v>32</v>
      </c>
      <c r="C3092" s="85">
        <v>45009.0</v>
      </c>
      <c r="D3092" s="85">
        <v>45021.0</v>
      </c>
      <c r="E3092" s="86">
        <v>4.25</v>
      </c>
      <c r="F3092" s="87">
        <v>4.94</v>
      </c>
      <c r="G3092" s="88">
        <f t="shared" si="1"/>
        <v>0.69</v>
      </c>
      <c r="H3092" s="89">
        <f t="shared" si="10"/>
        <v>0.1396761134</v>
      </c>
      <c r="I3092" s="78" t="s">
        <v>3746</v>
      </c>
      <c r="J3092" s="78" t="s">
        <v>69</v>
      </c>
      <c r="K3092" s="58">
        <f t="shared" si="3"/>
        <v>12</v>
      </c>
      <c r="L3092" s="91" t="str">
        <f t="shared" si="8"/>
        <v>Wed</v>
      </c>
      <c r="M3092" s="78" t="str">
        <f>IFERROR(VLOOKUP(A3092, Entries!A:B,2,false),"")</f>
        <v>Warner Bros</v>
      </c>
      <c r="N3092" s="23" t="str">
        <f>IFERROR(VLOOKUP(A3092, Entries!A:K,11,false),"")</f>
        <v/>
      </c>
    </row>
    <row r="3093">
      <c r="A3093" s="78" t="s">
        <v>1700</v>
      </c>
      <c r="B3093" s="78" t="s">
        <v>32</v>
      </c>
      <c r="C3093" s="85">
        <v>45009.0</v>
      </c>
      <c r="D3093" s="85">
        <v>45021.0</v>
      </c>
      <c r="E3093" s="86">
        <v>4.24</v>
      </c>
      <c r="F3093" s="87">
        <v>4.94</v>
      </c>
      <c r="G3093" s="88">
        <f t="shared" si="1"/>
        <v>0.7</v>
      </c>
      <c r="H3093" s="89">
        <f t="shared" si="10"/>
        <v>0.1417004049</v>
      </c>
      <c r="I3093" s="78" t="s">
        <v>3747</v>
      </c>
      <c r="J3093" s="78" t="s">
        <v>69</v>
      </c>
      <c r="K3093" s="58">
        <f t="shared" si="3"/>
        <v>12</v>
      </c>
      <c r="L3093" s="91" t="str">
        <f t="shared" si="8"/>
        <v>Wed</v>
      </c>
      <c r="M3093" s="78" t="str">
        <f>IFERROR(VLOOKUP(A3093, Entries!A:B,2,false),"")</f>
        <v>Warner Bros</v>
      </c>
      <c r="N3093" s="23" t="str">
        <f>IFERROR(VLOOKUP(A3093, Entries!A:K,11,false),"")</f>
        <v/>
      </c>
    </row>
    <row r="3094">
      <c r="A3094" s="78" t="s">
        <v>3366</v>
      </c>
      <c r="B3094" s="78" t="s">
        <v>25</v>
      </c>
      <c r="C3094" s="85">
        <v>45010.0</v>
      </c>
      <c r="D3094" s="85">
        <v>45012.0</v>
      </c>
      <c r="E3094" s="86">
        <v>4.57</v>
      </c>
      <c r="F3094" s="87">
        <v>5.56</v>
      </c>
      <c r="G3094" s="88">
        <f t="shared" si="1"/>
        <v>0.99</v>
      </c>
      <c r="H3094" s="89">
        <f t="shared" si="10"/>
        <v>0.178057554</v>
      </c>
      <c r="I3094" s="78" t="s">
        <v>3748</v>
      </c>
      <c r="J3094" s="78" t="s">
        <v>69</v>
      </c>
      <c r="K3094" s="58">
        <f t="shared" si="3"/>
        <v>2</v>
      </c>
      <c r="L3094" s="91" t="str">
        <f t="shared" si="8"/>
        <v>Mon</v>
      </c>
      <c r="M3094" s="78" t="str">
        <f>IFERROR(VLOOKUP(A3094, Entries!A:B,2,false),"")</f>
        <v>Sector D2</v>
      </c>
      <c r="N3094" s="23" t="str">
        <f>IFERROR(VLOOKUP(A3094, Entries!A:K,11,false),"")</f>
        <v/>
      </c>
    </row>
    <row r="3095">
      <c r="A3095" s="78" t="s">
        <v>3366</v>
      </c>
      <c r="B3095" s="78" t="s">
        <v>25</v>
      </c>
      <c r="C3095" s="85">
        <v>45010.0</v>
      </c>
      <c r="D3095" s="85">
        <v>45013.0</v>
      </c>
      <c r="E3095" s="86">
        <v>4.57</v>
      </c>
      <c r="F3095" s="87">
        <v>6.21</v>
      </c>
      <c r="G3095" s="88">
        <f t="shared" si="1"/>
        <v>1.64</v>
      </c>
      <c r="H3095" s="89">
        <f t="shared" si="10"/>
        <v>0.2640901771</v>
      </c>
      <c r="I3095" s="78" t="s">
        <v>3749</v>
      </c>
      <c r="J3095" s="78" t="s">
        <v>69</v>
      </c>
      <c r="K3095" s="58">
        <f t="shared" si="3"/>
        <v>3</v>
      </c>
      <c r="L3095" s="91" t="str">
        <f t="shared" si="8"/>
        <v>Tue</v>
      </c>
      <c r="M3095" s="78" t="str">
        <f>IFERROR(VLOOKUP(A3095, Entries!A:B,2,false),"")</f>
        <v>Sector D2</v>
      </c>
      <c r="N3095" s="23" t="str">
        <f>IFERROR(VLOOKUP(A3095, Entries!A:K,11,false),"")</f>
        <v/>
      </c>
    </row>
    <row r="3096">
      <c r="A3096" s="78" t="s">
        <v>876</v>
      </c>
      <c r="B3096" s="78" t="s">
        <v>19</v>
      </c>
      <c r="C3096" s="85">
        <v>45010.0</v>
      </c>
      <c r="D3096" s="85">
        <v>45029.0</v>
      </c>
      <c r="E3096" s="86">
        <v>16.99</v>
      </c>
      <c r="F3096" s="87">
        <v>22.29</v>
      </c>
      <c r="G3096" s="88">
        <f t="shared" si="1"/>
        <v>5.3</v>
      </c>
      <c r="H3096" s="89">
        <f t="shared" si="10"/>
        <v>0.2377747869</v>
      </c>
      <c r="I3096" s="78" t="s">
        <v>3750</v>
      </c>
      <c r="J3096" s="78" t="s">
        <v>69</v>
      </c>
      <c r="K3096" s="58">
        <f t="shared" si="3"/>
        <v>19</v>
      </c>
      <c r="L3096" s="91" t="str">
        <f t="shared" si="8"/>
        <v>Thu</v>
      </c>
      <c r="M3096" s="78" t="str">
        <f>IFERROR(VLOOKUP(A3096, Entries!A:B,2,false),"")</f>
        <v>Berserk Games</v>
      </c>
      <c r="N3096" s="23" t="str">
        <f>IFERROR(VLOOKUP(A3096, Entries!A:K,11,false),"")</f>
        <v/>
      </c>
    </row>
    <row r="3097">
      <c r="A3097" s="78" t="s">
        <v>214</v>
      </c>
      <c r="B3097" s="78" t="s">
        <v>27</v>
      </c>
      <c r="C3097" s="85">
        <v>45010.0</v>
      </c>
      <c r="D3097" s="85">
        <v>45791.0</v>
      </c>
      <c r="E3097" s="86">
        <v>3.19</v>
      </c>
      <c r="F3097" s="87">
        <v>2.35</v>
      </c>
      <c r="G3097" s="88">
        <f t="shared" si="1"/>
        <v>-0.84</v>
      </c>
      <c r="H3097" s="89">
        <f t="shared" si="10"/>
        <v>-0.3574468085</v>
      </c>
      <c r="I3097" s="103" t="s">
        <v>3751</v>
      </c>
      <c r="J3097" s="78" t="s">
        <v>69</v>
      </c>
      <c r="K3097" s="58">
        <f t="shared" si="3"/>
        <v>781</v>
      </c>
      <c r="L3097" s="91" t="str">
        <f t="shared" si="8"/>
        <v>Wed</v>
      </c>
      <c r="M3097" s="78" t="str">
        <f>IFERROR(VLOOKUP(A3097, Entries!A:B,2,false),"")</f>
        <v>Warner Bros</v>
      </c>
      <c r="N3097" s="23" t="str">
        <f>IFERROR(VLOOKUP(A3097, Entries!A:K,11,false),"")</f>
        <v/>
      </c>
      <c r="O3097" s="23" t="b">
        <f>IFERROR(VLOOKUP(A3097, Entries!A:I,8,false),"")</f>
        <v>0</v>
      </c>
    </row>
    <row r="3098">
      <c r="A3098" s="78" t="s">
        <v>1023</v>
      </c>
      <c r="B3098" s="78" t="s">
        <v>32</v>
      </c>
      <c r="C3098" s="85">
        <v>45010.0</v>
      </c>
      <c r="D3098" s="85">
        <v>45012.0</v>
      </c>
      <c r="E3098" s="86">
        <v>4.99</v>
      </c>
      <c r="F3098" s="87">
        <v>7.93</v>
      </c>
      <c r="G3098" s="88">
        <f t="shared" si="1"/>
        <v>2.94</v>
      </c>
      <c r="H3098" s="89">
        <f t="shared" si="10"/>
        <v>0.3707440101</v>
      </c>
      <c r="I3098" s="78" t="s">
        <v>3752</v>
      </c>
      <c r="J3098" s="78" t="s">
        <v>69</v>
      </c>
      <c r="K3098" s="58">
        <f t="shared" si="3"/>
        <v>2</v>
      </c>
      <c r="L3098" s="91" t="str">
        <f t="shared" si="8"/>
        <v>Mon</v>
      </c>
      <c r="M3098" s="78" t="str">
        <f>IFERROR(VLOOKUP(A3098, Entries!A:B,2,false),"")</f>
        <v>Square Enix</v>
      </c>
      <c r="N3098" s="23" t="str">
        <f>IFERROR(VLOOKUP(A3098, Entries!A:K,11,false),"")</f>
        <v/>
      </c>
    </row>
    <row r="3099">
      <c r="A3099" s="78" t="s">
        <v>1023</v>
      </c>
      <c r="B3099" s="78" t="s">
        <v>32</v>
      </c>
      <c r="C3099" s="85">
        <v>45010.0</v>
      </c>
      <c r="D3099" s="85">
        <v>45032.0</v>
      </c>
      <c r="E3099" s="86">
        <v>5.0</v>
      </c>
      <c r="F3099" s="87">
        <v>7.9</v>
      </c>
      <c r="G3099" s="88">
        <f t="shared" si="1"/>
        <v>2.9</v>
      </c>
      <c r="H3099" s="89">
        <f t="shared" si="10"/>
        <v>0.3670886076</v>
      </c>
      <c r="I3099" s="78" t="s">
        <v>3753</v>
      </c>
      <c r="J3099" s="78" t="s">
        <v>69</v>
      </c>
      <c r="K3099" s="58">
        <f t="shared" si="3"/>
        <v>22</v>
      </c>
      <c r="L3099" s="91" t="str">
        <f t="shared" si="8"/>
        <v>Sun</v>
      </c>
      <c r="M3099" s="78" t="str">
        <f>IFERROR(VLOOKUP(A3099, Entries!A:B,2,false),"")</f>
        <v>Square Enix</v>
      </c>
      <c r="N3099" s="23" t="str">
        <f>IFERROR(VLOOKUP(A3099, Entries!A:K,11,false),"")</f>
        <v/>
      </c>
    </row>
    <row r="3100">
      <c r="A3100" s="78" t="s">
        <v>1849</v>
      </c>
      <c r="B3100" s="78" t="s">
        <v>22</v>
      </c>
      <c r="C3100" s="85">
        <v>45011.0</v>
      </c>
      <c r="D3100" s="85">
        <v>45014.0</v>
      </c>
      <c r="E3100" s="86">
        <v>4.73</v>
      </c>
      <c r="F3100" s="87">
        <v>7.28</v>
      </c>
      <c r="G3100" s="88">
        <f t="shared" si="1"/>
        <v>2.55</v>
      </c>
      <c r="H3100" s="89">
        <f t="shared" si="10"/>
        <v>0.3502747253</v>
      </c>
      <c r="I3100" s="78" t="s">
        <v>3754</v>
      </c>
      <c r="J3100" s="78" t="s">
        <v>69</v>
      </c>
      <c r="K3100" s="58">
        <f t="shared" si="3"/>
        <v>3</v>
      </c>
      <c r="L3100" s="91" t="str">
        <f t="shared" si="8"/>
        <v>Wed</v>
      </c>
      <c r="M3100" s="78" t="str">
        <f>IFERROR(VLOOKUP(A3100, Entries!A:B,2,false),"")</f>
        <v>Marmalade Game Studio</v>
      </c>
      <c r="N3100" s="23" t="str">
        <f>IFERROR(VLOOKUP(A3100, Entries!A:K,11,false),"")</f>
        <v/>
      </c>
    </row>
    <row r="3101">
      <c r="A3101" s="78" t="s">
        <v>2789</v>
      </c>
      <c r="B3101" s="78" t="s">
        <v>19</v>
      </c>
      <c r="C3101" s="85">
        <v>45011.0</v>
      </c>
      <c r="D3101" s="85">
        <v>45011.0</v>
      </c>
      <c r="E3101" s="86">
        <v>3.33</v>
      </c>
      <c r="F3101" s="87">
        <v>4.68</v>
      </c>
      <c r="G3101" s="88">
        <f t="shared" si="1"/>
        <v>1.35</v>
      </c>
      <c r="H3101" s="89">
        <f t="shared" si="10"/>
        <v>0.2884615385</v>
      </c>
      <c r="I3101" s="78" t="s">
        <v>3755</v>
      </c>
      <c r="J3101" s="78" t="s">
        <v>69</v>
      </c>
      <c r="K3101" s="58">
        <f t="shared" si="3"/>
        <v>0</v>
      </c>
      <c r="L3101" s="91" t="str">
        <f t="shared" si="8"/>
        <v>Sun</v>
      </c>
      <c r="M3101" s="78" t="str">
        <f>IFERROR(VLOOKUP(A3101, Entries!A:B,2,false),"")</f>
        <v>Evil Tortilla Games</v>
      </c>
      <c r="N3101" s="23" t="str">
        <f>IFERROR(VLOOKUP(A3101, Entries!A:K,11,false),"")</f>
        <v/>
      </c>
    </row>
    <row r="3102">
      <c r="A3102" s="78" t="s">
        <v>2789</v>
      </c>
      <c r="B3102" s="78" t="s">
        <v>19</v>
      </c>
      <c r="C3102" s="85">
        <v>45012.0</v>
      </c>
      <c r="D3102" s="85">
        <v>45016.0</v>
      </c>
      <c r="E3102" s="86">
        <v>3.33</v>
      </c>
      <c r="F3102" s="87">
        <v>4.81</v>
      </c>
      <c r="G3102" s="88">
        <f t="shared" si="1"/>
        <v>1.48</v>
      </c>
      <c r="H3102" s="89">
        <f t="shared" si="10"/>
        <v>0.3076923077</v>
      </c>
      <c r="I3102" s="78" t="s">
        <v>3756</v>
      </c>
      <c r="J3102" s="78" t="s">
        <v>69</v>
      </c>
      <c r="K3102" s="58">
        <f t="shared" si="3"/>
        <v>4</v>
      </c>
      <c r="L3102" s="91" t="str">
        <f t="shared" si="8"/>
        <v>Fri</v>
      </c>
      <c r="M3102" s="78" t="str">
        <f>IFERROR(VLOOKUP(A3102, Entries!A:B,2,false),"")</f>
        <v>Evil Tortilla Games</v>
      </c>
      <c r="N3102" s="23" t="str">
        <f>IFERROR(VLOOKUP(A3102, Entries!A:K,11,false),"")</f>
        <v/>
      </c>
    </row>
    <row r="3103">
      <c r="A3103" s="78" t="s">
        <v>3366</v>
      </c>
      <c r="B3103" s="78" t="s">
        <v>25</v>
      </c>
      <c r="C3103" s="85">
        <v>45012.0</v>
      </c>
      <c r="D3103" s="85">
        <v>45018.0</v>
      </c>
      <c r="E3103" s="86">
        <v>4.57</v>
      </c>
      <c r="F3103" s="87">
        <v>6.9</v>
      </c>
      <c r="G3103" s="88">
        <f t="shared" si="1"/>
        <v>2.33</v>
      </c>
      <c r="H3103" s="89">
        <f t="shared" si="10"/>
        <v>0.3376811594</v>
      </c>
      <c r="I3103" s="78" t="s">
        <v>3757</v>
      </c>
      <c r="J3103" s="78" t="s">
        <v>69</v>
      </c>
      <c r="K3103" s="58">
        <f t="shared" si="3"/>
        <v>6</v>
      </c>
      <c r="L3103" s="91" t="str">
        <f t="shared" si="8"/>
        <v>Sun</v>
      </c>
      <c r="M3103" s="78" t="str">
        <f>IFERROR(VLOOKUP(A3103, Entries!A:B,2,false),"")</f>
        <v>Sector D2</v>
      </c>
      <c r="N3103" s="23" t="str">
        <f>IFERROR(VLOOKUP(A3103, Entries!A:K,11,false),"")</f>
        <v/>
      </c>
    </row>
    <row r="3104">
      <c r="A3104" s="78" t="s">
        <v>3366</v>
      </c>
      <c r="B3104" s="78" t="s">
        <v>25</v>
      </c>
      <c r="C3104" s="85">
        <v>45012.0</v>
      </c>
      <c r="D3104" s="85">
        <v>45020.0</v>
      </c>
      <c r="E3104" s="86">
        <v>4.57</v>
      </c>
      <c r="F3104" s="87">
        <v>6.99</v>
      </c>
      <c r="G3104" s="88">
        <f t="shared" si="1"/>
        <v>2.42</v>
      </c>
      <c r="H3104" s="89">
        <f t="shared" si="10"/>
        <v>0.3462088698</v>
      </c>
      <c r="I3104" s="78" t="s">
        <v>3758</v>
      </c>
      <c r="J3104" s="78" t="s">
        <v>69</v>
      </c>
      <c r="K3104" s="58">
        <f t="shared" si="3"/>
        <v>8</v>
      </c>
      <c r="L3104" s="91" t="str">
        <f t="shared" si="8"/>
        <v>Tue</v>
      </c>
      <c r="M3104" s="78" t="str">
        <f>IFERROR(VLOOKUP(A3104, Entries!A:B,2,false),"")</f>
        <v>Sector D2</v>
      </c>
      <c r="N3104" s="23" t="str">
        <f>IFERROR(VLOOKUP(A3104, Entries!A:K,11,false),"")</f>
        <v/>
      </c>
    </row>
    <row r="3105">
      <c r="A3105" s="78" t="s">
        <v>3366</v>
      </c>
      <c r="B3105" s="78" t="s">
        <v>25</v>
      </c>
      <c r="C3105" s="85">
        <v>45012.0</v>
      </c>
      <c r="D3105" s="85">
        <v>45020.0</v>
      </c>
      <c r="E3105" s="86">
        <v>4.57</v>
      </c>
      <c r="F3105" s="87">
        <v>6.99</v>
      </c>
      <c r="G3105" s="88">
        <f t="shared" si="1"/>
        <v>2.42</v>
      </c>
      <c r="H3105" s="89">
        <f t="shared" si="10"/>
        <v>0.3462088698</v>
      </c>
      <c r="I3105" s="78" t="s">
        <v>3759</v>
      </c>
      <c r="J3105" s="78" t="s">
        <v>69</v>
      </c>
      <c r="K3105" s="58">
        <f t="shared" si="3"/>
        <v>8</v>
      </c>
      <c r="L3105" s="91" t="str">
        <f t="shared" si="8"/>
        <v>Tue</v>
      </c>
      <c r="M3105" s="78" t="str">
        <f>IFERROR(VLOOKUP(A3105, Entries!A:B,2,false),"")</f>
        <v>Sector D2</v>
      </c>
      <c r="N3105" s="23" t="str">
        <f>IFERROR(VLOOKUP(A3105, Entries!A:K,11,false),"")</f>
        <v/>
      </c>
    </row>
    <row r="3106">
      <c r="A3106" s="78" t="s">
        <v>3760</v>
      </c>
      <c r="B3106" s="78" t="s">
        <v>27</v>
      </c>
      <c r="C3106" s="85">
        <v>45012.0</v>
      </c>
      <c r="D3106" s="25"/>
      <c r="E3106" s="86">
        <v>11.99</v>
      </c>
      <c r="F3106" s="88"/>
      <c r="G3106" s="88">
        <f t="shared" si="1"/>
        <v>-11.99</v>
      </c>
      <c r="H3106" s="89" t="str">
        <f t="shared" si="10"/>
        <v/>
      </c>
      <c r="I3106" s="103" t="s">
        <v>3761</v>
      </c>
      <c r="J3106" s="78" t="s">
        <v>1129</v>
      </c>
      <c r="K3106" s="58" t="str">
        <f t="shared" si="3"/>
        <v/>
      </c>
      <c r="L3106" s="91" t="str">
        <f t="shared" si="8"/>
        <v/>
      </c>
      <c r="M3106" s="78" t="str">
        <f>IFERROR(VLOOKUP(A3106, Entries!A:B,2,false),"")</f>
        <v>Tripwire Presents</v>
      </c>
      <c r="N3106" s="23" t="str">
        <f>IFERROR(VLOOKUP(A3106, Entries!A:K,11,false),"")</f>
        <v/>
      </c>
      <c r="O3106" s="23" t="b">
        <f>IFERROR(VLOOKUP(A3106, Entries!A:I,8,false),"")</f>
        <v>0</v>
      </c>
    </row>
    <row r="3107">
      <c r="A3107" s="78" t="s">
        <v>3430</v>
      </c>
      <c r="B3107" s="78" t="s">
        <v>25</v>
      </c>
      <c r="C3107" s="85">
        <v>45013.0</v>
      </c>
      <c r="D3107" s="85">
        <v>45015.0</v>
      </c>
      <c r="E3107" s="86">
        <v>6.15</v>
      </c>
      <c r="F3107" s="87">
        <v>10.12</v>
      </c>
      <c r="G3107" s="88">
        <f t="shared" si="1"/>
        <v>3.97</v>
      </c>
      <c r="H3107" s="89">
        <f t="shared" si="10"/>
        <v>0.3922924901</v>
      </c>
      <c r="I3107" s="78" t="s">
        <v>3762</v>
      </c>
      <c r="J3107" s="78" t="s">
        <v>69</v>
      </c>
      <c r="K3107" s="58">
        <f t="shared" si="3"/>
        <v>2</v>
      </c>
      <c r="L3107" s="91" t="str">
        <f t="shared" si="8"/>
        <v>Thu</v>
      </c>
      <c r="M3107" s="78" t="str">
        <f>IFERROR(VLOOKUP(A3107, Entries!A:B,2,false),"")</f>
        <v>HandyGames</v>
      </c>
      <c r="N3107" s="23" t="str">
        <f>IFERROR(VLOOKUP(A3107, Entries!A:K,11,false),"")</f>
        <v/>
      </c>
    </row>
    <row r="3108">
      <c r="A3108" s="94" t="s">
        <v>3763</v>
      </c>
      <c r="B3108" s="78" t="s">
        <v>25</v>
      </c>
      <c r="C3108" s="85">
        <v>45013.0</v>
      </c>
      <c r="D3108" s="85">
        <v>45623.0</v>
      </c>
      <c r="E3108" s="86">
        <v>16.69</v>
      </c>
      <c r="F3108" s="87">
        <v>18.25</v>
      </c>
      <c r="G3108" s="88">
        <f t="shared" si="1"/>
        <v>1.56</v>
      </c>
      <c r="H3108" s="89">
        <f t="shared" si="10"/>
        <v>0.08547945205</v>
      </c>
      <c r="I3108" s="78" t="s">
        <v>3764</v>
      </c>
      <c r="J3108" s="78" t="s">
        <v>69</v>
      </c>
      <c r="K3108" s="58">
        <f t="shared" si="3"/>
        <v>610</v>
      </c>
      <c r="L3108" s="91" t="str">
        <f t="shared" si="8"/>
        <v>Wed</v>
      </c>
      <c r="M3108" s="78" t="str">
        <f>IFERROR(VLOOKUP(A3108, Entries!A:B,2,false),"")</f>
        <v>Coffee Stain</v>
      </c>
      <c r="N3108" s="23" t="str">
        <f>IFERROR(VLOOKUP(A3108, Entries!A:K,11,false),"")</f>
        <v/>
      </c>
      <c r="O3108" s="23" t="b">
        <f>IFERROR(VLOOKUP(A3108, Entries!A:I,8,false),"")</f>
        <v>0</v>
      </c>
    </row>
    <row r="3109">
      <c r="A3109" s="78" t="s">
        <v>1849</v>
      </c>
      <c r="B3109" s="78" t="s">
        <v>22</v>
      </c>
      <c r="C3109" s="85">
        <v>45014.0</v>
      </c>
      <c r="D3109" s="85">
        <v>45027.0</v>
      </c>
      <c r="E3109" s="86">
        <v>4.73</v>
      </c>
      <c r="F3109" s="87">
        <v>6.96</v>
      </c>
      <c r="G3109" s="88">
        <f t="shared" si="1"/>
        <v>2.23</v>
      </c>
      <c r="H3109" s="89">
        <f t="shared" si="10"/>
        <v>0.3204022989</v>
      </c>
      <c r="I3109" s="78" t="s">
        <v>3765</v>
      </c>
      <c r="J3109" s="78" t="s">
        <v>69</v>
      </c>
      <c r="K3109" s="58">
        <f t="shared" si="3"/>
        <v>13</v>
      </c>
      <c r="L3109" s="91" t="str">
        <f t="shared" si="8"/>
        <v>Tue</v>
      </c>
      <c r="M3109" s="78" t="str">
        <f>IFERROR(VLOOKUP(A3109, Entries!A:B,2,false),"")</f>
        <v>Marmalade Game Studio</v>
      </c>
      <c r="N3109" s="23" t="str">
        <f>IFERROR(VLOOKUP(A3109, Entries!A:K,11,false),"")</f>
        <v/>
      </c>
    </row>
    <row r="3110">
      <c r="A3110" s="78" t="s">
        <v>3766</v>
      </c>
      <c r="B3110" s="78" t="s">
        <v>30</v>
      </c>
      <c r="C3110" s="85">
        <v>45014.0</v>
      </c>
      <c r="D3110" s="85">
        <v>45015.0</v>
      </c>
      <c r="E3110" s="86">
        <v>9.64</v>
      </c>
      <c r="F3110" s="87">
        <v>10.96</v>
      </c>
      <c r="G3110" s="88">
        <f t="shared" si="1"/>
        <v>1.32</v>
      </c>
      <c r="H3110" s="89">
        <f t="shared" si="10"/>
        <v>0.1204379562</v>
      </c>
      <c r="I3110" s="78" t="s">
        <v>3767</v>
      </c>
      <c r="J3110" s="78" t="s">
        <v>69</v>
      </c>
      <c r="K3110" s="58">
        <f t="shared" si="3"/>
        <v>1</v>
      </c>
      <c r="L3110" s="91" t="str">
        <f t="shared" si="8"/>
        <v>Thu</v>
      </c>
      <c r="M3110" s="78" t="str">
        <f>IFERROR(VLOOKUP(A3110, Entries!A:B,2,false),"")</f>
        <v>Paradox Interactive</v>
      </c>
      <c r="N3110" s="23" t="str">
        <f>IFERROR(VLOOKUP(A3110, Entries!A:K,11,false),"")</f>
        <v/>
      </c>
    </row>
    <row r="3111">
      <c r="A3111" s="78" t="s">
        <v>3766</v>
      </c>
      <c r="B3111" s="78" t="s">
        <v>30</v>
      </c>
      <c r="C3111" s="85">
        <v>45015.0</v>
      </c>
      <c r="D3111" s="85">
        <v>45015.0</v>
      </c>
      <c r="E3111" s="86">
        <v>9.62</v>
      </c>
      <c r="F3111" s="87">
        <v>12.7</v>
      </c>
      <c r="G3111" s="88">
        <f t="shared" si="1"/>
        <v>3.08</v>
      </c>
      <c r="H3111" s="89">
        <f t="shared" si="10"/>
        <v>0.242519685</v>
      </c>
      <c r="I3111" s="78" t="s">
        <v>3768</v>
      </c>
      <c r="J3111" s="78" t="s">
        <v>69</v>
      </c>
      <c r="K3111" s="58">
        <f t="shared" si="3"/>
        <v>0</v>
      </c>
      <c r="L3111" s="91" t="str">
        <f t="shared" si="8"/>
        <v>Thu</v>
      </c>
      <c r="M3111" s="78" t="str">
        <f>IFERROR(VLOOKUP(A3111, Entries!A:B,2,false),"")</f>
        <v>Paradox Interactive</v>
      </c>
      <c r="N3111" s="23" t="str">
        <f>IFERROR(VLOOKUP(A3111, Entries!A:K,11,false),"")</f>
        <v/>
      </c>
    </row>
    <row r="3112">
      <c r="A3112" s="78" t="s">
        <v>3766</v>
      </c>
      <c r="B3112" s="78" t="s">
        <v>30</v>
      </c>
      <c r="C3112" s="85">
        <v>45015.0</v>
      </c>
      <c r="D3112" s="85">
        <v>45015.0</v>
      </c>
      <c r="E3112" s="86">
        <v>9.62</v>
      </c>
      <c r="F3112" s="87">
        <v>12.7</v>
      </c>
      <c r="G3112" s="88">
        <f t="shared" si="1"/>
        <v>3.08</v>
      </c>
      <c r="H3112" s="89">
        <f t="shared" si="10"/>
        <v>0.242519685</v>
      </c>
      <c r="I3112" s="78" t="s">
        <v>3769</v>
      </c>
      <c r="J3112" s="78" t="s">
        <v>69</v>
      </c>
      <c r="K3112" s="58">
        <f t="shared" si="3"/>
        <v>0</v>
      </c>
      <c r="L3112" s="91" t="str">
        <f t="shared" si="8"/>
        <v>Thu</v>
      </c>
      <c r="M3112" s="78" t="str">
        <f>IFERROR(VLOOKUP(A3112, Entries!A:B,2,false),"")</f>
        <v>Paradox Interactive</v>
      </c>
      <c r="N3112" s="23" t="str">
        <f>IFERROR(VLOOKUP(A3112, Entries!A:K,11,false),"")</f>
        <v/>
      </c>
    </row>
    <row r="3113">
      <c r="A3113" s="78" t="s">
        <v>3430</v>
      </c>
      <c r="B3113" s="78" t="s">
        <v>25</v>
      </c>
      <c r="C3113" s="85">
        <v>45015.0</v>
      </c>
      <c r="D3113" s="85">
        <v>45022.0</v>
      </c>
      <c r="E3113" s="86">
        <v>6.11</v>
      </c>
      <c r="F3113" s="87">
        <v>10.12</v>
      </c>
      <c r="G3113" s="88">
        <f t="shared" si="1"/>
        <v>4.01</v>
      </c>
      <c r="H3113" s="89">
        <f t="shared" si="10"/>
        <v>0.3962450593</v>
      </c>
      <c r="I3113" s="78" t="s">
        <v>3770</v>
      </c>
      <c r="J3113" s="78" t="s">
        <v>69</v>
      </c>
      <c r="K3113" s="58">
        <f t="shared" si="3"/>
        <v>7</v>
      </c>
      <c r="L3113" s="91" t="str">
        <f t="shared" si="8"/>
        <v>Thu</v>
      </c>
      <c r="M3113" s="78" t="str">
        <f>IFERROR(VLOOKUP(A3113, Entries!A:B,2,false),"")</f>
        <v>HandyGames</v>
      </c>
      <c r="N3113" s="23" t="str">
        <f>IFERROR(VLOOKUP(A3113, Entries!A:K,11,false),"")</f>
        <v/>
      </c>
    </row>
    <row r="3114">
      <c r="A3114" s="78" t="s">
        <v>3771</v>
      </c>
      <c r="B3114" s="78" t="s">
        <v>18</v>
      </c>
      <c r="C3114" s="85">
        <v>45015.0</v>
      </c>
      <c r="D3114" s="85">
        <v>45031.0</v>
      </c>
      <c r="E3114" s="86">
        <v>11.78</v>
      </c>
      <c r="F3114" s="87">
        <v>12.83</v>
      </c>
      <c r="G3114" s="88">
        <f t="shared" si="1"/>
        <v>1.05</v>
      </c>
      <c r="H3114" s="89">
        <f t="shared" si="10"/>
        <v>0.08183943882</v>
      </c>
      <c r="I3114" s="78" t="s">
        <v>3772</v>
      </c>
      <c r="J3114" s="78" t="s">
        <v>69</v>
      </c>
      <c r="K3114" s="58">
        <f t="shared" si="3"/>
        <v>16</v>
      </c>
      <c r="L3114" s="91" t="str">
        <f t="shared" si="8"/>
        <v>Sat</v>
      </c>
      <c r="M3114" s="78" t="str">
        <f>IFERROR(VLOOKUP(A3114, Entries!A:B,2,false),"")</f>
        <v>Good Shepherd Entertainment</v>
      </c>
      <c r="N3114" s="23" t="str">
        <f>IFERROR(VLOOKUP(A3114, Entries!A:K,11,false),"")</f>
        <v/>
      </c>
    </row>
    <row r="3115">
      <c r="A3115" s="78" t="s">
        <v>3771</v>
      </c>
      <c r="B3115" s="78" t="s">
        <v>18</v>
      </c>
      <c r="C3115" s="85">
        <v>45015.0</v>
      </c>
      <c r="D3115" s="85">
        <v>45031.0</v>
      </c>
      <c r="E3115" s="86">
        <v>11.77</v>
      </c>
      <c r="F3115" s="87">
        <v>12.83</v>
      </c>
      <c r="G3115" s="88">
        <f t="shared" si="1"/>
        <v>1.06</v>
      </c>
      <c r="H3115" s="89">
        <f t="shared" si="10"/>
        <v>0.08261886204</v>
      </c>
      <c r="I3115" s="78" t="s">
        <v>3773</v>
      </c>
      <c r="J3115" s="78" t="s">
        <v>69</v>
      </c>
      <c r="K3115" s="58">
        <f t="shared" si="3"/>
        <v>16</v>
      </c>
      <c r="L3115" s="91" t="str">
        <f t="shared" si="8"/>
        <v>Sat</v>
      </c>
      <c r="M3115" s="78" t="str">
        <f>IFERROR(VLOOKUP(A3115, Entries!A:B,2,false),"")</f>
        <v>Good Shepherd Entertainment</v>
      </c>
      <c r="N3115" s="23" t="str">
        <f>IFERROR(VLOOKUP(A3115, Entries!A:K,11,false),"")</f>
        <v/>
      </c>
    </row>
    <row r="3116">
      <c r="A3116" s="78" t="s">
        <v>3766</v>
      </c>
      <c r="B3116" s="78" t="s">
        <v>30</v>
      </c>
      <c r="C3116" s="85">
        <v>45016.0</v>
      </c>
      <c r="D3116" s="85">
        <v>45019.0</v>
      </c>
      <c r="E3116" s="86">
        <v>9.62</v>
      </c>
      <c r="F3116" s="87">
        <v>12.38</v>
      </c>
      <c r="G3116" s="88">
        <f t="shared" si="1"/>
        <v>2.76</v>
      </c>
      <c r="H3116" s="89">
        <f t="shared" si="10"/>
        <v>0.2229402262</v>
      </c>
      <c r="I3116" s="78" t="s">
        <v>3774</v>
      </c>
      <c r="J3116" s="78" t="s">
        <v>69</v>
      </c>
      <c r="K3116" s="58">
        <f t="shared" si="3"/>
        <v>3</v>
      </c>
      <c r="L3116" s="91" t="str">
        <f t="shared" si="8"/>
        <v>Mon</v>
      </c>
      <c r="M3116" s="78" t="str">
        <f>IFERROR(VLOOKUP(A3116, Entries!A:B,2,false),"")</f>
        <v>Paradox Interactive</v>
      </c>
      <c r="N3116" s="23" t="str">
        <f>IFERROR(VLOOKUP(A3116, Entries!A:K,11,false),"")</f>
        <v/>
      </c>
    </row>
    <row r="3117">
      <c r="A3117" s="78" t="s">
        <v>2789</v>
      </c>
      <c r="B3117" s="78" t="s">
        <v>19</v>
      </c>
      <c r="C3117" s="85">
        <v>45016.0</v>
      </c>
      <c r="D3117" s="85">
        <v>45018.0</v>
      </c>
      <c r="E3117" s="86">
        <v>3.33</v>
      </c>
      <c r="F3117" s="87">
        <v>4.42</v>
      </c>
      <c r="G3117" s="88">
        <f t="shared" si="1"/>
        <v>1.09</v>
      </c>
      <c r="H3117" s="89">
        <f t="shared" si="10"/>
        <v>0.2466063348</v>
      </c>
      <c r="I3117" s="78" t="s">
        <v>3775</v>
      </c>
      <c r="J3117" s="78" t="s">
        <v>69</v>
      </c>
      <c r="K3117" s="58">
        <f t="shared" si="3"/>
        <v>2</v>
      </c>
      <c r="L3117" s="91" t="str">
        <f t="shared" si="8"/>
        <v>Sun</v>
      </c>
      <c r="M3117" s="78" t="str">
        <f>IFERROR(VLOOKUP(A3117, Entries!A:B,2,false),"")</f>
        <v>Evil Tortilla Games</v>
      </c>
      <c r="N3117" s="23" t="str">
        <f>IFERROR(VLOOKUP(A3117, Entries!A:K,11,false),"")</f>
        <v/>
      </c>
    </row>
    <row r="3118">
      <c r="A3118" s="78" t="s">
        <v>678</v>
      </c>
      <c r="B3118" s="78" t="s">
        <v>21</v>
      </c>
      <c r="C3118" s="85">
        <v>45016.0</v>
      </c>
      <c r="D3118" s="25"/>
      <c r="E3118" s="86">
        <v>14.9</v>
      </c>
      <c r="F3118" s="88"/>
      <c r="G3118" s="88">
        <f t="shared" si="1"/>
        <v>-14.9</v>
      </c>
      <c r="H3118" s="89" t="str">
        <f t="shared" si="10"/>
        <v/>
      </c>
      <c r="I3118" s="103" t="s">
        <v>3776</v>
      </c>
      <c r="J3118" s="78" t="s">
        <v>1129</v>
      </c>
      <c r="K3118" s="58" t="str">
        <f t="shared" si="3"/>
        <v/>
      </c>
      <c r="L3118" s="91" t="str">
        <f t="shared" si="8"/>
        <v/>
      </c>
      <c r="M3118" s="78" t="str">
        <f>IFERROR(VLOOKUP(A3118, Entries!A:B,2,false),"")</f>
        <v>FireFly Studios</v>
      </c>
      <c r="N3118" s="23" t="str">
        <f>IFERROR(VLOOKUP(A3118, Entries!A:K,11,false),"")</f>
        <v/>
      </c>
      <c r="O3118" s="23" t="b">
        <f>IFERROR(VLOOKUP(A3118, Entries!A:I,8,false),"")</f>
        <v>0</v>
      </c>
    </row>
    <row r="3119">
      <c r="A3119" s="78" t="s">
        <v>3777</v>
      </c>
      <c r="B3119" s="78" t="s">
        <v>22</v>
      </c>
      <c r="C3119" s="85">
        <v>45016.0</v>
      </c>
      <c r="D3119" s="85">
        <v>45173.0</v>
      </c>
      <c r="E3119" s="86">
        <v>10.0</v>
      </c>
      <c r="F3119" s="87">
        <v>12.06</v>
      </c>
      <c r="G3119" s="88">
        <f t="shared" si="1"/>
        <v>2.06</v>
      </c>
      <c r="H3119" s="89">
        <f t="shared" si="10"/>
        <v>0.1708126036</v>
      </c>
      <c r="I3119" s="78" t="s">
        <v>3778</v>
      </c>
      <c r="J3119" s="78" t="s">
        <v>69</v>
      </c>
      <c r="K3119" s="58">
        <f t="shared" si="3"/>
        <v>157</v>
      </c>
      <c r="L3119" s="91" t="str">
        <f t="shared" si="8"/>
        <v>Mon</v>
      </c>
      <c r="M3119" s="78" t="str">
        <f>IFERROR(VLOOKUP(A3119, Entries!A:B,2,false),"")</f>
        <v>Chromatic Games</v>
      </c>
      <c r="N3119" s="23" t="str">
        <f>IFERROR(VLOOKUP(A3119, Entries!A:K,11,false),"")</f>
        <v/>
      </c>
      <c r="O3119" s="23" t="b">
        <f>IFERROR(VLOOKUP(A3119, Entries!A:I,8,false),"")</f>
        <v>0</v>
      </c>
    </row>
    <row r="3120">
      <c r="A3120" s="78" t="s">
        <v>2914</v>
      </c>
      <c r="B3120" s="78" t="s">
        <v>22</v>
      </c>
      <c r="C3120" s="85">
        <v>45017.0</v>
      </c>
      <c r="D3120" s="85">
        <v>45025.0</v>
      </c>
      <c r="E3120" s="86">
        <v>13.72</v>
      </c>
      <c r="F3120" s="87">
        <v>16.91</v>
      </c>
      <c r="G3120" s="88">
        <f t="shared" si="1"/>
        <v>3.19</v>
      </c>
      <c r="H3120" s="89">
        <f t="shared" si="10"/>
        <v>0.1886457717</v>
      </c>
      <c r="I3120" s="78" t="s">
        <v>3779</v>
      </c>
      <c r="J3120" s="78" t="s">
        <v>69</v>
      </c>
      <c r="K3120" s="58">
        <f t="shared" si="3"/>
        <v>8</v>
      </c>
      <c r="L3120" s="91" t="str">
        <f t="shared" si="8"/>
        <v>Sun</v>
      </c>
      <c r="M3120" s="78" t="str">
        <f>IFERROR(VLOOKUP(A3120, Entries!A:B,2,false),"")</f>
        <v>Square Enix</v>
      </c>
      <c r="N3120" s="23" t="str">
        <f>IFERROR(VLOOKUP(A3120, Entries!A:K,11,false),"")</f>
        <v/>
      </c>
    </row>
    <row r="3121">
      <c r="A3121" s="78" t="s">
        <v>769</v>
      </c>
      <c r="B3121" s="78" t="s">
        <v>27</v>
      </c>
      <c r="C3121" s="85">
        <v>45017.0</v>
      </c>
      <c r="D3121" s="85">
        <v>45023.0</v>
      </c>
      <c r="E3121" s="86">
        <v>9.69</v>
      </c>
      <c r="F3121" s="87">
        <v>10.13</v>
      </c>
      <c r="G3121" s="88">
        <f t="shared" si="1"/>
        <v>0.44</v>
      </c>
      <c r="H3121" s="89">
        <f t="shared" si="10"/>
        <v>0.04343534057</v>
      </c>
      <c r="I3121" s="78" t="s">
        <v>3780</v>
      </c>
      <c r="J3121" s="78" t="s">
        <v>69</v>
      </c>
      <c r="K3121" s="58">
        <f t="shared" si="3"/>
        <v>6</v>
      </c>
      <c r="L3121" s="91" t="str">
        <f t="shared" si="8"/>
        <v>Fri</v>
      </c>
      <c r="M3121" s="78" t="str">
        <f>IFERROR(VLOOKUP(A3121, Entries!A:B,2,false),"")</f>
        <v>Starbreeze Publishing</v>
      </c>
      <c r="N3121" s="23" t="str">
        <f>IFERROR(VLOOKUP(A3121, Entries!A:K,11,false),"")</f>
        <v/>
      </c>
    </row>
    <row r="3122">
      <c r="A3122" s="94" t="s">
        <v>769</v>
      </c>
      <c r="B3122" s="78" t="s">
        <v>27</v>
      </c>
      <c r="C3122" s="85">
        <v>45018.0</v>
      </c>
      <c r="D3122" s="85">
        <v>45734.0</v>
      </c>
      <c r="E3122" s="86">
        <v>9.69</v>
      </c>
      <c r="F3122" s="87">
        <v>9.01</v>
      </c>
      <c r="G3122" s="88">
        <f t="shared" si="1"/>
        <v>-0.68</v>
      </c>
      <c r="H3122" s="89">
        <f t="shared" si="10"/>
        <v>-0.07547169811</v>
      </c>
      <c r="I3122" s="78" t="s">
        <v>3781</v>
      </c>
      <c r="J3122" s="78" t="s">
        <v>69</v>
      </c>
      <c r="K3122" s="58">
        <f t="shared" si="3"/>
        <v>716</v>
      </c>
      <c r="L3122" s="91" t="str">
        <f t="shared" si="8"/>
        <v>Tue</v>
      </c>
      <c r="M3122" s="78" t="str">
        <f>IFERROR(VLOOKUP(A3122, Entries!A:B,2,false),"")</f>
        <v>Starbreeze Publishing</v>
      </c>
      <c r="N3122" s="23" t="str">
        <f>IFERROR(VLOOKUP(A3122, Entries!A:K,11,false),"")</f>
        <v/>
      </c>
      <c r="O3122" s="23" t="b">
        <f>IFERROR(VLOOKUP(A3122, Entries!A:I,8,false),"")</f>
        <v>0</v>
      </c>
    </row>
    <row r="3123">
      <c r="A3123" s="78" t="s">
        <v>3782</v>
      </c>
      <c r="B3123" s="78" t="s">
        <v>27</v>
      </c>
      <c r="C3123" s="85">
        <v>45018.0</v>
      </c>
      <c r="D3123" s="85">
        <v>45018.0</v>
      </c>
      <c r="E3123" s="86">
        <v>23.89</v>
      </c>
      <c r="F3123" s="87">
        <v>27.95</v>
      </c>
      <c r="G3123" s="88">
        <f t="shared" si="1"/>
        <v>4.06</v>
      </c>
      <c r="H3123" s="89">
        <f t="shared" si="10"/>
        <v>0.1452593918</v>
      </c>
      <c r="I3123" s="78" t="s">
        <v>3783</v>
      </c>
      <c r="J3123" s="78" t="s">
        <v>69</v>
      </c>
      <c r="K3123" s="58">
        <f t="shared" si="3"/>
        <v>0</v>
      </c>
      <c r="L3123" s="91" t="str">
        <f t="shared" si="8"/>
        <v>Sun</v>
      </c>
      <c r="M3123" s="78" t="str">
        <f>IFERROR(VLOOKUP(A3123, Entries!A:B,2,false),"")</f>
        <v>THQ Nordic</v>
      </c>
      <c r="N3123" s="23" t="str">
        <f>IFERROR(VLOOKUP(A3123, Entries!A:K,11,false),"")</f>
        <v/>
      </c>
    </row>
    <row r="3124">
      <c r="A3124" s="78" t="s">
        <v>2789</v>
      </c>
      <c r="B3124" s="78" t="s">
        <v>19</v>
      </c>
      <c r="C3124" s="85">
        <v>45018.0</v>
      </c>
      <c r="D3124" s="85">
        <v>45021.0</v>
      </c>
      <c r="E3124" s="86">
        <v>3.33</v>
      </c>
      <c r="F3124" s="87">
        <v>4.65</v>
      </c>
      <c r="G3124" s="88">
        <f t="shared" si="1"/>
        <v>1.32</v>
      </c>
      <c r="H3124" s="89">
        <f t="shared" si="10"/>
        <v>0.2838709677</v>
      </c>
      <c r="I3124" s="78" t="s">
        <v>3784</v>
      </c>
      <c r="J3124" s="78" t="s">
        <v>69</v>
      </c>
      <c r="K3124" s="58">
        <f t="shared" si="3"/>
        <v>3</v>
      </c>
      <c r="L3124" s="91" t="str">
        <f t="shared" si="8"/>
        <v>Wed</v>
      </c>
      <c r="M3124" s="78" t="str">
        <f>IFERROR(VLOOKUP(A3124, Entries!A:B,2,false),"")</f>
        <v>Evil Tortilla Games</v>
      </c>
      <c r="N3124" s="23" t="str">
        <f>IFERROR(VLOOKUP(A3124, Entries!A:K,11,false),"")</f>
        <v/>
      </c>
    </row>
    <row r="3125">
      <c r="A3125" s="78" t="s">
        <v>3782</v>
      </c>
      <c r="B3125" s="78" t="s">
        <v>27</v>
      </c>
      <c r="C3125" s="85">
        <v>45018.0</v>
      </c>
      <c r="D3125" s="25"/>
      <c r="E3125" s="86">
        <v>23.89</v>
      </c>
      <c r="F3125" s="88"/>
      <c r="G3125" s="88">
        <f t="shared" si="1"/>
        <v>-23.89</v>
      </c>
      <c r="H3125" s="89" t="str">
        <f t="shared" si="10"/>
        <v/>
      </c>
      <c r="I3125" s="103" t="s">
        <v>3785</v>
      </c>
      <c r="J3125" s="78" t="s">
        <v>1129</v>
      </c>
      <c r="K3125" s="58" t="str">
        <f t="shared" si="3"/>
        <v/>
      </c>
      <c r="L3125" s="91" t="str">
        <f t="shared" si="8"/>
        <v/>
      </c>
      <c r="M3125" s="78" t="str">
        <f>IFERROR(VLOOKUP(A3125, Entries!A:B,2,false),"")</f>
        <v>THQ Nordic</v>
      </c>
      <c r="N3125" s="23" t="str">
        <f>IFERROR(VLOOKUP(A3125, Entries!A:K,11,false),"")</f>
        <v/>
      </c>
      <c r="O3125" s="23" t="b">
        <f>IFERROR(VLOOKUP(A3125, Entries!A:I,8,false),"")</f>
        <v>0</v>
      </c>
    </row>
    <row r="3126">
      <c r="A3126" s="78" t="s">
        <v>3675</v>
      </c>
      <c r="B3126" s="78" t="s">
        <v>27</v>
      </c>
      <c r="C3126" s="85">
        <v>45019.0</v>
      </c>
      <c r="D3126" s="25"/>
      <c r="E3126" s="86">
        <v>14.79</v>
      </c>
      <c r="F3126" s="88"/>
      <c r="G3126" s="88">
        <f t="shared" si="1"/>
        <v>-14.79</v>
      </c>
      <c r="H3126" s="89" t="str">
        <f t="shared" si="10"/>
        <v/>
      </c>
      <c r="I3126" s="103" t="s">
        <v>3786</v>
      </c>
      <c r="J3126" s="78" t="s">
        <v>1129</v>
      </c>
      <c r="K3126" s="58" t="str">
        <f t="shared" si="3"/>
        <v/>
      </c>
      <c r="L3126" s="91" t="str">
        <f t="shared" si="8"/>
        <v/>
      </c>
      <c r="M3126" s="78" t="str">
        <f>IFERROR(VLOOKUP(A3126, Entries!A:B,2,false),"")</f>
        <v>Warner Bros</v>
      </c>
      <c r="N3126" s="23" t="str">
        <f>IFERROR(VLOOKUP(A3126, Entries!A:K,11,false),"")</f>
        <v/>
      </c>
      <c r="O3126" s="23" t="b">
        <f>IFERROR(VLOOKUP(A3126, Entries!A:I,8,false),"")</f>
        <v>0</v>
      </c>
    </row>
    <row r="3127">
      <c r="A3127" s="78" t="s">
        <v>2395</v>
      </c>
      <c r="B3127" s="78" t="s">
        <v>19</v>
      </c>
      <c r="C3127" s="85">
        <v>45019.0</v>
      </c>
      <c r="D3127" s="85">
        <v>45021.0</v>
      </c>
      <c r="E3127" s="86">
        <v>9.49</v>
      </c>
      <c r="F3127" s="87">
        <v>11.85</v>
      </c>
      <c r="G3127" s="88">
        <f t="shared" si="1"/>
        <v>2.36</v>
      </c>
      <c r="H3127" s="89">
        <f t="shared" si="10"/>
        <v>0.1991561181</v>
      </c>
      <c r="I3127" s="78" t="s">
        <v>3787</v>
      </c>
      <c r="J3127" s="78" t="s">
        <v>69</v>
      </c>
      <c r="K3127" s="58">
        <f t="shared" si="3"/>
        <v>2</v>
      </c>
      <c r="L3127" s="91" t="str">
        <f t="shared" si="8"/>
        <v>Wed</v>
      </c>
      <c r="M3127" s="78" t="str">
        <f>IFERROR(VLOOKUP(A3127, Entries!A:B,2,false),"")</f>
        <v>Blue Brain Games</v>
      </c>
      <c r="N3127" s="23" t="str">
        <f>IFERROR(VLOOKUP(A3127, Entries!A:K,11,false),"")</f>
        <v/>
      </c>
    </row>
    <row r="3128">
      <c r="A3128" s="78" t="s">
        <v>2818</v>
      </c>
      <c r="B3128" s="78" t="s">
        <v>19</v>
      </c>
      <c r="C3128" s="85">
        <v>45019.0</v>
      </c>
      <c r="D3128" s="85">
        <v>45034.0</v>
      </c>
      <c r="E3128" s="86">
        <v>3.79</v>
      </c>
      <c r="F3128" s="87">
        <v>5.78</v>
      </c>
      <c r="G3128" s="88">
        <f t="shared" si="1"/>
        <v>1.99</v>
      </c>
      <c r="H3128" s="89">
        <f t="shared" si="10"/>
        <v>0.3442906574</v>
      </c>
      <c r="I3128" s="78" t="s">
        <v>3788</v>
      </c>
      <c r="J3128" s="78" t="s">
        <v>69</v>
      </c>
      <c r="K3128" s="58">
        <f t="shared" si="3"/>
        <v>15</v>
      </c>
      <c r="L3128" s="91" t="str">
        <f t="shared" si="8"/>
        <v>Tue</v>
      </c>
      <c r="M3128" s="78" t="str">
        <f>IFERROR(VLOOKUP(A3128, Entries!A:B,2,false),"")</f>
        <v>Daedalic Entertainment</v>
      </c>
      <c r="N3128" s="23" t="str">
        <f>IFERROR(VLOOKUP(A3128, Entries!A:K,11,false),"")</f>
        <v/>
      </c>
    </row>
    <row r="3129">
      <c r="A3129" s="78" t="s">
        <v>3789</v>
      </c>
      <c r="B3129" s="78" t="s">
        <v>19</v>
      </c>
      <c r="C3129" s="85">
        <v>45020.0</v>
      </c>
      <c r="D3129" s="85">
        <v>45035.0</v>
      </c>
      <c r="E3129" s="86">
        <v>12.34</v>
      </c>
      <c r="F3129" s="87">
        <v>14.45</v>
      </c>
      <c r="G3129" s="88">
        <f t="shared" si="1"/>
        <v>2.11</v>
      </c>
      <c r="H3129" s="89">
        <f t="shared" si="10"/>
        <v>0.1460207612</v>
      </c>
      <c r="I3129" s="78" t="s">
        <v>3790</v>
      </c>
      <c r="J3129" s="78" t="s">
        <v>69</v>
      </c>
      <c r="K3129" s="58">
        <f t="shared" si="3"/>
        <v>15</v>
      </c>
      <c r="L3129" s="91" t="str">
        <f t="shared" si="8"/>
        <v>Wed</v>
      </c>
      <c r="M3129" s="78" t="str">
        <f>IFERROR(VLOOKUP(A3129, Entries!A:B,2,false),"")</f>
        <v>Devolver Digital</v>
      </c>
      <c r="N3129" s="23" t="str">
        <f>IFERROR(VLOOKUP(A3129, Entries!A:K,11,false),"")</f>
        <v/>
      </c>
    </row>
    <row r="3130">
      <c r="A3130" s="78" t="s">
        <v>2528</v>
      </c>
      <c r="B3130" s="78" t="s">
        <v>18</v>
      </c>
      <c r="C3130" s="85">
        <v>45020.0</v>
      </c>
      <c r="D3130" s="85">
        <v>45024.0</v>
      </c>
      <c r="E3130" s="86">
        <v>4.93</v>
      </c>
      <c r="F3130" s="87">
        <v>6.65</v>
      </c>
      <c r="G3130" s="88">
        <f t="shared" si="1"/>
        <v>1.72</v>
      </c>
      <c r="H3130" s="89">
        <f t="shared" si="10"/>
        <v>0.2586466165</v>
      </c>
      <c r="I3130" s="78" t="s">
        <v>3791</v>
      </c>
      <c r="J3130" s="78" t="s">
        <v>69</v>
      </c>
      <c r="K3130" s="58">
        <f t="shared" si="3"/>
        <v>4</v>
      </c>
      <c r="L3130" s="91" t="str">
        <f t="shared" si="8"/>
        <v>Sat</v>
      </c>
      <c r="M3130" s="78" t="str">
        <f>IFERROR(VLOOKUP(A3130, Entries!A:B,2,false),"")</f>
        <v>Cheesecake Dev</v>
      </c>
      <c r="N3130" s="23" t="str">
        <f>IFERROR(VLOOKUP(A3130, Entries!A:K,11,false),"")</f>
        <v/>
      </c>
    </row>
    <row r="3131">
      <c r="A3131" s="78" t="s">
        <v>2528</v>
      </c>
      <c r="B3131" s="78" t="s">
        <v>18</v>
      </c>
      <c r="C3131" s="85">
        <v>45020.0</v>
      </c>
      <c r="D3131" s="85">
        <v>45026.0</v>
      </c>
      <c r="E3131" s="86">
        <v>4.92</v>
      </c>
      <c r="F3131" s="87">
        <v>6.65</v>
      </c>
      <c r="G3131" s="88">
        <f t="shared" si="1"/>
        <v>1.73</v>
      </c>
      <c r="H3131" s="89">
        <f t="shared" si="10"/>
        <v>0.2601503759</v>
      </c>
      <c r="I3131" s="78" t="s">
        <v>3792</v>
      </c>
      <c r="J3131" s="78" t="s">
        <v>69</v>
      </c>
      <c r="K3131" s="58">
        <f t="shared" si="3"/>
        <v>6</v>
      </c>
      <c r="L3131" s="91" t="str">
        <f t="shared" si="8"/>
        <v>Mon</v>
      </c>
      <c r="M3131" s="78" t="str">
        <f>IFERROR(VLOOKUP(A3131, Entries!A:B,2,false),"")</f>
        <v>Cheesecake Dev</v>
      </c>
      <c r="N3131" s="23" t="str">
        <f>IFERROR(VLOOKUP(A3131, Entries!A:K,11,false),"")</f>
        <v/>
      </c>
    </row>
    <row r="3132">
      <c r="A3132" s="78" t="s">
        <v>2789</v>
      </c>
      <c r="B3132" s="78" t="s">
        <v>19</v>
      </c>
      <c r="C3132" s="85">
        <v>45021.0</v>
      </c>
      <c r="D3132" s="85">
        <v>45021.0</v>
      </c>
      <c r="E3132" s="86">
        <v>3.33</v>
      </c>
      <c r="F3132" s="87">
        <v>4.66</v>
      </c>
      <c r="G3132" s="88">
        <f t="shared" si="1"/>
        <v>1.33</v>
      </c>
      <c r="H3132" s="89">
        <f t="shared" si="10"/>
        <v>0.2854077253</v>
      </c>
      <c r="I3132" s="78" t="s">
        <v>3793</v>
      </c>
      <c r="J3132" s="78" t="s">
        <v>69</v>
      </c>
      <c r="K3132" s="58">
        <f t="shared" si="3"/>
        <v>0</v>
      </c>
      <c r="L3132" s="91" t="str">
        <f t="shared" si="8"/>
        <v>Wed</v>
      </c>
      <c r="M3132" s="78" t="str">
        <f>IFERROR(VLOOKUP(A3132, Entries!A:B,2,false),"")</f>
        <v>Evil Tortilla Games</v>
      </c>
      <c r="N3132" s="23" t="str">
        <f>IFERROR(VLOOKUP(A3132, Entries!A:K,11,false),"")</f>
        <v/>
      </c>
    </row>
    <row r="3133">
      <c r="A3133" s="78" t="s">
        <v>2789</v>
      </c>
      <c r="B3133" s="78" t="s">
        <v>19</v>
      </c>
      <c r="C3133" s="85">
        <v>45021.0</v>
      </c>
      <c r="D3133" s="85">
        <v>45021.0</v>
      </c>
      <c r="E3133" s="86">
        <v>3.33</v>
      </c>
      <c r="F3133" s="87">
        <v>4.66</v>
      </c>
      <c r="G3133" s="88">
        <f t="shared" si="1"/>
        <v>1.33</v>
      </c>
      <c r="H3133" s="89">
        <f t="shared" si="10"/>
        <v>0.2854077253</v>
      </c>
      <c r="I3133" s="78" t="s">
        <v>3794</v>
      </c>
      <c r="J3133" s="78" t="s">
        <v>69</v>
      </c>
      <c r="K3133" s="58">
        <f t="shared" si="3"/>
        <v>0</v>
      </c>
      <c r="L3133" s="91" t="str">
        <f t="shared" si="8"/>
        <v>Wed</v>
      </c>
      <c r="M3133" s="78" t="str">
        <f>IFERROR(VLOOKUP(A3133, Entries!A:B,2,false),"")</f>
        <v>Evil Tortilla Games</v>
      </c>
      <c r="N3133" s="23" t="str">
        <f>IFERROR(VLOOKUP(A3133, Entries!A:K,11,false),"")</f>
        <v/>
      </c>
    </row>
    <row r="3134">
      <c r="A3134" s="78" t="s">
        <v>2240</v>
      </c>
      <c r="B3134" s="78" t="s">
        <v>27</v>
      </c>
      <c r="C3134" s="85">
        <v>45021.0</v>
      </c>
      <c r="D3134" s="85">
        <v>45029.0</v>
      </c>
      <c r="E3134" s="86">
        <v>5.49</v>
      </c>
      <c r="F3134" s="87">
        <v>6.07</v>
      </c>
      <c r="G3134" s="88">
        <f t="shared" si="1"/>
        <v>0.58</v>
      </c>
      <c r="H3134" s="89">
        <f t="shared" si="10"/>
        <v>0.09555189456</v>
      </c>
      <c r="I3134" s="78" t="s">
        <v>3795</v>
      </c>
      <c r="J3134" s="78" t="s">
        <v>69</v>
      </c>
      <c r="K3134" s="58">
        <f t="shared" si="3"/>
        <v>8</v>
      </c>
      <c r="L3134" s="91" t="str">
        <f t="shared" si="8"/>
        <v>Thu</v>
      </c>
      <c r="M3134" s="78" t="str">
        <f>IFERROR(VLOOKUP(A3134, Entries!A:B,2,false),"")</f>
        <v>Daedalic Entertainment</v>
      </c>
      <c r="N3134" s="23" t="str">
        <f>IFERROR(VLOOKUP(A3134, Entries!A:K,11,false),"")</f>
        <v/>
      </c>
    </row>
    <row r="3135">
      <c r="A3135" s="78" t="s">
        <v>3796</v>
      </c>
      <c r="B3135" s="78" t="s">
        <v>25</v>
      </c>
      <c r="C3135" s="85">
        <v>45021.0</v>
      </c>
      <c r="D3135" s="85">
        <v>45023.0</v>
      </c>
      <c r="E3135" s="86">
        <v>7.68</v>
      </c>
      <c r="F3135" s="87">
        <v>11.97</v>
      </c>
      <c r="G3135" s="88">
        <f t="shared" si="1"/>
        <v>4.29</v>
      </c>
      <c r="H3135" s="89">
        <f t="shared" si="10"/>
        <v>0.35839599</v>
      </c>
      <c r="I3135" s="78" t="s">
        <v>3797</v>
      </c>
      <c r="J3135" s="78" t="s">
        <v>69</v>
      </c>
      <c r="K3135" s="58">
        <f t="shared" si="3"/>
        <v>2</v>
      </c>
      <c r="L3135" s="91" t="str">
        <f t="shared" si="8"/>
        <v>Fri</v>
      </c>
      <c r="M3135" s="78" t="str">
        <f>IFERROR(VLOOKUP(A3135, Entries!A:B,2,false),"")</f>
        <v>Fellow Traveller</v>
      </c>
      <c r="N3135" s="23" t="str">
        <f>IFERROR(VLOOKUP(A3135, Entries!A:K,11,false),"")</f>
        <v/>
      </c>
    </row>
    <row r="3136">
      <c r="A3136" s="78" t="s">
        <v>3798</v>
      </c>
      <c r="B3136" s="78" t="s">
        <v>19</v>
      </c>
      <c r="C3136" s="85">
        <v>45021.0</v>
      </c>
      <c r="D3136" s="85">
        <v>45030.0</v>
      </c>
      <c r="E3136" s="86">
        <v>7.97</v>
      </c>
      <c r="F3136" s="87">
        <v>14.89</v>
      </c>
      <c r="G3136" s="88">
        <f t="shared" si="1"/>
        <v>6.92</v>
      </c>
      <c r="H3136" s="89">
        <f t="shared" si="10"/>
        <v>0.4647414372</v>
      </c>
      <c r="I3136" s="78" t="s">
        <v>3799</v>
      </c>
      <c r="J3136" s="78" t="s">
        <v>69</v>
      </c>
      <c r="K3136" s="58">
        <f t="shared" si="3"/>
        <v>9</v>
      </c>
      <c r="L3136" s="91" t="str">
        <f t="shared" si="8"/>
        <v>Fri</v>
      </c>
      <c r="M3136" s="78" t="str">
        <f>IFERROR(VLOOKUP(A3136, Entries!A:B,2,false),"")</f>
        <v>Good Shepherd Entertainment</v>
      </c>
      <c r="N3136" s="23" t="str">
        <f>IFERROR(VLOOKUP(A3136, Entries!A:K,11,false),"")</f>
        <v/>
      </c>
    </row>
    <row r="3137">
      <c r="A3137" s="94" t="s">
        <v>3800</v>
      </c>
      <c r="B3137" s="78" t="s">
        <v>27</v>
      </c>
      <c r="C3137" s="85">
        <v>45021.0</v>
      </c>
      <c r="D3137" s="85">
        <v>45595.0</v>
      </c>
      <c r="E3137" s="86">
        <v>5.19</v>
      </c>
      <c r="F3137" s="87">
        <v>5.97</v>
      </c>
      <c r="G3137" s="88">
        <f t="shared" si="1"/>
        <v>0.78</v>
      </c>
      <c r="H3137" s="89">
        <f t="shared" si="10"/>
        <v>0.1306532663</v>
      </c>
      <c r="I3137" s="78" t="s">
        <v>3801</v>
      </c>
      <c r="J3137" s="78" t="s">
        <v>69</v>
      </c>
      <c r="K3137" s="58">
        <f t="shared" si="3"/>
        <v>574</v>
      </c>
      <c r="L3137" s="91" t="str">
        <f t="shared" si="8"/>
        <v>Wed</v>
      </c>
      <c r="M3137" s="78" t="str">
        <f>IFERROR(VLOOKUP(A3137, Entries!A:B,2,false),"")</f>
        <v>Quantic Dream</v>
      </c>
      <c r="N3137" s="23" t="str">
        <f>IFERROR(VLOOKUP(A3137, Entries!A:K,11,false),"")</f>
        <v/>
      </c>
      <c r="O3137" s="23" t="b">
        <f>IFERROR(VLOOKUP(A3137, Entries!A:I,8,false),"")</f>
        <v>0</v>
      </c>
    </row>
    <row r="3138">
      <c r="A3138" s="78" t="s">
        <v>2789</v>
      </c>
      <c r="B3138" s="78" t="s">
        <v>19</v>
      </c>
      <c r="C3138" s="85">
        <v>45021.0</v>
      </c>
      <c r="D3138" s="85">
        <v>45021.0</v>
      </c>
      <c r="E3138" s="86">
        <v>3.33</v>
      </c>
      <c r="F3138" s="87">
        <v>4.66</v>
      </c>
      <c r="G3138" s="88">
        <f t="shared" si="1"/>
        <v>1.33</v>
      </c>
      <c r="H3138" s="89">
        <f t="shared" si="10"/>
        <v>0.2854077253</v>
      </c>
      <c r="I3138" s="78" t="s">
        <v>3802</v>
      </c>
      <c r="J3138" s="78" t="s">
        <v>69</v>
      </c>
      <c r="K3138" s="58">
        <f t="shared" si="3"/>
        <v>0</v>
      </c>
      <c r="L3138" s="91" t="str">
        <f t="shared" si="8"/>
        <v>Wed</v>
      </c>
      <c r="M3138" s="78" t="str">
        <f>IFERROR(VLOOKUP(A3138, Entries!A:B,2,false),"")</f>
        <v>Evil Tortilla Games</v>
      </c>
      <c r="N3138" s="23" t="str">
        <f>IFERROR(VLOOKUP(A3138, Entries!A:K,11,false),"")</f>
        <v/>
      </c>
    </row>
    <row r="3139">
      <c r="A3139" s="78" t="s">
        <v>2395</v>
      </c>
      <c r="B3139" s="78" t="s">
        <v>19</v>
      </c>
      <c r="C3139" s="85">
        <v>45021.0</v>
      </c>
      <c r="D3139" s="85">
        <v>45023.0</v>
      </c>
      <c r="E3139" s="86">
        <v>9.49</v>
      </c>
      <c r="F3139" s="87">
        <v>11.85</v>
      </c>
      <c r="G3139" s="88">
        <f t="shared" si="1"/>
        <v>2.36</v>
      </c>
      <c r="H3139" s="89">
        <f t="shared" si="10"/>
        <v>0.1991561181</v>
      </c>
      <c r="I3139" s="78" t="s">
        <v>3803</v>
      </c>
      <c r="J3139" s="78" t="s">
        <v>69</v>
      </c>
      <c r="K3139" s="58">
        <f t="shared" si="3"/>
        <v>2</v>
      </c>
      <c r="L3139" s="91" t="str">
        <f t="shared" si="8"/>
        <v>Fri</v>
      </c>
      <c r="M3139" s="78" t="str">
        <f>IFERROR(VLOOKUP(A3139, Entries!A:B,2,false),"")</f>
        <v>Blue Brain Games</v>
      </c>
      <c r="N3139" s="23" t="str">
        <f>IFERROR(VLOOKUP(A3139, Entries!A:K,11,false),"")</f>
        <v/>
      </c>
    </row>
    <row r="3140">
      <c r="A3140" s="78" t="s">
        <v>3804</v>
      </c>
      <c r="B3140" s="78" t="s">
        <v>25</v>
      </c>
      <c r="C3140" s="85">
        <v>45021.0</v>
      </c>
      <c r="D3140" s="85">
        <v>45022.0</v>
      </c>
      <c r="E3140" s="86">
        <v>6.78</v>
      </c>
      <c r="F3140" s="87">
        <v>10.63</v>
      </c>
      <c r="G3140" s="88">
        <f t="shared" si="1"/>
        <v>3.85</v>
      </c>
      <c r="H3140" s="89">
        <f t="shared" si="10"/>
        <v>0.3621825024</v>
      </c>
      <c r="I3140" s="78" t="s">
        <v>3805</v>
      </c>
      <c r="J3140" s="78" t="s">
        <v>69</v>
      </c>
      <c r="K3140" s="58">
        <f t="shared" si="3"/>
        <v>1</v>
      </c>
      <c r="L3140" s="91" t="str">
        <f t="shared" si="8"/>
        <v>Thu</v>
      </c>
      <c r="M3140" s="78" t="str">
        <f>IFERROR(VLOOKUP(A3140, Entries!A:B,2,false),"")</f>
        <v>Ocean Drive Studio</v>
      </c>
      <c r="N3140" s="23" t="str">
        <f>IFERROR(VLOOKUP(A3140, Entries!A:K,11,false),"")</f>
        <v/>
      </c>
    </row>
    <row r="3141">
      <c r="A3141" s="78" t="s">
        <v>1609</v>
      </c>
      <c r="B3141" s="78" t="s">
        <v>19</v>
      </c>
      <c r="C3141" s="85">
        <v>45021.0</v>
      </c>
      <c r="D3141" s="25"/>
      <c r="E3141" s="86">
        <v>10.74</v>
      </c>
      <c r="F3141" s="88"/>
      <c r="G3141" s="88">
        <f t="shared" si="1"/>
        <v>-10.74</v>
      </c>
      <c r="H3141" s="89" t="str">
        <f t="shared" si="10"/>
        <v/>
      </c>
      <c r="I3141" s="103" t="s">
        <v>3806</v>
      </c>
      <c r="J3141" s="78" t="s">
        <v>1129</v>
      </c>
      <c r="K3141" s="58" t="str">
        <f t="shared" si="3"/>
        <v/>
      </c>
      <c r="L3141" s="91" t="str">
        <f t="shared" si="8"/>
        <v/>
      </c>
      <c r="M3141" s="78" t="str">
        <f>IFERROR(VLOOKUP(A3141, Entries!A:B,2,false),"")</f>
        <v>Dear Villagers</v>
      </c>
      <c r="N3141" s="23" t="str">
        <f>IFERROR(VLOOKUP(A3141, Entries!A:K,11,false),"")</f>
        <v/>
      </c>
      <c r="O3141" s="23" t="b">
        <f>IFERROR(VLOOKUP(A3141, Entries!A:I,8,false),"")</f>
        <v>0</v>
      </c>
    </row>
    <row r="3142">
      <c r="A3142" s="78" t="s">
        <v>1700</v>
      </c>
      <c r="B3142" s="78" t="s">
        <v>32</v>
      </c>
      <c r="C3142" s="85">
        <v>45021.0</v>
      </c>
      <c r="D3142" s="85">
        <v>45210.0</v>
      </c>
      <c r="E3142" s="86">
        <v>4.34</v>
      </c>
      <c r="F3142" s="87">
        <v>4.9</v>
      </c>
      <c r="G3142" s="88">
        <f t="shared" si="1"/>
        <v>0.56</v>
      </c>
      <c r="H3142" s="89">
        <f t="shared" si="10"/>
        <v>0.1142857143</v>
      </c>
      <c r="I3142" s="78" t="s">
        <v>3807</v>
      </c>
      <c r="J3142" s="78" t="s">
        <v>69</v>
      </c>
      <c r="K3142" s="58">
        <f t="shared" si="3"/>
        <v>189</v>
      </c>
      <c r="L3142" s="91" t="str">
        <f t="shared" si="8"/>
        <v>Wed</v>
      </c>
      <c r="M3142" s="78" t="str">
        <f>IFERROR(VLOOKUP(A3142, Entries!A:B,2,false),"")</f>
        <v>Warner Bros</v>
      </c>
      <c r="N3142" s="23" t="str">
        <f>IFERROR(VLOOKUP(A3142, Entries!A:K,11,false),"")</f>
        <v/>
      </c>
      <c r="O3142" s="23" t="b">
        <f>IFERROR(VLOOKUP(A3142, Entries!A:I,8,false),"")</f>
        <v>1</v>
      </c>
    </row>
    <row r="3143">
      <c r="A3143" s="78" t="s">
        <v>1700</v>
      </c>
      <c r="B3143" s="78" t="s">
        <v>32</v>
      </c>
      <c r="C3143" s="85">
        <v>45021.0</v>
      </c>
      <c r="D3143" s="85">
        <v>45785.0</v>
      </c>
      <c r="E3143" s="86">
        <v>4.34</v>
      </c>
      <c r="F3143" s="87">
        <v>2.91</v>
      </c>
      <c r="G3143" s="88">
        <f t="shared" si="1"/>
        <v>-1.43</v>
      </c>
      <c r="H3143" s="89">
        <f t="shared" si="10"/>
        <v>-0.4914089347</v>
      </c>
      <c r="I3143" s="103" t="s">
        <v>3808</v>
      </c>
      <c r="J3143" s="78" t="s">
        <v>69</v>
      </c>
      <c r="K3143" s="58">
        <f t="shared" si="3"/>
        <v>764</v>
      </c>
      <c r="L3143" s="91" t="str">
        <f t="shared" si="8"/>
        <v>Thu</v>
      </c>
      <c r="M3143" s="78" t="str">
        <f>IFERROR(VLOOKUP(A3143, Entries!A:B,2,false),"")</f>
        <v>Warner Bros</v>
      </c>
      <c r="N3143" s="23" t="str">
        <f>IFERROR(VLOOKUP(A3143, Entries!A:K,11,false),"")</f>
        <v/>
      </c>
      <c r="O3143" s="23" t="b">
        <f>IFERROR(VLOOKUP(A3143, Entries!A:I,8,false),"")</f>
        <v>1</v>
      </c>
    </row>
    <row r="3144">
      <c r="A3144" s="78" t="s">
        <v>2789</v>
      </c>
      <c r="B3144" s="78" t="s">
        <v>19</v>
      </c>
      <c r="C3144" s="85">
        <v>45021.0</v>
      </c>
      <c r="D3144" s="85">
        <v>45023.0</v>
      </c>
      <c r="E3144" s="86">
        <v>3.33</v>
      </c>
      <c r="F3144" s="87">
        <v>4.66</v>
      </c>
      <c r="G3144" s="88">
        <f t="shared" si="1"/>
        <v>1.33</v>
      </c>
      <c r="H3144" s="89">
        <f t="shared" si="10"/>
        <v>0.2854077253</v>
      </c>
      <c r="I3144" s="78" t="s">
        <v>3809</v>
      </c>
      <c r="J3144" s="78" t="s">
        <v>69</v>
      </c>
      <c r="K3144" s="58">
        <f t="shared" si="3"/>
        <v>2</v>
      </c>
      <c r="L3144" s="91" t="str">
        <f t="shared" si="8"/>
        <v>Fri</v>
      </c>
      <c r="M3144" s="78" t="str">
        <f>IFERROR(VLOOKUP(A3144, Entries!A:B,2,false),"")</f>
        <v>Evil Tortilla Games</v>
      </c>
      <c r="N3144" s="23" t="str">
        <f>IFERROR(VLOOKUP(A3144, Entries!A:K,11,false),"")</f>
        <v/>
      </c>
    </row>
    <row r="3145">
      <c r="A3145" s="78" t="s">
        <v>2789</v>
      </c>
      <c r="B3145" s="78" t="s">
        <v>19</v>
      </c>
      <c r="C3145" s="85">
        <v>45021.0</v>
      </c>
      <c r="D3145" s="85">
        <v>45023.0</v>
      </c>
      <c r="E3145" s="86">
        <v>2.51</v>
      </c>
      <c r="F3145" s="87">
        <v>4.66</v>
      </c>
      <c r="G3145" s="88">
        <f t="shared" si="1"/>
        <v>2.15</v>
      </c>
      <c r="H3145" s="89">
        <f t="shared" si="10"/>
        <v>0.4613733906</v>
      </c>
      <c r="I3145" s="78" t="s">
        <v>3810</v>
      </c>
      <c r="J3145" s="78" t="s">
        <v>69</v>
      </c>
      <c r="K3145" s="58">
        <f t="shared" si="3"/>
        <v>2</v>
      </c>
      <c r="L3145" s="91" t="str">
        <f t="shared" si="8"/>
        <v>Fri</v>
      </c>
      <c r="M3145" s="78" t="str">
        <f>IFERROR(VLOOKUP(A3145, Entries!A:B,2,false),"")</f>
        <v>Evil Tortilla Games</v>
      </c>
      <c r="N3145" s="23" t="str">
        <f>IFERROR(VLOOKUP(A3145, Entries!A:K,11,false),"")</f>
        <v/>
      </c>
    </row>
    <row r="3146">
      <c r="A3146" s="78" t="s">
        <v>3430</v>
      </c>
      <c r="B3146" s="78" t="s">
        <v>25</v>
      </c>
      <c r="C3146" s="85">
        <v>45022.0</v>
      </c>
      <c r="D3146" s="85">
        <v>45089.0</v>
      </c>
      <c r="E3146" s="86">
        <v>6.19</v>
      </c>
      <c r="F3146" s="87">
        <v>10.22</v>
      </c>
      <c r="G3146" s="88">
        <f t="shared" si="1"/>
        <v>4.03</v>
      </c>
      <c r="H3146" s="89">
        <f t="shared" si="10"/>
        <v>0.3943248532</v>
      </c>
      <c r="I3146" s="78" t="s">
        <v>3811</v>
      </c>
      <c r="J3146" s="78" t="s">
        <v>69</v>
      </c>
      <c r="K3146" s="58">
        <f t="shared" si="3"/>
        <v>67</v>
      </c>
      <c r="L3146" s="91" t="str">
        <f t="shared" si="8"/>
        <v>Mon</v>
      </c>
      <c r="M3146" s="78" t="str">
        <f>IFERROR(VLOOKUP(A3146, Entries!A:B,2,false),"")</f>
        <v>HandyGames</v>
      </c>
      <c r="N3146" s="23" t="str">
        <f>IFERROR(VLOOKUP(A3146, Entries!A:K,11,false),"")</f>
        <v/>
      </c>
      <c r="O3146" s="23" t="b">
        <f>IFERROR(VLOOKUP(A3146, Entries!A:I,8,false),"")</f>
        <v>0</v>
      </c>
    </row>
    <row r="3147">
      <c r="A3147" s="78" t="s">
        <v>3812</v>
      </c>
      <c r="B3147" s="78" t="s">
        <v>21</v>
      </c>
      <c r="C3147" s="85">
        <v>45022.0</v>
      </c>
      <c r="D3147" s="85">
        <v>45107.0</v>
      </c>
      <c r="E3147" s="86">
        <v>6.96</v>
      </c>
      <c r="F3147" s="87">
        <v>8.56</v>
      </c>
      <c r="G3147" s="88">
        <f t="shared" si="1"/>
        <v>1.6</v>
      </c>
      <c r="H3147" s="89">
        <f t="shared" si="10"/>
        <v>0.1869158879</v>
      </c>
      <c r="I3147" s="78" t="s">
        <v>3813</v>
      </c>
      <c r="J3147" s="78" t="s">
        <v>69</v>
      </c>
      <c r="K3147" s="58">
        <f t="shared" si="3"/>
        <v>85</v>
      </c>
      <c r="L3147" s="91" t="str">
        <f t="shared" si="8"/>
        <v>Fri</v>
      </c>
      <c r="M3147" s="78" t="str">
        <f>IFERROR(VLOOKUP(A3147, Entries!A:B,2,false),"")</f>
        <v>Enigma Dragons</v>
      </c>
      <c r="N3147" s="23" t="str">
        <f>IFERROR(VLOOKUP(A3147, Entries!A:K,11,false),"")</f>
        <v/>
      </c>
      <c r="O3147" s="23" t="b">
        <f>IFERROR(VLOOKUP(A3147, Entries!A:I,8,false),"")</f>
        <v>0</v>
      </c>
    </row>
    <row r="3148">
      <c r="A3148" s="78" t="s">
        <v>3812</v>
      </c>
      <c r="B3148" s="78" t="s">
        <v>21</v>
      </c>
      <c r="C3148" s="85">
        <v>45022.0</v>
      </c>
      <c r="D3148" s="85">
        <v>45166.0</v>
      </c>
      <c r="E3148" s="86">
        <v>6.97</v>
      </c>
      <c r="F3148" s="87">
        <v>7.98</v>
      </c>
      <c r="G3148" s="88">
        <f t="shared" si="1"/>
        <v>1.01</v>
      </c>
      <c r="H3148" s="89">
        <f t="shared" si="10"/>
        <v>0.126566416</v>
      </c>
      <c r="I3148" s="78" t="s">
        <v>3814</v>
      </c>
      <c r="J3148" s="78" t="s">
        <v>69</v>
      </c>
      <c r="K3148" s="58">
        <f t="shared" si="3"/>
        <v>144</v>
      </c>
      <c r="L3148" s="91" t="str">
        <f t="shared" si="8"/>
        <v>Mon</v>
      </c>
      <c r="M3148" s="78" t="str">
        <f>IFERROR(VLOOKUP(A3148, Entries!A:B,2,false),"")</f>
        <v>Enigma Dragons</v>
      </c>
      <c r="N3148" s="23" t="str">
        <f>IFERROR(VLOOKUP(A3148, Entries!A:K,11,false),"")</f>
        <v/>
      </c>
      <c r="O3148" s="23" t="b">
        <f>IFERROR(VLOOKUP(A3148, Entries!A:I,8,false),"")</f>
        <v>0</v>
      </c>
    </row>
    <row r="3149">
      <c r="A3149" s="78" t="s">
        <v>3815</v>
      </c>
      <c r="B3149" s="78" t="s">
        <v>23</v>
      </c>
      <c r="C3149" s="85">
        <v>45022.0</v>
      </c>
      <c r="D3149" s="85">
        <v>45030.0</v>
      </c>
      <c r="E3149" s="86">
        <v>9.18</v>
      </c>
      <c r="F3149" s="87">
        <v>9.75</v>
      </c>
      <c r="G3149" s="88">
        <f t="shared" si="1"/>
        <v>0.57</v>
      </c>
      <c r="H3149" s="89">
        <f t="shared" si="10"/>
        <v>0.05846153846</v>
      </c>
      <c r="I3149" s="78" t="s">
        <v>3816</v>
      </c>
      <c r="J3149" s="78" t="s">
        <v>69</v>
      </c>
      <c r="K3149" s="58">
        <f t="shared" si="3"/>
        <v>8</v>
      </c>
      <c r="L3149" s="91" t="str">
        <f t="shared" si="8"/>
        <v>Fri</v>
      </c>
      <c r="M3149" s="78" t="str">
        <f>IFERROR(VLOOKUP(A3149, Entries!A:B,2,false),"")</f>
        <v>2K</v>
      </c>
      <c r="N3149" s="23" t="str">
        <f>IFERROR(VLOOKUP(A3149, Entries!A:K,11,false),"")</f>
        <v/>
      </c>
    </row>
    <row r="3150">
      <c r="A3150" s="78" t="s">
        <v>2789</v>
      </c>
      <c r="B3150" s="78" t="s">
        <v>19</v>
      </c>
      <c r="C3150" s="85">
        <v>45023.0</v>
      </c>
      <c r="D3150" s="85">
        <v>45023.0</v>
      </c>
      <c r="E3150" s="86">
        <v>3.33</v>
      </c>
      <c r="F3150" s="87">
        <v>4.9</v>
      </c>
      <c r="G3150" s="88">
        <f t="shared" si="1"/>
        <v>1.57</v>
      </c>
      <c r="H3150" s="89">
        <f t="shared" si="10"/>
        <v>0.3204081633</v>
      </c>
      <c r="I3150" s="78" t="s">
        <v>3817</v>
      </c>
      <c r="J3150" s="78" t="s">
        <v>69</v>
      </c>
      <c r="K3150" s="58">
        <f t="shared" si="3"/>
        <v>0</v>
      </c>
      <c r="L3150" s="91" t="str">
        <f t="shared" si="8"/>
        <v>Fri</v>
      </c>
      <c r="M3150" s="78" t="str">
        <f>IFERROR(VLOOKUP(A3150, Entries!A:B,2,false),"")</f>
        <v>Evil Tortilla Games</v>
      </c>
      <c r="N3150" s="23" t="str">
        <f>IFERROR(VLOOKUP(A3150, Entries!A:K,11,false),"")</f>
        <v/>
      </c>
    </row>
    <row r="3151">
      <c r="A3151" s="78" t="s">
        <v>3796</v>
      </c>
      <c r="B3151" s="78" t="s">
        <v>25</v>
      </c>
      <c r="C3151" s="85">
        <v>45023.0</v>
      </c>
      <c r="D3151" s="85">
        <v>45028.0</v>
      </c>
      <c r="E3151" s="86">
        <v>7.68</v>
      </c>
      <c r="F3151" s="87">
        <v>9.53</v>
      </c>
      <c r="G3151" s="88">
        <f t="shared" si="1"/>
        <v>1.85</v>
      </c>
      <c r="H3151" s="89">
        <f t="shared" si="10"/>
        <v>0.1941238195</v>
      </c>
      <c r="I3151" s="78" t="s">
        <v>3818</v>
      </c>
      <c r="J3151" s="78" t="s">
        <v>69</v>
      </c>
      <c r="K3151" s="58">
        <f t="shared" si="3"/>
        <v>5</v>
      </c>
      <c r="L3151" s="91" t="str">
        <f t="shared" si="8"/>
        <v>Wed</v>
      </c>
      <c r="M3151" s="78" t="str">
        <f>IFERROR(VLOOKUP(A3151, Entries!A:B,2,false),"")</f>
        <v>Fellow Traveller</v>
      </c>
      <c r="N3151" s="23" t="str">
        <f>IFERROR(VLOOKUP(A3151, Entries!A:K,11,false),"")</f>
        <v/>
      </c>
    </row>
    <row r="3152">
      <c r="A3152" s="78" t="s">
        <v>2789</v>
      </c>
      <c r="B3152" s="78" t="s">
        <v>19</v>
      </c>
      <c r="C3152" s="85">
        <v>45023.0</v>
      </c>
      <c r="D3152" s="85">
        <v>45023.0</v>
      </c>
      <c r="E3152" s="86">
        <v>3.33</v>
      </c>
      <c r="F3152" s="87">
        <v>5.0</v>
      </c>
      <c r="G3152" s="88">
        <f t="shared" si="1"/>
        <v>1.67</v>
      </c>
      <c r="H3152" s="89">
        <f t="shared" si="10"/>
        <v>0.334</v>
      </c>
      <c r="I3152" s="78" t="s">
        <v>3819</v>
      </c>
      <c r="J3152" s="78" t="s">
        <v>69</v>
      </c>
      <c r="K3152" s="58">
        <f t="shared" si="3"/>
        <v>0</v>
      </c>
      <c r="L3152" s="91" t="str">
        <f t="shared" si="8"/>
        <v>Fri</v>
      </c>
      <c r="M3152" s="78" t="str">
        <f>IFERROR(VLOOKUP(A3152, Entries!A:B,2,false),"")</f>
        <v>Evil Tortilla Games</v>
      </c>
      <c r="N3152" s="23" t="str">
        <f>IFERROR(VLOOKUP(A3152, Entries!A:K,11,false),"")</f>
        <v/>
      </c>
    </row>
    <row r="3153">
      <c r="A3153" s="78" t="s">
        <v>2789</v>
      </c>
      <c r="B3153" s="78" t="s">
        <v>19</v>
      </c>
      <c r="C3153" s="85">
        <v>45023.0</v>
      </c>
      <c r="D3153" s="85">
        <v>45023.0</v>
      </c>
      <c r="E3153" s="86">
        <v>3.33</v>
      </c>
      <c r="F3153" s="87">
        <v>5.0</v>
      </c>
      <c r="G3153" s="88">
        <f t="shared" si="1"/>
        <v>1.67</v>
      </c>
      <c r="H3153" s="89">
        <f t="shared" si="10"/>
        <v>0.334</v>
      </c>
      <c r="I3153" s="78" t="s">
        <v>3820</v>
      </c>
      <c r="J3153" s="78" t="s">
        <v>69</v>
      </c>
      <c r="K3153" s="58">
        <f t="shared" si="3"/>
        <v>0</v>
      </c>
      <c r="L3153" s="91" t="str">
        <f t="shared" si="8"/>
        <v>Fri</v>
      </c>
      <c r="M3153" s="78" t="str">
        <f>IFERROR(VLOOKUP(A3153, Entries!A:B,2,false),"")</f>
        <v>Evil Tortilla Games</v>
      </c>
      <c r="N3153" s="23" t="str">
        <f>IFERROR(VLOOKUP(A3153, Entries!A:K,11,false),"")</f>
        <v/>
      </c>
    </row>
    <row r="3154">
      <c r="A3154" s="78" t="s">
        <v>2395</v>
      </c>
      <c r="B3154" s="78" t="s">
        <v>19</v>
      </c>
      <c r="C3154" s="85">
        <v>45023.0</v>
      </c>
      <c r="D3154" s="85">
        <v>45023.0</v>
      </c>
      <c r="E3154" s="86">
        <v>9.49</v>
      </c>
      <c r="F3154" s="87">
        <v>11.85</v>
      </c>
      <c r="G3154" s="88">
        <f t="shared" si="1"/>
        <v>2.36</v>
      </c>
      <c r="H3154" s="89">
        <f t="shared" si="10"/>
        <v>0.1991561181</v>
      </c>
      <c r="I3154" s="78" t="s">
        <v>3821</v>
      </c>
      <c r="J3154" s="78" t="s">
        <v>69</v>
      </c>
      <c r="K3154" s="58">
        <f t="shared" si="3"/>
        <v>0</v>
      </c>
      <c r="L3154" s="91" t="str">
        <f t="shared" si="8"/>
        <v>Fri</v>
      </c>
      <c r="M3154" s="78" t="str">
        <f>IFERROR(VLOOKUP(A3154, Entries!A:B,2,false),"")</f>
        <v>Blue Brain Games</v>
      </c>
      <c r="N3154" s="23" t="str">
        <f>IFERROR(VLOOKUP(A3154, Entries!A:K,11,false),"")</f>
        <v/>
      </c>
    </row>
    <row r="3155">
      <c r="A3155" s="78" t="s">
        <v>2395</v>
      </c>
      <c r="B3155" s="78" t="s">
        <v>19</v>
      </c>
      <c r="C3155" s="85">
        <v>45023.0</v>
      </c>
      <c r="D3155" s="85">
        <v>45033.0</v>
      </c>
      <c r="E3155" s="86">
        <v>8.99</v>
      </c>
      <c r="F3155" s="87">
        <v>11.74</v>
      </c>
      <c r="G3155" s="88">
        <f t="shared" si="1"/>
        <v>2.75</v>
      </c>
      <c r="H3155" s="89">
        <f t="shared" si="10"/>
        <v>0.234241908</v>
      </c>
      <c r="I3155" s="78" t="s">
        <v>3822</v>
      </c>
      <c r="J3155" s="78" t="s">
        <v>69</v>
      </c>
      <c r="K3155" s="58">
        <f t="shared" si="3"/>
        <v>10</v>
      </c>
      <c r="L3155" s="91" t="str">
        <f t="shared" si="8"/>
        <v>Mon</v>
      </c>
      <c r="M3155" s="78" t="str">
        <f>IFERROR(VLOOKUP(A3155, Entries!A:B,2,false),"")</f>
        <v>Blue Brain Games</v>
      </c>
      <c r="N3155" s="23" t="str">
        <f>IFERROR(VLOOKUP(A3155, Entries!A:K,11,false),"")</f>
        <v/>
      </c>
    </row>
    <row r="3156">
      <c r="A3156" s="78" t="s">
        <v>2789</v>
      </c>
      <c r="B3156" s="78" t="s">
        <v>19</v>
      </c>
      <c r="C3156" s="85">
        <v>45023.0</v>
      </c>
      <c r="D3156" s="85">
        <v>45024.0</v>
      </c>
      <c r="E3156" s="86">
        <v>3.51</v>
      </c>
      <c r="F3156" s="87">
        <v>5.0</v>
      </c>
      <c r="G3156" s="88">
        <f t="shared" si="1"/>
        <v>1.49</v>
      </c>
      <c r="H3156" s="89">
        <f t="shared" si="10"/>
        <v>0.298</v>
      </c>
      <c r="I3156" s="78" t="s">
        <v>3823</v>
      </c>
      <c r="J3156" s="78" t="s">
        <v>69</v>
      </c>
      <c r="K3156" s="58">
        <f t="shared" si="3"/>
        <v>1</v>
      </c>
      <c r="L3156" s="91" t="str">
        <f t="shared" si="8"/>
        <v>Sat</v>
      </c>
      <c r="M3156" s="78" t="str">
        <f>IFERROR(VLOOKUP(A3156, Entries!A:B,2,false),"")</f>
        <v>Evil Tortilla Games</v>
      </c>
      <c r="N3156" s="23" t="str">
        <f>IFERROR(VLOOKUP(A3156, Entries!A:K,11,false),"")</f>
        <v/>
      </c>
    </row>
    <row r="3157">
      <c r="A3157" s="78" t="s">
        <v>2789</v>
      </c>
      <c r="B3157" s="78" t="s">
        <v>19</v>
      </c>
      <c r="C3157" s="85">
        <v>45024.0</v>
      </c>
      <c r="D3157" s="85">
        <v>45024.0</v>
      </c>
      <c r="E3157" s="86">
        <v>3.33</v>
      </c>
      <c r="F3157" s="87">
        <v>5.0</v>
      </c>
      <c r="G3157" s="88">
        <f t="shared" si="1"/>
        <v>1.67</v>
      </c>
      <c r="H3157" s="89">
        <f t="shared" si="10"/>
        <v>0.334</v>
      </c>
      <c r="I3157" s="78" t="s">
        <v>3824</v>
      </c>
      <c r="J3157" s="78" t="s">
        <v>69</v>
      </c>
      <c r="K3157" s="58">
        <f t="shared" si="3"/>
        <v>0</v>
      </c>
      <c r="L3157" s="91" t="str">
        <f t="shared" si="8"/>
        <v>Sat</v>
      </c>
      <c r="M3157" s="78" t="str">
        <f>IFERROR(VLOOKUP(A3157, Entries!A:B,2,false),"")</f>
        <v>Evil Tortilla Games</v>
      </c>
      <c r="N3157" s="23" t="str">
        <f>IFERROR(VLOOKUP(A3157, Entries!A:K,11,false),"")</f>
        <v/>
      </c>
    </row>
    <row r="3158">
      <c r="A3158" s="78" t="s">
        <v>2789</v>
      </c>
      <c r="B3158" s="78" t="s">
        <v>19</v>
      </c>
      <c r="C3158" s="85">
        <v>45024.0</v>
      </c>
      <c r="D3158" s="85">
        <v>45024.0</v>
      </c>
      <c r="E3158" s="86">
        <v>3.33</v>
      </c>
      <c r="F3158" s="87">
        <v>5.0</v>
      </c>
      <c r="G3158" s="88">
        <f t="shared" si="1"/>
        <v>1.67</v>
      </c>
      <c r="H3158" s="89">
        <f t="shared" si="10"/>
        <v>0.334</v>
      </c>
      <c r="I3158" s="78" t="s">
        <v>3825</v>
      </c>
      <c r="J3158" s="78" t="s">
        <v>69</v>
      </c>
      <c r="K3158" s="58">
        <f t="shared" si="3"/>
        <v>0</v>
      </c>
      <c r="L3158" s="91" t="str">
        <f t="shared" si="8"/>
        <v>Sat</v>
      </c>
      <c r="M3158" s="78" t="str">
        <f>IFERROR(VLOOKUP(A3158, Entries!A:B,2,false),"")</f>
        <v>Evil Tortilla Games</v>
      </c>
      <c r="N3158" s="23" t="str">
        <f>IFERROR(VLOOKUP(A3158, Entries!A:K,11,false),"")</f>
        <v/>
      </c>
    </row>
    <row r="3159">
      <c r="A3159" s="78" t="s">
        <v>2789</v>
      </c>
      <c r="B3159" s="78" t="s">
        <v>19</v>
      </c>
      <c r="C3159" s="85">
        <v>45024.0</v>
      </c>
      <c r="D3159" s="85">
        <v>45024.0</v>
      </c>
      <c r="E3159" s="86">
        <v>3.33</v>
      </c>
      <c r="F3159" s="87">
        <v>5.0</v>
      </c>
      <c r="G3159" s="88">
        <f t="shared" si="1"/>
        <v>1.67</v>
      </c>
      <c r="H3159" s="89">
        <f t="shared" si="10"/>
        <v>0.334</v>
      </c>
      <c r="I3159" s="78" t="s">
        <v>3826</v>
      </c>
      <c r="J3159" s="78" t="s">
        <v>69</v>
      </c>
      <c r="K3159" s="58">
        <f t="shared" si="3"/>
        <v>0</v>
      </c>
      <c r="L3159" s="91" t="str">
        <f t="shared" si="8"/>
        <v>Sat</v>
      </c>
      <c r="M3159" s="78" t="str">
        <f>IFERROR(VLOOKUP(A3159, Entries!A:B,2,false),"")</f>
        <v>Evil Tortilla Games</v>
      </c>
      <c r="N3159" s="23" t="str">
        <f>IFERROR(VLOOKUP(A3159, Entries!A:K,11,false),"")</f>
        <v/>
      </c>
    </row>
    <row r="3160">
      <c r="A3160" s="78" t="s">
        <v>2789</v>
      </c>
      <c r="B3160" s="78" t="s">
        <v>19</v>
      </c>
      <c r="C3160" s="85">
        <v>45025.0</v>
      </c>
      <c r="D3160" s="85">
        <v>45027.0</v>
      </c>
      <c r="E3160" s="86">
        <v>3.33</v>
      </c>
      <c r="F3160" s="87">
        <v>5.05</v>
      </c>
      <c r="G3160" s="88">
        <f t="shared" si="1"/>
        <v>1.72</v>
      </c>
      <c r="H3160" s="89">
        <f t="shared" si="10"/>
        <v>0.3405940594</v>
      </c>
      <c r="I3160" s="78" t="s">
        <v>3824</v>
      </c>
      <c r="J3160" s="78" t="s">
        <v>69</v>
      </c>
      <c r="K3160" s="58">
        <f t="shared" si="3"/>
        <v>2</v>
      </c>
      <c r="L3160" s="91" t="str">
        <f t="shared" si="8"/>
        <v>Tue</v>
      </c>
      <c r="M3160" s="78" t="str">
        <f>IFERROR(VLOOKUP(A3160, Entries!A:B,2,false),"")</f>
        <v>Evil Tortilla Games</v>
      </c>
      <c r="N3160" s="23" t="str">
        <f>IFERROR(VLOOKUP(A3160, Entries!A:K,11,false),"")</f>
        <v/>
      </c>
    </row>
    <row r="3161">
      <c r="A3161" s="78" t="s">
        <v>2380</v>
      </c>
      <c r="B3161" s="78" t="s">
        <v>19</v>
      </c>
      <c r="C3161" s="85">
        <v>45025.0</v>
      </c>
      <c r="D3161" s="85">
        <v>45051.0</v>
      </c>
      <c r="E3161" s="86">
        <v>14.53</v>
      </c>
      <c r="F3161" s="87">
        <v>25.61</v>
      </c>
      <c r="G3161" s="88">
        <f t="shared" si="1"/>
        <v>11.08</v>
      </c>
      <c r="H3161" s="89">
        <f t="shared" si="10"/>
        <v>0.4326434986</v>
      </c>
      <c r="I3161" s="78" t="s">
        <v>3827</v>
      </c>
      <c r="J3161" s="78" t="s">
        <v>69</v>
      </c>
      <c r="K3161" s="58">
        <f t="shared" si="3"/>
        <v>26</v>
      </c>
      <c r="L3161" s="91" t="str">
        <f t="shared" si="8"/>
        <v>Fri</v>
      </c>
      <c r="M3161" s="78" t="str">
        <f>IFERROR(VLOOKUP(A3161, Entries!A:B,2,false),"")</f>
        <v>Brightrock Games</v>
      </c>
      <c r="N3161" s="23" t="str">
        <f>IFERROR(VLOOKUP(A3161, Entries!A:K,11,false),"")</f>
        <v/>
      </c>
      <c r="O3161" s="23" t="b">
        <f>IFERROR(VLOOKUP(A3161, Entries!A:I,8,false),"")</f>
        <v>0</v>
      </c>
    </row>
    <row r="3162">
      <c r="A3162" s="78" t="s">
        <v>3828</v>
      </c>
      <c r="B3162" s="78" t="s">
        <v>21</v>
      </c>
      <c r="C3162" s="85">
        <v>45025.0</v>
      </c>
      <c r="D3162" s="85">
        <v>45026.0</v>
      </c>
      <c r="E3162" s="86">
        <v>8.53</v>
      </c>
      <c r="F3162" s="87">
        <v>12.9</v>
      </c>
      <c r="G3162" s="88">
        <f t="shared" si="1"/>
        <v>4.37</v>
      </c>
      <c r="H3162" s="89">
        <f t="shared" si="10"/>
        <v>0.3387596899</v>
      </c>
      <c r="I3162" s="78" t="s">
        <v>3829</v>
      </c>
      <c r="J3162" s="78" t="s">
        <v>69</v>
      </c>
      <c r="K3162" s="58">
        <f t="shared" si="3"/>
        <v>1</v>
      </c>
      <c r="L3162" s="91" t="str">
        <f t="shared" si="8"/>
        <v>Mon</v>
      </c>
      <c r="M3162" s="78" t="str">
        <f>IFERROR(VLOOKUP(A3162, Entries!A:B,2,false),"")</f>
        <v>Iceberg Interactive</v>
      </c>
      <c r="N3162" s="23" t="str">
        <f>IFERROR(VLOOKUP(A3162, Entries!A:K,11,false),"")</f>
        <v/>
      </c>
    </row>
    <row r="3163">
      <c r="A3163" s="78" t="s">
        <v>3828</v>
      </c>
      <c r="B3163" s="78" t="s">
        <v>21</v>
      </c>
      <c r="C3163" s="85">
        <v>45025.0</v>
      </c>
      <c r="D3163" s="25"/>
      <c r="E3163" s="86">
        <v>8.53</v>
      </c>
      <c r="F3163" s="88"/>
      <c r="G3163" s="88">
        <f t="shared" si="1"/>
        <v>-8.53</v>
      </c>
      <c r="H3163" s="89" t="str">
        <f t="shared" si="10"/>
        <v/>
      </c>
      <c r="I3163" s="103" t="s">
        <v>3830</v>
      </c>
      <c r="J3163" s="78" t="s">
        <v>1129</v>
      </c>
      <c r="K3163" s="58" t="str">
        <f t="shared" si="3"/>
        <v/>
      </c>
      <c r="L3163" s="91" t="str">
        <f t="shared" si="8"/>
        <v/>
      </c>
      <c r="M3163" s="78" t="str">
        <f>IFERROR(VLOOKUP(A3163, Entries!A:B,2,false),"")</f>
        <v>Iceberg Interactive</v>
      </c>
      <c r="N3163" s="23" t="str">
        <f>IFERROR(VLOOKUP(A3163, Entries!A:K,11,false),"")</f>
        <v/>
      </c>
      <c r="O3163" s="23" t="b">
        <f>IFERROR(VLOOKUP(A3163, Entries!A:I,8,false),"")</f>
        <v>0</v>
      </c>
    </row>
    <row r="3164">
      <c r="A3164" s="78" t="s">
        <v>2789</v>
      </c>
      <c r="B3164" s="78" t="s">
        <v>19</v>
      </c>
      <c r="C3164" s="85">
        <v>45026.0</v>
      </c>
      <c r="D3164" s="85">
        <v>45027.0</v>
      </c>
      <c r="E3164" s="86">
        <v>2.51</v>
      </c>
      <c r="F3164" s="87">
        <v>5.053</v>
      </c>
      <c r="G3164" s="88">
        <f t="shared" si="1"/>
        <v>2.543</v>
      </c>
      <c r="H3164" s="89">
        <f t="shared" si="10"/>
        <v>0.5032653869</v>
      </c>
      <c r="I3164" s="78" t="s">
        <v>3831</v>
      </c>
      <c r="J3164" s="78" t="s">
        <v>69</v>
      </c>
      <c r="K3164" s="58">
        <f t="shared" si="3"/>
        <v>1</v>
      </c>
      <c r="L3164" s="91" t="str">
        <f t="shared" si="8"/>
        <v>Tue</v>
      </c>
      <c r="M3164" s="78" t="str">
        <f>IFERROR(VLOOKUP(A3164, Entries!A:B,2,false),"")</f>
        <v>Evil Tortilla Games</v>
      </c>
      <c r="N3164" s="23" t="str">
        <f>IFERROR(VLOOKUP(A3164, Entries!A:K,11,false),"")</f>
        <v/>
      </c>
    </row>
    <row r="3165">
      <c r="A3165" s="78" t="s">
        <v>3832</v>
      </c>
      <c r="B3165" s="78" t="s">
        <v>35</v>
      </c>
      <c r="C3165" s="85">
        <v>45026.0</v>
      </c>
      <c r="D3165" s="85">
        <v>45026.0</v>
      </c>
      <c r="E3165" s="86">
        <v>18.74</v>
      </c>
      <c r="F3165" s="87">
        <v>26.93</v>
      </c>
      <c r="G3165" s="88">
        <f t="shared" si="1"/>
        <v>8.19</v>
      </c>
      <c r="H3165" s="89">
        <f t="shared" si="10"/>
        <v>0.3041217973</v>
      </c>
      <c r="I3165" s="78" t="s">
        <v>3833</v>
      </c>
      <c r="J3165" s="78" t="s">
        <v>69</v>
      </c>
      <c r="K3165" s="58">
        <f t="shared" si="3"/>
        <v>0</v>
      </c>
      <c r="L3165" s="91" t="str">
        <f t="shared" si="8"/>
        <v>Mon</v>
      </c>
      <c r="M3165" s="78" t="str">
        <f>IFERROR(VLOOKUP(A3165, Entries!A:B,2,false),"")</f>
        <v>Rebellion</v>
      </c>
      <c r="N3165" s="23" t="str">
        <f>IFERROR(VLOOKUP(A3165, Entries!A:K,11,false),"")</f>
        <v/>
      </c>
      <c r="P3165" s="78"/>
    </row>
    <row r="3166">
      <c r="A3166" s="78" t="s">
        <v>1622</v>
      </c>
      <c r="B3166" s="78" t="s">
        <v>35</v>
      </c>
      <c r="C3166" s="85">
        <v>45026.0</v>
      </c>
      <c r="D3166" s="85">
        <v>45786.0</v>
      </c>
      <c r="E3166" s="86">
        <v>8.9</v>
      </c>
      <c r="F3166" s="87">
        <v>5.31</v>
      </c>
      <c r="G3166" s="88">
        <f t="shared" si="1"/>
        <v>-3.59</v>
      </c>
      <c r="H3166" s="89">
        <f t="shared" si="10"/>
        <v>-0.6760828625</v>
      </c>
      <c r="I3166" s="103" t="s">
        <v>3834</v>
      </c>
      <c r="J3166" s="78" t="s">
        <v>69</v>
      </c>
      <c r="K3166" s="58">
        <f t="shared" si="3"/>
        <v>760</v>
      </c>
      <c r="L3166" s="91" t="str">
        <f t="shared" si="8"/>
        <v>Fri</v>
      </c>
      <c r="M3166" s="78" t="str">
        <f>IFERROR(VLOOKUP(A3166, Entries!A:B,2,false),"")</f>
        <v>Rebellion</v>
      </c>
      <c r="N3166" s="23" t="str">
        <f>IFERROR(VLOOKUP(A3166, Entries!A:K,11,false),"")</f>
        <v/>
      </c>
      <c r="O3166" s="23" t="b">
        <f>IFERROR(VLOOKUP(A3166, Entries!A:I,8,false),"")</f>
        <v>0</v>
      </c>
    </row>
    <row r="3167">
      <c r="A3167" s="78" t="s">
        <v>3832</v>
      </c>
      <c r="B3167" s="78" t="s">
        <v>35</v>
      </c>
      <c r="C3167" s="85">
        <v>45026.0</v>
      </c>
      <c r="D3167" s="85">
        <v>45026.0</v>
      </c>
      <c r="E3167" s="86">
        <v>16.87</v>
      </c>
      <c r="F3167" s="87">
        <v>26.46</v>
      </c>
      <c r="G3167" s="88">
        <f t="shared" si="1"/>
        <v>9.59</v>
      </c>
      <c r="H3167" s="89">
        <f t="shared" si="10"/>
        <v>0.3624338624</v>
      </c>
      <c r="I3167" s="78" t="s">
        <v>3835</v>
      </c>
      <c r="J3167" s="78" t="s">
        <v>69</v>
      </c>
      <c r="K3167" s="58">
        <f t="shared" si="3"/>
        <v>0</v>
      </c>
      <c r="L3167" s="91" t="str">
        <f t="shared" si="8"/>
        <v>Mon</v>
      </c>
      <c r="M3167" s="78" t="str">
        <f>IFERROR(VLOOKUP(A3167, Entries!A:B,2,false),"")</f>
        <v>Rebellion</v>
      </c>
      <c r="N3167" s="23" t="str">
        <f>IFERROR(VLOOKUP(A3167, Entries!A:K,11,false),"")</f>
        <v/>
      </c>
    </row>
    <row r="3168">
      <c r="A3168" s="78" t="s">
        <v>3366</v>
      </c>
      <c r="B3168" s="78" t="s">
        <v>25</v>
      </c>
      <c r="C3168" s="85">
        <v>45026.0</v>
      </c>
      <c r="D3168" s="85">
        <v>45042.0</v>
      </c>
      <c r="E3168" s="86">
        <v>6.94</v>
      </c>
      <c r="F3168" s="87">
        <v>7.94</v>
      </c>
      <c r="G3168" s="88">
        <f t="shared" si="1"/>
        <v>1</v>
      </c>
      <c r="H3168" s="89">
        <f t="shared" si="10"/>
        <v>0.1259445844</v>
      </c>
      <c r="I3168" s="78" t="s">
        <v>3836</v>
      </c>
      <c r="J3168" s="78" t="s">
        <v>69</v>
      </c>
      <c r="K3168" s="58">
        <f t="shared" si="3"/>
        <v>16</v>
      </c>
      <c r="L3168" s="91" t="str">
        <f t="shared" si="8"/>
        <v>Wed</v>
      </c>
      <c r="M3168" s="78" t="str">
        <f>IFERROR(VLOOKUP(A3168, Entries!A:B,2,false),"")</f>
        <v>Sector D2</v>
      </c>
      <c r="N3168" s="23" t="str">
        <f>IFERROR(VLOOKUP(A3168, Entries!A:K,11,false),"")</f>
        <v/>
      </c>
      <c r="O3168" s="23" t="b">
        <f>IFERROR(VLOOKUP(A3168, Entries!A:I,8,false),"")</f>
        <v>0</v>
      </c>
    </row>
    <row r="3169">
      <c r="A3169" s="78" t="s">
        <v>3832</v>
      </c>
      <c r="B3169" s="78" t="s">
        <v>35</v>
      </c>
      <c r="C3169" s="85">
        <v>45026.0</v>
      </c>
      <c r="D3169" s="85">
        <v>45033.0</v>
      </c>
      <c r="E3169" s="86">
        <v>17.8</v>
      </c>
      <c r="F3169" s="87">
        <v>24.35</v>
      </c>
      <c r="G3169" s="88">
        <f t="shared" si="1"/>
        <v>6.55</v>
      </c>
      <c r="H3169" s="89">
        <f t="shared" si="10"/>
        <v>0.2689938398</v>
      </c>
      <c r="I3169" s="78" t="s">
        <v>3837</v>
      </c>
      <c r="J3169" s="78" t="s">
        <v>69</v>
      </c>
      <c r="K3169" s="58">
        <f t="shared" si="3"/>
        <v>7</v>
      </c>
      <c r="L3169" s="91" t="str">
        <f t="shared" si="8"/>
        <v>Mon</v>
      </c>
      <c r="M3169" s="78" t="str">
        <f>IFERROR(VLOOKUP(A3169, Entries!A:B,2,false),"")</f>
        <v>Rebellion</v>
      </c>
      <c r="N3169" s="23" t="str">
        <f>IFERROR(VLOOKUP(A3169, Entries!A:K,11,false),"")</f>
        <v/>
      </c>
    </row>
    <row r="3170">
      <c r="A3170" s="78" t="s">
        <v>3832</v>
      </c>
      <c r="B3170" s="78" t="s">
        <v>35</v>
      </c>
      <c r="C3170" s="85">
        <v>45026.0</v>
      </c>
      <c r="D3170" s="85">
        <v>45045.0</v>
      </c>
      <c r="E3170" s="86">
        <v>17.8</v>
      </c>
      <c r="F3170" s="87">
        <v>26.61</v>
      </c>
      <c r="G3170" s="88">
        <f t="shared" si="1"/>
        <v>8.81</v>
      </c>
      <c r="H3170" s="89">
        <f t="shared" si="10"/>
        <v>0.3310785419</v>
      </c>
      <c r="I3170" s="78" t="s">
        <v>3838</v>
      </c>
      <c r="J3170" s="78" t="s">
        <v>69</v>
      </c>
      <c r="K3170" s="58">
        <f t="shared" si="3"/>
        <v>19</v>
      </c>
      <c r="L3170" s="91" t="str">
        <f t="shared" si="8"/>
        <v>Sat</v>
      </c>
      <c r="M3170" s="78" t="str">
        <f>IFERROR(VLOOKUP(A3170, Entries!A:B,2,false),"")</f>
        <v>Rebellion</v>
      </c>
      <c r="N3170" s="23" t="str">
        <f>IFERROR(VLOOKUP(A3170, Entries!A:K,11,false),"")</f>
        <v/>
      </c>
      <c r="O3170" s="23" t="b">
        <f>IFERROR(VLOOKUP(A3170, Entries!A:I,8,false),"")</f>
        <v>0</v>
      </c>
    </row>
    <row r="3171">
      <c r="A3171" s="78" t="s">
        <v>2528</v>
      </c>
      <c r="B3171" s="78" t="s">
        <v>18</v>
      </c>
      <c r="C3171" s="85">
        <v>45026.0</v>
      </c>
      <c r="D3171" s="85">
        <v>45028.0</v>
      </c>
      <c r="E3171" s="86">
        <v>4.88</v>
      </c>
      <c r="F3171" s="87">
        <v>6.65</v>
      </c>
      <c r="G3171" s="88">
        <f t="shared" si="1"/>
        <v>1.77</v>
      </c>
      <c r="H3171" s="89">
        <f t="shared" si="10"/>
        <v>0.2661654135</v>
      </c>
      <c r="I3171" s="78" t="s">
        <v>3839</v>
      </c>
      <c r="J3171" s="78" t="s">
        <v>69</v>
      </c>
      <c r="K3171" s="58">
        <f t="shared" si="3"/>
        <v>2</v>
      </c>
      <c r="L3171" s="91" t="str">
        <f t="shared" si="8"/>
        <v>Wed</v>
      </c>
      <c r="M3171" s="78" t="str">
        <f>IFERROR(VLOOKUP(A3171, Entries!A:B,2,false),"")</f>
        <v>Cheesecake Dev</v>
      </c>
      <c r="N3171" s="23" t="str">
        <f>IFERROR(VLOOKUP(A3171, Entries!A:K,11,false),"")</f>
        <v/>
      </c>
    </row>
    <row r="3172">
      <c r="A3172" s="78" t="s">
        <v>2528</v>
      </c>
      <c r="B3172" s="78" t="s">
        <v>18</v>
      </c>
      <c r="C3172" s="85">
        <v>45026.0</v>
      </c>
      <c r="D3172" s="85">
        <v>45031.0</v>
      </c>
      <c r="E3172" s="86">
        <v>4.88</v>
      </c>
      <c r="F3172" s="87">
        <v>6.65</v>
      </c>
      <c r="G3172" s="88">
        <f t="shared" si="1"/>
        <v>1.77</v>
      </c>
      <c r="H3172" s="89">
        <f t="shared" si="10"/>
        <v>0.2661654135</v>
      </c>
      <c r="I3172" s="78" t="s">
        <v>3840</v>
      </c>
      <c r="J3172" s="78" t="s">
        <v>69</v>
      </c>
      <c r="K3172" s="58">
        <f t="shared" si="3"/>
        <v>5</v>
      </c>
      <c r="L3172" s="91" t="str">
        <f t="shared" si="8"/>
        <v>Sat</v>
      </c>
      <c r="M3172" s="78" t="str">
        <f>IFERROR(VLOOKUP(A3172, Entries!A:B,2,false),"")</f>
        <v>Cheesecake Dev</v>
      </c>
      <c r="N3172" s="23" t="str">
        <f>IFERROR(VLOOKUP(A3172, Entries!A:K,11,false),"")</f>
        <v/>
      </c>
    </row>
    <row r="3173">
      <c r="A3173" s="78" t="s">
        <v>2789</v>
      </c>
      <c r="B3173" s="78" t="s">
        <v>19</v>
      </c>
      <c r="C3173" s="85">
        <v>45027.0</v>
      </c>
      <c r="D3173" s="85">
        <v>45027.0</v>
      </c>
      <c r="E3173" s="86">
        <v>3.33</v>
      </c>
      <c r="F3173" s="87">
        <v>5.0</v>
      </c>
      <c r="G3173" s="88">
        <f t="shared" si="1"/>
        <v>1.67</v>
      </c>
      <c r="H3173" s="89">
        <f t="shared" si="10"/>
        <v>0.334</v>
      </c>
      <c r="I3173" s="78" t="s">
        <v>3841</v>
      </c>
      <c r="J3173" s="78" t="s">
        <v>69</v>
      </c>
      <c r="K3173" s="58">
        <f t="shared" si="3"/>
        <v>0</v>
      </c>
      <c r="L3173" s="91" t="str">
        <f t="shared" si="8"/>
        <v>Tue</v>
      </c>
      <c r="M3173" s="78" t="str">
        <f>IFERROR(VLOOKUP(A3173, Entries!A:B,2,false),"")</f>
        <v>Evil Tortilla Games</v>
      </c>
      <c r="N3173" s="23" t="str">
        <f>IFERROR(VLOOKUP(A3173, Entries!A:K,11,false),"")</f>
        <v/>
      </c>
    </row>
    <row r="3174">
      <c r="A3174" s="78" t="s">
        <v>2789</v>
      </c>
      <c r="B3174" s="78" t="s">
        <v>19</v>
      </c>
      <c r="C3174" s="85">
        <v>45027.0</v>
      </c>
      <c r="D3174" s="85">
        <v>45028.0</v>
      </c>
      <c r="E3174" s="86">
        <v>3.33</v>
      </c>
      <c r="F3174" s="87">
        <v>5.05</v>
      </c>
      <c r="G3174" s="88">
        <f t="shared" si="1"/>
        <v>1.72</v>
      </c>
      <c r="H3174" s="89">
        <f t="shared" si="10"/>
        <v>0.3405940594</v>
      </c>
      <c r="I3174" s="78" t="s">
        <v>3842</v>
      </c>
      <c r="J3174" s="78" t="s">
        <v>69</v>
      </c>
      <c r="K3174" s="58">
        <f t="shared" si="3"/>
        <v>1</v>
      </c>
      <c r="L3174" s="91" t="str">
        <f t="shared" si="8"/>
        <v>Wed</v>
      </c>
      <c r="M3174" s="78" t="str">
        <f>IFERROR(VLOOKUP(A3174, Entries!A:B,2,false),"")</f>
        <v>Evil Tortilla Games</v>
      </c>
      <c r="N3174" s="23" t="str">
        <f>IFERROR(VLOOKUP(A3174, Entries!A:K,11,false),"")</f>
        <v/>
      </c>
    </row>
    <row r="3175">
      <c r="A3175" s="78" t="s">
        <v>2789</v>
      </c>
      <c r="B3175" s="78" t="s">
        <v>19</v>
      </c>
      <c r="C3175" s="85">
        <v>45027.0</v>
      </c>
      <c r="D3175" s="85">
        <v>45030.0</v>
      </c>
      <c r="E3175" s="86">
        <v>3.33</v>
      </c>
      <c r="F3175" s="87">
        <v>4.9</v>
      </c>
      <c r="G3175" s="88">
        <f t="shared" si="1"/>
        <v>1.57</v>
      </c>
      <c r="H3175" s="89">
        <f t="shared" si="10"/>
        <v>0.3204081633</v>
      </c>
      <c r="I3175" s="78" t="s">
        <v>3843</v>
      </c>
      <c r="J3175" s="78" t="s">
        <v>69</v>
      </c>
      <c r="K3175" s="58">
        <f t="shared" si="3"/>
        <v>3</v>
      </c>
      <c r="L3175" s="91" t="str">
        <f t="shared" si="8"/>
        <v>Fri</v>
      </c>
      <c r="M3175" s="78" t="str">
        <f>IFERROR(VLOOKUP(A3175, Entries!A:B,2,false),"")</f>
        <v>Evil Tortilla Games</v>
      </c>
      <c r="N3175" s="23" t="str">
        <f>IFERROR(VLOOKUP(A3175, Entries!A:K,11,false),"")</f>
        <v/>
      </c>
    </row>
    <row r="3176">
      <c r="A3176" s="78" t="s">
        <v>3844</v>
      </c>
      <c r="B3176" s="78" t="s">
        <v>32</v>
      </c>
      <c r="C3176" s="85">
        <v>45027.0</v>
      </c>
      <c r="D3176" s="85">
        <v>45028.0</v>
      </c>
      <c r="E3176" s="86">
        <v>7.9</v>
      </c>
      <c r="F3176" s="87">
        <v>9.37</v>
      </c>
      <c r="G3176" s="88">
        <f t="shared" si="1"/>
        <v>1.47</v>
      </c>
      <c r="H3176" s="89">
        <f t="shared" si="10"/>
        <v>0.1568836713</v>
      </c>
      <c r="I3176" s="78" t="s">
        <v>3845</v>
      </c>
      <c r="J3176" s="78" t="s">
        <v>69</v>
      </c>
      <c r="K3176" s="58">
        <f t="shared" si="3"/>
        <v>1</v>
      </c>
      <c r="L3176" s="91" t="str">
        <f t="shared" si="8"/>
        <v>Wed</v>
      </c>
      <c r="M3176" s="78" t="str">
        <f>IFERROR(VLOOKUP(A3176, Entries!A:B,2,false),"")</f>
        <v>Lo-Fi Games</v>
      </c>
      <c r="N3176" s="23" t="str">
        <f>IFERROR(VLOOKUP(A3176, Entries!A:K,11,false),"")</f>
        <v/>
      </c>
    </row>
    <row r="3177">
      <c r="A3177" s="78" t="s">
        <v>3844</v>
      </c>
      <c r="B3177" s="78" t="s">
        <v>32</v>
      </c>
      <c r="C3177" s="85">
        <v>45027.0</v>
      </c>
      <c r="D3177" s="85">
        <v>45028.0</v>
      </c>
      <c r="E3177" s="86">
        <v>7.9</v>
      </c>
      <c r="F3177" s="87">
        <v>9.37</v>
      </c>
      <c r="G3177" s="88">
        <f t="shared" si="1"/>
        <v>1.47</v>
      </c>
      <c r="H3177" s="89">
        <f t="shared" si="10"/>
        <v>0.1568836713</v>
      </c>
      <c r="I3177" s="78" t="s">
        <v>3845</v>
      </c>
      <c r="J3177" s="78" t="s">
        <v>69</v>
      </c>
      <c r="K3177" s="58">
        <f t="shared" si="3"/>
        <v>1</v>
      </c>
      <c r="L3177" s="91" t="str">
        <f t="shared" si="8"/>
        <v>Wed</v>
      </c>
      <c r="M3177" s="78" t="str">
        <f>IFERROR(VLOOKUP(A3177, Entries!A:B,2,false),"")</f>
        <v>Lo-Fi Games</v>
      </c>
      <c r="N3177" s="23" t="str">
        <f>IFERROR(VLOOKUP(A3177, Entries!A:K,11,false),"")</f>
        <v/>
      </c>
    </row>
    <row r="3178">
      <c r="A3178" s="78" t="s">
        <v>3846</v>
      </c>
      <c r="B3178" s="78" t="s">
        <v>22</v>
      </c>
      <c r="C3178" s="85">
        <v>45027.0</v>
      </c>
      <c r="D3178" s="85">
        <v>45028.0</v>
      </c>
      <c r="E3178" s="86">
        <v>10.75</v>
      </c>
      <c r="F3178" s="87">
        <v>12.0</v>
      </c>
      <c r="G3178" s="88">
        <f t="shared" si="1"/>
        <v>1.25</v>
      </c>
      <c r="H3178" s="89">
        <f t="shared" si="10"/>
        <v>0.1041666667</v>
      </c>
      <c r="I3178" s="78" t="s">
        <v>3847</v>
      </c>
      <c r="J3178" s="78" t="s">
        <v>69</v>
      </c>
      <c r="K3178" s="58">
        <f t="shared" si="3"/>
        <v>1</v>
      </c>
      <c r="L3178" s="91" t="str">
        <f t="shared" si="8"/>
        <v>Wed</v>
      </c>
      <c r="M3178" s="78" t="str">
        <f>IFERROR(VLOOKUP(A3178, Entries!A:B,2,false),"")</f>
        <v>James Bendon</v>
      </c>
      <c r="N3178" s="23" t="str">
        <f>IFERROR(VLOOKUP(A3178, Entries!A:K,11,false),"")</f>
        <v/>
      </c>
    </row>
    <row r="3179">
      <c r="A3179" s="78" t="s">
        <v>3804</v>
      </c>
      <c r="B3179" s="78" t="s">
        <v>25</v>
      </c>
      <c r="C3179" s="85">
        <v>45027.0</v>
      </c>
      <c r="D3179" s="85">
        <v>45028.0</v>
      </c>
      <c r="E3179" s="86">
        <v>6.78</v>
      </c>
      <c r="F3179" s="87">
        <v>9.97</v>
      </c>
      <c r="G3179" s="88">
        <f t="shared" si="1"/>
        <v>3.19</v>
      </c>
      <c r="H3179" s="89">
        <f t="shared" si="10"/>
        <v>0.3199598796</v>
      </c>
      <c r="I3179" s="78" t="s">
        <v>3848</v>
      </c>
      <c r="J3179" s="78" t="s">
        <v>69</v>
      </c>
      <c r="K3179" s="58">
        <f t="shared" si="3"/>
        <v>1</v>
      </c>
      <c r="L3179" s="91" t="str">
        <f t="shared" si="8"/>
        <v>Wed</v>
      </c>
      <c r="M3179" s="78" t="str">
        <f>IFERROR(VLOOKUP(A3179, Entries!A:B,2,false),"")</f>
        <v>Ocean Drive Studio</v>
      </c>
      <c r="N3179" s="23" t="str">
        <f>IFERROR(VLOOKUP(A3179, Entries!A:K,11,false),"")</f>
        <v/>
      </c>
    </row>
    <row r="3180">
      <c r="A3180" s="78" t="s">
        <v>3804</v>
      </c>
      <c r="B3180" s="78" t="s">
        <v>25</v>
      </c>
      <c r="C3180" s="85">
        <v>45027.0</v>
      </c>
      <c r="D3180" s="85">
        <v>45030.0</v>
      </c>
      <c r="E3180" s="86">
        <v>6.78</v>
      </c>
      <c r="F3180" s="87">
        <v>9.12</v>
      </c>
      <c r="G3180" s="88">
        <f t="shared" si="1"/>
        <v>2.34</v>
      </c>
      <c r="H3180" s="89">
        <f t="shared" si="10"/>
        <v>0.2565789474</v>
      </c>
      <c r="I3180" s="78" t="s">
        <v>3849</v>
      </c>
      <c r="J3180" s="78" t="s">
        <v>69</v>
      </c>
      <c r="K3180" s="58">
        <f t="shared" si="3"/>
        <v>3</v>
      </c>
      <c r="L3180" s="91" t="str">
        <f t="shared" si="8"/>
        <v>Fri</v>
      </c>
      <c r="M3180" s="78" t="str">
        <f>IFERROR(VLOOKUP(A3180, Entries!A:B,2,false),"")</f>
        <v>Ocean Drive Studio</v>
      </c>
      <c r="N3180" s="23" t="str">
        <f>IFERROR(VLOOKUP(A3180, Entries!A:K,11,false),"")</f>
        <v/>
      </c>
    </row>
    <row r="3181">
      <c r="A3181" s="78" t="s">
        <v>3850</v>
      </c>
      <c r="B3181" s="78" t="s">
        <v>35</v>
      </c>
      <c r="C3181" s="85">
        <v>45027.0</v>
      </c>
      <c r="D3181" s="85">
        <v>45044.0</v>
      </c>
      <c r="E3181" s="86">
        <v>34.19</v>
      </c>
      <c r="F3181" s="87">
        <v>39.7</v>
      </c>
      <c r="G3181" s="88">
        <f t="shared" si="1"/>
        <v>5.51</v>
      </c>
      <c r="H3181" s="89">
        <f t="shared" si="10"/>
        <v>0.138790932</v>
      </c>
      <c r="I3181" s="78" t="s">
        <v>3851</v>
      </c>
      <c r="J3181" s="78" t="s">
        <v>69</v>
      </c>
      <c r="K3181" s="58">
        <f t="shared" si="3"/>
        <v>17</v>
      </c>
      <c r="L3181" s="91" t="str">
        <f t="shared" si="8"/>
        <v>Fri</v>
      </c>
      <c r="M3181" s="78" t="str">
        <f>IFERROR(VLOOKUP(A3181, Entries!A:B,2,false),"")</f>
        <v>Rebellion</v>
      </c>
      <c r="N3181" s="23" t="str">
        <f>IFERROR(VLOOKUP(A3181, Entries!A:K,11,false),"")</f>
        <v/>
      </c>
      <c r="O3181" s="23" t="b">
        <f>IFERROR(VLOOKUP(A3181, Entries!A:I,8,false),"")</f>
        <v>0</v>
      </c>
    </row>
    <row r="3182">
      <c r="A3182" s="78" t="s">
        <v>2789</v>
      </c>
      <c r="B3182" s="78" t="s">
        <v>19</v>
      </c>
      <c r="C3182" s="85">
        <v>45028.0</v>
      </c>
      <c r="D3182" s="85">
        <v>45028.0</v>
      </c>
      <c r="E3182" s="86">
        <v>3.33</v>
      </c>
      <c r="F3182" s="87">
        <v>5.05</v>
      </c>
      <c r="G3182" s="88">
        <f t="shared" si="1"/>
        <v>1.72</v>
      </c>
      <c r="H3182" s="89">
        <f t="shared" si="10"/>
        <v>0.3405940594</v>
      </c>
      <c r="I3182" s="78" t="s">
        <v>3852</v>
      </c>
      <c r="J3182" s="78" t="s">
        <v>69</v>
      </c>
      <c r="K3182" s="58">
        <f t="shared" si="3"/>
        <v>0</v>
      </c>
      <c r="L3182" s="91" t="str">
        <f t="shared" si="8"/>
        <v>Wed</v>
      </c>
      <c r="M3182" s="78" t="str">
        <f>IFERROR(VLOOKUP(A3182, Entries!A:B,2,false),"")</f>
        <v>Evil Tortilla Games</v>
      </c>
      <c r="N3182" s="23" t="str">
        <f>IFERROR(VLOOKUP(A3182, Entries!A:K,11,false),"")</f>
        <v/>
      </c>
    </row>
    <row r="3183">
      <c r="A3183" s="78" t="s">
        <v>2789</v>
      </c>
      <c r="B3183" s="78" t="s">
        <v>19</v>
      </c>
      <c r="C3183" s="85">
        <v>45028.0</v>
      </c>
      <c r="D3183" s="85">
        <v>45028.0</v>
      </c>
      <c r="E3183" s="86">
        <v>3.33</v>
      </c>
      <c r="F3183" s="87">
        <v>5.05</v>
      </c>
      <c r="G3183" s="88">
        <f t="shared" si="1"/>
        <v>1.72</v>
      </c>
      <c r="H3183" s="89">
        <f t="shared" si="10"/>
        <v>0.3405940594</v>
      </c>
      <c r="I3183" s="78" t="s">
        <v>3853</v>
      </c>
      <c r="J3183" s="78" t="s">
        <v>69</v>
      </c>
      <c r="K3183" s="58">
        <f t="shared" si="3"/>
        <v>0</v>
      </c>
      <c r="L3183" s="91" t="str">
        <f t="shared" si="8"/>
        <v>Wed</v>
      </c>
      <c r="M3183" s="78" t="str">
        <f>IFERROR(VLOOKUP(A3183, Entries!A:B,2,false),"")</f>
        <v>Evil Tortilla Games</v>
      </c>
      <c r="N3183" s="23" t="str">
        <f>IFERROR(VLOOKUP(A3183, Entries!A:K,11,false),"")</f>
        <v/>
      </c>
    </row>
    <row r="3184">
      <c r="A3184" s="78" t="s">
        <v>3854</v>
      </c>
      <c r="B3184" s="78" t="s">
        <v>21</v>
      </c>
      <c r="C3184" s="85">
        <v>45028.0</v>
      </c>
      <c r="D3184" s="85">
        <v>45066.0</v>
      </c>
      <c r="E3184" s="86">
        <v>35.59</v>
      </c>
      <c r="F3184" s="87">
        <v>40.72</v>
      </c>
      <c r="G3184" s="88">
        <f t="shared" si="1"/>
        <v>5.13</v>
      </c>
      <c r="H3184" s="89">
        <f t="shared" si="10"/>
        <v>0.1259823183</v>
      </c>
      <c r="I3184" s="78" t="s">
        <v>3855</v>
      </c>
      <c r="J3184" s="78" t="s">
        <v>69</v>
      </c>
      <c r="K3184" s="58">
        <f t="shared" si="3"/>
        <v>38</v>
      </c>
      <c r="L3184" s="91" t="str">
        <f t="shared" si="8"/>
        <v>Sat</v>
      </c>
      <c r="M3184" s="78" t="str">
        <f>IFERROR(VLOOKUP(A3184, Entries!A:B,2,false),"")</f>
        <v>BANDAI NAMCO</v>
      </c>
      <c r="N3184" s="23" t="str">
        <f>IFERROR(VLOOKUP(A3184, Entries!A:K,11,false),"")</f>
        <v/>
      </c>
      <c r="O3184" s="23" t="b">
        <f>IFERROR(VLOOKUP(A3184, Entries!A:I,8,false),"")</f>
        <v>0</v>
      </c>
    </row>
    <row r="3185">
      <c r="A3185" s="78" t="s">
        <v>3846</v>
      </c>
      <c r="B3185" s="78" t="s">
        <v>22</v>
      </c>
      <c r="C3185" s="85">
        <v>45028.0</v>
      </c>
      <c r="D3185" s="85">
        <v>45124.0</v>
      </c>
      <c r="E3185" s="86">
        <v>10.75</v>
      </c>
      <c r="F3185" s="87">
        <v>12.69</v>
      </c>
      <c r="G3185" s="88">
        <f t="shared" si="1"/>
        <v>1.94</v>
      </c>
      <c r="H3185" s="89">
        <f t="shared" si="10"/>
        <v>0.1528762805</v>
      </c>
      <c r="I3185" s="78" t="s">
        <v>3856</v>
      </c>
      <c r="J3185" s="78" t="s">
        <v>69</v>
      </c>
      <c r="K3185" s="58">
        <f t="shared" si="3"/>
        <v>96</v>
      </c>
      <c r="L3185" s="91" t="str">
        <f t="shared" si="8"/>
        <v>Mon</v>
      </c>
      <c r="M3185" s="78" t="str">
        <f>IFERROR(VLOOKUP(A3185, Entries!A:B,2,false),"")</f>
        <v>James Bendon</v>
      </c>
      <c r="N3185" s="23" t="str">
        <f>IFERROR(VLOOKUP(A3185, Entries!A:K,11,false),"")</f>
        <v/>
      </c>
      <c r="O3185" s="23" t="b">
        <f>IFERROR(VLOOKUP(A3185, Entries!A:I,8,false),"")</f>
        <v>0</v>
      </c>
    </row>
    <row r="3186">
      <c r="A3186" s="78" t="s">
        <v>3857</v>
      </c>
      <c r="B3186" s="78" t="s">
        <v>30</v>
      </c>
      <c r="C3186" s="85">
        <v>45028.0</v>
      </c>
      <c r="D3186" s="85">
        <v>45032.0</v>
      </c>
      <c r="E3186" s="86">
        <v>2.39</v>
      </c>
      <c r="F3186" s="87">
        <v>3.11</v>
      </c>
      <c r="G3186" s="88">
        <f t="shared" si="1"/>
        <v>0.72</v>
      </c>
      <c r="H3186" s="89">
        <f t="shared" si="10"/>
        <v>0.231511254</v>
      </c>
      <c r="I3186" s="78" t="s">
        <v>3858</v>
      </c>
      <c r="J3186" s="78" t="s">
        <v>69</v>
      </c>
      <c r="K3186" s="58">
        <f t="shared" si="3"/>
        <v>4</v>
      </c>
      <c r="L3186" s="91" t="str">
        <f t="shared" si="8"/>
        <v>Sun</v>
      </c>
      <c r="M3186" s="78" t="str">
        <f>IFERROR(VLOOKUP(A3186, Entries!A:B,2,false),"")</f>
        <v>Team17 Digital</v>
      </c>
      <c r="N3186" s="23" t="str">
        <f>IFERROR(VLOOKUP(A3186, Entries!A:K,11,false),"")</f>
        <v/>
      </c>
    </row>
    <row r="3187">
      <c r="A3187" s="78" t="s">
        <v>3859</v>
      </c>
      <c r="B3187" s="78" t="s">
        <v>27</v>
      </c>
      <c r="C3187" s="85">
        <v>45028.0</v>
      </c>
      <c r="D3187" s="25"/>
      <c r="E3187" s="86">
        <v>24.09</v>
      </c>
      <c r="F3187" s="88"/>
      <c r="G3187" s="88">
        <f t="shared" si="1"/>
        <v>-24.09</v>
      </c>
      <c r="H3187" s="89" t="str">
        <f t="shared" si="10"/>
        <v/>
      </c>
      <c r="I3187" s="103" t="s">
        <v>3860</v>
      </c>
      <c r="J3187" s="78" t="s">
        <v>1129</v>
      </c>
      <c r="K3187" s="58" t="str">
        <f t="shared" si="3"/>
        <v/>
      </c>
      <c r="L3187" s="91" t="str">
        <f t="shared" si="8"/>
        <v/>
      </c>
      <c r="M3187" s="78" t="str">
        <f>IFERROR(VLOOKUP(A3187, Entries!A:B,2,false),"")</f>
        <v>BANDAI NAMCO</v>
      </c>
      <c r="N3187" s="23" t="str">
        <f>IFERROR(VLOOKUP(A3187, Entries!A:K,11,false),"")</f>
        <v/>
      </c>
      <c r="O3187" s="23" t="b">
        <f>IFERROR(VLOOKUP(A3187, Entries!A:I,8,false),"")</f>
        <v>0</v>
      </c>
    </row>
    <row r="3188">
      <c r="A3188" s="78" t="s">
        <v>3796</v>
      </c>
      <c r="B3188" s="78" t="s">
        <v>25</v>
      </c>
      <c r="C3188" s="85">
        <v>45028.0</v>
      </c>
      <c r="D3188" s="85">
        <v>45049.0</v>
      </c>
      <c r="E3188" s="86">
        <v>7.68</v>
      </c>
      <c r="F3188" s="87">
        <v>13.19</v>
      </c>
      <c r="G3188" s="88">
        <f t="shared" si="1"/>
        <v>5.51</v>
      </c>
      <c r="H3188" s="89">
        <f t="shared" si="10"/>
        <v>0.4177407127</v>
      </c>
      <c r="I3188" s="78" t="s">
        <v>3861</v>
      </c>
      <c r="J3188" s="78" t="s">
        <v>69</v>
      </c>
      <c r="K3188" s="58">
        <f t="shared" si="3"/>
        <v>21</v>
      </c>
      <c r="L3188" s="91" t="str">
        <f t="shared" si="8"/>
        <v>Wed</v>
      </c>
      <c r="M3188" s="78" t="str">
        <f>IFERROR(VLOOKUP(A3188, Entries!A:B,2,false),"")</f>
        <v>Fellow Traveller</v>
      </c>
      <c r="N3188" s="23" t="str">
        <f>IFERROR(VLOOKUP(A3188, Entries!A:K,11,false),"")</f>
        <v/>
      </c>
      <c r="O3188" s="23" t="b">
        <f>IFERROR(VLOOKUP(A3188, Entries!A:I,8,false),"")</f>
        <v>0</v>
      </c>
    </row>
    <row r="3189">
      <c r="A3189" s="78" t="s">
        <v>2240</v>
      </c>
      <c r="B3189" s="78" t="s">
        <v>27</v>
      </c>
      <c r="C3189" s="85">
        <v>45029.0</v>
      </c>
      <c r="D3189" s="85">
        <v>45046.0</v>
      </c>
      <c r="E3189" s="86">
        <v>5.49</v>
      </c>
      <c r="F3189" s="87">
        <v>7.21</v>
      </c>
      <c r="G3189" s="88">
        <f t="shared" si="1"/>
        <v>1.72</v>
      </c>
      <c r="H3189" s="89">
        <f t="shared" si="10"/>
        <v>0.2385575589</v>
      </c>
      <c r="I3189" s="78" t="s">
        <v>3862</v>
      </c>
      <c r="J3189" s="78" t="s">
        <v>69</v>
      </c>
      <c r="K3189" s="58">
        <f t="shared" si="3"/>
        <v>17</v>
      </c>
      <c r="L3189" s="91" t="str">
        <f t="shared" si="8"/>
        <v>Sun</v>
      </c>
      <c r="M3189" s="78" t="str">
        <f>IFERROR(VLOOKUP(A3189, Entries!A:B,2,false),"")</f>
        <v>Daedalic Entertainment</v>
      </c>
      <c r="N3189" s="23" t="str">
        <f>IFERROR(VLOOKUP(A3189, Entries!A:K,11,false),"")</f>
        <v/>
      </c>
      <c r="O3189" s="23" t="b">
        <f>IFERROR(VLOOKUP(A3189, Entries!A:I,8,false),"")</f>
        <v>0</v>
      </c>
    </row>
    <row r="3190">
      <c r="A3190" s="78" t="s">
        <v>2789</v>
      </c>
      <c r="B3190" s="78" t="s">
        <v>19</v>
      </c>
      <c r="C3190" s="85">
        <v>45029.0</v>
      </c>
      <c r="D3190" s="85">
        <v>45030.0</v>
      </c>
      <c r="E3190" s="86">
        <v>3.33</v>
      </c>
      <c r="F3190" s="87">
        <v>4.9</v>
      </c>
      <c r="G3190" s="88">
        <f t="shared" si="1"/>
        <v>1.57</v>
      </c>
      <c r="H3190" s="89">
        <f t="shared" si="10"/>
        <v>0.3204081633</v>
      </c>
      <c r="I3190" s="78" t="s">
        <v>3863</v>
      </c>
      <c r="J3190" s="78" t="s">
        <v>69</v>
      </c>
      <c r="K3190" s="58">
        <f t="shared" si="3"/>
        <v>1</v>
      </c>
      <c r="L3190" s="91" t="str">
        <f t="shared" si="8"/>
        <v>Fri</v>
      </c>
      <c r="M3190" s="78" t="str">
        <f>IFERROR(VLOOKUP(A3190, Entries!A:B,2,false),"")</f>
        <v>Evil Tortilla Games</v>
      </c>
      <c r="N3190" s="23" t="str">
        <f>IFERROR(VLOOKUP(A3190, Entries!A:K,11,false),"")</f>
        <v/>
      </c>
    </row>
    <row r="3191">
      <c r="A3191" s="78" t="s">
        <v>876</v>
      </c>
      <c r="B3191" s="78" t="s">
        <v>19</v>
      </c>
      <c r="C3191" s="85">
        <v>45029.0</v>
      </c>
      <c r="D3191" s="85">
        <v>45038.0</v>
      </c>
      <c r="E3191" s="86">
        <v>16.99</v>
      </c>
      <c r="F3191" s="87">
        <v>22.29</v>
      </c>
      <c r="G3191" s="88">
        <f t="shared" si="1"/>
        <v>5.3</v>
      </c>
      <c r="H3191" s="89">
        <f t="shared" si="10"/>
        <v>0.2377747869</v>
      </c>
      <c r="I3191" s="78" t="s">
        <v>3864</v>
      </c>
      <c r="J3191" s="78" t="s">
        <v>69</v>
      </c>
      <c r="K3191" s="58">
        <f t="shared" si="3"/>
        <v>9</v>
      </c>
      <c r="L3191" s="91" t="str">
        <f t="shared" si="8"/>
        <v>Sat</v>
      </c>
      <c r="M3191" s="78" t="str">
        <f>IFERROR(VLOOKUP(A3191, Entries!A:B,2,false),"")</f>
        <v>Berserk Games</v>
      </c>
      <c r="N3191" s="23" t="str">
        <f>IFERROR(VLOOKUP(A3191, Entries!A:K,11,false),"")</f>
        <v/>
      </c>
    </row>
    <row r="3192">
      <c r="A3192" s="78" t="s">
        <v>3515</v>
      </c>
      <c r="B3192" s="78" t="s">
        <v>27</v>
      </c>
      <c r="C3192" s="85">
        <v>45029.0</v>
      </c>
      <c r="D3192" s="85">
        <v>45033.0</v>
      </c>
      <c r="E3192" s="86">
        <v>7.99</v>
      </c>
      <c r="F3192" s="87">
        <v>9.45</v>
      </c>
      <c r="G3192" s="88">
        <f t="shared" si="1"/>
        <v>1.46</v>
      </c>
      <c r="H3192" s="89">
        <f t="shared" si="10"/>
        <v>0.1544973545</v>
      </c>
      <c r="I3192" s="78" t="s">
        <v>3865</v>
      </c>
      <c r="J3192" s="78" t="s">
        <v>69</v>
      </c>
      <c r="K3192" s="58">
        <f t="shared" si="3"/>
        <v>4</v>
      </c>
      <c r="L3192" s="91" t="str">
        <f t="shared" si="8"/>
        <v>Mon</v>
      </c>
      <c r="M3192" s="78" t="str">
        <f>IFERROR(VLOOKUP(A3192, Entries!A:B,2,false),"")</f>
        <v>WOLCEN Studio</v>
      </c>
      <c r="N3192" s="23" t="str">
        <f>IFERROR(VLOOKUP(A3192, Entries!A:K,11,false),"")</f>
        <v/>
      </c>
    </row>
    <row r="3193">
      <c r="A3193" s="78" t="s">
        <v>3866</v>
      </c>
      <c r="B3193" s="78" t="s">
        <v>18</v>
      </c>
      <c r="C3193" s="85">
        <v>45029.0</v>
      </c>
      <c r="D3193" s="85">
        <v>45375.0</v>
      </c>
      <c r="E3193" s="86">
        <v>7.12</v>
      </c>
      <c r="F3193" s="87">
        <v>7.25</v>
      </c>
      <c r="G3193" s="88">
        <f t="shared" si="1"/>
        <v>0.13</v>
      </c>
      <c r="H3193" s="89">
        <f t="shared" si="10"/>
        <v>0.01793103448</v>
      </c>
      <c r="I3193" s="78" t="s">
        <v>3867</v>
      </c>
      <c r="J3193" s="78" t="s">
        <v>69</v>
      </c>
      <c r="K3193" s="58">
        <f t="shared" si="3"/>
        <v>346</v>
      </c>
      <c r="L3193" s="91" t="str">
        <f t="shared" si="8"/>
        <v>Sun</v>
      </c>
      <c r="M3193" s="78" t="str">
        <f>IFERROR(VLOOKUP(A3193, Entries!A:B,2,false),"")</f>
        <v>Shining Rock</v>
      </c>
      <c r="N3193" s="23" t="str">
        <f>IFERROR(VLOOKUP(A3193, Entries!A:K,11,false),"")</f>
        <v/>
      </c>
      <c r="O3193" s="23" t="b">
        <f>IFERROR(VLOOKUP(A3193, Entries!A:I,8,false),"")</f>
        <v>0</v>
      </c>
    </row>
    <row r="3194">
      <c r="A3194" s="78" t="s">
        <v>3866</v>
      </c>
      <c r="B3194" s="78" t="s">
        <v>18</v>
      </c>
      <c r="C3194" s="85">
        <v>45029.0</v>
      </c>
      <c r="D3194" s="85">
        <v>45761.0</v>
      </c>
      <c r="E3194" s="86">
        <v>7.11</v>
      </c>
      <c r="F3194" s="87">
        <v>6.21</v>
      </c>
      <c r="G3194" s="88">
        <f t="shared" si="1"/>
        <v>-0.9</v>
      </c>
      <c r="H3194" s="89">
        <f t="shared" si="10"/>
        <v>-0.1449275362</v>
      </c>
      <c r="I3194" s="103" t="s">
        <v>3868</v>
      </c>
      <c r="J3194" s="78" t="s">
        <v>69</v>
      </c>
      <c r="K3194" s="58">
        <f t="shared" si="3"/>
        <v>732</v>
      </c>
      <c r="L3194" s="91" t="str">
        <f t="shared" si="8"/>
        <v>Mon</v>
      </c>
      <c r="M3194" s="78" t="str">
        <f>IFERROR(VLOOKUP(A3194, Entries!A:B,2,false),"")</f>
        <v>Shining Rock</v>
      </c>
      <c r="N3194" s="23" t="str">
        <f>IFERROR(VLOOKUP(A3194, Entries!A:K,11,false),"")</f>
        <v/>
      </c>
      <c r="O3194" s="23" t="b">
        <f>IFERROR(VLOOKUP(A3194, Entries!A:I,8,false),"")</f>
        <v>0</v>
      </c>
    </row>
    <row r="3195">
      <c r="A3195" s="78" t="s">
        <v>1336</v>
      </c>
      <c r="B3195" s="78" t="s">
        <v>27</v>
      </c>
      <c r="C3195" s="85">
        <v>45030.0</v>
      </c>
      <c r="D3195" s="85">
        <v>45032.0</v>
      </c>
      <c r="E3195" s="86">
        <v>7.99</v>
      </c>
      <c r="F3195" s="87">
        <v>9.45</v>
      </c>
      <c r="G3195" s="88">
        <f t="shared" si="1"/>
        <v>1.46</v>
      </c>
      <c r="H3195" s="89">
        <f t="shared" si="10"/>
        <v>0.1544973545</v>
      </c>
      <c r="I3195" s="78" t="s">
        <v>3869</v>
      </c>
      <c r="J3195" s="78" t="s">
        <v>69</v>
      </c>
      <c r="K3195" s="58">
        <f t="shared" si="3"/>
        <v>2</v>
      </c>
      <c r="L3195" s="91" t="str">
        <f t="shared" si="8"/>
        <v>Sun</v>
      </c>
      <c r="M3195" s="78" t="str">
        <f>IFERROR(VLOOKUP(A3195, Entries!A:B,2,false),"")</f>
        <v>Team17 Digital</v>
      </c>
      <c r="N3195" s="23" t="str">
        <f>IFERROR(VLOOKUP(A3195, Entries!A:K,11,false),"")</f>
        <v/>
      </c>
    </row>
    <row r="3196">
      <c r="A3196" s="78" t="s">
        <v>3798</v>
      </c>
      <c r="B3196" s="78" t="s">
        <v>19</v>
      </c>
      <c r="C3196" s="85">
        <v>45030.0</v>
      </c>
      <c r="D3196" s="85">
        <v>45032.0</v>
      </c>
      <c r="E3196" s="86">
        <v>7.39</v>
      </c>
      <c r="F3196" s="87">
        <v>14.89</v>
      </c>
      <c r="G3196" s="88">
        <f t="shared" si="1"/>
        <v>7.5</v>
      </c>
      <c r="H3196" s="89">
        <f t="shared" si="10"/>
        <v>0.5036937542</v>
      </c>
      <c r="I3196" s="78" t="s">
        <v>3870</v>
      </c>
      <c r="J3196" s="78" t="s">
        <v>69</v>
      </c>
      <c r="K3196" s="58">
        <f t="shared" si="3"/>
        <v>2</v>
      </c>
      <c r="L3196" s="91" t="str">
        <f t="shared" si="8"/>
        <v>Sun</v>
      </c>
      <c r="M3196" s="78" t="str">
        <f>IFERROR(VLOOKUP(A3196, Entries!A:B,2,false),"")</f>
        <v>Good Shepherd Entertainment</v>
      </c>
      <c r="N3196" s="23" t="str">
        <f>IFERROR(VLOOKUP(A3196, Entries!A:K,11,false),"")</f>
        <v/>
      </c>
    </row>
    <row r="3197">
      <c r="A3197" s="78" t="s">
        <v>2789</v>
      </c>
      <c r="B3197" s="78" t="s">
        <v>19</v>
      </c>
      <c r="C3197" s="85">
        <v>45030.0</v>
      </c>
      <c r="D3197" s="85">
        <v>45031.0</v>
      </c>
      <c r="E3197" s="86">
        <v>3.33</v>
      </c>
      <c r="F3197" s="87">
        <v>4.9</v>
      </c>
      <c r="G3197" s="88">
        <f t="shared" si="1"/>
        <v>1.57</v>
      </c>
      <c r="H3197" s="89">
        <f t="shared" si="10"/>
        <v>0.3204081633</v>
      </c>
      <c r="I3197" s="78" t="s">
        <v>3871</v>
      </c>
      <c r="J3197" s="78" t="s">
        <v>69</v>
      </c>
      <c r="K3197" s="58">
        <f t="shared" si="3"/>
        <v>1</v>
      </c>
      <c r="L3197" s="91" t="str">
        <f t="shared" si="8"/>
        <v>Sat</v>
      </c>
      <c r="M3197" s="78" t="str">
        <f>IFERROR(VLOOKUP(A3197, Entries!A:B,2,false),"")</f>
        <v>Evil Tortilla Games</v>
      </c>
      <c r="N3197" s="23" t="str">
        <f>IFERROR(VLOOKUP(A3197, Entries!A:K,11,false),"")</f>
        <v/>
      </c>
    </row>
    <row r="3198">
      <c r="A3198" s="78" t="s">
        <v>3804</v>
      </c>
      <c r="B3198" s="78" t="s">
        <v>25</v>
      </c>
      <c r="C3198" s="85">
        <v>45030.0</v>
      </c>
      <c r="D3198" s="85">
        <v>45030.0</v>
      </c>
      <c r="E3198" s="86">
        <v>6.78</v>
      </c>
      <c r="F3198" s="87">
        <v>9.12</v>
      </c>
      <c r="G3198" s="88">
        <f t="shared" si="1"/>
        <v>2.34</v>
      </c>
      <c r="H3198" s="89">
        <f t="shared" si="10"/>
        <v>0.2565789474</v>
      </c>
      <c r="I3198" s="78" t="s">
        <v>3872</v>
      </c>
      <c r="J3198" s="78" t="s">
        <v>69</v>
      </c>
      <c r="K3198" s="58">
        <f t="shared" si="3"/>
        <v>0</v>
      </c>
      <c r="L3198" s="91" t="str">
        <f t="shared" si="8"/>
        <v>Fri</v>
      </c>
      <c r="M3198" s="78" t="str">
        <f>IFERROR(VLOOKUP(A3198, Entries!A:B,2,false),"")</f>
        <v>Ocean Drive Studio</v>
      </c>
      <c r="N3198" s="23" t="str">
        <f>IFERROR(VLOOKUP(A3198, Entries!A:K,11,false),"")</f>
        <v/>
      </c>
    </row>
    <row r="3199">
      <c r="A3199" s="78" t="s">
        <v>3804</v>
      </c>
      <c r="B3199" s="78" t="s">
        <v>25</v>
      </c>
      <c r="C3199" s="85">
        <v>45030.0</v>
      </c>
      <c r="D3199" s="85">
        <v>45030.0</v>
      </c>
      <c r="E3199" s="86">
        <v>6.78</v>
      </c>
      <c r="F3199" s="87">
        <v>9.08</v>
      </c>
      <c r="G3199" s="88">
        <f t="shared" si="1"/>
        <v>2.3</v>
      </c>
      <c r="H3199" s="89">
        <f t="shared" si="10"/>
        <v>0.2533039648</v>
      </c>
      <c r="I3199" s="78" t="s">
        <v>3873</v>
      </c>
      <c r="J3199" s="78" t="s">
        <v>69</v>
      </c>
      <c r="K3199" s="58">
        <f t="shared" si="3"/>
        <v>0</v>
      </c>
      <c r="L3199" s="91" t="str">
        <f t="shared" si="8"/>
        <v>Fri</v>
      </c>
      <c r="M3199" s="78" t="str">
        <f>IFERROR(VLOOKUP(A3199, Entries!A:B,2,false),"")</f>
        <v>Ocean Drive Studio</v>
      </c>
      <c r="N3199" s="23" t="str">
        <f>IFERROR(VLOOKUP(A3199, Entries!A:K,11,false),"")</f>
        <v/>
      </c>
    </row>
    <row r="3200">
      <c r="A3200" s="78" t="s">
        <v>3804</v>
      </c>
      <c r="B3200" s="78" t="s">
        <v>25</v>
      </c>
      <c r="C3200" s="85">
        <v>45030.0</v>
      </c>
      <c r="D3200" s="85">
        <v>45035.0</v>
      </c>
      <c r="E3200" s="86">
        <v>6.78</v>
      </c>
      <c r="F3200" s="87">
        <v>8.41</v>
      </c>
      <c r="G3200" s="88">
        <f t="shared" si="1"/>
        <v>1.63</v>
      </c>
      <c r="H3200" s="89">
        <f t="shared" si="10"/>
        <v>0.1938168847</v>
      </c>
      <c r="I3200" s="78" t="s">
        <v>3874</v>
      </c>
      <c r="J3200" s="78" t="s">
        <v>69</v>
      </c>
      <c r="K3200" s="58">
        <f t="shared" si="3"/>
        <v>5</v>
      </c>
      <c r="L3200" s="91" t="str">
        <f t="shared" si="8"/>
        <v>Wed</v>
      </c>
      <c r="M3200" s="78" t="str">
        <f>IFERROR(VLOOKUP(A3200, Entries!A:B,2,false),"")</f>
        <v>Ocean Drive Studio</v>
      </c>
      <c r="N3200" s="23" t="str">
        <f>IFERROR(VLOOKUP(A3200, Entries!A:K,11,false),"")</f>
        <v/>
      </c>
    </row>
    <row r="3201">
      <c r="A3201" s="78" t="s">
        <v>1338</v>
      </c>
      <c r="B3201" s="78" t="s">
        <v>25</v>
      </c>
      <c r="C3201" s="85">
        <v>45030.0</v>
      </c>
      <c r="D3201" s="85">
        <v>45031.0</v>
      </c>
      <c r="E3201" s="86">
        <v>6.1</v>
      </c>
      <c r="F3201" s="87">
        <v>7.14</v>
      </c>
      <c r="G3201" s="88">
        <f t="shared" si="1"/>
        <v>1.04</v>
      </c>
      <c r="H3201" s="89">
        <f t="shared" si="10"/>
        <v>0.1456582633</v>
      </c>
      <c r="I3201" s="78" t="s">
        <v>3875</v>
      </c>
      <c r="J3201" s="78" t="s">
        <v>69</v>
      </c>
      <c r="K3201" s="58">
        <f t="shared" si="3"/>
        <v>1</v>
      </c>
      <c r="L3201" s="91" t="str">
        <f t="shared" si="8"/>
        <v>Sat</v>
      </c>
      <c r="M3201" s="78" t="str">
        <f>IFERROR(VLOOKUP(A3201, Entries!A:B,2,false),"")</f>
        <v>SEGA</v>
      </c>
      <c r="N3201" s="23" t="str">
        <f>IFERROR(VLOOKUP(A3201, Entries!A:K,11,false),"")</f>
        <v/>
      </c>
    </row>
    <row r="3202">
      <c r="A3202" s="78" t="s">
        <v>3876</v>
      </c>
      <c r="B3202" s="78" t="s">
        <v>27</v>
      </c>
      <c r="C3202" s="85">
        <v>45030.0</v>
      </c>
      <c r="D3202" s="85">
        <v>45033.0</v>
      </c>
      <c r="E3202" s="86">
        <v>5.69</v>
      </c>
      <c r="F3202" s="87">
        <v>6.86</v>
      </c>
      <c r="G3202" s="88">
        <f t="shared" si="1"/>
        <v>1.17</v>
      </c>
      <c r="H3202" s="89">
        <f t="shared" si="10"/>
        <v>0.1705539359</v>
      </c>
      <c r="I3202" s="78" t="s">
        <v>3877</v>
      </c>
      <c r="J3202" s="78" t="s">
        <v>69</v>
      </c>
      <c r="K3202" s="58">
        <f t="shared" si="3"/>
        <v>3</v>
      </c>
      <c r="L3202" s="91" t="str">
        <f t="shared" si="8"/>
        <v>Mon</v>
      </c>
      <c r="M3202" s="78" t="str">
        <f>IFERROR(VLOOKUP(A3202, Entries!A:B,2,false),"")</f>
        <v>Systemic Reaction</v>
      </c>
      <c r="N3202" s="23" t="str">
        <f>IFERROR(VLOOKUP(A3202, Entries!A:K,11,false),"")</f>
        <v/>
      </c>
    </row>
    <row r="3203">
      <c r="A3203" s="78" t="s">
        <v>2789</v>
      </c>
      <c r="B3203" s="78" t="s">
        <v>19</v>
      </c>
      <c r="C3203" s="85">
        <v>45030.0</v>
      </c>
      <c r="D3203" s="85">
        <v>45031.0</v>
      </c>
      <c r="E3203" s="86">
        <v>3.33</v>
      </c>
      <c r="F3203" s="87">
        <v>4.9</v>
      </c>
      <c r="G3203" s="88">
        <f t="shared" si="1"/>
        <v>1.57</v>
      </c>
      <c r="H3203" s="89">
        <f t="shared" si="10"/>
        <v>0.3204081633</v>
      </c>
      <c r="I3203" s="78" t="s">
        <v>3878</v>
      </c>
      <c r="J3203" s="78" t="s">
        <v>69</v>
      </c>
      <c r="K3203" s="58">
        <f t="shared" si="3"/>
        <v>1</v>
      </c>
      <c r="L3203" s="91" t="str">
        <f t="shared" si="8"/>
        <v>Sat</v>
      </c>
      <c r="M3203" s="78" t="str">
        <f>IFERROR(VLOOKUP(A3203, Entries!A:B,2,false),"")</f>
        <v>Evil Tortilla Games</v>
      </c>
      <c r="N3203" s="23" t="str">
        <f>IFERROR(VLOOKUP(A3203, Entries!A:K,11,false),"")</f>
        <v/>
      </c>
    </row>
    <row r="3204">
      <c r="A3204" s="78" t="s">
        <v>2789</v>
      </c>
      <c r="B3204" s="78" t="s">
        <v>19</v>
      </c>
      <c r="C3204" s="85">
        <v>45030.0</v>
      </c>
      <c r="D3204" s="85">
        <v>45031.0</v>
      </c>
      <c r="E3204" s="86">
        <v>3.33</v>
      </c>
      <c r="F3204" s="87">
        <v>4.9</v>
      </c>
      <c r="G3204" s="88">
        <f t="shared" si="1"/>
        <v>1.57</v>
      </c>
      <c r="H3204" s="89">
        <f t="shared" si="10"/>
        <v>0.3204081633</v>
      </c>
      <c r="I3204" s="78" t="s">
        <v>3879</v>
      </c>
      <c r="J3204" s="78" t="s">
        <v>69</v>
      </c>
      <c r="K3204" s="58">
        <f t="shared" si="3"/>
        <v>1</v>
      </c>
      <c r="L3204" s="91" t="str">
        <f t="shared" si="8"/>
        <v>Sat</v>
      </c>
      <c r="M3204" s="78" t="str">
        <f>IFERROR(VLOOKUP(A3204, Entries!A:B,2,false),"")</f>
        <v>Evil Tortilla Games</v>
      </c>
      <c r="N3204" s="23" t="str">
        <f>IFERROR(VLOOKUP(A3204, Entries!A:K,11,false),"")</f>
        <v/>
      </c>
    </row>
    <row r="3205">
      <c r="A3205" s="78" t="s">
        <v>2789</v>
      </c>
      <c r="B3205" s="78" t="s">
        <v>19</v>
      </c>
      <c r="C3205" s="85">
        <v>45030.0</v>
      </c>
      <c r="D3205" s="85">
        <v>45031.0</v>
      </c>
      <c r="E3205" s="86">
        <v>3.33</v>
      </c>
      <c r="F3205" s="87">
        <v>4.9</v>
      </c>
      <c r="G3205" s="88">
        <f t="shared" si="1"/>
        <v>1.57</v>
      </c>
      <c r="H3205" s="89">
        <f t="shared" si="10"/>
        <v>0.3204081633</v>
      </c>
      <c r="I3205" s="78" t="s">
        <v>3880</v>
      </c>
      <c r="J3205" s="78" t="s">
        <v>69</v>
      </c>
      <c r="K3205" s="58">
        <f t="shared" si="3"/>
        <v>1</v>
      </c>
      <c r="L3205" s="91" t="str">
        <f t="shared" si="8"/>
        <v>Sat</v>
      </c>
      <c r="M3205" s="78" t="str">
        <f>IFERROR(VLOOKUP(A3205, Entries!A:B,2,false),"")</f>
        <v>Evil Tortilla Games</v>
      </c>
      <c r="N3205" s="23" t="str">
        <f>IFERROR(VLOOKUP(A3205, Entries!A:K,11,false),"")</f>
        <v/>
      </c>
    </row>
    <row r="3206">
      <c r="A3206" s="78" t="s">
        <v>3804</v>
      </c>
      <c r="B3206" s="78" t="s">
        <v>25</v>
      </c>
      <c r="C3206" s="85">
        <v>45030.0</v>
      </c>
      <c r="D3206" s="85">
        <v>45038.0</v>
      </c>
      <c r="E3206" s="86">
        <v>6.78</v>
      </c>
      <c r="F3206" s="87">
        <v>8.05</v>
      </c>
      <c r="G3206" s="88">
        <f t="shared" si="1"/>
        <v>1.27</v>
      </c>
      <c r="H3206" s="89">
        <f t="shared" si="10"/>
        <v>0.1577639752</v>
      </c>
      <c r="I3206" s="78" t="s">
        <v>3881</v>
      </c>
      <c r="J3206" s="78" t="s">
        <v>69</v>
      </c>
      <c r="K3206" s="58">
        <f t="shared" si="3"/>
        <v>8</v>
      </c>
      <c r="L3206" s="91" t="str">
        <f t="shared" si="8"/>
        <v>Sat</v>
      </c>
      <c r="M3206" s="78" t="str">
        <f>IFERROR(VLOOKUP(A3206, Entries!A:B,2,false),"")</f>
        <v>Ocean Drive Studio</v>
      </c>
      <c r="N3206" s="23" t="str">
        <f>IFERROR(VLOOKUP(A3206, Entries!A:K,11,false),"")</f>
        <v/>
      </c>
    </row>
    <row r="3207">
      <c r="A3207" s="78" t="s">
        <v>3804</v>
      </c>
      <c r="B3207" s="78" t="s">
        <v>25</v>
      </c>
      <c r="C3207" s="85">
        <v>45030.0</v>
      </c>
      <c r="D3207" s="85">
        <v>45139.0</v>
      </c>
      <c r="E3207" s="86">
        <v>6.78</v>
      </c>
      <c r="F3207" s="87">
        <v>9.55</v>
      </c>
      <c r="G3207" s="88">
        <f t="shared" si="1"/>
        <v>2.77</v>
      </c>
      <c r="H3207" s="89">
        <f t="shared" si="10"/>
        <v>0.290052356</v>
      </c>
      <c r="I3207" s="78" t="s">
        <v>3882</v>
      </c>
      <c r="J3207" s="78" t="s">
        <v>69</v>
      </c>
      <c r="K3207" s="58">
        <f t="shared" si="3"/>
        <v>109</v>
      </c>
      <c r="L3207" s="91" t="str">
        <f t="shared" si="8"/>
        <v>Tue</v>
      </c>
      <c r="M3207" s="78" t="str">
        <f>IFERROR(VLOOKUP(A3207, Entries!A:B,2,false),"")</f>
        <v>Ocean Drive Studio</v>
      </c>
      <c r="N3207" s="23" t="str">
        <f>IFERROR(VLOOKUP(A3207, Entries!A:K,11,false),"")</f>
        <v/>
      </c>
      <c r="O3207" s="23" t="b">
        <f>IFERROR(VLOOKUP(A3207, Entries!A:I,8,false),"")</f>
        <v>0</v>
      </c>
    </row>
    <row r="3208">
      <c r="A3208" s="78" t="s">
        <v>3804</v>
      </c>
      <c r="B3208" s="78" t="s">
        <v>25</v>
      </c>
      <c r="C3208" s="85">
        <v>45030.0</v>
      </c>
      <c r="D3208" s="85">
        <v>45141.0</v>
      </c>
      <c r="E3208" s="86">
        <v>6.78</v>
      </c>
      <c r="F3208" s="87">
        <v>7.83</v>
      </c>
      <c r="G3208" s="88">
        <f t="shared" si="1"/>
        <v>1.05</v>
      </c>
      <c r="H3208" s="89">
        <f t="shared" si="10"/>
        <v>0.1340996169</v>
      </c>
      <c r="I3208" s="78" t="s">
        <v>3883</v>
      </c>
      <c r="J3208" s="78" t="s">
        <v>69</v>
      </c>
      <c r="K3208" s="58">
        <f t="shared" si="3"/>
        <v>111</v>
      </c>
      <c r="L3208" s="91" t="str">
        <f t="shared" si="8"/>
        <v>Thu</v>
      </c>
      <c r="M3208" s="78" t="str">
        <f>IFERROR(VLOOKUP(A3208, Entries!A:B,2,false),"")</f>
        <v>Ocean Drive Studio</v>
      </c>
      <c r="N3208" s="23" t="str">
        <f>IFERROR(VLOOKUP(A3208, Entries!A:K,11,false),"")</f>
        <v/>
      </c>
      <c r="O3208" s="23" t="b">
        <f>IFERROR(VLOOKUP(A3208, Entries!A:I,8,false),"")</f>
        <v>0</v>
      </c>
    </row>
    <row r="3209">
      <c r="A3209" s="78" t="s">
        <v>2528</v>
      </c>
      <c r="B3209" s="78" t="s">
        <v>18</v>
      </c>
      <c r="C3209" s="85">
        <v>45031.0</v>
      </c>
      <c r="D3209" s="85">
        <v>45032.0</v>
      </c>
      <c r="E3209" s="86">
        <v>5.1</v>
      </c>
      <c r="F3209" s="87">
        <v>6.65</v>
      </c>
      <c r="G3209" s="88">
        <f t="shared" si="1"/>
        <v>1.55</v>
      </c>
      <c r="H3209" s="89">
        <f t="shared" si="10"/>
        <v>0.2330827068</v>
      </c>
      <c r="I3209" s="78" t="s">
        <v>3884</v>
      </c>
      <c r="J3209" s="78" t="s">
        <v>69</v>
      </c>
      <c r="K3209" s="58">
        <f t="shared" si="3"/>
        <v>1</v>
      </c>
      <c r="L3209" s="91" t="str">
        <f t="shared" si="8"/>
        <v>Sun</v>
      </c>
      <c r="M3209" s="78" t="str">
        <f>IFERROR(VLOOKUP(A3209, Entries!A:B,2,false),"")</f>
        <v>Cheesecake Dev</v>
      </c>
      <c r="N3209" s="23" t="str">
        <f>IFERROR(VLOOKUP(A3209, Entries!A:K,11,false),"")</f>
        <v/>
      </c>
    </row>
    <row r="3210">
      <c r="A3210" s="78" t="s">
        <v>2528</v>
      </c>
      <c r="B3210" s="78" t="s">
        <v>18</v>
      </c>
      <c r="C3210" s="85">
        <v>45031.0</v>
      </c>
      <c r="D3210" s="85">
        <v>45042.0</v>
      </c>
      <c r="E3210" s="86">
        <v>5.1</v>
      </c>
      <c r="F3210" s="87">
        <v>6.42</v>
      </c>
      <c r="G3210" s="88">
        <f t="shared" si="1"/>
        <v>1.32</v>
      </c>
      <c r="H3210" s="89">
        <f t="shared" si="10"/>
        <v>0.2056074766</v>
      </c>
      <c r="I3210" s="78" t="s">
        <v>3885</v>
      </c>
      <c r="J3210" s="78" t="s">
        <v>69</v>
      </c>
      <c r="K3210" s="58">
        <f t="shared" si="3"/>
        <v>11</v>
      </c>
      <c r="L3210" s="91" t="str">
        <f t="shared" si="8"/>
        <v>Wed</v>
      </c>
      <c r="M3210" s="78" t="str">
        <f>IFERROR(VLOOKUP(A3210, Entries!A:B,2,false),"")</f>
        <v>Cheesecake Dev</v>
      </c>
      <c r="N3210" s="23" t="str">
        <f>IFERROR(VLOOKUP(A3210, Entries!A:K,11,false),"")</f>
        <v/>
      </c>
      <c r="O3210" s="23" t="b">
        <f>IFERROR(VLOOKUP(A3210, Entries!A:I,8,false),"")</f>
        <v>0</v>
      </c>
    </row>
    <row r="3211">
      <c r="A3211" s="78" t="s">
        <v>1338</v>
      </c>
      <c r="B3211" s="78" t="s">
        <v>25</v>
      </c>
      <c r="C3211" s="85">
        <v>45031.0</v>
      </c>
      <c r="D3211" s="85">
        <v>45033.0</v>
      </c>
      <c r="E3211" s="86">
        <v>6.1</v>
      </c>
      <c r="F3211" s="87">
        <v>7.13</v>
      </c>
      <c r="G3211" s="88">
        <f t="shared" si="1"/>
        <v>1.03</v>
      </c>
      <c r="H3211" s="89">
        <f t="shared" si="10"/>
        <v>0.1444600281</v>
      </c>
      <c r="I3211" s="78" t="s">
        <v>3886</v>
      </c>
      <c r="J3211" s="78" t="s">
        <v>69</v>
      </c>
      <c r="K3211" s="58">
        <f t="shared" si="3"/>
        <v>2</v>
      </c>
      <c r="L3211" s="91" t="str">
        <f t="shared" si="8"/>
        <v>Mon</v>
      </c>
      <c r="M3211" s="78" t="str">
        <f>IFERROR(VLOOKUP(A3211, Entries!A:B,2,false),"")</f>
        <v>SEGA</v>
      </c>
      <c r="N3211" s="23" t="str">
        <f>IFERROR(VLOOKUP(A3211, Entries!A:K,11,false),"")</f>
        <v/>
      </c>
    </row>
    <row r="3212">
      <c r="A3212" s="78" t="s">
        <v>2789</v>
      </c>
      <c r="B3212" s="78" t="s">
        <v>19</v>
      </c>
      <c r="C3212" s="85">
        <v>45031.0</v>
      </c>
      <c r="D3212" s="85">
        <v>45031.0</v>
      </c>
      <c r="E3212" s="86">
        <v>3.33</v>
      </c>
      <c r="F3212" s="87">
        <v>4.9</v>
      </c>
      <c r="G3212" s="88">
        <f t="shared" si="1"/>
        <v>1.57</v>
      </c>
      <c r="H3212" s="89">
        <f t="shared" si="10"/>
        <v>0.3204081633</v>
      </c>
      <c r="I3212" s="78" t="s">
        <v>3887</v>
      </c>
      <c r="J3212" s="78" t="s">
        <v>69</v>
      </c>
      <c r="K3212" s="58">
        <f t="shared" si="3"/>
        <v>0</v>
      </c>
      <c r="L3212" s="91" t="str">
        <f t="shared" si="8"/>
        <v>Sat</v>
      </c>
      <c r="M3212" s="78" t="str">
        <f>IFERROR(VLOOKUP(A3212, Entries!A:B,2,false),"")</f>
        <v>Evil Tortilla Games</v>
      </c>
      <c r="N3212" s="23" t="str">
        <f>IFERROR(VLOOKUP(A3212, Entries!A:K,11,false),"")</f>
        <v/>
      </c>
    </row>
    <row r="3213">
      <c r="A3213" s="78" t="s">
        <v>1336</v>
      </c>
      <c r="B3213" s="78" t="s">
        <v>27</v>
      </c>
      <c r="C3213" s="85">
        <v>45032.0</v>
      </c>
      <c r="D3213" s="85">
        <v>45032.0</v>
      </c>
      <c r="E3213" s="86">
        <v>7.99</v>
      </c>
      <c r="F3213" s="87">
        <v>10.61</v>
      </c>
      <c r="G3213" s="88">
        <f t="shared" si="1"/>
        <v>2.62</v>
      </c>
      <c r="H3213" s="89">
        <f t="shared" si="10"/>
        <v>0.246936852</v>
      </c>
      <c r="I3213" s="78" t="s">
        <v>3888</v>
      </c>
      <c r="J3213" s="78" t="s">
        <v>69</v>
      </c>
      <c r="K3213" s="58">
        <f t="shared" si="3"/>
        <v>0</v>
      </c>
      <c r="L3213" s="91" t="str">
        <f t="shared" si="8"/>
        <v>Sun</v>
      </c>
      <c r="M3213" s="78" t="str">
        <f>IFERROR(VLOOKUP(A3213, Entries!A:B,2,false),"")</f>
        <v>Team17 Digital</v>
      </c>
      <c r="N3213" s="23" t="str">
        <f>IFERROR(VLOOKUP(A3213, Entries!A:K,11,false),"")</f>
        <v/>
      </c>
    </row>
    <row r="3214">
      <c r="A3214" s="78" t="s">
        <v>2789</v>
      </c>
      <c r="B3214" s="78" t="s">
        <v>19</v>
      </c>
      <c r="C3214" s="85">
        <v>45032.0</v>
      </c>
      <c r="D3214" s="85">
        <v>45034.0</v>
      </c>
      <c r="E3214" s="86">
        <v>3.33</v>
      </c>
      <c r="F3214" s="87">
        <v>4.9</v>
      </c>
      <c r="G3214" s="88">
        <f t="shared" si="1"/>
        <v>1.57</v>
      </c>
      <c r="H3214" s="89">
        <f t="shared" si="10"/>
        <v>0.3204081633</v>
      </c>
      <c r="I3214" s="78" t="s">
        <v>3889</v>
      </c>
      <c r="J3214" s="78" t="s">
        <v>69</v>
      </c>
      <c r="K3214" s="58">
        <f t="shared" si="3"/>
        <v>2</v>
      </c>
      <c r="L3214" s="91" t="str">
        <f t="shared" si="8"/>
        <v>Tue</v>
      </c>
      <c r="M3214" s="78" t="str">
        <f>IFERROR(VLOOKUP(A3214, Entries!A:B,2,false),"")</f>
        <v>Evil Tortilla Games</v>
      </c>
      <c r="N3214" s="23" t="str">
        <f>IFERROR(VLOOKUP(A3214, Entries!A:K,11,false),"")</f>
        <v/>
      </c>
    </row>
    <row r="3215">
      <c r="A3215" s="78" t="s">
        <v>2789</v>
      </c>
      <c r="B3215" s="78" t="s">
        <v>19</v>
      </c>
      <c r="C3215" s="85">
        <v>45032.0</v>
      </c>
      <c r="D3215" s="85">
        <v>45035.0</v>
      </c>
      <c r="E3215" s="86">
        <v>3.33</v>
      </c>
      <c r="F3215" s="87">
        <v>4.9</v>
      </c>
      <c r="G3215" s="88">
        <f t="shared" si="1"/>
        <v>1.57</v>
      </c>
      <c r="H3215" s="89">
        <f t="shared" si="10"/>
        <v>0.3204081633</v>
      </c>
      <c r="I3215" s="78" t="s">
        <v>3890</v>
      </c>
      <c r="J3215" s="78" t="s">
        <v>69</v>
      </c>
      <c r="K3215" s="58">
        <f t="shared" si="3"/>
        <v>3</v>
      </c>
      <c r="L3215" s="91" t="str">
        <f t="shared" si="8"/>
        <v>Wed</v>
      </c>
      <c r="M3215" s="78" t="str">
        <f>IFERROR(VLOOKUP(A3215, Entries!A:B,2,false),"")</f>
        <v>Evil Tortilla Games</v>
      </c>
      <c r="N3215" s="23" t="str">
        <f>IFERROR(VLOOKUP(A3215, Entries!A:K,11,false),"")</f>
        <v/>
      </c>
    </row>
    <row r="3216">
      <c r="A3216" s="78" t="s">
        <v>3798</v>
      </c>
      <c r="B3216" s="78" t="s">
        <v>19</v>
      </c>
      <c r="C3216" s="85">
        <v>45032.0</v>
      </c>
      <c r="D3216" s="85">
        <v>45034.0</v>
      </c>
      <c r="E3216" s="86">
        <v>7.97</v>
      </c>
      <c r="F3216" s="87">
        <v>14.89</v>
      </c>
      <c r="G3216" s="88">
        <f t="shared" si="1"/>
        <v>6.92</v>
      </c>
      <c r="H3216" s="89">
        <f t="shared" si="10"/>
        <v>0.4647414372</v>
      </c>
      <c r="I3216" s="78" t="s">
        <v>3891</v>
      </c>
      <c r="J3216" s="78" t="s">
        <v>69</v>
      </c>
      <c r="K3216" s="58">
        <f t="shared" si="3"/>
        <v>2</v>
      </c>
      <c r="L3216" s="91" t="str">
        <f t="shared" si="8"/>
        <v>Tue</v>
      </c>
      <c r="M3216" s="78" t="str">
        <f>IFERROR(VLOOKUP(A3216, Entries!A:B,2,false),"")</f>
        <v>Good Shepherd Entertainment</v>
      </c>
      <c r="N3216" s="23" t="str">
        <f>IFERROR(VLOOKUP(A3216, Entries!A:K,11,false),"")</f>
        <v/>
      </c>
    </row>
    <row r="3217">
      <c r="A3217" s="78" t="s">
        <v>1336</v>
      </c>
      <c r="B3217" s="78" t="s">
        <v>27</v>
      </c>
      <c r="C3217" s="85">
        <v>45032.0</v>
      </c>
      <c r="D3217" s="85">
        <v>45037.0</v>
      </c>
      <c r="E3217" s="86">
        <v>7.99</v>
      </c>
      <c r="F3217" s="87">
        <v>10.34</v>
      </c>
      <c r="G3217" s="88">
        <f t="shared" si="1"/>
        <v>2.35</v>
      </c>
      <c r="H3217" s="89">
        <f t="shared" si="10"/>
        <v>0.2272727273</v>
      </c>
      <c r="I3217" s="78" t="s">
        <v>3892</v>
      </c>
      <c r="J3217" s="78" t="s">
        <v>69</v>
      </c>
      <c r="K3217" s="58">
        <f t="shared" si="3"/>
        <v>5</v>
      </c>
      <c r="L3217" s="91" t="str">
        <f t="shared" si="8"/>
        <v>Fri</v>
      </c>
      <c r="M3217" s="78" t="str">
        <f>IFERROR(VLOOKUP(A3217, Entries!A:B,2,false),"")</f>
        <v>Team17 Digital</v>
      </c>
      <c r="N3217" s="23" t="str">
        <f>IFERROR(VLOOKUP(A3217, Entries!A:K,11,false),"")</f>
        <v/>
      </c>
    </row>
    <row r="3218">
      <c r="A3218" s="78" t="s">
        <v>3515</v>
      </c>
      <c r="B3218" s="78" t="s">
        <v>27</v>
      </c>
      <c r="C3218" s="85">
        <v>45033.0</v>
      </c>
      <c r="D3218" s="85">
        <v>45037.0</v>
      </c>
      <c r="E3218" s="86">
        <v>7.99</v>
      </c>
      <c r="F3218" s="87">
        <v>9.51</v>
      </c>
      <c r="G3218" s="88">
        <f t="shared" si="1"/>
        <v>1.52</v>
      </c>
      <c r="H3218" s="89">
        <f t="shared" si="10"/>
        <v>0.159831756</v>
      </c>
      <c r="I3218" s="78" t="s">
        <v>3893</v>
      </c>
      <c r="J3218" s="78" t="s">
        <v>69</v>
      </c>
      <c r="K3218" s="58">
        <f t="shared" si="3"/>
        <v>4</v>
      </c>
      <c r="L3218" s="91" t="str">
        <f t="shared" si="8"/>
        <v>Fri</v>
      </c>
      <c r="M3218" s="78" t="str">
        <f>IFERROR(VLOOKUP(A3218, Entries!A:B,2,false),"")</f>
        <v>WOLCEN Studio</v>
      </c>
      <c r="N3218" s="23" t="str">
        <f>IFERROR(VLOOKUP(A3218, Entries!A:K,11,false),"")</f>
        <v/>
      </c>
    </row>
    <row r="3219">
      <c r="A3219" s="78" t="s">
        <v>272</v>
      </c>
      <c r="B3219" s="78" t="s">
        <v>19</v>
      </c>
      <c r="C3219" s="85">
        <v>45033.0</v>
      </c>
      <c r="D3219" s="85">
        <v>45097.0</v>
      </c>
      <c r="E3219" s="86">
        <v>0.95</v>
      </c>
      <c r="F3219" s="87">
        <v>1.45</v>
      </c>
      <c r="G3219" s="88">
        <f t="shared" si="1"/>
        <v>0.5</v>
      </c>
      <c r="H3219" s="89">
        <f t="shared" si="10"/>
        <v>0.3448275862</v>
      </c>
      <c r="I3219" s="78" t="s">
        <v>3894</v>
      </c>
      <c r="J3219" s="78" t="s">
        <v>69</v>
      </c>
      <c r="K3219" s="58">
        <f t="shared" si="3"/>
        <v>64</v>
      </c>
      <c r="L3219" s="91" t="str">
        <f t="shared" si="8"/>
        <v>Tue</v>
      </c>
      <c r="M3219" s="78" t="str">
        <f>IFERROR(VLOOKUP(A3219, Entries!A:B,2,false),"")</f>
        <v>Starbreeze Publishing</v>
      </c>
      <c r="N3219" s="23" t="str">
        <f>IFERROR(VLOOKUP(A3219, Entries!A:K,11,false),"")</f>
        <v/>
      </c>
      <c r="O3219" s="23" t="b">
        <f>IFERROR(VLOOKUP(A3219, Entries!A:I,8,false),"")</f>
        <v>1</v>
      </c>
    </row>
    <row r="3220">
      <c r="A3220" s="78" t="s">
        <v>272</v>
      </c>
      <c r="B3220" s="78" t="s">
        <v>19</v>
      </c>
      <c r="C3220" s="85">
        <v>45033.0</v>
      </c>
      <c r="D3220" s="85">
        <v>45098.0</v>
      </c>
      <c r="E3220" s="86">
        <v>0.95</v>
      </c>
      <c r="F3220" s="87">
        <v>1.55</v>
      </c>
      <c r="G3220" s="88">
        <f t="shared" si="1"/>
        <v>0.6</v>
      </c>
      <c r="H3220" s="89">
        <f t="shared" si="10"/>
        <v>0.3870967742</v>
      </c>
      <c r="I3220" s="78" t="s">
        <v>3895</v>
      </c>
      <c r="J3220" s="78" t="s">
        <v>69</v>
      </c>
      <c r="K3220" s="58">
        <f t="shared" si="3"/>
        <v>65</v>
      </c>
      <c r="L3220" s="91" t="str">
        <f t="shared" si="8"/>
        <v>Wed</v>
      </c>
      <c r="M3220" s="78" t="str">
        <f>IFERROR(VLOOKUP(A3220, Entries!A:B,2,false),"")</f>
        <v>Starbreeze Publishing</v>
      </c>
      <c r="N3220" s="23" t="str">
        <f>IFERROR(VLOOKUP(A3220, Entries!A:K,11,false),"")</f>
        <v/>
      </c>
      <c r="O3220" s="23" t="b">
        <f>IFERROR(VLOOKUP(A3220, Entries!A:I,8,false),"")</f>
        <v>1</v>
      </c>
    </row>
    <row r="3221">
      <c r="A3221" s="78" t="s">
        <v>272</v>
      </c>
      <c r="B3221" s="78" t="s">
        <v>19</v>
      </c>
      <c r="C3221" s="85">
        <v>45033.0</v>
      </c>
      <c r="D3221" s="85">
        <v>45098.0</v>
      </c>
      <c r="E3221" s="86">
        <v>0.95</v>
      </c>
      <c r="F3221" s="87">
        <v>1.55</v>
      </c>
      <c r="G3221" s="88">
        <f t="shared" si="1"/>
        <v>0.6</v>
      </c>
      <c r="H3221" s="89">
        <f t="shared" si="10"/>
        <v>0.3870967742</v>
      </c>
      <c r="I3221" s="78" t="s">
        <v>3896</v>
      </c>
      <c r="J3221" s="78" t="s">
        <v>69</v>
      </c>
      <c r="K3221" s="58">
        <f t="shared" si="3"/>
        <v>65</v>
      </c>
      <c r="L3221" s="91" t="str">
        <f t="shared" si="8"/>
        <v>Wed</v>
      </c>
      <c r="M3221" s="78" t="str">
        <f>IFERROR(VLOOKUP(A3221, Entries!A:B,2,false),"")</f>
        <v>Starbreeze Publishing</v>
      </c>
      <c r="N3221" s="23" t="str">
        <f>IFERROR(VLOOKUP(A3221, Entries!A:K,11,false),"")</f>
        <v/>
      </c>
      <c r="O3221" s="23" t="b">
        <f>IFERROR(VLOOKUP(A3221, Entries!A:I,8,false),"")</f>
        <v>1</v>
      </c>
    </row>
    <row r="3222">
      <c r="A3222" s="78" t="s">
        <v>3897</v>
      </c>
      <c r="B3222" s="78" t="s">
        <v>27</v>
      </c>
      <c r="C3222" s="85">
        <v>45033.0</v>
      </c>
      <c r="D3222" s="85">
        <v>45037.0</v>
      </c>
      <c r="E3222" s="86">
        <v>4.39</v>
      </c>
      <c r="F3222" s="87">
        <v>5.46</v>
      </c>
      <c r="G3222" s="88">
        <f t="shared" si="1"/>
        <v>1.07</v>
      </c>
      <c r="H3222" s="89">
        <f t="shared" si="10"/>
        <v>0.195970696</v>
      </c>
      <c r="I3222" s="78" t="s">
        <v>3898</v>
      </c>
      <c r="J3222" s="78" t="s">
        <v>69</v>
      </c>
      <c r="K3222" s="58">
        <f t="shared" si="3"/>
        <v>4</v>
      </c>
      <c r="L3222" s="91" t="str">
        <f t="shared" si="8"/>
        <v>Fri</v>
      </c>
      <c r="M3222" s="78" t="str">
        <f>IFERROR(VLOOKUP(A3222, Entries!A:B,2,false),"")</f>
        <v>Bethesda Softworks</v>
      </c>
      <c r="N3222" s="23" t="str">
        <f>IFERROR(VLOOKUP(A3222, Entries!A:K,11,false),"")</f>
        <v/>
      </c>
    </row>
    <row r="3223">
      <c r="A3223" s="78" t="s">
        <v>2395</v>
      </c>
      <c r="B3223" s="78" t="s">
        <v>19</v>
      </c>
      <c r="C3223" s="85">
        <v>45033.0</v>
      </c>
      <c r="D3223" s="85">
        <v>45040.0</v>
      </c>
      <c r="E3223" s="86">
        <v>9.49</v>
      </c>
      <c r="F3223" s="87">
        <v>11.71</v>
      </c>
      <c r="G3223" s="88">
        <f t="shared" si="1"/>
        <v>2.22</v>
      </c>
      <c r="H3223" s="89">
        <f t="shared" si="10"/>
        <v>0.1895815542</v>
      </c>
      <c r="I3223" s="78" t="s">
        <v>3899</v>
      </c>
      <c r="J3223" s="78" t="s">
        <v>69</v>
      </c>
      <c r="K3223" s="58">
        <f t="shared" si="3"/>
        <v>7</v>
      </c>
      <c r="L3223" s="91" t="str">
        <f t="shared" si="8"/>
        <v>Mon</v>
      </c>
      <c r="M3223" s="78" t="str">
        <f>IFERROR(VLOOKUP(A3223, Entries!A:B,2,false),"")</f>
        <v>Blue Brain Games</v>
      </c>
      <c r="N3223" s="23" t="str">
        <f>IFERROR(VLOOKUP(A3223, Entries!A:K,11,false),"")</f>
        <v/>
      </c>
    </row>
    <row r="3224">
      <c r="A3224" s="78" t="s">
        <v>2789</v>
      </c>
      <c r="B3224" s="78" t="s">
        <v>19</v>
      </c>
      <c r="C3224" s="85">
        <v>45033.0</v>
      </c>
      <c r="D3224" s="85">
        <v>45037.0</v>
      </c>
      <c r="E3224" s="86">
        <v>3.33</v>
      </c>
      <c r="F3224" s="87">
        <v>4.9</v>
      </c>
      <c r="G3224" s="88">
        <f t="shared" si="1"/>
        <v>1.57</v>
      </c>
      <c r="H3224" s="89">
        <f t="shared" si="10"/>
        <v>0.3204081633</v>
      </c>
      <c r="I3224" s="78" t="s">
        <v>3900</v>
      </c>
      <c r="J3224" s="78" t="s">
        <v>69</v>
      </c>
      <c r="K3224" s="58">
        <f t="shared" si="3"/>
        <v>4</v>
      </c>
      <c r="L3224" s="91" t="str">
        <f t="shared" si="8"/>
        <v>Fri</v>
      </c>
      <c r="M3224" s="78" t="str">
        <f>IFERROR(VLOOKUP(A3224, Entries!A:B,2,false),"")</f>
        <v>Evil Tortilla Games</v>
      </c>
      <c r="N3224" s="23" t="str">
        <f>IFERROR(VLOOKUP(A3224, Entries!A:K,11,false),"")</f>
        <v/>
      </c>
    </row>
    <row r="3225">
      <c r="A3225" s="94" t="s">
        <v>2650</v>
      </c>
      <c r="B3225" s="78" t="s">
        <v>23</v>
      </c>
      <c r="C3225" s="85">
        <v>45033.0</v>
      </c>
      <c r="D3225" s="85">
        <v>45714.0</v>
      </c>
      <c r="E3225" s="86">
        <v>11.38</v>
      </c>
      <c r="F3225" s="87">
        <v>12.03</v>
      </c>
      <c r="G3225" s="88">
        <f t="shared" si="1"/>
        <v>0.65</v>
      </c>
      <c r="H3225" s="89">
        <f t="shared" si="10"/>
        <v>0.0540315877</v>
      </c>
      <c r="I3225" s="78" t="s">
        <v>3901</v>
      </c>
      <c r="J3225" s="78" t="s">
        <v>69</v>
      </c>
      <c r="K3225" s="58">
        <f t="shared" si="3"/>
        <v>681</v>
      </c>
      <c r="L3225" s="91" t="str">
        <f t="shared" si="8"/>
        <v>Wed</v>
      </c>
      <c r="M3225" s="78" t="str">
        <f>IFERROR(VLOOKUP(A3225, Entries!A:B,2,false),"")</f>
        <v>Tactical Adventures</v>
      </c>
      <c r="N3225" s="23" t="str">
        <f>IFERROR(VLOOKUP(A3225, Entries!A:K,11,false),"")</f>
        <v/>
      </c>
      <c r="O3225" s="23" t="b">
        <f>IFERROR(VLOOKUP(A3225, Entries!A:I,8,false),"")</f>
        <v>0</v>
      </c>
    </row>
    <row r="3226">
      <c r="A3226" s="78" t="s">
        <v>3876</v>
      </c>
      <c r="B3226" s="78" t="s">
        <v>27</v>
      </c>
      <c r="C3226" s="85">
        <v>45033.0</v>
      </c>
      <c r="D3226" s="85">
        <v>45033.0</v>
      </c>
      <c r="E3226" s="86">
        <v>5.69</v>
      </c>
      <c r="F3226" s="87">
        <v>6.86</v>
      </c>
      <c r="G3226" s="88">
        <f t="shared" si="1"/>
        <v>1.17</v>
      </c>
      <c r="H3226" s="89">
        <f t="shared" si="10"/>
        <v>0.1705539359</v>
      </c>
      <c r="I3226" s="78" t="s">
        <v>3902</v>
      </c>
      <c r="J3226" s="78" t="s">
        <v>69</v>
      </c>
      <c r="K3226" s="58">
        <f t="shared" si="3"/>
        <v>0</v>
      </c>
      <c r="L3226" s="91" t="str">
        <f t="shared" si="8"/>
        <v>Mon</v>
      </c>
      <c r="M3226" s="78" t="str">
        <f>IFERROR(VLOOKUP(A3226, Entries!A:B,2,false),"")</f>
        <v>Systemic Reaction</v>
      </c>
      <c r="N3226" s="23" t="str">
        <f>IFERROR(VLOOKUP(A3226, Entries!A:K,11,false),"")</f>
        <v/>
      </c>
    </row>
    <row r="3227">
      <c r="A3227" s="78" t="s">
        <v>3903</v>
      </c>
      <c r="B3227" s="78" t="s">
        <v>21</v>
      </c>
      <c r="C3227" s="85">
        <v>45033.0</v>
      </c>
      <c r="D3227" s="25"/>
      <c r="E3227" s="86">
        <v>12.93</v>
      </c>
      <c r="F3227" s="88"/>
      <c r="G3227" s="88">
        <f t="shared" si="1"/>
        <v>-12.93</v>
      </c>
      <c r="H3227" s="89" t="str">
        <f t="shared" si="10"/>
        <v/>
      </c>
      <c r="I3227" s="103" t="s">
        <v>3904</v>
      </c>
      <c r="J3227" s="78" t="s">
        <v>1129</v>
      </c>
      <c r="K3227" s="58" t="str">
        <f t="shared" si="3"/>
        <v/>
      </c>
      <c r="L3227" s="91" t="str">
        <f t="shared" si="8"/>
        <v/>
      </c>
      <c r="M3227" s="78" t="str">
        <f>IFERROR(VLOOKUP(A3227, Entries!A:B,2,false),"")</f>
        <v>Frontier Foundry</v>
      </c>
      <c r="N3227" s="23" t="str">
        <f>IFERROR(VLOOKUP(A3227, Entries!A:K,11,false),"")</f>
        <v/>
      </c>
      <c r="O3227" s="23" t="b">
        <f>IFERROR(VLOOKUP(A3227, Entries!A:I,8,false),"")</f>
        <v>0</v>
      </c>
    </row>
    <row r="3228">
      <c r="A3228" s="78" t="s">
        <v>3903</v>
      </c>
      <c r="B3228" s="78" t="s">
        <v>21</v>
      </c>
      <c r="C3228" s="85">
        <v>45033.0</v>
      </c>
      <c r="D3228" s="25"/>
      <c r="E3228" s="86">
        <v>12.93</v>
      </c>
      <c r="F3228" s="88"/>
      <c r="G3228" s="88">
        <f t="shared" si="1"/>
        <v>-12.93</v>
      </c>
      <c r="H3228" s="89" t="str">
        <f t="shared" si="10"/>
        <v/>
      </c>
      <c r="I3228" s="103" t="s">
        <v>3905</v>
      </c>
      <c r="J3228" s="78" t="s">
        <v>1129</v>
      </c>
      <c r="K3228" s="58" t="str">
        <f t="shared" si="3"/>
        <v/>
      </c>
      <c r="L3228" s="91" t="str">
        <f t="shared" si="8"/>
        <v/>
      </c>
      <c r="M3228" s="78" t="str">
        <f>IFERROR(VLOOKUP(A3228, Entries!A:B,2,false),"")</f>
        <v>Frontier Foundry</v>
      </c>
      <c r="N3228" s="23" t="str">
        <f>IFERROR(VLOOKUP(A3228, Entries!A:K,11,false),"")</f>
        <v/>
      </c>
      <c r="O3228" s="23" t="b">
        <f>IFERROR(VLOOKUP(A3228, Entries!A:I,8,false),"")</f>
        <v>0</v>
      </c>
    </row>
    <row r="3229">
      <c r="A3229" s="78" t="s">
        <v>3903</v>
      </c>
      <c r="B3229" s="78" t="s">
        <v>21</v>
      </c>
      <c r="C3229" s="85">
        <v>45033.0</v>
      </c>
      <c r="D3229" s="25"/>
      <c r="E3229" s="86">
        <v>12.93</v>
      </c>
      <c r="F3229" s="88"/>
      <c r="G3229" s="88">
        <f t="shared" si="1"/>
        <v>-12.93</v>
      </c>
      <c r="H3229" s="89" t="str">
        <f t="shared" si="10"/>
        <v/>
      </c>
      <c r="I3229" s="103" t="s">
        <v>3906</v>
      </c>
      <c r="J3229" s="78" t="s">
        <v>1129</v>
      </c>
      <c r="K3229" s="58" t="str">
        <f t="shared" si="3"/>
        <v/>
      </c>
      <c r="L3229" s="91" t="str">
        <f t="shared" si="8"/>
        <v/>
      </c>
      <c r="M3229" s="78" t="str">
        <f>IFERROR(VLOOKUP(A3229, Entries!A:B,2,false),"")</f>
        <v>Frontier Foundry</v>
      </c>
      <c r="N3229" s="23" t="str">
        <f>IFERROR(VLOOKUP(A3229, Entries!A:K,11,false),"")</f>
        <v/>
      </c>
      <c r="O3229" s="23" t="b">
        <f>IFERROR(VLOOKUP(A3229, Entries!A:I,8,false),"")</f>
        <v>0</v>
      </c>
    </row>
    <row r="3230">
      <c r="A3230" s="78" t="s">
        <v>1338</v>
      </c>
      <c r="B3230" s="78" t="s">
        <v>25</v>
      </c>
      <c r="C3230" s="85">
        <v>45033.0</v>
      </c>
      <c r="D3230" s="85">
        <v>45034.0</v>
      </c>
      <c r="E3230" s="86">
        <v>5.98</v>
      </c>
      <c r="F3230" s="87">
        <v>7.14</v>
      </c>
      <c r="G3230" s="88">
        <f t="shared" si="1"/>
        <v>1.16</v>
      </c>
      <c r="H3230" s="89">
        <f t="shared" si="10"/>
        <v>0.162464986</v>
      </c>
      <c r="I3230" s="78" t="s">
        <v>3907</v>
      </c>
      <c r="J3230" s="78" t="s">
        <v>69</v>
      </c>
      <c r="K3230" s="58">
        <f t="shared" si="3"/>
        <v>1</v>
      </c>
      <c r="L3230" s="91" t="str">
        <f t="shared" si="8"/>
        <v>Tue</v>
      </c>
      <c r="M3230" s="78" t="str">
        <f>IFERROR(VLOOKUP(A3230, Entries!A:B,2,false),"")</f>
        <v>SEGA</v>
      </c>
      <c r="N3230" s="23" t="str">
        <f>IFERROR(VLOOKUP(A3230, Entries!A:K,11,false),"")</f>
        <v/>
      </c>
    </row>
    <row r="3231">
      <c r="A3231" s="78" t="s">
        <v>3876</v>
      </c>
      <c r="B3231" s="78" t="s">
        <v>27</v>
      </c>
      <c r="C3231" s="85">
        <v>45033.0</v>
      </c>
      <c r="D3231" s="85">
        <v>45034.0</v>
      </c>
      <c r="E3231" s="86">
        <v>5.69</v>
      </c>
      <c r="F3231" s="87">
        <v>6.86</v>
      </c>
      <c r="G3231" s="88">
        <f t="shared" si="1"/>
        <v>1.17</v>
      </c>
      <c r="H3231" s="89">
        <f t="shared" si="10"/>
        <v>0.1705539359</v>
      </c>
      <c r="I3231" s="78" t="s">
        <v>3908</v>
      </c>
      <c r="J3231" s="78" t="s">
        <v>69</v>
      </c>
      <c r="K3231" s="58">
        <f t="shared" si="3"/>
        <v>1</v>
      </c>
      <c r="L3231" s="91" t="str">
        <f t="shared" si="8"/>
        <v>Tue</v>
      </c>
      <c r="M3231" s="78" t="str">
        <f>IFERROR(VLOOKUP(A3231, Entries!A:B,2,false),"")</f>
        <v>Systemic Reaction</v>
      </c>
      <c r="N3231" s="23" t="str">
        <f>IFERROR(VLOOKUP(A3231, Entries!A:K,11,false),"")</f>
        <v/>
      </c>
    </row>
    <row r="3232">
      <c r="A3232" s="78" t="s">
        <v>3876</v>
      </c>
      <c r="B3232" s="78" t="s">
        <v>27</v>
      </c>
      <c r="C3232" s="85">
        <v>45034.0</v>
      </c>
      <c r="D3232" s="85">
        <v>45179.0</v>
      </c>
      <c r="E3232" s="86">
        <v>5.69</v>
      </c>
      <c r="F3232" s="87">
        <v>6.57</v>
      </c>
      <c r="G3232" s="88">
        <f t="shared" si="1"/>
        <v>0.88</v>
      </c>
      <c r="H3232" s="89">
        <f t="shared" si="10"/>
        <v>0.1339421613</v>
      </c>
      <c r="I3232" s="78" t="s">
        <v>3909</v>
      </c>
      <c r="J3232" s="78" t="s">
        <v>69</v>
      </c>
      <c r="K3232" s="58">
        <f t="shared" si="3"/>
        <v>145</v>
      </c>
      <c r="L3232" s="91" t="str">
        <f t="shared" si="8"/>
        <v>Sun</v>
      </c>
      <c r="M3232" s="78" t="str">
        <f>IFERROR(VLOOKUP(A3232, Entries!A:B,2,false),"")</f>
        <v>Systemic Reaction</v>
      </c>
      <c r="N3232" s="23" t="str">
        <f>IFERROR(VLOOKUP(A3232, Entries!A:K,11,false),"")</f>
        <v/>
      </c>
      <c r="O3232" s="23" t="b">
        <f>IFERROR(VLOOKUP(A3232, Entries!A:I,8,false),"")</f>
        <v>0</v>
      </c>
    </row>
    <row r="3233">
      <c r="A3233" s="78" t="s">
        <v>1338</v>
      </c>
      <c r="B3233" s="78" t="s">
        <v>25</v>
      </c>
      <c r="C3233" s="85">
        <v>45034.0</v>
      </c>
      <c r="D3233" s="85">
        <v>45037.0</v>
      </c>
      <c r="E3233" s="86">
        <v>5.98</v>
      </c>
      <c r="F3233" s="87">
        <v>6.83</v>
      </c>
      <c r="G3233" s="88">
        <f t="shared" si="1"/>
        <v>0.85</v>
      </c>
      <c r="H3233" s="89">
        <f t="shared" si="10"/>
        <v>0.1244509517</v>
      </c>
      <c r="I3233" s="78" t="s">
        <v>3910</v>
      </c>
      <c r="J3233" s="78" t="s">
        <v>69</v>
      </c>
      <c r="K3233" s="58">
        <f t="shared" si="3"/>
        <v>3</v>
      </c>
      <c r="L3233" s="91" t="str">
        <f t="shared" si="8"/>
        <v>Fri</v>
      </c>
      <c r="M3233" s="78" t="str">
        <f>IFERROR(VLOOKUP(A3233, Entries!A:B,2,false),"")</f>
        <v>SEGA</v>
      </c>
      <c r="N3233" s="23" t="str">
        <f>IFERROR(VLOOKUP(A3233, Entries!A:K,11,false),"")</f>
        <v/>
      </c>
    </row>
    <row r="3234">
      <c r="A3234" s="78" t="s">
        <v>3789</v>
      </c>
      <c r="B3234" s="78" t="s">
        <v>27</v>
      </c>
      <c r="C3234" s="85">
        <v>45035.0</v>
      </c>
      <c r="D3234" s="85">
        <v>46068.0</v>
      </c>
      <c r="E3234" s="86">
        <v>12.59</v>
      </c>
      <c r="F3234" s="87">
        <v>11.69</v>
      </c>
      <c r="G3234" s="88">
        <f t="shared" si="1"/>
        <v>-0.9</v>
      </c>
      <c r="H3234" s="89">
        <f t="shared" si="10"/>
        <v>-0.07698887938</v>
      </c>
      <c r="I3234" s="103" t="s">
        <v>3911</v>
      </c>
      <c r="J3234" s="78" t="s">
        <v>69</v>
      </c>
      <c r="K3234" s="58">
        <f t="shared" si="3"/>
        <v>1033</v>
      </c>
      <c r="L3234" s="91" t="str">
        <f t="shared" si="8"/>
        <v>Sun</v>
      </c>
      <c r="M3234" s="78" t="str">
        <f>IFERROR(VLOOKUP(A3234, Entries!A:B,2,false),"")</f>
        <v>Devolver Digital</v>
      </c>
      <c r="N3234" s="23" t="str">
        <f>IFERROR(VLOOKUP(A3234, Entries!A:K,11,false),"")</f>
        <v/>
      </c>
      <c r="O3234" s="23" t="b">
        <f>IFERROR(VLOOKUP(A3234, Entries!A:I,8,false),"")</f>
        <v>0</v>
      </c>
    </row>
    <row r="3235">
      <c r="A3235" s="78" t="s">
        <v>2789</v>
      </c>
      <c r="B3235" s="78" t="s">
        <v>19</v>
      </c>
      <c r="C3235" s="85">
        <v>45035.0</v>
      </c>
      <c r="D3235" s="85">
        <v>45037.0</v>
      </c>
      <c r="E3235" s="86">
        <v>3.33</v>
      </c>
      <c r="F3235" s="87">
        <v>4.9</v>
      </c>
      <c r="G3235" s="88">
        <f t="shared" si="1"/>
        <v>1.57</v>
      </c>
      <c r="H3235" s="89">
        <f t="shared" si="10"/>
        <v>0.3204081633</v>
      </c>
      <c r="I3235" s="78" t="s">
        <v>3912</v>
      </c>
      <c r="J3235" s="78" t="s">
        <v>69</v>
      </c>
      <c r="K3235" s="58">
        <f t="shared" si="3"/>
        <v>2</v>
      </c>
      <c r="L3235" s="91" t="str">
        <f t="shared" si="8"/>
        <v>Fri</v>
      </c>
      <c r="M3235" s="78" t="str">
        <f>IFERROR(VLOOKUP(A3235, Entries!A:B,2,false),"")</f>
        <v>Evil Tortilla Games</v>
      </c>
      <c r="N3235" s="23" t="str">
        <f>IFERROR(VLOOKUP(A3235, Entries!A:K,11,false),"")</f>
        <v/>
      </c>
    </row>
    <row r="3236">
      <c r="A3236" s="78" t="s">
        <v>3913</v>
      </c>
      <c r="B3236" s="78" t="s">
        <v>23</v>
      </c>
      <c r="C3236" s="85">
        <v>45036.0</v>
      </c>
      <c r="D3236" s="25"/>
      <c r="E3236" s="86">
        <v>14.31</v>
      </c>
      <c r="F3236" s="88"/>
      <c r="G3236" s="88">
        <f t="shared" si="1"/>
        <v>-14.31</v>
      </c>
      <c r="H3236" s="89" t="str">
        <f t="shared" si="10"/>
        <v/>
      </c>
      <c r="I3236" s="103" t="s">
        <v>3914</v>
      </c>
      <c r="J3236" s="78" t="s">
        <v>1129</v>
      </c>
      <c r="K3236" s="58" t="str">
        <f t="shared" si="3"/>
        <v/>
      </c>
      <c r="L3236" s="91" t="str">
        <f t="shared" si="8"/>
        <v/>
      </c>
      <c r="M3236" s="78" t="str">
        <f>IFERROR(VLOOKUP(A3236, Entries!A:B,2,false),"")</f>
        <v>Humble Games</v>
      </c>
      <c r="N3236" s="23" t="str">
        <f>IFERROR(VLOOKUP(A3236, Entries!A:K,11,false),"")</f>
        <v/>
      </c>
      <c r="O3236" s="23" t="b">
        <f>IFERROR(VLOOKUP(A3236, Entries!A:I,8,false),"")</f>
        <v>0</v>
      </c>
    </row>
    <row r="3237">
      <c r="A3237" s="78" t="s">
        <v>3915</v>
      </c>
      <c r="B3237" s="78" t="s">
        <v>18</v>
      </c>
      <c r="C3237" s="85">
        <v>45036.0</v>
      </c>
      <c r="D3237" s="85">
        <v>45049.0</v>
      </c>
      <c r="E3237" s="86">
        <v>10.71</v>
      </c>
      <c r="F3237" s="87">
        <v>14.52</v>
      </c>
      <c r="G3237" s="88">
        <f t="shared" si="1"/>
        <v>3.81</v>
      </c>
      <c r="H3237" s="89">
        <f t="shared" si="10"/>
        <v>0.2623966942</v>
      </c>
      <c r="I3237" s="78" t="s">
        <v>3916</v>
      </c>
      <c r="J3237" s="78" t="s">
        <v>69</v>
      </c>
      <c r="K3237" s="58">
        <f t="shared" si="3"/>
        <v>13</v>
      </c>
      <c r="L3237" s="91" t="str">
        <f t="shared" si="8"/>
        <v>Wed</v>
      </c>
      <c r="M3237" s="78" t="str">
        <f>IFERROR(VLOOKUP(A3237, Entries!A:B,2,false),"")</f>
        <v>HandyGames</v>
      </c>
      <c r="N3237" s="23" t="str">
        <f>IFERROR(VLOOKUP(A3237, Entries!A:K,11,false),"")</f>
        <v/>
      </c>
      <c r="O3237" s="23" t="b">
        <f>IFERROR(VLOOKUP(A3237, Entries!A:I,8,false),"")</f>
        <v>0</v>
      </c>
    </row>
    <row r="3238">
      <c r="A3238" s="78" t="s">
        <v>3915</v>
      </c>
      <c r="B3238" s="78" t="s">
        <v>18</v>
      </c>
      <c r="C3238" s="85">
        <v>45036.0</v>
      </c>
      <c r="D3238" s="85">
        <v>45143.0</v>
      </c>
      <c r="E3238" s="86">
        <v>10.71</v>
      </c>
      <c r="F3238" s="87">
        <v>12.61</v>
      </c>
      <c r="G3238" s="88">
        <f t="shared" si="1"/>
        <v>1.9</v>
      </c>
      <c r="H3238" s="89">
        <f t="shared" si="10"/>
        <v>0.1506740682</v>
      </c>
      <c r="I3238" s="78" t="s">
        <v>3917</v>
      </c>
      <c r="J3238" s="78" t="s">
        <v>69</v>
      </c>
      <c r="K3238" s="58">
        <f t="shared" si="3"/>
        <v>107</v>
      </c>
      <c r="L3238" s="91" t="str">
        <f t="shared" si="8"/>
        <v>Sat</v>
      </c>
      <c r="M3238" s="78" t="str">
        <f>IFERROR(VLOOKUP(A3238, Entries!A:B,2,false),"")</f>
        <v>HandyGames</v>
      </c>
      <c r="N3238" s="23" t="str">
        <f>IFERROR(VLOOKUP(A3238, Entries!A:K,11,false),"")</f>
        <v/>
      </c>
      <c r="O3238" s="23" t="b">
        <f>IFERROR(VLOOKUP(A3238, Entries!A:I,8,false),"")</f>
        <v>0</v>
      </c>
    </row>
    <row r="3239">
      <c r="A3239" s="78" t="s">
        <v>3915</v>
      </c>
      <c r="B3239" s="78" t="s">
        <v>18</v>
      </c>
      <c r="C3239" s="85">
        <v>45036.0</v>
      </c>
      <c r="D3239" s="85">
        <v>45178.0</v>
      </c>
      <c r="E3239" s="86">
        <v>10.71</v>
      </c>
      <c r="F3239" s="87">
        <v>12.3</v>
      </c>
      <c r="G3239" s="88">
        <f t="shared" si="1"/>
        <v>1.59</v>
      </c>
      <c r="H3239" s="89">
        <f t="shared" si="10"/>
        <v>0.1292682927</v>
      </c>
      <c r="I3239" s="78" t="s">
        <v>3918</v>
      </c>
      <c r="J3239" s="78" t="s">
        <v>69</v>
      </c>
      <c r="K3239" s="58">
        <f t="shared" si="3"/>
        <v>142</v>
      </c>
      <c r="L3239" s="91" t="str">
        <f t="shared" si="8"/>
        <v>Sat</v>
      </c>
      <c r="M3239" s="78" t="str">
        <f>IFERROR(VLOOKUP(A3239, Entries!A:B,2,false),"")</f>
        <v>HandyGames</v>
      </c>
      <c r="N3239" s="23" t="str">
        <f>IFERROR(VLOOKUP(A3239, Entries!A:K,11,false),"")</f>
        <v/>
      </c>
      <c r="O3239" s="23" t="b">
        <f>IFERROR(VLOOKUP(A3239, Entries!A:I,8,false),"")</f>
        <v>0</v>
      </c>
    </row>
    <row r="3240">
      <c r="A3240" s="78" t="s">
        <v>2789</v>
      </c>
      <c r="B3240" s="78" t="s">
        <v>19</v>
      </c>
      <c r="C3240" s="85">
        <v>45037.0</v>
      </c>
      <c r="D3240" s="85">
        <v>45037.0</v>
      </c>
      <c r="E3240" s="86">
        <v>3.33</v>
      </c>
      <c r="F3240" s="87">
        <v>4.9</v>
      </c>
      <c r="G3240" s="88">
        <f t="shared" si="1"/>
        <v>1.57</v>
      </c>
      <c r="H3240" s="89">
        <f t="shared" si="10"/>
        <v>0.3204081633</v>
      </c>
      <c r="I3240" s="78" t="s">
        <v>3919</v>
      </c>
      <c r="J3240" s="78" t="s">
        <v>69</v>
      </c>
      <c r="K3240" s="58">
        <f t="shared" si="3"/>
        <v>0</v>
      </c>
      <c r="L3240" s="91" t="str">
        <f t="shared" si="8"/>
        <v>Fri</v>
      </c>
      <c r="M3240" s="78" t="str">
        <f>IFERROR(VLOOKUP(A3240, Entries!A:B,2,false),"")</f>
        <v>Evil Tortilla Games</v>
      </c>
      <c r="N3240" s="23" t="str">
        <f>IFERROR(VLOOKUP(A3240, Entries!A:K,11,false),"")</f>
        <v/>
      </c>
    </row>
    <row r="3241">
      <c r="A3241" s="78" t="s">
        <v>3920</v>
      </c>
      <c r="B3241" s="78" t="s">
        <v>21</v>
      </c>
      <c r="C3241" s="85">
        <v>45037.0</v>
      </c>
      <c r="D3241" s="85">
        <v>45078.0</v>
      </c>
      <c r="E3241" s="86">
        <v>13.08</v>
      </c>
      <c r="F3241" s="87">
        <v>16.0</v>
      </c>
      <c r="G3241" s="88">
        <f t="shared" si="1"/>
        <v>2.92</v>
      </c>
      <c r="H3241" s="89">
        <f t="shared" si="10"/>
        <v>0.1825</v>
      </c>
      <c r="I3241" s="78" t="s">
        <v>3921</v>
      </c>
      <c r="J3241" s="78" t="s">
        <v>69</v>
      </c>
      <c r="K3241" s="58">
        <f t="shared" si="3"/>
        <v>41</v>
      </c>
      <c r="L3241" s="91" t="str">
        <f t="shared" si="8"/>
        <v>Thu</v>
      </c>
      <c r="M3241" s="78" t="str">
        <f>IFERROR(VLOOKUP(A3241, Entries!A:B,2,false),"")</f>
        <v>Systemic Reaction</v>
      </c>
      <c r="N3241" s="23" t="str">
        <f>IFERROR(VLOOKUP(A3241, Entries!A:K,11,false),"")</f>
        <v/>
      </c>
      <c r="O3241" s="23" t="b">
        <f>IFERROR(VLOOKUP(A3241, Entries!A:I,8,false),"")</f>
        <v>0</v>
      </c>
    </row>
    <row r="3242">
      <c r="A3242" s="78" t="s">
        <v>3920</v>
      </c>
      <c r="B3242" s="78" t="s">
        <v>21</v>
      </c>
      <c r="C3242" s="85">
        <v>45037.0</v>
      </c>
      <c r="D3242" s="85">
        <v>45092.0</v>
      </c>
      <c r="E3242" s="86">
        <v>13.07</v>
      </c>
      <c r="F3242" s="87">
        <v>16.04</v>
      </c>
      <c r="G3242" s="88">
        <f t="shared" si="1"/>
        <v>2.97</v>
      </c>
      <c r="H3242" s="89">
        <f t="shared" si="10"/>
        <v>0.1851620948</v>
      </c>
      <c r="I3242" s="78" t="s">
        <v>3922</v>
      </c>
      <c r="J3242" s="78" t="s">
        <v>69</v>
      </c>
      <c r="K3242" s="58">
        <f t="shared" si="3"/>
        <v>55</v>
      </c>
      <c r="L3242" s="91" t="str">
        <f t="shared" si="8"/>
        <v>Thu</v>
      </c>
      <c r="M3242" s="78" t="str">
        <f>IFERROR(VLOOKUP(A3242, Entries!A:B,2,false),"")</f>
        <v>Systemic Reaction</v>
      </c>
      <c r="N3242" s="23" t="str">
        <f>IFERROR(VLOOKUP(A3242, Entries!A:K,11,false),"")</f>
        <v/>
      </c>
      <c r="O3242" s="23" t="b">
        <f>IFERROR(VLOOKUP(A3242, Entries!A:I,8,false),"")</f>
        <v>0</v>
      </c>
    </row>
    <row r="3243">
      <c r="A3243" s="78" t="s">
        <v>1336</v>
      </c>
      <c r="B3243" s="78" t="s">
        <v>27</v>
      </c>
      <c r="C3243" s="85">
        <v>45037.0</v>
      </c>
      <c r="D3243" s="85">
        <v>45039.0</v>
      </c>
      <c r="E3243" s="86">
        <v>7.99</v>
      </c>
      <c r="F3243" s="87">
        <v>10.98</v>
      </c>
      <c r="G3243" s="88">
        <f t="shared" si="1"/>
        <v>2.99</v>
      </c>
      <c r="H3243" s="89">
        <f t="shared" si="10"/>
        <v>0.2723132969</v>
      </c>
      <c r="I3243" s="78" t="s">
        <v>3923</v>
      </c>
      <c r="J3243" s="78" t="s">
        <v>69</v>
      </c>
      <c r="K3243" s="58">
        <f t="shared" si="3"/>
        <v>2</v>
      </c>
      <c r="L3243" s="91" t="str">
        <f t="shared" si="8"/>
        <v>Sun</v>
      </c>
      <c r="M3243" s="78" t="str">
        <f>IFERROR(VLOOKUP(A3243, Entries!A:B,2,false),"")</f>
        <v>Team17 Digital</v>
      </c>
      <c r="N3243" s="23" t="str">
        <f>IFERROR(VLOOKUP(A3243, Entries!A:K,11,false),"")</f>
        <v/>
      </c>
      <c r="O3243" s="23" t="b">
        <f>IFERROR(VLOOKUP(A3243, Entries!A:I,8,false),"")</f>
        <v>0</v>
      </c>
    </row>
    <row r="3244">
      <c r="A3244" s="78" t="s">
        <v>3515</v>
      </c>
      <c r="B3244" s="78" t="s">
        <v>27</v>
      </c>
      <c r="C3244" s="85">
        <v>45037.0</v>
      </c>
      <c r="D3244" s="85">
        <v>45038.0</v>
      </c>
      <c r="E3244" s="86">
        <v>7.99</v>
      </c>
      <c r="F3244" s="87">
        <v>9.28</v>
      </c>
      <c r="G3244" s="88">
        <f t="shared" si="1"/>
        <v>1.29</v>
      </c>
      <c r="H3244" s="89">
        <f t="shared" si="10"/>
        <v>0.1390086207</v>
      </c>
      <c r="I3244" s="78" t="s">
        <v>3924</v>
      </c>
      <c r="J3244" s="78" t="s">
        <v>69</v>
      </c>
      <c r="K3244" s="58">
        <f t="shared" si="3"/>
        <v>1</v>
      </c>
      <c r="L3244" s="91" t="str">
        <f t="shared" si="8"/>
        <v>Sat</v>
      </c>
      <c r="M3244" s="78" t="str">
        <f>IFERROR(VLOOKUP(A3244, Entries!A:B,2,false),"")</f>
        <v>WOLCEN Studio</v>
      </c>
      <c r="N3244" s="23" t="str">
        <f>IFERROR(VLOOKUP(A3244, Entries!A:K,11,false),"")</f>
        <v/>
      </c>
    </row>
    <row r="3245">
      <c r="A3245" s="78" t="s">
        <v>3925</v>
      </c>
      <c r="B3245" s="78" t="s">
        <v>22</v>
      </c>
      <c r="C3245" s="85">
        <v>45037.0</v>
      </c>
      <c r="D3245" s="85">
        <v>45038.0</v>
      </c>
      <c r="E3245" s="86">
        <v>6.1</v>
      </c>
      <c r="F3245" s="87">
        <v>13.25</v>
      </c>
      <c r="G3245" s="88">
        <f t="shared" si="1"/>
        <v>7.15</v>
      </c>
      <c r="H3245" s="89">
        <f t="shared" si="10"/>
        <v>0.5396226415</v>
      </c>
      <c r="I3245" s="78" t="s">
        <v>3926</v>
      </c>
      <c r="J3245" s="78" t="s">
        <v>69</v>
      </c>
      <c r="K3245" s="58">
        <f t="shared" si="3"/>
        <v>1</v>
      </c>
      <c r="L3245" s="91" t="str">
        <f t="shared" si="8"/>
        <v>Sat</v>
      </c>
      <c r="M3245" s="78" t="str">
        <f>IFERROR(VLOOKUP(A3245, Entries!A:B,2,false),"")</f>
        <v>Crystal Dynamics</v>
      </c>
      <c r="N3245" s="23" t="str">
        <f>IFERROR(VLOOKUP(A3245, Entries!A:K,11,false),"")</f>
        <v/>
      </c>
    </row>
    <row r="3246">
      <c r="A3246" s="78" t="s">
        <v>1338</v>
      </c>
      <c r="B3246" s="78" t="s">
        <v>18</v>
      </c>
      <c r="C3246" s="85">
        <v>45037.0</v>
      </c>
      <c r="D3246" s="85">
        <v>45038.0</v>
      </c>
      <c r="E3246" s="86">
        <v>5.41</v>
      </c>
      <c r="F3246" s="87">
        <v>6.79</v>
      </c>
      <c r="G3246" s="88">
        <f t="shared" si="1"/>
        <v>1.38</v>
      </c>
      <c r="H3246" s="89">
        <f t="shared" si="10"/>
        <v>0.2032400589</v>
      </c>
      <c r="I3246" s="78" t="s">
        <v>3927</v>
      </c>
      <c r="J3246" s="78" t="s">
        <v>69</v>
      </c>
      <c r="K3246" s="58">
        <f t="shared" si="3"/>
        <v>1</v>
      </c>
      <c r="L3246" s="91" t="str">
        <f t="shared" si="8"/>
        <v>Sat</v>
      </c>
      <c r="M3246" s="78" t="str">
        <f>IFERROR(VLOOKUP(A3246, Entries!A:B,2,false),"")</f>
        <v>SEGA</v>
      </c>
      <c r="N3246" s="23" t="str">
        <f>IFERROR(VLOOKUP(A3246, Entries!A:K,11,false),"")</f>
        <v/>
      </c>
    </row>
    <row r="3247">
      <c r="A3247" s="78" t="s">
        <v>1338</v>
      </c>
      <c r="B3247" s="78" t="s">
        <v>18</v>
      </c>
      <c r="C3247" s="85">
        <v>45037.0</v>
      </c>
      <c r="D3247" s="85">
        <v>45039.0</v>
      </c>
      <c r="E3247" s="86">
        <v>5.41</v>
      </c>
      <c r="F3247" s="87">
        <v>6.79</v>
      </c>
      <c r="G3247" s="88">
        <f t="shared" si="1"/>
        <v>1.38</v>
      </c>
      <c r="H3247" s="89">
        <f t="shared" si="10"/>
        <v>0.2032400589</v>
      </c>
      <c r="I3247" s="78" t="s">
        <v>3928</v>
      </c>
      <c r="J3247" s="78" t="s">
        <v>69</v>
      </c>
      <c r="K3247" s="58">
        <f t="shared" si="3"/>
        <v>2</v>
      </c>
      <c r="L3247" s="91" t="str">
        <f t="shared" si="8"/>
        <v>Sun</v>
      </c>
      <c r="M3247" s="78" t="str">
        <f>IFERROR(VLOOKUP(A3247, Entries!A:B,2,false),"")</f>
        <v>SEGA</v>
      </c>
      <c r="N3247" s="23" t="str">
        <f>IFERROR(VLOOKUP(A3247, Entries!A:K,11,false),"")</f>
        <v/>
      </c>
    </row>
    <row r="3248">
      <c r="A3248" s="78" t="s">
        <v>1338</v>
      </c>
      <c r="B3248" s="78" t="s">
        <v>18</v>
      </c>
      <c r="C3248" s="85">
        <v>45037.0</v>
      </c>
      <c r="D3248" s="85">
        <v>45040.0</v>
      </c>
      <c r="E3248" s="86">
        <v>5.41</v>
      </c>
      <c r="F3248" s="87">
        <v>6.86</v>
      </c>
      <c r="G3248" s="88">
        <f t="shared" si="1"/>
        <v>1.45</v>
      </c>
      <c r="H3248" s="89">
        <f t="shared" si="10"/>
        <v>0.2113702624</v>
      </c>
      <c r="I3248" s="78" t="s">
        <v>3929</v>
      </c>
      <c r="J3248" s="78" t="s">
        <v>69</v>
      </c>
      <c r="K3248" s="58">
        <f t="shared" si="3"/>
        <v>3</v>
      </c>
      <c r="L3248" s="91" t="str">
        <f t="shared" si="8"/>
        <v>Mon</v>
      </c>
      <c r="M3248" s="78" t="str">
        <f>IFERROR(VLOOKUP(A3248, Entries!A:B,2,false),"")</f>
        <v>SEGA</v>
      </c>
      <c r="N3248" s="23" t="str">
        <f>IFERROR(VLOOKUP(A3248, Entries!A:K,11,false),"")</f>
        <v/>
      </c>
    </row>
    <row r="3249">
      <c r="A3249" s="78" t="s">
        <v>3930</v>
      </c>
      <c r="B3249" s="78" t="s">
        <v>22</v>
      </c>
      <c r="C3249" s="85">
        <v>45037.0</v>
      </c>
      <c r="D3249" s="85">
        <v>45078.0</v>
      </c>
      <c r="E3249" s="86">
        <v>2.66</v>
      </c>
      <c r="F3249" s="87">
        <v>2.38</v>
      </c>
      <c r="G3249" s="88">
        <f t="shared" si="1"/>
        <v>-0.28</v>
      </c>
      <c r="H3249" s="89">
        <f t="shared" si="10"/>
        <v>-0.1176470588</v>
      </c>
      <c r="I3249" s="78" t="s">
        <v>3931</v>
      </c>
      <c r="J3249" s="78" t="s">
        <v>69</v>
      </c>
      <c r="K3249" s="58">
        <f t="shared" si="3"/>
        <v>41</v>
      </c>
      <c r="L3249" s="91" t="str">
        <f t="shared" si="8"/>
        <v>Thu</v>
      </c>
      <c r="M3249" s="78" t="str">
        <f>IFERROR(VLOOKUP(A3249, Entries!A:B,2,false),"")</f>
        <v>Coatsink</v>
      </c>
      <c r="N3249" s="23" t="str">
        <f>IFERROR(VLOOKUP(A3249, Entries!A:K,11,false),"")</f>
        <v/>
      </c>
      <c r="O3249" s="23" t="b">
        <f>IFERROR(VLOOKUP(A3249, Entries!A:I,8,false),"")</f>
        <v>0</v>
      </c>
    </row>
    <row r="3250">
      <c r="A3250" s="78" t="s">
        <v>3930</v>
      </c>
      <c r="B3250" s="78" t="s">
        <v>22</v>
      </c>
      <c r="C3250" s="85">
        <v>45037.0</v>
      </c>
      <c r="D3250" s="85">
        <v>45080.0</v>
      </c>
      <c r="E3250" s="86">
        <v>2.66</v>
      </c>
      <c r="F3250" s="87">
        <v>2.38</v>
      </c>
      <c r="G3250" s="88">
        <f t="shared" si="1"/>
        <v>-0.28</v>
      </c>
      <c r="H3250" s="89">
        <f t="shared" si="10"/>
        <v>-0.1176470588</v>
      </c>
      <c r="I3250" s="78" t="s">
        <v>3932</v>
      </c>
      <c r="J3250" s="78" t="s">
        <v>69</v>
      </c>
      <c r="K3250" s="58">
        <f t="shared" si="3"/>
        <v>43</v>
      </c>
      <c r="L3250" s="91" t="str">
        <f t="shared" si="8"/>
        <v>Sat</v>
      </c>
      <c r="M3250" s="78" t="str">
        <f>IFERROR(VLOOKUP(A3250, Entries!A:B,2,false),"")</f>
        <v>Coatsink</v>
      </c>
      <c r="N3250" s="23" t="str">
        <f>IFERROR(VLOOKUP(A3250, Entries!A:K,11,false),"")</f>
        <v/>
      </c>
      <c r="O3250" s="23" t="b">
        <f>IFERROR(VLOOKUP(A3250, Entries!A:I,8,false),"")</f>
        <v>0</v>
      </c>
    </row>
    <row r="3251">
      <c r="A3251" s="78" t="s">
        <v>3933</v>
      </c>
      <c r="B3251" s="78" t="s">
        <v>21</v>
      </c>
      <c r="C3251" s="85">
        <v>45037.0</v>
      </c>
      <c r="D3251" s="85">
        <v>45045.0</v>
      </c>
      <c r="E3251" s="86">
        <v>15.84</v>
      </c>
      <c r="F3251" s="87">
        <v>17.59</v>
      </c>
      <c r="G3251" s="88">
        <f t="shared" si="1"/>
        <v>1.75</v>
      </c>
      <c r="H3251" s="89">
        <f t="shared" si="10"/>
        <v>0.09948834565</v>
      </c>
      <c r="I3251" s="78" t="s">
        <v>3934</v>
      </c>
      <c r="J3251" s="78" t="s">
        <v>69</v>
      </c>
      <c r="K3251" s="58">
        <f t="shared" si="3"/>
        <v>8</v>
      </c>
      <c r="L3251" s="91" t="str">
        <f t="shared" si="8"/>
        <v>Sat</v>
      </c>
      <c r="M3251" s="78" t="str">
        <f>IFERROR(VLOOKUP(A3251, Entries!A:B,2,false),"")</f>
        <v>Coffee Stain</v>
      </c>
      <c r="N3251" s="23" t="str">
        <f>IFERROR(VLOOKUP(A3251, Entries!A:K,11,false),"")</f>
        <v/>
      </c>
      <c r="O3251" s="23" t="b">
        <f>IFERROR(VLOOKUP(A3251, Entries!A:I,8,false),"")</f>
        <v>0</v>
      </c>
    </row>
    <row r="3252">
      <c r="A3252" s="78" t="s">
        <v>1336</v>
      </c>
      <c r="B3252" s="78" t="s">
        <v>27</v>
      </c>
      <c r="C3252" s="85">
        <v>45037.0</v>
      </c>
      <c r="D3252" s="85">
        <v>45039.0</v>
      </c>
      <c r="E3252" s="86">
        <v>7.89</v>
      </c>
      <c r="F3252" s="87">
        <v>10.98</v>
      </c>
      <c r="G3252" s="88">
        <f t="shared" si="1"/>
        <v>3.09</v>
      </c>
      <c r="H3252" s="89">
        <f t="shared" si="10"/>
        <v>0.281420765</v>
      </c>
      <c r="I3252" s="78" t="s">
        <v>3935</v>
      </c>
      <c r="J3252" s="78" t="s">
        <v>69</v>
      </c>
      <c r="K3252" s="58">
        <f t="shared" si="3"/>
        <v>2</v>
      </c>
      <c r="L3252" s="91" t="str">
        <f t="shared" si="8"/>
        <v>Sun</v>
      </c>
      <c r="M3252" s="78" t="str">
        <f>IFERROR(VLOOKUP(A3252, Entries!A:B,2,false),"")</f>
        <v>Team17 Digital</v>
      </c>
      <c r="N3252" s="23" t="str">
        <f>IFERROR(VLOOKUP(A3252, Entries!A:K,11,false),"")</f>
        <v/>
      </c>
    </row>
    <row r="3253">
      <c r="A3253" s="78" t="s">
        <v>3897</v>
      </c>
      <c r="B3253" s="78" t="s">
        <v>27</v>
      </c>
      <c r="C3253" s="85">
        <v>45037.0</v>
      </c>
      <c r="D3253" s="85">
        <v>45043.0</v>
      </c>
      <c r="E3253" s="86">
        <v>4.29</v>
      </c>
      <c r="F3253" s="87">
        <v>5.46</v>
      </c>
      <c r="G3253" s="88">
        <f t="shared" si="1"/>
        <v>1.17</v>
      </c>
      <c r="H3253" s="89">
        <f t="shared" si="10"/>
        <v>0.2142857143</v>
      </c>
      <c r="I3253" s="78" t="s">
        <v>3936</v>
      </c>
      <c r="J3253" s="78" t="s">
        <v>69</v>
      </c>
      <c r="K3253" s="58">
        <f t="shared" si="3"/>
        <v>6</v>
      </c>
      <c r="L3253" s="91" t="str">
        <f t="shared" si="8"/>
        <v>Thu</v>
      </c>
      <c r="M3253" s="78" t="str">
        <f>IFERROR(VLOOKUP(A3253, Entries!A:B,2,false),"")</f>
        <v>Bethesda Softworks</v>
      </c>
      <c r="N3253" s="23" t="str">
        <f>IFERROR(VLOOKUP(A3253, Entries!A:K,11,false),"")</f>
        <v/>
      </c>
      <c r="O3253" s="23" t="b">
        <f>IFERROR(VLOOKUP(A3253, Entries!A:I,8,false),"")</f>
        <v>0</v>
      </c>
    </row>
    <row r="3254">
      <c r="A3254" s="78" t="s">
        <v>2789</v>
      </c>
      <c r="B3254" s="78" t="s">
        <v>19</v>
      </c>
      <c r="C3254" s="85">
        <v>45038.0</v>
      </c>
      <c r="D3254" s="85">
        <v>45038.0</v>
      </c>
      <c r="E3254" s="86">
        <v>3.33</v>
      </c>
      <c r="F3254" s="87">
        <v>4.9</v>
      </c>
      <c r="G3254" s="88">
        <f t="shared" si="1"/>
        <v>1.57</v>
      </c>
      <c r="H3254" s="89">
        <f t="shared" si="10"/>
        <v>0.3204081633</v>
      </c>
      <c r="I3254" s="78" t="s">
        <v>3937</v>
      </c>
      <c r="J3254" s="78" t="s">
        <v>69</v>
      </c>
      <c r="K3254" s="58">
        <f t="shared" si="3"/>
        <v>0</v>
      </c>
      <c r="L3254" s="91" t="str">
        <f t="shared" si="8"/>
        <v>Sat</v>
      </c>
      <c r="M3254" s="78" t="str">
        <f>IFERROR(VLOOKUP(A3254, Entries!A:B,2,false),"")</f>
        <v>Evil Tortilla Games</v>
      </c>
      <c r="N3254" s="23" t="str">
        <f>IFERROR(VLOOKUP(A3254, Entries!A:K,11,false),"")</f>
        <v/>
      </c>
    </row>
    <row r="3255">
      <c r="A3255" s="78" t="s">
        <v>2789</v>
      </c>
      <c r="B3255" s="78" t="s">
        <v>19</v>
      </c>
      <c r="C3255" s="85">
        <v>45038.0</v>
      </c>
      <c r="D3255" s="85">
        <v>45039.0</v>
      </c>
      <c r="E3255" s="86">
        <v>3.33</v>
      </c>
      <c r="F3255" s="87">
        <v>4.9</v>
      </c>
      <c r="G3255" s="88">
        <f t="shared" si="1"/>
        <v>1.57</v>
      </c>
      <c r="H3255" s="89">
        <f t="shared" si="10"/>
        <v>0.3204081633</v>
      </c>
      <c r="I3255" s="78" t="s">
        <v>3938</v>
      </c>
      <c r="J3255" s="78" t="s">
        <v>69</v>
      </c>
      <c r="K3255" s="58">
        <f t="shared" si="3"/>
        <v>1</v>
      </c>
      <c r="L3255" s="91" t="str">
        <f t="shared" si="8"/>
        <v>Sun</v>
      </c>
      <c r="M3255" s="78" t="str">
        <f>IFERROR(VLOOKUP(A3255, Entries!A:B,2,false),"")</f>
        <v>Evil Tortilla Games</v>
      </c>
      <c r="N3255" s="23" t="str">
        <f>IFERROR(VLOOKUP(A3255, Entries!A:K,11,false),"")</f>
        <v/>
      </c>
    </row>
    <row r="3256">
      <c r="A3256" s="78" t="s">
        <v>3925</v>
      </c>
      <c r="B3256" s="78" t="s">
        <v>22</v>
      </c>
      <c r="C3256" s="85">
        <v>45038.0</v>
      </c>
      <c r="D3256" s="85">
        <v>45046.0</v>
      </c>
      <c r="E3256" s="86">
        <v>6.1</v>
      </c>
      <c r="F3256" s="87">
        <v>6.47</v>
      </c>
      <c r="G3256" s="88">
        <f t="shared" si="1"/>
        <v>0.37</v>
      </c>
      <c r="H3256" s="89">
        <f t="shared" si="10"/>
        <v>0.057187017</v>
      </c>
      <c r="I3256" s="78" t="s">
        <v>3939</v>
      </c>
      <c r="J3256" s="78" t="s">
        <v>69</v>
      </c>
      <c r="K3256" s="58">
        <f t="shared" si="3"/>
        <v>8</v>
      </c>
      <c r="L3256" s="91" t="str">
        <f t="shared" si="8"/>
        <v>Sun</v>
      </c>
      <c r="M3256" s="78" t="str">
        <f>IFERROR(VLOOKUP(A3256, Entries!A:B,2,false),"")</f>
        <v>Crystal Dynamics</v>
      </c>
      <c r="N3256" s="23" t="str">
        <f>IFERROR(VLOOKUP(A3256, Entries!A:K,11,false),"")</f>
        <v/>
      </c>
      <c r="O3256" s="23" t="b">
        <f>IFERROR(VLOOKUP(A3256, Entries!A:I,8,false),"")</f>
        <v>0</v>
      </c>
    </row>
    <row r="3257">
      <c r="A3257" s="78" t="s">
        <v>3925</v>
      </c>
      <c r="B3257" s="78" t="s">
        <v>22</v>
      </c>
      <c r="C3257" s="85">
        <v>45038.0</v>
      </c>
      <c r="D3257" s="85">
        <v>45071.0</v>
      </c>
      <c r="E3257" s="86">
        <v>6.1</v>
      </c>
      <c r="F3257" s="87">
        <v>7.2</v>
      </c>
      <c r="G3257" s="88">
        <f t="shared" si="1"/>
        <v>1.1</v>
      </c>
      <c r="H3257" s="89">
        <f t="shared" si="10"/>
        <v>0.1527777778</v>
      </c>
      <c r="I3257" s="78" t="s">
        <v>3940</v>
      </c>
      <c r="J3257" s="78" t="s">
        <v>69</v>
      </c>
      <c r="K3257" s="58">
        <f t="shared" si="3"/>
        <v>33</v>
      </c>
      <c r="L3257" s="91" t="str">
        <f t="shared" si="8"/>
        <v>Thu</v>
      </c>
      <c r="M3257" s="78" t="str">
        <f>IFERROR(VLOOKUP(A3257, Entries!A:B,2,false),"")</f>
        <v>Crystal Dynamics</v>
      </c>
      <c r="N3257" s="23" t="str">
        <f>IFERROR(VLOOKUP(A3257, Entries!A:K,11,false),"")</f>
        <v/>
      </c>
      <c r="O3257" s="23" t="b">
        <f>IFERROR(VLOOKUP(A3257, Entries!A:I,8,false),"")</f>
        <v>0</v>
      </c>
    </row>
    <row r="3258">
      <c r="A3258" s="78" t="s">
        <v>3941</v>
      </c>
      <c r="B3258" s="78" t="s">
        <v>22</v>
      </c>
      <c r="C3258" s="85">
        <v>45038.0</v>
      </c>
      <c r="D3258" s="85">
        <v>45138.0</v>
      </c>
      <c r="E3258" s="86">
        <v>12.37</v>
      </c>
      <c r="F3258" s="87">
        <v>13.67</v>
      </c>
      <c r="G3258" s="88">
        <f t="shared" si="1"/>
        <v>1.3</v>
      </c>
      <c r="H3258" s="89">
        <f t="shared" si="10"/>
        <v>0.0950987564</v>
      </c>
      <c r="I3258" s="78" t="s">
        <v>3942</v>
      </c>
      <c r="J3258" s="78" t="s">
        <v>69</v>
      </c>
      <c r="K3258" s="58">
        <f t="shared" si="3"/>
        <v>100</v>
      </c>
      <c r="L3258" s="91" t="str">
        <f t="shared" si="8"/>
        <v>Mon</v>
      </c>
      <c r="M3258" s="78" t="str">
        <f>IFERROR(VLOOKUP(A3258, Entries!A:B,2,false),"")</f>
        <v>Armor Games</v>
      </c>
      <c r="N3258" s="23" t="str">
        <f>IFERROR(VLOOKUP(A3258, Entries!A:K,11,false),"")</f>
        <v/>
      </c>
      <c r="O3258" s="23" t="b">
        <f>IFERROR(VLOOKUP(A3258, Entries!A:I,8,false),"")</f>
        <v>0</v>
      </c>
    </row>
    <row r="3259">
      <c r="A3259" s="78" t="s">
        <v>876</v>
      </c>
      <c r="B3259" s="78" t="s">
        <v>19</v>
      </c>
      <c r="C3259" s="85">
        <v>45038.0</v>
      </c>
      <c r="D3259" s="85">
        <v>45216.0</v>
      </c>
      <c r="E3259" s="86">
        <v>16.99</v>
      </c>
      <c r="F3259" s="87">
        <v>24.18</v>
      </c>
      <c r="G3259" s="88">
        <f t="shared" si="1"/>
        <v>7.19</v>
      </c>
      <c r="H3259" s="89">
        <f t="shared" si="10"/>
        <v>0.2973531844</v>
      </c>
      <c r="I3259" s="78" t="s">
        <v>3943</v>
      </c>
      <c r="J3259" s="78" t="s">
        <v>69</v>
      </c>
      <c r="K3259" s="58">
        <f t="shared" si="3"/>
        <v>178</v>
      </c>
      <c r="L3259" s="91" t="str">
        <f t="shared" si="8"/>
        <v>Tue</v>
      </c>
      <c r="M3259" s="78" t="str">
        <f>IFERROR(VLOOKUP(A3259, Entries!A:B,2,false),"")</f>
        <v>Berserk Games</v>
      </c>
      <c r="N3259" s="23" t="str">
        <f>IFERROR(VLOOKUP(A3259, Entries!A:K,11,false),"")</f>
        <v/>
      </c>
      <c r="O3259" s="23" t="b">
        <f>IFERROR(VLOOKUP(A3259, Entries!A:I,8,false),"")</f>
        <v>0</v>
      </c>
    </row>
    <row r="3260">
      <c r="A3260" s="78" t="s">
        <v>3515</v>
      </c>
      <c r="B3260" s="78" t="s">
        <v>27</v>
      </c>
      <c r="C3260" s="85">
        <v>45038.0</v>
      </c>
      <c r="D3260" s="85">
        <v>45055.0</v>
      </c>
      <c r="E3260" s="86">
        <v>7.89</v>
      </c>
      <c r="F3260" s="87">
        <v>8.76</v>
      </c>
      <c r="G3260" s="88">
        <f t="shared" si="1"/>
        <v>0.87</v>
      </c>
      <c r="H3260" s="89">
        <f t="shared" si="10"/>
        <v>0.09931506849</v>
      </c>
      <c r="I3260" s="78" t="s">
        <v>3944</v>
      </c>
      <c r="J3260" s="78" t="s">
        <v>69</v>
      </c>
      <c r="K3260" s="58">
        <f t="shared" si="3"/>
        <v>17</v>
      </c>
      <c r="L3260" s="91" t="str">
        <f t="shared" si="8"/>
        <v>Tue</v>
      </c>
      <c r="M3260" s="78" t="str">
        <f>IFERROR(VLOOKUP(A3260, Entries!A:B,2,false),"")</f>
        <v>WOLCEN Studio</v>
      </c>
      <c r="N3260" s="23" t="str">
        <f>IFERROR(VLOOKUP(A3260, Entries!A:K,11,false),"")</f>
        <v/>
      </c>
      <c r="O3260" s="23" t="b">
        <f>IFERROR(VLOOKUP(A3260, Entries!A:I,8,false),"")</f>
        <v>0</v>
      </c>
    </row>
    <row r="3261">
      <c r="A3261" s="78" t="s">
        <v>2789</v>
      </c>
      <c r="B3261" s="78" t="s">
        <v>19</v>
      </c>
      <c r="C3261" s="85">
        <v>45038.0</v>
      </c>
      <c r="D3261" s="85">
        <v>45040.0</v>
      </c>
      <c r="E3261" s="86">
        <v>3.33</v>
      </c>
      <c r="F3261" s="87">
        <v>4.9</v>
      </c>
      <c r="G3261" s="88">
        <f t="shared" si="1"/>
        <v>1.57</v>
      </c>
      <c r="H3261" s="89">
        <f t="shared" si="10"/>
        <v>0.3204081633</v>
      </c>
      <c r="I3261" s="78" t="s">
        <v>3945</v>
      </c>
      <c r="J3261" s="78" t="s">
        <v>69</v>
      </c>
      <c r="K3261" s="58">
        <f t="shared" si="3"/>
        <v>2</v>
      </c>
      <c r="L3261" s="91" t="str">
        <f t="shared" si="8"/>
        <v>Mon</v>
      </c>
      <c r="M3261" s="78" t="str">
        <f>IFERROR(VLOOKUP(A3261, Entries!A:B,2,false),"")</f>
        <v>Evil Tortilla Games</v>
      </c>
      <c r="N3261" s="23" t="str">
        <f>IFERROR(VLOOKUP(A3261, Entries!A:K,11,false),"")</f>
        <v/>
      </c>
    </row>
    <row r="3262">
      <c r="A3262" s="78" t="s">
        <v>1148</v>
      </c>
      <c r="B3262" s="78" t="s">
        <v>22</v>
      </c>
      <c r="C3262" s="85">
        <v>45038.0</v>
      </c>
      <c r="D3262" s="85">
        <v>45039.0</v>
      </c>
      <c r="E3262" s="86">
        <v>4.57</v>
      </c>
      <c r="F3262" s="87">
        <v>8.29</v>
      </c>
      <c r="G3262" s="88">
        <f t="shared" si="1"/>
        <v>3.72</v>
      </c>
      <c r="H3262" s="89">
        <f t="shared" si="10"/>
        <v>0.4487334138</v>
      </c>
      <c r="I3262" s="78" t="s">
        <v>3946</v>
      </c>
      <c r="J3262" s="78" t="s">
        <v>69</v>
      </c>
      <c r="K3262" s="58">
        <f t="shared" si="3"/>
        <v>1</v>
      </c>
      <c r="L3262" s="91" t="str">
        <f t="shared" si="8"/>
        <v>Sun</v>
      </c>
      <c r="M3262" s="78" t="str">
        <f>IFERROR(VLOOKUP(A3262, Entries!A:B,2,false),"")</f>
        <v>Square Enix</v>
      </c>
      <c r="N3262" s="23" t="str">
        <f>IFERROR(VLOOKUP(A3262, Entries!A:K,11,false),"")</f>
        <v/>
      </c>
    </row>
    <row r="3263">
      <c r="A3263" s="78" t="s">
        <v>2789</v>
      </c>
      <c r="B3263" s="78" t="s">
        <v>19</v>
      </c>
      <c r="C3263" s="85">
        <v>45039.0</v>
      </c>
      <c r="D3263" s="85">
        <v>45040.0</v>
      </c>
      <c r="E3263" s="86">
        <v>3.33</v>
      </c>
      <c r="F3263" s="87">
        <v>4.9</v>
      </c>
      <c r="G3263" s="88">
        <f t="shared" si="1"/>
        <v>1.57</v>
      </c>
      <c r="H3263" s="89">
        <f t="shared" si="10"/>
        <v>0.3204081633</v>
      </c>
      <c r="I3263" s="78" t="s">
        <v>3947</v>
      </c>
      <c r="J3263" s="78" t="s">
        <v>69</v>
      </c>
      <c r="K3263" s="58">
        <f t="shared" si="3"/>
        <v>1</v>
      </c>
      <c r="L3263" s="91" t="str">
        <f t="shared" si="8"/>
        <v>Mon</v>
      </c>
      <c r="M3263" s="78" t="str">
        <f>IFERROR(VLOOKUP(A3263, Entries!A:B,2,false),"")</f>
        <v>Evil Tortilla Games</v>
      </c>
      <c r="N3263" s="23" t="str">
        <f>IFERROR(VLOOKUP(A3263, Entries!A:K,11,false),"")</f>
        <v/>
      </c>
    </row>
    <row r="3264">
      <c r="A3264" s="78" t="s">
        <v>1148</v>
      </c>
      <c r="B3264" s="78" t="s">
        <v>22</v>
      </c>
      <c r="C3264" s="85">
        <v>45039.0</v>
      </c>
      <c r="D3264" s="85">
        <v>45125.0</v>
      </c>
      <c r="E3264" s="86">
        <v>4.57</v>
      </c>
      <c r="F3264" s="87">
        <v>4.99</v>
      </c>
      <c r="G3264" s="88">
        <f t="shared" si="1"/>
        <v>0.42</v>
      </c>
      <c r="H3264" s="89">
        <f t="shared" si="10"/>
        <v>0.08416833667</v>
      </c>
      <c r="I3264" s="78" t="s">
        <v>3948</v>
      </c>
      <c r="J3264" s="78" t="s">
        <v>69</v>
      </c>
      <c r="K3264" s="58">
        <f t="shared" si="3"/>
        <v>86</v>
      </c>
      <c r="L3264" s="91" t="str">
        <f t="shared" si="8"/>
        <v>Tue</v>
      </c>
      <c r="M3264" s="78" t="str">
        <f>IFERROR(VLOOKUP(A3264, Entries!A:B,2,false),"")</f>
        <v>Square Enix</v>
      </c>
      <c r="N3264" s="23" t="str">
        <f>IFERROR(VLOOKUP(A3264, Entries!A:K,11,false),"")</f>
        <v/>
      </c>
      <c r="O3264" s="23" t="b">
        <f>IFERROR(VLOOKUP(A3264, Entries!A:I,8,false),"")</f>
        <v>0</v>
      </c>
    </row>
    <row r="3265">
      <c r="A3265" s="78" t="s">
        <v>1786</v>
      </c>
      <c r="B3265" s="78" t="s">
        <v>27</v>
      </c>
      <c r="C3265" s="85">
        <v>45039.0</v>
      </c>
      <c r="D3265" s="85">
        <v>45180.0</v>
      </c>
      <c r="E3265" s="86">
        <v>14.69</v>
      </c>
      <c r="F3265" s="87">
        <v>15.53</v>
      </c>
      <c r="G3265" s="88">
        <f t="shared" si="1"/>
        <v>0.84</v>
      </c>
      <c r="H3265" s="89">
        <f t="shared" si="10"/>
        <v>0.05408886027</v>
      </c>
      <c r="I3265" s="78" t="s">
        <v>3949</v>
      </c>
      <c r="J3265" s="78" t="s">
        <v>69</v>
      </c>
      <c r="K3265" s="58">
        <f t="shared" si="3"/>
        <v>141</v>
      </c>
      <c r="L3265" s="91" t="str">
        <f t="shared" si="8"/>
        <v>Mon</v>
      </c>
      <c r="M3265" s="78" t="str">
        <f>IFERROR(VLOOKUP(A3265, Entries!A:B,2,false),"")</f>
        <v>Bethesda Softworks</v>
      </c>
      <c r="N3265" s="23" t="str">
        <f>IFERROR(VLOOKUP(A3265, Entries!A:K,11,false),"")</f>
        <v/>
      </c>
      <c r="O3265" s="23" t="b">
        <f>IFERROR(VLOOKUP(A3265, Entries!A:I,8,false),"")</f>
        <v>1</v>
      </c>
    </row>
    <row r="3266">
      <c r="A3266" s="78" t="s">
        <v>1336</v>
      </c>
      <c r="B3266" s="78" t="s">
        <v>27</v>
      </c>
      <c r="C3266" s="85">
        <v>45039.0</v>
      </c>
      <c r="D3266" s="85">
        <v>45042.0</v>
      </c>
      <c r="E3266" s="86">
        <v>7.89</v>
      </c>
      <c r="F3266" s="87">
        <v>10.43</v>
      </c>
      <c r="G3266" s="88">
        <f t="shared" si="1"/>
        <v>2.54</v>
      </c>
      <c r="H3266" s="89">
        <f t="shared" si="10"/>
        <v>0.2435282838</v>
      </c>
      <c r="I3266" s="78" t="s">
        <v>3950</v>
      </c>
      <c r="J3266" s="78" t="s">
        <v>69</v>
      </c>
      <c r="K3266" s="58">
        <f t="shared" si="3"/>
        <v>3</v>
      </c>
      <c r="L3266" s="91" t="str">
        <f t="shared" si="8"/>
        <v>Wed</v>
      </c>
      <c r="M3266" s="78" t="str">
        <f>IFERROR(VLOOKUP(A3266, Entries!A:B,2,false),"")</f>
        <v>Team17 Digital</v>
      </c>
      <c r="N3266" s="23" t="str">
        <f>IFERROR(VLOOKUP(A3266, Entries!A:K,11,false),"")</f>
        <v/>
      </c>
      <c r="O3266" s="23" t="b">
        <f>IFERROR(VLOOKUP(A3266, Entries!A:I,8,false),"")</f>
        <v>0</v>
      </c>
    </row>
    <row r="3267">
      <c r="A3267" s="78" t="s">
        <v>1338</v>
      </c>
      <c r="B3267" s="78" t="s">
        <v>18</v>
      </c>
      <c r="C3267" s="85">
        <v>45040.0</v>
      </c>
      <c r="D3267" s="85">
        <v>45047.0</v>
      </c>
      <c r="E3267" s="86">
        <v>5.41</v>
      </c>
      <c r="F3267" s="87">
        <v>7.81</v>
      </c>
      <c r="G3267" s="88">
        <f t="shared" si="1"/>
        <v>2.4</v>
      </c>
      <c r="H3267" s="89">
        <f t="shared" si="10"/>
        <v>0.3072983355</v>
      </c>
      <c r="I3267" s="78" t="s">
        <v>3951</v>
      </c>
      <c r="J3267" s="78" t="s">
        <v>69</v>
      </c>
      <c r="K3267" s="58">
        <f t="shared" si="3"/>
        <v>7</v>
      </c>
      <c r="L3267" s="91" t="str">
        <f t="shared" si="8"/>
        <v>Mon</v>
      </c>
      <c r="M3267" s="78" t="str">
        <f>IFERROR(VLOOKUP(A3267, Entries!A:B,2,false),"")</f>
        <v>SEGA</v>
      </c>
      <c r="N3267" s="23" t="str">
        <f>IFERROR(VLOOKUP(A3267, Entries!A:K,11,false),"")</f>
        <v/>
      </c>
      <c r="O3267" s="23" t="b">
        <f>IFERROR(VLOOKUP(A3267, Entries!A:I,8,false),"")</f>
        <v>0</v>
      </c>
    </row>
    <row r="3268">
      <c r="A3268" s="78" t="s">
        <v>1338</v>
      </c>
      <c r="B3268" s="78" t="s">
        <v>18</v>
      </c>
      <c r="C3268" s="85">
        <v>45040.0</v>
      </c>
      <c r="D3268" s="85">
        <v>45058.0</v>
      </c>
      <c r="E3268" s="86">
        <v>5.41</v>
      </c>
      <c r="F3268" s="87">
        <v>6.19</v>
      </c>
      <c r="G3268" s="88">
        <f t="shared" si="1"/>
        <v>0.78</v>
      </c>
      <c r="H3268" s="89">
        <f t="shared" si="10"/>
        <v>0.1260096931</v>
      </c>
      <c r="I3268" s="78" t="s">
        <v>3952</v>
      </c>
      <c r="J3268" s="78" t="s">
        <v>69</v>
      </c>
      <c r="K3268" s="58">
        <f t="shared" si="3"/>
        <v>18</v>
      </c>
      <c r="L3268" s="91" t="str">
        <f t="shared" si="8"/>
        <v>Fri</v>
      </c>
      <c r="M3268" s="78" t="str">
        <f>IFERROR(VLOOKUP(A3268, Entries!A:B,2,false),"")</f>
        <v>SEGA</v>
      </c>
      <c r="N3268" s="23" t="str">
        <f>IFERROR(VLOOKUP(A3268, Entries!A:K,11,false),"")</f>
        <v/>
      </c>
      <c r="O3268" s="23" t="b">
        <f>IFERROR(VLOOKUP(A3268, Entries!A:I,8,false),"")</f>
        <v>0</v>
      </c>
    </row>
    <row r="3269">
      <c r="A3269" s="78" t="s">
        <v>1338</v>
      </c>
      <c r="B3269" s="78" t="s">
        <v>18</v>
      </c>
      <c r="C3269" s="85">
        <v>45040.0</v>
      </c>
      <c r="D3269" s="85">
        <v>45068.0</v>
      </c>
      <c r="E3269" s="86">
        <v>5.41</v>
      </c>
      <c r="F3269" s="87">
        <v>6.19</v>
      </c>
      <c r="G3269" s="88">
        <f t="shared" si="1"/>
        <v>0.78</v>
      </c>
      <c r="H3269" s="89">
        <f t="shared" si="10"/>
        <v>0.1260096931</v>
      </c>
      <c r="I3269" s="78" t="s">
        <v>3953</v>
      </c>
      <c r="J3269" s="78" t="s">
        <v>69</v>
      </c>
      <c r="K3269" s="58">
        <f t="shared" si="3"/>
        <v>28</v>
      </c>
      <c r="L3269" s="91" t="str">
        <f t="shared" si="8"/>
        <v>Mon</v>
      </c>
      <c r="M3269" s="78" t="str">
        <f>IFERROR(VLOOKUP(A3269, Entries!A:B,2,false),"")</f>
        <v>SEGA</v>
      </c>
      <c r="N3269" s="23" t="str">
        <f>IFERROR(VLOOKUP(A3269, Entries!A:K,11,false),"")</f>
        <v/>
      </c>
      <c r="O3269" s="23" t="b">
        <f>IFERROR(VLOOKUP(A3269, Entries!A:I,8,false),"")</f>
        <v>0</v>
      </c>
    </row>
    <row r="3270">
      <c r="A3270" s="78" t="s">
        <v>2031</v>
      </c>
      <c r="B3270" s="78" t="s">
        <v>21</v>
      </c>
      <c r="C3270" s="85">
        <v>45040.0</v>
      </c>
      <c r="D3270" s="85">
        <v>45049.0</v>
      </c>
      <c r="E3270" s="86">
        <v>31.7</v>
      </c>
      <c r="F3270" s="87">
        <v>33.79</v>
      </c>
      <c r="G3270" s="88">
        <f t="shared" si="1"/>
        <v>2.09</v>
      </c>
      <c r="H3270" s="89">
        <f t="shared" si="10"/>
        <v>0.06185261912</v>
      </c>
      <c r="I3270" s="78" t="s">
        <v>3954</v>
      </c>
      <c r="J3270" s="78" t="s">
        <v>69</v>
      </c>
      <c r="K3270" s="58">
        <f t="shared" si="3"/>
        <v>9</v>
      </c>
      <c r="L3270" s="91" t="str">
        <f t="shared" si="8"/>
        <v>Wed</v>
      </c>
      <c r="M3270" s="78" t="str">
        <f>IFERROR(VLOOKUP(A3270, Entries!A:B,2,false),"")</f>
        <v>KOEI TECMO GAMES</v>
      </c>
      <c r="N3270" s="23" t="str">
        <f>IFERROR(VLOOKUP(A3270, Entries!A:K,11,false),"")</f>
        <v/>
      </c>
      <c r="O3270" s="23" t="b">
        <f>IFERROR(VLOOKUP(A3270, Entries!A:I,8,false),"")</f>
        <v>0</v>
      </c>
    </row>
    <row r="3271">
      <c r="A3271" s="78" t="s">
        <v>2789</v>
      </c>
      <c r="B3271" s="78" t="s">
        <v>19</v>
      </c>
      <c r="C3271" s="85">
        <v>45040.0</v>
      </c>
      <c r="D3271" s="85">
        <v>45041.0</v>
      </c>
      <c r="E3271" s="86">
        <v>3.33</v>
      </c>
      <c r="F3271" s="87">
        <v>4.9</v>
      </c>
      <c r="G3271" s="88">
        <f t="shared" si="1"/>
        <v>1.57</v>
      </c>
      <c r="H3271" s="89">
        <f t="shared" si="10"/>
        <v>0.3204081633</v>
      </c>
      <c r="I3271" s="78" t="s">
        <v>3955</v>
      </c>
      <c r="J3271" s="78" t="s">
        <v>69</v>
      </c>
      <c r="K3271" s="58">
        <f t="shared" si="3"/>
        <v>1</v>
      </c>
      <c r="L3271" s="91" t="str">
        <f t="shared" si="8"/>
        <v>Tue</v>
      </c>
      <c r="M3271" s="78" t="str">
        <f>IFERROR(VLOOKUP(A3271, Entries!A:B,2,false),"")</f>
        <v>Evil Tortilla Games</v>
      </c>
      <c r="N3271" s="23" t="str">
        <f>IFERROR(VLOOKUP(A3271, Entries!A:K,11,false),"")</f>
        <v/>
      </c>
    </row>
    <row r="3272">
      <c r="A3272" s="78" t="s">
        <v>2789</v>
      </c>
      <c r="B3272" s="78" t="s">
        <v>19</v>
      </c>
      <c r="C3272" s="85">
        <v>45040.0</v>
      </c>
      <c r="D3272" s="85">
        <v>45041.0</v>
      </c>
      <c r="E3272" s="86">
        <v>3.33</v>
      </c>
      <c r="F3272" s="87">
        <v>4.9</v>
      </c>
      <c r="G3272" s="88">
        <f t="shared" si="1"/>
        <v>1.57</v>
      </c>
      <c r="H3272" s="89">
        <f t="shared" si="10"/>
        <v>0.3204081633</v>
      </c>
      <c r="I3272" s="78" t="s">
        <v>3956</v>
      </c>
      <c r="J3272" s="78" t="s">
        <v>69</v>
      </c>
      <c r="K3272" s="58">
        <f t="shared" si="3"/>
        <v>1</v>
      </c>
      <c r="L3272" s="91" t="str">
        <f t="shared" si="8"/>
        <v>Tue</v>
      </c>
      <c r="M3272" s="78" t="str">
        <f>IFERROR(VLOOKUP(A3272, Entries!A:B,2,false),"")</f>
        <v>Evil Tortilla Games</v>
      </c>
      <c r="N3272" s="23" t="str">
        <f>IFERROR(VLOOKUP(A3272, Entries!A:K,11,false),"")</f>
        <v/>
      </c>
      <c r="O3272" s="23" t="b">
        <f>IFERROR(VLOOKUP(A3272, Entries!A:I,8,false),"")</f>
        <v>1</v>
      </c>
    </row>
    <row r="3273">
      <c r="A3273" s="78" t="s">
        <v>2789</v>
      </c>
      <c r="B3273" s="78" t="s">
        <v>19</v>
      </c>
      <c r="C3273" s="85">
        <v>45041.0</v>
      </c>
      <c r="D3273" s="85">
        <v>45042.0</v>
      </c>
      <c r="E3273" s="86">
        <v>3.33</v>
      </c>
      <c r="F3273" s="87">
        <v>4.9</v>
      </c>
      <c r="G3273" s="88">
        <f t="shared" si="1"/>
        <v>1.57</v>
      </c>
      <c r="H3273" s="89">
        <f t="shared" si="10"/>
        <v>0.3204081633</v>
      </c>
      <c r="I3273" s="78" t="s">
        <v>3957</v>
      </c>
      <c r="J3273" s="78" t="s">
        <v>69</v>
      </c>
      <c r="K3273" s="58">
        <f t="shared" si="3"/>
        <v>1</v>
      </c>
      <c r="L3273" s="91" t="str">
        <f t="shared" si="8"/>
        <v>Wed</v>
      </c>
      <c r="M3273" s="78" t="str">
        <f>IFERROR(VLOOKUP(A3273, Entries!A:B,2,false),"")</f>
        <v>Evil Tortilla Games</v>
      </c>
      <c r="N3273" s="23" t="str">
        <f>IFERROR(VLOOKUP(A3273, Entries!A:K,11,false),"")</f>
        <v/>
      </c>
      <c r="O3273" s="23" t="b">
        <f>IFERROR(VLOOKUP(A3273, Entries!A:I,8,false),"")</f>
        <v>1</v>
      </c>
    </row>
    <row r="3274">
      <c r="A3274" s="78" t="s">
        <v>1806</v>
      </c>
      <c r="B3274" s="78" t="s">
        <v>30</v>
      </c>
      <c r="C3274" s="85">
        <v>45041.0</v>
      </c>
      <c r="D3274" s="85">
        <v>45041.0</v>
      </c>
      <c r="E3274" s="86">
        <v>3.79</v>
      </c>
      <c r="F3274" s="87">
        <v>5.76</v>
      </c>
      <c r="G3274" s="88">
        <f t="shared" si="1"/>
        <v>1.97</v>
      </c>
      <c r="H3274" s="89">
        <f t="shared" si="10"/>
        <v>0.3420138889</v>
      </c>
      <c r="I3274" s="78" t="s">
        <v>3958</v>
      </c>
      <c r="J3274" s="78" t="s">
        <v>69</v>
      </c>
      <c r="K3274" s="58">
        <f t="shared" si="3"/>
        <v>0</v>
      </c>
      <c r="L3274" s="91" t="str">
        <f t="shared" si="8"/>
        <v>Tue</v>
      </c>
      <c r="M3274" s="78" t="str">
        <f>IFERROR(VLOOKUP(A3274, Entries!A:B,2,false),"")</f>
        <v>Daedalic Entertainment</v>
      </c>
      <c r="N3274" s="23" t="str">
        <f>IFERROR(VLOOKUP(A3274, Entries!A:K,11,false),"")</f>
        <v/>
      </c>
      <c r="O3274" s="23" t="b">
        <f>IFERROR(VLOOKUP(A3274, Entries!A:I,8,false),"")</f>
        <v>1</v>
      </c>
    </row>
    <row r="3275">
      <c r="A3275" s="78" t="s">
        <v>3959</v>
      </c>
      <c r="B3275" s="78" t="s">
        <v>21</v>
      </c>
      <c r="C3275" s="85">
        <v>45041.0</v>
      </c>
      <c r="D3275" s="85">
        <v>45054.0</v>
      </c>
      <c r="E3275" s="86">
        <v>8.8</v>
      </c>
      <c r="F3275" s="87">
        <v>13.88</v>
      </c>
      <c r="G3275" s="88">
        <f t="shared" si="1"/>
        <v>5.08</v>
      </c>
      <c r="H3275" s="89">
        <f t="shared" si="10"/>
        <v>0.3659942363</v>
      </c>
      <c r="I3275" s="78" t="s">
        <v>3960</v>
      </c>
      <c r="J3275" s="78" t="s">
        <v>69</v>
      </c>
      <c r="K3275" s="58">
        <f t="shared" si="3"/>
        <v>13</v>
      </c>
      <c r="L3275" s="91" t="str">
        <f t="shared" si="8"/>
        <v>Mon</v>
      </c>
      <c r="M3275" s="78" t="str">
        <f>IFERROR(VLOOKUP(A3275, Entries!A:B,2,false),"")</f>
        <v>Apogee Entertainment</v>
      </c>
      <c r="N3275" s="23" t="str">
        <f>IFERROR(VLOOKUP(A3275, Entries!A:K,11,false),"")</f>
        <v/>
      </c>
      <c r="O3275" s="23" t="b">
        <f>IFERROR(VLOOKUP(A3275, Entries!A:I,8,false),"")</f>
        <v>0</v>
      </c>
    </row>
    <row r="3276">
      <c r="A3276" s="78" t="s">
        <v>2789</v>
      </c>
      <c r="B3276" s="78" t="s">
        <v>19</v>
      </c>
      <c r="C3276" s="85">
        <v>45041.0</v>
      </c>
      <c r="D3276" s="85">
        <v>45043.0</v>
      </c>
      <c r="E3276" s="86">
        <v>3.33</v>
      </c>
      <c r="F3276" s="87">
        <v>4.9</v>
      </c>
      <c r="G3276" s="88">
        <f t="shared" si="1"/>
        <v>1.57</v>
      </c>
      <c r="H3276" s="89">
        <f t="shared" si="10"/>
        <v>0.3204081633</v>
      </c>
      <c r="I3276" s="78" t="s">
        <v>3961</v>
      </c>
      <c r="J3276" s="78" t="s">
        <v>69</v>
      </c>
      <c r="K3276" s="58">
        <f t="shared" si="3"/>
        <v>2</v>
      </c>
      <c r="L3276" s="91" t="str">
        <f t="shared" si="8"/>
        <v>Thu</v>
      </c>
      <c r="M3276" s="78" t="str">
        <f>IFERROR(VLOOKUP(A3276, Entries!A:B,2,false),"")</f>
        <v>Evil Tortilla Games</v>
      </c>
      <c r="N3276" s="23" t="str">
        <f>IFERROR(VLOOKUP(A3276, Entries!A:K,11,false),"")</f>
        <v/>
      </c>
      <c r="O3276" s="23" t="b">
        <f>IFERROR(VLOOKUP(A3276, Entries!A:I,8,false),"")</f>
        <v>1</v>
      </c>
    </row>
    <row r="3277">
      <c r="A3277" s="78" t="s">
        <v>1806</v>
      </c>
      <c r="B3277" s="78" t="s">
        <v>30</v>
      </c>
      <c r="C3277" s="85">
        <v>45041.0</v>
      </c>
      <c r="D3277" s="85">
        <v>45044.0</v>
      </c>
      <c r="E3277" s="86">
        <v>3.79</v>
      </c>
      <c r="F3277" s="87">
        <v>4.77</v>
      </c>
      <c r="G3277" s="88">
        <f t="shared" si="1"/>
        <v>0.98</v>
      </c>
      <c r="H3277" s="89">
        <f t="shared" si="10"/>
        <v>0.2054507338</v>
      </c>
      <c r="I3277" s="78" t="s">
        <v>3962</v>
      </c>
      <c r="J3277" s="78" t="s">
        <v>69</v>
      </c>
      <c r="K3277" s="58">
        <f t="shared" si="3"/>
        <v>3</v>
      </c>
      <c r="L3277" s="91" t="str">
        <f t="shared" si="8"/>
        <v>Fri</v>
      </c>
      <c r="M3277" s="78" t="str">
        <f>IFERROR(VLOOKUP(A3277, Entries!A:B,2,false),"")</f>
        <v>Daedalic Entertainment</v>
      </c>
      <c r="N3277" s="23" t="str">
        <f>IFERROR(VLOOKUP(A3277, Entries!A:K,11,false),"")</f>
        <v/>
      </c>
      <c r="O3277" s="23" t="b">
        <f>IFERROR(VLOOKUP(A3277, Entries!A:I,8,false),"")</f>
        <v>1</v>
      </c>
    </row>
    <row r="3278">
      <c r="A3278" s="78" t="s">
        <v>1336</v>
      </c>
      <c r="B3278" s="78" t="s">
        <v>27</v>
      </c>
      <c r="C3278" s="85">
        <v>45042.0</v>
      </c>
      <c r="D3278" s="85">
        <v>45045.0</v>
      </c>
      <c r="E3278" s="86">
        <v>7.89</v>
      </c>
      <c r="F3278" s="87">
        <v>9.49</v>
      </c>
      <c r="G3278" s="88">
        <f t="shared" si="1"/>
        <v>1.6</v>
      </c>
      <c r="H3278" s="89">
        <f t="shared" si="10"/>
        <v>0.1685985248</v>
      </c>
      <c r="I3278" s="78" t="s">
        <v>3963</v>
      </c>
      <c r="J3278" s="78" t="s">
        <v>69</v>
      </c>
      <c r="K3278" s="58">
        <f t="shared" si="3"/>
        <v>3</v>
      </c>
      <c r="L3278" s="91" t="str">
        <f t="shared" si="8"/>
        <v>Sat</v>
      </c>
      <c r="M3278" s="78" t="str">
        <f>IFERROR(VLOOKUP(A3278, Entries!A:B,2,false),"")</f>
        <v>Team17 Digital</v>
      </c>
      <c r="N3278" s="23" t="str">
        <f>IFERROR(VLOOKUP(A3278, Entries!A:K,11,false),"")</f>
        <v/>
      </c>
      <c r="O3278" s="23" t="b">
        <f>IFERROR(VLOOKUP(A3278, Entries!A:I,8,false),"")</f>
        <v>0</v>
      </c>
    </row>
    <row r="3279">
      <c r="A3279" s="78" t="s">
        <v>3366</v>
      </c>
      <c r="B3279" s="78" t="s">
        <v>25</v>
      </c>
      <c r="C3279" s="85">
        <v>45042.0</v>
      </c>
      <c r="D3279" s="85">
        <v>45047.0</v>
      </c>
      <c r="E3279" s="86">
        <v>6.97</v>
      </c>
      <c r="F3279" s="87">
        <v>8.52</v>
      </c>
      <c r="G3279" s="88">
        <f t="shared" si="1"/>
        <v>1.55</v>
      </c>
      <c r="H3279" s="89">
        <f t="shared" si="10"/>
        <v>0.1819248826</v>
      </c>
      <c r="I3279" s="78" t="s">
        <v>3964</v>
      </c>
      <c r="J3279" s="78" t="s">
        <v>69</v>
      </c>
      <c r="K3279" s="58">
        <f t="shared" si="3"/>
        <v>5</v>
      </c>
      <c r="L3279" s="91" t="str">
        <f t="shared" si="8"/>
        <v>Mon</v>
      </c>
      <c r="M3279" s="78" t="str">
        <f>IFERROR(VLOOKUP(A3279, Entries!A:B,2,false),"")</f>
        <v>Sector D2</v>
      </c>
      <c r="N3279" s="23" t="str">
        <f>IFERROR(VLOOKUP(A3279, Entries!A:K,11,false),"")</f>
        <v/>
      </c>
      <c r="O3279" s="23" t="b">
        <f>IFERROR(VLOOKUP(A3279, Entries!A:I,8,false),"")</f>
        <v>0</v>
      </c>
    </row>
    <row r="3280">
      <c r="A3280" s="78" t="s">
        <v>2789</v>
      </c>
      <c r="B3280" s="78" t="s">
        <v>19</v>
      </c>
      <c r="C3280" s="85">
        <v>45042.0</v>
      </c>
      <c r="D3280" s="85">
        <v>45044.0</v>
      </c>
      <c r="E3280" s="86">
        <v>3.33</v>
      </c>
      <c r="F3280" s="87">
        <v>4.9</v>
      </c>
      <c r="G3280" s="88">
        <f t="shared" si="1"/>
        <v>1.57</v>
      </c>
      <c r="H3280" s="89">
        <f t="shared" si="10"/>
        <v>0.3204081633</v>
      </c>
      <c r="I3280" s="78" t="s">
        <v>3965</v>
      </c>
      <c r="J3280" s="78" t="s">
        <v>69</v>
      </c>
      <c r="K3280" s="58">
        <f t="shared" si="3"/>
        <v>2</v>
      </c>
      <c r="L3280" s="91" t="str">
        <f t="shared" si="8"/>
        <v>Fri</v>
      </c>
      <c r="M3280" s="78" t="str">
        <f>IFERROR(VLOOKUP(A3280, Entries!A:B,2,false),"")</f>
        <v>Evil Tortilla Games</v>
      </c>
      <c r="N3280" s="23" t="str">
        <f>IFERROR(VLOOKUP(A3280, Entries!A:K,11,false),"")</f>
        <v/>
      </c>
      <c r="O3280" s="23" t="b">
        <f>IFERROR(VLOOKUP(A3280, Entries!A:I,8,false),"")</f>
        <v>1</v>
      </c>
    </row>
    <row r="3281">
      <c r="A3281" s="78" t="s">
        <v>3966</v>
      </c>
      <c r="B3281" s="78" t="s">
        <v>25</v>
      </c>
      <c r="C3281" s="85">
        <v>45042.0</v>
      </c>
      <c r="D3281" s="85">
        <v>45131.0</v>
      </c>
      <c r="E3281" s="86">
        <v>0.0</v>
      </c>
      <c r="F3281" s="87">
        <v>0.22</v>
      </c>
      <c r="G3281" s="88">
        <f t="shared" si="1"/>
        <v>0.22</v>
      </c>
      <c r="H3281" s="89">
        <f t="shared" si="10"/>
        <v>1</v>
      </c>
      <c r="I3281" s="78" t="s">
        <v>3967</v>
      </c>
      <c r="J3281" s="78" t="s">
        <v>69</v>
      </c>
      <c r="K3281" s="58">
        <f t="shared" si="3"/>
        <v>89</v>
      </c>
      <c r="L3281" s="91" t="str">
        <f t="shared" si="8"/>
        <v>Mon</v>
      </c>
      <c r="M3281" s="78" t="str">
        <f>IFERROR(VLOOKUP(A3281, Entries!A:B,2,false),"")</f>
        <v/>
      </c>
      <c r="N3281" s="23" t="str">
        <f>IFERROR(VLOOKUP(A3281, Entries!A:K,11,false),"")</f>
        <v/>
      </c>
      <c r="O3281" s="23" t="str">
        <f>IFERROR(VLOOKUP(A3281, Entries!A:I,8,false),"")</f>
        <v/>
      </c>
    </row>
    <row r="3282">
      <c r="A3282" s="78" t="s">
        <v>2789</v>
      </c>
      <c r="B3282" s="78" t="s">
        <v>19</v>
      </c>
      <c r="C3282" s="85">
        <v>45043.0</v>
      </c>
      <c r="D3282" s="85">
        <v>45045.0</v>
      </c>
      <c r="E3282" s="86">
        <v>3.33</v>
      </c>
      <c r="F3282" s="87">
        <v>4.9</v>
      </c>
      <c r="G3282" s="88">
        <f t="shared" si="1"/>
        <v>1.57</v>
      </c>
      <c r="H3282" s="89">
        <f t="shared" si="10"/>
        <v>0.3204081633</v>
      </c>
      <c r="I3282" s="78" t="s">
        <v>3968</v>
      </c>
      <c r="J3282" s="78" t="s">
        <v>69</v>
      </c>
      <c r="K3282" s="58">
        <f t="shared" si="3"/>
        <v>2</v>
      </c>
      <c r="L3282" s="91" t="str">
        <f t="shared" si="8"/>
        <v>Sat</v>
      </c>
      <c r="M3282" s="78" t="str">
        <f>IFERROR(VLOOKUP(A3282, Entries!A:B,2,false),"")</f>
        <v>Evil Tortilla Games</v>
      </c>
      <c r="N3282" s="23" t="str">
        <f>IFERROR(VLOOKUP(A3282, Entries!A:K,11,false),"")</f>
        <v/>
      </c>
      <c r="O3282" s="23" t="b">
        <f>IFERROR(VLOOKUP(A3282, Entries!A:I,8,false),"")</f>
        <v>1</v>
      </c>
    </row>
    <row r="3283">
      <c r="A3283" s="78" t="s">
        <v>3897</v>
      </c>
      <c r="B3283" s="78" t="s">
        <v>27</v>
      </c>
      <c r="C3283" s="85">
        <v>45043.0</v>
      </c>
      <c r="D3283" s="85">
        <v>45044.0</v>
      </c>
      <c r="E3283" s="86">
        <v>4.29</v>
      </c>
      <c r="F3283" s="87">
        <v>5.46</v>
      </c>
      <c r="G3283" s="88">
        <f t="shared" si="1"/>
        <v>1.17</v>
      </c>
      <c r="H3283" s="89">
        <f t="shared" si="10"/>
        <v>0.2142857143</v>
      </c>
      <c r="I3283" s="78" t="s">
        <v>3969</v>
      </c>
      <c r="J3283" s="78" t="s">
        <v>69</v>
      </c>
      <c r="K3283" s="58">
        <f t="shared" si="3"/>
        <v>1</v>
      </c>
      <c r="L3283" s="91" t="str">
        <f t="shared" si="8"/>
        <v>Fri</v>
      </c>
      <c r="M3283" s="78" t="str">
        <f>IFERROR(VLOOKUP(A3283, Entries!A:B,2,false),"")</f>
        <v>Bethesda Softworks</v>
      </c>
      <c r="N3283" s="23" t="str">
        <f>IFERROR(VLOOKUP(A3283, Entries!A:K,11,false),"")</f>
        <v/>
      </c>
      <c r="O3283" s="23" t="b">
        <f>IFERROR(VLOOKUP(A3283, Entries!A:I,8,false),"")</f>
        <v>0</v>
      </c>
    </row>
    <row r="3284">
      <c r="A3284" s="78" t="s">
        <v>3144</v>
      </c>
      <c r="B3284" s="78" t="s">
        <v>27</v>
      </c>
      <c r="C3284" s="85">
        <v>45043.0</v>
      </c>
      <c r="D3284" s="85">
        <v>45077.0</v>
      </c>
      <c r="E3284" s="86">
        <v>18.09</v>
      </c>
      <c r="F3284" s="87">
        <v>22.69</v>
      </c>
      <c r="G3284" s="88">
        <f t="shared" si="1"/>
        <v>4.6</v>
      </c>
      <c r="H3284" s="89">
        <f t="shared" si="10"/>
        <v>0.2027324813</v>
      </c>
      <c r="I3284" s="78" t="s">
        <v>3970</v>
      </c>
      <c r="J3284" s="78" t="s">
        <v>69</v>
      </c>
      <c r="K3284" s="58">
        <f t="shared" si="3"/>
        <v>34</v>
      </c>
      <c r="L3284" s="91" t="str">
        <f t="shared" si="8"/>
        <v>Wed</v>
      </c>
      <c r="M3284" s="78" t="str">
        <f>IFERROR(VLOOKUP(A3284, Entries!A:B,2,false),"")</f>
        <v>Bethesda Softworks</v>
      </c>
      <c r="N3284" s="23" t="str">
        <f>IFERROR(VLOOKUP(A3284, Entries!A:K,11,false),"")</f>
        <v/>
      </c>
      <c r="O3284" s="23" t="b">
        <f>IFERROR(VLOOKUP(A3284, Entries!A:I,8,false),"")</f>
        <v>0</v>
      </c>
    </row>
    <row r="3285">
      <c r="A3285" s="78" t="s">
        <v>3897</v>
      </c>
      <c r="B3285" s="78" t="s">
        <v>27</v>
      </c>
      <c r="C3285" s="85">
        <v>45044.0</v>
      </c>
      <c r="D3285" s="85">
        <v>45059.0</v>
      </c>
      <c r="E3285" s="86">
        <v>4.29</v>
      </c>
      <c r="F3285" s="87">
        <v>5.46</v>
      </c>
      <c r="G3285" s="88">
        <f t="shared" si="1"/>
        <v>1.17</v>
      </c>
      <c r="H3285" s="89">
        <f t="shared" si="10"/>
        <v>0.2142857143</v>
      </c>
      <c r="I3285" s="78" t="s">
        <v>3971</v>
      </c>
      <c r="J3285" s="78" t="s">
        <v>69</v>
      </c>
      <c r="K3285" s="58">
        <f t="shared" si="3"/>
        <v>15</v>
      </c>
      <c r="L3285" s="91" t="str">
        <f t="shared" si="8"/>
        <v>Sat</v>
      </c>
      <c r="M3285" s="78" t="str">
        <f>IFERROR(VLOOKUP(A3285, Entries!A:B,2,false),"")</f>
        <v>Bethesda Softworks</v>
      </c>
      <c r="N3285" s="23" t="str">
        <f>IFERROR(VLOOKUP(A3285, Entries!A:K,11,false),"")</f>
        <v/>
      </c>
      <c r="O3285" s="23" t="b">
        <f>IFERROR(VLOOKUP(A3285, Entries!A:I,8,false),"")</f>
        <v>0</v>
      </c>
    </row>
    <row r="3286">
      <c r="A3286" s="78" t="s">
        <v>1406</v>
      </c>
      <c r="B3286" s="78" t="s">
        <v>23</v>
      </c>
      <c r="C3286" s="85">
        <v>45044.0</v>
      </c>
      <c r="D3286" s="85">
        <v>45045.0</v>
      </c>
      <c r="E3286" s="86">
        <v>18.94</v>
      </c>
      <c r="F3286" s="87">
        <v>38.77</v>
      </c>
      <c r="G3286" s="88">
        <f t="shared" si="1"/>
        <v>19.83</v>
      </c>
      <c r="H3286" s="89">
        <f t="shared" si="10"/>
        <v>0.5114779469</v>
      </c>
      <c r="I3286" s="78" t="s">
        <v>3972</v>
      </c>
      <c r="J3286" s="78" t="s">
        <v>69</v>
      </c>
      <c r="K3286" s="58">
        <f t="shared" si="3"/>
        <v>1</v>
      </c>
      <c r="L3286" s="91" t="str">
        <f t="shared" si="8"/>
        <v>Sat</v>
      </c>
      <c r="M3286" s="78" t="str">
        <f>IFERROR(VLOOKUP(A3286, Entries!A:B,2,false),"")</f>
        <v>Eugen Systems</v>
      </c>
      <c r="N3286" s="23" t="str">
        <f>IFERROR(VLOOKUP(A3286, Entries!A:K,11,false),"")</f>
        <v/>
      </c>
      <c r="O3286" s="23" t="b">
        <f>IFERROR(VLOOKUP(A3286, Entries!A:I,8,false),"")</f>
        <v>1</v>
      </c>
    </row>
    <row r="3287">
      <c r="A3287" s="78" t="s">
        <v>1389</v>
      </c>
      <c r="B3287" s="78" t="s">
        <v>23</v>
      </c>
      <c r="C3287" s="85">
        <v>45044.0</v>
      </c>
      <c r="D3287" s="85">
        <v>45045.0</v>
      </c>
      <c r="E3287" s="86">
        <v>9.47</v>
      </c>
      <c r="F3287" s="87">
        <v>23.13</v>
      </c>
      <c r="G3287" s="88">
        <f t="shared" si="1"/>
        <v>13.66</v>
      </c>
      <c r="H3287" s="89">
        <f t="shared" si="10"/>
        <v>0.5905750108</v>
      </c>
      <c r="I3287" s="78" t="s">
        <v>3973</v>
      </c>
      <c r="J3287" s="78" t="s">
        <v>69</v>
      </c>
      <c r="K3287" s="58">
        <f t="shared" si="3"/>
        <v>1</v>
      </c>
      <c r="L3287" s="91" t="str">
        <f t="shared" si="8"/>
        <v>Sat</v>
      </c>
      <c r="M3287" s="78" t="str">
        <f>IFERROR(VLOOKUP(A3287, Entries!A:B,2,false),"")</f>
        <v>Eugen Systems</v>
      </c>
      <c r="N3287" s="23" t="str">
        <f>IFERROR(VLOOKUP(A3287, Entries!A:K,11,false),"")</f>
        <v/>
      </c>
      <c r="O3287" s="23" t="b">
        <f>IFERROR(VLOOKUP(A3287, Entries!A:I,8,false),"")</f>
        <v>1</v>
      </c>
    </row>
    <row r="3288">
      <c r="A3288" s="78" t="s">
        <v>1034</v>
      </c>
      <c r="B3288" s="78" t="s">
        <v>23</v>
      </c>
      <c r="C3288" s="85">
        <v>45044.0</v>
      </c>
      <c r="D3288" s="85">
        <v>45044.0</v>
      </c>
      <c r="E3288" s="86">
        <v>7.11</v>
      </c>
      <c r="F3288" s="87">
        <v>14.44</v>
      </c>
      <c r="G3288" s="88">
        <f t="shared" si="1"/>
        <v>7.33</v>
      </c>
      <c r="H3288" s="89">
        <f t="shared" si="10"/>
        <v>0.5076177285</v>
      </c>
      <c r="I3288" s="78" t="s">
        <v>3974</v>
      </c>
      <c r="J3288" s="78" t="s">
        <v>69</v>
      </c>
      <c r="K3288" s="58">
        <f t="shared" si="3"/>
        <v>0</v>
      </c>
      <c r="L3288" s="91" t="str">
        <f t="shared" si="8"/>
        <v>Fri</v>
      </c>
      <c r="M3288" s="78" t="str">
        <f>IFERROR(VLOOKUP(A3288, Entries!A:B,2,false),"")</f>
        <v>Eugen Systems</v>
      </c>
      <c r="N3288" s="23" t="str">
        <f>IFERROR(VLOOKUP(A3288, Entries!A:K,11,false),"")</f>
        <v/>
      </c>
      <c r="O3288" s="23" t="b">
        <f>IFERROR(VLOOKUP(A3288, Entries!A:I,8,false),"")</f>
        <v>1</v>
      </c>
    </row>
    <row r="3289">
      <c r="A3289" s="78" t="s">
        <v>1387</v>
      </c>
      <c r="B3289" s="78" t="s">
        <v>23</v>
      </c>
      <c r="C3289" s="85">
        <v>45044.0</v>
      </c>
      <c r="D3289" s="85">
        <v>45064.0</v>
      </c>
      <c r="E3289" s="86">
        <v>3.78</v>
      </c>
      <c r="F3289" s="87">
        <v>4.44</v>
      </c>
      <c r="G3289" s="88">
        <f t="shared" si="1"/>
        <v>0.66</v>
      </c>
      <c r="H3289" s="89">
        <f t="shared" si="10"/>
        <v>0.1486486486</v>
      </c>
      <c r="I3289" s="78" t="s">
        <v>3975</v>
      </c>
      <c r="J3289" s="78" t="s">
        <v>69</v>
      </c>
      <c r="K3289" s="58">
        <f t="shared" si="3"/>
        <v>20</v>
      </c>
      <c r="L3289" s="91" t="str">
        <f t="shared" si="8"/>
        <v>Thu</v>
      </c>
      <c r="M3289" s="78" t="str">
        <f>IFERROR(VLOOKUP(A3289, Entries!A:B,2,false),"")</f>
        <v>Eugen Systems</v>
      </c>
      <c r="N3289" s="23" t="str">
        <f>IFERROR(VLOOKUP(A3289, Entries!A:K,11,false),"")</f>
        <v/>
      </c>
      <c r="O3289" s="23" t="b">
        <f>IFERROR(VLOOKUP(A3289, Entries!A:I,8,false),"")</f>
        <v>0</v>
      </c>
    </row>
    <row r="3290">
      <c r="A3290" s="78" t="s">
        <v>2437</v>
      </c>
      <c r="B3290" s="78" t="s">
        <v>23</v>
      </c>
      <c r="C3290" s="85">
        <v>45044.0</v>
      </c>
      <c r="D3290" s="85">
        <v>45045.0</v>
      </c>
      <c r="E3290" s="86">
        <v>8.52</v>
      </c>
      <c r="F3290" s="87">
        <v>12.47</v>
      </c>
      <c r="G3290" s="88">
        <f t="shared" si="1"/>
        <v>3.95</v>
      </c>
      <c r="H3290" s="89">
        <f t="shared" si="10"/>
        <v>0.3167602245</v>
      </c>
      <c r="I3290" s="78" t="s">
        <v>3976</v>
      </c>
      <c r="J3290" s="78" t="s">
        <v>69</v>
      </c>
      <c r="K3290" s="58">
        <f t="shared" si="3"/>
        <v>1</v>
      </c>
      <c r="L3290" s="91" t="str">
        <f t="shared" si="8"/>
        <v>Sat</v>
      </c>
      <c r="M3290" s="78" t="str">
        <f>IFERROR(VLOOKUP(A3290, Entries!A:B,2,false),"")</f>
        <v>Shiro Games</v>
      </c>
      <c r="N3290" s="23" t="str">
        <f>IFERROR(VLOOKUP(A3290, Entries!A:K,11,false),"")</f>
        <v/>
      </c>
      <c r="O3290" s="23" t="b">
        <f>IFERROR(VLOOKUP(A3290, Entries!A:I,8,false),"")</f>
        <v>1</v>
      </c>
    </row>
    <row r="3291">
      <c r="A3291" s="78" t="s">
        <v>2789</v>
      </c>
      <c r="B3291" s="78" t="s">
        <v>19</v>
      </c>
      <c r="C3291" s="85">
        <v>45044.0</v>
      </c>
      <c r="D3291" s="85">
        <v>45045.0</v>
      </c>
      <c r="E3291" s="86">
        <v>3.33</v>
      </c>
      <c r="F3291" s="87">
        <v>4.9</v>
      </c>
      <c r="G3291" s="88">
        <f t="shared" si="1"/>
        <v>1.57</v>
      </c>
      <c r="H3291" s="89">
        <f t="shared" si="10"/>
        <v>0.3204081633</v>
      </c>
      <c r="I3291" s="78" t="s">
        <v>3977</v>
      </c>
      <c r="J3291" s="78" t="s">
        <v>69</v>
      </c>
      <c r="K3291" s="58">
        <f t="shared" si="3"/>
        <v>1</v>
      </c>
      <c r="L3291" s="91" t="str">
        <f t="shared" si="8"/>
        <v>Sat</v>
      </c>
      <c r="M3291" s="78" t="str">
        <f>IFERROR(VLOOKUP(A3291, Entries!A:B,2,false),"")</f>
        <v>Evil Tortilla Games</v>
      </c>
      <c r="N3291" s="23" t="str">
        <f>IFERROR(VLOOKUP(A3291, Entries!A:K,11,false),"")</f>
        <v/>
      </c>
      <c r="O3291" s="23" t="b">
        <f>IFERROR(VLOOKUP(A3291, Entries!A:I,8,false),"")</f>
        <v>1</v>
      </c>
    </row>
    <row r="3292">
      <c r="A3292" s="78" t="s">
        <v>2914</v>
      </c>
      <c r="B3292" s="78" t="s">
        <v>22</v>
      </c>
      <c r="C3292" s="85">
        <v>45044.0</v>
      </c>
      <c r="D3292" s="85">
        <v>45059.0</v>
      </c>
      <c r="E3292" s="86">
        <v>13.27</v>
      </c>
      <c r="F3292" s="87">
        <v>16.87</v>
      </c>
      <c r="G3292" s="88">
        <f t="shared" si="1"/>
        <v>3.6</v>
      </c>
      <c r="H3292" s="89">
        <f t="shared" si="10"/>
        <v>0.2133965619</v>
      </c>
      <c r="I3292" s="78" t="s">
        <v>3978</v>
      </c>
      <c r="J3292" s="78" t="s">
        <v>69</v>
      </c>
      <c r="K3292" s="58">
        <f t="shared" si="3"/>
        <v>15</v>
      </c>
      <c r="L3292" s="91" t="str">
        <f t="shared" si="8"/>
        <v>Sat</v>
      </c>
      <c r="M3292" s="78" t="str">
        <f>IFERROR(VLOOKUP(A3292, Entries!A:B,2,false),"")</f>
        <v>Square Enix</v>
      </c>
      <c r="N3292" s="23" t="str">
        <f>IFERROR(VLOOKUP(A3292, Entries!A:K,11,false),"")</f>
        <v/>
      </c>
      <c r="O3292" s="23" t="b">
        <f>IFERROR(VLOOKUP(A3292, Entries!A:I,8,false),"")</f>
        <v>0</v>
      </c>
    </row>
    <row r="3293">
      <c r="A3293" s="78" t="s">
        <v>3979</v>
      </c>
      <c r="B3293" s="78" t="s">
        <v>22</v>
      </c>
      <c r="C3293" s="85">
        <v>45044.0</v>
      </c>
      <c r="D3293" s="85">
        <v>45044.0</v>
      </c>
      <c r="E3293" s="86">
        <v>30.24</v>
      </c>
      <c r="F3293" s="87">
        <v>37.36</v>
      </c>
      <c r="G3293" s="88">
        <f t="shared" si="1"/>
        <v>7.12</v>
      </c>
      <c r="H3293" s="89">
        <f t="shared" si="10"/>
        <v>0.1905781585</v>
      </c>
      <c r="I3293" s="78" t="s">
        <v>3980</v>
      </c>
      <c r="J3293" s="78" t="s">
        <v>69</v>
      </c>
      <c r="K3293" s="58">
        <f t="shared" si="3"/>
        <v>0</v>
      </c>
      <c r="L3293" s="91" t="str">
        <f t="shared" si="8"/>
        <v>Fri</v>
      </c>
      <c r="M3293" s="78" t="str">
        <f>IFERROR(VLOOKUP(A3293, Entries!A:B,2,false),"")</f>
        <v>Square Enix</v>
      </c>
      <c r="N3293" s="23" t="str">
        <f>IFERROR(VLOOKUP(A3293, Entries!A:K,11,false),"")</f>
        <v/>
      </c>
      <c r="O3293" s="23" t="b">
        <f>IFERROR(VLOOKUP(A3293, Entries!A:I,8,false),"")</f>
        <v>0</v>
      </c>
    </row>
    <row r="3294">
      <c r="A3294" s="78" t="s">
        <v>1806</v>
      </c>
      <c r="B3294" s="78" t="s">
        <v>30</v>
      </c>
      <c r="C3294" s="85">
        <v>45044.0</v>
      </c>
      <c r="D3294" s="85">
        <v>45057.0</v>
      </c>
      <c r="E3294" s="86">
        <v>3.78</v>
      </c>
      <c r="F3294" s="87">
        <v>5.9</v>
      </c>
      <c r="G3294" s="88">
        <f t="shared" si="1"/>
        <v>2.12</v>
      </c>
      <c r="H3294" s="89">
        <f t="shared" si="10"/>
        <v>0.3593220339</v>
      </c>
      <c r="I3294" s="78" t="s">
        <v>3981</v>
      </c>
      <c r="J3294" s="78" t="s">
        <v>69</v>
      </c>
      <c r="K3294" s="58">
        <f t="shared" si="3"/>
        <v>13</v>
      </c>
      <c r="L3294" s="91" t="str">
        <f t="shared" si="8"/>
        <v>Thu</v>
      </c>
      <c r="M3294" s="78" t="str">
        <f>IFERROR(VLOOKUP(A3294, Entries!A:B,2,false),"")</f>
        <v>Daedalic Entertainment</v>
      </c>
      <c r="N3294" s="23" t="str">
        <f>IFERROR(VLOOKUP(A3294, Entries!A:K,11,false),"")</f>
        <v/>
      </c>
      <c r="O3294" s="23" t="b">
        <f>IFERROR(VLOOKUP(A3294, Entries!A:I,8,false),"")</f>
        <v>1</v>
      </c>
    </row>
    <row r="3295">
      <c r="A3295" s="78" t="s">
        <v>3515</v>
      </c>
      <c r="B3295" s="78" t="s">
        <v>30</v>
      </c>
      <c r="C3295" s="85">
        <v>45044.0</v>
      </c>
      <c r="D3295" s="85">
        <v>45055.0</v>
      </c>
      <c r="E3295" s="86">
        <v>7.57</v>
      </c>
      <c r="F3295" s="87">
        <v>8.76</v>
      </c>
      <c r="G3295" s="88">
        <f t="shared" si="1"/>
        <v>1.19</v>
      </c>
      <c r="H3295" s="89">
        <f t="shared" si="10"/>
        <v>0.1358447489</v>
      </c>
      <c r="I3295" s="78" t="s">
        <v>3982</v>
      </c>
      <c r="J3295" s="78" t="s">
        <v>69</v>
      </c>
      <c r="K3295" s="58">
        <f t="shared" si="3"/>
        <v>11</v>
      </c>
      <c r="L3295" s="91" t="str">
        <f t="shared" si="8"/>
        <v>Tue</v>
      </c>
      <c r="M3295" s="78" t="str">
        <f>IFERROR(VLOOKUP(A3295, Entries!A:B,2,false),"")</f>
        <v>WOLCEN Studio</v>
      </c>
      <c r="N3295" s="23" t="str">
        <f>IFERROR(VLOOKUP(A3295, Entries!A:K,11,false),"")</f>
        <v/>
      </c>
      <c r="O3295" s="23" t="b">
        <f>IFERROR(VLOOKUP(A3295, Entries!A:I,8,false),"")</f>
        <v>0</v>
      </c>
    </row>
    <row r="3296">
      <c r="A3296" s="78" t="s">
        <v>1034</v>
      </c>
      <c r="B3296" s="78" t="s">
        <v>23</v>
      </c>
      <c r="C3296" s="85">
        <v>45044.0</v>
      </c>
      <c r="D3296" s="85">
        <v>45045.0</v>
      </c>
      <c r="E3296" s="86">
        <v>7.11</v>
      </c>
      <c r="F3296" s="87">
        <v>14.43</v>
      </c>
      <c r="G3296" s="88">
        <f t="shared" si="1"/>
        <v>7.32</v>
      </c>
      <c r="H3296" s="89">
        <f t="shared" si="10"/>
        <v>0.5072765073</v>
      </c>
      <c r="I3296" s="78" t="s">
        <v>3983</v>
      </c>
      <c r="J3296" s="78" t="s">
        <v>69</v>
      </c>
      <c r="K3296" s="58">
        <f t="shared" si="3"/>
        <v>1</v>
      </c>
      <c r="L3296" s="91" t="str">
        <f t="shared" si="8"/>
        <v>Sat</v>
      </c>
      <c r="M3296" s="78" t="str">
        <f>IFERROR(VLOOKUP(A3296, Entries!A:B,2,false),"")</f>
        <v>Eugen Systems</v>
      </c>
      <c r="N3296" s="23" t="str">
        <f>IFERROR(VLOOKUP(A3296, Entries!A:K,11,false),"")</f>
        <v/>
      </c>
      <c r="O3296" s="23" t="b">
        <f>IFERROR(VLOOKUP(A3296, Entries!A:I,8,false),"")</f>
        <v>1</v>
      </c>
    </row>
    <row r="3297">
      <c r="A3297" s="78" t="s">
        <v>3979</v>
      </c>
      <c r="B3297" s="78" t="s">
        <v>22</v>
      </c>
      <c r="C3297" s="85">
        <v>45044.0</v>
      </c>
      <c r="D3297" s="85">
        <v>45045.0</v>
      </c>
      <c r="E3297" s="86">
        <v>30.24</v>
      </c>
      <c r="F3297" s="87">
        <v>37.36</v>
      </c>
      <c r="G3297" s="88">
        <f t="shared" si="1"/>
        <v>7.12</v>
      </c>
      <c r="H3297" s="89">
        <f t="shared" si="10"/>
        <v>0.1905781585</v>
      </c>
      <c r="I3297" s="78" t="s">
        <v>3984</v>
      </c>
      <c r="J3297" s="78" t="s">
        <v>69</v>
      </c>
      <c r="K3297" s="58">
        <f t="shared" si="3"/>
        <v>1</v>
      </c>
      <c r="L3297" s="91" t="str">
        <f t="shared" si="8"/>
        <v>Sat</v>
      </c>
      <c r="M3297" s="78" t="str">
        <f>IFERROR(VLOOKUP(A3297, Entries!A:B,2,false),"")</f>
        <v>Square Enix</v>
      </c>
      <c r="N3297" s="23" t="str">
        <f>IFERROR(VLOOKUP(A3297, Entries!A:K,11,false),"")</f>
        <v/>
      </c>
      <c r="O3297" s="23" t="b">
        <f>IFERROR(VLOOKUP(A3297, Entries!A:I,8,false),"")</f>
        <v>0</v>
      </c>
    </row>
    <row r="3298">
      <c r="A3298" s="78" t="s">
        <v>1336</v>
      </c>
      <c r="B3298" s="78" t="s">
        <v>27</v>
      </c>
      <c r="C3298" s="85">
        <v>45045.0</v>
      </c>
      <c r="D3298" s="85">
        <v>45045.0</v>
      </c>
      <c r="E3298" s="86">
        <v>7.89</v>
      </c>
      <c r="F3298" s="87">
        <v>10.13</v>
      </c>
      <c r="G3298" s="88">
        <f t="shared" si="1"/>
        <v>2.24</v>
      </c>
      <c r="H3298" s="89">
        <f t="shared" si="10"/>
        <v>0.2211253702</v>
      </c>
      <c r="I3298" s="78" t="s">
        <v>3985</v>
      </c>
      <c r="J3298" s="78" t="s">
        <v>69</v>
      </c>
      <c r="K3298" s="58">
        <f t="shared" si="3"/>
        <v>0</v>
      </c>
      <c r="L3298" s="91" t="str">
        <f t="shared" si="8"/>
        <v>Sat</v>
      </c>
      <c r="M3298" s="78" t="str">
        <f>IFERROR(VLOOKUP(A3298, Entries!A:B,2,false),"")</f>
        <v>Team17 Digital</v>
      </c>
      <c r="N3298" s="23" t="str">
        <f>IFERROR(VLOOKUP(A3298, Entries!A:K,11,false),"")</f>
        <v/>
      </c>
      <c r="O3298" s="23" t="b">
        <f>IFERROR(VLOOKUP(A3298, Entries!A:I,8,false),"")</f>
        <v>0</v>
      </c>
    </row>
    <row r="3299">
      <c r="A3299" s="78" t="s">
        <v>1336</v>
      </c>
      <c r="B3299" s="78" t="s">
        <v>27</v>
      </c>
      <c r="C3299" s="85">
        <v>45045.0</v>
      </c>
      <c r="D3299" s="85">
        <v>45045.0</v>
      </c>
      <c r="E3299" s="86">
        <v>7.89</v>
      </c>
      <c r="F3299" s="87">
        <v>10.45</v>
      </c>
      <c r="G3299" s="88">
        <f t="shared" si="1"/>
        <v>2.56</v>
      </c>
      <c r="H3299" s="89">
        <f t="shared" si="10"/>
        <v>0.2449760766</v>
      </c>
      <c r="I3299" s="78" t="s">
        <v>3986</v>
      </c>
      <c r="J3299" s="78" t="s">
        <v>69</v>
      </c>
      <c r="K3299" s="58">
        <f t="shared" si="3"/>
        <v>0</v>
      </c>
      <c r="L3299" s="91" t="str">
        <f t="shared" si="8"/>
        <v>Sat</v>
      </c>
      <c r="M3299" s="78" t="str">
        <f>IFERROR(VLOOKUP(A3299, Entries!A:B,2,false),"")</f>
        <v>Team17 Digital</v>
      </c>
      <c r="N3299" s="23" t="str">
        <f>IFERROR(VLOOKUP(A3299, Entries!A:K,11,false),"")</f>
        <v/>
      </c>
      <c r="O3299" s="23" t="b">
        <f>IFERROR(VLOOKUP(A3299, Entries!A:I,8,false),"")</f>
        <v>0</v>
      </c>
    </row>
    <row r="3300">
      <c r="A3300" s="78" t="s">
        <v>1034</v>
      </c>
      <c r="B3300" s="78" t="s">
        <v>23</v>
      </c>
      <c r="C3300" s="85">
        <v>45045.0</v>
      </c>
      <c r="D3300" s="85">
        <v>45045.0</v>
      </c>
      <c r="E3300" s="86">
        <v>7.11</v>
      </c>
      <c r="F3300" s="87">
        <v>14.32</v>
      </c>
      <c r="G3300" s="88">
        <f t="shared" si="1"/>
        <v>7.21</v>
      </c>
      <c r="H3300" s="89">
        <f t="shared" si="10"/>
        <v>0.5034916201</v>
      </c>
      <c r="I3300" s="78" t="s">
        <v>3987</v>
      </c>
      <c r="J3300" s="78" t="s">
        <v>69</v>
      </c>
      <c r="K3300" s="58">
        <f t="shared" si="3"/>
        <v>0</v>
      </c>
      <c r="L3300" s="91" t="str">
        <f t="shared" si="8"/>
        <v>Sat</v>
      </c>
      <c r="M3300" s="78" t="str">
        <f>IFERROR(VLOOKUP(A3300, Entries!A:B,2,false),"")</f>
        <v>Eugen Systems</v>
      </c>
      <c r="N3300" s="23" t="str">
        <f>IFERROR(VLOOKUP(A3300, Entries!A:K,11,false),"")</f>
        <v/>
      </c>
      <c r="O3300" s="23" t="b">
        <f>IFERROR(VLOOKUP(A3300, Entries!A:I,8,false),"")</f>
        <v>1</v>
      </c>
    </row>
    <row r="3301">
      <c r="A3301" s="78" t="s">
        <v>3979</v>
      </c>
      <c r="B3301" s="78" t="s">
        <v>22</v>
      </c>
      <c r="C3301" s="85">
        <v>45045.0</v>
      </c>
      <c r="D3301" s="85">
        <v>45046.0</v>
      </c>
      <c r="E3301" s="86">
        <v>30.24</v>
      </c>
      <c r="F3301" s="87">
        <v>37.26</v>
      </c>
      <c r="G3301" s="88">
        <f t="shared" si="1"/>
        <v>7.02</v>
      </c>
      <c r="H3301" s="89">
        <f t="shared" si="10"/>
        <v>0.1884057971</v>
      </c>
      <c r="I3301" s="78" t="s">
        <v>3988</v>
      </c>
      <c r="J3301" s="78" t="s">
        <v>69</v>
      </c>
      <c r="K3301" s="58">
        <f t="shared" si="3"/>
        <v>1</v>
      </c>
      <c r="L3301" s="91" t="str">
        <f t="shared" si="8"/>
        <v>Sun</v>
      </c>
      <c r="M3301" s="78" t="str">
        <f>IFERROR(VLOOKUP(A3301, Entries!A:B,2,false),"")</f>
        <v>Square Enix</v>
      </c>
      <c r="N3301" s="23" t="str">
        <f>IFERROR(VLOOKUP(A3301, Entries!A:K,11,false),"")</f>
        <v/>
      </c>
      <c r="O3301" s="23" t="b">
        <f>IFERROR(VLOOKUP(A3301, Entries!A:I,8,false),"")</f>
        <v>0</v>
      </c>
    </row>
    <row r="3302">
      <c r="A3302" s="78" t="s">
        <v>1406</v>
      </c>
      <c r="B3302" s="78" t="s">
        <v>23</v>
      </c>
      <c r="C3302" s="85">
        <v>45045.0</v>
      </c>
      <c r="D3302" s="85">
        <v>45045.0</v>
      </c>
      <c r="E3302" s="86">
        <v>18.94</v>
      </c>
      <c r="F3302" s="87">
        <v>37.86</v>
      </c>
      <c r="G3302" s="88">
        <f t="shared" si="1"/>
        <v>18.92</v>
      </c>
      <c r="H3302" s="89">
        <f t="shared" si="10"/>
        <v>0.499735869</v>
      </c>
      <c r="I3302" s="78" t="s">
        <v>3989</v>
      </c>
      <c r="J3302" s="78" t="s">
        <v>69</v>
      </c>
      <c r="K3302" s="58">
        <f t="shared" si="3"/>
        <v>0</v>
      </c>
      <c r="L3302" s="91" t="str">
        <f t="shared" si="8"/>
        <v>Sat</v>
      </c>
      <c r="M3302" s="78" t="str">
        <f>IFERROR(VLOOKUP(A3302, Entries!A:B,2,false),"")</f>
        <v>Eugen Systems</v>
      </c>
      <c r="N3302" s="23" t="str">
        <f>IFERROR(VLOOKUP(A3302, Entries!A:K,11,false),"")</f>
        <v/>
      </c>
      <c r="O3302" s="23" t="b">
        <f>IFERROR(VLOOKUP(A3302, Entries!A:I,8,false),"")</f>
        <v>1</v>
      </c>
    </row>
    <row r="3303">
      <c r="A3303" s="78" t="s">
        <v>2611</v>
      </c>
      <c r="B3303" s="78" t="s">
        <v>22</v>
      </c>
      <c r="C3303" s="85">
        <v>45045.0</v>
      </c>
      <c r="D3303" s="85">
        <v>45053.0</v>
      </c>
      <c r="E3303" s="86">
        <v>11.3</v>
      </c>
      <c r="F3303" s="87">
        <v>16.21</v>
      </c>
      <c r="G3303" s="88">
        <f t="shared" si="1"/>
        <v>4.91</v>
      </c>
      <c r="H3303" s="89">
        <f t="shared" si="10"/>
        <v>0.3028994448</v>
      </c>
      <c r="I3303" s="78" t="s">
        <v>3990</v>
      </c>
      <c r="J3303" s="78" t="s">
        <v>69</v>
      </c>
      <c r="K3303" s="58">
        <f t="shared" si="3"/>
        <v>8</v>
      </c>
      <c r="L3303" s="91" t="str">
        <f t="shared" si="8"/>
        <v>Sun</v>
      </c>
      <c r="M3303" s="78" t="str">
        <f>IFERROR(VLOOKUP(A3303, Entries!A:B,2,false),"")</f>
        <v>Ninja Kiwi</v>
      </c>
      <c r="N3303" s="23" t="str">
        <f>IFERROR(VLOOKUP(A3303, Entries!A:K,11,false),"")</f>
        <v/>
      </c>
      <c r="O3303" s="23" t="b">
        <f>IFERROR(VLOOKUP(A3303, Entries!A:I,8,false),"")</f>
        <v>0</v>
      </c>
    </row>
    <row r="3304">
      <c r="A3304" s="78" t="s">
        <v>1336</v>
      </c>
      <c r="B3304" s="78" t="s">
        <v>27</v>
      </c>
      <c r="C3304" s="85">
        <v>45045.0</v>
      </c>
      <c r="D3304" s="85">
        <v>45047.0</v>
      </c>
      <c r="E3304" s="86">
        <v>7.89</v>
      </c>
      <c r="F3304" s="87">
        <v>9.5</v>
      </c>
      <c r="G3304" s="88">
        <f t="shared" si="1"/>
        <v>1.61</v>
      </c>
      <c r="H3304" s="89">
        <f t="shared" si="10"/>
        <v>0.1694736842</v>
      </c>
      <c r="I3304" s="78" t="s">
        <v>3991</v>
      </c>
      <c r="J3304" s="78" t="s">
        <v>69</v>
      </c>
      <c r="K3304" s="58">
        <f t="shared" si="3"/>
        <v>2</v>
      </c>
      <c r="L3304" s="91" t="str">
        <f t="shared" si="8"/>
        <v>Mon</v>
      </c>
      <c r="M3304" s="78" t="str">
        <f>IFERROR(VLOOKUP(A3304, Entries!A:B,2,false),"")</f>
        <v>Team17 Digital</v>
      </c>
      <c r="N3304" s="23" t="str">
        <f>IFERROR(VLOOKUP(A3304, Entries!A:K,11,false),"")</f>
        <v/>
      </c>
      <c r="O3304" s="23" t="b">
        <f>IFERROR(VLOOKUP(A3304, Entries!A:I,8,false),"")</f>
        <v>0</v>
      </c>
    </row>
    <row r="3305">
      <c r="A3305" s="78" t="s">
        <v>1389</v>
      </c>
      <c r="B3305" s="78" t="s">
        <v>23</v>
      </c>
      <c r="C3305" s="85">
        <v>45045.0</v>
      </c>
      <c r="D3305" s="85">
        <v>45045.0</v>
      </c>
      <c r="E3305" s="86">
        <v>9.49</v>
      </c>
      <c r="F3305" s="87">
        <v>21.36</v>
      </c>
      <c r="G3305" s="88">
        <f t="shared" si="1"/>
        <v>11.87</v>
      </c>
      <c r="H3305" s="89">
        <f t="shared" si="10"/>
        <v>0.5557116105</v>
      </c>
      <c r="I3305" s="78" t="s">
        <v>3992</v>
      </c>
      <c r="J3305" s="78" t="s">
        <v>69</v>
      </c>
      <c r="K3305" s="58">
        <f t="shared" si="3"/>
        <v>0</v>
      </c>
      <c r="L3305" s="91" t="str">
        <f t="shared" si="8"/>
        <v>Sat</v>
      </c>
      <c r="M3305" s="78" t="str">
        <f>IFERROR(VLOOKUP(A3305, Entries!A:B,2,false),"")</f>
        <v>Eugen Systems</v>
      </c>
      <c r="N3305" s="23" t="str">
        <f>IFERROR(VLOOKUP(A3305, Entries!A:K,11,false),"")</f>
        <v/>
      </c>
      <c r="O3305" s="23" t="b">
        <f>IFERROR(VLOOKUP(A3305, Entries!A:I,8,false),"")</f>
        <v>1</v>
      </c>
    </row>
    <row r="3306">
      <c r="A3306" s="78" t="s">
        <v>2789</v>
      </c>
      <c r="B3306" s="78" t="s">
        <v>19</v>
      </c>
      <c r="C3306" s="85">
        <v>45045.0</v>
      </c>
      <c r="D3306" s="85">
        <v>45046.0</v>
      </c>
      <c r="E3306" s="86">
        <v>3.33</v>
      </c>
      <c r="F3306" s="87">
        <v>4.9</v>
      </c>
      <c r="G3306" s="88">
        <f t="shared" si="1"/>
        <v>1.57</v>
      </c>
      <c r="H3306" s="89">
        <f t="shared" si="10"/>
        <v>0.3204081633</v>
      </c>
      <c r="I3306" s="78" t="s">
        <v>3993</v>
      </c>
      <c r="J3306" s="78" t="s">
        <v>69</v>
      </c>
      <c r="K3306" s="58">
        <f t="shared" si="3"/>
        <v>1</v>
      </c>
      <c r="L3306" s="91" t="str">
        <f t="shared" si="8"/>
        <v>Sun</v>
      </c>
      <c r="M3306" s="78" t="str">
        <f>IFERROR(VLOOKUP(A3306, Entries!A:B,2,false),"")</f>
        <v>Evil Tortilla Games</v>
      </c>
      <c r="N3306" s="23" t="str">
        <f>IFERROR(VLOOKUP(A3306, Entries!A:K,11,false),"")</f>
        <v/>
      </c>
      <c r="O3306" s="23" t="b">
        <f>IFERROR(VLOOKUP(A3306, Entries!A:I,8,false),"")</f>
        <v>1</v>
      </c>
    </row>
    <row r="3307">
      <c r="A3307" s="78" t="s">
        <v>1406</v>
      </c>
      <c r="B3307" s="78" t="s">
        <v>23</v>
      </c>
      <c r="C3307" s="85">
        <v>45045.0</v>
      </c>
      <c r="D3307" s="85">
        <v>45045.0</v>
      </c>
      <c r="E3307" s="86">
        <v>19.0</v>
      </c>
      <c r="F3307" s="87">
        <v>37.81</v>
      </c>
      <c r="G3307" s="88">
        <f t="shared" si="1"/>
        <v>18.81</v>
      </c>
      <c r="H3307" s="89">
        <f t="shared" si="10"/>
        <v>0.4974874372</v>
      </c>
      <c r="I3307" s="78" t="s">
        <v>3994</v>
      </c>
      <c r="J3307" s="78" t="s">
        <v>69</v>
      </c>
      <c r="K3307" s="58">
        <f t="shared" si="3"/>
        <v>0</v>
      </c>
      <c r="L3307" s="91" t="str">
        <f t="shared" si="8"/>
        <v>Sat</v>
      </c>
      <c r="M3307" s="78" t="str">
        <f>IFERROR(VLOOKUP(A3307, Entries!A:B,2,false),"")</f>
        <v>Eugen Systems</v>
      </c>
      <c r="N3307" s="23" t="str">
        <f>IFERROR(VLOOKUP(A3307, Entries!A:K,11,false),"")</f>
        <v/>
      </c>
      <c r="O3307" s="23" t="b">
        <f>IFERROR(VLOOKUP(A3307, Entries!A:I,8,false),"")</f>
        <v>1</v>
      </c>
    </row>
    <row r="3308">
      <c r="A3308" s="78" t="s">
        <v>3995</v>
      </c>
      <c r="B3308" s="78" t="s">
        <v>23</v>
      </c>
      <c r="C3308" s="85">
        <v>45045.0</v>
      </c>
      <c r="D3308" s="85">
        <v>45045.0</v>
      </c>
      <c r="E3308" s="86">
        <v>19.0</v>
      </c>
      <c r="F3308" s="87">
        <v>20.98</v>
      </c>
      <c r="G3308" s="88">
        <f t="shared" si="1"/>
        <v>1.98</v>
      </c>
      <c r="H3308" s="89">
        <f t="shared" si="10"/>
        <v>0.09437559581</v>
      </c>
      <c r="I3308" s="78" t="s">
        <v>3996</v>
      </c>
      <c r="J3308" s="78" t="s">
        <v>69</v>
      </c>
      <c r="K3308" s="58">
        <f t="shared" si="3"/>
        <v>0</v>
      </c>
      <c r="L3308" s="91" t="str">
        <f t="shared" si="8"/>
        <v>Sat</v>
      </c>
      <c r="M3308" s="78" t="str">
        <f>IFERROR(VLOOKUP(A3308, Entries!A:B,2,false),"")</f>
        <v>astragon Entertainment</v>
      </c>
      <c r="N3308" s="23" t="str">
        <f>IFERROR(VLOOKUP(A3308, Entries!A:K,11,false),"")</f>
        <v/>
      </c>
      <c r="O3308" s="23" t="b">
        <f>IFERROR(VLOOKUP(A3308, Entries!A:I,8,false),"")</f>
        <v>0</v>
      </c>
    </row>
    <row r="3309">
      <c r="A3309" s="78" t="s">
        <v>2437</v>
      </c>
      <c r="B3309" s="78" t="s">
        <v>23</v>
      </c>
      <c r="C3309" s="85">
        <v>45045.0</v>
      </c>
      <c r="D3309" s="85">
        <v>45045.0</v>
      </c>
      <c r="E3309" s="86">
        <v>8.54</v>
      </c>
      <c r="F3309" s="87">
        <v>11.86</v>
      </c>
      <c r="G3309" s="88">
        <f t="shared" si="1"/>
        <v>3.32</v>
      </c>
      <c r="H3309" s="89">
        <f t="shared" si="10"/>
        <v>0.2799325464</v>
      </c>
      <c r="I3309" s="78" t="s">
        <v>3997</v>
      </c>
      <c r="J3309" s="78" t="s">
        <v>69</v>
      </c>
      <c r="K3309" s="58">
        <f t="shared" si="3"/>
        <v>0</v>
      </c>
      <c r="L3309" s="91" t="str">
        <f t="shared" si="8"/>
        <v>Sat</v>
      </c>
      <c r="M3309" s="78" t="str">
        <f>IFERROR(VLOOKUP(A3309, Entries!A:B,2,false),"")</f>
        <v>Shiro Games</v>
      </c>
      <c r="N3309" s="23" t="str">
        <f>IFERROR(VLOOKUP(A3309, Entries!A:K,11,false),"")</f>
        <v/>
      </c>
      <c r="O3309" s="23" t="b">
        <f>IFERROR(VLOOKUP(A3309, Entries!A:I,8,false),"")</f>
        <v>1</v>
      </c>
    </row>
    <row r="3310">
      <c r="A3310" s="78" t="s">
        <v>3995</v>
      </c>
      <c r="B3310" s="78" t="s">
        <v>23</v>
      </c>
      <c r="C3310" s="85">
        <v>45045.0</v>
      </c>
      <c r="D3310" s="85">
        <v>45064.0</v>
      </c>
      <c r="E3310" s="86">
        <v>19.0</v>
      </c>
      <c r="F3310" s="87">
        <v>21.42</v>
      </c>
      <c r="G3310" s="88">
        <f t="shared" si="1"/>
        <v>2.42</v>
      </c>
      <c r="H3310" s="89">
        <f t="shared" si="10"/>
        <v>0.1129785247</v>
      </c>
      <c r="I3310" s="78" t="s">
        <v>3998</v>
      </c>
      <c r="J3310" s="78" t="s">
        <v>69</v>
      </c>
      <c r="K3310" s="58">
        <f t="shared" si="3"/>
        <v>19</v>
      </c>
      <c r="L3310" s="91" t="str">
        <f t="shared" si="8"/>
        <v>Thu</v>
      </c>
      <c r="M3310" s="78" t="str">
        <f>IFERROR(VLOOKUP(A3310, Entries!A:B,2,false),"")</f>
        <v>astragon Entertainment</v>
      </c>
      <c r="N3310" s="23" t="str">
        <f>IFERROR(VLOOKUP(A3310, Entries!A:K,11,false),"")</f>
        <v/>
      </c>
      <c r="O3310" s="23" t="b">
        <f>IFERROR(VLOOKUP(A3310, Entries!A:I,8,false),"")</f>
        <v>0</v>
      </c>
    </row>
    <row r="3311">
      <c r="A3311" s="78" t="s">
        <v>1389</v>
      </c>
      <c r="B3311" s="78" t="s">
        <v>23</v>
      </c>
      <c r="C3311" s="85">
        <v>45045.0</v>
      </c>
      <c r="D3311" s="85">
        <v>45045.0</v>
      </c>
      <c r="E3311" s="86">
        <v>9.49</v>
      </c>
      <c r="F3311" s="87">
        <v>21.34</v>
      </c>
      <c r="G3311" s="88">
        <f t="shared" si="1"/>
        <v>11.85</v>
      </c>
      <c r="H3311" s="89">
        <f t="shared" si="10"/>
        <v>0.5552952202</v>
      </c>
      <c r="I3311" s="78" t="s">
        <v>3999</v>
      </c>
      <c r="J3311" s="78" t="s">
        <v>69</v>
      </c>
      <c r="K3311" s="58">
        <f t="shared" si="3"/>
        <v>0</v>
      </c>
      <c r="L3311" s="91" t="str">
        <f t="shared" si="8"/>
        <v>Sat</v>
      </c>
      <c r="M3311" s="78" t="str">
        <f>IFERROR(VLOOKUP(A3311, Entries!A:B,2,false),"")</f>
        <v>Eugen Systems</v>
      </c>
      <c r="N3311" s="23" t="str">
        <f>IFERROR(VLOOKUP(A3311, Entries!A:K,11,false),"")</f>
        <v/>
      </c>
      <c r="O3311" s="23" t="b">
        <f>IFERROR(VLOOKUP(A3311, Entries!A:I,8,false),"")</f>
        <v>1</v>
      </c>
    </row>
    <row r="3312">
      <c r="A3312" s="78" t="s">
        <v>2437</v>
      </c>
      <c r="B3312" s="78" t="s">
        <v>23</v>
      </c>
      <c r="C3312" s="85">
        <v>45045.0</v>
      </c>
      <c r="D3312" s="85">
        <v>45045.0</v>
      </c>
      <c r="E3312" s="86">
        <v>8.54</v>
      </c>
      <c r="F3312" s="87">
        <v>11.83</v>
      </c>
      <c r="G3312" s="88">
        <f t="shared" si="1"/>
        <v>3.29</v>
      </c>
      <c r="H3312" s="89">
        <f t="shared" si="10"/>
        <v>0.2781065089</v>
      </c>
      <c r="I3312" s="78" t="s">
        <v>4000</v>
      </c>
      <c r="J3312" s="78" t="s">
        <v>69</v>
      </c>
      <c r="K3312" s="58">
        <f t="shared" si="3"/>
        <v>0</v>
      </c>
      <c r="L3312" s="91" t="str">
        <f t="shared" si="8"/>
        <v>Sat</v>
      </c>
      <c r="M3312" s="78" t="str">
        <f>IFERROR(VLOOKUP(A3312, Entries!A:B,2,false),"")</f>
        <v>Shiro Games</v>
      </c>
      <c r="N3312" s="23" t="str">
        <f>IFERROR(VLOOKUP(A3312, Entries!A:K,11,false),"")</f>
        <v/>
      </c>
      <c r="O3312" s="23" t="b">
        <f>IFERROR(VLOOKUP(A3312, Entries!A:I,8,false),"")</f>
        <v>1</v>
      </c>
    </row>
    <row r="3313">
      <c r="A3313" s="78" t="s">
        <v>3979</v>
      </c>
      <c r="B3313" s="78" t="s">
        <v>22</v>
      </c>
      <c r="C3313" s="85">
        <v>45045.0</v>
      </c>
      <c r="D3313" s="85">
        <v>45045.0</v>
      </c>
      <c r="E3313" s="86">
        <v>30.32</v>
      </c>
      <c r="F3313" s="87">
        <v>37.27</v>
      </c>
      <c r="G3313" s="88">
        <f t="shared" si="1"/>
        <v>6.95</v>
      </c>
      <c r="H3313" s="89">
        <f t="shared" si="10"/>
        <v>0.1864770593</v>
      </c>
      <c r="I3313" s="78" t="s">
        <v>4001</v>
      </c>
      <c r="J3313" s="78" t="s">
        <v>69</v>
      </c>
      <c r="K3313" s="58">
        <f t="shared" si="3"/>
        <v>0</v>
      </c>
      <c r="L3313" s="91" t="str">
        <f t="shared" si="8"/>
        <v>Sat</v>
      </c>
      <c r="M3313" s="78" t="str">
        <f>IFERROR(VLOOKUP(A3313, Entries!A:B,2,false),"")</f>
        <v>Square Enix</v>
      </c>
      <c r="N3313" s="23" t="str">
        <f>IFERROR(VLOOKUP(A3313, Entries!A:K,11,false),"")</f>
        <v/>
      </c>
      <c r="O3313" s="23" t="b">
        <f>IFERROR(VLOOKUP(A3313, Entries!A:I,8,false),"")</f>
        <v>0</v>
      </c>
    </row>
    <row r="3314">
      <c r="A3314" s="78" t="s">
        <v>3979</v>
      </c>
      <c r="B3314" s="78" t="s">
        <v>22</v>
      </c>
      <c r="C3314" s="85">
        <v>45045.0</v>
      </c>
      <c r="D3314" s="85">
        <v>45045.0</v>
      </c>
      <c r="E3314" s="86">
        <v>30.32</v>
      </c>
      <c r="F3314" s="87">
        <v>37.27</v>
      </c>
      <c r="G3314" s="88">
        <f t="shared" si="1"/>
        <v>6.95</v>
      </c>
      <c r="H3314" s="89">
        <f t="shared" si="10"/>
        <v>0.1864770593</v>
      </c>
      <c r="I3314" s="78" t="s">
        <v>4002</v>
      </c>
      <c r="J3314" s="78" t="s">
        <v>69</v>
      </c>
      <c r="K3314" s="58">
        <f t="shared" si="3"/>
        <v>0</v>
      </c>
      <c r="L3314" s="91" t="str">
        <f t="shared" si="8"/>
        <v>Sat</v>
      </c>
      <c r="M3314" s="78" t="str">
        <f>IFERROR(VLOOKUP(A3314, Entries!A:B,2,false),"")</f>
        <v>Square Enix</v>
      </c>
      <c r="N3314" s="23" t="str">
        <f>IFERROR(VLOOKUP(A3314, Entries!A:K,11,false),"")</f>
        <v/>
      </c>
      <c r="O3314" s="23" t="b">
        <f>IFERROR(VLOOKUP(A3314, Entries!A:I,8,false),"")</f>
        <v>0</v>
      </c>
    </row>
    <row r="3315">
      <c r="A3315" s="78" t="s">
        <v>2789</v>
      </c>
      <c r="B3315" s="78" t="s">
        <v>19</v>
      </c>
      <c r="C3315" s="85">
        <v>45045.0</v>
      </c>
      <c r="D3315" s="85">
        <v>45046.0</v>
      </c>
      <c r="E3315" s="86">
        <v>3.33</v>
      </c>
      <c r="F3315" s="87">
        <v>4.9</v>
      </c>
      <c r="G3315" s="88">
        <f t="shared" si="1"/>
        <v>1.57</v>
      </c>
      <c r="H3315" s="89">
        <f t="shared" si="10"/>
        <v>0.3204081633</v>
      </c>
      <c r="I3315" s="78" t="s">
        <v>4003</v>
      </c>
      <c r="J3315" s="78" t="s">
        <v>69</v>
      </c>
      <c r="K3315" s="58">
        <f t="shared" si="3"/>
        <v>1</v>
      </c>
      <c r="L3315" s="91" t="str">
        <f t="shared" si="8"/>
        <v>Sun</v>
      </c>
      <c r="M3315" s="78" t="str">
        <f>IFERROR(VLOOKUP(A3315, Entries!A:B,2,false),"")</f>
        <v>Evil Tortilla Games</v>
      </c>
      <c r="N3315" s="23" t="str">
        <f>IFERROR(VLOOKUP(A3315, Entries!A:K,11,false),"")</f>
        <v/>
      </c>
      <c r="O3315" s="23" t="b">
        <f>IFERROR(VLOOKUP(A3315, Entries!A:I,8,false),"")</f>
        <v>1</v>
      </c>
    </row>
    <row r="3316">
      <c r="A3316" s="78" t="s">
        <v>3979</v>
      </c>
      <c r="B3316" s="78" t="s">
        <v>22</v>
      </c>
      <c r="C3316" s="85">
        <v>45045.0</v>
      </c>
      <c r="D3316" s="85">
        <v>45045.0</v>
      </c>
      <c r="E3316" s="86">
        <v>30.32</v>
      </c>
      <c r="F3316" s="87">
        <v>37.28</v>
      </c>
      <c r="G3316" s="88">
        <f t="shared" si="1"/>
        <v>6.96</v>
      </c>
      <c r="H3316" s="89">
        <f t="shared" si="10"/>
        <v>0.186695279</v>
      </c>
      <c r="I3316" s="78" t="s">
        <v>4004</v>
      </c>
      <c r="J3316" s="78" t="s">
        <v>69</v>
      </c>
      <c r="K3316" s="58">
        <f t="shared" si="3"/>
        <v>0</v>
      </c>
      <c r="L3316" s="91" t="str">
        <f t="shared" si="8"/>
        <v>Sat</v>
      </c>
      <c r="M3316" s="78" t="str">
        <f>IFERROR(VLOOKUP(A3316, Entries!A:B,2,false),"")</f>
        <v>Square Enix</v>
      </c>
      <c r="N3316" s="23" t="str">
        <f>IFERROR(VLOOKUP(A3316, Entries!A:K,11,false),"")</f>
        <v/>
      </c>
      <c r="O3316" s="23" t="b">
        <f>IFERROR(VLOOKUP(A3316, Entries!A:I,8,false),"")</f>
        <v>0</v>
      </c>
    </row>
    <row r="3317">
      <c r="A3317" s="78" t="s">
        <v>3979</v>
      </c>
      <c r="B3317" s="78" t="s">
        <v>22</v>
      </c>
      <c r="C3317" s="85">
        <v>45045.0</v>
      </c>
      <c r="D3317" s="85">
        <v>45046.0</v>
      </c>
      <c r="E3317" s="86">
        <v>30.32</v>
      </c>
      <c r="F3317" s="87">
        <v>37.25</v>
      </c>
      <c r="G3317" s="88">
        <f t="shared" si="1"/>
        <v>6.93</v>
      </c>
      <c r="H3317" s="89">
        <f t="shared" si="10"/>
        <v>0.1860402685</v>
      </c>
      <c r="I3317" s="78" t="s">
        <v>4005</v>
      </c>
      <c r="J3317" s="78" t="s">
        <v>69</v>
      </c>
      <c r="K3317" s="58">
        <f t="shared" si="3"/>
        <v>1</v>
      </c>
      <c r="L3317" s="91" t="str">
        <f t="shared" si="8"/>
        <v>Sun</v>
      </c>
      <c r="M3317" s="78" t="str">
        <f>IFERROR(VLOOKUP(A3317, Entries!A:B,2,false),"")</f>
        <v>Square Enix</v>
      </c>
      <c r="N3317" s="23" t="str">
        <f>IFERROR(VLOOKUP(A3317, Entries!A:K,11,false),"")</f>
        <v/>
      </c>
      <c r="O3317" s="23" t="b">
        <f>IFERROR(VLOOKUP(A3317, Entries!A:I,8,false),"")</f>
        <v>0</v>
      </c>
    </row>
    <row r="3318">
      <c r="A3318" s="78" t="s">
        <v>2437</v>
      </c>
      <c r="B3318" s="78" t="s">
        <v>23</v>
      </c>
      <c r="C3318" s="85">
        <v>45045.0</v>
      </c>
      <c r="D3318" s="85">
        <v>45046.0</v>
      </c>
      <c r="E3318" s="86">
        <v>8.54</v>
      </c>
      <c r="F3318" s="87">
        <v>11.83</v>
      </c>
      <c r="G3318" s="88">
        <f t="shared" si="1"/>
        <v>3.29</v>
      </c>
      <c r="H3318" s="89">
        <f t="shared" si="10"/>
        <v>0.2781065089</v>
      </c>
      <c r="I3318" s="78" t="s">
        <v>4006</v>
      </c>
      <c r="J3318" s="78" t="s">
        <v>69</v>
      </c>
      <c r="K3318" s="58">
        <f t="shared" si="3"/>
        <v>1</v>
      </c>
      <c r="L3318" s="91" t="str">
        <f t="shared" si="8"/>
        <v>Sun</v>
      </c>
      <c r="M3318" s="78" t="str">
        <f>IFERROR(VLOOKUP(A3318, Entries!A:B,2,false),"")</f>
        <v>Shiro Games</v>
      </c>
      <c r="N3318" s="23" t="str">
        <f>IFERROR(VLOOKUP(A3318, Entries!A:K,11,false),"")</f>
        <v/>
      </c>
      <c r="O3318" s="23" t="b">
        <f>IFERROR(VLOOKUP(A3318, Entries!A:I,8,false),"")</f>
        <v>1</v>
      </c>
    </row>
    <row r="3319">
      <c r="A3319" s="78" t="s">
        <v>3979</v>
      </c>
      <c r="B3319" s="78" t="s">
        <v>22</v>
      </c>
      <c r="C3319" s="85">
        <v>45046.0</v>
      </c>
      <c r="D3319" s="85">
        <v>45046.0</v>
      </c>
      <c r="E3319" s="86">
        <v>30.32</v>
      </c>
      <c r="F3319" s="87">
        <v>37.25</v>
      </c>
      <c r="G3319" s="88">
        <f t="shared" si="1"/>
        <v>6.93</v>
      </c>
      <c r="H3319" s="89">
        <f t="shared" si="10"/>
        <v>0.1860402685</v>
      </c>
      <c r="I3319" s="78" t="s">
        <v>4007</v>
      </c>
      <c r="J3319" s="78" t="s">
        <v>69</v>
      </c>
      <c r="K3319" s="58">
        <f t="shared" si="3"/>
        <v>0</v>
      </c>
      <c r="L3319" s="91" t="str">
        <f t="shared" si="8"/>
        <v>Sun</v>
      </c>
      <c r="M3319" s="78" t="str">
        <f>IFERROR(VLOOKUP(A3319, Entries!A:B,2,false),"")</f>
        <v>Square Enix</v>
      </c>
      <c r="N3319" s="23" t="str">
        <f>IFERROR(VLOOKUP(A3319, Entries!A:K,11,false),"")</f>
        <v/>
      </c>
      <c r="O3319" s="23" t="b">
        <f>IFERROR(VLOOKUP(A3319, Entries!A:I,8,false),"")</f>
        <v>0</v>
      </c>
    </row>
    <row r="3320">
      <c r="A3320" s="78" t="s">
        <v>2789</v>
      </c>
      <c r="B3320" s="78" t="s">
        <v>19</v>
      </c>
      <c r="C3320" s="85">
        <v>45046.0</v>
      </c>
      <c r="D3320" s="85">
        <v>45047.0</v>
      </c>
      <c r="E3320" s="86">
        <v>3.33</v>
      </c>
      <c r="F3320" s="87">
        <v>4.9</v>
      </c>
      <c r="G3320" s="88">
        <f t="shared" si="1"/>
        <v>1.57</v>
      </c>
      <c r="H3320" s="89">
        <f t="shared" si="10"/>
        <v>0.3204081633</v>
      </c>
      <c r="I3320" s="78" t="s">
        <v>4008</v>
      </c>
      <c r="J3320" s="78" t="s">
        <v>69</v>
      </c>
      <c r="K3320" s="58">
        <f t="shared" si="3"/>
        <v>1</v>
      </c>
      <c r="L3320" s="91" t="str">
        <f t="shared" si="8"/>
        <v>Mon</v>
      </c>
      <c r="M3320" s="78" t="str">
        <f>IFERROR(VLOOKUP(A3320, Entries!A:B,2,false),"")</f>
        <v>Evil Tortilla Games</v>
      </c>
      <c r="N3320" s="23" t="str">
        <f>IFERROR(VLOOKUP(A3320, Entries!A:K,11,false),"")</f>
        <v/>
      </c>
      <c r="O3320" s="23" t="b">
        <f>IFERROR(VLOOKUP(A3320, Entries!A:I,8,false),"")</f>
        <v>1</v>
      </c>
    </row>
    <row r="3321">
      <c r="A3321" s="78" t="s">
        <v>2437</v>
      </c>
      <c r="B3321" s="78" t="s">
        <v>23</v>
      </c>
      <c r="C3321" s="85">
        <v>45046.0</v>
      </c>
      <c r="D3321" s="85">
        <v>45046.0</v>
      </c>
      <c r="E3321" s="86">
        <v>8.54</v>
      </c>
      <c r="F3321" s="87">
        <v>11.83</v>
      </c>
      <c r="G3321" s="88">
        <f t="shared" si="1"/>
        <v>3.29</v>
      </c>
      <c r="H3321" s="89">
        <f t="shared" si="10"/>
        <v>0.2781065089</v>
      </c>
      <c r="I3321" s="78" t="s">
        <v>4009</v>
      </c>
      <c r="J3321" s="78" t="s">
        <v>69</v>
      </c>
      <c r="K3321" s="58">
        <f t="shared" si="3"/>
        <v>0</v>
      </c>
      <c r="L3321" s="91" t="str">
        <f t="shared" si="8"/>
        <v>Sun</v>
      </c>
      <c r="M3321" s="78" t="str">
        <f>IFERROR(VLOOKUP(A3321, Entries!A:B,2,false),"")</f>
        <v>Shiro Games</v>
      </c>
      <c r="N3321" s="23" t="str">
        <f>IFERROR(VLOOKUP(A3321, Entries!A:K,11,false),"")</f>
        <v/>
      </c>
      <c r="O3321" s="23" t="b">
        <f>IFERROR(VLOOKUP(A3321, Entries!A:I,8,false),"")</f>
        <v>1</v>
      </c>
    </row>
    <row r="3322">
      <c r="A3322" s="78" t="s">
        <v>4010</v>
      </c>
      <c r="B3322" s="78" t="s">
        <v>23</v>
      </c>
      <c r="C3322" s="85">
        <v>45046.0</v>
      </c>
      <c r="D3322" s="85">
        <v>45051.0</v>
      </c>
      <c r="E3322" s="86">
        <v>16.63</v>
      </c>
      <c r="F3322" s="87">
        <v>31.93</v>
      </c>
      <c r="G3322" s="88">
        <f t="shared" si="1"/>
        <v>15.3</v>
      </c>
      <c r="H3322" s="89">
        <f t="shared" si="10"/>
        <v>0.4791731914</v>
      </c>
      <c r="I3322" s="78" t="s">
        <v>4011</v>
      </c>
      <c r="J3322" s="78" t="s">
        <v>69</v>
      </c>
      <c r="K3322" s="58">
        <f t="shared" si="3"/>
        <v>5</v>
      </c>
      <c r="L3322" s="91" t="str">
        <f t="shared" si="8"/>
        <v>Fri</v>
      </c>
      <c r="M3322" s="78" t="str">
        <f>IFERROR(VLOOKUP(A3322, Entries!A:B,2,false),"")</f>
        <v>Eugen Systems</v>
      </c>
      <c r="N3322" s="23" t="str">
        <f>IFERROR(VLOOKUP(A3322, Entries!A:K,11,false),"")</f>
        <v/>
      </c>
      <c r="O3322" s="23" t="b">
        <f>IFERROR(VLOOKUP(A3322, Entries!A:I,8,false),"")</f>
        <v>0</v>
      </c>
    </row>
    <row r="3323">
      <c r="A3323" s="78" t="s">
        <v>4012</v>
      </c>
      <c r="B3323" s="78" t="s">
        <v>23</v>
      </c>
      <c r="C3323" s="85">
        <v>45046.0</v>
      </c>
      <c r="D3323" s="85">
        <v>45046.0</v>
      </c>
      <c r="E3323" s="86">
        <v>14.25</v>
      </c>
      <c r="F3323" s="87">
        <v>26.55</v>
      </c>
      <c r="G3323" s="88">
        <f t="shared" si="1"/>
        <v>12.3</v>
      </c>
      <c r="H3323" s="89">
        <f t="shared" si="10"/>
        <v>0.4632768362</v>
      </c>
      <c r="I3323" s="78" t="s">
        <v>4013</v>
      </c>
      <c r="J3323" s="78" t="s">
        <v>69</v>
      </c>
      <c r="K3323" s="58">
        <f t="shared" si="3"/>
        <v>0</v>
      </c>
      <c r="L3323" s="91" t="str">
        <f t="shared" si="8"/>
        <v>Sun</v>
      </c>
      <c r="M3323" s="78" t="str">
        <f>IFERROR(VLOOKUP(A3323, Entries!A:B,2,false),"")</f>
        <v>Eugen Systems</v>
      </c>
      <c r="N3323" s="23" t="str">
        <f>IFERROR(VLOOKUP(A3323, Entries!A:K,11,false),"")</f>
        <v/>
      </c>
      <c r="O3323" s="23" t="b">
        <f>IFERROR(VLOOKUP(A3323, Entries!A:I,8,false),"")</f>
        <v>0</v>
      </c>
    </row>
    <row r="3324">
      <c r="A3324" s="78" t="s">
        <v>4014</v>
      </c>
      <c r="B3324" s="78" t="s">
        <v>23</v>
      </c>
      <c r="C3324" s="85">
        <v>45046.0</v>
      </c>
      <c r="D3324" s="85">
        <v>45046.0</v>
      </c>
      <c r="E3324" s="86">
        <v>18.05</v>
      </c>
      <c r="F3324" s="87">
        <v>20.85</v>
      </c>
      <c r="G3324" s="88">
        <f t="shared" si="1"/>
        <v>2.8</v>
      </c>
      <c r="H3324" s="89">
        <f t="shared" si="10"/>
        <v>0.1342925659</v>
      </c>
      <c r="I3324" s="78" t="s">
        <v>4015</v>
      </c>
      <c r="J3324" s="78" t="s">
        <v>69</v>
      </c>
      <c r="K3324" s="58">
        <f t="shared" si="3"/>
        <v>0</v>
      </c>
      <c r="L3324" s="91" t="str">
        <f t="shared" si="8"/>
        <v>Sun</v>
      </c>
      <c r="M3324" s="78" t="str">
        <f>IFERROR(VLOOKUP(A3324, Entries!A:B,2,false),"")</f>
        <v>Xbox Game Studios</v>
      </c>
      <c r="N3324" s="23" t="str">
        <f>IFERROR(VLOOKUP(A3324, Entries!A:K,11,false),"")</f>
        <v/>
      </c>
      <c r="O3324" s="23" t="b">
        <f>IFERROR(VLOOKUP(A3324, Entries!A:I,8,false),"")</f>
        <v>0</v>
      </c>
    </row>
    <row r="3325">
      <c r="A3325" s="78" t="s">
        <v>2240</v>
      </c>
      <c r="B3325" s="78" t="s">
        <v>27</v>
      </c>
      <c r="C3325" s="85">
        <v>45046.0</v>
      </c>
      <c r="D3325" s="85">
        <v>45047.0</v>
      </c>
      <c r="E3325" s="86">
        <v>5.39</v>
      </c>
      <c r="F3325" s="87">
        <v>8.69</v>
      </c>
      <c r="G3325" s="88">
        <f t="shared" si="1"/>
        <v>3.3</v>
      </c>
      <c r="H3325" s="89">
        <f t="shared" si="10"/>
        <v>0.3797468354</v>
      </c>
      <c r="I3325" s="78" t="s">
        <v>4016</v>
      </c>
      <c r="J3325" s="78" t="s">
        <v>69</v>
      </c>
      <c r="K3325" s="58">
        <f t="shared" si="3"/>
        <v>1</v>
      </c>
      <c r="L3325" s="91" t="str">
        <f t="shared" si="8"/>
        <v>Mon</v>
      </c>
      <c r="M3325" s="78" t="str">
        <f>IFERROR(VLOOKUP(A3325, Entries!A:B,2,false),"")</f>
        <v>Daedalic Entertainment</v>
      </c>
      <c r="N3325" s="23" t="str">
        <f>IFERROR(VLOOKUP(A3325, Entries!A:K,11,false),"")</f>
        <v/>
      </c>
      <c r="O3325" s="23" t="b">
        <f>IFERROR(VLOOKUP(A3325, Entries!A:I,8,false),"")</f>
        <v>0</v>
      </c>
    </row>
    <row r="3326">
      <c r="A3326" s="78" t="s">
        <v>2437</v>
      </c>
      <c r="B3326" s="78" t="s">
        <v>23</v>
      </c>
      <c r="C3326" s="85">
        <v>45046.0</v>
      </c>
      <c r="D3326" s="85">
        <v>45046.0</v>
      </c>
      <c r="E3326" s="86">
        <v>8.54</v>
      </c>
      <c r="F3326" s="87">
        <v>11.83</v>
      </c>
      <c r="G3326" s="88">
        <f t="shared" si="1"/>
        <v>3.29</v>
      </c>
      <c r="H3326" s="89">
        <f t="shared" si="10"/>
        <v>0.2781065089</v>
      </c>
      <c r="I3326" s="78" t="s">
        <v>4017</v>
      </c>
      <c r="J3326" s="78" t="s">
        <v>69</v>
      </c>
      <c r="K3326" s="58">
        <f t="shared" si="3"/>
        <v>0</v>
      </c>
      <c r="L3326" s="91" t="str">
        <f t="shared" si="8"/>
        <v>Sun</v>
      </c>
      <c r="M3326" s="78" t="str">
        <f>IFERROR(VLOOKUP(A3326, Entries!A:B,2,false),"")</f>
        <v>Shiro Games</v>
      </c>
      <c r="N3326" s="23" t="str">
        <f>IFERROR(VLOOKUP(A3326, Entries!A:K,11,false),"")</f>
        <v/>
      </c>
      <c r="O3326" s="23" t="b">
        <f>IFERROR(VLOOKUP(A3326, Entries!A:I,8,false),"")</f>
        <v>1</v>
      </c>
    </row>
    <row r="3327">
      <c r="A3327" s="78" t="s">
        <v>3979</v>
      </c>
      <c r="B3327" s="78" t="s">
        <v>22</v>
      </c>
      <c r="C3327" s="85">
        <v>45046.0</v>
      </c>
      <c r="D3327" s="85">
        <v>45046.0</v>
      </c>
      <c r="E3327" s="86">
        <v>30.32</v>
      </c>
      <c r="F3327" s="87">
        <v>37.33</v>
      </c>
      <c r="G3327" s="88">
        <f t="shared" si="1"/>
        <v>7.01</v>
      </c>
      <c r="H3327" s="89">
        <f t="shared" si="10"/>
        <v>0.1877846236</v>
      </c>
      <c r="I3327" s="78" t="s">
        <v>4018</v>
      </c>
      <c r="J3327" s="78" t="s">
        <v>69</v>
      </c>
      <c r="K3327" s="58">
        <f t="shared" si="3"/>
        <v>0</v>
      </c>
      <c r="L3327" s="91" t="str">
        <f t="shared" si="8"/>
        <v>Sun</v>
      </c>
      <c r="M3327" s="78" t="str">
        <f>IFERROR(VLOOKUP(A3327, Entries!A:B,2,false),"")</f>
        <v>Square Enix</v>
      </c>
      <c r="N3327" s="23" t="str">
        <f>IFERROR(VLOOKUP(A3327, Entries!A:K,11,false),"")</f>
        <v/>
      </c>
      <c r="O3327" s="23" t="b">
        <f>IFERROR(VLOOKUP(A3327, Entries!A:I,8,false),"")</f>
        <v>0</v>
      </c>
    </row>
    <row r="3328">
      <c r="A3328" s="78" t="s">
        <v>3979</v>
      </c>
      <c r="B3328" s="78" t="s">
        <v>22</v>
      </c>
      <c r="C3328" s="85">
        <v>45046.0</v>
      </c>
      <c r="D3328" s="85">
        <v>45047.0</v>
      </c>
      <c r="E3328" s="86">
        <v>30.32</v>
      </c>
      <c r="F3328" s="87">
        <v>36.15</v>
      </c>
      <c r="G3328" s="88">
        <f t="shared" si="1"/>
        <v>5.83</v>
      </c>
      <c r="H3328" s="89">
        <f t="shared" si="10"/>
        <v>0.1612724758</v>
      </c>
      <c r="I3328" s="78" t="s">
        <v>4019</v>
      </c>
      <c r="J3328" s="78" t="s">
        <v>69</v>
      </c>
      <c r="K3328" s="58">
        <f t="shared" si="3"/>
        <v>1</v>
      </c>
      <c r="L3328" s="91" t="str">
        <f t="shared" si="8"/>
        <v>Mon</v>
      </c>
      <c r="M3328" s="78" t="str">
        <f>IFERROR(VLOOKUP(A3328, Entries!A:B,2,false),"")</f>
        <v>Square Enix</v>
      </c>
      <c r="N3328" s="23" t="str">
        <f>IFERROR(VLOOKUP(A3328, Entries!A:K,11,false),"")</f>
        <v/>
      </c>
      <c r="O3328" s="23" t="b">
        <f>IFERROR(VLOOKUP(A3328, Entries!A:I,8,false),"")</f>
        <v>0</v>
      </c>
    </row>
    <row r="3329">
      <c r="A3329" s="78" t="s">
        <v>4014</v>
      </c>
      <c r="B3329" s="78" t="s">
        <v>23</v>
      </c>
      <c r="C3329" s="85">
        <v>45046.0</v>
      </c>
      <c r="D3329" s="85">
        <v>45047.0</v>
      </c>
      <c r="E3329" s="86">
        <v>18.05</v>
      </c>
      <c r="F3329" s="87">
        <v>20.85</v>
      </c>
      <c r="G3329" s="88">
        <f t="shared" si="1"/>
        <v>2.8</v>
      </c>
      <c r="H3329" s="89">
        <f t="shared" si="10"/>
        <v>0.1342925659</v>
      </c>
      <c r="I3329" s="78" t="s">
        <v>4020</v>
      </c>
      <c r="J3329" s="78" t="s">
        <v>69</v>
      </c>
      <c r="K3329" s="58">
        <f t="shared" si="3"/>
        <v>1</v>
      </c>
      <c r="L3329" s="91" t="str">
        <f t="shared" si="8"/>
        <v>Mon</v>
      </c>
      <c r="M3329" s="78" t="str">
        <f>IFERROR(VLOOKUP(A3329, Entries!A:B,2,false),"")</f>
        <v>Xbox Game Studios</v>
      </c>
      <c r="N3329" s="23" t="str">
        <f>IFERROR(VLOOKUP(A3329, Entries!A:K,11,false),"")</f>
        <v/>
      </c>
      <c r="O3329" s="23" t="b">
        <f>IFERROR(VLOOKUP(A3329, Entries!A:I,8,false),"")</f>
        <v>0</v>
      </c>
    </row>
    <row r="3330">
      <c r="A3330" s="78" t="s">
        <v>2437</v>
      </c>
      <c r="B3330" s="78" t="s">
        <v>23</v>
      </c>
      <c r="C3330" s="85">
        <v>45046.0</v>
      </c>
      <c r="D3330" s="85">
        <v>45046.0</v>
      </c>
      <c r="E3330" s="86">
        <v>8.54</v>
      </c>
      <c r="F3330" s="87">
        <v>11.83</v>
      </c>
      <c r="G3330" s="88">
        <f t="shared" si="1"/>
        <v>3.29</v>
      </c>
      <c r="H3330" s="89">
        <f t="shared" si="10"/>
        <v>0.2781065089</v>
      </c>
      <c r="I3330" s="78" t="s">
        <v>4021</v>
      </c>
      <c r="J3330" s="78" t="s">
        <v>69</v>
      </c>
      <c r="K3330" s="58">
        <f t="shared" si="3"/>
        <v>0</v>
      </c>
      <c r="L3330" s="91" t="str">
        <f t="shared" si="8"/>
        <v>Sun</v>
      </c>
      <c r="M3330" s="78" t="str">
        <f>IFERROR(VLOOKUP(A3330, Entries!A:B,2,false),"")</f>
        <v>Shiro Games</v>
      </c>
      <c r="N3330" s="23" t="str">
        <f>IFERROR(VLOOKUP(A3330, Entries!A:K,11,false),"")</f>
        <v/>
      </c>
      <c r="O3330" s="23" t="b">
        <f>IFERROR(VLOOKUP(A3330, Entries!A:I,8,false),"")</f>
        <v>1</v>
      </c>
    </row>
    <row r="3331">
      <c r="A3331" s="78" t="s">
        <v>4012</v>
      </c>
      <c r="B3331" s="78" t="s">
        <v>23</v>
      </c>
      <c r="C3331" s="85">
        <v>45046.0</v>
      </c>
      <c r="D3331" s="85">
        <v>45095.0</v>
      </c>
      <c r="E3331" s="86">
        <v>11.88</v>
      </c>
      <c r="F3331" s="87">
        <v>19.51</v>
      </c>
      <c r="G3331" s="88">
        <f t="shared" si="1"/>
        <v>7.63</v>
      </c>
      <c r="H3331" s="89">
        <f t="shared" si="10"/>
        <v>0.3910814967</v>
      </c>
      <c r="I3331" s="78" t="s">
        <v>4022</v>
      </c>
      <c r="J3331" s="78" t="s">
        <v>69</v>
      </c>
      <c r="K3331" s="58">
        <f t="shared" si="3"/>
        <v>49</v>
      </c>
      <c r="L3331" s="91" t="str">
        <f t="shared" si="8"/>
        <v>Sun</v>
      </c>
      <c r="M3331" s="78" t="str">
        <f>IFERROR(VLOOKUP(A3331, Entries!A:B,2,false),"")</f>
        <v>Eugen Systems</v>
      </c>
      <c r="N3331" s="23" t="str">
        <f>IFERROR(VLOOKUP(A3331, Entries!A:K,11,false),"")</f>
        <v/>
      </c>
      <c r="O3331" s="23" t="b">
        <f>IFERROR(VLOOKUP(A3331, Entries!A:I,8,false),"")</f>
        <v>0</v>
      </c>
    </row>
    <row r="3332">
      <c r="A3332" s="78" t="s">
        <v>2437</v>
      </c>
      <c r="B3332" s="78" t="s">
        <v>23</v>
      </c>
      <c r="C3332" s="85">
        <v>45046.0</v>
      </c>
      <c r="D3332" s="85">
        <v>45046.0</v>
      </c>
      <c r="E3332" s="86">
        <v>8.54</v>
      </c>
      <c r="F3332" s="87">
        <v>11.81</v>
      </c>
      <c r="G3332" s="88">
        <f t="shared" si="1"/>
        <v>3.27</v>
      </c>
      <c r="H3332" s="89">
        <f t="shared" si="10"/>
        <v>0.2768839966</v>
      </c>
      <c r="I3332" s="78" t="s">
        <v>4023</v>
      </c>
      <c r="J3332" s="78" t="s">
        <v>69</v>
      </c>
      <c r="K3332" s="58">
        <f t="shared" si="3"/>
        <v>0</v>
      </c>
      <c r="L3332" s="91" t="str">
        <f t="shared" si="8"/>
        <v>Sun</v>
      </c>
      <c r="M3332" s="78" t="str">
        <f>IFERROR(VLOOKUP(A3332, Entries!A:B,2,false),"")</f>
        <v>Shiro Games</v>
      </c>
      <c r="N3332" s="23" t="str">
        <f>IFERROR(VLOOKUP(A3332, Entries!A:K,11,false),"")</f>
        <v/>
      </c>
      <c r="O3332" s="23" t="b">
        <f>IFERROR(VLOOKUP(A3332, Entries!A:I,8,false),"")</f>
        <v>1</v>
      </c>
    </row>
    <row r="3333">
      <c r="A3333" s="78" t="s">
        <v>2437</v>
      </c>
      <c r="B3333" s="78" t="s">
        <v>23</v>
      </c>
      <c r="C3333" s="85">
        <v>45046.0</v>
      </c>
      <c r="D3333" s="85">
        <v>45047.0</v>
      </c>
      <c r="E3333" s="86">
        <v>8.54</v>
      </c>
      <c r="F3333" s="87">
        <v>11.5</v>
      </c>
      <c r="G3333" s="88">
        <f t="shared" si="1"/>
        <v>2.96</v>
      </c>
      <c r="H3333" s="89">
        <f t="shared" si="10"/>
        <v>0.2573913043</v>
      </c>
      <c r="I3333" s="78" t="s">
        <v>4024</v>
      </c>
      <c r="J3333" s="78" t="s">
        <v>69</v>
      </c>
      <c r="K3333" s="58">
        <f t="shared" si="3"/>
        <v>1</v>
      </c>
      <c r="L3333" s="91" t="str">
        <f t="shared" si="8"/>
        <v>Mon</v>
      </c>
      <c r="M3333" s="78" t="str">
        <f>IFERROR(VLOOKUP(A3333, Entries!A:B,2,false),"")</f>
        <v>Shiro Games</v>
      </c>
      <c r="N3333" s="23" t="str">
        <f>IFERROR(VLOOKUP(A3333, Entries!A:K,11,false),"")</f>
        <v/>
      </c>
      <c r="O3333" s="23" t="b">
        <f>IFERROR(VLOOKUP(A3333, Entries!A:I,8,false),"")</f>
        <v>1</v>
      </c>
    </row>
    <row r="3334">
      <c r="A3334" s="78" t="s">
        <v>2240</v>
      </c>
      <c r="B3334" s="78" t="s">
        <v>27</v>
      </c>
      <c r="C3334" s="85">
        <v>45047.0</v>
      </c>
      <c r="D3334" s="85">
        <v>45049.0</v>
      </c>
      <c r="E3334" s="86">
        <v>5.39</v>
      </c>
      <c r="F3334" s="87">
        <v>8.41</v>
      </c>
      <c r="G3334" s="88">
        <f t="shared" si="1"/>
        <v>3.02</v>
      </c>
      <c r="H3334" s="89">
        <f t="shared" si="10"/>
        <v>0.3590963139</v>
      </c>
      <c r="I3334" s="78" t="s">
        <v>4025</v>
      </c>
      <c r="J3334" s="78" t="s">
        <v>69</v>
      </c>
      <c r="K3334" s="58">
        <f t="shared" si="3"/>
        <v>2</v>
      </c>
      <c r="L3334" s="91" t="str">
        <f t="shared" si="8"/>
        <v>Wed</v>
      </c>
      <c r="M3334" s="78" t="str">
        <f>IFERROR(VLOOKUP(A3334, Entries!A:B,2,false),"")</f>
        <v>Daedalic Entertainment</v>
      </c>
      <c r="N3334" s="23" t="str">
        <f>IFERROR(VLOOKUP(A3334, Entries!A:K,11,false),"")</f>
        <v/>
      </c>
      <c r="O3334" s="23" t="b">
        <f>IFERROR(VLOOKUP(A3334, Entries!A:I,8,false),"")</f>
        <v>0</v>
      </c>
    </row>
    <row r="3335">
      <c r="A3335" s="78" t="s">
        <v>1336</v>
      </c>
      <c r="B3335" s="78" t="s">
        <v>27</v>
      </c>
      <c r="C3335" s="85">
        <v>45047.0</v>
      </c>
      <c r="D3335" s="85">
        <v>45047.0</v>
      </c>
      <c r="E3335" s="86">
        <v>7.89</v>
      </c>
      <c r="F3335" s="87">
        <v>9.5</v>
      </c>
      <c r="G3335" s="88">
        <f t="shared" si="1"/>
        <v>1.61</v>
      </c>
      <c r="H3335" s="89">
        <f t="shared" si="10"/>
        <v>0.1694736842</v>
      </c>
      <c r="I3335" s="78" t="s">
        <v>4026</v>
      </c>
      <c r="J3335" s="78" t="s">
        <v>69</v>
      </c>
      <c r="K3335" s="58">
        <f t="shared" si="3"/>
        <v>0</v>
      </c>
      <c r="L3335" s="91" t="str">
        <f t="shared" si="8"/>
        <v>Mon</v>
      </c>
      <c r="M3335" s="78" t="str">
        <f>IFERROR(VLOOKUP(A3335, Entries!A:B,2,false),"")</f>
        <v>Team17 Digital</v>
      </c>
      <c r="N3335" s="23" t="str">
        <f>IFERROR(VLOOKUP(A3335, Entries!A:K,11,false),"")</f>
        <v/>
      </c>
      <c r="O3335" s="23" t="b">
        <f>IFERROR(VLOOKUP(A3335, Entries!A:I,8,false),"")</f>
        <v>0</v>
      </c>
    </row>
    <row r="3336">
      <c r="A3336" s="78" t="s">
        <v>3366</v>
      </c>
      <c r="B3336" s="78" t="s">
        <v>25</v>
      </c>
      <c r="C3336" s="85">
        <v>45047.0</v>
      </c>
      <c r="D3336" s="85">
        <v>45055.0</v>
      </c>
      <c r="E3336" s="86">
        <v>7.04</v>
      </c>
      <c r="F3336" s="87">
        <v>8.9</v>
      </c>
      <c r="G3336" s="88">
        <f t="shared" si="1"/>
        <v>1.86</v>
      </c>
      <c r="H3336" s="89">
        <f t="shared" si="10"/>
        <v>0.208988764</v>
      </c>
      <c r="I3336" s="78" t="s">
        <v>4027</v>
      </c>
      <c r="J3336" s="78" t="s">
        <v>69</v>
      </c>
      <c r="K3336" s="58">
        <f t="shared" si="3"/>
        <v>8</v>
      </c>
      <c r="L3336" s="91" t="str">
        <f t="shared" si="8"/>
        <v>Tue</v>
      </c>
      <c r="M3336" s="78" t="str">
        <f>IFERROR(VLOOKUP(A3336, Entries!A:B,2,false),"")</f>
        <v>Sector D2</v>
      </c>
      <c r="N3336" s="23" t="str">
        <f>IFERROR(VLOOKUP(A3336, Entries!A:K,11,false),"")</f>
        <v/>
      </c>
      <c r="O3336" s="23" t="b">
        <f>IFERROR(VLOOKUP(A3336, Entries!A:I,8,false),"")</f>
        <v>0</v>
      </c>
    </row>
    <row r="3337">
      <c r="A3337" s="78" t="s">
        <v>4014</v>
      </c>
      <c r="B3337" s="78" t="s">
        <v>23</v>
      </c>
      <c r="C3337" s="85">
        <v>45047.0</v>
      </c>
      <c r="D3337" s="85">
        <v>45047.0</v>
      </c>
      <c r="E3337" s="86">
        <v>18.05</v>
      </c>
      <c r="F3337" s="87">
        <v>20.85</v>
      </c>
      <c r="G3337" s="88">
        <f t="shared" si="1"/>
        <v>2.8</v>
      </c>
      <c r="H3337" s="89">
        <f t="shared" si="10"/>
        <v>0.1342925659</v>
      </c>
      <c r="I3337" s="78" t="s">
        <v>4028</v>
      </c>
      <c r="J3337" s="78" t="s">
        <v>69</v>
      </c>
      <c r="K3337" s="58">
        <f t="shared" si="3"/>
        <v>0</v>
      </c>
      <c r="L3337" s="91" t="str">
        <f t="shared" si="8"/>
        <v>Mon</v>
      </c>
      <c r="M3337" s="78" t="str">
        <f>IFERROR(VLOOKUP(A3337, Entries!A:B,2,false),"")</f>
        <v>Xbox Game Studios</v>
      </c>
      <c r="N3337" s="23" t="str">
        <f>IFERROR(VLOOKUP(A3337, Entries!A:K,11,false),"")</f>
        <v/>
      </c>
      <c r="O3337" s="23" t="b">
        <f>IFERROR(VLOOKUP(A3337, Entries!A:I,8,false),"")</f>
        <v>0</v>
      </c>
    </row>
    <row r="3338">
      <c r="A3338" s="78" t="s">
        <v>3979</v>
      </c>
      <c r="B3338" s="78" t="s">
        <v>22</v>
      </c>
      <c r="C3338" s="85">
        <v>45047.0</v>
      </c>
      <c r="D3338" s="85">
        <v>45047.0</v>
      </c>
      <c r="E3338" s="86">
        <v>30.32</v>
      </c>
      <c r="F3338" s="87">
        <v>36.15</v>
      </c>
      <c r="G3338" s="88">
        <f t="shared" si="1"/>
        <v>5.83</v>
      </c>
      <c r="H3338" s="89">
        <f t="shared" si="10"/>
        <v>0.1612724758</v>
      </c>
      <c r="I3338" s="78" t="s">
        <v>4029</v>
      </c>
      <c r="J3338" s="78" t="s">
        <v>69</v>
      </c>
      <c r="K3338" s="58">
        <f t="shared" si="3"/>
        <v>0</v>
      </c>
      <c r="L3338" s="91" t="str">
        <f t="shared" si="8"/>
        <v>Mon</v>
      </c>
      <c r="M3338" s="78" t="str">
        <f>IFERROR(VLOOKUP(A3338, Entries!A:B,2,false),"")</f>
        <v>Square Enix</v>
      </c>
      <c r="N3338" s="23" t="str">
        <f>IFERROR(VLOOKUP(A3338, Entries!A:K,11,false),"")</f>
        <v/>
      </c>
      <c r="O3338" s="23" t="b">
        <f>IFERROR(VLOOKUP(A3338, Entries!A:I,8,false),"")</f>
        <v>0</v>
      </c>
    </row>
    <row r="3339">
      <c r="A3339" s="78" t="s">
        <v>1336</v>
      </c>
      <c r="B3339" s="78" t="s">
        <v>27</v>
      </c>
      <c r="C3339" s="85">
        <v>45047.0</v>
      </c>
      <c r="D3339" s="85">
        <v>45047.0</v>
      </c>
      <c r="E3339" s="86">
        <v>7.89</v>
      </c>
      <c r="F3339" s="87">
        <v>9.5</v>
      </c>
      <c r="G3339" s="88">
        <f t="shared" si="1"/>
        <v>1.61</v>
      </c>
      <c r="H3339" s="89">
        <f t="shared" si="10"/>
        <v>0.1694736842</v>
      </c>
      <c r="I3339" s="78" t="s">
        <v>4030</v>
      </c>
      <c r="J3339" s="78" t="s">
        <v>69</v>
      </c>
      <c r="K3339" s="58">
        <f t="shared" si="3"/>
        <v>0</v>
      </c>
      <c r="L3339" s="91" t="str">
        <f t="shared" si="8"/>
        <v>Mon</v>
      </c>
      <c r="M3339" s="78" t="str">
        <f>IFERROR(VLOOKUP(A3339, Entries!A:B,2,false),"")</f>
        <v>Team17 Digital</v>
      </c>
      <c r="N3339" s="23" t="str">
        <f>IFERROR(VLOOKUP(A3339, Entries!A:K,11,false),"")</f>
        <v/>
      </c>
      <c r="O3339" s="23" t="b">
        <f>IFERROR(VLOOKUP(A3339, Entries!A:I,8,false),"")</f>
        <v>0</v>
      </c>
    </row>
    <row r="3340">
      <c r="A3340" s="78" t="s">
        <v>3979</v>
      </c>
      <c r="B3340" s="78" t="s">
        <v>22</v>
      </c>
      <c r="C3340" s="85">
        <v>45047.0</v>
      </c>
      <c r="D3340" s="85">
        <v>45047.0</v>
      </c>
      <c r="E3340" s="86">
        <v>30.32</v>
      </c>
      <c r="F3340" s="87">
        <v>36.16</v>
      </c>
      <c r="G3340" s="88">
        <f t="shared" si="1"/>
        <v>5.84</v>
      </c>
      <c r="H3340" s="89">
        <f t="shared" si="10"/>
        <v>0.1615044248</v>
      </c>
      <c r="I3340" s="78" t="s">
        <v>4031</v>
      </c>
      <c r="J3340" s="78" t="s">
        <v>69</v>
      </c>
      <c r="K3340" s="58">
        <f t="shared" si="3"/>
        <v>0</v>
      </c>
      <c r="L3340" s="91" t="str">
        <f t="shared" si="8"/>
        <v>Mon</v>
      </c>
      <c r="M3340" s="78" t="str">
        <f>IFERROR(VLOOKUP(A3340, Entries!A:B,2,false),"")</f>
        <v>Square Enix</v>
      </c>
      <c r="N3340" s="23" t="str">
        <f>IFERROR(VLOOKUP(A3340, Entries!A:K,11,false),"")</f>
        <v/>
      </c>
      <c r="O3340" s="23" t="b">
        <f>IFERROR(VLOOKUP(A3340, Entries!A:I,8,false),"")</f>
        <v>0</v>
      </c>
    </row>
    <row r="3341">
      <c r="A3341" s="78" t="s">
        <v>3979</v>
      </c>
      <c r="B3341" s="78" t="s">
        <v>22</v>
      </c>
      <c r="C3341" s="85">
        <v>45047.0</v>
      </c>
      <c r="D3341" s="85">
        <v>45047.0</v>
      </c>
      <c r="E3341" s="86">
        <v>30.32</v>
      </c>
      <c r="F3341" s="87">
        <v>35.47</v>
      </c>
      <c r="G3341" s="88">
        <f t="shared" si="1"/>
        <v>5.15</v>
      </c>
      <c r="H3341" s="89">
        <f t="shared" si="10"/>
        <v>0.1451931209</v>
      </c>
      <c r="I3341" s="78" t="s">
        <v>4032</v>
      </c>
      <c r="J3341" s="78" t="s">
        <v>69</v>
      </c>
      <c r="K3341" s="58">
        <f t="shared" si="3"/>
        <v>0</v>
      </c>
      <c r="L3341" s="91" t="str">
        <f t="shared" si="8"/>
        <v>Mon</v>
      </c>
      <c r="M3341" s="78" t="str">
        <f>IFERROR(VLOOKUP(A3341, Entries!A:B,2,false),"")</f>
        <v>Square Enix</v>
      </c>
      <c r="N3341" s="23" t="str">
        <f>IFERROR(VLOOKUP(A3341, Entries!A:K,11,false),"")</f>
        <v/>
      </c>
      <c r="O3341" s="23" t="b">
        <f>IFERROR(VLOOKUP(A3341, Entries!A:I,8,false),"")</f>
        <v>0</v>
      </c>
    </row>
    <row r="3342">
      <c r="A3342" s="78" t="s">
        <v>3979</v>
      </c>
      <c r="B3342" s="78" t="s">
        <v>22</v>
      </c>
      <c r="C3342" s="85">
        <v>45047.0</v>
      </c>
      <c r="D3342" s="85">
        <v>45048.0</v>
      </c>
      <c r="E3342" s="86">
        <v>30.32</v>
      </c>
      <c r="F3342" s="87">
        <v>36.6</v>
      </c>
      <c r="G3342" s="88">
        <f t="shared" si="1"/>
        <v>6.28</v>
      </c>
      <c r="H3342" s="89">
        <f t="shared" si="10"/>
        <v>0.1715846995</v>
      </c>
      <c r="I3342" s="78" t="s">
        <v>4033</v>
      </c>
      <c r="J3342" s="78" t="s">
        <v>69</v>
      </c>
      <c r="K3342" s="58">
        <f t="shared" si="3"/>
        <v>1</v>
      </c>
      <c r="L3342" s="91" t="str">
        <f t="shared" si="8"/>
        <v>Tue</v>
      </c>
      <c r="M3342" s="78" t="str">
        <f>IFERROR(VLOOKUP(A3342, Entries!A:B,2,false),"")</f>
        <v>Square Enix</v>
      </c>
      <c r="N3342" s="23" t="str">
        <f>IFERROR(VLOOKUP(A3342, Entries!A:K,11,false),"")</f>
        <v/>
      </c>
      <c r="O3342" s="23" t="b">
        <f>IFERROR(VLOOKUP(A3342, Entries!A:I,8,false),"")</f>
        <v>0</v>
      </c>
    </row>
    <row r="3343">
      <c r="A3343" s="78" t="s">
        <v>1336</v>
      </c>
      <c r="B3343" s="78" t="s">
        <v>27</v>
      </c>
      <c r="C3343" s="85">
        <v>45047.0</v>
      </c>
      <c r="D3343" s="85">
        <v>45047.0</v>
      </c>
      <c r="E3343" s="86">
        <v>7.89</v>
      </c>
      <c r="F3343" s="87">
        <v>9.5</v>
      </c>
      <c r="G3343" s="88">
        <f t="shared" si="1"/>
        <v>1.61</v>
      </c>
      <c r="H3343" s="89">
        <f t="shared" si="10"/>
        <v>0.1694736842</v>
      </c>
      <c r="I3343" s="78" t="s">
        <v>4034</v>
      </c>
      <c r="J3343" s="78" t="s">
        <v>69</v>
      </c>
      <c r="K3343" s="58">
        <f t="shared" si="3"/>
        <v>0</v>
      </c>
      <c r="L3343" s="91" t="str">
        <f t="shared" si="8"/>
        <v>Mon</v>
      </c>
      <c r="M3343" s="78" t="str">
        <f>IFERROR(VLOOKUP(A3343, Entries!A:B,2,false),"")</f>
        <v>Team17 Digital</v>
      </c>
      <c r="N3343" s="23" t="str">
        <f>IFERROR(VLOOKUP(A3343, Entries!A:K,11,false),"")</f>
        <v/>
      </c>
      <c r="O3343" s="23" t="b">
        <f>IFERROR(VLOOKUP(A3343, Entries!A:I,8,false),"")</f>
        <v>0</v>
      </c>
    </row>
    <row r="3344">
      <c r="A3344" s="78" t="s">
        <v>2789</v>
      </c>
      <c r="B3344" s="78" t="s">
        <v>19</v>
      </c>
      <c r="C3344" s="85">
        <v>45047.0</v>
      </c>
      <c r="D3344" s="85">
        <v>45048.0</v>
      </c>
      <c r="E3344" s="86">
        <v>3.33</v>
      </c>
      <c r="F3344" s="87">
        <v>4.9</v>
      </c>
      <c r="G3344" s="88">
        <f t="shared" si="1"/>
        <v>1.57</v>
      </c>
      <c r="H3344" s="89">
        <f t="shared" si="10"/>
        <v>0.3204081633</v>
      </c>
      <c r="I3344" s="78" t="s">
        <v>4035</v>
      </c>
      <c r="J3344" s="78" t="s">
        <v>69</v>
      </c>
      <c r="K3344" s="58">
        <f t="shared" si="3"/>
        <v>1</v>
      </c>
      <c r="L3344" s="91" t="str">
        <f t="shared" si="8"/>
        <v>Tue</v>
      </c>
      <c r="M3344" s="78" t="str">
        <f>IFERROR(VLOOKUP(A3344, Entries!A:B,2,false),"")</f>
        <v>Evil Tortilla Games</v>
      </c>
      <c r="N3344" s="23" t="str">
        <f>IFERROR(VLOOKUP(A3344, Entries!A:K,11,false),"")</f>
        <v/>
      </c>
      <c r="O3344" s="23" t="b">
        <f>IFERROR(VLOOKUP(A3344, Entries!A:I,8,false),"")</f>
        <v>1</v>
      </c>
    </row>
    <row r="3345">
      <c r="A3345" s="78" t="s">
        <v>1336</v>
      </c>
      <c r="B3345" s="78" t="s">
        <v>27</v>
      </c>
      <c r="C3345" s="85">
        <v>45047.0</v>
      </c>
      <c r="D3345" s="85">
        <v>45056.0</v>
      </c>
      <c r="E3345" s="86">
        <v>7.89</v>
      </c>
      <c r="F3345" s="87">
        <v>10.29</v>
      </c>
      <c r="G3345" s="88">
        <f t="shared" si="1"/>
        <v>2.4</v>
      </c>
      <c r="H3345" s="89">
        <f t="shared" si="10"/>
        <v>0.2332361516</v>
      </c>
      <c r="I3345" s="78" t="s">
        <v>4036</v>
      </c>
      <c r="J3345" s="78" t="s">
        <v>69</v>
      </c>
      <c r="K3345" s="58">
        <f t="shared" si="3"/>
        <v>9</v>
      </c>
      <c r="L3345" s="91" t="str">
        <f t="shared" si="8"/>
        <v>Wed</v>
      </c>
      <c r="M3345" s="78" t="str">
        <f>IFERROR(VLOOKUP(A3345, Entries!A:B,2,false),"")</f>
        <v>Team17 Digital</v>
      </c>
      <c r="N3345" s="23" t="str">
        <f>IFERROR(VLOOKUP(A3345, Entries!A:K,11,false),"")</f>
        <v/>
      </c>
      <c r="O3345" s="23" t="b">
        <f>IFERROR(VLOOKUP(A3345, Entries!A:I,8,false),"")</f>
        <v>0</v>
      </c>
    </row>
    <row r="3346">
      <c r="A3346" s="78" t="s">
        <v>2789</v>
      </c>
      <c r="B3346" s="78" t="s">
        <v>19</v>
      </c>
      <c r="C3346" s="85">
        <v>45048.0</v>
      </c>
      <c r="D3346" s="85">
        <v>45048.0</v>
      </c>
      <c r="E3346" s="86">
        <v>3.33</v>
      </c>
      <c r="F3346" s="87">
        <v>4.9</v>
      </c>
      <c r="G3346" s="88">
        <f t="shared" si="1"/>
        <v>1.57</v>
      </c>
      <c r="H3346" s="89">
        <f t="shared" si="10"/>
        <v>0.3204081633</v>
      </c>
      <c r="I3346" s="78" t="s">
        <v>4037</v>
      </c>
      <c r="J3346" s="78" t="s">
        <v>69</v>
      </c>
      <c r="K3346" s="58">
        <f t="shared" si="3"/>
        <v>0</v>
      </c>
      <c r="L3346" s="91" t="str">
        <f t="shared" si="8"/>
        <v>Tue</v>
      </c>
      <c r="M3346" s="78" t="str">
        <f>IFERROR(VLOOKUP(A3346, Entries!A:B,2,false),"")</f>
        <v>Evil Tortilla Games</v>
      </c>
      <c r="N3346" s="23" t="str">
        <f>IFERROR(VLOOKUP(A3346, Entries!A:K,11,false),"")</f>
        <v/>
      </c>
      <c r="O3346" s="23" t="b">
        <f>IFERROR(VLOOKUP(A3346, Entries!A:I,8,false),"")</f>
        <v>1</v>
      </c>
    </row>
    <row r="3347">
      <c r="A3347" s="78" t="s">
        <v>1488</v>
      </c>
      <c r="B3347" s="78" t="s">
        <v>22</v>
      </c>
      <c r="C3347" s="85">
        <v>45048.0</v>
      </c>
      <c r="D3347" s="85">
        <v>45049.0</v>
      </c>
      <c r="E3347" s="86">
        <v>11.31</v>
      </c>
      <c r="F3347" s="87">
        <v>17.94</v>
      </c>
      <c r="G3347" s="88">
        <f t="shared" si="1"/>
        <v>6.63</v>
      </c>
      <c r="H3347" s="89">
        <f t="shared" si="10"/>
        <v>0.3695652174</v>
      </c>
      <c r="I3347" s="78" t="s">
        <v>4038</v>
      </c>
      <c r="J3347" s="78" t="s">
        <v>69</v>
      </c>
      <c r="K3347" s="58">
        <f t="shared" si="3"/>
        <v>1</v>
      </c>
      <c r="L3347" s="91" t="str">
        <f t="shared" si="8"/>
        <v>Wed</v>
      </c>
      <c r="M3347" s="78" t="str">
        <f>IFERROR(VLOOKUP(A3347, Entries!A:B,2,false),"")</f>
        <v>Perfect World Entertainment</v>
      </c>
      <c r="N3347" s="23" t="str">
        <f>IFERROR(VLOOKUP(A3347, Entries!A:K,11,false),"")</f>
        <v/>
      </c>
      <c r="O3347" s="23" t="b">
        <f>IFERROR(VLOOKUP(A3347, Entries!A:I,8,false),"")</f>
        <v>1</v>
      </c>
    </row>
    <row r="3348">
      <c r="A3348" s="78" t="s">
        <v>3979</v>
      </c>
      <c r="B3348" s="78" t="s">
        <v>22</v>
      </c>
      <c r="C3348" s="85">
        <v>45048.0</v>
      </c>
      <c r="D3348" s="85">
        <v>45050.0</v>
      </c>
      <c r="E3348" s="86">
        <v>30.32</v>
      </c>
      <c r="F3348" s="87">
        <v>37.19</v>
      </c>
      <c r="G3348" s="88">
        <f t="shared" si="1"/>
        <v>6.87</v>
      </c>
      <c r="H3348" s="89">
        <f t="shared" si="10"/>
        <v>0.1847270772</v>
      </c>
      <c r="I3348" s="78" t="s">
        <v>4039</v>
      </c>
      <c r="J3348" s="78" t="s">
        <v>69</v>
      </c>
      <c r="K3348" s="58">
        <f t="shared" si="3"/>
        <v>2</v>
      </c>
      <c r="L3348" s="91" t="str">
        <f t="shared" si="8"/>
        <v>Thu</v>
      </c>
      <c r="M3348" s="78" t="str">
        <f>IFERROR(VLOOKUP(A3348, Entries!A:B,2,false),"")</f>
        <v>Square Enix</v>
      </c>
      <c r="N3348" s="23" t="str">
        <f>IFERROR(VLOOKUP(A3348, Entries!A:K,11,false),"")</f>
        <v/>
      </c>
      <c r="O3348" s="23" t="b">
        <f>IFERROR(VLOOKUP(A3348, Entries!A:I,8,false),"")</f>
        <v>0</v>
      </c>
    </row>
    <row r="3349">
      <c r="A3349" s="78" t="s">
        <v>2789</v>
      </c>
      <c r="B3349" s="78" t="s">
        <v>19</v>
      </c>
      <c r="C3349" s="85">
        <v>45049.0</v>
      </c>
      <c r="D3349" s="85">
        <v>45049.0</v>
      </c>
      <c r="E3349" s="86">
        <v>3.33</v>
      </c>
      <c r="F3349" s="87">
        <v>4.9</v>
      </c>
      <c r="G3349" s="88">
        <f t="shared" si="1"/>
        <v>1.57</v>
      </c>
      <c r="H3349" s="89">
        <f t="shared" si="10"/>
        <v>0.3204081633</v>
      </c>
      <c r="I3349" s="78" t="s">
        <v>4040</v>
      </c>
      <c r="J3349" s="78" t="s">
        <v>69</v>
      </c>
      <c r="K3349" s="58">
        <f t="shared" si="3"/>
        <v>0</v>
      </c>
      <c r="L3349" s="91" t="str">
        <f t="shared" si="8"/>
        <v>Wed</v>
      </c>
      <c r="M3349" s="78" t="str">
        <f>IFERROR(VLOOKUP(A3349, Entries!A:B,2,false),"")</f>
        <v>Evil Tortilla Games</v>
      </c>
      <c r="N3349" s="23" t="str">
        <f>IFERROR(VLOOKUP(A3349, Entries!A:K,11,false),"")</f>
        <v/>
      </c>
      <c r="O3349" s="23" t="b">
        <f>IFERROR(VLOOKUP(A3349, Entries!A:I,8,false),"")</f>
        <v>1</v>
      </c>
    </row>
    <row r="3350">
      <c r="A3350" s="78" t="s">
        <v>2240</v>
      </c>
      <c r="B3350" s="78" t="s">
        <v>27</v>
      </c>
      <c r="C3350" s="85">
        <v>45049.0</v>
      </c>
      <c r="D3350" s="85">
        <v>45076.0</v>
      </c>
      <c r="E3350" s="86">
        <v>5.39</v>
      </c>
      <c r="F3350" s="87">
        <v>7.89</v>
      </c>
      <c r="G3350" s="88">
        <f t="shared" si="1"/>
        <v>2.5</v>
      </c>
      <c r="H3350" s="89">
        <f t="shared" si="10"/>
        <v>0.3168567807</v>
      </c>
      <c r="I3350" s="78" t="s">
        <v>4041</v>
      </c>
      <c r="J3350" s="78" t="s">
        <v>69</v>
      </c>
      <c r="K3350" s="58">
        <f t="shared" si="3"/>
        <v>27</v>
      </c>
      <c r="L3350" s="91" t="str">
        <f t="shared" si="8"/>
        <v>Tue</v>
      </c>
      <c r="M3350" s="78" t="str">
        <f>IFERROR(VLOOKUP(A3350, Entries!A:B,2,false),"")</f>
        <v>Daedalic Entertainment</v>
      </c>
      <c r="N3350" s="23" t="str">
        <f>IFERROR(VLOOKUP(A3350, Entries!A:K,11,false),"")</f>
        <v/>
      </c>
      <c r="O3350" s="23" t="b">
        <f>IFERROR(VLOOKUP(A3350, Entries!A:I,8,false),"")</f>
        <v>0</v>
      </c>
    </row>
    <row r="3351">
      <c r="A3351" s="78" t="s">
        <v>4042</v>
      </c>
      <c r="B3351" s="78" t="s">
        <v>27</v>
      </c>
      <c r="C3351" s="85">
        <v>45049.0</v>
      </c>
      <c r="D3351" s="85">
        <v>45052.0</v>
      </c>
      <c r="E3351" s="86">
        <v>11.59</v>
      </c>
      <c r="F3351" s="87">
        <v>14.37</v>
      </c>
      <c r="G3351" s="88">
        <f t="shared" si="1"/>
        <v>2.78</v>
      </c>
      <c r="H3351" s="89">
        <f t="shared" si="10"/>
        <v>0.1934585943</v>
      </c>
      <c r="I3351" s="78" t="s">
        <v>4043</v>
      </c>
      <c r="J3351" s="78" t="s">
        <v>69</v>
      </c>
      <c r="K3351" s="58">
        <f t="shared" si="3"/>
        <v>3</v>
      </c>
      <c r="L3351" s="91" t="str">
        <f t="shared" si="8"/>
        <v>Sat</v>
      </c>
      <c r="M3351" s="78" t="str">
        <f>IFERROR(VLOOKUP(A3351, Entries!A:B,2,false),"")</f>
        <v>Fireshine Games</v>
      </c>
      <c r="N3351" s="23" t="str">
        <f>IFERROR(VLOOKUP(A3351, Entries!A:K,11,false),"")</f>
        <v/>
      </c>
      <c r="O3351" s="23" t="b">
        <f>IFERROR(VLOOKUP(A3351, Entries!A:I,8,false),"")</f>
        <v>0</v>
      </c>
    </row>
    <row r="3352">
      <c r="A3352" s="78" t="s">
        <v>1488</v>
      </c>
      <c r="B3352" s="78" t="s">
        <v>22</v>
      </c>
      <c r="C3352" s="85">
        <v>45049.0</v>
      </c>
      <c r="D3352" s="85">
        <v>45049.0</v>
      </c>
      <c r="E3352" s="86">
        <v>11.33</v>
      </c>
      <c r="F3352" s="87">
        <v>17.95</v>
      </c>
      <c r="G3352" s="88">
        <f t="shared" si="1"/>
        <v>6.62</v>
      </c>
      <c r="H3352" s="89">
        <f t="shared" si="10"/>
        <v>0.3688022284</v>
      </c>
      <c r="I3352" s="78" t="s">
        <v>4044</v>
      </c>
      <c r="J3352" s="78" t="s">
        <v>69</v>
      </c>
      <c r="K3352" s="58">
        <f t="shared" si="3"/>
        <v>0</v>
      </c>
      <c r="L3352" s="91" t="str">
        <f t="shared" si="8"/>
        <v>Wed</v>
      </c>
      <c r="M3352" s="78" t="str">
        <f>IFERROR(VLOOKUP(A3352, Entries!A:B,2,false),"")</f>
        <v>Perfect World Entertainment</v>
      </c>
      <c r="N3352" s="23" t="str">
        <f>IFERROR(VLOOKUP(A3352, Entries!A:K,11,false),"")</f>
        <v/>
      </c>
      <c r="O3352" s="23" t="b">
        <f>IFERROR(VLOOKUP(A3352, Entries!A:I,8,false),"")</f>
        <v>1</v>
      </c>
    </row>
    <row r="3353">
      <c r="A3353" s="78" t="s">
        <v>2437</v>
      </c>
      <c r="B3353" s="78" t="s">
        <v>23</v>
      </c>
      <c r="C3353" s="85">
        <v>45049.0</v>
      </c>
      <c r="D3353" s="85">
        <v>45052.0</v>
      </c>
      <c r="E3353" s="86">
        <v>7.99</v>
      </c>
      <c r="F3353" s="87">
        <v>10.14</v>
      </c>
      <c r="G3353" s="88">
        <f t="shared" si="1"/>
        <v>2.15</v>
      </c>
      <c r="H3353" s="89">
        <f t="shared" si="10"/>
        <v>0.2120315582</v>
      </c>
      <c r="I3353" s="78" t="s">
        <v>4045</v>
      </c>
      <c r="J3353" s="78" t="s">
        <v>69</v>
      </c>
      <c r="K3353" s="58">
        <f t="shared" si="3"/>
        <v>3</v>
      </c>
      <c r="L3353" s="91" t="str">
        <f t="shared" si="8"/>
        <v>Sat</v>
      </c>
      <c r="M3353" s="78" t="str">
        <f>IFERROR(VLOOKUP(A3353, Entries!A:B,2,false),"")</f>
        <v>Shiro Games</v>
      </c>
      <c r="N3353" s="23" t="str">
        <f>IFERROR(VLOOKUP(A3353, Entries!A:K,11,false),"")</f>
        <v/>
      </c>
      <c r="O3353" s="23" t="b">
        <f>IFERROR(VLOOKUP(A3353, Entries!A:I,8,false),"")</f>
        <v>1</v>
      </c>
    </row>
    <row r="3354">
      <c r="A3354" s="78" t="s">
        <v>1488</v>
      </c>
      <c r="B3354" s="78" t="s">
        <v>22</v>
      </c>
      <c r="C3354" s="85">
        <v>45049.0</v>
      </c>
      <c r="D3354" s="85">
        <v>45049.0</v>
      </c>
      <c r="E3354" s="86">
        <v>11.33</v>
      </c>
      <c r="F3354" s="87">
        <v>17.95</v>
      </c>
      <c r="G3354" s="88">
        <f t="shared" si="1"/>
        <v>6.62</v>
      </c>
      <c r="H3354" s="89">
        <f t="shared" si="10"/>
        <v>0.3688022284</v>
      </c>
      <c r="I3354" s="78" t="s">
        <v>4046</v>
      </c>
      <c r="J3354" s="78" t="s">
        <v>69</v>
      </c>
      <c r="K3354" s="58">
        <f t="shared" si="3"/>
        <v>0</v>
      </c>
      <c r="L3354" s="91" t="str">
        <f t="shared" si="8"/>
        <v>Wed</v>
      </c>
      <c r="M3354" s="78" t="str">
        <f>IFERROR(VLOOKUP(A3354, Entries!A:B,2,false),"")</f>
        <v>Perfect World Entertainment</v>
      </c>
      <c r="N3354" s="23" t="str">
        <f>IFERROR(VLOOKUP(A3354, Entries!A:K,11,false),"")</f>
        <v/>
      </c>
      <c r="O3354" s="23" t="b">
        <f>IFERROR(VLOOKUP(A3354, Entries!A:I,8,false),"")</f>
        <v>1</v>
      </c>
    </row>
    <row r="3355">
      <c r="A3355" s="78" t="s">
        <v>2789</v>
      </c>
      <c r="B3355" s="78" t="s">
        <v>19</v>
      </c>
      <c r="C3355" s="85">
        <v>45049.0</v>
      </c>
      <c r="D3355" s="85">
        <v>45050.0</v>
      </c>
      <c r="E3355" s="86">
        <v>3.33</v>
      </c>
      <c r="F3355" s="87">
        <v>4.9</v>
      </c>
      <c r="G3355" s="88">
        <f t="shared" si="1"/>
        <v>1.57</v>
      </c>
      <c r="H3355" s="89">
        <f t="shared" si="10"/>
        <v>0.3204081633</v>
      </c>
      <c r="I3355" s="78" t="s">
        <v>4047</v>
      </c>
      <c r="J3355" s="78" t="s">
        <v>69</v>
      </c>
      <c r="K3355" s="58">
        <f t="shared" si="3"/>
        <v>1</v>
      </c>
      <c r="L3355" s="91" t="str">
        <f t="shared" si="8"/>
        <v>Thu</v>
      </c>
      <c r="M3355" s="78" t="str">
        <f>IFERROR(VLOOKUP(A3355, Entries!A:B,2,false),"")</f>
        <v>Evil Tortilla Games</v>
      </c>
      <c r="N3355" s="23" t="str">
        <f>IFERROR(VLOOKUP(A3355, Entries!A:K,11,false),"")</f>
        <v/>
      </c>
      <c r="O3355" s="23" t="b">
        <f>IFERROR(VLOOKUP(A3355, Entries!A:I,8,false),"")</f>
        <v>1</v>
      </c>
    </row>
    <row r="3356">
      <c r="A3356" s="78" t="s">
        <v>4048</v>
      </c>
      <c r="B3356" s="78" t="s">
        <v>21</v>
      </c>
      <c r="C3356" s="85">
        <v>45049.0</v>
      </c>
      <c r="D3356" s="85">
        <v>45102.0</v>
      </c>
      <c r="E3356" s="86">
        <v>19.35</v>
      </c>
      <c r="F3356" s="87">
        <v>20.8</v>
      </c>
      <c r="G3356" s="88">
        <f t="shared" si="1"/>
        <v>1.45</v>
      </c>
      <c r="H3356" s="89">
        <f t="shared" si="10"/>
        <v>0.06971153846</v>
      </c>
      <c r="I3356" s="78" t="s">
        <v>4049</v>
      </c>
      <c r="J3356" s="78" t="s">
        <v>69</v>
      </c>
      <c r="K3356" s="58">
        <f t="shared" si="3"/>
        <v>53</v>
      </c>
      <c r="L3356" s="91" t="str">
        <f t="shared" si="8"/>
        <v>Sun</v>
      </c>
      <c r="M3356" s="78" t="str">
        <f>IFERROR(VLOOKUP(A3356, Entries!A:B,2,false),"")</f>
        <v>Bethesda Softworks</v>
      </c>
      <c r="N3356" s="23" t="str">
        <f>IFERROR(VLOOKUP(A3356, Entries!A:K,11,false),"")</f>
        <v/>
      </c>
      <c r="O3356" s="23" t="b">
        <f>IFERROR(VLOOKUP(A3356, Entries!A:I,8,false),"")</f>
        <v>0</v>
      </c>
    </row>
    <row r="3357">
      <c r="A3357" s="78" t="s">
        <v>1488</v>
      </c>
      <c r="B3357" s="78" t="s">
        <v>22</v>
      </c>
      <c r="C3357" s="85">
        <v>45049.0</v>
      </c>
      <c r="D3357" s="85">
        <v>45049.0</v>
      </c>
      <c r="E3357" s="86">
        <v>11.33</v>
      </c>
      <c r="F3357" s="87">
        <v>17.95</v>
      </c>
      <c r="G3357" s="88">
        <f t="shared" si="1"/>
        <v>6.62</v>
      </c>
      <c r="H3357" s="89">
        <f t="shared" si="10"/>
        <v>0.3688022284</v>
      </c>
      <c r="I3357" s="78" t="s">
        <v>4050</v>
      </c>
      <c r="J3357" s="78" t="s">
        <v>69</v>
      </c>
      <c r="K3357" s="58">
        <f t="shared" si="3"/>
        <v>0</v>
      </c>
      <c r="L3357" s="91" t="str">
        <f t="shared" si="8"/>
        <v>Wed</v>
      </c>
      <c r="M3357" s="78" t="str">
        <f>IFERROR(VLOOKUP(A3357, Entries!A:B,2,false),"")</f>
        <v>Perfect World Entertainment</v>
      </c>
      <c r="N3357" s="23" t="str">
        <f>IFERROR(VLOOKUP(A3357, Entries!A:K,11,false),"")</f>
        <v/>
      </c>
      <c r="O3357" s="23" t="b">
        <f>IFERROR(VLOOKUP(A3357, Entries!A:I,8,false),"")</f>
        <v>1</v>
      </c>
    </row>
    <row r="3358">
      <c r="A3358" s="78" t="s">
        <v>2789</v>
      </c>
      <c r="B3358" s="78" t="s">
        <v>19</v>
      </c>
      <c r="C3358" s="85">
        <v>45050.0</v>
      </c>
      <c r="D3358" s="85">
        <v>45051.0</v>
      </c>
      <c r="E3358" s="86">
        <v>3.33</v>
      </c>
      <c r="F3358" s="87">
        <v>4.82</v>
      </c>
      <c r="G3358" s="88">
        <f t="shared" si="1"/>
        <v>1.49</v>
      </c>
      <c r="H3358" s="89">
        <f t="shared" si="10"/>
        <v>0.3091286307</v>
      </c>
      <c r="I3358" s="78" t="s">
        <v>4051</v>
      </c>
      <c r="J3358" s="78" t="s">
        <v>69</v>
      </c>
      <c r="K3358" s="58">
        <f t="shared" si="3"/>
        <v>1</v>
      </c>
      <c r="L3358" s="91" t="str">
        <f t="shared" si="8"/>
        <v>Fri</v>
      </c>
      <c r="M3358" s="78" t="str">
        <f>IFERROR(VLOOKUP(A3358, Entries!A:B,2,false),"")</f>
        <v>Evil Tortilla Games</v>
      </c>
      <c r="N3358" s="23" t="str">
        <f>IFERROR(VLOOKUP(A3358, Entries!A:K,11,false),"")</f>
        <v/>
      </c>
      <c r="O3358" s="23" t="b">
        <f>IFERROR(VLOOKUP(A3358, Entries!A:I,8,false),"")</f>
        <v>1</v>
      </c>
    </row>
    <row r="3359">
      <c r="A3359" s="78" t="s">
        <v>2789</v>
      </c>
      <c r="B3359" s="78" t="s">
        <v>19</v>
      </c>
      <c r="C3359" s="85">
        <v>45051.0</v>
      </c>
      <c r="D3359" s="85">
        <v>45051.0</v>
      </c>
      <c r="E3359" s="86">
        <v>3.33</v>
      </c>
      <c r="F3359" s="87">
        <v>4.82</v>
      </c>
      <c r="G3359" s="88">
        <f t="shared" si="1"/>
        <v>1.49</v>
      </c>
      <c r="H3359" s="89">
        <f t="shared" si="10"/>
        <v>0.3091286307</v>
      </c>
      <c r="I3359" s="78" t="s">
        <v>4052</v>
      </c>
      <c r="J3359" s="78" t="s">
        <v>69</v>
      </c>
      <c r="K3359" s="58">
        <f t="shared" si="3"/>
        <v>0</v>
      </c>
      <c r="L3359" s="91" t="str">
        <f t="shared" si="8"/>
        <v>Fri</v>
      </c>
      <c r="M3359" s="78" t="str">
        <f>IFERROR(VLOOKUP(A3359, Entries!A:B,2,false),"")</f>
        <v>Evil Tortilla Games</v>
      </c>
      <c r="N3359" s="23" t="str">
        <f>IFERROR(VLOOKUP(A3359, Entries!A:K,11,false),"")</f>
        <v/>
      </c>
      <c r="O3359" s="23" t="b">
        <f>IFERROR(VLOOKUP(A3359, Entries!A:I,8,false),"")</f>
        <v>1</v>
      </c>
    </row>
    <row r="3360">
      <c r="A3360" s="78" t="s">
        <v>4053</v>
      </c>
      <c r="B3360" s="78" t="s">
        <v>32</v>
      </c>
      <c r="C3360" s="85">
        <v>45052.0</v>
      </c>
      <c r="D3360" s="85">
        <v>45053.0</v>
      </c>
      <c r="E3360" s="86">
        <v>2.54</v>
      </c>
      <c r="F3360" s="87">
        <v>3.9</v>
      </c>
      <c r="G3360" s="88">
        <f t="shared" si="1"/>
        <v>1.36</v>
      </c>
      <c r="H3360" s="89">
        <f t="shared" si="10"/>
        <v>0.3487179487</v>
      </c>
      <c r="I3360" s="78" t="s">
        <v>4054</v>
      </c>
      <c r="J3360" s="78" t="s">
        <v>69</v>
      </c>
      <c r="K3360" s="58">
        <f t="shared" si="3"/>
        <v>1</v>
      </c>
      <c r="L3360" s="91" t="str">
        <f t="shared" si="8"/>
        <v>Sun</v>
      </c>
      <c r="M3360" s="78" t="str">
        <f>IFERROR(VLOOKUP(A3360, Entries!A:B,2,false),"")</f>
        <v>Innersloth</v>
      </c>
      <c r="N3360" s="23" t="str">
        <f>IFERROR(VLOOKUP(A3360, Entries!A:K,11,false),"")</f>
        <v/>
      </c>
      <c r="O3360" s="23" t="b">
        <f>IFERROR(VLOOKUP(A3360, Entries!A:I,8,false),"")</f>
        <v>0</v>
      </c>
    </row>
    <row r="3361">
      <c r="A3361" s="78" t="s">
        <v>4055</v>
      </c>
      <c r="B3361" s="78" t="s">
        <v>32</v>
      </c>
      <c r="C3361" s="85">
        <v>45052.0</v>
      </c>
      <c r="D3361" s="85">
        <v>45053.0</v>
      </c>
      <c r="E3361" s="86">
        <v>2.54</v>
      </c>
      <c r="F3361" s="87">
        <v>3.87</v>
      </c>
      <c r="G3361" s="88">
        <f t="shared" si="1"/>
        <v>1.33</v>
      </c>
      <c r="H3361" s="89">
        <f t="shared" si="10"/>
        <v>0.3436692506</v>
      </c>
      <c r="I3361" s="78" t="s">
        <v>4056</v>
      </c>
      <c r="J3361" s="78" t="s">
        <v>69</v>
      </c>
      <c r="K3361" s="58">
        <f t="shared" si="3"/>
        <v>1</v>
      </c>
      <c r="L3361" s="91" t="str">
        <f t="shared" si="8"/>
        <v>Sun</v>
      </c>
      <c r="M3361" s="78" t="str">
        <f>IFERROR(VLOOKUP(A3361, Entries!A:B,2,false),"")</f>
        <v>Innersloth</v>
      </c>
      <c r="N3361" s="23" t="str">
        <f>IFERROR(VLOOKUP(A3361, Entries!A:K,11,false),"")</f>
        <v/>
      </c>
      <c r="O3361" s="23" t="b">
        <f>IFERROR(VLOOKUP(A3361, Entries!A:I,8,false),"")</f>
        <v>0</v>
      </c>
    </row>
    <row r="3362">
      <c r="A3362" s="78" t="s">
        <v>4053</v>
      </c>
      <c r="B3362" s="78" t="s">
        <v>32</v>
      </c>
      <c r="C3362" s="85">
        <v>45052.0</v>
      </c>
      <c r="D3362" s="85">
        <v>45215.0</v>
      </c>
      <c r="E3362" s="86">
        <v>2.54</v>
      </c>
      <c r="F3362" s="87">
        <v>3.42</v>
      </c>
      <c r="G3362" s="88">
        <f t="shared" si="1"/>
        <v>0.88</v>
      </c>
      <c r="H3362" s="89">
        <f t="shared" si="10"/>
        <v>0.2573099415</v>
      </c>
      <c r="I3362" s="78" t="s">
        <v>4057</v>
      </c>
      <c r="J3362" s="78" t="s">
        <v>69</v>
      </c>
      <c r="K3362" s="58">
        <f t="shared" si="3"/>
        <v>163</v>
      </c>
      <c r="L3362" s="91" t="str">
        <f t="shared" si="8"/>
        <v>Mon</v>
      </c>
      <c r="M3362" s="78" t="str">
        <f>IFERROR(VLOOKUP(A3362, Entries!A:B,2,false),"")</f>
        <v>Innersloth</v>
      </c>
      <c r="N3362" s="23" t="str">
        <f>IFERROR(VLOOKUP(A3362, Entries!A:K,11,false),"")</f>
        <v/>
      </c>
      <c r="O3362" s="23" t="b">
        <f>IFERROR(VLOOKUP(A3362, Entries!A:I,8,false),"")</f>
        <v>0</v>
      </c>
    </row>
    <row r="3363">
      <c r="A3363" s="78" t="s">
        <v>4053</v>
      </c>
      <c r="B3363" s="78" t="s">
        <v>32</v>
      </c>
      <c r="C3363" s="85">
        <v>45052.0</v>
      </c>
      <c r="D3363" s="85">
        <v>45215.0</v>
      </c>
      <c r="E3363" s="86">
        <v>2.53</v>
      </c>
      <c r="F3363" s="87">
        <v>3.42</v>
      </c>
      <c r="G3363" s="88">
        <f t="shared" si="1"/>
        <v>0.89</v>
      </c>
      <c r="H3363" s="89">
        <f t="shared" si="10"/>
        <v>0.2602339181</v>
      </c>
      <c r="I3363" s="78" t="s">
        <v>4058</v>
      </c>
      <c r="J3363" s="78" t="s">
        <v>69</v>
      </c>
      <c r="K3363" s="58">
        <f t="shared" si="3"/>
        <v>163</v>
      </c>
      <c r="L3363" s="91" t="str">
        <f t="shared" si="8"/>
        <v>Mon</v>
      </c>
      <c r="M3363" s="78" t="str">
        <f>IFERROR(VLOOKUP(A3363, Entries!A:B,2,false),"")</f>
        <v>Innersloth</v>
      </c>
      <c r="N3363" s="23" t="str">
        <f>IFERROR(VLOOKUP(A3363, Entries!A:K,11,false),"")</f>
        <v/>
      </c>
      <c r="O3363" s="23" t="b">
        <f>IFERROR(VLOOKUP(A3363, Entries!A:I,8,false),"")</f>
        <v>0</v>
      </c>
    </row>
    <row r="3364">
      <c r="A3364" s="78" t="s">
        <v>2789</v>
      </c>
      <c r="B3364" s="78" t="s">
        <v>19</v>
      </c>
      <c r="C3364" s="85">
        <v>45056.0</v>
      </c>
      <c r="D3364" s="85">
        <v>45060.0</v>
      </c>
      <c r="E3364" s="86">
        <v>3.33</v>
      </c>
      <c r="F3364" s="87">
        <v>5.51</v>
      </c>
      <c r="G3364" s="88">
        <f t="shared" si="1"/>
        <v>2.18</v>
      </c>
      <c r="H3364" s="89">
        <f t="shared" si="10"/>
        <v>0.3956442831</v>
      </c>
      <c r="I3364" s="78" t="s">
        <v>4059</v>
      </c>
      <c r="J3364" s="78" t="s">
        <v>69</v>
      </c>
      <c r="K3364" s="58">
        <f t="shared" si="3"/>
        <v>4</v>
      </c>
      <c r="L3364" s="91" t="str">
        <f t="shared" si="8"/>
        <v>Sun</v>
      </c>
      <c r="M3364" s="78" t="str">
        <f>IFERROR(VLOOKUP(A3364, Entries!A:B,2,false),"")</f>
        <v>Evil Tortilla Games</v>
      </c>
      <c r="N3364" s="23" t="str">
        <f>IFERROR(VLOOKUP(A3364, Entries!A:K,11,false),"")</f>
        <v/>
      </c>
      <c r="O3364" s="23" t="b">
        <f>IFERROR(VLOOKUP(A3364, Entries!A:I,8,false),"")</f>
        <v>1</v>
      </c>
    </row>
    <row r="3365">
      <c r="A3365" s="78" t="s">
        <v>2611</v>
      </c>
      <c r="B3365" s="78" t="s">
        <v>22</v>
      </c>
      <c r="C3365" s="85">
        <v>45056.0</v>
      </c>
      <c r="D3365" s="85">
        <v>45087.0</v>
      </c>
      <c r="E3365" s="86">
        <v>10.83</v>
      </c>
      <c r="F3365" s="87">
        <v>16.02</v>
      </c>
      <c r="G3365" s="88">
        <f t="shared" si="1"/>
        <v>5.19</v>
      </c>
      <c r="H3365" s="89">
        <f t="shared" si="10"/>
        <v>0.3239700375</v>
      </c>
      <c r="I3365" s="78" t="s">
        <v>4060</v>
      </c>
      <c r="J3365" s="78" t="s">
        <v>69</v>
      </c>
      <c r="K3365" s="58">
        <f t="shared" si="3"/>
        <v>31</v>
      </c>
      <c r="L3365" s="91" t="str">
        <f t="shared" si="8"/>
        <v>Sat</v>
      </c>
      <c r="M3365" s="78" t="str">
        <f>IFERROR(VLOOKUP(A3365, Entries!A:B,2,false),"")</f>
        <v>Ninja Kiwi</v>
      </c>
      <c r="N3365" s="23" t="str">
        <f>IFERROR(VLOOKUP(A3365, Entries!A:K,11,false),"")</f>
        <v/>
      </c>
      <c r="O3365" s="23" t="b">
        <f>IFERROR(VLOOKUP(A3365, Entries!A:I,8,false),"")</f>
        <v>0</v>
      </c>
    </row>
    <row r="3366">
      <c r="A3366" s="78" t="s">
        <v>2891</v>
      </c>
      <c r="B3366" s="78" t="s">
        <v>27</v>
      </c>
      <c r="C3366" s="85">
        <v>45056.0</v>
      </c>
      <c r="D3366" s="85">
        <v>45062.0</v>
      </c>
      <c r="E3366" s="86">
        <v>9.19</v>
      </c>
      <c r="F3366" s="87">
        <v>15.16</v>
      </c>
      <c r="G3366" s="88">
        <f t="shared" si="1"/>
        <v>5.97</v>
      </c>
      <c r="H3366" s="89">
        <f t="shared" si="10"/>
        <v>0.3937994723</v>
      </c>
      <c r="I3366" s="78" t="s">
        <v>4061</v>
      </c>
      <c r="J3366" s="78" t="s">
        <v>69</v>
      </c>
      <c r="K3366" s="58">
        <f t="shared" si="3"/>
        <v>6</v>
      </c>
      <c r="L3366" s="91" t="str">
        <f t="shared" si="8"/>
        <v>Tue</v>
      </c>
      <c r="M3366" s="78" t="str">
        <f>IFERROR(VLOOKUP(A3366, Entries!A:B,2,false),"")</f>
        <v>Prime Matter</v>
      </c>
      <c r="N3366" s="23" t="str">
        <f>IFERROR(VLOOKUP(A3366, Entries!A:K,11,false),"")</f>
        <v/>
      </c>
      <c r="O3366" s="23" t="b">
        <f>IFERROR(VLOOKUP(A3366, Entries!A:I,8,false),"")</f>
        <v>0</v>
      </c>
    </row>
    <row r="3367">
      <c r="A3367" s="78" t="s">
        <v>2380</v>
      </c>
      <c r="B3367" s="78" t="s">
        <v>19</v>
      </c>
      <c r="C3367" s="85">
        <v>45056.0</v>
      </c>
      <c r="D3367" s="85">
        <v>45072.0</v>
      </c>
      <c r="E3367" s="86">
        <v>14.53</v>
      </c>
      <c r="F3367" s="87">
        <v>17.93</v>
      </c>
      <c r="G3367" s="88">
        <f t="shared" si="1"/>
        <v>3.4</v>
      </c>
      <c r="H3367" s="89">
        <f t="shared" si="10"/>
        <v>0.1896263246</v>
      </c>
      <c r="I3367" s="78" t="s">
        <v>4062</v>
      </c>
      <c r="J3367" s="78" t="s">
        <v>69</v>
      </c>
      <c r="K3367" s="58">
        <f t="shared" si="3"/>
        <v>16</v>
      </c>
      <c r="L3367" s="91" t="str">
        <f t="shared" si="8"/>
        <v>Fri</v>
      </c>
      <c r="M3367" s="78" t="str">
        <f>IFERROR(VLOOKUP(A3367, Entries!A:B,2,false),"")</f>
        <v>Brightrock Games</v>
      </c>
      <c r="N3367" s="23" t="str">
        <f>IFERROR(VLOOKUP(A3367, Entries!A:K,11,false),"")</f>
        <v/>
      </c>
      <c r="O3367" s="23" t="b">
        <f>IFERROR(VLOOKUP(A3367, Entries!A:I,8,false),"")</f>
        <v>0</v>
      </c>
    </row>
    <row r="3368">
      <c r="A3368" s="78" t="s">
        <v>3850</v>
      </c>
      <c r="B3368" s="78" t="s">
        <v>19</v>
      </c>
      <c r="C3368" s="85">
        <v>45056.0</v>
      </c>
      <c r="D3368" s="85">
        <v>45087.0</v>
      </c>
      <c r="E3368" s="86">
        <v>32.39</v>
      </c>
      <c r="F3368" s="87">
        <v>38.81</v>
      </c>
      <c r="G3368" s="88">
        <f t="shared" si="1"/>
        <v>6.42</v>
      </c>
      <c r="H3368" s="89">
        <f t="shared" si="10"/>
        <v>0.1654212832</v>
      </c>
      <c r="I3368" s="78" t="s">
        <v>4063</v>
      </c>
      <c r="J3368" s="78" t="s">
        <v>69</v>
      </c>
      <c r="K3368" s="58">
        <f t="shared" si="3"/>
        <v>31</v>
      </c>
      <c r="L3368" s="91" t="str">
        <f t="shared" si="8"/>
        <v>Sat</v>
      </c>
      <c r="M3368" s="78" t="str">
        <f>IFERROR(VLOOKUP(A3368, Entries!A:B,2,false),"")</f>
        <v>Rebellion</v>
      </c>
      <c r="N3368" s="23" t="str">
        <f>IFERROR(VLOOKUP(A3368, Entries!A:K,11,false),"")</f>
        <v/>
      </c>
      <c r="O3368" s="23" t="b">
        <f>IFERROR(VLOOKUP(A3368, Entries!A:I,8,false),"")</f>
        <v>0</v>
      </c>
    </row>
    <row r="3369">
      <c r="A3369" s="78" t="s">
        <v>4064</v>
      </c>
      <c r="B3369" s="78" t="s">
        <v>21</v>
      </c>
      <c r="C3369" s="85">
        <v>45056.0</v>
      </c>
      <c r="D3369" s="85">
        <v>45068.0</v>
      </c>
      <c r="E3369" s="86">
        <v>8.14</v>
      </c>
      <c r="F3369" s="87">
        <v>10.04</v>
      </c>
      <c r="G3369" s="88">
        <f t="shared" si="1"/>
        <v>1.9</v>
      </c>
      <c r="H3369" s="89">
        <f t="shared" si="10"/>
        <v>0.1892430279</v>
      </c>
      <c r="I3369" s="78" t="s">
        <v>4065</v>
      </c>
      <c r="J3369" s="78" t="s">
        <v>69</v>
      </c>
      <c r="K3369" s="58">
        <f t="shared" si="3"/>
        <v>12</v>
      </c>
      <c r="L3369" s="91" t="str">
        <f t="shared" si="8"/>
        <v>Mon</v>
      </c>
      <c r="M3369" s="78" t="str">
        <f>IFERROR(VLOOKUP(A3369, Entries!A:B,2,false),"")</f>
        <v>WanadevStudio</v>
      </c>
      <c r="N3369" s="23" t="str">
        <f>IFERROR(VLOOKUP(A3369, Entries!A:K,11,false),"")</f>
        <v/>
      </c>
      <c r="O3369" s="23" t="b">
        <f>IFERROR(VLOOKUP(A3369, Entries!A:I,8,false),"")</f>
        <v>0</v>
      </c>
    </row>
    <row r="3370">
      <c r="A3370" s="78" t="s">
        <v>1336</v>
      </c>
      <c r="B3370" s="78" t="s">
        <v>27</v>
      </c>
      <c r="C3370" s="85">
        <v>45056.0</v>
      </c>
      <c r="D3370" s="85">
        <v>45060.0</v>
      </c>
      <c r="E3370" s="86">
        <v>7.99</v>
      </c>
      <c r="F3370" s="87">
        <v>9.51</v>
      </c>
      <c r="G3370" s="88">
        <f t="shared" si="1"/>
        <v>1.52</v>
      </c>
      <c r="H3370" s="89">
        <f t="shared" si="10"/>
        <v>0.159831756</v>
      </c>
      <c r="I3370" s="78" t="s">
        <v>4066</v>
      </c>
      <c r="J3370" s="78" t="s">
        <v>69</v>
      </c>
      <c r="K3370" s="58">
        <f t="shared" si="3"/>
        <v>4</v>
      </c>
      <c r="L3370" s="91" t="str">
        <f t="shared" si="8"/>
        <v>Sun</v>
      </c>
      <c r="M3370" s="78" t="str">
        <f>IFERROR(VLOOKUP(A3370, Entries!A:B,2,false),"")</f>
        <v>Team17 Digital</v>
      </c>
      <c r="N3370" s="23" t="str">
        <f>IFERROR(VLOOKUP(A3370, Entries!A:K,11,false),"")</f>
        <v/>
      </c>
      <c r="O3370" s="23" t="b">
        <f>IFERROR(VLOOKUP(A3370, Entries!A:I,8,false),"")</f>
        <v>0</v>
      </c>
    </row>
    <row r="3371">
      <c r="A3371" s="78" t="s">
        <v>2395</v>
      </c>
      <c r="B3371" s="78" t="s">
        <v>19</v>
      </c>
      <c r="C3371" s="85">
        <v>45057.0</v>
      </c>
      <c r="D3371" s="85">
        <v>45068.0</v>
      </c>
      <c r="E3371" s="86">
        <v>9.49</v>
      </c>
      <c r="F3371" s="87">
        <v>12.36</v>
      </c>
      <c r="G3371" s="88">
        <f t="shared" si="1"/>
        <v>2.87</v>
      </c>
      <c r="H3371" s="89">
        <f t="shared" si="10"/>
        <v>0.2322006472</v>
      </c>
      <c r="I3371" s="78" t="s">
        <v>4067</v>
      </c>
      <c r="J3371" s="78" t="s">
        <v>69</v>
      </c>
      <c r="K3371" s="58">
        <f t="shared" si="3"/>
        <v>11</v>
      </c>
      <c r="L3371" s="91" t="str">
        <f t="shared" si="8"/>
        <v>Mon</v>
      </c>
      <c r="M3371" s="78" t="str">
        <f>IFERROR(VLOOKUP(A3371, Entries!A:B,2,false),"")</f>
        <v>Blue Brain Games</v>
      </c>
      <c r="N3371" s="23" t="str">
        <f>IFERROR(VLOOKUP(A3371, Entries!A:K,11,false),"")</f>
        <v/>
      </c>
      <c r="O3371" s="23" t="b">
        <f>IFERROR(VLOOKUP(A3371, Entries!A:I,8,false),"")</f>
        <v>0</v>
      </c>
    </row>
    <row r="3372">
      <c r="A3372" s="78" t="s">
        <v>2789</v>
      </c>
      <c r="B3372" s="78" t="s">
        <v>19</v>
      </c>
      <c r="C3372" s="85">
        <v>45057.0</v>
      </c>
      <c r="D3372" s="85">
        <v>45060.0</v>
      </c>
      <c r="E3372" s="86">
        <v>3.33</v>
      </c>
      <c r="F3372" s="87">
        <v>5.51</v>
      </c>
      <c r="G3372" s="88">
        <f t="shared" si="1"/>
        <v>2.18</v>
      </c>
      <c r="H3372" s="89">
        <f t="shared" si="10"/>
        <v>0.3956442831</v>
      </c>
      <c r="I3372" s="78" t="s">
        <v>4068</v>
      </c>
      <c r="J3372" s="78" t="s">
        <v>69</v>
      </c>
      <c r="K3372" s="58">
        <f t="shared" si="3"/>
        <v>3</v>
      </c>
      <c r="L3372" s="91" t="str">
        <f t="shared" si="8"/>
        <v>Sun</v>
      </c>
      <c r="M3372" s="78" t="str">
        <f>IFERROR(VLOOKUP(A3372, Entries!A:B,2,false),"")</f>
        <v>Evil Tortilla Games</v>
      </c>
      <c r="N3372" s="23" t="str">
        <f>IFERROR(VLOOKUP(A3372, Entries!A:K,11,false),"")</f>
        <v/>
      </c>
      <c r="O3372" s="23" t="b">
        <f>IFERROR(VLOOKUP(A3372, Entries!A:I,8,false),"")</f>
        <v>1</v>
      </c>
    </row>
    <row r="3373">
      <c r="A3373" s="78" t="s">
        <v>2561</v>
      </c>
      <c r="B3373" s="78" t="s">
        <v>27</v>
      </c>
      <c r="C3373" s="85">
        <v>45057.0</v>
      </c>
      <c r="D3373" s="85">
        <v>45059.0</v>
      </c>
      <c r="E3373" s="86">
        <v>9.19</v>
      </c>
      <c r="F3373" s="87">
        <v>15.17</v>
      </c>
      <c r="G3373" s="88">
        <f t="shared" si="1"/>
        <v>5.98</v>
      </c>
      <c r="H3373" s="89">
        <f t="shared" si="10"/>
        <v>0.3941990771</v>
      </c>
      <c r="I3373" s="78" t="s">
        <v>4069</v>
      </c>
      <c r="J3373" s="78" t="s">
        <v>69</v>
      </c>
      <c r="K3373" s="58">
        <f t="shared" si="3"/>
        <v>2</v>
      </c>
      <c r="L3373" s="91" t="str">
        <f t="shared" si="8"/>
        <v>Sat</v>
      </c>
      <c r="M3373" s="78" t="str">
        <f>IFERROR(VLOOKUP(A3373, Entries!A:B,2,false),"")</f>
        <v>Private Division</v>
      </c>
      <c r="N3373" s="23" t="str">
        <f>IFERROR(VLOOKUP(A3373, Entries!A:K,11,false),"")</f>
        <v/>
      </c>
      <c r="O3373" s="23" t="b">
        <f>IFERROR(VLOOKUP(A3373, Entries!A:I,8,false),"")</f>
        <v>0</v>
      </c>
    </row>
    <row r="3374">
      <c r="A3374" s="78" t="s">
        <v>2789</v>
      </c>
      <c r="B3374" s="78" t="s">
        <v>19</v>
      </c>
      <c r="C3374" s="85">
        <v>45057.0</v>
      </c>
      <c r="D3374" s="85">
        <v>45060.0</v>
      </c>
      <c r="E3374" s="86">
        <v>3.35</v>
      </c>
      <c r="F3374" s="87">
        <v>5.52</v>
      </c>
      <c r="G3374" s="88">
        <f t="shared" si="1"/>
        <v>2.17</v>
      </c>
      <c r="H3374" s="89">
        <f t="shared" si="10"/>
        <v>0.393115942</v>
      </c>
      <c r="I3374" s="78" t="s">
        <v>4070</v>
      </c>
      <c r="J3374" s="78" t="s">
        <v>69</v>
      </c>
      <c r="K3374" s="58">
        <f t="shared" si="3"/>
        <v>3</v>
      </c>
      <c r="L3374" s="91" t="str">
        <f t="shared" si="8"/>
        <v>Sun</v>
      </c>
      <c r="M3374" s="78" t="str">
        <f>IFERROR(VLOOKUP(A3374, Entries!A:B,2,false),"")</f>
        <v>Evil Tortilla Games</v>
      </c>
      <c r="N3374" s="23" t="str">
        <f>IFERROR(VLOOKUP(A3374, Entries!A:K,11,false),"")</f>
        <v/>
      </c>
      <c r="O3374" s="23" t="b">
        <f>IFERROR(VLOOKUP(A3374, Entries!A:I,8,false),"")</f>
        <v>1</v>
      </c>
    </row>
    <row r="3375">
      <c r="A3375" s="78" t="s">
        <v>3325</v>
      </c>
      <c r="B3375" s="78" t="s">
        <v>19</v>
      </c>
      <c r="C3375" s="85">
        <v>45057.0</v>
      </c>
      <c r="D3375" s="25"/>
      <c r="E3375" s="86">
        <v>3.05</v>
      </c>
      <c r="F3375" s="88"/>
      <c r="G3375" s="88">
        <f t="shared" si="1"/>
        <v>-3.05</v>
      </c>
      <c r="H3375" s="89" t="str">
        <f t="shared" si="10"/>
        <v/>
      </c>
      <c r="I3375" s="103" t="s">
        <v>4071</v>
      </c>
      <c r="J3375" s="78" t="s">
        <v>1129</v>
      </c>
      <c r="K3375" s="58" t="str">
        <f t="shared" si="3"/>
        <v/>
      </c>
      <c r="L3375" s="91" t="str">
        <f t="shared" si="8"/>
        <v/>
      </c>
      <c r="M3375" s="78" t="str">
        <f>IFERROR(VLOOKUP(A3375, Entries!A:B,2,false),"")</f>
        <v>Cheesecake Dev</v>
      </c>
      <c r="N3375" s="23" t="str">
        <f>IFERROR(VLOOKUP(A3375, Entries!A:K,11,false),"")</f>
        <v/>
      </c>
      <c r="O3375" s="23" t="b">
        <f>IFERROR(VLOOKUP(A3375, Entries!A:I,8,false),"")</f>
        <v>1</v>
      </c>
    </row>
    <row r="3376">
      <c r="A3376" s="78" t="s">
        <v>3169</v>
      </c>
      <c r="B3376" s="78" t="s">
        <v>19</v>
      </c>
      <c r="C3376" s="85">
        <v>45057.0</v>
      </c>
      <c r="D3376" s="25"/>
      <c r="E3376" s="86">
        <v>3.05</v>
      </c>
      <c r="F3376" s="88"/>
      <c r="G3376" s="88">
        <f t="shared" si="1"/>
        <v>-3.05</v>
      </c>
      <c r="H3376" s="89" t="str">
        <f t="shared" si="10"/>
        <v/>
      </c>
      <c r="I3376" s="103" t="s">
        <v>4072</v>
      </c>
      <c r="J3376" s="78" t="s">
        <v>1129</v>
      </c>
      <c r="K3376" s="58" t="str">
        <f t="shared" si="3"/>
        <v/>
      </c>
      <c r="L3376" s="91" t="str">
        <f t="shared" si="8"/>
        <v/>
      </c>
      <c r="M3376" s="78" t="str">
        <f>IFERROR(VLOOKUP(A3376, Entries!A:B,2,false),"")</f>
        <v>HypeTrain Digital</v>
      </c>
      <c r="N3376" s="23" t="str">
        <f>IFERROR(VLOOKUP(A3376, Entries!A:K,11,false),"")</f>
        <v/>
      </c>
      <c r="O3376" s="23" t="b">
        <f>IFERROR(VLOOKUP(A3376, Entries!A:I,8,false),"")</f>
        <v>0</v>
      </c>
    </row>
    <row r="3377">
      <c r="A3377" s="78" t="s">
        <v>4073</v>
      </c>
      <c r="B3377" s="78" t="s">
        <v>19</v>
      </c>
      <c r="C3377" s="85">
        <v>45057.0</v>
      </c>
      <c r="D3377" s="85">
        <v>45058.0</v>
      </c>
      <c r="E3377" s="86">
        <v>3.05</v>
      </c>
      <c r="F3377" s="87">
        <v>3.42</v>
      </c>
      <c r="G3377" s="88">
        <f t="shared" si="1"/>
        <v>0.37</v>
      </c>
      <c r="H3377" s="89">
        <f t="shared" si="10"/>
        <v>0.1081871345</v>
      </c>
      <c r="I3377" s="78" t="s">
        <v>65</v>
      </c>
      <c r="J3377" s="78" t="s">
        <v>69</v>
      </c>
      <c r="K3377" s="58">
        <f t="shared" si="3"/>
        <v>1</v>
      </c>
      <c r="L3377" s="91" t="str">
        <f t="shared" si="8"/>
        <v>Fri</v>
      </c>
      <c r="M3377" s="78" t="str">
        <f>IFERROR(VLOOKUP(A3377, Entries!A:B,2,false),"")</f>
        <v>Weather Factory</v>
      </c>
      <c r="N3377" s="23" t="str">
        <f>IFERROR(VLOOKUP(A3377, Entries!A:K,11,false),"")</f>
        <v/>
      </c>
      <c r="O3377" s="23" t="b">
        <f>IFERROR(VLOOKUP(A3377, Entries!A:I,8,false),"")</f>
        <v>0</v>
      </c>
    </row>
    <row r="3378">
      <c r="A3378" s="78" t="s">
        <v>4074</v>
      </c>
      <c r="B3378" s="78" t="s">
        <v>27</v>
      </c>
      <c r="C3378" s="85">
        <v>45057.0</v>
      </c>
      <c r="D3378" s="85">
        <v>45058.0</v>
      </c>
      <c r="E3378" s="86">
        <v>24.09</v>
      </c>
      <c r="F3378" s="87">
        <v>30.97</v>
      </c>
      <c r="G3378" s="88">
        <f t="shared" si="1"/>
        <v>6.88</v>
      </c>
      <c r="H3378" s="89">
        <f t="shared" si="10"/>
        <v>0.2221504682</v>
      </c>
      <c r="I3378" s="78" t="s">
        <v>4075</v>
      </c>
      <c r="J3378" s="78" t="s">
        <v>69</v>
      </c>
      <c r="K3378" s="58">
        <f t="shared" si="3"/>
        <v>1</v>
      </c>
      <c r="L3378" s="91" t="str">
        <f t="shared" si="8"/>
        <v>Fri</v>
      </c>
      <c r="M3378" s="78" t="str">
        <f>IFERROR(VLOOKUP(A3378, Entries!A:B,2,false),"")</f>
        <v>Bungie</v>
      </c>
      <c r="N3378" s="23" t="str">
        <f>IFERROR(VLOOKUP(A3378, Entries!A:K,11,false),"")</f>
        <v/>
      </c>
      <c r="O3378" s="23" t="b">
        <f>IFERROR(VLOOKUP(A3378, Entries!A:I,8,false),"")</f>
        <v>0</v>
      </c>
    </row>
    <row r="3379">
      <c r="A3379" s="94" t="s">
        <v>3366</v>
      </c>
      <c r="B3379" s="78" t="s">
        <v>21</v>
      </c>
      <c r="C3379" s="85">
        <v>45058.0</v>
      </c>
      <c r="D3379" s="85">
        <v>45582.0</v>
      </c>
      <c r="E3379" s="86">
        <v>7.91</v>
      </c>
      <c r="F3379" s="87">
        <v>8.32</v>
      </c>
      <c r="G3379" s="88">
        <f t="shared" si="1"/>
        <v>0.41</v>
      </c>
      <c r="H3379" s="89">
        <f t="shared" si="10"/>
        <v>0.04927884615</v>
      </c>
      <c r="I3379" s="78" t="s">
        <v>4076</v>
      </c>
      <c r="J3379" s="78" t="s">
        <v>69</v>
      </c>
      <c r="K3379" s="58">
        <f t="shared" si="3"/>
        <v>524</v>
      </c>
      <c r="L3379" s="91" t="str">
        <f t="shared" si="8"/>
        <v>Thu</v>
      </c>
      <c r="M3379" s="78" t="str">
        <f>IFERROR(VLOOKUP(A3379, Entries!A:B,2,false),"")</f>
        <v>Sector D2</v>
      </c>
      <c r="N3379" s="23" t="str">
        <f>IFERROR(VLOOKUP(A3379, Entries!A:K,11,false),"")</f>
        <v/>
      </c>
      <c r="O3379" s="23" t="b">
        <f>IFERROR(VLOOKUP(A3379, Entries!A:I,8,false),"")</f>
        <v>0</v>
      </c>
    </row>
    <row r="3380">
      <c r="A3380" s="78" t="s">
        <v>1849</v>
      </c>
      <c r="B3380" s="78" t="s">
        <v>19</v>
      </c>
      <c r="C3380" s="85">
        <v>45058.0</v>
      </c>
      <c r="D3380" s="85">
        <v>45067.0</v>
      </c>
      <c r="E3380" s="86">
        <v>3.88</v>
      </c>
      <c r="F3380" s="87">
        <v>6.57</v>
      </c>
      <c r="G3380" s="88">
        <f t="shared" si="1"/>
        <v>2.69</v>
      </c>
      <c r="H3380" s="89">
        <f t="shared" si="10"/>
        <v>0.4094368341</v>
      </c>
      <c r="I3380" s="78" t="s">
        <v>4077</v>
      </c>
      <c r="J3380" s="78" t="s">
        <v>69</v>
      </c>
      <c r="K3380" s="58">
        <f t="shared" si="3"/>
        <v>9</v>
      </c>
      <c r="L3380" s="91" t="str">
        <f t="shared" si="8"/>
        <v>Sun</v>
      </c>
      <c r="M3380" s="78" t="str">
        <f>IFERROR(VLOOKUP(A3380, Entries!A:B,2,false),"")</f>
        <v>Marmalade Game Studio</v>
      </c>
      <c r="N3380" s="23" t="str">
        <f>IFERROR(VLOOKUP(A3380, Entries!A:K,11,false),"")</f>
        <v/>
      </c>
      <c r="O3380" s="23" t="b">
        <f>IFERROR(VLOOKUP(A3380, Entries!A:I,8,false),"")</f>
        <v>0</v>
      </c>
    </row>
    <row r="3381">
      <c r="A3381" s="78" t="s">
        <v>1023</v>
      </c>
      <c r="B3381" s="78" t="s">
        <v>32</v>
      </c>
      <c r="C3381" s="85">
        <v>45058.0</v>
      </c>
      <c r="D3381" s="25"/>
      <c r="E3381" s="86">
        <v>4.83</v>
      </c>
      <c r="F3381" s="88"/>
      <c r="G3381" s="88">
        <f t="shared" si="1"/>
        <v>-4.83</v>
      </c>
      <c r="H3381" s="89" t="str">
        <f t="shared" si="10"/>
        <v/>
      </c>
      <c r="I3381" s="103" t="s">
        <v>4078</v>
      </c>
      <c r="J3381" s="78" t="s">
        <v>1129</v>
      </c>
      <c r="K3381" s="58" t="str">
        <f t="shared" si="3"/>
        <v/>
      </c>
      <c r="L3381" s="91" t="str">
        <f t="shared" si="8"/>
        <v/>
      </c>
      <c r="M3381" s="78" t="str">
        <f>IFERROR(VLOOKUP(A3381, Entries!A:B,2,false),"")</f>
        <v>Square Enix</v>
      </c>
      <c r="N3381" s="23" t="str">
        <f>IFERROR(VLOOKUP(A3381, Entries!A:K,11,false),"")</f>
        <v/>
      </c>
      <c r="O3381" s="23" t="b">
        <f>IFERROR(VLOOKUP(A3381, Entries!A:I,8,false),"")</f>
        <v>0</v>
      </c>
    </row>
    <row r="3382">
      <c r="A3382" s="78" t="s">
        <v>1023</v>
      </c>
      <c r="B3382" s="78" t="s">
        <v>32</v>
      </c>
      <c r="C3382" s="85">
        <v>45058.0</v>
      </c>
      <c r="D3382" s="25"/>
      <c r="E3382" s="86">
        <v>4.84</v>
      </c>
      <c r="F3382" s="88"/>
      <c r="G3382" s="88">
        <f t="shared" si="1"/>
        <v>-4.84</v>
      </c>
      <c r="H3382" s="89" t="str">
        <f t="shared" si="10"/>
        <v/>
      </c>
      <c r="I3382" s="103" t="s">
        <v>4079</v>
      </c>
      <c r="J3382" s="78" t="s">
        <v>1129</v>
      </c>
      <c r="K3382" s="58" t="str">
        <f t="shared" si="3"/>
        <v/>
      </c>
      <c r="L3382" s="91" t="str">
        <f t="shared" si="8"/>
        <v/>
      </c>
      <c r="M3382" s="78" t="str">
        <f>IFERROR(VLOOKUP(A3382, Entries!A:B,2,false),"")</f>
        <v>Square Enix</v>
      </c>
      <c r="N3382" s="23" t="str">
        <f>IFERROR(VLOOKUP(A3382, Entries!A:K,11,false),"")</f>
        <v/>
      </c>
      <c r="O3382" s="23" t="b">
        <f>IFERROR(VLOOKUP(A3382, Entries!A:I,8,false),"")</f>
        <v>0</v>
      </c>
    </row>
    <row r="3383">
      <c r="A3383" s="78" t="s">
        <v>1023</v>
      </c>
      <c r="B3383" s="78" t="s">
        <v>32</v>
      </c>
      <c r="C3383" s="85">
        <v>45058.0</v>
      </c>
      <c r="D3383" s="25"/>
      <c r="E3383" s="86">
        <v>4.84</v>
      </c>
      <c r="F3383" s="88"/>
      <c r="G3383" s="88">
        <f t="shared" si="1"/>
        <v>-4.84</v>
      </c>
      <c r="H3383" s="89" t="str">
        <f t="shared" si="10"/>
        <v/>
      </c>
      <c r="I3383" s="103" t="s">
        <v>4080</v>
      </c>
      <c r="J3383" s="78" t="s">
        <v>1129</v>
      </c>
      <c r="K3383" s="58" t="str">
        <f t="shared" si="3"/>
        <v/>
      </c>
      <c r="L3383" s="91" t="str">
        <f t="shared" si="8"/>
        <v/>
      </c>
      <c r="M3383" s="78" t="str">
        <f>IFERROR(VLOOKUP(A3383, Entries!A:B,2,false),"")</f>
        <v>Square Enix</v>
      </c>
      <c r="N3383" s="23" t="str">
        <f>IFERROR(VLOOKUP(A3383, Entries!A:K,11,false),"")</f>
        <v/>
      </c>
      <c r="O3383" s="23" t="b">
        <f>IFERROR(VLOOKUP(A3383, Entries!A:I,8,false),"")</f>
        <v>0</v>
      </c>
    </row>
    <row r="3384">
      <c r="A3384" s="78" t="s">
        <v>2031</v>
      </c>
      <c r="B3384" s="78" t="s">
        <v>21</v>
      </c>
      <c r="C3384" s="85">
        <v>45058.0</v>
      </c>
      <c r="D3384" s="85">
        <v>45070.0</v>
      </c>
      <c r="E3384" s="86">
        <v>29.25</v>
      </c>
      <c r="F3384" s="87">
        <v>39.13</v>
      </c>
      <c r="G3384" s="88">
        <f t="shared" si="1"/>
        <v>9.88</v>
      </c>
      <c r="H3384" s="89">
        <f t="shared" si="10"/>
        <v>0.2524916944</v>
      </c>
      <c r="I3384" s="78" t="s">
        <v>4081</v>
      </c>
      <c r="J3384" s="78" t="s">
        <v>69</v>
      </c>
      <c r="K3384" s="58">
        <f t="shared" si="3"/>
        <v>12</v>
      </c>
      <c r="L3384" s="91" t="str">
        <f t="shared" si="8"/>
        <v>Wed</v>
      </c>
      <c r="M3384" s="78" t="str">
        <f>IFERROR(VLOOKUP(A3384, Entries!A:B,2,false),"")</f>
        <v>KOEI TECMO GAMES</v>
      </c>
      <c r="N3384" s="23" t="str">
        <f>IFERROR(VLOOKUP(A3384, Entries!A:K,11,false),"")</f>
        <v/>
      </c>
      <c r="O3384" s="23" t="b">
        <f>IFERROR(VLOOKUP(A3384, Entries!A:I,8,false),"")</f>
        <v>0</v>
      </c>
    </row>
    <row r="3385">
      <c r="A3385" s="78" t="s">
        <v>4074</v>
      </c>
      <c r="B3385" s="78" t="s">
        <v>27</v>
      </c>
      <c r="C3385" s="85">
        <v>45058.0</v>
      </c>
      <c r="D3385" s="85">
        <v>45059.0</v>
      </c>
      <c r="E3385" s="86">
        <v>24.09</v>
      </c>
      <c r="F3385" s="87">
        <v>30.98</v>
      </c>
      <c r="G3385" s="88">
        <f t="shared" si="1"/>
        <v>6.89</v>
      </c>
      <c r="H3385" s="89">
        <f t="shared" si="10"/>
        <v>0.2224015494</v>
      </c>
      <c r="I3385" s="78" t="s">
        <v>4082</v>
      </c>
      <c r="J3385" s="78" t="s">
        <v>69</v>
      </c>
      <c r="K3385" s="58">
        <f t="shared" si="3"/>
        <v>1</v>
      </c>
      <c r="L3385" s="91" t="str">
        <f t="shared" si="8"/>
        <v>Sat</v>
      </c>
      <c r="M3385" s="78" t="str">
        <f>IFERROR(VLOOKUP(A3385, Entries!A:B,2,false),"")</f>
        <v>Bungie</v>
      </c>
      <c r="N3385" s="23" t="str">
        <f>IFERROR(VLOOKUP(A3385, Entries!A:K,11,false),"")</f>
        <v/>
      </c>
      <c r="O3385" s="23" t="b">
        <f>IFERROR(VLOOKUP(A3385, Entries!A:I,8,false),"")</f>
        <v>0</v>
      </c>
    </row>
    <row r="3386">
      <c r="A3386" s="78" t="s">
        <v>4074</v>
      </c>
      <c r="B3386" s="78" t="s">
        <v>27</v>
      </c>
      <c r="C3386" s="85">
        <v>45058.0</v>
      </c>
      <c r="D3386" s="85">
        <v>45059.0</v>
      </c>
      <c r="E3386" s="86">
        <v>24.09</v>
      </c>
      <c r="F3386" s="87">
        <v>29.11</v>
      </c>
      <c r="G3386" s="88">
        <f t="shared" si="1"/>
        <v>5.02</v>
      </c>
      <c r="H3386" s="89">
        <f t="shared" si="10"/>
        <v>0.1724493301</v>
      </c>
      <c r="I3386" s="78" t="s">
        <v>4083</v>
      </c>
      <c r="J3386" s="78" t="s">
        <v>69</v>
      </c>
      <c r="K3386" s="58">
        <f t="shared" si="3"/>
        <v>1</v>
      </c>
      <c r="L3386" s="91" t="str">
        <f t="shared" si="8"/>
        <v>Sat</v>
      </c>
      <c r="M3386" s="78" t="str">
        <f>IFERROR(VLOOKUP(A3386, Entries!A:B,2,false),"")</f>
        <v>Bungie</v>
      </c>
      <c r="N3386" s="23" t="str">
        <f>IFERROR(VLOOKUP(A3386, Entries!A:K,11,false),"")</f>
        <v/>
      </c>
      <c r="O3386" s="23" t="b">
        <f>IFERROR(VLOOKUP(A3386, Entries!A:I,8,false),"")</f>
        <v>0</v>
      </c>
    </row>
    <row r="3387">
      <c r="A3387" s="78" t="s">
        <v>3897</v>
      </c>
      <c r="B3387" s="78" t="s">
        <v>27</v>
      </c>
      <c r="C3387" s="85">
        <v>45059.0</v>
      </c>
      <c r="D3387" s="85">
        <v>45109.0</v>
      </c>
      <c r="E3387" s="86">
        <v>4.39</v>
      </c>
      <c r="F3387" s="87">
        <v>5.49</v>
      </c>
      <c r="G3387" s="88">
        <f t="shared" si="1"/>
        <v>1.1</v>
      </c>
      <c r="H3387" s="89">
        <f t="shared" si="10"/>
        <v>0.2003642987</v>
      </c>
      <c r="I3387" s="78" t="s">
        <v>4084</v>
      </c>
      <c r="J3387" s="78" t="s">
        <v>69</v>
      </c>
      <c r="K3387" s="58">
        <f t="shared" si="3"/>
        <v>50</v>
      </c>
      <c r="L3387" s="91" t="str">
        <f t="shared" si="8"/>
        <v>Sun</v>
      </c>
      <c r="M3387" s="78" t="str">
        <f>IFERROR(VLOOKUP(A3387, Entries!A:B,2,false),"")</f>
        <v>Bethesda Softworks</v>
      </c>
      <c r="N3387" s="23" t="str">
        <f>IFERROR(VLOOKUP(A3387, Entries!A:K,11,false),"")</f>
        <v/>
      </c>
      <c r="O3387" s="23" t="b">
        <f>IFERROR(VLOOKUP(A3387, Entries!A:I,8,false),"")</f>
        <v>0</v>
      </c>
    </row>
    <row r="3388">
      <c r="A3388" s="78" t="s">
        <v>4085</v>
      </c>
      <c r="B3388" s="78" t="s">
        <v>27</v>
      </c>
      <c r="C3388" s="85">
        <v>45059.0</v>
      </c>
      <c r="D3388" s="85">
        <v>45060.0</v>
      </c>
      <c r="E3388" s="86">
        <v>5.69</v>
      </c>
      <c r="F3388" s="87">
        <v>7.88</v>
      </c>
      <c r="G3388" s="88">
        <f t="shared" si="1"/>
        <v>2.19</v>
      </c>
      <c r="H3388" s="89">
        <f t="shared" si="10"/>
        <v>0.2779187817</v>
      </c>
      <c r="I3388" s="78" t="s">
        <v>4086</v>
      </c>
      <c r="J3388" s="78" t="s">
        <v>69</v>
      </c>
      <c r="K3388" s="58">
        <f t="shared" si="3"/>
        <v>1</v>
      </c>
      <c r="L3388" s="91" t="str">
        <f t="shared" si="8"/>
        <v>Sun</v>
      </c>
      <c r="M3388" s="78" t="str">
        <f>IFERROR(VLOOKUP(A3388, Entries!A:B,2,false),"")</f>
        <v>Bethesda Softworks</v>
      </c>
      <c r="N3388" s="23" t="str">
        <f>IFERROR(VLOOKUP(A3388, Entries!A:K,11,false),"")</f>
        <v/>
      </c>
      <c r="O3388" s="23" t="b">
        <f>IFERROR(VLOOKUP(A3388, Entries!A:I,8,false),"")</f>
        <v>0</v>
      </c>
    </row>
    <row r="3389">
      <c r="A3389" s="78" t="s">
        <v>4074</v>
      </c>
      <c r="B3389" s="78" t="s">
        <v>27</v>
      </c>
      <c r="C3389" s="85">
        <v>45059.0</v>
      </c>
      <c r="D3389" s="85">
        <v>45061.0</v>
      </c>
      <c r="E3389" s="86">
        <v>24.09</v>
      </c>
      <c r="F3389" s="87">
        <v>34.47</v>
      </c>
      <c r="G3389" s="88">
        <f t="shared" si="1"/>
        <v>10.38</v>
      </c>
      <c r="H3389" s="89">
        <f t="shared" si="10"/>
        <v>0.3011314186</v>
      </c>
      <c r="I3389" s="78" t="s">
        <v>4087</v>
      </c>
      <c r="J3389" s="78" t="s">
        <v>69</v>
      </c>
      <c r="K3389" s="58">
        <f t="shared" si="3"/>
        <v>2</v>
      </c>
      <c r="L3389" s="91" t="str">
        <f t="shared" si="8"/>
        <v>Mon</v>
      </c>
      <c r="M3389" s="78" t="str">
        <f>IFERROR(VLOOKUP(A3389, Entries!A:B,2,false),"")</f>
        <v>Bungie</v>
      </c>
      <c r="N3389" s="23" t="str">
        <f>IFERROR(VLOOKUP(A3389, Entries!A:K,11,false),"")</f>
        <v/>
      </c>
      <c r="O3389" s="23" t="b">
        <f>IFERROR(VLOOKUP(A3389, Entries!A:I,8,false),"")</f>
        <v>0</v>
      </c>
    </row>
    <row r="3390">
      <c r="A3390" s="78" t="s">
        <v>2789</v>
      </c>
      <c r="B3390" s="78" t="s">
        <v>19</v>
      </c>
      <c r="C3390" s="85">
        <v>45060.0</v>
      </c>
      <c r="D3390" s="85">
        <v>45060.0</v>
      </c>
      <c r="E3390" s="86">
        <v>3.33</v>
      </c>
      <c r="F3390" s="87">
        <v>5.61</v>
      </c>
      <c r="G3390" s="88">
        <f t="shared" si="1"/>
        <v>2.28</v>
      </c>
      <c r="H3390" s="89">
        <f t="shared" si="10"/>
        <v>0.4064171123</v>
      </c>
      <c r="I3390" s="78" t="s">
        <v>4088</v>
      </c>
      <c r="J3390" s="78" t="s">
        <v>69</v>
      </c>
      <c r="K3390" s="58">
        <f t="shared" si="3"/>
        <v>0</v>
      </c>
      <c r="L3390" s="91" t="str">
        <f t="shared" si="8"/>
        <v>Sun</v>
      </c>
      <c r="M3390" s="78" t="str">
        <f>IFERROR(VLOOKUP(A3390, Entries!A:B,2,false),"")</f>
        <v>Evil Tortilla Games</v>
      </c>
      <c r="N3390" s="23" t="str">
        <f>IFERROR(VLOOKUP(A3390, Entries!A:K,11,false),"")</f>
        <v/>
      </c>
      <c r="O3390" s="23" t="b">
        <f>IFERROR(VLOOKUP(A3390, Entries!A:I,8,false),"")</f>
        <v>1</v>
      </c>
    </row>
    <row r="3391">
      <c r="A3391" s="78" t="s">
        <v>4089</v>
      </c>
      <c r="B3391" s="78" t="s">
        <v>21</v>
      </c>
      <c r="C3391" s="85">
        <v>45062.0</v>
      </c>
      <c r="D3391" s="85">
        <v>45077.0</v>
      </c>
      <c r="E3391" s="86">
        <v>5.0</v>
      </c>
      <c r="F3391" s="87">
        <v>6.37</v>
      </c>
      <c r="G3391" s="88">
        <f t="shared" si="1"/>
        <v>1.37</v>
      </c>
      <c r="H3391" s="89">
        <f t="shared" si="10"/>
        <v>0.2150706436</v>
      </c>
      <c r="I3391" s="78" t="s">
        <v>4090</v>
      </c>
      <c r="J3391" s="78" t="s">
        <v>69</v>
      </c>
      <c r="K3391" s="58">
        <f t="shared" si="3"/>
        <v>15</v>
      </c>
      <c r="L3391" s="91" t="str">
        <f t="shared" si="8"/>
        <v>Wed</v>
      </c>
      <c r="M3391" s="78" t="str">
        <f>IFERROR(VLOOKUP(A3391, Entries!A:B,2,false),"")</f>
        <v>Freedom Games</v>
      </c>
      <c r="N3391" s="23" t="str">
        <f>IFERROR(VLOOKUP(A3391, Entries!A:K,11,false),"")</f>
        <v/>
      </c>
      <c r="O3391" s="23" t="b">
        <f>IFERROR(VLOOKUP(A3391, Entries!A:I,8,false),"")</f>
        <v>0</v>
      </c>
    </row>
    <row r="3392">
      <c r="A3392" s="78" t="s">
        <v>2789</v>
      </c>
      <c r="B3392" s="78" t="s">
        <v>19</v>
      </c>
      <c r="C3392" s="85">
        <v>45069.0</v>
      </c>
      <c r="D3392" s="85">
        <v>45072.0</v>
      </c>
      <c r="E3392" s="86">
        <v>3.33</v>
      </c>
      <c r="F3392" s="87">
        <v>5.43</v>
      </c>
      <c r="G3392" s="88">
        <f t="shared" si="1"/>
        <v>2.1</v>
      </c>
      <c r="H3392" s="89">
        <f t="shared" si="10"/>
        <v>0.3867403315</v>
      </c>
      <c r="I3392" s="78" t="s">
        <v>4091</v>
      </c>
      <c r="J3392" s="78" t="s">
        <v>69</v>
      </c>
      <c r="K3392" s="58">
        <f t="shared" si="3"/>
        <v>3</v>
      </c>
      <c r="L3392" s="91" t="str">
        <f t="shared" si="8"/>
        <v>Fri</v>
      </c>
      <c r="M3392" s="78" t="str">
        <f>IFERROR(VLOOKUP(A3392, Entries!A:B,2,false),"")</f>
        <v>Evil Tortilla Games</v>
      </c>
      <c r="N3392" s="23" t="str">
        <f>IFERROR(VLOOKUP(A3392, Entries!A:K,11,false),"")</f>
        <v/>
      </c>
      <c r="O3392" s="23" t="b">
        <f>IFERROR(VLOOKUP(A3392, Entries!A:I,8,false),"")</f>
        <v>1</v>
      </c>
    </row>
    <row r="3393">
      <c r="A3393" s="78" t="s">
        <v>2891</v>
      </c>
      <c r="B3393" s="78" t="s">
        <v>27</v>
      </c>
      <c r="C3393" s="85">
        <v>45069.0</v>
      </c>
      <c r="D3393" s="85">
        <v>45069.0</v>
      </c>
      <c r="E3393" s="86">
        <v>9.19</v>
      </c>
      <c r="F3393" s="87">
        <v>15.16</v>
      </c>
      <c r="G3393" s="88">
        <f t="shared" si="1"/>
        <v>5.97</v>
      </c>
      <c r="H3393" s="89">
        <f t="shared" si="10"/>
        <v>0.3937994723</v>
      </c>
      <c r="I3393" s="78" t="s">
        <v>4092</v>
      </c>
      <c r="J3393" s="78" t="s">
        <v>69</v>
      </c>
      <c r="K3393" s="58">
        <f t="shared" si="3"/>
        <v>0</v>
      </c>
      <c r="L3393" s="91" t="str">
        <f t="shared" si="8"/>
        <v>Tue</v>
      </c>
      <c r="M3393" s="78" t="str">
        <f>IFERROR(VLOOKUP(A3393, Entries!A:B,2,false),"")</f>
        <v>Prime Matter</v>
      </c>
      <c r="N3393" s="23" t="str">
        <f>IFERROR(VLOOKUP(A3393, Entries!A:K,11,false),"")</f>
        <v/>
      </c>
      <c r="O3393" s="23" t="b">
        <f>IFERROR(VLOOKUP(A3393, Entries!A:I,8,false),"")</f>
        <v>0</v>
      </c>
    </row>
    <row r="3394">
      <c r="A3394" s="78" t="s">
        <v>2891</v>
      </c>
      <c r="B3394" s="78" t="s">
        <v>27</v>
      </c>
      <c r="C3394" s="85">
        <v>45069.0</v>
      </c>
      <c r="D3394" s="85">
        <v>45070.0</v>
      </c>
      <c r="E3394" s="86">
        <v>9.19</v>
      </c>
      <c r="F3394" s="87">
        <v>15.19</v>
      </c>
      <c r="G3394" s="88">
        <f t="shared" si="1"/>
        <v>6</v>
      </c>
      <c r="H3394" s="89">
        <f t="shared" si="10"/>
        <v>0.3949967084</v>
      </c>
      <c r="I3394" s="78" t="s">
        <v>4093</v>
      </c>
      <c r="J3394" s="78" t="s">
        <v>69</v>
      </c>
      <c r="K3394" s="58">
        <f t="shared" si="3"/>
        <v>1</v>
      </c>
      <c r="L3394" s="91" t="str">
        <f t="shared" si="8"/>
        <v>Wed</v>
      </c>
      <c r="M3394" s="78" t="str">
        <f>IFERROR(VLOOKUP(A3394, Entries!A:B,2,false),"")</f>
        <v>Prime Matter</v>
      </c>
      <c r="N3394" s="23" t="str">
        <f>IFERROR(VLOOKUP(A3394, Entries!A:K,11,false),"")</f>
        <v/>
      </c>
      <c r="O3394" s="23" t="b">
        <f>IFERROR(VLOOKUP(A3394, Entries!A:I,8,false),"")</f>
        <v>0</v>
      </c>
    </row>
    <row r="3395">
      <c r="A3395" s="78" t="s">
        <v>4064</v>
      </c>
      <c r="B3395" s="78" t="s">
        <v>21</v>
      </c>
      <c r="C3395" s="85">
        <v>45069.0</v>
      </c>
      <c r="D3395" s="85">
        <v>45070.0</v>
      </c>
      <c r="E3395" s="86">
        <v>7.91</v>
      </c>
      <c r="F3395" s="87">
        <v>9.67</v>
      </c>
      <c r="G3395" s="88">
        <f t="shared" si="1"/>
        <v>1.76</v>
      </c>
      <c r="H3395" s="89">
        <f t="shared" si="10"/>
        <v>0.1820062048</v>
      </c>
      <c r="I3395" s="78" t="s">
        <v>4094</v>
      </c>
      <c r="J3395" s="78" t="s">
        <v>69</v>
      </c>
      <c r="K3395" s="58">
        <f t="shared" si="3"/>
        <v>1</v>
      </c>
      <c r="L3395" s="91" t="str">
        <f t="shared" si="8"/>
        <v>Wed</v>
      </c>
      <c r="M3395" s="78" t="str">
        <f>IFERROR(VLOOKUP(A3395, Entries!A:B,2,false),"")</f>
        <v>WanadevStudio</v>
      </c>
      <c r="N3395" s="23" t="str">
        <f>IFERROR(VLOOKUP(A3395, Entries!A:K,11,false),"")</f>
        <v/>
      </c>
      <c r="O3395" s="23" t="b">
        <f>IFERROR(VLOOKUP(A3395, Entries!A:I,8,false),"")</f>
        <v>0</v>
      </c>
    </row>
    <row r="3396">
      <c r="A3396" s="78" t="s">
        <v>1336</v>
      </c>
      <c r="B3396" s="78" t="s">
        <v>27</v>
      </c>
      <c r="C3396" s="85">
        <v>45069.0</v>
      </c>
      <c r="D3396" s="85">
        <v>45109.0</v>
      </c>
      <c r="E3396" s="86">
        <v>9.19</v>
      </c>
      <c r="F3396" s="87">
        <v>10.86</v>
      </c>
      <c r="G3396" s="88">
        <f t="shared" si="1"/>
        <v>1.67</v>
      </c>
      <c r="H3396" s="89">
        <f t="shared" si="10"/>
        <v>0.1537753223</v>
      </c>
      <c r="I3396" s="78" t="s">
        <v>4095</v>
      </c>
      <c r="J3396" s="78" t="s">
        <v>69</v>
      </c>
      <c r="K3396" s="58">
        <f t="shared" si="3"/>
        <v>40</v>
      </c>
      <c r="L3396" s="91" t="str">
        <f t="shared" si="8"/>
        <v>Sun</v>
      </c>
      <c r="M3396" s="78" t="str">
        <f>IFERROR(VLOOKUP(A3396, Entries!A:B,2,false),"")</f>
        <v>Team17 Digital</v>
      </c>
      <c r="N3396" s="23" t="str">
        <f>IFERROR(VLOOKUP(A3396, Entries!A:K,11,false),"")</f>
        <v/>
      </c>
      <c r="O3396" s="23" t="b">
        <f>IFERROR(VLOOKUP(A3396, Entries!A:I,8,false),"")</f>
        <v>0</v>
      </c>
    </row>
    <row r="3397">
      <c r="A3397" s="78" t="s">
        <v>4096</v>
      </c>
      <c r="B3397" s="78" t="s">
        <v>25</v>
      </c>
      <c r="C3397" s="85">
        <v>45069.0</v>
      </c>
      <c r="D3397" s="85">
        <v>45109.0</v>
      </c>
      <c r="E3397" s="86">
        <v>26.5</v>
      </c>
      <c r="F3397" s="87">
        <v>33.19</v>
      </c>
      <c r="G3397" s="88">
        <f t="shared" si="1"/>
        <v>6.69</v>
      </c>
      <c r="H3397" s="89">
        <f t="shared" si="10"/>
        <v>0.201566737</v>
      </c>
      <c r="I3397" s="78" t="s">
        <v>4097</v>
      </c>
      <c r="J3397" s="78" t="s">
        <v>69</v>
      </c>
      <c r="K3397" s="58">
        <f t="shared" si="3"/>
        <v>40</v>
      </c>
      <c r="L3397" s="91" t="str">
        <f t="shared" si="8"/>
        <v>Sun</v>
      </c>
      <c r="M3397" s="78" t="str">
        <f>IFERROR(VLOOKUP(A3397, Entries!A:B,2,false),"")</f>
        <v>Crate Entertainment</v>
      </c>
      <c r="N3397" s="23" t="str">
        <f>IFERROR(VLOOKUP(A3397, Entries!A:K,11,false),"")</f>
        <v/>
      </c>
      <c r="O3397" s="23" t="b">
        <f>IFERROR(VLOOKUP(A3397, Entries!A:I,8,false),"")</f>
        <v>0</v>
      </c>
    </row>
    <row r="3398">
      <c r="A3398" s="78" t="s">
        <v>4098</v>
      </c>
      <c r="B3398" s="78" t="s">
        <v>25</v>
      </c>
      <c r="C3398" s="85">
        <v>45069.0</v>
      </c>
      <c r="D3398" s="85">
        <v>45078.0</v>
      </c>
      <c r="E3398" s="86">
        <v>0.0</v>
      </c>
      <c r="F3398" s="87">
        <v>2.04</v>
      </c>
      <c r="G3398" s="88">
        <f t="shared" si="1"/>
        <v>2.04</v>
      </c>
      <c r="H3398" s="89">
        <f t="shared" si="10"/>
        <v>1</v>
      </c>
      <c r="I3398" s="78" t="s">
        <v>4099</v>
      </c>
      <c r="J3398" s="78" t="s">
        <v>69</v>
      </c>
      <c r="K3398" s="58">
        <f t="shared" si="3"/>
        <v>9</v>
      </c>
      <c r="L3398" s="91" t="str">
        <f t="shared" si="8"/>
        <v>Thu</v>
      </c>
      <c r="M3398" s="78" t="str">
        <f>IFERROR(VLOOKUP(A3398, Entries!A:B,2,false),"")</f>
        <v>DolphinBarn</v>
      </c>
      <c r="N3398" s="23" t="str">
        <f>IFERROR(VLOOKUP(A3398, Entries!A:K,11,false),"")</f>
        <v/>
      </c>
      <c r="O3398" s="23" t="b">
        <f>IFERROR(VLOOKUP(A3398, Entries!A:I,8,false),"")</f>
        <v>0</v>
      </c>
    </row>
    <row r="3399">
      <c r="A3399" s="78" t="s">
        <v>4100</v>
      </c>
      <c r="B3399" s="78" t="s">
        <v>25</v>
      </c>
      <c r="C3399" s="85">
        <v>45069.0</v>
      </c>
      <c r="D3399" s="85">
        <v>45070.0</v>
      </c>
      <c r="E3399" s="86">
        <v>8.87</v>
      </c>
      <c r="F3399" s="87">
        <v>11.68</v>
      </c>
      <c r="G3399" s="88">
        <f t="shared" si="1"/>
        <v>2.81</v>
      </c>
      <c r="H3399" s="89">
        <f t="shared" si="10"/>
        <v>0.2405821918</v>
      </c>
      <c r="I3399" s="78" t="s">
        <v>4101</v>
      </c>
      <c r="J3399" s="78" t="s">
        <v>69</v>
      </c>
      <c r="K3399" s="58">
        <f t="shared" si="3"/>
        <v>1</v>
      </c>
      <c r="L3399" s="91" t="str">
        <f t="shared" si="8"/>
        <v>Wed</v>
      </c>
      <c r="M3399" s="78" t="str">
        <f>IFERROR(VLOOKUP(A3399, Entries!A:B,2,false),"")</f>
        <v>Nacon</v>
      </c>
      <c r="N3399" s="23" t="str">
        <f>IFERROR(VLOOKUP(A3399, Entries!A:K,11,false),"")</f>
        <v/>
      </c>
      <c r="O3399" s="23" t="b">
        <f>IFERROR(VLOOKUP(A3399, Entries!A:I,8,false),"")</f>
        <v>0</v>
      </c>
    </row>
    <row r="3400">
      <c r="A3400" s="78" t="s">
        <v>2891</v>
      </c>
      <c r="B3400" s="78" t="s">
        <v>27</v>
      </c>
      <c r="C3400" s="85">
        <v>45070.0</v>
      </c>
      <c r="D3400" s="85">
        <v>45070.0</v>
      </c>
      <c r="E3400" s="86">
        <v>9.19</v>
      </c>
      <c r="F3400" s="87">
        <v>15.19</v>
      </c>
      <c r="G3400" s="88">
        <f t="shared" si="1"/>
        <v>6</v>
      </c>
      <c r="H3400" s="89">
        <f t="shared" si="10"/>
        <v>0.3949967084</v>
      </c>
      <c r="I3400" s="78" t="s">
        <v>4102</v>
      </c>
      <c r="J3400" s="78" t="s">
        <v>69</v>
      </c>
      <c r="K3400" s="58">
        <f t="shared" si="3"/>
        <v>0</v>
      </c>
      <c r="L3400" s="91" t="str">
        <f t="shared" si="8"/>
        <v>Wed</v>
      </c>
      <c r="M3400" s="78" t="str">
        <f>IFERROR(VLOOKUP(A3400, Entries!A:B,2,false),"")</f>
        <v>Prime Matter</v>
      </c>
      <c r="N3400" s="23" t="str">
        <f>IFERROR(VLOOKUP(A3400, Entries!A:K,11,false),"")</f>
        <v/>
      </c>
      <c r="O3400" s="23" t="b">
        <f>IFERROR(VLOOKUP(A3400, Entries!A:I,8,false),"")</f>
        <v>0</v>
      </c>
    </row>
    <row r="3401">
      <c r="A3401" s="78" t="s">
        <v>2891</v>
      </c>
      <c r="B3401" s="78" t="s">
        <v>27</v>
      </c>
      <c r="C3401" s="85">
        <v>45070.0</v>
      </c>
      <c r="D3401" s="85">
        <v>45070.0</v>
      </c>
      <c r="E3401" s="86">
        <v>9.19</v>
      </c>
      <c r="F3401" s="87">
        <v>15.19</v>
      </c>
      <c r="G3401" s="88">
        <f t="shared" si="1"/>
        <v>6</v>
      </c>
      <c r="H3401" s="89">
        <f t="shared" si="10"/>
        <v>0.3949967084</v>
      </c>
      <c r="I3401" s="78" t="s">
        <v>4103</v>
      </c>
      <c r="J3401" s="78" t="s">
        <v>69</v>
      </c>
      <c r="K3401" s="58">
        <f t="shared" si="3"/>
        <v>0</v>
      </c>
      <c r="L3401" s="91" t="str">
        <f t="shared" si="8"/>
        <v>Wed</v>
      </c>
      <c r="M3401" s="78" t="str">
        <f>IFERROR(VLOOKUP(A3401, Entries!A:B,2,false),"")</f>
        <v>Prime Matter</v>
      </c>
      <c r="N3401" s="23" t="str">
        <f>IFERROR(VLOOKUP(A3401, Entries!A:K,11,false),"")</f>
        <v/>
      </c>
      <c r="O3401" s="23" t="b">
        <f>IFERROR(VLOOKUP(A3401, Entries!A:I,8,false),"")</f>
        <v>0</v>
      </c>
    </row>
    <row r="3402">
      <c r="A3402" s="78" t="s">
        <v>2891</v>
      </c>
      <c r="B3402" s="78" t="s">
        <v>27</v>
      </c>
      <c r="C3402" s="85">
        <v>45070.0</v>
      </c>
      <c r="D3402" s="85">
        <v>45070.0</v>
      </c>
      <c r="E3402" s="86">
        <v>9.19</v>
      </c>
      <c r="F3402" s="87">
        <v>15.23</v>
      </c>
      <c r="G3402" s="88">
        <f t="shared" si="1"/>
        <v>6.04</v>
      </c>
      <c r="H3402" s="89">
        <f t="shared" si="10"/>
        <v>0.3965856861</v>
      </c>
      <c r="I3402" s="78" t="s">
        <v>4104</v>
      </c>
      <c r="J3402" s="78" t="s">
        <v>69</v>
      </c>
      <c r="K3402" s="58">
        <f t="shared" si="3"/>
        <v>0</v>
      </c>
      <c r="L3402" s="91" t="str">
        <f t="shared" si="8"/>
        <v>Wed</v>
      </c>
      <c r="M3402" s="78" t="str">
        <f>IFERROR(VLOOKUP(A3402, Entries!A:B,2,false),"")</f>
        <v>Prime Matter</v>
      </c>
      <c r="N3402" s="23" t="str">
        <f>IFERROR(VLOOKUP(A3402, Entries!A:K,11,false),"")</f>
        <v/>
      </c>
      <c r="O3402" s="23" t="b">
        <f>IFERROR(VLOOKUP(A3402, Entries!A:I,8,false),"")</f>
        <v>0</v>
      </c>
    </row>
    <row r="3403">
      <c r="A3403" s="78" t="s">
        <v>2891</v>
      </c>
      <c r="B3403" s="78" t="s">
        <v>27</v>
      </c>
      <c r="C3403" s="85">
        <v>45070.0</v>
      </c>
      <c r="D3403" s="85">
        <v>45070.0</v>
      </c>
      <c r="E3403" s="86">
        <v>9.19</v>
      </c>
      <c r="F3403" s="87">
        <v>15.23</v>
      </c>
      <c r="G3403" s="88">
        <f t="shared" si="1"/>
        <v>6.04</v>
      </c>
      <c r="H3403" s="89">
        <f t="shared" si="10"/>
        <v>0.3965856861</v>
      </c>
      <c r="I3403" s="78" t="s">
        <v>4105</v>
      </c>
      <c r="J3403" s="78" t="s">
        <v>69</v>
      </c>
      <c r="K3403" s="58">
        <f t="shared" si="3"/>
        <v>0</v>
      </c>
      <c r="L3403" s="91" t="str">
        <f t="shared" si="8"/>
        <v>Wed</v>
      </c>
      <c r="M3403" s="78" t="str">
        <f>IFERROR(VLOOKUP(A3403, Entries!A:B,2,false),"")</f>
        <v>Prime Matter</v>
      </c>
      <c r="N3403" s="23" t="str">
        <f>IFERROR(VLOOKUP(A3403, Entries!A:K,11,false),"")</f>
        <v/>
      </c>
      <c r="O3403" s="23" t="b">
        <f>IFERROR(VLOOKUP(A3403, Entries!A:I,8,false),"")</f>
        <v>0</v>
      </c>
    </row>
    <row r="3404">
      <c r="A3404" s="78" t="s">
        <v>2891</v>
      </c>
      <c r="B3404" s="78" t="s">
        <v>27</v>
      </c>
      <c r="C3404" s="85">
        <v>45070.0</v>
      </c>
      <c r="D3404" s="85">
        <v>45071.0</v>
      </c>
      <c r="E3404" s="86">
        <v>9.19</v>
      </c>
      <c r="F3404" s="87">
        <v>15.21</v>
      </c>
      <c r="G3404" s="88">
        <f t="shared" si="1"/>
        <v>6.02</v>
      </c>
      <c r="H3404" s="89">
        <f t="shared" si="10"/>
        <v>0.3957922419</v>
      </c>
      <c r="I3404" s="78" t="s">
        <v>4106</v>
      </c>
      <c r="J3404" s="78" t="s">
        <v>69</v>
      </c>
      <c r="K3404" s="58">
        <f t="shared" si="3"/>
        <v>1</v>
      </c>
      <c r="L3404" s="91" t="str">
        <f t="shared" si="8"/>
        <v>Thu</v>
      </c>
      <c r="M3404" s="78" t="str">
        <f>IFERROR(VLOOKUP(A3404, Entries!A:B,2,false),"")</f>
        <v>Prime Matter</v>
      </c>
      <c r="N3404" s="23" t="str">
        <f>IFERROR(VLOOKUP(A3404, Entries!A:K,11,false),"")</f>
        <v/>
      </c>
      <c r="O3404" s="23" t="b">
        <f>IFERROR(VLOOKUP(A3404, Entries!A:I,8,false),"")</f>
        <v>0</v>
      </c>
    </row>
    <row r="3405">
      <c r="A3405" s="78" t="s">
        <v>2891</v>
      </c>
      <c r="B3405" s="78" t="s">
        <v>27</v>
      </c>
      <c r="C3405" s="85">
        <v>45070.0</v>
      </c>
      <c r="D3405" s="85">
        <v>45071.0</v>
      </c>
      <c r="E3405" s="86">
        <v>9.19</v>
      </c>
      <c r="F3405" s="87">
        <v>15.21</v>
      </c>
      <c r="G3405" s="88">
        <f t="shared" si="1"/>
        <v>6.02</v>
      </c>
      <c r="H3405" s="89">
        <f t="shared" si="10"/>
        <v>0.3957922419</v>
      </c>
      <c r="I3405" s="78" t="s">
        <v>4107</v>
      </c>
      <c r="J3405" s="78" t="s">
        <v>69</v>
      </c>
      <c r="K3405" s="58">
        <f t="shared" si="3"/>
        <v>1</v>
      </c>
      <c r="L3405" s="91" t="str">
        <f t="shared" si="8"/>
        <v>Thu</v>
      </c>
      <c r="M3405" s="78" t="str">
        <f>IFERROR(VLOOKUP(A3405, Entries!A:B,2,false),"")</f>
        <v>Prime Matter</v>
      </c>
      <c r="N3405" s="23" t="str">
        <f>IFERROR(VLOOKUP(A3405, Entries!A:K,11,false),"")</f>
        <v/>
      </c>
      <c r="O3405" s="23" t="b">
        <f>IFERROR(VLOOKUP(A3405, Entries!A:I,8,false),"")</f>
        <v>0</v>
      </c>
    </row>
    <row r="3406">
      <c r="A3406" s="78" t="s">
        <v>883</v>
      </c>
      <c r="B3406" s="78" t="s">
        <v>27</v>
      </c>
      <c r="C3406" s="85">
        <v>45070.0</v>
      </c>
      <c r="D3406" s="85">
        <v>45158.0</v>
      </c>
      <c r="E3406" s="86">
        <v>8.59</v>
      </c>
      <c r="F3406" s="87">
        <v>9.51</v>
      </c>
      <c r="G3406" s="88">
        <f t="shared" si="1"/>
        <v>0.92</v>
      </c>
      <c r="H3406" s="89">
        <f t="shared" si="10"/>
        <v>0.0967402734</v>
      </c>
      <c r="I3406" s="78" t="s">
        <v>4108</v>
      </c>
      <c r="J3406" s="78" t="s">
        <v>69</v>
      </c>
      <c r="K3406" s="58">
        <f t="shared" si="3"/>
        <v>88</v>
      </c>
      <c r="L3406" s="91" t="str">
        <f t="shared" si="8"/>
        <v>Sun</v>
      </c>
      <c r="M3406" s="78" t="str">
        <f>IFERROR(VLOOKUP(A3406, Entries!A:B,2,false),"")</f>
        <v>Private Division</v>
      </c>
      <c r="N3406" s="23" t="str">
        <f>IFERROR(VLOOKUP(A3406, Entries!A:K,11,false),"")</f>
        <v/>
      </c>
      <c r="O3406" s="23" t="b">
        <f>IFERROR(VLOOKUP(A3406, Entries!A:I,8,false),"")</f>
        <v>0</v>
      </c>
    </row>
    <row r="3407">
      <c r="A3407" s="78" t="s">
        <v>2528</v>
      </c>
      <c r="B3407" s="78" t="s">
        <v>25</v>
      </c>
      <c r="C3407" s="85">
        <v>45070.0</v>
      </c>
      <c r="D3407" s="85">
        <v>45077.0</v>
      </c>
      <c r="E3407" s="86">
        <v>5.87</v>
      </c>
      <c r="F3407" s="87">
        <v>6.87</v>
      </c>
      <c r="G3407" s="88">
        <f t="shared" si="1"/>
        <v>1</v>
      </c>
      <c r="H3407" s="89">
        <f t="shared" si="10"/>
        <v>0.1455604076</v>
      </c>
      <c r="I3407" s="78" t="s">
        <v>4109</v>
      </c>
      <c r="J3407" s="78" t="s">
        <v>69</v>
      </c>
      <c r="K3407" s="58">
        <f t="shared" si="3"/>
        <v>7</v>
      </c>
      <c r="L3407" s="91" t="str">
        <f t="shared" si="8"/>
        <v>Wed</v>
      </c>
      <c r="M3407" s="78" t="str">
        <f>IFERROR(VLOOKUP(A3407, Entries!A:B,2,false),"")</f>
        <v>Cheesecake Dev</v>
      </c>
      <c r="N3407" s="23" t="str">
        <f>IFERROR(VLOOKUP(A3407, Entries!A:K,11,false),"")</f>
        <v/>
      </c>
      <c r="O3407" s="23" t="b">
        <f>IFERROR(VLOOKUP(A3407, Entries!A:I,8,false),"")</f>
        <v>0</v>
      </c>
    </row>
    <row r="3408">
      <c r="A3408" s="78" t="s">
        <v>4100</v>
      </c>
      <c r="B3408" s="78" t="s">
        <v>25</v>
      </c>
      <c r="C3408" s="85">
        <v>45070.0</v>
      </c>
      <c r="D3408" s="85">
        <v>45071.0</v>
      </c>
      <c r="E3408" s="86">
        <v>9.19</v>
      </c>
      <c r="F3408" s="87">
        <v>11.68</v>
      </c>
      <c r="G3408" s="88">
        <f t="shared" si="1"/>
        <v>2.49</v>
      </c>
      <c r="H3408" s="89">
        <f t="shared" si="10"/>
        <v>0.2131849315</v>
      </c>
      <c r="I3408" s="78" t="s">
        <v>4110</v>
      </c>
      <c r="J3408" s="78" t="s">
        <v>69</v>
      </c>
      <c r="K3408" s="58">
        <f t="shared" si="3"/>
        <v>1</v>
      </c>
      <c r="L3408" s="91" t="str">
        <f t="shared" si="8"/>
        <v>Thu</v>
      </c>
      <c r="M3408" s="78" t="str">
        <f>IFERROR(VLOOKUP(A3408, Entries!A:B,2,false),"")</f>
        <v>Nacon</v>
      </c>
      <c r="N3408" s="23" t="str">
        <f>IFERROR(VLOOKUP(A3408, Entries!A:K,11,false),"")</f>
        <v/>
      </c>
      <c r="O3408" s="23" t="b">
        <f>IFERROR(VLOOKUP(A3408, Entries!A:I,8,false),"")</f>
        <v>0</v>
      </c>
    </row>
    <row r="3409">
      <c r="A3409" s="78" t="s">
        <v>2031</v>
      </c>
      <c r="B3409" s="78" t="s">
        <v>21</v>
      </c>
      <c r="C3409" s="85">
        <v>45070.0</v>
      </c>
      <c r="D3409" s="85">
        <v>45076.0</v>
      </c>
      <c r="E3409" s="86">
        <v>29.25</v>
      </c>
      <c r="F3409" s="87">
        <v>40.56</v>
      </c>
      <c r="G3409" s="88">
        <f t="shared" si="1"/>
        <v>11.31</v>
      </c>
      <c r="H3409" s="89">
        <f t="shared" si="10"/>
        <v>0.2788461538</v>
      </c>
      <c r="I3409" s="78" t="s">
        <v>4111</v>
      </c>
      <c r="J3409" s="78" t="s">
        <v>69</v>
      </c>
      <c r="K3409" s="58">
        <f t="shared" si="3"/>
        <v>6</v>
      </c>
      <c r="L3409" s="91" t="str">
        <f t="shared" si="8"/>
        <v>Tue</v>
      </c>
      <c r="M3409" s="78" t="str">
        <f>IFERROR(VLOOKUP(A3409, Entries!A:B,2,false),"")</f>
        <v>KOEI TECMO GAMES</v>
      </c>
      <c r="N3409" s="23" t="str">
        <f>IFERROR(VLOOKUP(A3409, Entries!A:K,11,false),"")</f>
        <v/>
      </c>
      <c r="O3409" s="23" t="b">
        <f>IFERROR(VLOOKUP(A3409, Entries!A:I,8,false),"")</f>
        <v>0</v>
      </c>
    </row>
    <row r="3410">
      <c r="A3410" s="78" t="s">
        <v>2891</v>
      </c>
      <c r="B3410" s="78" t="s">
        <v>27</v>
      </c>
      <c r="C3410" s="85">
        <v>45071.0</v>
      </c>
      <c r="D3410" s="85">
        <v>45090.0</v>
      </c>
      <c r="E3410" s="86">
        <v>9.19</v>
      </c>
      <c r="F3410" s="87">
        <v>11.62</v>
      </c>
      <c r="G3410" s="88">
        <f t="shared" si="1"/>
        <v>2.43</v>
      </c>
      <c r="H3410" s="89">
        <f t="shared" si="10"/>
        <v>0.2091222031</v>
      </c>
      <c r="I3410" s="78" t="s">
        <v>4112</v>
      </c>
      <c r="J3410" s="78" t="s">
        <v>69</v>
      </c>
      <c r="K3410" s="58">
        <f t="shared" si="3"/>
        <v>19</v>
      </c>
      <c r="L3410" s="91" t="str">
        <f t="shared" si="8"/>
        <v>Tue</v>
      </c>
      <c r="M3410" s="78" t="str">
        <f>IFERROR(VLOOKUP(A3410, Entries!A:B,2,false),"")</f>
        <v>Prime Matter</v>
      </c>
      <c r="N3410" s="23" t="str">
        <f>IFERROR(VLOOKUP(A3410, Entries!A:K,11,false),"")</f>
        <v/>
      </c>
      <c r="O3410" s="23" t="b">
        <f>IFERROR(VLOOKUP(A3410, Entries!A:I,8,false),"")</f>
        <v>0</v>
      </c>
    </row>
    <row r="3411">
      <c r="A3411" s="78" t="s">
        <v>2891</v>
      </c>
      <c r="B3411" s="78" t="s">
        <v>27</v>
      </c>
      <c r="C3411" s="85">
        <v>45071.0</v>
      </c>
      <c r="D3411" s="85">
        <v>45097.0</v>
      </c>
      <c r="E3411" s="86">
        <v>9.19</v>
      </c>
      <c r="F3411" s="87">
        <v>11.58</v>
      </c>
      <c r="G3411" s="88">
        <f t="shared" si="1"/>
        <v>2.39</v>
      </c>
      <c r="H3411" s="89">
        <f t="shared" si="10"/>
        <v>0.2063903282</v>
      </c>
      <c r="I3411" s="78" t="s">
        <v>4113</v>
      </c>
      <c r="J3411" s="78" t="s">
        <v>69</v>
      </c>
      <c r="K3411" s="58">
        <f t="shared" si="3"/>
        <v>26</v>
      </c>
      <c r="L3411" s="91" t="str">
        <f t="shared" si="8"/>
        <v>Tue</v>
      </c>
      <c r="M3411" s="78" t="str">
        <f>IFERROR(VLOOKUP(A3411, Entries!A:B,2,false),"")</f>
        <v>Prime Matter</v>
      </c>
      <c r="N3411" s="23" t="str">
        <f>IFERROR(VLOOKUP(A3411, Entries!A:K,11,false),"")</f>
        <v/>
      </c>
      <c r="O3411" s="23" t="b">
        <f>IFERROR(VLOOKUP(A3411, Entries!A:I,8,false),"")</f>
        <v>0</v>
      </c>
    </row>
    <row r="3412">
      <c r="A3412" s="78" t="s">
        <v>4100</v>
      </c>
      <c r="B3412" s="78" t="s">
        <v>25</v>
      </c>
      <c r="C3412" s="85">
        <v>45071.0</v>
      </c>
      <c r="D3412" s="85">
        <v>45072.0</v>
      </c>
      <c r="E3412" s="86">
        <v>8.87</v>
      </c>
      <c r="F3412" s="87">
        <v>11.75</v>
      </c>
      <c r="G3412" s="88">
        <f t="shared" si="1"/>
        <v>2.88</v>
      </c>
      <c r="H3412" s="89">
        <f t="shared" si="10"/>
        <v>0.245106383</v>
      </c>
      <c r="I3412" s="78" t="s">
        <v>4114</v>
      </c>
      <c r="J3412" s="78" t="s">
        <v>69</v>
      </c>
      <c r="K3412" s="58">
        <f t="shared" si="3"/>
        <v>1</v>
      </c>
      <c r="L3412" s="91" t="str">
        <f t="shared" si="8"/>
        <v>Fri</v>
      </c>
      <c r="M3412" s="78" t="str">
        <f>IFERROR(VLOOKUP(A3412, Entries!A:B,2,false),"")</f>
        <v>Nacon</v>
      </c>
      <c r="N3412" s="23" t="str">
        <f>IFERROR(VLOOKUP(A3412, Entries!A:K,11,false),"")</f>
        <v/>
      </c>
      <c r="O3412" s="23" t="b">
        <f>IFERROR(VLOOKUP(A3412, Entries!A:I,8,false),"")</f>
        <v>0</v>
      </c>
    </row>
    <row r="3413">
      <c r="A3413" s="78" t="s">
        <v>4115</v>
      </c>
      <c r="B3413" s="78" t="s">
        <v>27</v>
      </c>
      <c r="C3413" s="85">
        <v>45071.0</v>
      </c>
      <c r="D3413" s="25"/>
      <c r="E3413" s="86">
        <v>33.29</v>
      </c>
      <c r="F3413" s="88"/>
      <c r="G3413" s="88">
        <f t="shared" si="1"/>
        <v>-33.29</v>
      </c>
      <c r="H3413" s="89" t="str">
        <f t="shared" si="10"/>
        <v/>
      </c>
      <c r="I3413" s="103" t="s">
        <v>4116</v>
      </c>
      <c r="J3413" s="78" t="s">
        <v>1129</v>
      </c>
      <c r="K3413" s="58" t="str">
        <f t="shared" si="3"/>
        <v/>
      </c>
      <c r="L3413" s="91" t="str">
        <f t="shared" si="8"/>
        <v/>
      </c>
      <c r="M3413" s="78" t="str">
        <f>IFERROR(VLOOKUP(A3413, Entries!A:B,2,false),"")</f>
        <v>505 Games</v>
      </c>
      <c r="N3413" s="23" t="str">
        <f>IFERROR(VLOOKUP(A3413, Entries!A:K,11,false),"")</f>
        <v/>
      </c>
      <c r="O3413" s="23" t="b">
        <f>IFERROR(VLOOKUP(A3413, Entries!A:I,8,false),"")</f>
        <v>0</v>
      </c>
    </row>
    <row r="3414">
      <c r="A3414" s="78" t="s">
        <v>4042</v>
      </c>
      <c r="B3414" s="78" t="s">
        <v>27</v>
      </c>
      <c r="C3414" s="85">
        <v>45071.0</v>
      </c>
      <c r="D3414" s="85">
        <v>45082.0</v>
      </c>
      <c r="E3414" s="86">
        <v>14.39</v>
      </c>
      <c r="F3414" s="87">
        <v>20.31</v>
      </c>
      <c r="G3414" s="88">
        <f t="shared" si="1"/>
        <v>5.92</v>
      </c>
      <c r="H3414" s="89">
        <f t="shared" si="10"/>
        <v>0.2914820286</v>
      </c>
      <c r="I3414" s="78" t="s">
        <v>4117</v>
      </c>
      <c r="J3414" s="78" t="s">
        <v>69</v>
      </c>
      <c r="K3414" s="58">
        <f t="shared" si="3"/>
        <v>11</v>
      </c>
      <c r="L3414" s="91" t="str">
        <f t="shared" si="8"/>
        <v>Mon</v>
      </c>
      <c r="M3414" s="78" t="str">
        <f>IFERROR(VLOOKUP(A3414, Entries!A:B,2,false),"")</f>
        <v>Fireshine Games</v>
      </c>
      <c r="N3414" s="23" t="str">
        <f>IFERROR(VLOOKUP(A3414, Entries!A:K,11,false),"")</f>
        <v/>
      </c>
      <c r="O3414" s="23" t="b">
        <f>IFERROR(VLOOKUP(A3414, Entries!A:I,8,false),"")</f>
        <v>0</v>
      </c>
    </row>
    <row r="3415">
      <c r="A3415" s="78" t="s">
        <v>1754</v>
      </c>
      <c r="B3415" s="78" t="s">
        <v>33</v>
      </c>
      <c r="C3415" s="85">
        <v>45071.0</v>
      </c>
      <c r="D3415" s="85">
        <v>45073.0</v>
      </c>
      <c r="E3415" s="86">
        <v>30.28</v>
      </c>
      <c r="F3415" s="87">
        <v>40.55</v>
      </c>
      <c r="G3415" s="88">
        <f t="shared" si="1"/>
        <v>10.27</v>
      </c>
      <c r="H3415" s="89">
        <f t="shared" si="10"/>
        <v>0.2532675709</v>
      </c>
      <c r="I3415" s="78" t="s">
        <v>4118</v>
      </c>
      <c r="J3415" s="78" t="s">
        <v>69</v>
      </c>
      <c r="K3415" s="58">
        <f t="shared" si="3"/>
        <v>2</v>
      </c>
      <c r="L3415" s="91" t="str">
        <f t="shared" si="8"/>
        <v>Sat</v>
      </c>
      <c r="M3415" s="78" t="str">
        <f>IFERROR(VLOOKUP(A3415, Entries!A:B,2,false),"")</f>
        <v>Arc System Works</v>
      </c>
      <c r="N3415" s="23" t="str">
        <f>IFERROR(VLOOKUP(A3415, Entries!A:K,11,false),"")</f>
        <v/>
      </c>
      <c r="O3415" s="23" t="b">
        <f>IFERROR(VLOOKUP(A3416, Entries!A:I,8,false),"")</f>
        <v>0</v>
      </c>
    </row>
    <row r="3416">
      <c r="A3416" s="78" t="s">
        <v>4119</v>
      </c>
      <c r="B3416" s="78" t="s">
        <v>33</v>
      </c>
      <c r="C3416" s="85">
        <v>45071.0</v>
      </c>
      <c r="D3416" s="85">
        <v>45072.0</v>
      </c>
      <c r="E3416" s="86">
        <v>7.04</v>
      </c>
      <c r="F3416" s="87">
        <v>11.34</v>
      </c>
      <c r="G3416" s="88">
        <f t="shared" si="1"/>
        <v>4.3</v>
      </c>
      <c r="H3416" s="89">
        <f t="shared" si="10"/>
        <v>0.3791887125</v>
      </c>
      <c r="I3416" s="78" t="s">
        <v>4120</v>
      </c>
      <c r="J3416" s="78" t="s">
        <v>69</v>
      </c>
      <c r="K3416" s="58">
        <f t="shared" si="3"/>
        <v>1</v>
      </c>
      <c r="L3416" s="91" t="str">
        <f t="shared" si="8"/>
        <v>Fri</v>
      </c>
      <c r="M3416" s="78" t="str">
        <f>IFERROR(VLOOKUP(A3416, Entries!A:B,2,false),"")</f>
        <v>Crystal Dynamics</v>
      </c>
      <c r="N3416" s="23" t="str">
        <f>IFERROR(VLOOKUP(A3416, Entries!A:K,11,false),"")</f>
        <v/>
      </c>
      <c r="O3416" s="23" t="str">
        <f>IFERROR(VLOOKUP(#REF!, Entries!A:I,8,false),"")</f>
        <v/>
      </c>
    </row>
    <row r="3417">
      <c r="A3417" s="78" t="s">
        <v>2789</v>
      </c>
      <c r="B3417" s="78" t="s">
        <v>19</v>
      </c>
      <c r="C3417" s="85">
        <v>45072.0</v>
      </c>
      <c r="D3417" s="85">
        <v>45072.0</v>
      </c>
      <c r="E3417" s="86">
        <v>3.33</v>
      </c>
      <c r="F3417" s="87">
        <v>5.43</v>
      </c>
      <c r="G3417" s="88">
        <f t="shared" si="1"/>
        <v>2.1</v>
      </c>
      <c r="H3417" s="89">
        <f t="shared" si="10"/>
        <v>0.3867403315</v>
      </c>
      <c r="I3417" s="78" t="s">
        <v>4121</v>
      </c>
      <c r="J3417" s="78" t="s">
        <v>69</v>
      </c>
      <c r="K3417" s="58">
        <f t="shared" si="3"/>
        <v>0</v>
      </c>
      <c r="L3417" s="91" t="str">
        <f t="shared" si="8"/>
        <v>Fri</v>
      </c>
      <c r="M3417" s="78" t="str">
        <f>IFERROR(VLOOKUP(A3417, Entries!A:B,2,false),"")</f>
        <v>Evil Tortilla Games</v>
      </c>
      <c r="N3417" s="23" t="str">
        <f>IFERROR(VLOOKUP(A3417, Entries!A:K,11,false),"")</f>
        <v/>
      </c>
      <c r="O3417" s="23" t="b">
        <f>IFERROR(VLOOKUP(A3417, Entries!A:I,8,false),"")</f>
        <v>1</v>
      </c>
    </row>
    <row r="3418">
      <c r="A3418" s="78" t="s">
        <v>2789</v>
      </c>
      <c r="B3418" s="78" t="s">
        <v>19</v>
      </c>
      <c r="C3418" s="85">
        <v>45072.0</v>
      </c>
      <c r="D3418" s="85">
        <v>45073.0</v>
      </c>
      <c r="E3418" s="86">
        <v>3.33</v>
      </c>
      <c r="F3418" s="87">
        <v>5.43</v>
      </c>
      <c r="G3418" s="88">
        <f t="shared" si="1"/>
        <v>2.1</v>
      </c>
      <c r="H3418" s="89">
        <f t="shared" si="10"/>
        <v>0.3867403315</v>
      </c>
      <c r="I3418" s="78" t="s">
        <v>4122</v>
      </c>
      <c r="J3418" s="78" t="s">
        <v>69</v>
      </c>
      <c r="K3418" s="58">
        <f t="shared" si="3"/>
        <v>1</v>
      </c>
      <c r="L3418" s="91" t="str">
        <f t="shared" si="8"/>
        <v>Sat</v>
      </c>
      <c r="M3418" s="78" t="str">
        <f>IFERROR(VLOOKUP(A3418, Entries!A:B,2,false),"")</f>
        <v>Evil Tortilla Games</v>
      </c>
      <c r="N3418" s="23" t="str">
        <f>IFERROR(VLOOKUP(A3418, Entries!A:K,11,false),"")</f>
        <v/>
      </c>
      <c r="O3418" s="23" t="b">
        <f>IFERROR(VLOOKUP(A3418, Entries!A:I,8,false),"")</f>
        <v>1</v>
      </c>
    </row>
    <row r="3419">
      <c r="A3419" s="78" t="s">
        <v>4119</v>
      </c>
      <c r="B3419" s="78" t="s">
        <v>33</v>
      </c>
      <c r="C3419" s="85">
        <v>45072.0</v>
      </c>
      <c r="D3419" s="85">
        <v>45072.0</v>
      </c>
      <c r="E3419" s="86">
        <v>7.04</v>
      </c>
      <c r="F3419" s="87">
        <v>11.34</v>
      </c>
      <c r="G3419" s="88">
        <f t="shared" si="1"/>
        <v>4.3</v>
      </c>
      <c r="H3419" s="89">
        <f t="shared" si="10"/>
        <v>0.3791887125</v>
      </c>
      <c r="I3419" s="78" t="s">
        <v>4123</v>
      </c>
      <c r="J3419" s="78" t="s">
        <v>69</v>
      </c>
      <c r="K3419" s="58">
        <f t="shared" si="3"/>
        <v>0</v>
      </c>
      <c r="L3419" s="91" t="str">
        <f t="shared" si="8"/>
        <v>Fri</v>
      </c>
      <c r="M3419" s="78" t="str">
        <f>IFERROR(VLOOKUP(A3419, Entries!A:B,2,false),"")</f>
        <v>Crystal Dynamics</v>
      </c>
      <c r="N3419" s="23" t="str">
        <f>IFERROR(VLOOKUP(A3419, Entries!A:K,11,false),"")</f>
        <v/>
      </c>
      <c r="O3419" s="23" t="b">
        <f>IFERROR(VLOOKUP(A3419, Entries!A:I,8,false),"")</f>
        <v>0</v>
      </c>
    </row>
    <row r="3420">
      <c r="A3420" s="78" t="s">
        <v>4119</v>
      </c>
      <c r="B3420" s="78" t="s">
        <v>33</v>
      </c>
      <c r="C3420" s="85">
        <v>45072.0</v>
      </c>
      <c r="D3420" s="85">
        <v>45073.0</v>
      </c>
      <c r="E3420" s="86">
        <v>7.05</v>
      </c>
      <c r="F3420" s="87">
        <v>11.27</v>
      </c>
      <c r="G3420" s="88">
        <f t="shared" si="1"/>
        <v>4.22</v>
      </c>
      <c r="H3420" s="89">
        <f t="shared" si="10"/>
        <v>0.3744454303</v>
      </c>
      <c r="I3420" s="78" t="s">
        <v>4124</v>
      </c>
      <c r="J3420" s="78" t="s">
        <v>69</v>
      </c>
      <c r="K3420" s="58">
        <f t="shared" si="3"/>
        <v>1</v>
      </c>
      <c r="L3420" s="91" t="str">
        <f t="shared" si="8"/>
        <v>Sat</v>
      </c>
      <c r="M3420" s="78" t="str">
        <f>IFERROR(VLOOKUP(A3420, Entries!A:B,2,false),"")</f>
        <v>Crystal Dynamics</v>
      </c>
      <c r="N3420" s="23" t="str">
        <f>IFERROR(VLOOKUP(A3420, Entries!A:K,11,false),"")</f>
        <v/>
      </c>
      <c r="O3420" s="23" t="b">
        <f>IFERROR(VLOOKUP(A3420, Entries!A:I,8,false),"")</f>
        <v>0</v>
      </c>
    </row>
    <row r="3421">
      <c r="A3421" s="78" t="s">
        <v>4119</v>
      </c>
      <c r="B3421" s="78" t="s">
        <v>33</v>
      </c>
      <c r="C3421" s="85">
        <v>45072.0</v>
      </c>
      <c r="D3421" s="85">
        <v>45073.0</v>
      </c>
      <c r="E3421" s="86">
        <v>7.04</v>
      </c>
      <c r="F3421" s="87">
        <v>11.25</v>
      </c>
      <c r="G3421" s="88">
        <f t="shared" si="1"/>
        <v>4.21</v>
      </c>
      <c r="H3421" s="89">
        <f t="shared" si="10"/>
        <v>0.3742222222</v>
      </c>
      <c r="I3421" s="78" t="s">
        <v>4125</v>
      </c>
      <c r="J3421" s="78" t="s">
        <v>69</v>
      </c>
      <c r="K3421" s="58">
        <f t="shared" si="3"/>
        <v>1</v>
      </c>
      <c r="L3421" s="91" t="str">
        <f t="shared" si="8"/>
        <v>Sat</v>
      </c>
      <c r="M3421" s="78" t="str">
        <f>IFERROR(VLOOKUP(A3421, Entries!A:B,2,false),"")</f>
        <v>Crystal Dynamics</v>
      </c>
      <c r="N3421" s="23" t="str">
        <f>IFERROR(VLOOKUP(A3421, Entries!A:K,11,false),"")</f>
        <v/>
      </c>
      <c r="O3421" s="23" t="b">
        <f>IFERROR(VLOOKUP(A3421, Entries!A:I,8,false),"")</f>
        <v>0</v>
      </c>
    </row>
    <row r="3422">
      <c r="A3422" s="78" t="s">
        <v>4100</v>
      </c>
      <c r="B3422" s="78" t="s">
        <v>25</v>
      </c>
      <c r="C3422" s="85">
        <v>45072.0</v>
      </c>
      <c r="D3422" s="85">
        <v>45076.0</v>
      </c>
      <c r="E3422" s="86">
        <v>8.87</v>
      </c>
      <c r="F3422" s="87">
        <v>11.74</v>
      </c>
      <c r="G3422" s="88">
        <f t="shared" si="1"/>
        <v>2.87</v>
      </c>
      <c r="H3422" s="89">
        <f t="shared" si="10"/>
        <v>0.2444633731</v>
      </c>
      <c r="I3422" s="78" t="s">
        <v>4126</v>
      </c>
      <c r="J3422" s="78" t="s">
        <v>69</v>
      </c>
      <c r="K3422" s="58">
        <f t="shared" si="3"/>
        <v>4</v>
      </c>
      <c r="L3422" s="91" t="str">
        <f t="shared" si="8"/>
        <v>Tue</v>
      </c>
      <c r="M3422" s="78" t="str">
        <f>IFERROR(VLOOKUP(A3422, Entries!A:B,2,false),"")</f>
        <v>Nacon</v>
      </c>
      <c r="N3422" s="23" t="str">
        <f>IFERROR(VLOOKUP(A3422, Entries!A:K,11,false),"")</f>
        <v/>
      </c>
      <c r="O3422" s="23" t="b">
        <f>IFERROR(VLOOKUP(A3422, Entries!A:I,8,false),"")</f>
        <v>0</v>
      </c>
    </row>
    <row r="3423">
      <c r="A3423" s="78" t="s">
        <v>2318</v>
      </c>
      <c r="B3423" s="78" t="s">
        <v>23</v>
      </c>
      <c r="C3423" s="85">
        <v>45072.0</v>
      </c>
      <c r="D3423" s="85">
        <v>45098.0</v>
      </c>
      <c r="E3423" s="86">
        <v>10.95</v>
      </c>
      <c r="F3423" s="87">
        <v>11.12</v>
      </c>
      <c r="G3423" s="88">
        <f t="shared" si="1"/>
        <v>0.17</v>
      </c>
      <c r="H3423" s="89">
        <f t="shared" si="10"/>
        <v>0.01528776978</v>
      </c>
      <c r="I3423" s="78" t="s">
        <v>4127</v>
      </c>
      <c r="J3423" s="78" t="s">
        <v>69</v>
      </c>
      <c r="K3423" s="58">
        <f t="shared" si="3"/>
        <v>26</v>
      </c>
      <c r="L3423" s="91" t="str">
        <f t="shared" si="8"/>
        <v>Wed</v>
      </c>
      <c r="M3423" s="78" t="str">
        <f>IFERROR(VLOOKUP(A3423, Entries!A:B,2,false),"")</f>
        <v>Eek! Games</v>
      </c>
      <c r="N3423" s="23" t="str">
        <f>IFERROR(VLOOKUP(A3423, Entries!A:K,11,false),"")</f>
        <v/>
      </c>
      <c r="O3423" s="23" t="b">
        <f>IFERROR(VLOOKUP(A3423, Entries!A:I,8,false),"")</f>
        <v>0</v>
      </c>
    </row>
    <row r="3424">
      <c r="A3424" s="78" t="s">
        <v>2789</v>
      </c>
      <c r="B3424" s="78" t="s">
        <v>19</v>
      </c>
      <c r="C3424" s="85">
        <v>45072.0</v>
      </c>
      <c r="D3424" s="85">
        <v>45073.0</v>
      </c>
      <c r="E3424" s="86">
        <v>3.33</v>
      </c>
      <c r="F3424" s="87">
        <v>5.43</v>
      </c>
      <c r="G3424" s="88">
        <f t="shared" si="1"/>
        <v>2.1</v>
      </c>
      <c r="H3424" s="89">
        <f t="shared" si="10"/>
        <v>0.3867403315</v>
      </c>
      <c r="I3424" s="78" t="s">
        <v>4128</v>
      </c>
      <c r="J3424" s="78" t="s">
        <v>69</v>
      </c>
      <c r="K3424" s="58">
        <f t="shared" si="3"/>
        <v>1</v>
      </c>
      <c r="L3424" s="91" t="str">
        <f t="shared" si="8"/>
        <v>Sat</v>
      </c>
      <c r="M3424" s="78" t="str">
        <f>IFERROR(VLOOKUP(A3424, Entries!A:B,2,false),"")</f>
        <v>Evil Tortilla Games</v>
      </c>
      <c r="N3424" s="23" t="str">
        <f>IFERROR(VLOOKUP(A3424, Entries!A:K,11,false),"")</f>
        <v/>
      </c>
      <c r="O3424" s="23" t="b">
        <f>IFERROR(VLOOKUP(A3424, Entries!A:I,8,false),"")</f>
        <v>1</v>
      </c>
    </row>
    <row r="3425">
      <c r="A3425" s="78" t="s">
        <v>4119</v>
      </c>
      <c r="B3425" s="78" t="s">
        <v>33</v>
      </c>
      <c r="C3425" s="85">
        <v>45073.0</v>
      </c>
      <c r="D3425" s="85">
        <v>45073.0</v>
      </c>
      <c r="E3425" s="86">
        <v>7.63</v>
      </c>
      <c r="F3425" s="87">
        <v>11.23</v>
      </c>
      <c r="G3425" s="88">
        <f t="shared" si="1"/>
        <v>3.6</v>
      </c>
      <c r="H3425" s="89">
        <f t="shared" si="10"/>
        <v>0.320569902</v>
      </c>
      <c r="I3425" s="78" t="s">
        <v>4129</v>
      </c>
      <c r="J3425" s="78" t="s">
        <v>69</v>
      </c>
      <c r="K3425" s="58">
        <f t="shared" si="3"/>
        <v>0</v>
      </c>
      <c r="L3425" s="91" t="str">
        <f t="shared" si="8"/>
        <v>Sat</v>
      </c>
      <c r="M3425" s="78" t="str">
        <f>IFERROR(VLOOKUP(A3425, Entries!A:B,2,false),"")</f>
        <v>Crystal Dynamics</v>
      </c>
      <c r="N3425" s="23" t="str">
        <f>IFERROR(VLOOKUP(A3425, Entries!A:K,11,false),"")</f>
        <v/>
      </c>
      <c r="O3425" s="23" t="b">
        <f>IFERROR(VLOOKUP(A3425, Entries!A:I,8,false),"")</f>
        <v>0</v>
      </c>
    </row>
    <row r="3426">
      <c r="A3426" s="78" t="s">
        <v>2789</v>
      </c>
      <c r="B3426" s="78" t="s">
        <v>19</v>
      </c>
      <c r="C3426" s="85">
        <v>45073.0</v>
      </c>
      <c r="D3426" s="85">
        <v>45073.0</v>
      </c>
      <c r="E3426" s="86">
        <v>3.33</v>
      </c>
      <c r="F3426" s="87">
        <v>5.43</v>
      </c>
      <c r="G3426" s="88">
        <f t="shared" si="1"/>
        <v>2.1</v>
      </c>
      <c r="H3426" s="89">
        <f t="shared" si="10"/>
        <v>0.3867403315</v>
      </c>
      <c r="I3426" s="78" t="s">
        <v>4130</v>
      </c>
      <c r="J3426" s="78" t="s">
        <v>69</v>
      </c>
      <c r="K3426" s="58">
        <f t="shared" si="3"/>
        <v>0</v>
      </c>
      <c r="L3426" s="91" t="str">
        <f t="shared" si="8"/>
        <v>Sat</v>
      </c>
      <c r="M3426" s="78" t="str">
        <f>IFERROR(VLOOKUP(A3426, Entries!A:B,2,false),"")</f>
        <v>Evil Tortilla Games</v>
      </c>
      <c r="N3426" s="23" t="str">
        <f>IFERROR(VLOOKUP(A3426, Entries!A:K,11,false),"")</f>
        <v/>
      </c>
      <c r="O3426" s="23" t="b">
        <f>IFERROR(VLOOKUP(A3426, Entries!A:I,8,false),"")</f>
        <v>1</v>
      </c>
    </row>
    <row r="3427">
      <c r="A3427" s="78" t="s">
        <v>1754</v>
      </c>
      <c r="B3427" s="78" t="s">
        <v>18</v>
      </c>
      <c r="C3427" s="85">
        <v>45073.0</v>
      </c>
      <c r="D3427" s="85">
        <v>45073.0</v>
      </c>
      <c r="E3427" s="86">
        <v>30.61</v>
      </c>
      <c r="F3427" s="87">
        <v>40.55</v>
      </c>
      <c r="G3427" s="88">
        <f t="shared" si="1"/>
        <v>9.94</v>
      </c>
      <c r="H3427" s="89">
        <f t="shared" si="10"/>
        <v>0.2451294698</v>
      </c>
      <c r="I3427" s="78" t="s">
        <v>4131</v>
      </c>
      <c r="J3427" s="78" t="s">
        <v>69</v>
      </c>
      <c r="K3427" s="58">
        <f t="shared" si="3"/>
        <v>0</v>
      </c>
      <c r="L3427" s="91" t="str">
        <f t="shared" si="8"/>
        <v>Sat</v>
      </c>
      <c r="M3427" s="78" t="str">
        <f>IFERROR(VLOOKUP(A3427, Entries!A:B,2,false),"")</f>
        <v>Arc System Works</v>
      </c>
      <c r="N3427" s="23" t="str">
        <f>IFERROR(VLOOKUP(A3427, Entries!A:K,11,false),"")</f>
        <v/>
      </c>
      <c r="O3427" s="23" t="b">
        <f>IFERROR(VLOOKUP(A3427, Entries!A:I,8,false),"")</f>
        <v>0</v>
      </c>
    </row>
    <row r="3428">
      <c r="A3428" s="78" t="s">
        <v>4119</v>
      </c>
      <c r="B3428" s="78" t="s">
        <v>33</v>
      </c>
      <c r="C3428" s="85">
        <v>45073.0</v>
      </c>
      <c r="D3428" s="85">
        <v>45073.0</v>
      </c>
      <c r="E3428" s="86">
        <v>8.29</v>
      </c>
      <c r="F3428" s="87">
        <v>11.34</v>
      </c>
      <c r="G3428" s="88">
        <f t="shared" si="1"/>
        <v>3.05</v>
      </c>
      <c r="H3428" s="89">
        <f t="shared" si="10"/>
        <v>0.2689594356</v>
      </c>
      <c r="I3428" s="78" t="s">
        <v>4132</v>
      </c>
      <c r="J3428" s="78" t="s">
        <v>69</v>
      </c>
      <c r="K3428" s="58">
        <f t="shared" si="3"/>
        <v>0</v>
      </c>
      <c r="L3428" s="91" t="str">
        <f t="shared" si="8"/>
        <v>Sat</v>
      </c>
      <c r="M3428" s="78" t="str">
        <f>IFERROR(VLOOKUP(A3428, Entries!A:B,2,false),"")</f>
        <v>Crystal Dynamics</v>
      </c>
      <c r="N3428" s="23" t="str">
        <f>IFERROR(VLOOKUP(A3428, Entries!A:K,11,false),"")</f>
        <v/>
      </c>
      <c r="O3428" s="23" t="b">
        <f>IFERROR(VLOOKUP(A3428, Entries!A:I,8,false),"")</f>
        <v>0</v>
      </c>
    </row>
    <row r="3429">
      <c r="A3429" s="78" t="s">
        <v>2789</v>
      </c>
      <c r="B3429" s="78" t="s">
        <v>19</v>
      </c>
      <c r="C3429" s="85">
        <v>45073.0</v>
      </c>
      <c r="D3429" s="85">
        <v>45073.0</v>
      </c>
      <c r="E3429" s="86">
        <v>3.33</v>
      </c>
      <c r="F3429" s="87">
        <v>5.43</v>
      </c>
      <c r="G3429" s="88">
        <f t="shared" si="1"/>
        <v>2.1</v>
      </c>
      <c r="H3429" s="89">
        <f t="shared" si="10"/>
        <v>0.3867403315</v>
      </c>
      <c r="I3429" s="78" t="s">
        <v>4133</v>
      </c>
      <c r="J3429" s="78" t="s">
        <v>69</v>
      </c>
      <c r="K3429" s="58">
        <f t="shared" si="3"/>
        <v>0</v>
      </c>
      <c r="L3429" s="91" t="str">
        <f t="shared" si="8"/>
        <v>Sat</v>
      </c>
      <c r="M3429" s="78" t="str">
        <f>IFERROR(VLOOKUP(A3429, Entries!A:B,2,false),"")</f>
        <v>Evil Tortilla Games</v>
      </c>
      <c r="N3429" s="23" t="str">
        <f>IFERROR(VLOOKUP(A3429, Entries!A:K,11,false),"")</f>
        <v/>
      </c>
      <c r="O3429" s="23" t="b">
        <f>IFERROR(VLOOKUP(A3429, Entries!A:I,8,false),"")</f>
        <v>1</v>
      </c>
    </row>
    <row r="3430">
      <c r="A3430" s="78" t="s">
        <v>2789</v>
      </c>
      <c r="B3430" s="78" t="s">
        <v>19</v>
      </c>
      <c r="C3430" s="85">
        <v>45073.0</v>
      </c>
      <c r="D3430" s="85">
        <v>45074.0</v>
      </c>
      <c r="E3430" s="86">
        <v>3.51</v>
      </c>
      <c r="F3430" s="87">
        <v>5.43</v>
      </c>
      <c r="G3430" s="88">
        <f t="shared" si="1"/>
        <v>1.92</v>
      </c>
      <c r="H3430" s="89">
        <f t="shared" si="10"/>
        <v>0.3535911602</v>
      </c>
      <c r="I3430" s="78" t="s">
        <v>4134</v>
      </c>
      <c r="J3430" s="78" t="s">
        <v>69</v>
      </c>
      <c r="K3430" s="58">
        <f t="shared" si="3"/>
        <v>1</v>
      </c>
      <c r="L3430" s="91" t="str">
        <f t="shared" si="8"/>
        <v>Sun</v>
      </c>
      <c r="M3430" s="78" t="str">
        <f>IFERROR(VLOOKUP(A3430, Entries!A:B,2,false),"")</f>
        <v>Evil Tortilla Games</v>
      </c>
      <c r="N3430" s="23" t="str">
        <f>IFERROR(VLOOKUP(A3430, Entries!A:K,11,false),"")</f>
        <v/>
      </c>
      <c r="O3430" s="23" t="b">
        <f>IFERROR(VLOOKUP(A3430, Entries!A:I,8,false),"")</f>
        <v>1</v>
      </c>
    </row>
    <row r="3431">
      <c r="A3431" s="78" t="s">
        <v>2789</v>
      </c>
      <c r="B3431" s="78" t="s">
        <v>19</v>
      </c>
      <c r="C3431" s="85">
        <v>45073.0</v>
      </c>
      <c r="D3431" s="85">
        <v>45074.0</v>
      </c>
      <c r="E3431" s="86">
        <v>3.33</v>
      </c>
      <c r="F3431" s="87">
        <v>5.43</v>
      </c>
      <c r="G3431" s="88">
        <f t="shared" si="1"/>
        <v>2.1</v>
      </c>
      <c r="H3431" s="89">
        <f t="shared" si="10"/>
        <v>0.3867403315</v>
      </c>
      <c r="I3431" s="78" t="s">
        <v>4135</v>
      </c>
      <c r="J3431" s="78" t="s">
        <v>69</v>
      </c>
      <c r="K3431" s="58">
        <f t="shared" si="3"/>
        <v>1</v>
      </c>
      <c r="L3431" s="91" t="str">
        <f t="shared" si="8"/>
        <v>Sun</v>
      </c>
      <c r="M3431" s="78" t="str">
        <f>IFERROR(VLOOKUP(A3431, Entries!A:B,2,false),"")</f>
        <v>Evil Tortilla Games</v>
      </c>
      <c r="N3431" s="23" t="str">
        <f>IFERROR(VLOOKUP(A3431, Entries!A:K,11,false),"")</f>
        <v/>
      </c>
      <c r="O3431" s="23" t="b">
        <f>IFERROR(VLOOKUP(A3431, Entries!A:I,8,false),"")</f>
        <v>1</v>
      </c>
    </row>
    <row r="3432">
      <c r="A3432" s="78" t="s">
        <v>1754</v>
      </c>
      <c r="B3432" s="78" t="s">
        <v>33</v>
      </c>
      <c r="C3432" s="85">
        <v>45073.0</v>
      </c>
      <c r="D3432" s="85">
        <v>45074.0</v>
      </c>
      <c r="E3432" s="86">
        <v>30.28</v>
      </c>
      <c r="F3432" s="87">
        <v>41.42</v>
      </c>
      <c r="G3432" s="88">
        <f t="shared" si="1"/>
        <v>11.14</v>
      </c>
      <c r="H3432" s="89">
        <f t="shared" si="10"/>
        <v>0.268952197</v>
      </c>
      <c r="I3432" s="78" t="s">
        <v>4136</v>
      </c>
      <c r="J3432" s="78" t="s">
        <v>69</v>
      </c>
      <c r="K3432" s="58">
        <f t="shared" si="3"/>
        <v>1</v>
      </c>
      <c r="L3432" s="91" t="str">
        <f t="shared" si="8"/>
        <v>Sun</v>
      </c>
      <c r="M3432" s="78" t="str">
        <f>IFERROR(VLOOKUP(A3432, Entries!A:B,2,false),"")</f>
        <v>Arc System Works</v>
      </c>
      <c r="N3432" s="23" t="str">
        <f>IFERROR(VLOOKUP(A3432, Entries!A:K,11,false),"")</f>
        <v/>
      </c>
      <c r="O3432" s="23" t="b">
        <f>IFERROR(VLOOKUP(A3432, Entries!A:I,8,false),"")</f>
        <v>0</v>
      </c>
    </row>
    <row r="3433">
      <c r="A3433" s="78" t="s">
        <v>4119</v>
      </c>
      <c r="B3433" s="78" t="s">
        <v>33</v>
      </c>
      <c r="C3433" s="85">
        <v>45074.0</v>
      </c>
      <c r="D3433" s="85">
        <v>45074.0</v>
      </c>
      <c r="E3433" s="86">
        <v>8.29</v>
      </c>
      <c r="F3433" s="87">
        <v>11.34</v>
      </c>
      <c r="G3433" s="88">
        <f t="shared" si="1"/>
        <v>3.05</v>
      </c>
      <c r="H3433" s="89">
        <f t="shared" si="10"/>
        <v>0.2689594356</v>
      </c>
      <c r="I3433" s="78" t="s">
        <v>4137</v>
      </c>
      <c r="J3433" s="78" t="s">
        <v>69</v>
      </c>
      <c r="K3433" s="58">
        <f t="shared" si="3"/>
        <v>0</v>
      </c>
      <c r="L3433" s="91" t="str">
        <f t="shared" si="8"/>
        <v>Sun</v>
      </c>
      <c r="M3433" s="78" t="str">
        <f>IFERROR(VLOOKUP(A3433, Entries!A:B,2,false),"")</f>
        <v>Crystal Dynamics</v>
      </c>
      <c r="N3433" s="23" t="str">
        <f>IFERROR(VLOOKUP(A3433, Entries!A:K,11,false),"")</f>
        <v/>
      </c>
      <c r="O3433" s="23" t="b">
        <f>IFERROR(VLOOKUP(A3433, Entries!A:I,8,false),"")</f>
        <v>0</v>
      </c>
    </row>
    <row r="3434">
      <c r="A3434" s="78" t="s">
        <v>4119</v>
      </c>
      <c r="B3434" s="78" t="s">
        <v>33</v>
      </c>
      <c r="C3434" s="85">
        <v>45074.0</v>
      </c>
      <c r="D3434" s="85">
        <v>45074.0</v>
      </c>
      <c r="E3434" s="86">
        <v>8.29</v>
      </c>
      <c r="F3434" s="87">
        <v>11.34</v>
      </c>
      <c r="G3434" s="88">
        <f t="shared" si="1"/>
        <v>3.05</v>
      </c>
      <c r="H3434" s="89">
        <f t="shared" si="10"/>
        <v>0.2689594356</v>
      </c>
      <c r="I3434" s="78" t="s">
        <v>4138</v>
      </c>
      <c r="J3434" s="78" t="s">
        <v>69</v>
      </c>
      <c r="K3434" s="58">
        <f t="shared" si="3"/>
        <v>0</v>
      </c>
      <c r="L3434" s="91" t="str">
        <f t="shared" si="8"/>
        <v>Sun</v>
      </c>
      <c r="M3434" s="78" t="str">
        <f>IFERROR(VLOOKUP(A3434, Entries!A:B,2,false),"")</f>
        <v>Crystal Dynamics</v>
      </c>
      <c r="N3434" s="23" t="str">
        <f>IFERROR(VLOOKUP(A3434, Entries!A:K,11,false),"")</f>
        <v/>
      </c>
      <c r="O3434" s="23" t="b">
        <f>IFERROR(VLOOKUP(A3434, Entries!A:I,8,false),"")</f>
        <v>0</v>
      </c>
    </row>
    <row r="3435">
      <c r="A3435" s="78" t="s">
        <v>4119</v>
      </c>
      <c r="B3435" s="78" t="s">
        <v>33</v>
      </c>
      <c r="C3435" s="85">
        <v>45074.0</v>
      </c>
      <c r="D3435" s="85">
        <v>45074.0</v>
      </c>
      <c r="E3435" s="86">
        <v>8.29</v>
      </c>
      <c r="F3435" s="87">
        <v>11.34</v>
      </c>
      <c r="G3435" s="88">
        <f t="shared" si="1"/>
        <v>3.05</v>
      </c>
      <c r="H3435" s="89">
        <f t="shared" si="10"/>
        <v>0.2689594356</v>
      </c>
      <c r="I3435" s="78" t="s">
        <v>4139</v>
      </c>
      <c r="J3435" s="78" t="s">
        <v>69</v>
      </c>
      <c r="K3435" s="58">
        <f t="shared" si="3"/>
        <v>0</v>
      </c>
      <c r="L3435" s="91" t="str">
        <f t="shared" si="8"/>
        <v>Sun</v>
      </c>
      <c r="M3435" s="78" t="str">
        <f>IFERROR(VLOOKUP(A3435, Entries!A:B,2,false),"")</f>
        <v>Crystal Dynamics</v>
      </c>
      <c r="N3435" s="23" t="str">
        <f>IFERROR(VLOOKUP(A3435, Entries!A:K,11,false),"")</f>
        <v/>
      </c>
      <c r="O3435" s="23" t="b">
        <f>IFERROR(VLOOKUP(A3435, Entries!A:I,8,false),"")</f>
        <v>0</v>
      </c>
      <c r="P3435" s="78" t="s">
        <v>4140</v>
      </c>
    </row>
    <row r="3436">
      <c r="A3436" s="78" t="s">
        <v>4119</v>
      </c>
      <c r="B3436" s="78" t="s">
        <v>33</v>
      </c>
      <c r="C3436" s="85">
        <v>45074.0</v>
      </c>
      <c r="D3436" s="85">
        <v>45074.0</v>
      </c>
      <c r="E3436" s="86">
        <v>8.29</v>
      </c>
      <c r="F3436" s="87">
        <v>11.34</v>
      </c>
      <c r="G3436" s="88">
        <f t="shared" si="1"/>
        <v>3.05</v>
      </c>
      <c r="H3436" s="89">
        <f t="shared" si="10"/>
        <v>0.2689594356</v>
      </c>
      <c r="I3436" s="78" t="s">
        <v>4141</v>
      </c>
      <c r="J3436" s="78" t="s">
        <v>69</v>
      </c>
      <c r="K3436" s="58">
        <f t="shared" si="3"/>
        <v>0</v>
      </c>
      <c r="L3436" s="91" t="str">
        <f t="shared" si="8"/>
        <v>Sun</v>
      </c>
      <c r="M3436" s="78" t="str">
        <f>IFERROR(VLOOKUP(A3436, Entries!A:B,2,false),"")</f>
        <v>Crystal Dynamics</v>
      </c>
      <c r="N3436" s="23" t="str">
        <f>IFERROR(VLOOKUP(A3436, Entries!A:K,11,false),"")</f>
        <v/>
      </c>
      <c r="O3436" s="23" t="b">
        <f>IFERROR(VLOOKUP(A3436, Entries!A:I,8,false),"")</f>
        <v>0</v>
      </c>
    </row>
    <row r="3437">
      <c r="A3437" s="78" t="s">
        <v>2789</v>
      </c>
      <c r="B3437" s="78" t="s">
        <v>19</v>
      </c>
      <c r="C3437" s="85">
        <v>45074.0</v>
      </c>
      <c r="D3437" s="85">
        <v>45074.0</v>
      </c>
      <c r="E3437" s="86">
        <v>3.33</v>
      </c>
      <c r="F3437" s="87">
        <v>5.43</v>
      </c>
      <c r="G3437" s="88">
        <f t="shared" si="1"/>
        <v>2.1</v>
      </c>
      <c r="H3437" s="89">
        <f t="shared" si="10"/>
        <v>0.3867403315</v>
      </c>
      <c r="I3437" s="78" t="s">
        <v>4142</v>
      </c>
      <c r="J3437" s="78" t="s">
        <v>69</v>
      </c>
      <c r="K3437" s="58">
        <f t="shared" si="3"/>
        <v>0</v>
      </c>
      <c r="L3437" s="91" t="str">
        <f t="shared" si="8"/>
        <v>Sun</v>
      </c>
      <c r="M3437" s="78" t="str">
        <f>IFERROR(VLOOKUP(A3437, Entries!A:B,2,false),"")</f>
        <v>Evil Tortilla Games</v>
      </c>
      <c r="N3437" s="23" t="str">
        <f>IFERROR(VLOOKUP(A3437, Entries!A:K,11,false),"")</f>
        <v/>
      </c>
      <c r="O3437" s="23" t="b">
        <f>IFERROR(VLOOKUP(A3437, Entries!A:I,8,false),"")</f>
        <v>1</v>
      </c>
    </row>
    <row r="3438">
      <c r="A3438" s="78" t="s">
        <v>3796</v>
      </c>
      <c r="B3438" s="78" t="s">
        <v>25</v>
      </c>
      <c r="C3438" s="85">
        <v>45074.0</v>
      </c>
      <c r="D3438" s="85">
        <v>45173.0</v>
      </c>
      <c r="E3438" s="86">
        <v>8.87</v>
      </c>
      <c r="F3438" s="87">
        <v>11.11</v>
      </c>
      <c r="G3438" s="88">
        <f t="shared" si="1"/>
        <v>2.24</v>
      </c>
      <c r="H3438" s="89">
        <f t="shared" si="10"/>
        <v>0.201620162</v>
      </c>
      <c r="I3438" s="78" t="s">
        <v>4143</v>
      </c>
      <c r="J3438" s="78" t="s">
        <v>69</v>
      </c>
      <c r="K3438" s="58">
        <f t="shared" si="3"/>
        <v>99</v>
      </c>
      <c r="L3438" s="91" t="str">
        <f t="shared" si="8"/>
        <v>Mon</v>
      </c>
      <c r="M3438" s="78" t="str">
        <f>IFERROR(VLOOKUP(A3438, Entries!A:B,2,false),"")</f>
        <v>Fellow Traveller</v>
      </c>
      <c r="N3438" s="23" t="str">
        <f>IFERROR(VLOOKUP(A3438, Entries!A:K,11,false),"")</f>
        <v/>
      </c>
      <c r="O3438" s="23" t="b">
        <f>IFERROR(VLOOKUP(A3438, Entries!A:I,8,false),"")</f>
        <v>0</v>
      </c>
    </row>
    <row r="3439">
      <c r="A3439" s="78" t="s">
        <v>4119</v>
      </c>
      <c r="B3439" s="78" t="s">
        <v>33</v>
      </c>
      <c r="C3439" s="85">
        <v>45074.0</v>
      </c>
      <c r="D3439" s="85">
        <v>45074.0</v>
      </c>
      <c r="E3439" s="86">
        <v>8.29</v>
      </c>
      <c r="F3439" s="87">
        <v>11.34</v>
      </c>
      <c r="G3439" s="88">
        <f t="shared" si="1"/>
        <v>3.05</v>
      </c>
      <c r="H3439" s="89">
        <f t="shared" si="10"/>
        <v>0.2689594356</v>
      </c>
      <c r="I3439" s="78" t="s">
        <v>4144</v>
      </c>
      <c r="J3439" s="78" t="s">
        <v>69</v>
      </c>
      <c r="K3439" s="58">
        <f t="shared" si="3"/>
        <v>0</v>
      </c>
      <c r="L3439" s="91" t="str">
        <f t="shared" si="8"/>
        <v>Sun</v>
      </c>
      <c r="M3439" s="78" t="str">
        <f>IFERROR(VLOOKUP(A3439, Entries!A:B,2,false),"")</f>
        <v>Crystal Dynamics</v>
      </c>
      <c r="N3439" s="23" t="str">
        <f>IFERROR(VLOOKUP(A3439, Entries!A:K,11,false),"")</f>
        <v/>
      </c>
      <c r="O3439" s="23" t="b">
        <f>IFERROR(VLOOKUP(A3439, Entries!A:I,8,false),"")</f>
        <v>0</v>
      </c>
    </row>
    <row r="3440">
      <c r="A3440" s="94" t="s">
        <v>1754</v>
      </c>
      <c r="B3440" s="78" t="s">
        <v>33</v>
      </c>
      <c r="C3440" s="85">
        <v>45074.0</v>
      </c>
      <c r="D3440" s="85">
        <v>45415.0</v>
      </c>
      <c r="E3440" s="86">
        <v>30.28</v>
      </c>
      <c r="F3440" s="87">
        <v>34.09</v>
      </c>
      <c r="G3440" s="88">
        <f t="shared" si="1"/>
        <v>3.81</v>
      </c>
      <c r="H3440" s="89">
        <f t="shared" si="10"/>
        <v>0.1117629803</v>
      </c>
      <c r="I3440" s="78" t="s">
        <v>4145</v>
      </c>
      <c r="J3440" s="78" t="s">
        <v>69</v>
      </c>
      <c r="K3440" s="58">
        <f t="shared" si="3"/>
        <v>341</v>
      </c>
      <c r="L3440" s="91" t="str">
        <f t="shared" si="8"/>
        <v>Fri</v>
      </c>
      <c r="M3440" s="78" t="str">
        <f>IFERROR(VLOOKUP(A3440, Entries!A:B,2,false),"")</f>
        <v>Arc System Works</v>
      </c>
      <c r="N3440" s="23" t="str">
        <f>IFERROR(VLOOKUP(A3440, Entries!A:K,11,false),"")</f>
        <v/>
      </c>
      <c r="O3440" s="23" t="b">
        <f>IFERROR(VLOOKUP(A3440, Entries!A:I,8,false),"")</f>
        <v>0</v>
      </c>
    </row>
    <row r="3441">
      <c r="A3441" s="78" t="s">
        <v>2789</v>
      </c>
      <c r="B3441" s="78" t="s">
        <v>19</v>
      </c>
      <c r="C3441" s="85">
        <v>45074.0</v>
      </c>
      <c r="D3441" s="85">
        <v>45074.0</v>
      </c>
      <c r="E3441" s="86">
        <v>3.16</v>
      </c>
      <c r="F3441" s="87">
        <v>5.43</v>
      </c>
      <c r="G3441" s="88">
        <f t="shared" si="1"/>
        <v>2.27</v>
      </c>
      <c r="H3441" s="89">
        <f t="shared" si="10"/>
        <v>0.4180478821</v>
      </c>
      <c r="I3441" s="78" t="s">
        <v>4146</v>
      </c>
      <c r="J3441" s="78" t="s">
        <v>69</v>
      </c>
      <c r="K3441" s="58">
        <f t="shared" si="3"/>
        <v>0</v>
      </c>
      <c r="L3441" s="91" t="str">
        <f t="shared" si="8"/>
        <v>Sun</v>
      </c>
      <c r="M3441" s="78" t="str">
        <f>IFERROR(VLOOKUP(A3441, Entries!A:B,2,false),"")</f>
        <v>Evil Tortilla Games</v>
      </c>
      <c r="N3441" s="23" t="str">
        <f>IFERROR(VLOOKUP(A3441, Entries!A:K,11,false),"")</f>
        <v/>
      </c>
      <c r="O3441" s="23" t="b">
        <f>IFERROR(VLOOKUP(A3441, Entries!A:I,8,false),"")</f>
        <v>1</v>
      </c>
    </row>
    <row r="3442">
      <c r="A3442" s="78" t="s">
        <v>2789</v>
      </c>
      <c r="B3442" s="78" t="s">
        <v>19</v>
      </c>
      <c r="C3442" s="85">
        <v>45074.0</v>
      </c>
      <c r="D3442" s="85">
        <v>45075.0</v>
      </c>
      <c r="E3442" s="86">
        <v>3.33</v>
      </c>
      <c r="F3442" s="87">
        <v>5.43</v>
      </c>
      <c r="G3442" s="88">
        <f t="shared" si="1"/>
        <v>2.1</v>
      </c>
      <c r="H3442" s="89">
        <f t="shared" si="10"/>
        <v>0.3867403315</v>
      </c>
      <c r="I3442" s="78" t="s">
        <v>4147</v>
      </c>
      <c r="J3442" s="78" t="s">
        <v>69</v>
      </c>
      <c r="K3442" s="58">
        <f t="shared" si="3"/>
        <v>1</v>
      </c>
      <c r="L3442" s="91" t="str">
        <f t="shared" si="8"/>
        <v>Mon</v>
      </c>
      <c r="M3442" s="78" t="str">
        <f>IFERROR(VLOOKUP(A3442, Entries!A:B,2,false),"")</f>
        <v>Evil Tortilla Games</v>
      </c>
      <c r="N3442" s="23" t="str">
        <f>IFERROR(VLOOKUP(A3442, Entries!A:K,11,false),"")</f>
        <v/>
      </c>
      <c r="O3442" s="23" t="b">
        <f>IFERROR(VLOOKUP(A3442, Entries!A:I,8,false),"")</f>
        <v>1</v>
      </c>
    </row>
    <row r="3443">
      <c r="A3443" s="78" t="s">
        <v>2789</v>
      </c>
      <c r="B3443" s="78" t="s">
        <v>19</v>
      </c>
      <c r="C3443" s="85">
        <v>45074.0</v>
      </c>
      <c r="D3443" s="85">
        <v>45076.0</v>
      </c>
      <c r="E3443" s="86">
        <v>3.33</v>
      </c>
      <c r="F3443" s="87">
        <v>5.43</v>
      </c>
      <c r="G3443" s="88">
        <f t="shared" si="1"/>
        <v>2.1</v>
      </c>
      <c r="H3443" s="89">
        <f t="shared" si="10"/>
        <v>0.3867403315</v>
      </c>
      <c r="I3443" s="78" t="s">
        <v>4148</v>
      </c>
      <c r="J3443" s="78" t="s">
        <v>69</v>
      </c>
      <c r="K3443" s="58">
        <f t="shared" si="3"/>
        <v>2</v>
      </c>
      <c r="L3443" s="91" t="str">
        <f t="shared" si="8"/>
        <v>Tue</v>
      </c>
      <c r="M3443" s="78" t="str">
        <f>IFERROR(VLOOKUP(A3443, Entries!A:B,2,false),"")</f>
        <v>Evil Tortilla Games</v>
      </c>
      <c r="N3443" s="23" t="str">
        <f>IFERROR(VLOOKUP(A3443, Entries!A:K,11,false),"")</f>
        <v/>
      </c>
      <c r="O3443" s="23" t="b">
        <f>IFERROR(VLOOKUP(A3443, Entries!A:I,8,false),"")</f>
        <v>1</v>
      </c>
    </row>
    <row r="3444">
      <c r="A3444" s="78" t="s">
        <v>4149</v>
      </c>
      <c r="B3444" s="78" t="s">
        <v>25</v>
      </c>
      <c r="C3444" s="85">
        <v>45075.0</v>
      </c>
      <c r="D3444" s="85">
        <v>45076.0</v>
      </c>
      <c r="E3444" s="86">
        <v>12.89</v>
      </c>
      <c r="F3444" s="87">
        <v>13.76</v>
      </c>
      <c r="G3444" s="88">
        <f t="shared" si="1"/>
        <v>0.87</v>
      </c>
      <c r="H3444" s="89">
        <f t="shared" si="10"/>
        <v>0.06322674419</v>
      </c>
      <c r="I3444" s="78" t="s">
        <v>4150</v>
      </c>
      <c r="J3444" s="78" t="s">
        <v>69</v>
      </c>
      <c r="K3444" s="58">
        <f t="shared" si="3"/>
        <v>1</v>
      </c>
      <c r="L3444" s="91" t="str">
        <f t="shared" si="8"/>
        <v>Tue</v>
      </c>
      <c r="M3444" s="78" t="str">
        <f>IFERROR(VLOOKUP(A3444, Entries!A:B,2,false),"")</f>
        <v>Crytivo</v>
      </c>
      <c r="N3444" s="23" t="str">
        <f>IFERROR(VLOOKUP(A3444, Entries!A:K,11,false),"")</f>
        <v/>
      </c>
      <c r="O3444" s="23" t="b">
        <f>IFERROR(VLOOKUP(A3444, Entries!A:I,8,false),"")</f>
        <v>0</v>
      </c>
    </row>
    <row r="3445">
      <c r="A3445" s="78" t="s">
        <v>2789</v>
      </c>
      <c r="B3445" s="78" t="s">
        <v>19</v>
      </c>
      <c r="C3445" s="85">
        <v>45075.0</v>
      </c>
      <c r="D3445" s="85">
        <v>45076.0</v>
      </c>
      <c r="E3445" s="86">
        <v>3.33</v>
      </c>
      <c r="F3445" s="87">
        <v>5.43</v>
      </c>
      <c r="G3445" s="88">
        <f t="shared" si="1"/>
        <v>2.1</v>
      </c>
      <c r="H3445" s="89">
        <f t="shared" si="10"/>
        <v>0.3867403315</v>
      </c>
      <c r="I3445" s="78" t="s">
        <v>4151</v>
      </c>
      <c r="J3445" s="78" t="s">
        <v>69</v>
      </c>
      <c r="K3445" s="58">
        <f t="shared" si="3"/>
        <v>1</v>
      </c>
      <c r="L3445" s="91" t="str">
        <f t="shared" si="8"/>
        <v>Tue</v>
      </c>
      <c r="M3445" s="78" t="str">
        <f>IFERROR(VLOOKUP(A3445, Entries!A:B,2,false),"")</f>
        <v>Evil Tortilla Games</v>
      </c>
      <c r="N3445" s="23" t="str">
        <f>IFERROR(VLOOKUP(A3445, Entries!A:K,11,false),"")</f>
        <v/>
      </c>
      <c r="O3445" s="23" t="b">
        <f>IFERROR(VLOOKUP(A3445, Entries!A:I,8,false),"")</f>
        <v>1</v>
      </c>
    </row>
    <row r="3446">
      <c r="A3446" s="78" t="s">
        <v>1338</v>
      </c>
      <c r="B3446" s="78" t="s">
        <v>25</v>
      </c>
      <c r="C3446" s="85">
        <v>45075.0</v>
      </c>
      <c r="D3446" s="85">
        <v>45076.0</v>
      </c>
      <c r="E3446" s="86">
        <v>5.91</v>
      </c>
      <c r="F3446" s="87">
        <v>6.19</v>
      </c>
      <c r="G3446" s="88">
        <f t="shared" si="1"/>
        <v>0.28</v>
      </c>
      <c r="H3446" s="89">
        <f t="shared" si="10"/>
        <v>0.04523424879</v>
      </c>
      <c r="I3446" s="78" t="s">
        <v>4152</v>
      </c>
      <c r="J3446" s="78" t="s">
        <v>69</v>
      </c>
      <c r="K3446" s="58">
        <f t="shared" si="3"/>
        <v>1</v>
      </c>
      <c r="L3446" s="91" t="str">
        <f t="shared" si="8"/>
        <v>Tue</v>
      </c>
      <c r="M3446" s="78" t="str">
        <f>IFERROR(VLOOKUP(A3446, Entries!A:B,2,false),"")</f>
        <v>SEGA</v>
      </c>
      <c r="N3446" s="23" t="str">
        <f>IFERROR(VLOOKUP(A3446, Entries!A:K,11,false),"")</f>
        <v/>
      </c>
      <c r="O3446" s="23" t="b">
        <f>IFERROR(VLOOKUP(A3446, Entries!A:I,8,false),"")</f>
        <v>0</v>
      </c>
    </row>
    <row r="3447">
      <c r="A3447" s="78" t="s">
        <v>2789</v>
      </c>
      <c r="B3447" s="78" t="s">
        <v>19</v>
      </c>
      <c r="C3447" s="85">
        <v>45075.0</v>
      </c>
      <c r="D3447" s="85">
        <v>45077.0</v>
      </c>
      <c r="E3447" s="86">
        <v>3.33</v>
      </c>
      <c r="F3447" s="87">
        <v>5.43</v>
      </c>
      <c r="G3447" s="88">
        <f t="shared" si="1"/>
        <v>2.1</v>
      </c>
      <c r="H3447" s="89">
        <f t="shared" si="10"/>
        <v>0.3867403315</v>
      </c>
      <c r="I3447" s="78" t="s">
        <v>4153</v>
      </c>
      <c r="J3447" s="78" t="s">
        <v>69</v>
      </c>
      <c r="K3447" s="58">
        <f t="shared" si="3"/>
        <v>2</v>
      </c>
      <c r="L3447" s="91" t="str">
        <f t="shared" si="8"/>
        <v>Wed</v>
      </c>
      <c r="M3447" s="78" t="str">
        <f>IFERROR(VLOOKUP(A3447, Entries!A:B,2,false),"")</f>
        <v>Evil Tortilla Games</v>
      </c>
      <c r="N3447" s="23" t="str">
        <f>IFERROR(VLOOKUP(A3447, Entries!A:K,11,false),"")</f>
        <v/>
      </c>
      <c r="O3447" s="23" t="b">
        <f>IFERROR(VLOOKUP(A3447, Entries!A:I,8,false),"")</f>
        <v>1</v>
      </c>
    </row>
    <row r="3448">
      <c r="A3448" s="78" t="s">
        <v>2240</v>
      </c>
      <c r="B3448" s="78" t="s">
        <v>27</v>
      </c>
      <c r="C3448" s="85">
        <v>45076.0</v>
      </c>
      <c r="D3448" s="85">
        <v>45098.0</v>
      </c>
      <c r="E3448" s="86">
        <v>5.49</v>
      </c>
      <c r="F3448" s="87">
        <v>7.23</v>
      </c>
      <c r="G3448" s="88">
        <f t="shared" si="1"/>
        <v>1.74</v>
      </c>
      <c r="H3448" s="89">
        <f t="shared" si="10"/>
        <v>0.2406639004</v>
      </c>
      <c r="I3448" s="78" t="s">
        <v>4154</v>
      </c>
      <c r="J3448" s="78" t="s">
        <v>69</v>
      </c>
      <c r="K3448" s="58">
        <f t="shared" si="3"/>
        <v>22</v>
      </c>
      <c r="L3448" s="91" t="str">
        <f t="shared" si="8"/>
        <v>Wed</v>
      </c>
      <c r="M3448" s="78" t="str">
        <f>IFERROR(VLOOKUP(A3448, Entries!A:B,2,false),"")</f>
        <v>Daedalic Entertainment</v>
      </c>
      <c r="N3448" s="23" t="str">
        <f>IFERROR(VLOOKUP(A3448, Entries!A:K,11,false),"")</f>
        <v/>
      </c>
      <c r="O3448" s="23" t="b">
        <f>IFERROR(VLOOKUP(A3448, Entries!A:I,8,false),"")</f>
        <v>0</v>
      </c>
    </row>
    <row r="3449">
      <c r="A3449" s="78" t="s">
        <v>4119</v>
      </c>
      <c r="B3449" s="78" t="s">
        <v>18</v>
      </c>
      <c r="C3449" s="85">
        <v>45076.0</v>
      </c>
      <c r="D3449" s="85">
        <v>46141.0</v>
      </c>
      <c r="E3449" s="86">
        <v>9.86</v>
      </c>
      <c r="F3449" s="87">
        <v>12.03</v>
      </c>
      <c r="G3449" s="88">
        <f t="shared" si="1"/>
        <v>2.17</v>
      </c>
      <c r="H3449" s="89">
        <f t="shared" si="10"/>
        <v>0.1803823774</v>
      </c>
      <c r="I3449" s="103" t="s">
        <v>4155</v>
      </c>
      <c r="J3449" s="78" t="s">
        <v>69</v>
      </c>
      <c r="K3449" s="58">
        <f t="shared" si="3"/>
        <v>1065</v>
      </c>
      <c r="L3449" s="91" t="str">
        <f t="shared" si="8"/>
        <v>Wed</v>
      </c>
      <c r="M3449" s="78" t="str">
        <f>IFERROR(VLOOKUP(A3449, Entries!A:B,2,false),"")</f>
        <v>Crystal Dynamics</v>
      </c>
      <c r="N3449" s="23" t="str">
        <f>IFERROR(VLOOKUP(A3449, Entries!A:K,11,false),"")</f>
        <v/>
      </c>
      <c r="O3449" s="23" t="b">
        <f>IFERROR(VLOOKUP(A3449, Entries!A:I,8,false),"")</f>
        <v>0</v>
      </c>
    </row>
    <row r="3450">
      <c r="A3450" s="78" t="s">
        <v>4119</v>
      </c>
      <c r="B3450" s="78" t="s">
        <v>18</v>
      </c>
      <c r="C3450" s="85">
        <v>45076.0</v>
      </c>
      <c r="D3450" s="85">
        <v>46145.0</v>
      </c>
      <c r="E3450" s="86">
        <v>9.87</v>
      </c>
      <c r="F3450" s="87">
        <v>11.71</v>
      </c>
      <c r="G3450" s="88">
        <f t="shared" si="1"/>
        <v>1.84</v>
      </c>
      <c r="H3450" s="89">
        <f t="shared" si="10"/>
        <v>0.1571306576</v>
      </c>
      <c r="I3450" s="103" t="s">
        <v>4156</v>
      </c>
      <c r="J3450" s="78" t="s">
        <v>69</v>
      </c>
      <c r="K3450" s="58">
        <f t="shared" si="3"/>
        <v>1069</v>
      </c>
      <c r="L3450" s="91" t="str">
        <f t="shared" si="8"/>
        <v>Sun</v>
      </c>
      <c r="M3450" s="78" t="str">
        <f>IFERROR(VLOOKUP(A3450, Entries!A:B,2,false),"")</f>
        <v>Crystal Dynamics</v>
      </c>
      <c r="N3450" s="23" t="str">
        <f>IFERROR(VLOOKUP(A3450, Entries!A:K,11,false),"")</f>
        <v/>
      </c>
      <c r="O3450" s="23" t="b">
        <f>IFERROR(VLOOKUP(A3450, Entries!A:I,8,false),"")</f>
        <v>0</v>
      </c>
    </row>
    <row r="3451">
      <c r="A3451" s="78" t="s">
        <v>4100</v>
      </c>
      <c r="B3451" s="78" t="s">
        <v>25</v>
      </c>
      <c r="C3451" s="85">
        <v>45076.0</v>
      </c>
      <c r="D3451" s="85">
        <v>45080.0</v>
      </c>
      <c r="E3451" s="86">
        <v>8.67</v>
      </c>
      <c r="F3451" s="87">
        <v>11.67</v>
      </c>
      <c r="G3451" s="88">
        <f t="shared" si="1"/>
        <v>3</v>
      </c>
      <c r="H3451" s="89">
        <f t="shared" si="10"/>
        <v>0.2570694087</v>
      </c>
      <c r="I3451" s="78" t="s">
        <v>4157</v>
      </c>
      <c r="J3451" s="78" t="s">
        <v>69</v>
      </c>
      <c r="K3451" s="58">
        <f t="shared" si="3"/>
        <v>4</v>
      </c>
      <c r="L3451" s="91" t="str">
        <f t="shared" si="8"/>
        <v>Sat</v>
      </c>
      <c r="M3451" s="78" t="str">
        <f>IFERROR(VLOOKUP(A3451, Entries!A:B,2,false),"")</f>
        <v>Nacon</v>
      </c>
      <c r="N3451" s="23" t="str">
        <f>IFERROR(VLOOKUP(A3451, Entries!A:K,11,false),"")</f>
        <v/>
      </c>
      <c r="O3451" s="23" t="b">
        <f>IFERROR(VLOOKUP(A3451, Entries!A:I,8,false),"")</f>
        <v>0</v>
      </c>
    </row>
    <row r="3452">
      <c r="A3452" s="78" t="s">
        <v>4149</v>
      </c>
      <c r="B3452" s="78" t="s">
        <v>25</v>
      </c>
      <c r="C3452" s="85">
        <v>45076.0</v>
      </c>
      <c r="D3452" s="85">
        <v>45077.0</v>
      </c>
      <c r="E3452" s="86">
        <v>12.59</v>
      </c>
      <c r="F3452" s="87">
        <v>13.43</v>
      </c>
      <c r="G3452" s="88">
        <f t="shared" si="1"/>
        <v>0.84</v>
      </c>
      <c r="H3452" s="89">
        <f t="shared" si="10"/>
        <v>0.0625465376</v>
      </c>
      <c r="I3452" s="78" t="s">
        <v>4158</v>
      </c>
      <c r="J3452" s="78" t="s">
        <v>69</v>
      </c>
      <c r="K3452" s="58">
        <f t="shared" si="3"/>
        <v>1</v>
      </c>
      <c r="L3452" s="91" t="str">
        <f t="shared" si="8"/>
        <v>Wed</v>
      </c>
      <c r="M3452" s="78" t="str">
        <f>IFERROR(VLOOKUP(A3452, Entries!A:B,2,false),"")</f>
        <v>Crytivo</v>
      </c>
      <c r="N3452" s="23" t="str">
        <f>IFERROR(VLOOKUP(A3452, Entries!A:K,11,false),"")</f>
        <v/>
      </c>
      <c r="O3452" s="23" t="b">
        <f>IFERROR(VLOOKUP(A3452, Entries!A:I,8,false),"")</f>
        <v>0</v>
      </c>
    </row>
    <row r="3453">
      <c r="A3453" s="78" t="s">
        <v>2789</v>
      </c>
      <c r="B3453" s="78" t="s">
        <v>19</v>
      </c>
      <c r="C3453" s="85">
        <v>45076.0</v>
      </c>
      <c r="D3453" s="85">
        <v>45077.0</v>
      </c>
      <c r="E3453" s="86">
        <v>3.33</v>
      </c>
      <c r="F3453" s="87">
        <v>5.43</v>
      </c>
      <c r="G3453" s="88">
        <f t="shared" si="1"/>
        <v>2.1</v>
      </c>
      <c r="H3453" s="89">
        <f t="shared" si="10"/>
        <v>0.3867403315</v>
      </c>
      <c r="I3453" s="78" t="s">
        <v>4159</v>
      </c>
      <c r="J3453" s="78" t="s">
        <v>69</v>
      </c>
      <c r="K3453" s="58">
        <f t="shared" si="3"/>
        <v>1</v>
      </c>
      <c r="L3453" s="91" t="str">
        <f t="shared" si="8"/>
        <v>Wed</v>
      </c>
      <c r="M3453" s="78" t="str">
        <f>IFERROR(VLOOKUP(A3453, Entries!A:B,2,false),"")</f>
        <v>Evil Tortilla Games</v>
      </c>
      <c r="N3453" s="23" t="str">
        <f>IFERROR(VLOOKUP(A3453, Entries!A:K,11,false),"")</f>
        <v/>
      </c>
      <c r="O3453" s="23" t="b">
        <f>IFERROR(VLOOKUP(A3453, Entries!A:I,8,false),"")</f>
        <v>1</v>
      </c>
    </row>
    <row r="3454">
      <c r="A3454" s="78" t="s">
        <v>2031</v>
      </c>
      <c r="B3454" s="78" t="s">
        <v>21</v>
      </c>
      <c r="C3454" s="85">
        <v>45076.0</v>
      </c>
      <c r="D3454" s="85">
        <v>45085.0</v>
      </c>
      <c r="E3454" s="86">
        <v>31.35</v>
      </c>
      <c r="F3454" s="87">
        <v>40.85</v>
      </c>
      <c r="G3454" s="88">
        <f t="shared" si="1"/>
        <v>9.5</v>
      </c>
      <c r="H3454" s="89">
        <f t="shared" si="10"/>
        <v>0.2325581395</v>
      </c>
      <c r="I3454" s="78" t="s">
        <v>4160</v>
      </c>
      <c r="J3454" s="78" t="s">
        <v>69</v>
      </c>
      <c r="K3454" s="58">
        <f t="shared" si="3"/>
        <v>9</v>
      </c>
      <c r="L3454" s="91" t="str">
        <f t="shared" si="8"/>
        <v>Thu</v>
      </c>
      <c r="M3454" s="78" t="str">
        <f>IFERROR(VLOOKUP(A3454, Entries!A:B,2,false),"")</f>
        <v>KOEI TECMO GAMES</v>
      </c>
      <c r="N3454" s="23" t="str">
        <f>IFERROR(VLOOKUP(A3454, Entries!A:K,11,false),"")</f>
        <v/>
      </c>
      <c r="O3454" s="23" t="b">
        <f>IFERROR(VLOOKUP(A3454, Entries!A:I,8,false),"")</f>
        <v>0</v>
      </c>
    </row>
    <row r="3455">
      <c r="A3455" s="78" t="s">
        <v>2789</v>
      </c>
      <c r="B3455" s="78" t="s">
        <v>19</v>
      </c>
      <c r="C3455" s="85">
        <v>45076.0</v>
      </c>
      <c r="D3455" s="85">
        <v>45077.0</v>
      </c>
      <c r="E3455" s="86">
        <v>3.33</v>
      </c>
      <c r="F3455" s="87">
        <v>5.43</v>
      </c>
      <c r="G3455" s="88">
        <f t="shared" si="1"/>
        <v>2.1</v>
      </c>
      <c r="H3455" s="89">
        <f t="shared" si="10"/>
        <v>0.3867403315</v>
      </c>
      <c r="I3455" s="78" t="s">
        <v>4161</v>
      </c>
      <c r="J3455" s="78" t="s">
        <v>69</v>
      </c>
      <c r="K3455" s="58">
        <f t="shared" si="3"/>
        <v>1</v>
      </c>
      <c r="L3455" s="91" t="str">
        <f t="shared" si="8"/>
        <v>Wed</v>
      </c>
      <c r="M3455" s="78" t="str">
        <f>IFERROR(VLOOKUP(A3455, Entries!A:B,2,false),"")</f>
        <v>Evil Tortilla Games</v>
      </c>
      <c r="N3455" s="23" t="str">
        <f>IFERROR(VLOOKUP(A3455, Entries!A:K,11,false),"")</f>
        <v/>
      </c>
      <c r="O3455" s="23" t="b">
        <f>IFERROR(VLOOKUP(A3455, Entries!A:I,8,false),"")</f>
        <v>1</v>
      </c>
    </row>
    <row r="3456">
      <c r="A3456" s="78" t="s">
        <v>3832</v>
      </c>
      <c r="B3456" s="78" t="s">
        <v>27</v>
      </c>
      <c r="C3456" s="85">
        <v>45077.0</v>
      </c>
      <c r="D3456" s="85">
        <v>45101.0</v>
      </c>
      <c r="E3456" s="86">
        <v>21.33</v>
      </c>
      <c r="F3456" s="87">
        <v>23.68</v>
      </c>
      <c r="G3456" s="88">
        <f t="shared" si="1"/>
        <v>2.35</v>
      </c>
      <c r="H3456" s="89">
        <f t="shared" si="10"/>
        <v>0.09923986486</v>
      </c>
      <c r="I3456" s="78" t="s">
        <v>4162</v>
      </c>
      <c r="J3456" s="78" t="s">
        <v>69</v>
      </c>
      <c r="K3456" s="58">
        <f t="shared" si="3"/>
        <v>24</v>
      </c>
      <c r="L3456" s="91" t="str">
        <f t="shared" si="8"/>
        <v>Sat</v>
      </c>
      <c r="M3456" s="78" t="str">
        <f>IFERROR(VLOOKUP(A3456, Entries!A:B,2,false),"")</f>
        <v>Rebellion</v>
      </c>
      <c r="N3456" s="23" t="str">
        <f>IFERROR(VLOOKUP(A3456, Entries!A:K,11,false),"")</f>
        <v/>
      </c>
      <c r="O3456" s="23" t="b">
        <f>IFERROR(VLOOKUP(A3456, Entries!A:I,8,false),"")</f>
        <v>0</v>
      </c>
    </row>
    <row r="3457">
      <c r="A3457" s="78" t="s">
        <v>2789</v>
      </c>
      <c r="B3457" s="78" t="s">
        <v>19</v>
      </c>
      <c r="C3457" s="85">
        <v>45077.0</v>
      </c>
      <c r="D3457" s="85">
        <v>45077.0</v>
      </c>
      <c r="E3457" s="86">
        <v>3.33</v>
      </c>
      <c r="F3457" s="87">
        <v>5.43</v>
      </c>
      <c r="G3457" s="88">
        <f t="shared" si="1"/>
        <v>2.1</v>
      </c>
      <c r="H3457" s="89">
        <f t="shared" si="10"/>
        <v>0.3867403315</v>
      </c>
      <c r="I3457" s="78" t="s">
        <v>4163</v>
      </c>
      <c r="J3457" s="78" t="s">
        <v>69</v>
      </c>
      <c r="K3457" s="58">
        <f t="shared" si="3"/>
        <v>0</v>
      </c>
      <c r="L3457" s="91" t="str">
        <f t="shared" si="8"/>
        <v>Wed</v>
      </c>
      <c r="M3457" s="78" t="str">
        <f>IFERROR(VLOOKUP(A3457, Entries!A:B,2,false),"")</f>
        <v>Evil Tortilla Games</v>
      </c>
      <c r="N3457" s="23" t="str">
        <f>IFERROR(VLOOKUP(A3457, Entries!A:K,11,false),"")</f>
        <v/>
      </c>
      <c r="O3457" s="23" t="b">
        <f>IFERROR(VLOOKUP(A3457, Entries!A:I,8,false),"")</f>
        <v>1</v>
      </c>
    </row>
    <row r="3458">
      <c r="A3458" s="78" t="s">
        <v>2528</v>
      </c>
      <c r="B3458" s="78" t="s">
        <v>25</v>
      </c>
      <c r="C3458" s="85">
        <v>45077.0</v>
      </c>
      <c r="D3458" s="85">
        <v>45079.0</v>
      </c>
      <c r="E3458" s="86">
        <v>5.87</v>
      </c>
      <c r="F3458" s="87">
        <v>6.87</v>
      </c>
      <c r="G3458" s="88">
        <f t="shared" si="1"/>
        <v>1</v>
      </c>
      <c r="H3458" s="89">
        <f t="shared" si="10"/>
        <v>0.1455604076</v>
      </c>
      <c r="I3458" s="78" t="s">
        <v>4164</v>
      </c>
      <c r="J3458" s="78" t="s">
        <v>69</v>
      </c>
      <c r="K3458" s="58">
        <f t="shared" si="3"/>
        <v>2</v>
      </c>
      <c r="L3458" s="91" t="str">
        <f t="shared" si="8"/>
        <v>Fri</v>
      </c>
      <c r="M3458" s="78" t="str">
        <f>IFERROR(VLOOKUP(A3458, Entries!A:B,2,false),"")</f>
        <v>Cheesecake Dev</v>
      </c>
      <c r="N3458" s="23" t="str">
        <f>IFERROR(VLOOKUP(A3458, Entries!A:K,11,false),"")</f>
        <v/>
      </c>
      <c r="O3458" s="23" t="b">
        <f>IFERROR(VLOOKUP(A3458, Entries!A:I,8,false),"")</f>
        <v>0</v>
      </c>
    </row>
    <row r="3459">
      <c r="A3459" s="78" t="s">
        <v>1338</v>
      </c>
      <c r="B3459" s="78" t="s">
        <v>25</v>
      </c>
      <c r="C3459" s="85">
        <v>45077.0</v>
      </c>
      <c r="D3459" s="85">
        <v>45080.0</v>
      </c>
      <c r="E3459" s="86">
        <v>5.91</v>
      </c>
      <c r="F3459" s="87">
        <v>6.19</v>
      </c>
      <c r="G3459" s="88">
        <f t="shared" si="1"/>
        <v>0.28</v>
      </c>
      <c r="H3459" s="89">
        <f t="shared" si="10"/>
        <v>0.04523424879</v>
      </c>
      <c r="I3459" s="78" t="s">
        <v>4165</v>
      </c>
      <c r="J3459" s="78" t="s">
        <v>69</v>
      </c>
      <c r="K3459" s="58">
        <f t="shared" si="3"/>
        <v>3</v>
      </c>
      <c r="L3459" s="91" t="str">
        <f t="shared" si="8"/>
        <v>Sat</v>
      </c>
      <c r="M3459" s="78" t="str">
        <f>IFERROR(VLOOKUP(A3459, Entries!A:B,2,false),"")</f>
        <v>SEGA</v>
      </c>
      <c r="N3459" s="23" t="str">
        <f>IFERROR(VLOOKUP(A3459, Entries!A:K,11,false),"")</f>
        <v/>
      </c>
      <c r="O3459" s="23" t="b">
        <f>IFERROR(VLOOKUP(A3459, Entries!A:I,8,false),"")</f>
        <v>0</v>
      </c>
    </row>
    <row r="3460">
      <c r="A3460" s="78" t="s">
        <v>2789</v>
      </c>
      <c r="B3460" s="78" t="s">
        <v>19</v>
      </c>
      <c r="C3460" s="85">
        <v>45077.0</v>
      </c>
      <c r="D3460" s="85">
        <v>45077.0</v>
      </c>
      <c r="E3460" s="86">
        <v>3.33</v>
      </c>
      <c r="F3460" s="87">
        <v>5.43</v>
      </c>
      <c r="G3460" s="88">
        <f t="shared" si="1"/>
        <v>2.1</v>
      </c>
      <c r="H3460" s="89">
        <f t="shared" si="10"/>
        <v>0.3867403315</v>
      </c>
      <c r="I3460" s="78" t="s">
        <v>4166</v>
      </c>
      <c r="J3460" s="78" t="s">
        <v>69</v>
      </c>
      <c r="K3460" s="58">
        <f t="shared" si="3"/>
        <v>0</v>
      </c>
      <c r="L3460" s="91" t="str">
        <f t="shared" si="8"/>
        <v>Wed</v>
      </c>
      <c r="M3460" s="78" t="str">
        <f>IFERROR(VLOOKUP(A3460, Entries!A:B,2,false),"")</f>
        <v>Evil Tortilla Games</v>
      </c>
      <c r="N3460" s="23" t="str">
        <f>IFERROR(VLOOKUP(A3460, Entries!A:K,11,false),"")</f>
        <v/>
      </c>
      <c r="O3460" s="23" t="b">
        <f>IFERROR(VLOOKUP(A3460, Entries!A:I,8,false),"")</f>
        <v>1</v>
      </c>
    </row>
    <row r="3461">
      <c r="A3461" s="78" t="s">
        <v>2789</v>
      </c>
      <c r="B3461" s="78" t="s">
        <v>19</v>
      </c>
      <c r="C3461" s="85">
        <v>45077.0</v>
      </c>
      <c r="D3461" s="85">
        <v>45078.0</v>
      </c>
      <c r="E3461" s="86">
        <v>3.33</v>
      </c>
      <c r="F3461" s="87">
        <v>5.22</v>
      </c>
      <c r="G3461" s="88">
        <f t="shared" si="1"/>
        <v>1.89</v>
      </c>
      <c r="H3461" s="89">
        <f t="shared" si="10"/>
        <v>0.3620689655</v>
      </c>
      <c r="I3461" s="78" t="s">
        <v>4167</v>
      </c>
      <c r="J3461" s="78" t="s">
        <v>69</v>
      </c>
      <c r="K3461" s="58">
        <f t="shared" si="3"/>
        <v>1</v>
      </c>
      <c r="L3461" s="91" t="str">
        <f t="shared" si="8"/>
        <v>Thu</v>
      </c>
      <c r="M3461" s="78" t="str">
        <f>IFERROR(VLOOKUP(A3461, Entries!A:B,2,false),"")</f>
        <v>Evil Tortilla Games</v>
      </c>
      <c r="N3461" s="23" t="str">
        <f>IFERROR(VLOOKUP(A3461, Entries!A:K,11,false),"")</f>
        <v/>
      </c>
      <c r="O3461" s="23" t="b">
        <f>IFERROR(VLOOKUP(A3461, Entries!A:I,8,false),"")</f>
        <v>1</v>
      </c>
    </row>
    <row r="3462">
      <c r="A3462" s="78" t="s">
        <v>4168</v>
      </c>
      <c r="B3462" s="78" t="s">
        <v>25</v>
      </c>
      <c r="C3462" s="85">
        <v>45077.0</v>
      </c>
      <c r="D3462" s="85">
        <v>45081.0</v>
      </c>
      <c r="E3462" s="86">
        <v>13.25</v>
      </c>
      <c r="F3462" s="87">
        <v>14.09</v>
      </c>
      <c r="G3462" s="88">
        <f t="shared" si="1"/>
        <v>0.84</v>
      </c>
      <c r="H3462" s="89">
        <f t="shared" si="10"/>
        <v>0.05961674947</v>
      </c>
      <c r="I3462" s="78" t="s">
        <v>4169</v>
      </c>
      <c r="J3462" s="78" t="s">
        <v>69</v>
      </c>
      <c r="K3462" s="58">
        <f t="shared" si="3"/>
        <v>4</v>
      </c>
      <c r="L3462" s="91" t="str">
        <f t="shared" si="8"/>
        <v>Sun</v>
      </c>
      <c r="M3462" s="78" t="str">
        <f>IFERROR(VLOOKUP(A3462, Entries!A:B,2,false),"")</f>
        <v>DANGEN Entertainment</v>
      </c>
      <c r="N3462" s="23" t="str">
        <f>IFERROR(VLOOKUP(A3462, Entries!A:K,11,false),"")</f>
        <v/>
      </c>
      <c r="O3462" s="23" t="b">
        <f>IFERROR(VLOOKUP(A3462, Entries!A:I,8,false),"")</f>
        <v>0</v>
      </c>
    </row>
    <row r="3463">
      <c r="A3463" s="78" t="s">
        <v>2789</v>
      </c>
      <c r="B3463" s="78" t="s">
        <v>19</v>
      </c>
      <c r="C3463" s="85">
        <v>45077.0</v>
      </c>
      <c r="D3463" s="85">
        <v>45077.0</v>
      </c>
      <c r="E3463" s="86">
        <v>3.33</v>
      </c>
      <c r="F3463" s="87">
        <v>5.43</v>
      </c>
      <c r="G3463" s="88">
        <f t="shared" si="1"/>
        <v>2.1</v>
      </c>
      <c r="H3463" s="89">
        <f t="shared" si="10"/>
        <v>0.3867403315</v>
      </c>
      <c r="I3463" s="78" t="s">
        <v>4170</v>
      </c>
      <c r="J3463" s="78" t="s">
        <v>69</v>
      </c>
      <c r="K3463" s="58">
        <f t="shared" si="3"/>
        <v>0</v>
      </c>
      <c r="L3463" s="91" t="str">
        <f t="shared" si="8"/>
        <v>Wed</v>
      </c>
      <c r="M3463" s="78" t="str">
        <f>IFERROR(VLOOKUP(A3463, Entries!A:B,2,false),"")</f>
        <v>Evil Tortilla Games</v>
      </c>
      <c r="N3463" s="23" t="str">
        <f>IFERROR(VLOOKUP(A3463, Entries!A:K,11,false),"")</f>
        <v/>
      </c>
      <c r="O3463" s="23" t="b">
        <f>IFERROR(VLOOKUP(A3463, Entries!A:I,8,false),"")</f>
        <v>1</v>
      </c>
    </row>
    <row r="3464">
      <c r="A3464" s="78" t="s">
        <v>2789</v>
      </c>
      <c r="B3464" s="78" t="s">
        <v>19</v>
      </c>
      <c r="C3464" s="85">
        <v>45077.0</v>
      </c>
      <c r="D3464" s="85">
        <v>45079.0</v>
      </c>
      <c r="E3464" s="86">
        <v>3.33</v>
      </c>
      <c r="F3464" s="87">
        <v>5.22</v>
      </c>
      <c r="G3464" s="88">
        <f t="shared" si="1"/>
        <v>1.89</v>
      </c>
      <c r="H3464" s="89">
        <f t="shared" si="10"/>
        <v>0.3620689655</v>
      </c>
      <c r="I3464" s="78" t="s">
        <v>4171</v>
      </c>
      <c r="J3464" s="78" t="s">
        <v>69</v>
      </c>
      <c r="K3464" s="58">
        <f t="shared" si="3"/>
        <v>2</v>
      </c>
      <c r="L3464" s="91" t="str">
        <f t="shared" si="8"/>
        <v>Fri</v>
      </c>
      <c r="M3464" s="78" t="str">
        <f>IFERROR(VLOOKUP(A3464, Entries!A:B,2,false),"")</f>
        <v>Evil Tortilla Games</v>
      </c>
      <c r="N3464" s="23" t="str">
        <f>IFERROR(VLOOKUP(A3464, Entries!A:K,11,false),"")</f>
        <v/>
      </c>
      <c r="O3464" s="23" t="b">
        <f>IFERROR(VLOOKUP(A3464, Entries!A:I,8,false),"")</f>
        <v>1</v>
      </c>
    </row>
    <row r="3465">
      <c r="A3465" s="78" t="s">
        <v>3771</v>
      </c>
      <c r="B3465" s="78" t="s">
        <v>27</v>
      </c>
      <c r="C3465" s="85">
        <v>45078.0</v>
      </c>
      <c r="D3465" s="85">
        <v>45079.0</v>
      </c>
      <c r="E3465" s="86">
        <v>7.99</v>
      </c>
      <c r="F3465" s="87">
        <v>11.03</v>
      </c>
      <c r="G3465" s="88">
        <f t="shared" si="1"/>
        <v>3.04</v>
      </c>
      <c r="H3465" s="89">
        <f t="shared" si="10"/>
        <v>0.2756119674</v>
      </c>
      <c r="I3465" s="78" t="s">
        <v>4172</v>
      </c>
      <c r="J3465" s="78" t="s">
        <v>69</v>
      </c>
      <c r="K3465" s="58">
        <f t="shared" si="3"/>
        <v>1</v>
      </c>
      <c r="L3465" s="91" t="str">
        <f t="shared" si="8"/>
        <v>Fri</v>
      </c>
      <c r="M3465" s="78" t="str">
        <f>IFERROR(VLOOKUP(A3465, Entries!A:B,2,false),"")</f>
        <v>Good Shepherd Entertainment</v>
      </c>
      <c r="N3465" s="23" t="str">
        <f>IFERROR(VLOOKUP(A3465, Entries!A:K,11,false),"")</f>
        <v/>
      </c>
      <c r="O3465" s="23" t="b">
        <f>IFERROR(VLOOKUP(A3465, Entries!A:I,8,false),"")</f>
        <v>0</v>
      </c>
    </row>
    <row r="3466">
      <c r="A3466" s="78" t="s">
        <v>4173</v>
      </c>
      <c r="B3466" s="78" t="s">
        <v>22</v>
      </c>
      <c r="C3466" s="85">
        <v>45078.0</v>
      </c>
      <c r="D3466" s="85">
        <v>45087.0</v>
      </c>
      <c r="E3466" s="86">
        <v>3.88</v>
      </c>
      <c r="F3466" s="87">
        <v>6.83</v>
      </c>
      <c r="G3466" s="88">
        <f t="shared" si="1"/>
        <v>2.95</v>
      </c>
      <c r="H3466" s="89">
        <f t="shared" si="10"/>
        <v>0.4319180088</v>
      </c>
      <c r="I3466" s="78" t="s">
        <v>4174</v>
      </c>
      <c r="J3466" s="78" t="s">
        <v>69</v>
      </c>
      <c r="K3466" s="58">
        <f t="shared" si="3"/>
        <v>9</v>
      </c>
      <c r="L3466" s="91" t="str">
        <f t="shared" si="8"/>
        <v>Sat</v>
      </c>
      <c r="M3466" s="78" t="str">
        <f>IFERROR(VLOOKUP(A3466, Entries!A:B,2,false),"")</f>
        <v>Kepler Interactive</v>
      </c>
      <c r="N3466" s="23" t="str">
        <f>IFERROR(VLOOKUP(A3466, Entries!A:K,11,false),"")</f>
        <v/>
      </c>
    </row>
    <row r="3467">
      <c r="A3467" s="78" t="s">
        <v>4175</v>
      </c>
      <c r="B3467" s="78" t="s">
        <v>22</v>
      </c>
      <c r="C3467" s="85">
        <v>45078.0</v>
      </c>
      <c r="D3467" s="85">
        <v>45139.0</v>
      </c>
      <c r="E3467" s="86">
        <v>10.49</v>
      </c>
      <c r="F3467" s="87">
        <v>12.95</v>
      </c>
      <c r="G3467" s="88">
        <f t="shared" si="1"/>
        <v>2.46</v>
      </c>
      <c r="H3467" s="89">
        <f t="shared" si="10"/>
        <v>0.18996139</v>
      </c>
      <c r="I3467" s="78" t="s">
        <v>4176</v>
      </c>
      <c r="J3467" s="78" t="s">
        <v>69</v>
      </c>
      <c r="K3467" s="58">
        <f t="shared" si="3"/>
        <v>61</v>
      </c>
      <c r="L3467" s="91" t="str">
        <f t="shared" si="8"/>
        <v>Tue</v>
      </c>
      <c r="M3467" s="78" t="str">
        <f>IFERROR(VLOOKUP(A3467, Entries!A:B,2,false),"")</f>
        <v>Gaugepunk Games</v>
      </c>
      <c r="N3467" s="23" t="str">
        <f>IFERROR(VLOOKUP(A3467, Entries!A:K,11,false),"")</f>
        <v/>
      </c>
    </row>
    <row r="3468">
      <c r="A3468" s="78" t="s">
        <v>3771</v>
      </c>
      <c r="B3468" s="78" t="s">
        <v>27</v>
      </c>
      <c r="C3468" s="85">
        <v>45079.0</v>
      </c>
      <c r="D3468" s="85">
        <v>45080.0</v>
      </c>
      <c r="E3468" s="86">
        <v>7.99</v>
      </c>
      <c r="F3468" s="87">
        <v>11.0</v>
      </c>
      <c r="G3468" s="88">
        <f t="shared" si="1"/>
        <v>3.01</v>
      </c>
      <c r="H3468" s="89">
        <f t="shared" si="10"/>
        <v>0.2736363636</v>
      </c>
      <c r="I3468" s="78" t="s">
        <v>4177</v>
      </c>
      <c r="J3468" s="78" t="s">
        <v>69</v>
      </c>
      <c r="K3468" s="58">
        <f t="shared" si="3"/>
        <v>1</v>
      </c>
      <c r="L3468" s="91" t="str">
        <f t="shared" si="8"/>
        <v>Sat</v>
      </c>
      <c r="M3468" s="78" t="str">
        <f>IFERROR(VLOOKUP(A3468, Entries!A:B,2,false),"")</f>
        <v>Good Shepherd Entertainment</v>
      </c>
      <c r="N3468" s="23" t="str">
        <f>IFERROR(VLOOKUP(A3468, Entries!A:K,11,false),"")</f>
        <v/>
      </c>
    </row>
    <row r="3469">
      <c r="A3469" s="78" t="s">
        <v>3309</v>
      </c>
      <c r="B3469" s="78" t="s">
        <v>27</v>
      </c>
      <c r="C3469" s="85">
        <v>45079.0</v>
      </c>
      <c r="D3469" s="85">
        <v>45083.0</v>
      </c>
      <c r="E3469" s="86">
        <v>4.09</v>
      </c>
      <c r="F3469" s="87">
        <v>4.73</v>
      </c>
      <c r="G3469" s="88">
        <f t="shared" si="1"/>
        <v>0.64</v>
      </c>
      <c r="H3469" s="89">
        <f t="shared" si="10"/>
        <v>0.1353065539</v>
      </c>
      <c r="I3469" s="78" t="s">
        <v>4178</v>
      </c>
      <c r="J3469" s="78" t="s">
        <v>69</v>
      </c>
      <c r="K3469" s="58">
        <f t="shared" si="3"/>
        <v>4</v>
      </c>
      <c r="L3469" s="91" t="str">
        <f t="shared" si="8"/>
        <v>Tue</v>
      </c>
      <c r="M3469" s="78" t="str">
        <f>IFERROR(VLOOKUP(A3469, Entries!A:B,2,false),"")</f>
        <v>Digixart</v>
      </c>
      <c r="N3469" s="23" t="str">
        <f>IFERROR(VLOOKUP(A3469, Entries!A:K,11,false),"")</f>
        <v/>
      </c>
    </row>
    <row r="3470">
      <c r="A3470" s="78" t="s">
        <v>550</v>
      </c>
      <c r="B3470" s="78" t="s">
        <v>25</v>
      </c>
      <c r="C3470" s="85">
        <v>45079.0</v>
      </c>
      <c r="D3470" s="85">
        <v>45081.0</v>
      </c>
      <c r="E3470" s="86">
        <v>5.3</v>
      </c>
      <c r="F3470" s="87">
        <v>6.54</v>
      </c>
      <c r="G3470" s="88">
        <f t="shared" si="1"/>
        <v>1.24</v>
      </c>
      <c r="H3470" s="89">
        <f t="shared" si="10"/>
        <v>0.1896024465</v>
      </c>
      <c r="I3470" s="78" t="s">
        <v>4179</v>
      </c>
      <c r="J3470" s="78" t="s">
        <v>69</v>
      </c>
      <c r="K3470" s="58">
        <f t="shared" si="3"/>
        <v>2</v>
      </c>
      <c r="L3470" s="91" t="str">
        <f t="shared" si="8"/>
        <v>Sun</v>
      </c>
      <c r="M3470" s="78" t="str">
        <f>IFERROR(VLOOKUP(A3470, Entries!A:B,2,false),"")</f>
        <v>Codemasters</v>
      </c>
      <c r="N3470" s="23" t="str">
        <f>IFERROR(VLOOKUP(A3470, Entries!A:K,11,false),"")</f>
        <v/>
      </c>
    </row>
    <row r="3471">
      <c r="A3471" s="78" t="s">
        <v>2528</v>
      </c>
      <c r="B3471" s="78" t="s">
        <v>25</v>
      </c>
      <c r="C3471" s="85">
        <v>45079.0</v>
      </c>
      <c r="D3471" s="85">
        <v>45085.0</v>
      </c>
      <c r="E3471" s="86">
        <v>5.87</v>
      </c>
      <c r="F3471" s="87">
        <v>6.87</v>
      </c>
      <c r="G3471" s="88">
        <f t="shared" si="1"/>
        <v>1</v>
      </c>
      <c r="H3471" s="89">
        <f t="shared" si="10"/>
        <v>0.1455604076</v>
      </c>
      <c r="I3471" s="78" t="s">
        <v>4180</v>
      </c>
      <c r="J3471" s="78" t="s">
        <v>69</v>
      </c>
      <c r="K3471" s="58">
        <f t="shared" si="3"/>
        <v>6</v>
      </c>
      <c r="L3471" s="91" t="str">
        <f t="shared" si="8"/>
        <v>Thu</v>
      </c>
      <c r="M3471" s="78" t="str">
        <f>IFERROR(VLOOKUP(A3471, Entries!A:B,2,false),"")</f>
        <v>Cheesecake Dev</v>
      </c>
      <c r="N3471" s="23" t="str">
        <f>IFERROR(VLOOKUP(A3471, Entries!A:K,11,false),"")</f>
        <v/>
      </c>
    </row>
    <row r="3472">
      <c r="A3472" s="78" t="s">
        <v>3515</v>
      </c>
      <c r="B3472" s="78" t="s">
        <v>27</v>
      </c>
      <c r="C3472" s="85">
        <v>45080.0</v>
      </c>
      <c r="D3472" s="85">
        <v>45081.0</v>
      </c>
      <c r="E3472" s="86">
        <v>8.09</v>
      </c>
      <c r="F3472" s="87">
        <v>8.88</v>
      </c>
      <c r="G3472" s="88">
        <f t="shared" si="1"/>
        <v>0.79</v>
      </c>
      <c r="H3472" s="89">
        <f t="shared" si="10"/>
        <v>0.08896396396</v>
      </c>
      <c r="I3472" s="78" t="s">
        <v>4181</v>
      </c>
      <c r="J3472" s="78" t="s">
        <v>69</v>
      </c>
      <c r="K3472" s="58">
        <f t="shared" si="3"/>
        <v>1</v>
      </c>
      <c r="L3472" s="91" t="str">
        <f t="shared" si="8"/>
        <v>Sun</v>
      </c>
      <c r="M3472" s="78" t="str">
        <f>IFERROR(VLOOKUP(A3472, Entries!A:B,2,false),"")</f>
        <v>WOLCEN Studio</v>
      </c>
      <c r="N3472" s="23" t="str">
        <f>IFERROR(VLOOKUP(A3472, Entries!A:K,11,false),"")</f>
        <v/>
      </c>
    </row>
    <row r="3473">
      <c r="A3473" s="78" t="s">
        <v>2148</v>
      </c>
      <c r="B3473" s="78" t="s">
        <v>32</v>
      </c>
      <c r="C3473" s="85">
        <v>45080.0</v>
      </c>
      <c r="D3473" s="85">
        <v>45190.0</v>
      </c>
      <c r="E3473" s="86">
        <v>8.97</v>
      </c>
      <c r="F3473" s="87">
        <v>14.27</v>
      </c>
      <c r="G3473" s="88">
        <f t="shared" si="1"/>
        <v>5.3</v>
      </c>
      <c r="H3473" s="89">
        <f t="shared" si="10"/>
        <v>0.3714085494</v>
      </c>
      <c r="I3473" s="78" t="s">
        <v>4182</v>
      </c>
      <c r="J3473" s="78" t="s">
        <v>69</v>
      </c>
      <c r="K3473" s="58">
        <f t="shared" si="3"/>
        <v>110</v>
      </c>
      <c r="L3473" s="91" t="str">
        <f t="shared" si="8"/>
        <v>Thu</v>
      </c>
      <c r="M3473" s="78" t="str">
        <f>IFERROR(VLOOKUP(A3473, Entries!A:B,2,false),"")</f>
        <v>Wired Productions</v>
      </c>
      <c r="N3473" s="23" t="str">
        <f>IFERROR(VLOOKUP(A3473, Entries!A:K,11,false),"")</f>
        <v/>
      </c>
      <c r="O3473" s="23" t="b">
        <f>IFERROR(VLOOKUP(A3473, Entries!A:I,8,false),"")</f>
        <v>1</v>
      </c>
    </row>
    <row r="3474">
      <c r="A3474" s="78" t="s">
        <v>2148</v>
      </c>
      <c r="B3474" s="78" t="s">
        <v>32</v>
      </c>
      <c r="C3474" s="85">
        <v>45080.0</v>
      </c>
      <c r="D3474" s="85">
        <v>45190.0</v>
      </c>
      <c r="E3474" s="86">
        <v>8.97</v>
      </c>
      <c r="F3474" s="87">
        <v>15.27</v>
      </c>
      <c r="G3474" s="88">
        <f t="shared" si="1"/>
        <v>6.3</v>
      </c>
      <c r="H3474" s="89">
        <f t="shared" si="10"/>
        <v>0.4125736739</v>
      </c>
      <c r="I3474" s="78" t="s">
        <v>4183</v>
      </c>
      <c r="J3474" s="78" t="s">
        <v>69</v>
      </c>
      <c r="K3474" s="58">
        <f t="shared" si="3"/>
        <v>110</v>
      </c>
      <c r="L3474" s="91" t="str">
        <f t="shared" si="8"/>
        <v>Thu</v>
      </c>
      <c r="M3474" s="78" t="str">
        <f>IFERROR(VLOOKUP(A3474, Entries!A:B,2,false),"")</f>
        <v>Wired Productions</v>
      </c>
      <c r="N3474" s="23" t="str">
        <f>IFERROR(VLOOKUP(A3474, Entries!A:K,11,false),"")</f>
        <v/>
      </c>
      <c r="O3474" s="23" t="b">
        <f>IFERROR(VLOOKUP(A3474, Entries!A:I,8,false),"")</f>
        <v>1</v>
      </c>
    </row>
    <row r="3475">
      <c r="A3475" s="78" t="s">
        <v>1338</v>
      </c>
      <c r="B3475" s="78" t="s">
        <v>25</v>
      </c>
      <c r="C3475" s="85">
        <v>45080.0</v>
      </c>
      <c r="D3475" s="85">
        <v>45081.0</v>
      </c>
      <c r="E3475" s="86">
        <v>5.91</v>
      </c>
      <c r="F3475" s="87">
        <v>6.19</v>
      </c>
      <c r="G3475" s="88">
        <f t="shared" si="1"/>
        <v>0.28</v>
      </c>
      <c r="H3475" s="89">
        <f t="shared" si="10"/>
        <v>0.04523424879</v>
      </c>
      <c r="I3475" s="78" t="s">
        <v>4184</v>
      </c>
      <c r="J3475" s="78" t="s">
        <v>69</v>
      </c>
      <c r="K3475" s="58">
        <f t="shared" si="3"/>
        <v>1</v>
      </c>
      <c r="L3475" s="91" t="str">
        <f t="shared" si="8"/>
        <v>Sun</v>
      </c>
      <c r="M3475" s="78" t="str">
        <f>IFERROR(VLOOKUP(A3475, Entries!A:B,2,false),"")</f>
        <v>SEGA</v>
      </c>
      <c r="N3475" s="23" t="str">
        <f>IFERROR(VLOOKUP(A3475, Entries!A:K,11,false),"")</f>
        <v/>
      </c>
    </row>
    <row r="3476">
      <c r="A3476" s="78" t="s">
        <v>1338</v>
      </c>
      <c r="B3476" s="78" t="s">
        <v>25</v>
      </c>
      <c r="C3476" s="85">
        <v>45080.0</v>
      </c>
      <c r="D3476" s="85">
        <v>45081.0</v>
      </c>
      <c r="E3476" s="86">
        <v>5.91</v>
      </c>
      <c r="F3476" s="87">
        <v>6.19</v>
      </c>
      <c r="G3476" s="88">
        <f t="shared" si="1"/>
        <v>0.28</v>
      </c>
      <c r="H3476" s="89">
        <f t="shared" si="10"/>
        <v>0.04523424879</v>
      </c>
      <c r="I3476" s="78" t="s">
        <v>4185</v>
      </c>
      <c r="J3476" s="78" t="s">
        <v>69</v>
      </c>
      <c r="K3476" s="58">
        <f t="shared" si="3"/>
        <v>1</v>
      </c>
      <c r="L3476" s="91" t="str">
        <f t="shared" si="8"/>
        <v>Sun</v>
      </c>
      <c r="M3476" s="78" t="str">
        <f>IFERROR(VLOOKUP(A3476, Entries!A:B,2,false),"")</f>
        <v>SEGA</v>
      </c>
      <c r="N3476" s="23" t="str">
        <f>IFERROR(VLOOKUP(A3476, Entries!A:K,11,false),"")</f>
        <v/>
      </c>
    </row>
    <row r="3477">
      <c r="A3477" s="78" t="s">
        <v>4100</v>
      </c>
      <c r="B3477" s="78" t="s">
        <v>25</v>
      </c>
      <c r="C3477" s="85">
        <v>45080.0</v>
      </c>
      <c r="D3477" s="85">
        <v>45081.0</v>
      </c>
      <c r="E3477" s="86">
        <v>8.87</v>
      </c>
      <c r="F3477" s="87">
        <v>11.69</v>
      </c>
      <c r="G3477" s="88">
        <f t="shared" si="1"/>
        <v>2.82</v>
      </c>
      <c r="H3477" s="89">
        <f t="shared" si="10"/>
        <v>0.2412318221</v>
      </c>
      <c r="I3477" s="78" t="s">
        <v>4186</v>
      </c>
      <c r="J3477" s="78" t="s">
        <v>69</v>
      </c>
      <c r="K3477" s="58">
        <f t="shared" si="3"/>
        <v>1</v>
      </c>
      <c r="L3477" s="91" t="str">
        <f t="shared" si="8"/>
        <v>Sun</v>
      </c>
      <c r="M3477" s="78" t="str">
        <f>IFERROR(VLOOKUP(A3477, Entries!A:B,2,false),"")</f>
        <v>Nacon</v>
      </c>
      <c r="N3477" s="23" t="str">
        <f>IFERROR(VLOOKUP(A3477, Entries!A:K,11,false),"")</f>
        <v/>
      </c>
    </row>
    <row r="3478">
      <c r="A3478" s="78" t="s">
        <v>3771</v>
      </c>
      <c r="B3478" s="78" t="s">
        <v>27</v>
      </c>
      <c r="C3478" s="85">
        <v>45080.0</v>
      </c>
      <c r="D3478" s="85">
        <v>45085.0</v>
      </c>
      <c r="E3478" s="86">
        <v>7.99</v>
      </c>
      <c r="F3478" s="87">
        <v>10.97</v>
      </c>
      <c r="G3478" s="88">
        <f t="shared" si="1"/>
        <v>2.98</v>
      </c>
      <c r="H3478" s="89">
        <f t="shared" si="10"/>
        <v>0.2716499544</v>
      </c>
      <c r="I3478" s="78" t="s">
        <v>4187</v>
      </c>
      <c r="J3478" s="78" t="s">
        <v>69</v>
      </c>
      <c r="K3478" s="58">
        <f t="shared" si="3"/>
        <v>5</v>
      </c>
      <c r="L3478" s="91" t="str">
        <f t="shared" si="8"/>
        <v>Thu</v>
      </c>
      <c r="M3478" s="78" t="str">
        <f>IFERROR(VLOOKUP(A3478, Entries!A:B,2,false),"")</f>
        <v>Good Shepherd Entertainment</v>
      </c>
      <c r="N3478" s="23" t="str">
        <f>IFERROR(VLOOKUP(A3478, Entries!A:K,11,false),"")</f>
        <v/>
      </c>
    </row>
    <row r="3479">
      <c r="A3479" s="78" t="s">
        <v>4188</v>
      </c>
      <c r="B3479" s="78" t="s">
        <v>27</v>
      </c>
      <c r="C3479" s="85">
        <v>45080.0</v>
      </c>
      <c r="D3479" s="85">
        <v>45081.0</v>
      </c>
      <c r="E3479" s="86">
        <v>28.39</v>
      </c>
      <c r="F3479" s="87">
        <v>34.44</v>
      </c>
      <c r="G3479" s="88">
        <f t="shared" si="1"/>
        <v>6.05</v>
      </c>
      <c r="H3479" s="89">
        <f t="shared" si="10"/>
        <v>0.1756678281</v>
      </c>
      <c r="I3479" s="78" t="s">
        <v>4189</v>
      </c>
      <c r="J3479" s="78" t="s">
        <v>69</v>
      </c>
      <c r="K3479" s="58">
        <f t="shared" si="3"/>
        <v>1</v>
      </c>
      <c r="L3479" s="91" t="str">
        <f t="shared" si="8"/>
        <v>Sun</v>
      </c>
      <c r="M3479" s="78" t="str">
        <f>IFERROR(VLOOKUP(A3479, Entries!A:B,2,false),"")</f>
        <v>PlayStation</v>
      </c>
      <c r="N3479" s="23" t="str">
        <f>IFERROR(VLOOKUP(A3479, Entries!A:K,11,false),"")</f>
        <v/>
      </c>
    </row>
    <row r="3480">
      <c r="A3480" s="78" t="s">
        <v>4188</v>
      </c>
      <c r="B3480" s="78" t="s">
        <v>27</v>
      </c>
      <c r="C3480" s="85">
        <v>45081.0</v>
      </c>
      <c r="D3480" s="85">
        <v>45081.0</v>
      </c>
      <c r="E3480" s="86">
        <v>28.39</v>
      </c>
      <c r="F3480" s="87">
        <v>34.33</v>
      </c>
      <c r="G3480" s="88">
        <f t="shared" si="1"/>
        <v>5.94</v>
      </c>
      <c r="H3480" s="89">
        <f t="shared" si="10"/>
        <v>0.1730265074</v>
      </c>
      <c r="I3480" s="78" t="s">
        <v>4190</v>
      </c>
      <c r="J3480" s="78" t="s">
        <v>69</v>
      </c>
      <c r="K3480" s="58">
        <f t="shared" si="3"/>
        <v>0</v>
      </c>
      <c r="L3480" s="91" t="str">
        <f t="shared" si="8"/>
        <v>Sun</v>
      </c>
      <c r="M3480" s="78" t="str">
        <f>IFERROR(VLOOKUP(A3480, Entries!A:B,2,false),"")</f>
        <v>PlayStation</v>
      </c>
      <c r="N3480" s="23" t="str">
        <f>IFERROR(VLOOKUP(A3480, Entries!A:K,11,false),"")</f>
        <v/>
      </c>
    </row>
    <row r="3481">
      <c r="A3481" s="78" t="s">
        <v>550</v>
      </c>
      <c r="B3481" s="78" t="s">
        <v>25</v>
      </c>
      <c r="C3481" s="85">
        <v>45081.0</v>
      </c>
      <c r="D3481" s="85">
        <v>45081.0</v>
      </c>
      <c r="E3481" s="86">
        <v>5.3</v>
      </c>
      <c r="F3481" s="87">
        <v>5.97</v>
      </c>
      <c r="G3481" s="88">
        <f t="shared" si="1"/>
        <v>0.67</v>
      </c>
      <c r="H3481" s="89">
        <f t="shared" si="10"/>
        <v>0.1122278057</v>
      </c>
      <c r="I3481" s="78" t="s">
        <v>4191</v>
      </c>
      <c r="J3481" s="78" t="s">
        <v>69</v>
      </c>
      <c r="K3481" s="58">
        <f t="shared" si="3"/>
        <v>0</v>
      </c>
      <c r="L3481" s="91" t="str">
        <f t="shared" si="8"/>
        <v>Sun</v>
      </c>
      <c r="M3481" s="78" t="str">
        <f>IFERROR(VLOOKUP(A3481, Entries!A:B,2,false),"")</f>
        <v>Codemasters</v>
      </c>
      <c r="N3481" s="23" t="str">
        <f>IFERROR(VLOOKUP(A3481, Entries!A:K,11,false),"")</f>
        <v/>
      </c>
    </row>
    <row r="3482">
      <c r="A3482" s="78" t="s">
        <v>1338</v>
      </c>
      <c r="B3482" s="78" t="s">
        <v>25</v>
      </c>
      <c r="C3482" s="85">
        <v>45081.0</v>
      </c>
      <c r="D3482" s="85">
        <v>45083.0</v>
      </c>
      <c r="E3482" s="86">
        <v>5.91</v>
      </c>
      <c r="F3482" s="87">
        <v>6.19</v>
      </c>
      <c r="G3482" s="88">
        <f t="shared" si="1"/>
        <v>0.28</v>
      </c>
      <c r="H3482" s="89">
        <f t="shared" si="10"/>
        <v>0.04523424879</v>
      </c>
      <c r="I3482" s="78" t="s">
        <v>4192</v>
      </c>
      <c r="J3482" s="78" t="s">
        <v>69</v>
      </c>
      <c r="K3482" s="58">
        <f t="shared" si="3"/>
        <v>2</v>
      </c>
      <c r="L3482" s="91" t="str">
        <f t="shared" si="8"/>
        <v>Tue</v>
      </c>
      <c r="M3482" s="78" t="str">
        <f>IFERROR(VLOOKUP(A3482, Entries!A:B,2,false),"")</f>
        <v>SEGA</v>
      </c>
      <c r="N3482" s="23" t="str">
        <f>IFERROR(VLOOKUP(A3482, Entries!A:K,11,false),"")</f>
        <v/>
      </c>
    </row>
    <row r="3483">
      <c r="A3483" s="78" t="s">
        <v>1338</v>
      </c>
      <c r="B3483" s="78" t="s">
        <v>25</v>
      </c>
      <c r="C3483" s="85">
        <v>45081.0</v>
      </c>
      <c r="D3483" s="85">
        <v>45083.0</v>
      </c>
      <c r="E3483" s="86">
        <v>5.91</v>
      </c>
      <c r="F3483" s="87">
        <v>6.19</v>
      </c>
      <c r="G3483" s="88">
        <f t="shared" si="1"/>
        <v>0.28</v>
      </c>
      <c r="H3483" s="89">
        <f t="shared" si="10"/>
        <v>0.04523424879</v>
      </c>
      <c r="I3483" s="78" t="s">
        <v>4193</v>
      </c>
      <c r="J3483" s="78" t="s">
        <v>69</v>
      </c>
      <c r="K3483" s="58">
        <f t="shared" si="3"/>
        <v>2</v>
      </c>
      <c r="L3483" s="91" t="str">
        <f t="shared" si="8"/>
        <v>Tue</v>
      </c>
      <c r="M3483" s="78" t="str">
        <f>IFERROR(VLOOKUP(A3483, Entries!A:B,2,false),"")</f>
        <v>SEGA</v>
      </c>
      <c r="N3483" s="23" t="str">
        <f>IFERROR(VLOOKUP(A3483, Entries!A:K,11,false),"")</f>
        <v/>
      </c>
    </row>
    <row r="3484">
      <c r="A3484" s="78" t="s">
        <v>4100</v>
      </c>
      <c r="B3484" s="78" t="s">
        <v>25</v>
      </c>
      <c r="C3484" s="85">
        <v>45081.0</v>
      </c>
      <c r="D3484" s="85">
        <v>45081.0</v>
      </c>
      <c r="E3484" s="86">
        <v>9.29</v>
      </c>
      <c r="F3484" s="87">
        <v>11.67</v>
      </c>
      <c r="G3484" s="88">
        <f t="shared" si="1"/>
        <v>2.38</v>
      </c>
      <c r="H3484" s="89">
        <f t="shared" si="10"/>
        <v>0.2039417309</v>
      </c>
      <c r="I3484" s="78" t="s">
        <v>4194</v>
      </c>
      <c r="J3484" s="78" t="s">
        <v>69</v>
      </c>
      <c r="K3484" s="58">
        <f t="shared" si="3"/>
        <v>0</v>
      </c>
      <c r="L3484" s="91" t="str">
        <f t="shared" si="8"/>
        <v>Sun</v>
      </c>
      <c r="M3484" s="78" t="str">
        <f>IFERROR(VLOOKUP(A3484, Entries!A:B,2,false),"")</f>
        <v>Nacon</v>
      </c>
      <c r="N3484" s="23" t="str">
        <f>IFERROR(VLOOKUP(A3484, Entries!A:K,11,false),"")</f>
        <v/>
      </c>
    </row>
    <row r="3485">
      <c r="A3485" s="78" t="s">
        <v>4188</v>
      </c>
      <c r="B3485" s="78" t="s">
        <v>27</v>
      </c>
      <c r="C3485" s="85">
        <v>45081.0</v>
      </c>
      <c r="D3485" s="85">
        <v>45081.0</v>
      </c>
      <c r="E3485" s="86">
        <v>28.39</v>
      </c>
      <c r="F3485" s="87">
        <v>34.33</v>
      </c>
      <c r="G3485" s="88">
        <f t="shared" si="1"/>
        <v>5.94</v>
      </c>
      <c r="H3485" s="89">
        <f t="shared" si="10"/>
        <v>0.1730265074</v>
      </c>
      <c r="I3485" s="78" t="s">
        <v>4195</v>
      </c>
      <c r="J3485" s="78" t="s">
        <v>69</v>
      </c>
      <c r="K3485" s="58">
        <f t="shared" si="3"/>
        <v>0</v>
      </c>
      <c r="L3485" s="91" t="str">
        <f t="shared" si="8"/>
        <v>Sun</v>
      </c>
      <c r="M3485" s="78" t="str">
        <f>IFERROR(VLOOKUP(A3485, Entries!A:B,2,false),"")</f>
        <v>PlayStation</v>
      </c>
      <c r="N3485" s="23" t="str">
        <f>IFERROR(VLOOKUP(A3485, Entries!A:K,11,false),"")</f>
        <v/>
      </c>
    </row>
    <row r="3486">
      <c r="A3486" s="78" t="s">
        <v>4188</v>
      </c>
      <c r="B3486" s="78" t="s">
        <v>27</v>
      </c>
      <c r="C3486" s="85">
        <v>45081.0</v>
      </c>
      <c r="D3486" s="85">
        <v>45081.0</v>
      </c>
      <c r="E3486" s="86">
        <v>28.39</v>
      </c>
      <c r="F3486" s="87">
        <v>34.33</v>
      </c>
      <c r="G3486" s="88">
        <f t="shared" si="1"/>
        <v>5.94</v>
      </c>
      <c r="H3486" s="89">
        <f t="shared" si="10"/>
        <v>0.1730265074</v>
      </c>
      <c r="I3486" s="78" t="s">
        <v>4196</v>
      </c>
      <c r="J3486" s="78" t="s">
        <v>69</v>
      </c>
      <c r="K3486" s="58">
        <f t="shared" si="3"/>
        <v>0</v>
      </c>
      <c r="L3486" s="91" t="str">
        <f t="shared" si="8"/>
        <v>Sun</v>
      </c>
      <c r="M3486" s="78" t="str">
        <f>IFERROR(VLOOKUP(A3486, Entries!A:B,2,false),"")</f>
        <v>PlayStation</v>
      </c>
      <c r="N3486" s="23" t="str">
        <f>IFERROR(VLOOKUP(A3486, Entries!A:K,11,false),"")</f>
        <v/>
      </c>
    </row>
    <row r="3487">
      <c r="A3487" s="78" t="s">
        <v>4100</v>
      </c>
      <c r="B3487" s="78" t="s">
        <v>25</v>
      </c>
      <c r="C3487" s="85">
        <v>45081.0</v>
      </c>
      <c r="D3487" s="85">
        <v>45081.0</v>
      </c>
      <c r="E3487" s="86">
        <v>8.87</v>
      </c>
      <c r="F3487" s="87">
        <v>11.67</v>
      </c>
      <c r="G3487" s="88">
        <f t="shared" si="1"/>
        <v>2.8</v>
      </c>
      <c r="H3487" s="89">
        <f t="shared" si="10"/>
        <v>0.2399314482</v>
      </c>
      <c r="I3487" s="78" t="s">
        <v>4197</v>
      </c>
      <c r="J3487" s="78" t="s">
        <v>69</v>
      </c>
      <c r="K3487" s="58">
        <f t="shared" si="3"/>
        <v>0</v>
      </c>
      <c r="L3487" s="91" t="str">
        <f t="shared" si="8"/>
        <v>Sun</v>
      </c>
      <c r="M3487" s="78" t="str">
        <f>IFERROR(VLOOKUP(A3487, Entries!A:B,2,false),"")</f>
        <v>Nacon</v>
      </c>
      <c r="N3487" s="23" t="str">
        <f>IFERROR(VLOOKUP(A3487, Entries!A:K,11,false),"")</f>
        <v/>
      </c>
    </row>
    <row r="3488">
      <c r="A3488" s="78" t="s">
        <v>4100</v>
      </c>
      <c r="B3488" s="78" t="s">
        <v>25</v>
      </c>
      <c r="C3488" s="85">
        <v>45081.0</v>
      </c>
      <c r="D3488" s="85">
        <v>45082.0</v>
      </c>
      <c r="E3488" s="86">
        <v>8.87</v>
      </c>
      <c r="F3488" s="87">
        <v>11.67</v>
      </c>
      <c r="G3488" s="88">
        <f t="shared" si="1"/>
        <v>2.8</v>
      </c>
      <c r="H3488" s="89">
        <f t="shared" si="10"/>
        <v>0.2399314482</v>
      </c>
      <c r="I3488" s="78" t="s">
        <v>4198</v>
      </c>
      <c r="J3488" s="78" t="s">
        <v>69</v>
      </c>
      <c r="K3488" s="58">
        <f t="shared" si="3"/>
        <v>1</v>
      </c>
      <c r="L3488" s="91" t="str">
        <f t="shared" si="8"/>
        <v>Mon</v>
      </c>
      <c r="M3488" s="78" t="str">
        <f>IFERROR(VLOOKUP(A3488, Entries!A:B,2,false),"")</f>
        <v>Nacon</v>
      </c>
      <c r="N3488" s="23" t="str">
        <f>IFERROR(VLOOKUP(A3488, Entries!A:K,11,false),"")</f>
        <v/>
      </c>
    </row>
    <row r="3489">
      <c r="A3489" s="78" t="s">
        <v>4100</v>
      </c>
      <c r="B3489" s="78" t="s">
        <v>25</v>
      </c>
      <c r="C3489" s="85">
        <v>45081.0</v>
      </c>
      <c r="D3489" s="85">
        <v>45082.0</v>
      </c>
      <c r="E3489" s="86">
        <v>8.87</v>
      </c>
      <c r="F3489" s="87">
        <v>11.67</v>
      </c>
      <c r="G3489" s="88">
        <f t="shared" si="1"/>
        <v>2.8</v>
      </c>
      <c r="H3489" s="89">
        <f t="shared" si="10"/>
        <v>0.2399314482</v>
      </c>
      <c r="I3489" s="78" t="s">
        <v>4199</v>
      </c>
      <c r="J3489" s="78" t="s">
        <v>69</v>
      </c>
      <c r="K3489" s="58">
        <f t="shared" si="3"/>
        <v>1</v>
      </c>
      <c r="L3489" s="91" t="str">
        <f t="shared" si="8"/>
        <v>Mon</v>
      </c>
      <c r="M3489" s="78" t="str">
        <f>IFERROR(VLOOKUP(A3489, Entries!A:B,2,false),"")</f>
        <v>Nacon</v>
      </c>
      <c r="N3489" s="23" t="str">
        <f>IFERROR(VLOOKUP(A3489, Entries!A:K,11,false),"")</f>
        <v/>
      </c>
    </row>
    <row r="3490">
      <c r="A3490" s="78" t="s">
        <v>4100</v>
      </c>
      <c r="B3490" s="78" t="s">
        <v>25</v>
      </c>
      <c r="C3490" s="85">
        <v>45081.0</v>
      </c>
      <c r="D3490" s="85">
        <v>45082.0</v>
      </c>
      <c r="E3490" s="86">
        <v>8.87</v>
      </c>
      <c r="F3490" s="87">
        <v>11.67</v>
      </c>
      <c r="G3490" s="88">
        <f t="shared" si="1"/>
        <v>2.8</v>
      </c>
      <c r="H3490" s="89">
        <f t="shared" si="10"/>
        <v>0.2399314482</v>
      </c>
      <c r="I3490" s="78" t="s">
        <v>4200</v>
      </c>
      <c r="J3490" s="78" t="s">
        <v>69</v>
      </c>
      <c r="K3490" s="58">
        <f t="shared" si="3"/>
        <v>1</v>
      </c>
      <c r="L3490" s="91" t="str">
        <f t="shared" si="8"/>
        <v>Mon</v>
      </c>
      <c r="M3490" s="78" t="str">
        <f>IFERROR(VLOOKUP(A3490, Entries!A:B,2,false),"")</f>
        <v>Nacon</v>
      </c>
      <c r="N3490" s="23" t="str">
        <f>IFERROR(VLOOKUP(A3490, Entries!A:K,11,false),"")</f>
        <v/>
      </c>
    </row>
    <row r="3491">
      <c r="A3491" s="78" t="s">
        <v>4188</v>
      </c>
      <c r="B3491" s="78" t="s">
        <v>27</v>
      </c>
      <c r="C3491" s="85">
        <v>45081.0</v>
      </c>
      <c r="D3491" s="85">
        <v>45081.0</v>
      </c>
      <c r="E3491" s="86">
        <v>28.39</v>
      </c>
      <c r="F3491" s="87">
        <v>34.33</v>
      </c>
      <c r="G3491" s="88">
        <f t="shared" si="1"/>
        <v>5.94</v>
      </c>
      <c r="H3491" s="89">
        <f t="shared" si="10"/>
        <v>0.1730265074</v>
      </c>
      <c r="I3491" s="78" t="s">
        <v>4201</v>
      </c>
      <c r="J3491" s="78" t="s">
        <v>69</v>
      </c>
      <c r="K3491" s="58">
        <f t="shared" si="3"/>
        <v>0</v>
      </c>
      <c r="L3491" s="91" t="str">
        <f t="shared" si="8"/>
        <v>Sun</v>
      </c>
      <c r="M3491" s="78" t="str">
        <f>IFERROR(VLOOKUP(A3491, Entries!A:B,2,false),"")</f>
        <v>PlayStation</v>
      </c>
      <c r="N3491" s="23" t="str">
        <f>IFERROR(VLOOKUP(A3491, Entries!A:K,11,false),"")</f>
        <v/>
      </c>
    </row>
    <row r="3492">
      <c r="A3492" s="78" t="s">
        <v>4188</v>
      </c>
      <c r="B3492" s="78" t="s">
        <v>27</v>
      </c>
      <c r="C3492" s="85">
        <v>45081.0</v>
      </c>
      <c r="D3492" s="85">
        <v>45081.0</v>
      </c>
      <c r="E3492" s="86">
        <v>28.39</v>
      </c>
      <c r="F3492" s="87">
        <v>34.33</v>
      </c>
      <c r="G3492" s="88">
        <f t="shared" si="1"/>
        <v>5.94</v>
      </c>
      <c r="H3492" s="89">
        <f t="shared" si="10"/>
        <v>0.1730265074</v>
      </c>
      <c r="I3492" s="78" t="s">
        <v>4202</v>
      </c>
      <c r="J3492" s="78" t="s">
        <v>69</v>
      </c>
      <c r="K3492" s="58">
        <f t="shared" si="3"/>
        <v>0</v>
      </c>
      <c r="L3492" s="91" t="str">
        <f t="shared" si="8"/>
        <v>Sun</v>
      </c>
      <c r="M3492" s="78" t="str">
        <f>IFERROR(VLOOKUP(A3492, Entries!A:B,2,false),"")</f>
        <v>PlayStation</v>
      </c>
      <c r="N3492" s="23" t="str">
        <f>IFERROR(VLOOKUP(A3492, Entries!A:K,11,false),"")</f>
        <v/>
      </c>
    </row>
    <row r="3493">
      <c r="A3493" s="78" t="s">
        <v>4188</v>
      </c>
      <c r="B3493" s="78" t="s">
        <v>27</v>
      </c>
      <c r="C3493" s="85">
        <v>45081.0</v>
      </c>
      <c r="D3493" s="85">
        <v>45081.0</v>
      </c>
      <c r="E3493" s="86">
        <v>28.39</v>
      </c>
      <c r="F3493" s="87">
        <v>34.33</v>
      </c>
      <c r="G3493" s="88">
        <f t="shared" si="1"/>
        <v>5.94</v>
      </c>
      <c r="H3493" s="89">
        <f t="shared" si="10"/>
        <v>0.1730265074</v>
      </c>
      <c r="I3493" s="78" t="s">
        <v>4203</v>
      </c>
      <c r="J3493" s="78" t="s">
        <v>69</v>
      </c>
      <c r="K3493" s="58">
        <f t="shared" si="3"/>
        <v>0</v>
      </c>
      <c r="L3493" s="91" t="str">
        <f t="shared" si="8"/>
        <v>Sun</v>
      </c>
      <c r="M3493" s="78" t="str">
        <f>IFERROR(VLOOKUP(A3493, Entries!A:B,2,false),"")</f>
        <v>PlayStation</v>
      </c>
      <c r="N3493" s="23" t="str">
        <f>IFERROR(VLOOKUP(A3493, Entries!A:K,11,false),"")</f>
        <v/>
      </c>
    </row>
    <row r="3494">
      <c r="A3494" s="78" t="s">
        <v>4188</v>
      </c>
      <c r="B3494" s="78" t="s">
        <v>27</v>
      </c>
      <c r="C3494" s="85">
        <v>45081.0</v>
      </c>
      <c r="D3494" s="85">
        <v>45081.0</v>
      </c>
      <c r="E3494" s="86">
        <v>28.39</v>
      </c>
      <c r="F3494" s="87">
        <v>34.33</v>
      </c>
      <c r="G3494" s="88">
        <f t="shared" si="1"/>
        <v>5.94</v>
      </c>
      <c r="H3494" s="89">
        <f t="shared" si="10"/>
        <v>0.1730265074</v>
      </c>
      <c r="I3494" s="78" t="s">
        <v>4204</v>
      </c>
      <c r="J3494" s="78" t="s">
        <v>69</v>
      </c>
      <c r="K3494" s="58">
        <f t="shared" si="3"/>
        <v>0</v>
      </c>
      <c r="L3494" s="91" t="str">
        <f t="shared" si="8"/>
        <v>Sun</v>
      </c>
      <c r="M3494" s="78" t="str">
        <f>IFERROR(VLOOKUP(A3494, Entries!A:B,2,false),"")</f>
        <v>PlayStation</v>
      </c>
      <c r="N3494" s="23" t="str">
        <f>IFERROR(VLOOKUP(A3494, Entries!A:K,11,false),"")</f>
        <v/>
      </c>
    </row>
    <row r="3495">
      <c r="A3495" s="78" t="s">
        <v>550</v>
      </c>
      <c r="B3495" s="78" t="s">
        <v>25</v>
      </c>
      <c r="C3495" s="85">
        <v>45081.0</v>
      </c>
      <c r="D3495" s="85">
        <v>45089.0</v>
      </c>
      <c r="E3495" s="86">
        <v>5.3</v>
      </c>
      <c r="F3495" s="87">
        <v>6.37</v>
      </c>
      <c r="G3495" s="88">
        <f t="shared" si="1"/>
        <v>1.07</v>
      </c>
      <c r="H3495" s="89">
        <f t="shared" si="10"/>
        <v>0.1679748823</v>
      </c>
      <c r="I3495" s="78" t="s">
        <v>4205</v>
      </c>
      <c r="J3495" s="78" t="s">
        <v>69</v>
      </c>
      <c r="K3495" s="58">
        <f t="shared" si="3"/>
        <v>8</v>
      </c>
      <c r="L3495" s="91" t="str">
        <f t="shared" si="8"/>
        <v>Mon</v>
      </c>
      <c r="M3495" s="78" t="str">
        <f>IFERROR(VLOOKUP(A3495, Entries!A:B,2,false),"")</f>
        <v>Codemasters</v>
      </c>
      <c r="N3495" s="23" t="str">
        <f>IFERROR(VLOOKUP(A3495, Entries!A:K,11,false),"")</f>
        <v/>
      </c>
    </row>
    <row r="3496">
      <c r="A3496" s="78" t="s">
        <v>4188</v>
      </c>
      <c r="B3496" s="78" t="s">
        <v>27</v>
      </c>
      <c r="C3496" s="85">
        <v>45081.0</v>
      </c>
      <c r="D3496" s="85">
        <v>45081.0</v>
      </c>
      <c r="E3496" s="86">
        <v>28.39</v>
      </c>
      <c r="F3496" s="87">
        <v>34.33</v>
      </c>
      <c r="G3496" s="88">
        <f t="shared" si="1"/>
        <v>5.94</v>
      </c>
      <c r="H3496" s="89">
        <f t="shared" si="10"/>
        <v>0.1730265074</v>
      </c>
      <c r="I3496" s="78" t="s">
        <v>4206</v>
      </c>
      <c r="J3496" s="78" t="s">
        <v>69</v>
      </c>
      <c r="K3496" s="58">
        <f t="shared" si="3"/>
        <v>0</v>
      </c>
      <c r="L3496" s="91" t="str">
        <f t="shared" si="8"/>
        <v>Sun</v>
      </c>
      <c r="M3496" s="78" t="str">
        <f>IFERROR(VLOOKUP(A3496, Entries!A:B,2,false),"")</f>
        <v>PlayStation</v>
      </c>
      <c r="N3496" s="23" t="str">
        <f>IFERROR(VLOOKUP(A3496, Entries!A:K,11,false),"")</f>
        <v/>
      </c>
    </row>
    <row r="3497">
      <c r="A3497" s="78" t="s">
        <v>4188</v>
      </c>
      <c r="B3497" s="78" t="s">
        <v>27</v>
      </c>
      <c r="C3497" s="85">
        <v>45081.0</v>
      </c>
      <c r="D3497" s="85">
        <v>45081.0</v>
      </c>
      <c r="E3497" s="86">
        <v>28.39</v>
      </c>
      <c r="F3497" s="87">
        <v>34.33</v>
      </c>
      <c r="G3497" s="88">
        <f t="shared" si="1"/>
        <v>5.94</v>
      </c>
      <c r="H3497" s="89">
        <f t="shared" si="10"/>
        <v>0.1730265074</v>
      </c>
      <c r="I3497" s="78" t="s">
        <v>4207</v>
      </c>
      <c r="J3497" s="78" t="s">
        <v>69</v>
      </c>
      <c r="K3497" s="58">
        <f t="shared" si="3"/>
        <v>0</v>
      </c>
      <c r="L3497" s="91" t="str">
        <f t="shared" si="8"/>
        <v>Sun</v>
      </c>
      <c r="M3497" s="78" t="str">
        <f>IFERROR(VLOOKUP(A3497, Entries!A:B,2,false),"")</f>
        <v>PlayStation</v>
      </c>
      <c r="N3497" s="23" t="str">
        <f>IFERROR(VLOOKUP(A3497, Entries!A:K,11,false),"")</f>
        <v/>
      </c>
    </row>
    <row r="3498">
      <c r="A3498" s="78" t="s">
        <v>4188</v>
      </c>
      <c r="B3498" s="78" t="s">
        <v>27</v>
      </c>
      <c r="C3498" s="85">
        <v>45081.0</v>
      </c>
      <c r="D3498" s="85">
        <v>45081.0</v>
      </c>
      <c r="E3498" s="86">
        <v>28.39</v>
      </c>
      <c r="F3498" s="87">
        <v>34.33</v>
      </c>
      <c r="G3498" s="88">
        <f t="shared" si="1"/>
        <v>5.94</v>
      </c>
      <c r="H3498" s="89">
        <f t="shared" si="10"/>
        <v>0.1730265074</v>
      </c>
      <c r="I3498" s="78" t="s">
        <v>4208</v>
      </c>
      <c r="J3498" s="78" t="s">
        <v>69</v>
      </c>
      <c r="K3498" s="58">
        <f t="shared" si="3"/>
        <v>0</v>
      </c>
      <c r="L3498" s="91" t="str">
        <f t="shared" si="8"/>
        <v>Sun</v>
      </c>
      <c r="M3498" s="78" t="str">
        <f>IFERROR(VLOOKUP(A3498, Entries!A:B,2,false),"")</f>
        <v>PlayStation</v>
      </c>
      <c r="N3498" s="23" t="str">
        <f>IFERROR(VLOOKUP(A3498, Entries!A:K,11,false),"")</f>
        <v/>
      </c>
    </row>
    <row r="3499">
      <c r="A3499" s="78" t="s">
        <v>4188</v>
      </c>
      <c r="B3499" s="78" t="s">
        <v>27</v>
      </c>
      <c r="C3499" s="85">
        <v>45081.0</v>
      </c>
      <c r="D3499" s="85">
        <v>45082.0</v>
      </c>
      <c r="E3499" s="86">
        <v>28.39</v>
      </c>
      <c r="F3499" s="87">
        <v>34.33</v>
      </c>
      <c r="G3499" s="88">
        <f t="shared" si="1"/>
        <v>5.94</v>
      </c>
      <c r="H3499" s="89">
        <f t="shared" si="10"/>
        <v>0.1730265074</v>
      </c>
      <c r="I3499" s="78" t="s">
        <v>4209</v>
      </c>
      <c r="J3499" s="78" t="s">
        <v>69</v>
      </c>
      <c r="K3499" s="58">
        <f t="shared" si="3"/>
        <v>1</v>
      </c>
      <c r="L3499" s="91" t="str">
        <f t="shared" si="8"/>
        <v>Mon</v>
      </c>
      <c r="M3499" s="78" t="str">
        <f>IFERROR(VLOOKUP(A3499, Entries!A:B,2,false),"")</f>
        <v>PlayStation</v>
      </c>
      <c r="N3499" s="23" t="str">
        <f>IFERROR(VLOOKUP(A3499, Entries!A:K,11,false),"")</f>
        <v/>
      </c>
    </row>
    <row r="3500">
      <c r="A3500" s="78" t="s">
        <v>4188</v>
      </c>
      <c r="B3500" s="78" t="s">
        <v>27</v>
      </c>
      <c r="C3500" s="85">
        <v>45082.0</v>
      </c>
      <c r="D3500" s="85">
        <v>45082.0</v>
      </c>
      <c r="E3500" s="86">
        <v>28.39</v>
      </c>
      <c r="F3500" s="87">
        <v>34.33</v>
      </c>
      <c r="G3500" s="88">
        <f t="shared" si="1"/>
        <v>5.94</v>
      </c>
      <c r="H3500" s="89">
        <f t="shared" si="10"/>
        <v>0.1730265074</v>
      </c>
      <c r="I3500" s="78" t="s">
        <v>4210</v>
      </c>
      <c r="J3500" s="78" t="s">
        <v>69</v>
      </c>
      <c r="K3500" s="58">
        <f t="shared" si="3"/>
        <v>0</v>
      </c>
      <c r="L3500" s="91" t="str">
        <f t="shared" si="8"/>
        <v>Mon</v>
      </c>
      <c r="M3500" s="78" t="str">
        <f>IFERROR(VLOOKUP(A3500, Entries!A:B,2,false),"")</f>
        <v>PlayStation</v>
      </c>
      <c r="N3500" s="23" t="str">
        <f>IFERROR(VLOOKUP(A3500, Entries!A:K,11,false),"")</f>
        <v/>
      </c>
    </row>
    <row r="3501">
      <c r="A3501" s="78" t="s">
        <v>4188</v>
      </c>
      <c r="B3501" s="78" t="s">
        <v>27</v>
      </c>
      <c r="C3501" s="85">
        <v>45082.0</v>
      </c>
      <c r="D3501" s="85">
        <v>45083.0</v>
      </c>
      <c r="E3501" s="86">
        <v>28.39</v>
      </c>
      <c r="F3501" s="87">
        <v>34.34</v>
      </c>
      <c r="G3501" s="88">
        <f t="shared" si="1"/>
        <v>5.95</v>
      </c>
      <c r="H3501" s="89">
        <f t="shared" si="10"/>
        <v>0.1732673267</v>
      </c>
      <c r="I3501" s="78" t="s">
        <v>4211</v>
      </c>
      <c r="J3501" s="78" t="s">
        <v>69</v>
      </c>
      <c r="K3501" s="58">
        <f t="shared" si="3"/>
        <v>1</v>
      </c>
      <c r="L3501" s="91" t="str">
        <f t="shared" si="8"/>
        <v>Tue</v>
      </c>
      <c r="M3501" s="78" t="str">
        <f>IFERROR(VLOOKUP(A3501, Entries!A:B,2,false),"")</f>
        <v>PlayStation</v>
      </c>
      <c r="N3501" s="23" t="str">
        <f>IFERROR(VLOOKUP(A3501, Entries!A:K,11,false),"")</f>
        <v/>
      </c>
    </row>
    <row r="3502">
      <c r="A3502" s="78" t="s">
        <v>4168</v>
      </c>
      <c r="B3502" s="78" t="s">
        <v>25</v>
      </c>
      <c r="C3502" s="85">
        <v>45082.0</v>
      </c>
      <c r="D3502" s="85">
        <v>45096.0</v>
      </c>
      <c r="E3502" s="86">
        <v>13.18</v>
      </c>
      <c r="F3502" s="87">
        <v>17.62</v>
      </c>
      <c r="G3502" s="88">
        <f t="shared" si="1"/>
        <v>4.44</v>
      </c>
      <c r="H3502" s="89">
        <f t="shared" si="10"/>
        <v>0.2519863791</v>
      </c>
      <c r="I3502" s="78" t="s">
        <v>4212</v>
      </c>
      <c r="J3502" s="78" t="s">
        <v>69</v>
      </c>
      <c r="K3502" s="58">
        <f t="shared" si="3"/>
        <v>14</v>
      </c>
      <c r="L3502" s="91" t="str">
        <f t="shared" si="8"/>
        <v>Mon</v>
      </c>
      <c r="M3502" s="78" t="str">
        <f>IFERROR(VLOOKUP(A3502, Entries!A:B,2,false),"")</f>
        <v>DANGEN Entertainment</v>
      </c>
      <c r="N3502" s="23" t="str">
        <f>IFERROR(VLOOKUP(A3502, Entries!A:K,11,false),"")</f>
        <v/>
      </c>
    </row>
    <row r="3503">
      <c r="A3503" s="78" t="s">
        <v>3515</v>
      </c>
      <c r="B3503" s="78" t="s">
        <v>27</v>
      </c>
      <c r="C3503" s="85">
        <v>45082.0</v>
      </c>
      <c r="D3503" s="25"/>
      <c r="E3503" s="86">
        <v>8.09</v>
      </c>
      <c r="F3503" s="88"/>
      <c r="G3503" s="88">
        <f t="shared" si="1"/>
        <v>-8.09</v>
      </c>
      <c r="H3503" s="89" t="str">
        <f t="shared" si="10"/>
        <v/>
      </c>
      <c r="I3503" s="103" t="s">
        <v>4213</v>
      </c>
      <c r="J3503" s="78" t="s">
        <v>1129</v>
      </c>
      <c r="K3503" s="58" t="str">
        <f t="shared" si="3"/>
        <v/>
      </c>
      <c r="L3503" s="91" t="str">
        <f t="shared" si="8"/>
        <v/>
      </c>
      <c r="M3503" s="78" t="str">
        <f>IFERROR(VLOOKUP(A3503, Entries!A:B,2,false),"")</f>
        <v>WOLCEN Studio</v>
      </c>
      <c r="N3503" s="23" t="str">
        <f>IFERROR(VLOOKUP(A3503, Entries!A:K,11,false),"")</f>
        <v/>
      </c>
      <c r="O3503" s="23" t="b">
        <f>IFERROR(VLOOKUP(A3503, Entries!A:I,8,false),"")</f>
        <v>0</v>
      </c>
    </row>
    <row r="3504">
      <c r="A3504" s="78" t="s">
        <v>4100</v>
      </c>
      <c r="B3504" s="78" t="s">
        <v>25</v>
      </c>
      <c r="C3504" s="85">
        <v>45082.0</v>
      </c>
      <c r="D3504" s="85">
        <v>45082.0</v>
      </c>
      <c r="E3504" s="86">
        <v>8.87</v>
      </c>
      <c r="F3504" s="87">
        <v>11.74</v>
      </c>
      <c r="G3504" s="88">
        <f t="shared" si="1"/>
        <v>2.87</v>
      </c>
      <c r="H3504" s="89">
        <f t="shared" si="10"/>
        <v>0.2444633731</v>
      </c>
      <c r="I3504" s="78" t="s">
        <v>4214</v>
      </c>
      <c r="J3504" s="78" t="s">
        <v>69</v>
      </c>
      <c r="K3504" s="58">
        <f t="shared" si="3"/>
        <v>0</v>
      </c>
      <c r="L3504" s="91" t="str">
        <f t="shared" si="8"/>
        <v>Mon</v>
      </c>
      <c r="M3504" s="78" t="str">
        <f>IFERROR(VLOOKUP(A3504, Entries!A:B,2,false),"")</f>
        <v>Nacon</v>
      </c>
      <c r="N3504" s="23" t="str">
        <f>IFERROR(VLOOKUP(A3504, Entries!A:K,11,false),"")</f>
        <v/>
      </c>
    </row>
    <row r="3505">
      <c r="A3505" s="78" t="s">
        <v>4100</v>
      </c>
      <c r="B3505" s="78" t="s">
        <v>25</v>
      </c>
      <c r="C3505" s="85">
        <v>45082.0</v>
      </c>
      <c r="D3505" s="85">
        <v>45082.0</v>
      </c>
      <c r="E3505" s="86">
        <v>8.87</v>
      </c>
      <c r="F3505" s="87">
        <v>11.74</v>
      </c>
      <c r="G3505" s="88">
        <f t="shared" si="1"/>
        <v>2.87</v>
      </c>
      <c r="H3505" s="89">
        <f t="shared" si="10"/>
        <v>0.2444633731</v>
      </c>
      <c r="I3505" s="78" t="s">
        <v>4215</v>
      </c>
      <c r="J3505" s="78" t="s">
        <v>69</v>
      </c>
      <c r="K3505" s="58">
        <f t="shared" si="3"/>
        <v>0</v>
      </c>
      <c r="L3505" s="91" t="str">
        <f t="shared" si="8"/>
        <v>Mon</v>
      </c>
      <c r="M3505" s="78" t="str">
        <f>IFERROR(VLOOKUP(A3505, Entries!A:B,2,false),"")</f>
        <v>Nacon</v>
      </c>
      <c r="N3505" s="23" t="str">
        <f>IFERROR(VLOOKUP(A3505, Entries!A:K,11,false),"")</f>
        <v/>
      </c>
    </row>
    <row r="3506">
      <c r="A3506" s="78" t="s">
        <v>4100</v>
      </c>
      <c r="B3506" s="78" t="s">
        <v>25</v>
      </c>
      <c r="C3506" s="85">
        <v>45082.0</v>
      </c>
      <c r="D3506" s="85">
        <v>45082.0</v>
      </c>
      <c r="E3506" s="86">
        <v>8.87</v>
      </c>
      <c r="F3506" s="87">
        <v>11.74</v>
      </c>
      <c r="G3506" s="88">
        <f t="shared" si="1"/>
        <v>2.87</v>
      </c>
      <c r="H3506" s="89">
        <f t="shared" si="10"/>
        <v>0.2444633731</v>
      </c>
      <c r="I3506" s="78" t="s">
        <v>4216</v>
      </c>
      <c r="J3506" s="78" t="s">
        <v>69</v>
      </c>
      <c r="K3506" s="58">
        <f t="shared" si="3"/>
        <v>0</v>
      </c>
      <c r="L3506" s="91" t="str">
        <f t="shared" si="8"/>
        <v>Mon</v>
      </c>
      <c r="M3506" s="78" t="str">
        <f>IFERROR(VLOOKUP(A3506, Entries!A:B,2,false),"")</f>
        <v>Nacon</v>
      </c>
      <c r="N3506" s="23" t="str">
        <f>IFERROR(VLOOKUP(A3506, Entries!A:K,11,false),"")</f>
        <v/>
      </c>
    </row>
    <row r="3507">
      <c r="A3507" s="78" t="s">
        <v>4217</v>
      </c>
      <c r="B3507" s="78" t="s">
        <v>23</v>
      </c>
      <c r="C3507" s="85">
        <v>45082.0</v>
      </c>
      <c r="D3507" s="85">
        <v>45088.0</v>
      </c>
      <c r="E3507" s="86">
        <v>16.79</v>
      </c>
      <c r="F3507" s="87">
        <v>23.86</v>
      </c>
      <c r="G3507" s="88">
        <f t="shared" si="1"/>
        <v>7.07</v>
      </c>
      <c r="H3507" s="89">
        <f t="shared" si="10"/>
        <v>0.2963118189</v>
      </c>
      <c r="I3507" s="78" t="s">
        <v>4218</v>
      </c>
      <c r="J3507" s="78" t="s">
        <v>69</v>
      </c>
      <c r="K3507" s="58">
        <f t="shared" si="3"/>
        <v>6</v>
      </c>
      <c r="L3507" s="91" t="str">
        <f t="shared" si="8"/>
        <v>Sun</v>
      </c>
      <c r="M3507" s="78" t="str">
        <f>IFERROR(VLOOKUP(A3507, Entries!A:B,2,false),"")</f>
        <v>Studio Wildcard</v>
      </c>
      <c r="N3507" s="23" t="str">
        <f>IFERROR(VLOOKUP(A3507, Entries!A:K,11,false),"")</f>
        <v/>
      </c>
    </row>
    <row r="3508">
      <c r="A3508" s="78" t="s">
        <v>4100</v>
      </c>
      <c r="B3508" s="78" t="s">
        <v>27</v>
      </c>
      <c r="C3508" s="85">
        <v>45082.0</v>
      </c>
      <c r="D3508" s="85">
        <v>45091.0</v>
      </c>
      <c r="E3508" s="86">
        <v>9.29</v>
      </c>
      <c r="F3508" s="87">
        <v>10.5</v>
      </c>
      <c r="G3508" s="88">
        <f t="shared" si="1"/>
        <v>1.21</v>
      </c>
      <c r="H3508" s="89">
        <f t="shared" si="10"/>
        <v>0.1152380952</v>
      </c>
      <c r="I3508" s="78" t="s">
        <v>4219</v>
      </c>
      <c r="J3508" s="78" t="s">
        <v>69</v>
      </c>
      <c r="K3508" s="58">
        <f t="shared" si="3"/>
        <v>9</v>
      </c>
      <c r="L3508" s="91" t="str">
        <f t="shared" si="8"/>
        <v>Wed</v>
      </c>
      <c r="M3508" s="78" t="str">
        <f>IFERROR(VLOOKUP(A3508, Entries!A:B,2,false),"")</f>
        <v>Nacon</v>
      </c>
      <c r="N3508" s="23" t="str">
        <f>IFERROR(VLOOKUP(A3508, Entries!A:K,11,false),"")</f>
        <v/>
      </c>
    </row>
    <row r="3509">
      <c r="A3509" s="78" t="s">
        <v>3309</v>
      </c>
      <c r="B3509" s="78" t="s">
        <v>27</v>
      </c>
      <c r="C3509" s="85">
        <v>45083.0</v>
      </c>
      <c r="D3509" s="85">
        <v>45088.0</v>
      </c>
      <c r="E3509" s="86">
        <v>4.09</v>
      </c>
      <c r="F3509" s="87">
        <v>4.71</v>
      </c>
      <c r="G3509" s="88">
        <f t="shared" si="1"/>
        <v>0.62</v>
      </c>
      <c r="H3509" s="89">
        <f t="shared" si="10"/>
        <v>0.1316348195</v>
      </c>
      <c r="I3509" s="78" t="s">
        <v>4220</v>
      </c>
      <c r="J3509" s="78" t="s">
        <v>69</v>
      </c>
      <c r="K3509" s="58">
        <f t="shared" si="3"/>
        <v>5</v>
      </c>
      <c r="L3509" s="91" t="str">
        <f t="shared" si="8"/>
        <v>Sun</v>
      </c>
      <c r="M3509" s="78" t="str">
        <f>IFERROR(VLOOKUP(A3509, Entries!A:B,2,false),"")</f>
        <v>Digixart</v>
      </c>
      <c r="N3509" s="23" t="str">
        <f>IFERROR(VLOOKUP(A3509, Entries!A:K,11,false),"")</f>
        <v/>
      </c>
    </row>
    <row r="3510">
      <c r="A3510" s="78" t="s">
        <v>1849</v>
      </c>
      <c r="B3510" s="78" t="s">
        <v>19</v>
      </c>
      <c r="C3510" s="85">
        <v>45083.0</v>
      </c>
      <c r="D3510" s="85">
        <v>45090.0</v>
      </c>
      <c r="E3510" s="86">
        <v>5.61</v>
      </c>
      <c r="F3510" s="87">
        <v>8.03</v>
      </c>
      <c r="G3510" s="88">
        <f t="shared" si="1"/>
        <v>2.42</v>
      </c>
      <c r="H3510" s="89">
        <f t="shared" si="10"/>
        <v>0.301369863</v>
      </c>
      <c r="I3510" s="78" t="s">
        <v>4221</v>
      </c>
      <c r="J3510" s="78" t="s">
        <v>69</v>
      </c>
      <c r="K3510" s="58">
        <f t="shared" si="3"/>
        <v>7</v>
      </c>
      <c r="L3510" s="91" t="str">
        <f t="shared" si="8"/>
        <v>Tue</v>
      </c>
      <c r="M3510" s="78" t="str">
        <f>IFERROR(VLOOKUP(A3510, Entries!A:B,2,false),"")</f>
        <v>Marmalade Game Studio</v>
      </c>
      <c r="N3510" s="23" t="str">
        <f>IFERROR(VLOOKUP(A3510, Entries!A:K,11,false),"")</f>
        <v/>
      </c>
    </row>
    <row r="3511">
      <c r="A3511" s="78" t="s">
        <v>2789</v>
      </c>
      <c r="B3511" s="78" t="s">
        <v>19</v>
      </c>
      <c r="C3511" s="85">
        <v>45083.0</v>
      </c>
      <c r="D3511" s="85">
        <v>45086.0</v>
      </c>
      <c r="E3511" s="86">
        <v>3.33</v>
      </c>
      <c r="F3511" s="87">
        <v>5.03</v>
      </c>
      <c r="G3511" s="88">
        <f t="shared" si="1"/>
        <v>1.7</v>
      </c>
      <c r="H3511" s="89">
        <f t="shared" si="10"/>
        <v>0.337972167</v>
      </c>
      <c r="I3511" s="78" t="s">
        <v>4222</v>
      </c>
      <c r="J3511" s="78" t="s">
        <v>69</v>
      </c>
      <c r="K3511" s="58">
        <f t="shared" si="3"/>
        <v>3</v>
      </c>
      <c r="L3511" s="91" t="str">
        <f t="shared" si="8"/>
        <v>Fri</v>
      </c>
      <c r="M3511" s="78" t="str">
        <f>IFERROR(VLOOKUP(A3511, Entries!A:B,2,false),"")</f>
        <v>Evil Tortilla Games</v>
      </c>
      <c r="N3511" s="23" t="str">
        <f>IFERROR(VLOOKUP(A3511, Entries!A:K,11,false),"")</f>
        <v/>
      </c>
    </row>
    <row r="3512">
      <c r="A3512" s="78" t="s">
        <v>2789</v>
      </c>
      <c r="B3512" s="78" t="s">
        <v>19</v>
      </c>
      <c r="C3512" s="85">
        <v>45083.0</v>
      </c>
      <c r="D3512" s="85">
        <v>45086.0</v>
      </c>
      <c r="E3512" s="86">
        <v>3.33</v>
      </c>
      <c r="F3512" s="87">
        <v>5.03</v>
      </c>
      <c r="G3512" s="88">
        <f t="shared" si="1"/>
        <v>1.7</v>
      </c>
      <c r="H3512" s="89">
        <f t="shared" si="10"/>
        <v>0.337972167</v>
      </c>
      <c r="I3512" s="78" t="s">
        <v>4223</v>
      </c>
      <c r="J3512" s="78" t="s">
        <v>69</v>
      </c>
      <c r="K3512" s="58">
        <f t="shared" si="3"/>
        <v>3</v>
      </c>
      <c r="L3512" s="91" t="str">
        <f t="shared" si="8"/>
        <v>Fri</v>
      </c>
      <c r="M3512" s="78" t="str">
        <f>IFERROR(VLOOKUP(A3512, Entries!A:B,2,false),"")</f>
        <v>Evil Tortilla Games</v>
      </c>
      <c r="N3512" s="23" t="str">
        <f>IFERROR(VLOOKUP(A3512, Entries!A:K,11,false),"")</f>
        <v/>
      </c>
    </row>
    <row r="3513">
      <c r="A3513" s="78" t="s">
        <v>1806</v>
      </c>
      <c r="B3513" s="78" t="s">
        <v>27</v>
      </c>
      <c r="C3513" s="85">
        <v>45084.0</v>
      </c>
      <c r="D3513" s="85">
        <v>45086.0</v>
      </c>
      <c r="E3513" s="86">
        <v>6.99</v>
      </c>
      <c r="F3513" s="87">
        <v>9.07</v>
      </c>
      <c r="G3513" s="88">
        <f t="shared" si="1"/>
        <v>2.08</v>
      </c>
      <c r="H3513" s="89">
        <f t="shared" si="10"/>
        <v>0.2293274531</v>
      </c>
      <c r="I3513" s="78" t="s">
        <v>4224</v>
      </c>
      <c r="J3513" s="78" t="s">
        <v>69</v>
      </c>
      <c r="K3513" s="58">
        <f t="shared" si="3"/>
        <v>2</v>
      </c>
      <c r="L3513" s="91" t="str">
        <f t="shared" si="8"/>
        <v>Fri</v>
      </c>
      <c r="M3513" s="78" t="str">
        <f>IFERROR(VLOOKUP(A3513, Entries!A:B,2,false),"")</f>
        <v>Daedalic Entertainment</v>
      </c>
      <c r="N3513" s="23" t="str">
        <f>IFERROR(VLOOKUP(A3513, Entries!A:K,11,false),"")</f>
        <v/>
      </c>
    </row>
    <row r="3514">
      <c r="A3514" s="78" t="s">
        <v>1913</v>
      </c>
      <c r="B3514" s="78" t="s">
        <v>25</v>
      </c>
      <c r="C3514" s="85">
        <v>45084.0</v>
      </c>
      <c r="D3514" s="85">
        <v>45085.0</v>
      </c>
      <c r="E3514" s="86">
        <v>14.0</v>
      </c>
      <c r="F3514" s="87">
        <v>20.72</v>
      </c>
      <c r="G3514" s="88">
        <f t="shared" si="1"/>
        <v>6.72</v>
      </c>
      <c r="H3514" s="89">
        <f t="shared" si="10"/>
        <v>0.3243243243</v>
      </c>
      <c r="I3514" s="78" t="s">
        <v>4225</v>
      </c>
      <c r="J3514" s="78" t="s">
        <v>69</v>
      </c>
      <c r="K3514" s="58">
        <f t="shared" si="3"/>
        <v>1</v>
      </c>
      <c r="L3514" s="91" t="str">
        <f t="shared" si="8"/>
        <v>Thu</v>
      </c>
      <c r="M3514" s="78" t="str">
        <f>IFERROR(VLOOKUP(A3514, Entries!A:B,2,false),"")</f>
        <v>XREAL Games</v>
      </c>
      <c r="N3514" s="23" t="str">
        <f>IFERROR(VLOOKUP(A3514, Entries!A:K,11,false),"")</f>
        <v/>
      </c>
    </row>
    <row r="3515">
      <c r="A3515" s="78" t="s">
        <v>4226</v>
      </c>
      <c r="B3515" s="78" t="s">
        <v>27</v>
      </c>
      <c r="C3515" s="85">
        <v>45085.0</v>
      </c>
      <c r="D3515" s="85">
        <v>45087.0</v>
      </c>
      <c r="E3515" s="86">
        <v>20.89</v>
      </c>
      <c r="F3515" s="87">
        <v>25.2</v>
      </c>
      <c r="G3515" s="88">
        <f t="shared" si="1"/>
        <v>4.31</v>
      </c>
      <c r="H3515" s="89">
        <f t="shared" si="10"/>
        <v>0.171031746</v>
      </c>
      <c r="I3515" s="78" t="s">
        <v>4227</v>
      </c>
      <c r="J3515" s="78" t="s">
        <v>69</v>
      </c>
      <c r="K3515" s="58">
        <f t="shared" si="3"/>
        <v>2</v>
      </c>
      <c r="L3515" s="91" t="str">
        <f t="shared" si="8"/>
        <v>Sat</v>
      </c>
      <c r="M3515" s="78" t="str">
        <f>IFERROR(VLOOKUP(A3515, Entries!A:B,2,false),"")</f>
        <v>BANDAI NAMCO</v>
      </c>
      <c r="N3515" s="23" t="str">
        <f>IFERROR(VLOOKUP(A3515, Entries!A:K,11,false),"")</f>
        <v/>
      </c>
    </row>
    <row r="3516">
      <c r="A3516" s="78" t="s">
        <v>2031</v>
      </c>
      <c r="B3516" s="78" t="s">
        <v>21</v>
      </c>
      <c r="C3516" s="85">
        <v>45085.0</v>
      </c>
      <c r="D3516" s="85">
        <v>45089.0</v>
      </c>
      <c r="E3516" s="86">
        <v>29.25</v>
      </c>
      <c r="F3516" s="87">
        <v>44.87</v>
      </c>
      <c r="G3516" s="88">
        <f t="shared" si="1"/>
        <v>15.62</v>
      </c>
      <c r="H3516" s="89">
        <f t="shared" si="10"/>
        <v>0.3481167818</v>
      </c>
      <c r="I3516" s="78" t="s">
        <v>4228</v>
      </c>
      <c r="J3516" s="78" t="s">
        <v>69</v>
      </c>
      <c r="K3516" s="58">
        <f t="shared" si="3"/>
        <v>4</v>
      </c>
      <c r="L3516" s="91" t="str">
        <f t="shared" si="8"/>
        <v>Mon</v>
      </c>
      <c r="M3516" s="78" t="str">
        <f>IFERROR(VLOOKUP(A3516, Entries!A:B,2,false),"")</f>
        <v>KOEI TECMO GAMES</v>
      </c>
      <c r="N3516" s="23" t="str">
        <f>IFERROR(VLOOKUP(A3516, Entries!A:K,11,false),"")</f>
        <v/>
      </c>
    </row>
    <row r="3517">
      <c r="A3517" s="78" t="s">
        <v>2528</v>
      </c>
      <c r="B3517" s="78" t="s">
        <v>25</v>
      </c>
      <c r="C3517" s="85">
        <v>45085.0</v>
      </c>
      <c r="D3517" s="85">
        <v>45089.0</v>
      </c>
      <c r="E3517" s="86">
        <v>5.87</v>
      </c>
      <c r="F3517" s="87">
        <v>6.87</v>
      </c>
      <c r="G3517" s="88">
        <f t="shared" si="1"/>
        <v>1</v>
      </c>
      <c r="H3517" s="89">
        <f t="shared" si="10"/>
        <v>0.1455604076</v>
      </c>
      <c r="I3517" s="78" t="s">
        <v>4229</v>
      </c>
      <c r="J3517" s="78" t="s">
        <v>69</v>
      </c>
      <c r="K3517" s="58">
        <f t="shared" si="3"/>
        <v>4</v>
      </c>
      <c r="L3517" s="91" t="str">
        <f t="shared" si="8"/>
        <v>Mon</v>
      </c>
      <c r="M3517" s="78" t="str">
        <f>IFERROR(VLOOKUP(A3517, Entries!A:B,2,false),"")</f>
        <v>Cheesecake Dev</v>
      </c>
      <c r="N3517" s="23" t="str">
        <f>IFERROR(VLOOKUP(A3517, Entries!A:K,11,false),"")</f>
        <v/>
      </c>
    </row>
    <row r="3518">
      <c r="A3518" s="78" t="s">
        <v>4230</v>
      </c>
      <c r="B3518" s="78" t="s">
        <v>27</v>
      </c>
      <c r="C3518" s="85">
        <v>45085.0</v>
      </c>
      <c r="D3518" s="85">
        <v>45140.0</v>
      </c>
      <c r="E3518" s="86">
        <v>16.19</v>
      </c>
      <c r="F3518" s="87">
        <v>19.2</v>
      </c>
      <c r="G3518" s="88">
        <f t="shared" si="1"/>
        <v>3.01</v>
      </c>
      <c r="H3518" s="89">
        <f t="shared" si="10"/>
        <v>0.1567708333</v>
      </c>
      <c r="I3518" s="78" t="s">
        <v>4231</v>
      </c>
      <c r="J3518" s="78" t="s">
        <v>69</v>
      </c>
      <c r="K3518" s="58">
        <f t="shared" si="3"/>
        <v>55</v>
      </c>
      <c r="L3518" s="91" t="str">
        <f t="shared" si="8"/>
        <v>Wed</v>
      </c>
      <c r="M3518" s="78" t="str">
        <f>IFERROR(VLOOKUP(A3518, Entries!A:B,2,false),"")</f>
        <v>Egosoft</v>
      </c>
      <c r="N3518" s="23" t="str">
        <f>IFERROR(VLOOKUP(A3518, Entries!A:K,11,false),"")</f>
        <v/>
      </c>
    </row>
    <row r="3519">
      <c r="A3519" s="78" t="s">
        <v>4064</v>
      </c>
      <c r="B3519" s="78" t="s">
        <v>21</v>
      </c>
      <c r="C3519" s="85">
        <v>45085.0</v>
      </c>
      <c r="D3519" s="85">
        <v>45096.0</v>
      </c>
      <c r="E3519" s="86">
        <v>8.24</v>
      </c>
      <c r="F3519" s="87">
        <v>9.66</v>
      </c>
      <c r="G3519" s="88">
        <f t="shared" si="1"/>
        <v>1.42</v>
      </c>
      <c r="H3519" s="89">
        <f t="shared" si="10"/>
        <v>0.1469979296</v>
      </c>
      <c r="I3519" s="78" t="s">
        <v>4232</v>
      </c>
      <c r="J3519" s="78" t="s">
        <v>69</v>
      </c>
      <c r="K3519" s="58">
        <f t="shared" si="3"/>
        <v>11</v>
      </c>
      <c r="L3519" s="91" t="str">
        <f t="shared" si="8"/>
        <v>Mon</v>
      </c>
      <c r="M3519" s="78" t="str">
        <f>IFERROR(VLOOKUP(A3519, Entries!A:B,2,false),"")</f>
        <v>WanadevStudio</v>
      </c>
      <c r="N3519" s="23" t="str">
        <f>IFERROR(VLOOKUP(A3519, Entries!A:K,11,false),"")</f>
        <v/>
      </c>
    </row>
    <row r="3520">
      <c r="A3520" s="78" t="s">
        <v>1913</v>
      </c>
      <c r="B3520" s="78" t="s">
        <v>25</v>
      </c>
      <c r="C3520" s="85">
        <v>45085.0</v>
      </c>
      <c r="D3520" s="85">
        <v>46167.0</v>
      </c>
      <c r="E3520" s="86">
        <v>14.0</v>
      </c>
      <c r="F3520" s="87">
        <v>10.39</v>
      </c>
      <c r="G3520" s="88">
        <f t="shared" si="1"/>
        <v>-3.61</v>
      </c>
      <c r="H3520" s="89">
        <f t="shared" si="10"/>
        <v>-0.3474494706</v>
      </c>
      <c r="I3520" s="103" t="s">
        <v>4233</v>
      </c>
      <c r="J3520" s="78" t="s">
        <v>69</v>
      </c>
      <c r="K3520" s="58">
        <f t="shared" si="3"/>
        <v>1082</v>
      </c>
      <c r="L3520" s="91" t="str">
        <f t="shared" si="8"/>
        <v>Mon</v>
      </c>
      <c r="M3520" s="78" t="str">
        <f>IFERROR(VLOOKUP(A3520, Entries!A:B,2,false),"")</f>
        <v>XREAL Games</v>
      </c>
      <c r="N3520" s="23" t="str">
        <f>IFERROR(VLOOKUP(A3520, Entries!A:K,11,false),"")</f>
        <v/>
      </c>
      <c r="O3520" s="23" t="b">
        <f>IFERROR(VLOOKUP(A3520, Entries!A:I,8,false),"")</f>
        <v>1</v>
      </c>
    </row>
    <row r="3521">
      <c r="A3521" s="78" t="s">
        <v>3771</v>
      </c>
      <c r="B3521" s="78" t="s">
        <v>27</v>
      </c>
      <c r="C3521" s="85">
        <v>45085.0</v>
      </c>
      <c r="D3521" s="85">
        <v>45088.0</v>
      </c>
      <c r="E3521" s="86">
        <v>7.99</v>
      </c>
      <c r="F3521" s="87">
        <v>10.97</v>
      </c>
      <c r="G3521" s="88">
        <f t="shared" si="1"/>
        <v>2.98</v>
      </c>
      <c r="H3521" s="89">
        <f t="shared" si="10"/>
        <v>0.2716499544</v>
      </c>
      <c r="I3521" s="78" t="s">
        <v>4234</v>
      </c>
      <c r="J3521" s="78" t="s">
        <v>69</v>
      </c>
      <c r="K3521" s="58">
        <f t="shared" si="3"/>
        <v>3</v>
      </c>
      <c r="L3521" s="91" t="str">
        <f t="shared" si="8"/>
        <v>Sun</v>
      </c>
      <c r="M3521" s="78" t="str">
        <f>IFERROR(VLOOKUP(A3521, Entries!A:B,2,false),"")</f>
        <v>Good Shepherd Entertainment</v>
      </c>
      <c r="N3521" s="23" t="str">
        <f>IFERROR(VLOOKUP(A3521, Entries!A:K,11,false),"")</f>
        <v/>
      </c>
    </row>
    <row r="3522">
      <c r="A3522" s="94" t="s">
        <v>2238</v>
      </c>
      <c r="B3522" s="78" t="s">
        <v>23</v>
      </c>
      <c r="C3522" s="85">
        <v>45086.0</v>
      </c>
      <c r="D3522" s="85">
        <v>45678.0</v>
      </c>
      <c r="E3522" s="86">
        <v>25.32</v>
      </c>
      <c r="F3522" s="87">
        <v>30.3</v>
      </c>
      <c r="G3522" s="88">
        <f t="shared" si="1"/>
        <v>4.98</v>
      </c>
      <c r="H3522" s="89">
        <f t="shared" si="10"/>
        <v>0.1643564356</v>
      </c>
      <c r="I3522" s="78" t="s">
        <v>4235</v>
      </c>
      <c r="J3522" s="78" t="s">
        <v>69</v>
      </c>
      <c r="K3522" s="58">
        <f t="shared" si="3"/>
        <v>592</v>
      </c>
      <c r="L3522" s="91" t="str">
        <f t="shared" si="8"/>
        <v>Tue</v>
      </c>
      <c r="M3522" s="78" t="str">
        <f>IFERROR(VLOOKUP(A3522, Entries!A:B,2,false),"")</f>
        <v>Shiro Games</v>
      </c>
      <c r="N3522" s="23" t="str">
        <f>IFERROR(VLOOKUP(A3522, Entries!A:K,11,false),"")</f>
        <v/>
      </c>
      <c r="O3522" s="23" t="b">
        <f>IFERROR(VLOOKUP(A3522, Entries!A:I,8,false),"")</f>
        <v>0</v>
      </c>
    </row>
    <row r="3523">
      <c r="A3523" s="94" t="s">
        <v>2238</v>
      </c>
      <c r="B3523" s="78" t="s">
        <v>23</v>
      </c>
      <c r="C3523" s="85">
        <v>45086.0</v>
      </c>
      <c r="D3523" s="85">
        <v>45701.0</v>
      </c>
      <c r="E3523" s="86">
        <v>25.32</v>
      </c>
      <c r="F3523" s="87">
        <v>30.3</v>
      </c>
      <c r="G3523" s="88">
        <f t="shared" si="1"/>
        <v>4.98</v>
      </c>
      <c r="H3523" s="89">
        <f t="shared" si="10"/>
        <v>0.1643564356</v>
      </c>
      <c r="I3523" s="78" t="s">
        <v>4236</v>
      </c>
      <c r="J3523" s="78" t="s">
        <v>69</v>
      </c>
      <c r="K3523" s="58">
        <f t="shared" si="3"/>
        <v>615</v>
      </c>
      <c r="L3523" s="91" t="str">
        <f t="shared" si="8"/>
        <v>Thu</v>
      </c>
      <c r="M3523" s="78" t="str">
        <f>IFERROR(VLOOKUP(A3523, Entries!A:B,2,false),"")</f>
        <v>Shiro Games</v>
      </c>
      <c r="N3523" s="23" t="str">
        <f>IFERROR(VLOOKUP(A3523, Entries!A:K,11,false),"")</f>
        <v/>
      </c>
      <c r="O3523" s="23" t="b">
        <f>IFERROR(VLOOKUP(A3523, Entries!A:I,8,false),"")</f>
        <v>0</v>
      </c>
    </row>
    <row r="3524">
      <c r="A3524" s="78" t="s">
        <v>1806</v>
      </c>
      <c r="B3524" s="78" t="s">
        <v>27</v>
      </c>
      <c r="C3524" s="85">
        <v>45086.0</v>
      </c>
      <c r="D3524" s="85">
        <v>45087.0</v>
      </c>
      <c r="E3524" s="86">
        <v>6.99</v>
      </c>
      <c r="F3524" s="87">
        <v>9.07</v>
      </c>
      <c r="G3524" s="88">
        <f t="shared" si="1"/>
        <v>2.08</v>
      </c>
      <c r="H3524" s="89">
        <f t="shared" si="10"/>
        <v>0.2293274531</v>
      </c>
      <c r="I3524" s="78" t="s">
        <v>4237</v>
      </c>
      <c r="J3524" s="78" t="s">
        <v>69</v>
      </c>
      <c r="K3524" s="58">
        <f t="shared" si="3"/>
        <v>1</v>
      </c>
      <c r="L3524" s="91" t="str">
        <f t="shared" si="8"/>
        <v>Sat</v>
      </c>
      <c r="M3524" s="78" t="str">
        <f>IFERROR(VLOOKUP(A3524, Entries!A:B,2,false),"")</f>
        <v>Daedalic Entertainment</v>
      </c>
      <c r="N3524" s="23" t="str">
        <f>IFERROR(VLOOKUP(A3524, Entries!A:K,11,false),"")</f>
        <v/>
      </c>
    </row>
    <row r="3525">
      <c r="A3525" s="78" t="s">
        <v>2789</v>
      </c>
      <c r="B3525" s="78" t="s">
        <v>19</v>
      </c>
      <c r="C3525" s="85">
        <v>45086.0</v>
      </c>
      <c r="D3525" s="85">
        <v>45087.0</v>
      </c>
      <c r="E3525" s="86">
        <v>3.33</v>
      </c>
      <c r="F3525" s="87">
        <v>4.9</v>
      </c>
      <c r="G3525" s="88">
        <f t="shared" si="1"/>
        <v>1.57</v>
      </c>
      <c r="H3525" s="89">
        <f t="shared" si="10"/>
        <v>0.3204081633</v>
      </c>
      <c r="I3525" s="78" t="s">
        <v>4238</v>
      </c>
      <c r="J3525" s="78" t="s">
        <v>69</v>
      </c>
      <c r="K3525" s="58">
        <f t="shared" si="3"/>
        <v>1</v>
      </c>
      <c r="L3525" s="91" t="str">
        <f t="shared" si="8"/>
        <v>Sat</v>
      </c>
      <c r="M3525" s="78" t="str">
        <f>IFERROR(VLOOKUP(A3525, Entries!A:B,2,false),"")</f>
        <v>Evil Tortilla Games</v>
      </c>
      <c r="N3525" s="23" t="str">
        <f>IFERROR(VLOOKUP(A3525, Entries!A:K,11,false),"")</f>
        <v/>
      </c>
    </row>
    <row r="3526">
      <c r="A3526" s="78" t="s">
        <v>2789</v>
      </c>
      <c r="B3526" s="78" t="s">
        <v>19</v>
      </c>
      <c r="C3526" s="85">
        <v>45086.0</v>
      </c>
      <c r="D3526" s="85">
        <v>45087.0</v>
      </c>
      <c r="E3526" s="86">
        <v>3.33</v>
      </c>
      <c r="F3526" s="87">
        <v>4.9</v>
      </c>
      <c r="G3526" s="88">
        <f t="shared" si="1"/>
        <v>1.57</v>
      </c>
      <c r="H3526" s="89">
        <f t="shared" si="10"/>
        <v>0.3204081633</v>
      </c>
      <c r="I3526" s="78" t="s">
        <v>4239</v>
      </c>
      <c r="J3526" s="78" t="s">
        <v>69</v>
      </c>
      <c r="K3526" s="58">
        <f t="shared" si="3"/>
        <v>1</v>
      </c>
      <c r="L3526" s="91" t="str">
        <f t="shared" si="8"/>
        <v>Sat</v>
      </c>
      <c r="M3526" s="78" t="str">
        <f>IFERROR(VLOOKUP(A3526, Entries!A:B,2,false),"")</f>
        <v>Evil Tortilla Games</v>
      </c>
      <c r="N3526" s="23" t="str">
        <f>IFERROR(VLOOKUP(A3526, Entries!A:K,11,false),"")</f>
        <v/>
      </c>
    </row>
    <row r="3527">
      <c r="A3527" s="78" t="s">
        <v>2789</v>
      </c>
      <c r="B3527" s="78" t="s">
        <v>19</v>
      </c>
      <c r="C3527" s="85">
        <v>45086.0</v>
      </c>
      <c r="D3527" s="85">
        <v>45087.0</v>
      </c>
      <c r="E3527" s="86">
        <v>3.33</v>
      </c>
      <c r="F3527" s="87">
        <v>4.9</v>
      </c>
      <c r="G3527" s="88">
        <f t="shared" si="1"/>
        <v>1.57</v>
      </c>
      <c r="H3527" s="89">
        <f t="shared" si="10"/>
        <v>0.3204081633</v>
      </c>
      <c r="I3527" s="78" t="s">
        <v>4240</v>
      </c>
      <c r="J3527" s="78" t="s">
        <v>69</v>
      </c>
      <c r="K3527" s="58">
        <f t="shared" si="3"/>
        <v>1</v>
      </c>
      <c r="L3527" s="91" t="str">
        <f t="shared" si="8"/>
        <v>Sat</v>
      </c>
      <c r="M3527" s="78" t="str">
        <f>IFERROR(VLOOKUP(A3527, Entries!A:B,2,false),"")</f>
        <v>Evil Tortilla Games</v>
      </c>
      <c r="N3527" s="23" t="str">
        <f>IFERROR(VLOOKUP(A3527, Entries!A:K,11,false),"")</f>
        <v/>
      </c>
    </row>
    <row r="3528">
      <c r="A3528" s="78" t="s">
        <v>1806</v>
      </c>
      <c r="B3528" s="78" t="s">
        <v>27</v>
      </c>
      <c r="C3528" s="85">
        <v>45087.0</v>
      </c>
      <c r="D3528" s="85">
        <v>45088.0</v>
      </c>
      <c r="E3528" s="86">
        <v>6.99</v>
      </c>
      <c r="F3528" s="87">
        <v>8.77</v>
      </c>
      <c r="G3528" s="88">
        <f t="shared" si="1"/>
        <v>1.78</v>
      </c>
      <c r="H3528" s="89">
        <f t="shared" si="10"/>
        <v>0.2029646522</v>
      </c>
      <c r="I3528" s="78" t="s">
        <v>4241</v>
      </c>
      <c r="J3528" s="78" t="s">
        <v>69</v>
      </c>
      <c r="K3528" s="58">
        <f t="shared" si="3"/>
        <v>1</v>
      </c>
      <c r="L3528" s="91" t="str">
        <f t="shared" si="8"/>
        <v>Sun</v>
      </c>
      <c r="M3528" s="78" t="str">
        <f>IFERROR(VLOOKUP(A3528, Entries!A:B,2,false),"")</f>
        <v>Daedalic Entertainment</v>
      </c>
      <c r="N3528" s="23" t="str">
        <f>IFERROR(VLOOKUP(A3528, Entries!A:K,11,false),"")</f>
        <v/>
      </c>
    </row>
    <row r="3529">
      <c r="A3529" s="78" t="s">
        <v>4226</v>
      </c>
      <c r="B3529" s="78" t="s">
        <v>27</v>
      </c>
      <c r="C3529" s="85">
        <v>45087.0</v>
      </c>
      <c r="D3529" s="85">
        <v>45088.0</v>
      </c>
      <c r="E3529" s="86">
        <v>20.89</v>
      </c>
      <c r="F3529" s="87">
        <v>24.11</v>
      </c>
      <c r="G3529" s="88">
        <f t="shared" si="1"/>
        <v>3.22</v>
      </c>
      <c r="H3529" s="89">
        <f t="shared" si="10"/>
        <v>0.1335545417</v>
      </c>
      <c r="I3529" s="78" t="s">
        <v>4242</v>
      </c>
      <c r="J3529" s="78" t="s">
        <v>69</v>
      </c>
      <c r="K3529" s="58">
        <f t="shared" si="3"/>
        <v>1</v>
      </c>
      <c r="L3529" s="91" t="str">
        <f t="shared" si="8"/>
        <v>Sun</v>
      </c>
      <c r="M3529" s="78" t="str">
        <f>IFERROR(VLOOKUP(A3529, Entries!A:B,2,false),"")</f>
        <v>BANDAI NAMCO</v>
      </c>
      <c r="N3529" s="23" t="str">
        <f>IFERROR(VLOOKUP(A3529, Entries!A:K,11,false),"")</f>
        <v/>
      </c>
    </row>
    <row r="3530">
      <c r="A3530" s="78" t="s">
        <v>2789</v>
      </c>
      <c r="B3530" s="78" t="s">
        <v>19</v>
      </c>
      <c r="C3530" s="85">
        <v>45087.0</v>
      </c>
      <c r="D3530" s="85">
        <v>45088.0</v>
      </c>
      <c r="E3530" s="86">
        <v>3.33</v>
      </c>
      <c r="F3530" s="87">
        <v>4.9</v>
      </c>
      <c r="G3530" s="88">
        <f t="shared" si="1"/>
        <v>1.57</v>
      </c>
      <c r="H3530" s="89">
        <f t="shared" si="10"/>
        <v>0.3204081633</v>
      </c>
      <c r="I3530" s="78" t="s">
        <v>4243</v>
      </c>
      <c r="J3530" s="78" t="s">
        <v>69</v>
      </c>
      <c r="K3530" s="58">
        <f t="shared" si="3"/>
        <v>1</v>
      </c>
      <c r="L3530" s="91" t="str">
        <f t="shared" si="8"/>
        <v>Sun</v>
      </c>
      <c r="M3530" s="78" t="str">
        <f>IFERROR(VLOOKUP(A3530, Entries!A:B,2,false),"")</f>
        <v>Evil Tortilla Games</v>
      </c>
      <c r="N3530" s="23" t="str">
        <f>IFERROR(VLOOKUP(A3530, Entries!A:K,11,false),"")</f>
        <v/>
      </c>
    </row>
    <row r="3531">
      <c r="A3531" s="78" t="s">
        <v>4173</v>
      </c>
      <c r="B3531" s="78" t="s">
        <v>22</v>
      </c>
      <c r="C3531" s="85">
        <v>45087.0</v>
      </c>
      <c r="D3531" s="85">
        <v>45103.0</v>
      </c>
      <c r="E3531" s="86">
        <v>3.84</v>
      </c>
      <c r="F3531" s="87">
        <v>4.06</v>
      </c>
      <c r="G3531" s="88">
        <f t="shared" si="1"/>
        <v>0.22</v>
      </c>
      <c r="H3531" s="89">
        <f t="shared" si="10"/>
        <v>0.05418719212</v>
      </c>
      <c r="I3531" s="78" t="s">
        <v>4244</v>
      </c>
      <c r="J3531" s="78" t="s">
        <v>69</v>
      </c>
      <c r="K3531" s="58">
        <f t="shared" si="3"/>
        <v>16</v>
      </c>
      <c r="L3531" s="91" t="str">
        <f t="shared" si="8"/>
        <v>Mon</v>
      </c>
      <c r="M3531" s="78" t="str">
        <f>IFERROR(VLOOKUP(A3531, Entries!A:B,2,false),"")</f>
        <v>Kepler Interactive</v>
      </c>
      <c r="N3531" s="23" t="str">
        <f>IFERROR(VLOOKUP(A3531, Entries!A:K,11,false),"")</f>
        <v/>
      </c>
    </row>
    <row r="3532">
      <c r="A3532" s="78" t="s">
        <v>2789</v>
      </c>
      <c r="B3532" s="78" t="s">
        <v>19</v>
      </c>
      <c r="C3532" s="85">
        <v>45087.0</v>
      </c>
      <c r="D3532" s="85">
        <v>45088.0</v>
      </c>
      <c r="E3532" s="86">
        <v>3.33</v>
      </c>
      <c r="F3532" s="87">
        <v>4.89</v>
      </c>
      <c r="G3532" s="88">
        <f t="shared" si="1"/>
        <v>1.56</v>
      </c>
      <c r="H3532" s="89">
        <f t="shared" si="10"/>
        <v>0.3190184049</v>
      </c>
      <c r="I3532" s="78" t="s">
        <v>4245</v>
      </c>
      <c r="J3532" s="78" t="s">
        <v>69</v>
      </c>
      <c r="K3532" s="58">
        <f t="shared" si="3"/>
        <v>1</v>
      </c>
      <c r="L3532" s="91" t="str">
        <f t="shared" si="8"/>
        <v>Sun</v>
      </c>
      <c r="M3532" s="78" t="str">
        <f>IFERROR(VLOOKUP(A3532, Entries!A:B,2,false),"")</f>
        <v>Evil Tortilla Games</v>
      </c>
      <c r="N3532" s="23" t="str">
        <f>IFERROR(VLOOKUP(A3532, Entries!A:K,11,false),"")</f>
        <v/>
      </c>
    </row>
    <row r="3533">
      <c r="A3533" s="78" t="s">
        <v>3771</v>
      </c>
      <c r="B3533" s="78" t="s">
        <v>27</v>
      </c>
      <c r="C3533" s="85">
        <v>45088.0</v>
      </c>
      <c r="D3533" s="85">
        <v>45115.0</v>
      </c>
      <c r="E3533" s="86">
        <v>7.99</v>
      </c>
      <c r="F3533" s="87">
        <v>11.62</v>
      </c>
      <c r="G3533" s="88">
        <f t="shared" si="1"/>
        <v>3.63</v>
      </c>
      <c r="H3533" s="89">
        <f t="shared" si="10"/>
        <v>0.3123924269</v>
      </c>
      <c r="I3533" s="78" t="s">
        <v>4246</v>
      </c>
      <c r="J3533" s="78" t="s">
        <v>69</v>
      </c>
      <c r="K3533" s="58">
        <f t="shared" si="3"/>
        <v>27</v>
      </c>
      <c r="L3533" s="91" t="str">
        <f t="shared" si="8"/>
        <v>Sat</v>
      </c>
      <c r="M3533" s="78" t="str">
        <f>IFERROR(VLOOKUP(A3533, Entries!A:B,2,false),"")</f>
        <v>Good Shepherd Entertainment</v>
      </c>
      <c r="N3533" s="23" t="str">
        <f>IFERROR(VLOOKUP(A3533, Entries!A:K,11,false),"")</f>
        <v/>
      </c>
    </row>
    <row r="3534">
      <c r="A3534" s="78" t="s">
        <v>2789</v>
      </c>
      <c r="B3534" s="78" t="s">
        <v>19</v>
      </c>
      <c r="C3534" s="85">
        <v>45088.0</v>
      </c>
      <c r="D3534" s="85">
        <v>45088.0</v>
      </c>
      <c r="E3534" s="86">
        <v>3.33</v>
      </c>
      <c r="F3534" s="87">
        <v>4.89</v>
      </c>
      <c r="G3534" s="88">
        <f t="shared" si="1"/>
        <v>1.56</v>
      </c>
      <c r="H3534" s="89">
        <f t="shared" si="10"/>
        <v>0.3190184049</v>
      </c>
      <c r="I3534" s="78" t="s">
        <v>4247</v>
      </c>
      <c r="J3534" s="78" t="s">
        <v>69</v>
      </c>
      <c r="K3534" s="58">
        <f t="shared" si="3"/>
        <v>0</v>
      </c>
      <c r="L3534" s="91" t="str">
        <f t="shared" si="8"/>
        <v>Sun</v>
      </c>
      <c r="M3534" s="78" t="str">
        <f>IFERROR(VLOOKUP(A3534, Entries!A:B,2,false),"")</f>
        <v>Evil Tortilla Games</v>
      </c>
      <c r="N3534" s="23" t="str">
        <f>IFERROR(VLOOKUP(A3534, Entries!A:K,11,false),"")</f>
        <v/>
      </c>
    </row>
    <row r="3535">
      <c r="A3535" s="78" t="s">
        <v>4217</v>
      </c>
      <c r="B3535" s="78" t="s">
        <v>23</v>
      </c>
      <c r="C3535" s="85">
        <v>45088.0</v>
      </c>
      <c r="D3535" s="85">
        <v>45090.0</v>
      </c>
      <c r="E3535" s="86">
        <v>16.79</v>
      </c>
      <c r="F3535" s="87">
        <v>23.69</v>
      </c>
      <c r="G3535" s="88">
        <f t="shared" si="1"/>
        <v>6.9</v>
      </c>
      <c r="H3535" s="89">
        <f t="shared" si="10"/>
        <v>0.2912621359</v>
      </c>
      <c r="I3535" s="78" t="s">
        <v>4248</v>
      </c>
      <c r="J3535" s="78" t="s">
        <v>69</v>
      </c>
      <c r="K3535" s="58">
        <f t="shared" si="3"/>
        <v>2</v>
      </c>
      <c r="L3535" s="91" t="str">
        <f t="shared" si="8"/>
        <v>Tue</v>
      </c>
      <c r="M3535" s="78" t="str">
        <f>IFERROR(VLOOKUP(A3535, Entries!A:B,2,false),"")</f>
        <v>Studio Wildcard</v>
      </c>
      <c r="N3535" s="23" t="str">
        <f>IFERROR(VLOOKUP(A3535, Entries!A:K,11,false),"")</f>
        <v/>
      </c>
    </row>
    <row r="3536">
      <c r="A3536" s="78" t="s">
        <v>4226</v>
      </c>
      <c r="B3536" s="78" t="s">
        <v>27</v>
      </c>
      <c r="C3536" s="85">
        <v>45088.0</v>
      </c>
      <c r="D3536" s="85">
        <v>45091.0</v>
      </c>
      <c r="E3536" s="86">
        <v>20.89</v>
      </c>
      <c r="F3536" s="87">
        <v>23.41</v>
      </c>
      <c r="G3536" s="88">
        <f t="shared" si="1"/>
        <v>2.52</v>
      </c>
      <c r="H3536" s="89">
        <f t="shared" si="10"/>
        <v>0.107646305</v>
      </c>
      <c r="I3536" s="78" t="s">
        <v>4249</v>
      </c>
      <c r="J3536" s="78" t="s">
        <v>69</v>
      </c>
      <c r="K3536" s="58">
        <f t="shared" si="3"/>
        <v>3</v>
      </c>
      <c r="L3536" s="91" t="str">
        <f t="shared" si="8"/>
        <v>Wed</v>
      </c>
      <c r="M3536" s="78" t="str">
        <f>IFERROR(VLOOKUP(A3536, Entries!A:B,2,false),"")</f>
        <v>BANDAI NAMCO</v>
      </c>
      <c r="N3536" s="23" t="str">
        <f>IFERROR(VLOOKUP(A3536, Entries!A:K,11,false),"")</f>
        <v/>
      </c>
    </row>
    <row r="3537">
      <c r="A3537" s="78" t="s">
        <v>2789</v>
      </c>
      <c r="B3537" s="78" t="s">
        <v>19</v>
      </c>
      <c r="C3537" s="85">
        <v>45088.0</v>
      </c>
      <c r="D3537" s="85">
        <v>45091.0</v>
      </c>
      <c r="E3537" s="86">
        <v>3.33</v>
      </c>
      <c r="F3537" s="87">
        <v>4.87</v>
      </c>
      <c r="G3537" s="88">
        <f t="shared" si="1"/>
        <v>1.54</v>
      </c>
      <c r="H3537" s="89">
        <f t="shared" si="10"/>
        <v>0.3162217659</v>
      </c>
      <c r="I3537" s="78" t="s">
        <v>4250</v>
      </c>
      <c r="J3537" s="78" t="s">
        <v>69</v>
      </c>
      <c r="K3537" s="58">
        <f t="shared" si="3"/>
        <v>3</v>
      </c>
      <c r="L3537" s="91" t="str">
        <f t="shared" si="8"/>
        <v>Wed</v>
      </c>
      <c r="M3537" s="78" t="str">
        <f>IFERROR(VLOOKUP(A3537, Entries!A:B,2,false),"")</f>
        <v>Evil Tortilla Games</v>
      </c>
      <c r="N3537" s="23" t="str">
        <f>IFERROR(VLOOKUP(A3537, Entries!A:K,11,false),"")</f>
        <v/>
      </c>
    </row>
    <row r="3538">
      <c r="A3538" s="78" t="s">
        <v>2789</v>
      </c>
      <c r="B3538" s="78" t="s">
        <v>19</v>
      </c>
      <c r="C3538" s="85">
        <v>45088.0</v>
      </c>
      <c r="D3538" s="85">
        <v>45091.0</v>
      </c>
      <c r="E3538" s="86">
        <v>3.33</v>
      </c>
      <c r="F3538" s="87">
        <v>4.87</v>
      </c>
      <c r="G3538" s="88">
        <f t="shared" si="1"/>
        <v>1.54</v>
      </c>
      <c r="H3538" s="89">
        <f t="shared" si="10"/>
        <v>0.3162217659</v>
      </c>
      <c r="I3538" s="78" t="s">
        <v>4251</v>
      </c>
      <c r="J3538" s="78" t="s">
        <v>69</v>
      </c>
      <c r="K3538" s="58">
        <f t="shared" si="3"/>
        <v>3</v>
      </c>
      <c r="L3538" s="91" t="str">
        <f t="shared" si="8"/>
        <v>Wed</v>
      </c>
      <c r="M3538" s="78" t="str">
        <f>IFERROR(VLOOKUP(A3538, Entries!A:B,2,false),"")</f>
        <v>Evil Tortilla Games</v>
      </c>
      <c r="N3538" s="23" t="str">
        <f>IFERROR(VLOOKUP(A3538, Entries!A:K,11,false),"")</f>
        <v/>
      </c>
    </row>
    <row r="3539">
      <c r="A3539" s="78" t="s">
        <v>4252</v>
      </c>
      <c r="B3539" s="78" t="s">
        <v>27</v>
      </c>
      <c r="C3539" s="85">
        <v>45088.0</v>
      </c>
      <c r="D3539" s="85">
        <v>45090.0</v>
      </c>
      <c r="E3539" s="86">
        <v>25.49</v>
      </c>
      <c r="F3539" s="87">
        <v>33.4</v>
      </c>
      <c r="G3539" s="88">
        <f t="shared" si="1"/>
        <v>7.91</v>
      </c>
      <c r="H3539" s="89">
        <f t="shared" si="10"/>
        <v>0.2368263473</v>
      </c>
      <c r="I3539" s="78" t="s">
        <v>4253</v>
      </c>
      <c r="J3539" s="78" t="s">
        <v>69</v>
      </c>
      <c r="K3539" s="58">
        <f t="shared" si="3"/>
        <v>2</v>
      </c>
      <c r="L3539" s="91" t="str">
        <f t="shared" si="8"/>
        <v>Tue</v>
      </c>
      <c r="M3539" s="78" t="str">
        <f>IFERROR(VLOOKUP(A3539, Entries!A:B,2,false),"")</f>
        <v>PlayStation</v>
      </c>
      <c r="N3539" s="23" t="str">
        <f>IFERROR(VLOOKUP(A3539, Entries!A:K,11,false),"")</f>
        <v/>
      </c>
    </row>
    <row r="3540">
      <c r="A3540" s="78" t="s">
        <v>1806</v>
      </c>
      <c r="B3540" s="78" t="s">
        <v>27</v>
      </c>
      <c r="C3540" s="85">
        <v>45088.0</v>
      </c>
      <c r="D3540" s="85">
        <v>45089.0</v>
      </c>
      <c r="E3540" s="86">
        <v>5.61</v>
      </c>
      <c r="F3540" s="87">
        <v>8.81</v>
      </c>
      <c r="G3540" s="88">
        <f t="shared" si="1"/>
        <v>3.2</v>
      </c>
      <c r="H3540" s="89">
        <f t="shared" si="10"/>
        <v>0.3632236095</v>
      </c>
      <c r="I3540" s="78" t="s">
        <v>4254</v>
      </c>
      <c r="J3540" s="78" t="s">
        <v>69</v>
      </c>
      <c r="K3540" s="58">
        <f t="shared" si="3"/>
        <v>1</v>
      </c>
      <c r="L3540" s="91" t="str">
        <f t="shared" si="8"/>
        <v>Mon</v>
      </c>
      <c r="M3540" s="78" t="str">
        <f>IFERROR(VLOOKUP(A3540, Entries!A:B,2,false),"")</f>
        <v>Daedalic Entertainment</v>
      </c>
      <c r="N3540" s="23" t="str">
        <f>IFERROR(VLOOKUP(A3540, Entries!A:K,11,false),"")</f>
        <v/>
      </c>
    </row>
    <row r="3541">
      <c r="A3541" s="78" t="s">
        <v>3309</v>
      </c>
      <c r="B3541" s="78" t="s">
        <v>27</v>
      </c>
      <c r="C3541" s="85">
        <v>45088.0</v>
      </c>
      <c r="D3541" s="85">
        <v>45089.0</v>
      </c>
      <c r="E3541" s="86">
        <v>4.09</v>
      </c>
      <c r="F3541" s="87">
        <v>4.72</v>
      </c>
      <c r="G3541" s="88">
        <f t="shared" si="1"/>
        <v>0.63</v>
      </c>
      <c r="H3541" s="89">
        <f t="shared" si="10"/>
        <v>0.1334745763</v>
      </c>
      <c r="I3541" s="78" t="s">
        <v>4255</v>
      </c>
      <c r="J3541" s="78" t="s">
        <v>69</v>
      </c>
      <c r="K3541" s="58">
        <f t="shared" si="3"/>
        <v>1</v>
      </c>
      <c r="L3541" s="91" t="str">
        <f t="shared" si="8"/>
        <v>Mon</v>
      </c>
      <c r="M3541" s="78" t="str">
        <f>IFERROR(VLOOKUP(A3541, Entries!A:B,2,false),"")</f>
        <v>Digixart</v>
      </c>
      <c r="N3541" s="23" t="str">
        <f>IFERROR(VLOOKUP(A3541, Entries!A:K,11,false),"")</f>
        <v/>
      </c>
    </row>
    <row r="3542">
      <c r="A3542" s="78" t="s">
        <v>1806</v>
      </c>
      <c r="B3542" s="78" t="s">
        <v>27</v>
      </c>
      <c r="C3542" s="85">
        <v>45089.0</v>
      </c>
      <c r="D3542" s="85">
        <v>45089.0</v>
      </c>
      <c r="E3542" s="86">
        <v>6.99</v>
      </c>
      <c r="F3542" s="87">
        <v>8.78</v>
      </c>
      <c r="G3542" s="88">
        <f t="shared" si="1"/>
        <v>1.79</v>
      </c>
      <c r="H3542" s="89">
        <f t="shared" si="10"/>
        <v>0.2038724374</v>
      </c>
      <c r="I3542" s="78" t="s">
        <v>4256</v>
      </c>
      <c r="J3542" s="78" t="s">
        <v>69</v>
      </c>
      <c r="K3542" s="58">
        <f t="shared" si="3"/>
        <v>0</v>
      </c>
      <c r="L3542" s="91" t="str">
        <f t="shared" si="8"/>
        <v>Mon</v>
      </c>
      <c r="M3542" s="78" t="str">
        <f>IFERROR(VLOOKUP(A3542, Entries!A:B,2,false),"")</f>
        <v>Daedalic Entertainment</v>
      </c>
      <c r="N3542" s="23" t="str">
        <f>IFERROR(VLOOKUP(A3542, Entries!A:K,11,false),"")</f>
        <v/>
      </c>
    </row>
    <row r="3543">
      <c r="A3543" s="78" t="s">
        <v>3309</v>
      </c>
      <c r="B3543" s="78" t="s">
        <v>27</v>
      </c>
      <c r="C3543" s="85">
        <v>45089.0</v>
      </c>
      <c r="D3543" s="85">
        <v>45089.0</v>
      </c>
      <c r="E3543" s="86">
        <v>4.09</v>
      </c>
      <c r="F3543" s="87">
        <v>4.72</v>
      </c>
      <c r="G3543" s="88">
        <f t="shared" si="1"/>
        <v>0.63</v>
      </c>
      <c r="H3543" s="89">
        <f t="shared" si="10"/>
        <v>0.1334745763</v>
      </c>
      <c r="I3543" s="78" t="s">
        <v>4257</v>
      </c>
      <c r="J3543" s="78" t="s">
        <v>69</v>
      </c>
      <c r="K3543" s="58">
        <f t="shared" si="3"/>
        <v>0</v>
      </c>
      <c r="L3543" s="91" t="str">
        <f t="shared" si="8"/>
        <v>Mon</v>
      </c>
      <c r="M3543" s="78" t="str">
        <f>IFERROR(VLOOKUP(A3543, Entries!A:B,2,false),"")</f>
        <v>Digixart</v>
      </c>
      <c r="N3543" s="23" t="str">
        <f>IFERROR(VLOOKUP(A3543, Entries!A:K,11,false),"")</f>
        <v/>
      </c>
    </row>
    <row r="3544">
      <c r="A3544" s="78" t="s">
        <v>3430</v>
      </c>
      <c r="B3544" s="78" t="s">
        <v>25</v>
      </c>
      <c r="C3544" s="85">
        <v>45089.0</v>
      </c>
      <c r="D3544" s="85">
        <v>45244.0</v>
      </c>
      <c r="E3544" s="86">
        <v>6.19</v>
      </c>
      <c r="F3544" s="87">
        <v>10.78</v>
      </c>
      <c r="G3544" s="88">
        <f t="shared" si="1"/>
        <v>4.59</v>
      </c>
      <c r="H3544" s="89">
        <f t="shared" si="10"/>
        <v>0.4257884972</v>
      </c>
      <c r="I3544" s="78" t="s">
        <v>4258</v>
      </c>
      <c r="J3544" s="78" t="s">
        <v>69</v>
      </c>
      <c r="K3544" s="58">
        <f t="shared" si="3"/>
        <v>155</v>
      </c>
      <c r="L3544" s="91" t="str">
        <f t="shared" si="8"/>
        <v>Tue</v>
      </c>
      <c r="M3544" s="78" t="str">
        <f>IFERROR(VLOOKUP(A3544, Entries!A:B,2,false),"")</f>
        <v>HandyGames</v>
      </c>
      <c r="N3544" s="23" t="str">
        <f>IFERROR(VLOOKUP(A3544, Entries!A:K,11,false),"")</f>
        <v/>
      </c>
      <c r="O3544" s="23" t="b">
        <f>IFERROR(VLOOKUP(A3544, Entries!A:I,8,false),"")</f>
        <v>0</v>
      </c>
    </row>
    <row r="3545">
      <c r="A3545" s="78" t="s">
        <v>2528</v>
      </c>
      <c r="B3545" s="78" t="s">
        <v>25</v>
      </c>
      <c r="C3545" s="85">
        <v>45089.0</v>
      </c>
      <c r="D3545" s="85">
        <v>45092.0</v>
      </c>
      <c r="E3545" s="86">
        <v>5.87</v>
      </c>
      <c r="F3545" s="87">
        <v>6.87</v>
      </c>
      <c r="G3545" s="88">
        <f t="shared" si="1"/>
        <v>1</v>
      </c>
      <c r="H3545" s="89">
        <f t="shared" si="10"/>
        <v>0.1455604076</v>
      </c>
      <c r="I3545" s="78" t="s">
        <v>4259</v>
      </c>
      <c r="J3545" s="78" t="s">
        <v>69</v>
      </c>
      <c r="K3545" s="58">
        <f t="shared" si="3"/>
        <v>3</v>
      </c>
      <c r="L3545" s="91" t="str">
        <f t="shared" si="8"/>
        <v>Thu</v>
      </c>
      <c r="M3545" s="78" t="str">
        <f>IFERROR(VLOOKUP(A3545, Entries!A:B,2,false),"")</f>
        <v>Cheesecake Dev</v>
      </c>
      <c r="N3545" s="23" t="str">
        <f>IFERROR(VLOOKUP(A3545, Entries!A:K,11,false),"")</f>
        <v/>
      </c>
    </row>
    <row r="3546">
      <c r="A3546" s="78" t="s">
        <v>550</v>
      </c>
      <c r="B3546" s="78" t="s">
        <v>25</v>
      </c>
      <c r="C3546" s="85">
        <v>45089.0</v>
      </c>
      <c r="D3546" s="85">
        <v>45112.0</v>
      </c>
      <c r="E3546" s="86">
        <v>5.3</v>
      </c>
      <c r="F3546" s="87">
        <v>6.6</v>
      </c>
      <c r="G3546" s="88">
        <f t="shared" si="1"/>
        <v>1.3</v>
      </c>
      <c r="H3546" s="89">
        <f t="shared" si="10"/>
        <v>0.196969697</v>
      </c>
      <c r="I3546" s="78" t="s">
        <v>4260</v>
      </c>
      <c r="J3546" s="78" t="s">
        <v>69</v>
      </c>
      <c r="K3546" s="58">
        <f t="shared" si="3"/>
        <v>23</v>
      </c>
      <c r="L3546" s="91" t="str">
        <f t="shared" si="8"/>
        <v>Wed</v>
      </c>
      <c r="M3546" s="78" t="str">
        <f>IFERROR(VLOOKUP(A3546, Entries!A:B,2,false),"")</f>
        <v>Codemasters</v>
      </c>
      <c r="N3546" s="23" t="str">
        <f>IFERROR(VLOOKUP(A3546, Entries!A:K,11,false),"")</f>
        <v/>
      </c>
    </row>
    <row r="3547">
      <c r="A3547" s="78" t="s">
        <v>3309</v>
      </c>
      <c r="B3547" s="78" t="s">
        <v>27</v>
      </c>
      <c r="C3547" s="85">
        <v>45089.0</v>
      </c>
      <c r="D3547" s="85">
        <v>45094.0</v>
      </c>
      <c r="E3547" s="86">
        <v>4.09</v>
      </c>
      <c r="F3547" s="87">
        <v>4.37</v>
      </c>
      <c r="G3547" s="88">
        <f t="shared" si="1"/>
        <v>0.28</v>
      </c>
      <c r="H3547" s="89">
        <f t="shared" si="10"/>
        <v>0.06407322654</v>
      </c>
      <c r="I3547" s="78" t="s">
        <v>4261</v>
      </c>
      <c r="J3547" s="78" t="s">
        <v>69</v>
      </c>
      <c r="K3547" s="58">
        <f t="shared" si="3"/>
        <v>5</v>
      </c>
      <c r="L3547" s="91" t="str">
        <f t="shared" si="8"/>
        <v>Sat</v>
      </c>
      <c r="M3547" s="78" t="str">
        <f>IFERROR(VLOOKUP(A3547, Entries!A:B,2,false),"")</f>
        <v>Digixart</v>
      </c>
      <c r="N3547" s="23" t="str">
        <f>IFERROR(VLOOKUP(A3547, Entries!A:K,11,false),"")</f>
        <v/>
      </c>
    </row>
    <row r="3548">
      <c r="A3548" s="78" t="s">
        <v>1806</v>
      </c>
      <c r="B3548" s="78" t="s">
        <v>27</v>
      </c>
      <c r="C3548" s="85">
        <v>45089.0</v>
      </c>
      <c r="D3548" s="85">
        <v>45090.0</v>
      </c>
      <c r="E3548" s="86">
        <v>7.09</v>
      </c>
      <c r="F3548" s="87">
        <v>8.78</v>
      </c>
      <c r="G3548" s="88">
        <f t="shared" si="1"/>
        <v>1.69</v>
      </c>
      <c r="H3548" s="89">
        <f t="shared" si="10"/>
        <v>0.1924829157</v>
      </c>
      <c r="I3548" s="78" t="s">
        <v>4262</v>
      </c>
      <c r="J3548" s="78" t="s">
        <v>69</v>
      </c>
      <c r="K3548" s="58">
        <f t="shared" si="3"/>
        <v>1</v>
      </c>
      <c r="L3548" s="91" t="str">
        <f t="shared" si="8"/>
        <v>Tue</v>
      </c>
      <c r="M3548" s="78" t="str">
        <f>IFERROR(VLOOKUP(A3548, Entries!A:B,2,false),"")</f>
        <v>Daedalic Entertainment</v>
      </c>
      <c r="N3548" s="23" t="str">
        <f>IFERROR(VLOOKUP(A3548, Entries!A:K,11,false),"")</f>
        <v/>
      </c>
    </row>
    <row r="3549">
      <c r="A3549" s="78" t="s">
        <v>2031</v>
      </c>
      <c r="B3549" s="78" t="s">
        <v>21</v>
      </c>
      <c r="C3549" s="85">
        <v>45089.0</v>
      </c>
      <c r="D3549" s="85">
        <v>45166.0</v>
      </c>
      <c r="E3549" s="86">
        <v>29.92</v>
      </c>
      <c r="F3549" s="87">
        <v>42.19</v>
      </c>
      <c r="G3549" s="88">
        <f t="shared" si="1"/>
        <v>12.27</v>
      </c>
      <c r="H3549" s="89">
        <f t="shared" si="10"/>
        <v>0.2908272102</v>
      </c>
      <c r="I3549" s="78" t="s">
        <v>4263</v>
      </c>
      <c r="J3549" s="78" t="s">
        <v>69</v>
      </c>
      <c r="K3549" s="58">
        <f t="shared" si="3"/>
        <v>77</v>
      </c>
      <c r="L3549" s="91" t="str">
        <f t="shared" si="8"/>
        <v>Mon</v>
      </c>
      <c r="M3549" s="78" t="str">
        <f>IFERROR(VLOOKUP(A3549, Entries!A:B,2,false),"")</f>
        <v>KOEI TECMO GAMES</v>
      </c>
      <c r="N3549" s="23" t="str">
        <f>IFERROR(VLOOKUP(A3549, Entries!A:K,11,false),"")</f>
        <v/>
      </c>
    </row>
    <row r="3550">
      <c r="A3550" s="78" t="s">
        <v>1849</v>
      </c>
      <c r="B3550" s="78" t="s">
        <v>19</v>
      </c>
      <c r="C3550" s="85">
        <v>45090.0</v>
      </c>
      <c r="D3550" s="85">
        <v>45094.0</v>
      </c>
      <c r="E3550" s="86">
        <v>5.61</v>
      </c>
      <c r="F3550" s="87">
        <v>8.03</v>
      </c>
      <c r="G3550" s="88">
        <f t="shared" si="1"/>
        <v>2.42</v>
      </c>
      <c r="H3550" s="89">
        <f t="shared" si="10"/>
        <v>0.301369863</v>
      </c>
      <c r="I3550" s="78" t="s">
        <v>4264</v>
      </c>
      <c r="J3550" s="78" t="s">
        <v>69</v>
      </c>
      <c r="K3550" s="58">
        <f t="shared" si="3"/>
        <v>4</v>
      </c>
      <c r="L3550" s="91" t="str">
        <f t="shared" si="8"/>
        <v>Sat</v>
      </c>
      <c r="M3550" s="78" t="str">
        <f>IFERROR(VLOOKUP(A3550, Entries!A:B,2,false),"")</f>
        <v>Marmalade Game Studio</v>
      </c>
      <c r="N3550" s="23" t="str">
        <f>IFERROR(VLOOKUP(A3550, Entries!A:K,11,false),"")</f>
        <v/>
      </c>
    </row>
    <row r="3551">
      <c r="A3551" s="78" t="s">
        <v>4217</v>
      </c>
      <c r="B3551" s="78" t="s">
        <v>23</v>
      </c>
      <c r="C3551" s="85">
        <v>45090.0</v>
      </c>
      <c r="D3551" s="85">
        <v>45091.0</v>
      </c>
      <c r="E3551" s="86">
        <v>16.79</v>
      </c>
      <c r="F3551" s="87">
        <v>23.65</v>
      </c>
      <c r="G3551" s="88">
        <f t="shared" si="1"/>
        <v>6.86</v>
      </c>
      <c r="H3551" s="89">
        <f t="shared" si="10"/>
        <v>0.2900634249</v>
      </c>
      <c r="I3551" s="78" t="s">
        <v>4265</v>
      </c>
      <c r="J3551" s="78" t="s">
        <v>69</v>
      </c>
      <c r="K3551" s="58">
        <f t="shared" si="3"/>
        <v>1</v>
      </c>
      <c r="L3551" s="91" t="str">
        <f t="shared" si="8"/>
        <v>Wed</v>
      </c>
      <c r="M3551" s="78" t="str">
        <f>IFERROR(VLOOKUP(A3551, Entries!A:B,2,false),"")</f>
        <v>Studio Wildcard</v>
      </c>
      <c r="N3551" s="23" t="str">
        <f>IFERROR(VLOOKUP(A3551, Entries!A:K,11,false),"")</f>
        <v/>
      </c>
    </row>
    <row r="3552">
      <c r="A3552" s="78" t="s">
        <v>4266</v>
      </c>
      <c r="B3552" s="78" t="s">
        <v>21</v>
      </c>
      <c r="C3552" s="85">
        <v>45090.0</v>
      </c>
      <c r="D3552" s="25"/>
      <c r="E3552" s="86">
        <v>13.51</v>
      </c>
      <c r="F3552" s="88"/>
      <c r="G3552" s="88">
        <f t="shared" si="1"/>
        <v>-13.51</v>
      </c>
      <c r="H3552" s="89" t="str">
        <f t="shared" si="10"/>
        <v/>
      </c>
      <c r="I3552" s="103" t="s">
        <v>4267</v>
      </c>
      <c r="J3552" s="78" t="s">
        <v>1129</v>
      </c>
      <c r="K3552" s="58" t="str">
        <f t="shared" si="3"/>
        <v/>
      </c>
      <c r="L3552" s="91" t="str">
        <f t="shared" si="8"/>
        <v/>
      </c>
      <c r="M3552" s="78" t="str">
        <f>IFERROR(VLOOKUP(A3552, Entries!A:B,2,false),"")</f>
        <v>THQ Nordic</v>
      </c>
      <c r="N3552" s="23" t="str">
        <f>IFERROR(VLOOKUP(A3552, Entries!A:K,11,false),"")</f>
        <v/>
      </c>
      <c r="O3552" s="23" t="b">
        <f>IFERROR(VLOOKUP(A3552, Entries!A:I,8,false),"")</f>
        <v>0</v>
      </c>
    </row>
    <row r="3553">
      <c r="A3553" s="78" t="s">
        <v>4266</v>
      </c>
      <c r="B3553" s="78" t="s">
        <v>21</v>
      </c>
      <c r="C3553" s="85">
        <v>45090.0</v>
      </c>
      <c r="D3553" s="25"/>
      <c r="E3553" s="86">
        <v>13.51</v>
      </c>
      <c r="F3553" s="88"/>
      <c r="G3553" s="88">
        <f t="shared" si="1"/>
        <v>-13.51</v>
      </c>
      <c r="H3553" s="89" t="str">
        <f t="shared" si="10"/>
        <v/>
      </c>
      <c r="I3553" s="103" t="s">
        <v>4268</v>
      </c>
      <c r="J3553" s="78" t="s">
        <v>1129</v>
      </c>
      <c r="K3553" s="58" t="str">
        <f t="shared" si="3"/>
        <v/>
      </c>
      <c r="L3553" s="91" t="str">
        <f t="shared" si="8"/>
        <v/>
      </c>
      <c r="M3553" s="78" t="str">
        <f>IFERROR(VLOOKUP(A3553, Entries!A:B,2,false),"")</f>
        <v>THQ Nordic</v>
      </c>
      <c r="N3553" s="23" t="str">
        <f>IFERROR(VLOOKUP(A3553, Entries!A:K,11,false),"")</f>
        <v/>
      </c>
      <c r="O3553" s="23" t="b">
        <f>IFERROR(VLOOKUP(A3553, Entries!A:I,8,false),"")</f>
        <v>0</v>
      </c>
    </row>
    <row r="3554">
      <c r="A3554" s="78" t="s">
        <v>1806</v>
      </c>
      <c r="B3554" s="78" t="s">
        <v>27</v>
      </c>
      <c r="C3554" s="85">
        <v>45090.0</v>
      </c>
      <c r="D3554" s="85">
        <v>45090.0</v>
      </c>
      <c r="E3554" s="86">
        <v>7.09</v>
      </c>
      <c r="F3554" s="87">
        <v>8.78</v>
      </c>
      <c r="G3554" s="88">
        <f t="shared" si="1"/>
        <v>1.69</v>
      </c>
      <c r="H3554" s="89">
        <f t="shared" si="10"/>
        <v>0.1924829157</v>
      </c>
      <c r="I3554" s="78" t="s">
        <v>4269</v>
      </c>
      <c r="J3554" s="78" t="s">
        <v>69</v>
      </c>
      <c r="K3554" s="58">
        <f t="shared" si="3"/>
        <v>0</v>
      </c>
      <c r="L3554" s="91" t="str">
        <f t="shared" si="8"/>
        <v>Tue</v>
      </c>
      <c r="M3554" s="78" t="str">
        <f>IFERROR(VLOOKUP(A3554, Entries!A:B,2,false),"")</f>
        <v>Daedalic Entertainment</v>
      </c>
      <c r="N3554" s="23" t="str">
        <f>IFERROR(VLOOKUP(A3554, Entries!A:K,11,false),"")</f>
        <v/>
      </c>
    </row>
    <row r="3555">
      <c r="A3555" s="78" t="s">
        <v>1806</v>
      </c>
      <c r="B3555" s="78" t="s">
        <v>27</v>
      </c>
      <c r="C3555" s="85">
        <v>45090.0</v>
      </c>
      <c r="D3555" s="85">
        <v>45091.0</v>
      </c>
      <c r="E3555" s="86">
        <v>7.09</v>
      </c>
      <c r="F3555" s="87">
        <v>8.78</v>
      </c>
      <c r="G3555" s="88">
        <f t="shared" si="1"/>
        <v>1.69</v>
      </c>
      <c r="H3555" s="89">
        <f t="shared" si="10"/>
        <v>0.1924829157</v>
      </c>
      <c r="I3555" s="78" t="s">
        <v>4270</v>
      </c>
      <c r="J3555" s="78" t="s">
        <v>69</v>
      </c>
      <c r="K3555" s="58">
        <f t="shared" si="3"/>
        <v>1</v>
      </c>
      <c r="L3555" s="91" t="str">
        <f t="shared" si="8"/>
        <v>Wed</v>
      </c>
      <c r="M3555" s="78" t="str">
        <f>IFERROR(VLOOKUP(A3555, Entries!A:B,2,false),"")</f>
        <v>Daedalic Entertainment</v>
      </c>
      <c r="N3555" s="23" t="str">
        <f>IFERROR(VLOOKUP(A3555, Entries!A:K,11,false),"")</f>
        <v/>
      </c>
    </row>
    <row r="3556">
      <c r="A3556" s="78" t="s">
        <v>4252</v>
      </c>
      <c r="B3556" s="78" t="s">
        <v>27</v>
      </c>
      <c r="C3556" s="85">
        <v>45090.0</v>
      </c>
      <c r="D3556" s="85">
        <v>45094.0</v>
      </c>
      <c r="E3556" s="86">
        <v>25.99</v>
      </c>
      <c r="F3556" s="87">
        <v>32.4</v>
      </c>
      <c r="G3556" s="88">
        <f t="shared" si="1"/>
        <v>6.41</v>
      </c>
      <c r="H3556" s="89">
        <f t="shared" si="10"/>
        <v>0.1978395062</v>
      </c>
      <c r="I3556" s="78" t="s">
        <v>4271</v>
      </c>
      <c r="J3556" s="78" t="s">
        <v>69</v>
      </c>
      <c r="K3556" s="58">
        <f t="shared" si="3"/>
        <v>4</v>
      </c>
      <c r="L3556" s="91" t="str">
        <f t="shared" si="8"/>
        <v>Sat</v>
      </c>
      <c r="M3556" s="78" t="str">
        <f>IFERROR(VLOOKUP(A3556, Entries!A:B,2,false),"")</f>
        <v>PlayStation</v>
      </c>
      <c r="N3556" s="23" t="str">
        <f>IFERROR(VLOOKUP(A3556, Entries!A:K,11,false),"")</f>
        <v/>
      </c>
    </row>
    <row r="3557">
      <c r="A3557" s="78" t="s">
        <v>1806</v>
      </c>
      <c r="B3557" s="78" t="s">
        <v>27</v>
      </c>
      <c r="C3557" s="85">
        <v>45091.0</v>
      </c>
      <c r="D3557" s="85">
        <v>45094.0</v>
      </c>
      <c r="E3557" s="86">
        <v>5.54</v>
      </c>
      <c r="F3557" s="87">
        <v>8.53</v>
      </c>
      <c r="G3557" s="88">
        <f t="shared" si="1"/>
        <v>2.99</v>
      </c>
      <c r="H3557" s="89">
        <f t="shared" si="10"/>
        <v>0.3505275498</v>
      </c>
      <c r="I3557" s="78" t="s">
        <v>4272</v>
      </c>
      <c r="J3557" s="78" t="s">
        <v>69</v>
      </c>
      <c r="K3557" s="58">
        <f t="shared" si="3"/>
        <v>3</v>
      </c>
      <c r="L3557" s="91" t="str">
        <f t="shared" si="8"/>
        <v>Sat</v>
      </c>
      <c r="M3557" s="78" t="str">
        <f>IFERROR(VLOOKUP(A3557, Entries!A:B,2,false),"")</f>
        <v>Daedalic Entertainment</v>
      </c>
      <c r="N3557" s="23" t="str">
        <f>IFERROR(VLOOKUP(A3557, Entries!A:K,11,false),"")</f>
        <v/>
      </c>
    </row>
    <row r="3558">
      <c r="A3558" s="78" t="s">
        <v>2528</v>
      </c>
      <c r="B3558" s="78" t="s">
        <v>21</v>
      </c>
      <c r="C3558" s="85">
        <v>45092.0</v>
      </c>
      <c r="D3558" s="85">
        <v>45184.0</v>
      </c>
      <c r="E3558" s="86">
        <v>7.19</v>
      </c>
      <c r="F3558" s="87">
        <v>11.49</v>
      </c>
      <c r="G3558" s="88">
        <f t="shared" si="1"/>
        <v>4.3</v>
      </c>
      <c r="H3558" s="89">
        <f t="shared" si="10"/>
        <v>0.3742384682</v>
      </c>
      <c r="I3558" s="78" t="s">
        <v>4273</v>
      </c>
      <c r="J3558" s="78" t="s">
        <v>69</v>
      </c>
      <c r="K3558" s="58">
        <f t="shared" si="3"/>
        <v>92</v>
      </c>
      <c r="L3558" s="91" t="str">
        <f t="shared" si="8"/>
        <v>Fri</v>
      </c>
      <c r="M3558" s="78" t="str">
        <f>IFERROR(VLOOKUP(A3558, Entries!A:B,2,false),"")</f>
        <v>Cheesecake Dev</v>
      </c>
      <c r="N3558" s="23" t="str">
        <f>IFERROR(VLOOKUP(A3558, Entries!A:K,11,false),"")</f>
        <v/>
      </c>
      <c r="O3558" s="23" t="b">
        <f>IFERROR(VLOOKUP(A3558, Entries!A:I,8,false),"")</f>
        <v>0</v>
      </c>
    </row>
    <row r="3559">
      <c r="A3559" s="78" t="s">
        <v>4100</v>
      </c>
      <c r="B3559" s="78" t="s">
        <v>27</v>
      </c>
      <c r="C3559" s="85">
        <v>45092.0</v>
      </c>
      <c r="D3559" s="85">
        <v>45094.0</v>
      </c>
      <c r="E3559" s="86">
        <v>9.39</v>
      </c>
      <c r="F3559" s="87">
        <v>11.17</v>
      </c>
      <c r="G3559" s="88">
        <f t="shared" si="1"/>
        <v>1.78</v>
      </c>
      <c r="H3559" s="89">
        <f t="shared" si="10"/>
        <v>0.1593554163</v>
      </c>
      <c r="I3559" s="78" t="s">
        <v>4274</v>
      </c>
      <c r="J3559" s="78" t="s">
        <v>69</v>
      </c>
      <c r="K3559" s="58">
        <f t="shared" si="3"/>
        <v>2</v>
      </c>
      <c r="L3559" s="91" t="str">
        <f t="shared" si="8"/>
        <v>Sat</v>
      </c>
      <c r="M3559" s="78" t="str">
        <f>IFERROR(VLOOKUP(A3559, Entries!A:B,2,false),"")</f>
        <v>Nacon</v>
      </c>
      <c r="N3559" s="23" t="str">
        <f>IFERROR(VLOOKUP(A3559, Entries!A:K,11,false),"")</f>
        <v/>
      </c>
    </row>
    <row r="3560">
      <c r="A3560" s="78" t="s">
        <v>4217</v>
      </c>
      <c r="B3560" s="78" t="s">
        <v>23</v>
      </c>
      <c r="C3560" s="85">
        <v>45092.0</v>
      </c>
      <c r="D3560" s="85">
        <v>45093.0</v>
      </c>
      <c r="E3560" s="86">
        <v>16.79</v>
      </c>
      <c r="F3560" s="87">
        <v>23.6</v>
      </c>
      <c r="G3560" s="88">
        <f t="shared" si="1"/>
        <v>6.81</v>
      </c>
      <c r="H3560" s="89">
        <f t="shared" si="10"/>
        <v>0.288559322</v>
      </c>
      <c r="I3560" s="78" t="s">
        <v>4275</v>
      </c>
      <c r="J3560" s="78" t="s">
        <v>69</v>
      </c>
      <c r="K3560" s="58">
        <f t="shared" si="3"/>
        <v>1</v>
      </c>
      <c r="L3560" s="91" t="str">
        <f t="shared" si="8"/>
        <v>Fri</v>
      </c>
      <c r="M3560" s="78" t="str">
        <f>IFERROR(VLOOKUP(A3560, Entries!A:B,2,false),"")</f>
        <v>Studio Wildcard</v>
      </c>
      <c r="N3560" s="23" t="str">
        <f>IFERROR(VLOOKUP(A3560, Entries!A:K,11,false),"")</f>
        <v/>
      </c>
    </row>
    <row r="3561">
      <c r="A3561" s="78" t="s">
        <v>4276</v>
      </c>
      <c r="B3561" s="78" t="s">
        <v>27</v>
      </c>
      <c r="C3561" s="85">
        <v>45092.0</v>
      </c>
      <c r="D3561" s="85">
        <v>45096.0</v>
      </c>
      <c r="E3561" s="86">
        <v>11.79</v>
      </c>
      <c r="F3561" s="87">
        <v>17.68</v>
      </c>
      <c r="G3561" s="88">
        <f t="shared" si="1"/>
        <v>5.89</v>
      </c>
      <c r="H3561" s="89">
        <f t="shared" si="10"/>
        <v>0.3331447964</v>
      </c>
      <c r="I3561" s="78" t="s">
        <v>4277</v>
      </c>
      <c r="J3561" s="78" t="s">
        <v>69</v>
      </c>
      <c r="K3561" s="58">
        <f t="shared" si="3"/>
        <v>4</v>
      </c>
      <c r="L3561" s="91" t="str">
        <f t="shared" si="8"/>
        <v>Mon</v>
      </c>
      <c r="M3561" s="78" t="str">
        <f>IFERROR(VLOOKUP(A3561, Entries!A:B,2,false),"")</f>
        <v>Nacon</v>
      </c>
      <c r="N3561" s="23" t="str">
        <f>IFERROR(VLOOKUP(A3561, Entries!A:K,11,false),"")</f>
        <v/>
      </c>
    </row>
    <row r="3562">
      <c r="A3562" s="78" t="s">
        <v>2624</v>
      </c>
      <c r="B3562" s="78" t="s">
        <v>27</v>
      </c>
      <c r="C3562" s="85">
        <v>45093.0</v>
      </c>
      <c r="D3562" s="85">
        <v>45094.0</v>
      </c>
      <c r="E3562" s="86">
        <v>15.89</v>
      </c>
      <c r="F3562" s="87">
        <v>18.63</v>
      </c>
      <c r="G3562" s="88">
        <f t="shared" si="1"/>
        <v>2.74</v>
      </c>
      <c r="H3562" s="89">
        <f t="shared" si="10"/>
        <v>0.1470746108</v>
      </c>
      <c r="I3562" s="78" t="s">
        <v>4278</v>
      </c>
      <c r="J3562" s="78" t="s">
        <v>69</v>
      </c>
      <c r="K3562" s="58">
        <f t="shared" si="3"/>
        <v>1</v>
      </c>
      <c r="L3562" s="91" t="str">
        <f t="shared" si="8"/>
        <v>Sat</v>
      </c>
      <c r="M3562" s="78" t="str">
        <f>IFERROR(VLOOKUP(A3562, Entries!A:B,2,false),"")</f>
        <v>Daedalic Entertainment</v>
      </c>
      <c r="N3562" s="23" t="str">
        <f>IFERROR(VLOOKUP(A3562, Entries!A:K,11,false),"")</f>
        <v/>
      </c>
    </row>
    <row r="3563">
      <c r="A3563" s="78" t="s">
        <v>2036</v>
      </c>
      <c r="B3563" s="78" t="s">
        <v>25</v>
      </c>
      <c r="C3563" s="85">
        <v>45093.0</v>
      </c>
      <c r="D3563" s="85">
        <v>45136.0</v>
      </c>
      <c r="E3563" s="86">
        <v>7.51</v>
      </c>
      <c r="F3563" s="87">
        <v>8.51</v>
      </c>
      <c r="G3563" s="88">
        <f t="shared" si="1"/>
        <v>1</v>
      </c>
      <c r="H3563" s="89">
        <f t="shared" si="10"/>
        <v>0.1175088132</v>
      </c>
      <c r="I3563" s="78" t="s">
        <v>4279</v>
      </c>
      <c r="J3563" s="78" t="s">
        <v>69</v>
      </c>
      <c r="K3563" s="58">
        <f t="shared" si="3"/>
        <v>43</v>
      </c>
      <c r="L3563" s="91" t="str">
        <f t="shared" si="8"/>
        <v>Sat</v>
      </c>
      <c r="M3563" s="78" t="str">
        <f>IFERROR(VLOOKUP(A3563, Entries!A:B,2,false),"")</f>
        <v>WeirdBeard</v>
      </c>
      <c r="N3563" s="23" t="str">
        <f>IFERROR(VLOOKUP(A3563, Entries!A:K,11,false),"")</f>
        <v/>
      </c>
    </row>
    <row r="3564">
      <c r="A3564" s="78" t="s">
        <v>2380</v>
      </c>
      <c r="B3564" s="78" t="s">
        <v>22</v>
      </c>
      <c r="C3564" s="85">
        <v>45093.0</v>
      </c>
      <c r="D3564" s="85">
        <v>45212.0</v>
      </c>
      <c r="E3564" s="86">
        <v>14.85</v>
      </c>
      <c r="F3564" s="87">
        <v>27.53</v>
      </c>
      <c r="G3564" s="88">
        <f t="shared" si="1"/>
        <v>12.68</v>
      </c>
      <c r="H3564" s="89">
        <f t="shared" si="10"/>
        <v>0.460588449</v>
      </c>
      <c r="I3564" s="78" t="s">
        <v>4280</v>
      </c>
      <c r="J3564" s="78" t="s">
        <v>69</v>
      </c>
      <c r="K3564" s="58">
        <f t="shared" si="3"/>
        <v>119</v>
      </c>
      <c r="L3564" s="91" t="str">
        <f t="shared" si="8"/>
        <v>Fri</v>
      </c>
      <c r="M3564" s="78" t="str">
        <f>IFERROR(VLOOKUP(A3564, Entries!A:B,2,false),"")</f>
        <v>Brightrock Games</v>
      </c>
      <c r="N3564" s="23" t="str">
        <f>IFERROR(VLOOKUP(A3564, Entries!A:K,11,false),"")</f>
        <v/>
      </c>
      <c r="O3564" s="23" t="b">
        <f>IFERROR(VLOOKUP(A3564, Entries!A:I,8,false),"")</f>
        <v>0</v>
      </c>
    </row>
    <row r="3565">
      <c r="A3565" s="78" t="s">
        <v>4217</v>
      </c>
      <c r="B3565" s="78" t="s">
        <v>23</v>
      </c>
      <c r="C3565" s="85">
        <v>45093.0</v>
      </c>
      <c r="D3565" s="85">
        <v>45093.0</v>
      </c>
      <c r="E3565" s="86">
        <v>16.79</v>
      </c>
      <c r="F3565" s="87">
        <v>23.6</v>
      </c>
      <c r="G3565" s="88">
        <f t="shared" si="1"/>
        <v>6.81</v>
      </c>
      <c r="H3565" s="89">
        <f t="shared" si="10"/>
        <v>0.288559322</v>
      </c>
      <c r="I3565" s="78" t="s">
        <v>4281</v>
      </c>
      <c r="J3565" s="78" t="s">
        <v>69</v>
      </c>
      <c r="K3565" s="58">
        <f t="shared" si="3"/>
        <v>0</v>
      </c>
      <c r="L3565" s="91" t="str">
        <f t="shared" si="8"/>
        <v>Fri</v>
      </c>
      <c r="M3565" s="78" t="str">
        <f>IFERROR(VLOOKUP(A3565, Entries!A:B,2,false),"")</f>
        <v>Studio Wildcard</v>
      </c>
      <c r="N3565" s="23" t="str">
        <f>IFERROR(VLOOKUP(A3565, Entries!A:K,11,false),"")</f>
        <v/>
      </c>
    </row>
    <row r="3566">
      <c r="A3566" s="78" t="s">
        <v>4282</v>
      </c>
      <c r="B3566" s="78" t="s">
        <v>27</v>
      </c>
      <c r="C3566" s="85">
        <v>45093.0</v>
      </c>
      <c r="D3566" s="85">
        <v>45095.0</v>
      </c>
      <c r="E3566" s="86">
        <v>25.99</v>
      </c>
      <c r="F3566" s="87">
        <v>34.43</v>
      </c>
      <c r="G3566" s="88">
        <f t="shared" si="1"/>
        <v>8.44</v>
      </c>
      <c r="H3566" s="89">
        <f t="shared" si="10"/>
        <v>0.2451350566</v>
      </c>
      <c r="I3566" s="78" t="s">
        <v>4283</v>
      </c>
      <c r="J3566" s="78" t="s">
        <v>69</v>
      </c>
      <c r="K3566" s="58">
        <f t="shared" si="3"/>
        <v>2</v>
      </c>
      <c r="L3566" s="91" t="str">
        <f t="shared" si="8"/>
        <v>Sun</v>
      </c>
      <c r="M3566" s="78" t="str">
        <f>IFERROR(VLOOKUP(A3566, Entries!A:B,2,false),"")</f>
        <v>PlayStation</v>
      </c>
      <c r="N3566" s="23" t="str">
        <f>IFERROR(VLOOKUP(A3566, Entries!A:K,11,false),"")</f>
        <v/>
      </c>
    </row>
    <row r="3567">
      <c r="A3567" s="78" t="s">
        <v>4188</v>
      </c>
      <c r="B3567" s="78" t="s">
        <v>21</v>
      </c>
      <c r="C3567" s="85">
        <v>45093.0</v>
      </c>
      <c r="D3567" s="85">
        <v>45093.0</v>
      </c>
      <c r="E3567" s="86">
        <v>20.98</v>
      </c>
      <c r="F3567" s="87">
        <v>21.26</v>
      </c>
      <c r="G3567" s="88">
        <f t="shared" si="1"/>
        <v>0.28</v>
      </c>
      <c r="H3567" s="89">
        <f t="shared" si="10"/>
        <v>0.01317027281</v>
      </c>
      <c r="I3567" s="78" t="s">
        <v>4284</v>
      </c>
      <c r="J3567" s="78" t="s">
        <v>69</v>
      </c>
      <c r="K3567" s="58">
        <f t="shared" si="3"/>
        <v>0</v>
      </c>
      <c r="L3567" s="91" t="str">
        <f t="shared" si="8"/>
        <v>Fri</v>
      </c>
      <c r="M3567" s="78" t="str">
        <f>IFERROR(VLOOKUP(A3567, Entries!A:B,2,false),"")</f>
        <v>PlayStation</v>
      </c>
      <c r="N3567" s="23" t="str">
        <f>IFERROR(VLOOKUP(A3567, Entries!A:K,11,false),"")</f>
        <v/>
      </c>
    </row>
    <row r="3568">
      <c r="A3568" s="78" t="s">
        <v>4285</v>
      </c>
      <c r="B3568" s="78" t="s">
        <v>27</v>
      </c>
      <c r="C3568" s="85">
        <v>45093.0</v>
      </c>
      <c r="D3568" s="85">
        <v>45093.0</v>
      </c>
      <c r="E3568" s="86">
        <v>25.78</v>
      </c>
      <c r="F3568" s="87">
        <v>34.01</v>
      </c>
      <c r="G3568" s="88">
        <f t="shared" si="1"/>
        <v>8.23</v>
      </c>
      <c r="H3568" s="89">
        <f t="shared" si="10"/>
        <v>0.2419876507</v>
      </c>
      <c r="I3568" s="78" t="s">
        <v>561</v>
      </c>
      <c r="J3568" s="78" t="s">
        <v>69</v>
      </c>
      <c r="K3568" s="58">
        <f t="shared" si="3"/>
        <v>0</v>
      </c>
      <c r="L3568" s="91" t="str">
        <f t="shared" si="8"/>
        <v>Fri</v>
      </c>
      <c r="M3568" s="78" t="str">
        <f>IFERROR(VLOOKUP(A3568, Entries!A:B,2,false),"")</f>
        <v>BANDAI NAMCO</v>
      </c>
      <c r="N3568" s="23" t="str">
        <f>IFERROR(VLOOKUP(A3568, Entries!A:K,11,false),"")</f>
        <v/>
      </c>
    </row>
    <row r="3569">
      <c r="A3569" s="78" t="s">
        <v>4285</v>
      </c>
      <c r="B3569" s="78" t="s">
        <v>27</v>
      </c>
      <c r="C3569" s="85">
        <v>45093.0</v>
      </c>
      <c r="D3569" s="85">
        <v>45094.0</v>
      </c>
      <c r="E3569" s="86">
        <v>26.0</v>
      </c>
      <c r="F3569" s="87">
        <v>31.49</v>
      </c>
      <c r="G3569" s="88">
        <f t="shared" si="1"/>
        <v>5.49</v>
      </c>
      <c r="H3569" s="89">
        <f t="shared" si="10"/>
        <v>0.1743410607</v>
      </c>
      <c r="I3569" s="78" t="s">
        <v>4286</v>
      </c>
      <c r="J3569" s="78" t="s">
        <v>69</v>
      </c>
      <c r="K3569" s="58">
        <f t="shared" si="3"/>
        <v>1</v>
      </c>
      <c r="L3569" s="91" t="str">
        <f t="shared" si="8"/>
        <v>Sat</v>
      </c>
      <c r="M3569" s="78" t="str">
        <f>IFERROR(VLOOKUP(A3569, Entries!A:B,2,false),"")</f>
        <v>BANDAI NAMCO</v>
      </c>
      <c r="N3569" s="23" t="str">
        <f>IFERROR(VLOOKUP(A3569, Entries!A:K,11,false),"")</f>
        <v/>
      </c>
    </row>
    <row r="3570">
      <c r="A3570" s="78" t="s">
        <v>4285</v>
      </c>
      <c r="B3570" s="78" t="s">
        <v>27</v>
      </c>
      <c r="C3570" s="85">
        <v>45094.0</v>
      </c>
      <c r="D3570" s="85">
        <v>45094.0</v>
      </c>
      <c r="E3570" s="86">
        <v>26.0</v>
      </c>
      <c r="F3570" s="87">
        <v>31.49</v>
      </c>
      <c r="G3570" s="88">
        <f t="shared" si="1"/>
        <v>5.49</v>
      </c>
      <c r="H3570" s="89">
        <f t="shared" si="10"/>
        <v>0.1743410607</v>
      </c>
      <c r="I3570" s="78" t="s">
        <v>1170</v>
      </c>
      <c r="J3570" s="78" t="s">
        <v>69</v>
      </c>
      <c r="K3570" s="58">
        <f t="shared" si="3"/>
        <v>0</v>
      </c>
      <c r="L3570" s="91" t="str">
        <f t="shared" si="8"/>
        <v>Sat</v>
      </c>
      <c r="M3570" s="78" t="str">
        <f>IFERROR(VLOOKUP(A3570, Entries!A:B,2,false),"")</f>
        <v>BANDAI NAMCO</v>
      </c>
      <c r="N3570" s="23" t="str">
        <f>IFERROR(VLOOKUP(A3570, Entries!A:K,11,false),"")</f>
        <v/>
      </c>
    </row>
    <row r="3571">
      <c r="A3571" s="78" t="s">
        <v>3309</v>
      </c>
      <c r="B3571" s="78" t="s">
        <v>27</v>
      </c>
      <c r="C3571" s="85">
        <v>45094.0</v>
      </c>
      <c r="D3571" s="85">
        <v>45095.0</v>
      </c>
      <c r="E3571" s="86">
        <v>3.89</v>
      </c>
      <c r="F3571" s="87">
        <v>4.33</v>
      </c>
      <c r="G3571" s="88">
        <f t="shared" si="1"/>
        <v>0.44</v>
      </c>
      <c r="H3571" s="89">
        <f t="shared" si="10"/>
        <v>0.1016166282</v>
      </c>
      <c r="I3571" s="78" t="s">
        <v>4287</v>
      </c>
      <c r="J3571" s="78" t="s">
        <v>69</v>
      </c>
      <c r="K3571" s="58">
        <f t="shared" si="3"/>
        <v>1</v>
      </c>
      <c r="L3571" s="91" t="str">
        <f t="shared" si="8"/>
        <v>Sun</v>
      </c>
      <c r="M3571" s="78" t="str">
        <f>IFERROR(VLOOKUP(A3571, Entries!A:B,2,false),"")</f>
        <v>Digixart</v>
      </c>
      <c r="N3571" s="23" t="str">
        <f>IFERROR(VLOOKUP(A3571, Entries!A:K,11,false),"")</f>
        <v/>
      </c>
    </row>
    <row r="3572">
      <c r="A3572" s="78" t="s">
        <v>4285</v>
      </c>
      <c r="B3572" s="78" t="s">
        <v>27</v>
      </c>
      <c r="C3572" s="85">
        <v>45094.0</v>
      </c>
      <c r="D3572" s="85">
        <v>45094.0</v>
      </c>
      <c r="E3572" s="86">
        <v>26.0</v>
      </c>
      <c r="F3572" s="87">
        <v>31.49</v>
      </c>
      <c r="G3572" s="88">
        <f t="shared" si="1"/>
        <v>5.49</v>
      </c>
      <c r="H3572" s="89">
        <f t="shared" si="10"/>
        <v>0.1743410607</v>
      </c>
      <c r="I3572" s="78" t="s">
        <v>4288</v>
      </c>
      <c r="J3572" s="78" t="s">
        <v>69</v>
      </c>
      <c r="K3572" s="58">
        <f t="shared" si="3"/>
        <v>0</v>
      </c>
      <c r="L3572" s="91" t="str">
        <f t="shared" si="8"/>
        <v>Sat</v>
      </c>
      <c r="M3572" s="78" t="str">
        <f>IFERROR(VLOOKUP(A3572, Entries!A:B,2,false),"")</f>
        <v>BANDAI NAMCO</v>
      </c>
      <c r="N3572" s="23" t="str">
        <f>IFERROR(VLOOKUP(A3572, Entries!A:K,11,false),"")</f>
        <v/>
      </c>
    </row>
    <row r="3573">
      <c r="A3573" s="78" t="s">
        <v>4285</v>
      </c>
      <c r="B3573" s="78" t="s">
        <v>27</v>
      </c>
      <c r="C3573" s="85">
        <v>45094.0</v>
      </c>
      <c r="D3573" s="85">
        <v>45094.0</v>
      </c>
      <c r="E3573" s="86">
        <v>26.0</v>
      </c>
      <c r="F3573" s="87">
        <v>31.49</v>
      </c>
      <c r="G3573" s="88">
        <f t="shared" si="1"/>
        <v>5.49</v>
      </c>
      <c r="H3573" s="89">
        <f t="shared" si="10"/>
        <v>0.1743410607</v>
      </c>
      <c r="I3573" s="78" t="s">
        <v>4289</v>
      </c>
      <c r="J3573" s="78" t="s">
        <v>69</v>
      </c>
      <c r="K3573" s="58">
        <f t="shared" si="3"/>
        <v>0</v>
      </c>
      <c r="L3573" s="91" t="str">
        <f t="shared" si="8"/>
        <v>Sat</v>
      </c>
      <c r="M3573" s="78" t="str">
        <f>IFERROR(VLOOKUP(A3573, Entries!A:B,2,false),"")</f>
        <v>BANDAI NAMCO</v>
      </c>
      <c r="N3573" s="23" t="str">
        <f>IFERROR(VLOOKUP(A3573, Entries!A:K,11,false),"")</f>
        <v/>
      </c>
    </row>
    <row r="3574">
      <c r="A3574" s="78" t="s">
        <v>4285</v>
      </c>
      <c r="B3574" s="78" t="s">
        <v>27</v>
      </c>
      <c r="C3574" s="85">
        <v>45094.0</v>
      </c>
      <c r="D3574" s="85">
        <v>45094.0</v>
      </c>
      <c r="E3574" s="86">
        <v>26.0</v>
      </c>
      <c r="F3574" s="87">
        <v>31.49</v>
      </c>
      <c r="G3574" s="88">
        <f t="shared" si="1"/>
        <v>5.49</v>
      </c>
      <c r="H3574" s="89">
        <f t="shared" si="10"/>
        <v>0.1743410607</v>
      </c>
      <c r="I3574" s="78" t="s">
        <v>4290</v>
      </c>
      <c r="J3574" s="78" t="s">
        <v>69</v>
      </c>
      <c r="K3574" s="58">
        <f t="shared" si="3"/>
        <v>0</v>
      </c>
      <c r="L3574" s="91" t="str">
        <f t="shared" si="8"/>
        <v>Sat</v>
      </c>
      <c r="M3574" s="78" t="str">
        <f>IFERROR(VLOOKUP(A3574, Entries!A:B,2,false),"")</f>
        <v>BANDAI NAMCO</v>
      </c>
      <c r="N3574" s="23" t="str">
        <f>IFERROR(VLOOKUP(A3574, Entries!A:K,11,false),"")</f>
        <v/>
      </c>
    </row>
    <row r="3575">
      <c r="A3575" s="78" t="s">
        <v>4285</v>
      </c>
      <c r="B3575" s="78" t="s">
        <v>27</v>
      </c>
      <c r="C3575" s="85">
        <v>45094.0</v>
      </c>
      <c r="D3575" s="85">
        <v>45094.0</v>
      </c>
      <c r="E3575" s="86">
        <v>26.0</v>
      </c>
      <c r="F3575" s="87">
        <v>31.49</v>
      </c>
      <c r="G3575" s="88">
        <f t="shared" si="1"/>
        <v>5.49</v>
      </c>
      <c r="H3575" s="89">
        <f t="shared" si="10"/>
        <v>0.1743410607</v>
      </c>
      <c r="I3575" s="78" t="s">
        <v>4291</v>
      </c>
      <c r="J3575" s="78" t="s">
        <v>69</v>
      </c>
      <c r="K3575" s="58">
        <f t="shared" si="3"/>
        <v>0</v>
      </c>
      <c r="L3575" s="91" t="str">
        <f t="shared" si="8"/>
        <v>Sat</v>
      </c>
      <c r="M3575" s="78" t="str">
        <f>IFERROR(VLOOKUP(A3575, Entries!A:B,2,false),"")</f>
        <v>BANDAI NAMCO</v>
      </c>
      <c r="N3575" s="23" t="str">
        <f>IFERROR(VLOOKUP(A3575, Entries!A:K,11,false),"")</f>
        <v/>
      </c>
    </row>
    <row r="3576">
      <c r="A3576" s="78" t="s">
        <v>4285</v>
      </c>
      <c r="B3576" s="78" t="s">
        <v>27</v>
      </c>
      <c r="C3576" s="85">
        <v>45094.0</v>
      </c>
      <c r="D3576" s="85">
        <v>45094.0</v>
      </c>
      <c r="E3576" s="86">
        <v>26.0</v>
      </c>
      <c r="F3576" s="87">
        <v>31.49</v>
      </c>
      <c r="G3576" s="88">
        <f t="shared" si="1"/>
        <v>5.49</v>
      </c>
      <c r="H3576" s="89">
        <f t="shared" si="10"/>
        <v>0.1743410607</v>
      </c>
      <c r="I3576" s="78" t="s">
        <v>4292</v>
      </c>
      <c r="J3576" s="78" t="s">
        <v>69</v>
      </c>
      <c r="K3576" s="58">
        <f t="shared" si="3"/>
        <v>0</v>
      </c>
      <c r="L3576" s="91" t="str">
        <f t="shared" si="8"/>
        <v>Sat</v>
      </c>
      <c r="M3576" s="78" t="str">
        <f>IFERROR(VLOOKUP(A3576, Entries!A:B,2,false),"")</f>
        <v>BANDAI NAMCO</v>
      </c>
      <c r="N3576" s="23" t="str">
        <f>IFERROR(VLOOKUP(A3576, Entries!A:K,11,false),"")</f>
        <v/>
      </c>
    </row>
    <row r="3577">
      <c r="A3577" s="78" t="s">
        <v>4285</v>
      </c>
      <c r="B3577" s="78" t="s">
        <v>27</v>
      </c>
      <c r="C3577" s="85">
        <v>45094.0</v>
      </c>
      <c r="D3577" s="85">
        <v>45094.0</v>
      </c>
      <c r="E3577" s="86">
        <v>26.0</v>
      </c>
      <c r="F3577" s="87">
        <v>31.49</v>
      </c>
      <c r="G3577" s="88">
        <f t="shared" si="1"/>
        <v>5.49</v>
      </c>
      <c r="H3577" s="89">
        <f t="shared" si="10"/>
        <v>0.1743410607</v>
      </c>
      <c r="I3577" s="78" t="s">
        <v>4293</v>
      </c>
      <c r="J3577" s="78" t="s">
        <v>69</v>
      </c>
      <c r="K3577" s="58">
        <f t="shared" si="3"/>
        <v>0</v>
      </c>
      <c r="L3577" s="91" t="str">
        <f t="shared" si="8"/>
        <v>Sat</v>
      </c>
      <c r="M3577" s="78" t="str">
        <f>IFERROR(VLOOKUP(A3577, Entries!A:B,2,false),"")</f>
        <v>BANDAI NAMCO</v>
      </c>
      <c r="N3577" s="23" t="str">
        <f>IFERROR(VLOOKUP(A3577, Entries!A:K,11,false),"")</f>
        <v/>
      </c>
    </row>
    <row r="3578">
      <c r="A3578" s="78" t="s">
        <v>4285</v>
      </c>
      <c r="B3578" s="78" t="s">
        <v>27</v>
      </c>
      <c r="C3578" s="85">
        <v>45094.0</v>
      </c>
      <c r="D3578" s="85">
        <v>45094.0</v>
      </c>
      <c r="E3578" s="86">
        <v>26.0</v>
      </c>
      <c r="F3578" s="87">
        <v>31.49</v>
      </c>
      <c r="G3578" s="88">
        <f t="shared" si="1"/>
        <v>5.49</v>
      </c>
      <c r="H3578" s="89">
        <f t="shared" si="10"/>
        <v>0.1743410607</v>
      </c>
      <c r="I3578" s="78" t="s">
        <v>4294</v>
      </c>
      <c r="J3578" s="78" t="s">
        <v>69</v>
      </c>
      <c r="K3578" s="58">
        <f t="shared" si="3"/>
        <v>0</v>
      </c>
      <c r="L3578" s="91" t="str">
        <f t="shared" si="8"/>
        <v>Sat</v>
      </c>
      <c r="M3578" s="78" t="str">
        <f>IFERROR(VLOOKUP(A3578, Entries!A:B,2,false),"")</f>
        <v>BANDAI NAMCO</v>
      </c>
      <c r="N3578" s="23" t="str">
        <f>IFERROR(VLOOKUP(A3578, Entries!A:K,11,false),"")</f>
        <v/>
      </c>
    </row>
    <row r="3579">
      <c r="A3579" s="78" t="s">
        <v>1806</v>
      </c>
      <c r="B3579" s="78" t="s">
        <v>27</v>
      </c>
      <c r="C3579" s="85">
        <v>45094.0</v>
      </c>
      <c r="D3579" s="85">
        <v>45126.0</v>
      </c>
      <c r="E3579" s="86">
        <v>7.09</v>
      </c>
      <c r="F3579" s="87">
        <v>8.73</v>
      </c>
      <c r="G3579" s="88">
        <f t="shared" si="1"/>
        <v>1.64</v>
      </c>
      <c r="H3579" s="89">
        <f t="shared" si="10"/>
        <v>0.1878579611</v>
      </c>
      <c r="I3579" s="78" t="s">
        <v>4295</v>
      </c>
      <c r="J3579" s="78" t="s">
        <v>69</v>
      </c>
      <c r="K3579" s="58">
        <f t="shared" si="3"/>
        <v>32</v>
      </c>
      <c r="L3579" s="91" t="str">
        <f t="shared" si="8"/>
        <v>Wed</v>
      </c>
      <c r="M3579" s="78" t="str">
        <f>IFERROR(VLOOKUP(A3579, Entries!A:B,2,false),"")</f>
        <v>Daedalic Entertainment</v>
      </c>
      <c r="N3579" s="23" t="str">
        <f>IFERROR(VLOOKUP(A3579, Entries!A:K,11,false),"")</f>
        <v/>
      </c>
    </row>
    <row r="3580">
      <c r="A3580" s="78" t="s">
        <v>4100</v>
      </c>
      <c r="B3580" s="78" t="s">
        <v>27</v>
      </c>
      <c r="C3580" s="85">
        <v>45094.0</v>
      </c>
      <c r="D3580" s="25"/>
      <c r="E3580" s="86">
        <v>9.39</v>
      </c>
      <c r="F3580" s="88"/>
      <c r="G3580" s="88">
        <f t="shared" si="1"/>
        <v>-9.39</v>
      </c>
      <c r="H3580" s="89" t="str">
        <f t="shared" si="10"/>
        <v/>
      </c>
      <c r="I3580" s="103" t="s">
        <v>4296</v>
      </c>
      <c r="J3580" s="78" t="s">
        <v>1129</v>
      </c>
      <c r="K3580" s="58" t="str">
        <f t="shared" si="3"/>
        <v/>
      </c>
      <c r="L3580" s="91" t="str">
        <f t="shared" si="8"/>
        <v/>
      </c>
      <c r="M3580" s="78" t="str">
        <f>IFERROR(VLOOKUP(A3580, Entries!A:B,2,false),"")</f>
        <v>Nacon</v>
      </c>
      <c r="N3580" s="23" t="str">
        <f>IFERROR(VLOOKUP(A3580, Entries!A:K,11,false),"")</f>
        <v/>
      </c>
      <c r="O3580" s="23" t="b">
        <f>IFERROR(VLOOKUP(A3580, Entries!A:I,8,false),"")</f>
        <v>0</v>
      </c>
    </row>
    <row r="3581">
      <c r="A3581" s="78" t="s">
        <v>4285</v>
      </c>
      <c r="B3581" s="78" t="s">
        <v>27</v>
      </c>
      <c r="C3581" s="85">
        <v>45094.0</v>
      </c>
      <c r="D3581" s="85">
        <v>45094.0</v>
      </c>
      <c r="E3581" s="86">
        <v>26.0</v>
      </c>
      <c r="F3581" s="87">
        <v>31.49</v>
      </c>
      <c r="G3581" s="88">
        <f t="shared" si="1"/>
        <v>5.49</v>
      </c>
      <c r="H3581" s="89">
        <f t="shared" si="10"/>
        <v>0.1743410607</v>
      </c>
      <c r="I3581" s="78" t="s">
        <v>4297</v>
      </c>
      <c r="J3581" s="78" t="s">
        <v>69</v>
      </c>
      <c r="K3581" s="58">
        <f t="shared" si="3"/>
        <v>0</v>
      </c>
      <c r="L3581" s="91" t="str">
        <f t="shared" si="8"/>
        <v>Sat</v>
      </c>
      <c r="M3581" s="78" t="str">
        <f>IFERROR(VLOOKUP(A3581, Entries!A:B,2,false),"")</f>
        <v>BANDAI NAMCO</v>
      </c>
      <c r="N3581" s="23" t="str">
        <f>IFERROR(VLOOKUP(A3581, Entries!A:K,11,false),"")</f>
        <v/>
      </c>
    </row>
    <row r="3582">
      <c r="A3582" s="78" t="s">
        <v>4285</v>
      </c>
      <c r="B3582" s="78" t="s">
        <v>27</v>
      </c>
      <c r="C3582" s="85">
        <v>45094.0</v>
      </c>
      <c r="D3582" s="85">
        <v>45094.0</v>
      </c>
      <c r="E3582" s="86">
        <v>26.0</v>
      </c>
      <c r="F3582" s="87">
        <v>31.49</v>
      </c>
      <c r="G3582" s="88">
        <f t="shared" si="1"/>
        <v>5.49</v>
      </c>
      <c r="H3582" s="89">
        <f t="shared" si="10"/>
        <v>0.1743410607</v>
      </c>
      <c r="I3582" s="78" t="s">
        <v>4298</v>
      </c>
      <c r="J3582" s="78" t="s">
        <v>69</v>
      </c>
      <c r="K3582" s="58">
        <f t="shared" si="3"/>
        <v>0</v>
      </c>
      <c r="L3582" s="91" t="str">
        <f t="shared" si="8"/>
        <v>Sat</v>
      </c>
      <c r="M3582" s="78" t="str">
        <f>IFERROR(VLOOKUP(A3582, Entries!A:B,2,false),"")</f>
        <v>BANDAI NAMCO</v>
      </c>
      <c r="N3582" s="23" t="str">
        <f>IFERROR(VLOOKUP(A3582, Entries!A:K,11,false),"")</f>
        <v/>
      </c>
    </row>
    <row r="3583">
      <c r="A3583" s="78" t="s">
        <v>4285</v>
      </c>
      <c r="B3583" s="78" t="s">
        <v>27</v>
      </c>
      <c r="C3583" s="85">
        <v>45094.0</v>
      </c>
      <c r="D3583" s="85">
        <v>45094.0</v>
      </c>
      <c r="E3583" s="86">
        <v>26.0</v>
      </c>
      <c r="F3583" s="87">
        <v>31.49</v>
      </c>
      <c r="G3583" s="88">
        <f t="shared" si="1"/>
        <v>5.49</v>
      </c>
      <c r="H3583" s="89">
        <f t="shared" si="10"/>
        <v>0.1743410607</v>
      </c>
      <c r="I3583" s="78" t="s">
        <v>4299</v>
      </c>
      <c r="J3583" s="78" t="s">
        <v>69</v>
      </c>
      <c r="K3583" s="58">
        <f t="shared" si="3"/>
        <v>0</v>
      </c>
      <c r="L3583" s="91" t="str">
        <f t="shared" si="8"/>
        <v>Sat</v>
      </c>
      <c r="M3583" s="78" t="str">
        <f>IFERROR(VLOOKUP(A3583, Entries!A:B,2,false),"")</f>
        <v>BANDAI NAMCO</v>
      </c>
      <c r="N3583" s="23" t="str">
        <f>IFERROR(VLOOKUP(A3583, Entries!A:K,11,false),"")</f>
        <v/>
      </c>
    </row>
    <row r="3584">
      <c r="A3584" s="78" t="s">
        <v>4285</v>
      </c>
      <c r="B3584" s="78" t="s">
        <v>27</v>
      </c>
      <c r="C3584" s="85">
        <v>45094.0</v>
      </c>
      <c r="D3584" s="85">
        <v>45094.0</v>
      </c>
      <c r="E3584" s="86">
        <v>26.0</v>
      </c>
      <c r="F3584" s="87">
        <v>31.49</v>
      </c>
      <c r="G3584" s="88">
        <f t="shared" si="1"/>
        <v>5.49</v>
      </c>
      <c r="H3584" s="89">
        <f t="shared" si="10"/>
        <v>0.1743410607</v>
      </c>
      <c r="I3584" s="78" t="s">
        <v>4300</v>
      </c>
      <c r="J3584" s="78" t="s">
        <v>69</v>
      </c>
      <c r="K3584" s="58">
        <f t="shared" si="3"/>
        <v>0</v>
      </c>
      <c r="L3584" s="91" t="str">
        <f t="shared" si="8"/>
        <v>Sat</v>
      </c>
      <c r="M3584" s="78" t="str">
        <f>IFERROR(VLOOKUP(A3584, Entries!A:B,2,false),"")</f>
        <v>BANDAI NAMCO</v>
      </c>
      <c r="N3584" s="23" t="str">
        <f>IFERROR(VLOOKUP(A3584, Entries!A:K,11,false),"")</f>
        <v/>
      </c>
    </row>
    <row r="3585">
      <c r="A3585" s="78" t="s">
        <v>4285</v>
      </c>
      <c r="B3585" s="78" t="s">
        <v>27</v>
      </c>
      <c r="C3585" s="85">
        <v>45094.0</v>
      </c>
      <c r="D3585" s="85">
        <v>45094.0</v>
      </c>
      <c r="E3585" s="86">
        <v>26.0</v>
      </c>
      <c r="F3585" s="87">
        <v>31.49</v>
      </c>
      <c r="G3585" s="88">
        <f t="shared" si="1"/>
        <v>5.49</v>
      </c>
      <c r="H3585" s="89">
        <f t="shared" si="10"/>
        <v>0.1743410607</v>
      </c>
      <c r="I3585" s="78" t="s">
        <v>4301</v>
      </c>
      <c r="J3585" s="78" t="s">
        <v>69</v>
      </c>
      <c r="K3585" s="58">
        <f t="shared" si="3"/>
        <v>0</v>
      </c>
      <c r="L3585" s="91" t="str">
        <f t="shared" si="8"/>
        <v>Sat</v>
      </c>
      <c r="M3585" s="78" t="str">
        <f>IFERROR(VLOOKUP(A3585, Entries!A:B,2,false),"")</f>
        <v>BANDAI NAMCO</v>
      </c>
      <c r="N3585" s="23" t="str">
        <f>IFERROR(VLOOKUP(A3585, Entries!A:K,11,false),"")</f>
        <v/>
      </c>
    </row>
    <row r="3586">
      <c r="A3586" s="78" t="s">
        <v>4285</v>
      </c>
      <c r="B3586" s="78" t="s">
        <v>27</v>
      </c>
      <c r="C3586" s="85">
        <v>45094.0</v>
      </c>
      <c r="D3586" s="85">
        <v>45094.0</v>
      </c>
      <c r="E3586" s="86">
        <v>26.54</v>
      </c>
      <c r="F3586" s="87">
        <v>31.49</v>
      </c>
      <c r="G3586" s="88">
        <f t="shared" si="1"/>
        <v>4.95</v>
      </c>
      <c r="H3586" s="89">
        <f t="shared" si="10"/>
        <v>0.1571927596</v>
      </c>
      <c r="I3586" s="78" t="s">
        <v>4302</v>
      </c>
      <c r="J3586" s="78" t="s">
        <v>69</v>
      </c>
      <c r="K3586" s="58">
        <f t="shared" si="3"/>
        <v>0</v>
      </c>
      <c r="L3586" s="91" t="str">
        <f t="shared" si="8"/>
        <v>Sat</v>
      </c>
      <c r="M3586" s="78" t="str">
        <f>IFERROR(VLOOKUP(A3586, Entries!A:B,2,false),"")</f>
        <v>BANDAI NAMCO</v>
      </c>
      <c r="N3586" s="23" t="str">
        <f>IFERROR(VLOOKUP(A3586, Entries!A:K,11,false),"")</f>
        <v/>
      </c>
    </row>
    <row r="3587">
      <c r="A3587" s="78" t="s">
        <v>4252</v>
      </c>
      <c r="B3587" s="78" t="s">
        <v>27</v>
      </c>
      <c r="C3587" s="85">
        <v>45094.0</v>
      </c>
      <c r="D3587" s="85">
        <v>45101.0</v>
      </c>
      <c r="E3587" s="86">
        <v>25.99</v>
      </c>
      <c r="F3587" s="87">
        <v>32.67</v>
      </c>
      <c r="G3587" s="88">
        <f t="shared" si="1"/>
        <v>6.68</v>
      </c>
      <c r="H3587" s="89">
        <f t="shared" si="10"/>
        <v>0.2044689317</v>
      </c>
      <c r="I3587" s="78" t="s">
        <v>4303</v>
      </c>
      <c r="J3587" s="78" t="s">
        <v>69</v>
      </c>
      <c r="K3587" s="58">
        <f t="shared" si="3"/>
        <v>7</v>
      </c>
      <c r="L3587" s="91" t="str">
        <f t="shared" si="8"/>
        <v>Sat</v>
      </c>
      <c r="M3587" s="78" t="str">
        <f>IFERROR(VLOOKUP(A3587, Entries!A:B,2,false),"")</f>
        <v>PlayStation</v>
      </c>
      <c r="N3587" s="23" t="str">
        <f>IFERROR(VLOOKUP(A3587, Entries!A:K,11,false),"")</f>
        <v/>
      </c>
    </row>
    <row r="3588">
      <c r="A3588" s="78" t="s">
        <v>4285</v>
      </c>
      <c r="B3588" s="78" t="s">
        <v>27</v>
      </c>
      <c r="C3588" s="85">
        <v>45094.0</v>
      </c>
      <c r="D3588" s="85">
        <v>45094.0</v>
      </c>
      <c r="E3588" s="86">
        <v>26.54</v>
      </c>
      <c r="F3588" s="87">
        <v>31.5</v>
      </c>
      <c r="G3588" s="88">
        <f t="shared" si="1"/>
        <v>4.96</v>
      </c>
      <c r="H3588" s="89">
        <f t="shared" si="10"/>
        <v>0.1574603175</v>
      </c>
      <c r="I3588" s="78" t="s">
        <v>1170</v>
      </c>
      <c r="J3588" s="78" t="s">
        <v>69</v>
      </c>
      <c r="K3588" s="58">
        <f t="shared" si="3"/>
        <v>0</v>
      </c>
      <c r="L3588" s="91" t="str">
        <f t="shared" si="8"/>
        <v>Sat</v>
      </c>
      <c r="M3588" s="78" t="str">
        <f>IFERROR(VLOOKUP(A3588, Entries!A:B,2,false),"")</f>
        <v>BANDAI NAMCO</v>
      </c>
      <c r="N3588" s="23" t="str">
        <f>IFERROR(VLOOKUP(A3588, Entries!A:K,11,false),"")</f>
        <v/>
      </c>
    </row>
    <row r="3589">
      <c r="A3589" s="78" t="s">
        <v>4285</v>
      </c>
      <c r="B3589" s="78" t="s">
        <v>27</v>
      </c>
      <c r="C3589" s="85">
        <v>45094.0</v>
      </c>
      <c r="D3589" s="85">
        <v>45095.0</v>
      </c>
      <c r="E3589" s="86">
        <v>26.54</v>
      </c>
      <c r="F3589" s="87">
        <v>31.5</v>
      </c>
      <c r="G3589" s="88">
        <f t="shared" si="1"/>
        <v>4.96</v>
      </c>
      <c r="H3589" s="89">
        <f t="shared" si="10"/>
        <v>0.1574603175</v>
      </c>
      <c r="I3589" s="78" t="s">
        <v>1171</v>
      </c>
      <c r="J3589" s="78" t="s">
        <v>69</v>
      </c>
      <c r="K3589" s="58">
        <f t="shared" si="3"/>
        <v>1</v>
      </c>
      <c r="L3589" s="91" t="str">
        <f t="shared" si="8"/>
        <v>Sun</v>
      </c>
      <c r="M3589" s="78" t="str">
        <f>IFERROR(VLOOKUP(A3589, Entries!A:B,2,false),"")</f>
        <v>BANDAI NAMCO</v>
      </c>
      <c r="N3589" s="23" t="str">
        <f>IFERROR(VLOOKUP(A3589, Entries!A:K,11,false),"")</f>
        <v/>
      </c>
    </row>
    <row r="3590">
      <c r="A3590" s="78" t="s">
        <v>4285</v>
      </c>
      <c r="B3590" s="78" t="s">
        <v>27</v>
      </c>
      <c r="C3590" s="85">
        <v>45095.0</v>
      </c>
      <c r="D3590" s="85">
        <v>45095.0</v>
      </c>
      <c r="E3590" s="86">
        <v>26.54</v>
      </c>
      <c r="F3590" s="87">
        <v>31.5</v>
      </c>
      <c r="G3590" s="88">
        <f t="shared" si="1"/>
        <v>4.96</v>
      </c>
      <c r="H3590" s="89">
        <f t="shared" si="10"/>
        <v>0.1574603175</v>
      </c>
      <c r="I3590" s="78" t="s">
        <v>1716</v>
      </c>
      <c r="J3590" s="78" t="s">
        <v>69</v>
      </c>
      <c r="K3590" s="58">
        <f t="shared" si="3"/>
        <v>0</v>
      </c>
      <c r="L3590" s="91" t="str">
        <f t="shared" si="8"/>
        <v>Sun</v>
      </c>
      <c r="M3590" s="78" t="str">
        <f>IFERROR(VLOOKUP(A3590, Entries!A:B,2,false),"")</f>
        <v>BANDAI NAMCO</v>
      </c>
      <c r="N3590" s="23" t="str">
        <f>IFERROR(VLOOKUP(A3590, Entries!A:K,11,false),"")</f>
        <v/>
      </c>
    </row>
    <row r="3591">
      <c r="A3591" s="78" t="s">
        <v>4282</v>
      </c>
      <c r="B3591" s="78" t="s">
        <v>27</v>
      </c>
      <c r="C3591" s="85">
        <v>45095.0</v>
      </c>
      <c r="D3591" s="85">
        <v>45232.0</v>
      </c>
      <c r="E3591" s="86">
        <v>25.99</v>
      </c>
      <c r="F3591" s="87">
        <v>33.45</v>
      </c>
      <c r="G3591" s="88">
        <f t="shared" si="1"/>
        <v>7.46</v>
      </c>
      <c r="H3591" s="89">
        <f t="shared" si="10"/>
        <v>0.223019432</v>
      </c>
      <c r="I3591" s="78" t="s">
        <v>4304</v>
      </c>
      <c r="J3591" s="78" t="s">
        <v>69</v>
      </c>
      <c r="K3591" s="58">
        <f t="shared" si="3"/>
        <v>137</v>
      </c>
      <c r="L3591" s="91" t="str">
        <f t="shared" si="8"/>
        <v>Thu</v>
      </c>
      <c r="M3591" s="78" t="str">
        <f>IFERROR(VLOOKUP(A3591, Entries!A:B,2,false),"")</f>
        <v>PlayStation</v>
      </c>
      <c r="N3591" s="23" t="str">
        <f>IFERROR(VLOOKUP(A3591, Entries!A:K,11,false),"")</f>
        <v/>
      </c>
      <c r="O3591" s="23" t="b">
        <f>IFERROR(VLOOKUP(A3591, Entries!A:I,8,false),"")</f>
        <v>0</v>
      </c>
    </row>
    <row r="3592">
      <c r="A3592" s="78" t="s">
        <v>4285</v>
      </c>
      <c r="B3592" s="78" t="s">
        <v>27</v>
      </c>
      <c r="C3592" s="85">
        <v>45095.0</v>
      </c>
      <c r="D3592" s="85">
        <v>45095.0</v>
      </c>
      <c r="E3592" s="86">
        <v>26.54</v>
      </c>
      <c r="F3592" s="87">
        <v>31.5</v>
      </c>
      <c r="G3592" s="88">
        <f t="shared" si="1"/>
        <v>4.96</v>
      </c>
      <c r="H3592" s="89">
        <f t="shared" si="10"/>
        <v>0.1574603175</v>
      </c>
      <c r="I3592" s="78" t="s">
        <v>1717</v>
      </c>
      <c r="J3592" s="78" t="s">
        <v>69</v>
      </c>
      <c r="K3592" s="58">
        <f t="shared" si="3"/>
        <v>0</v>
      </c>
      <c r="L3592" s="91" t="str">
        <f t="shared" si="8"/>
        <v>Sun</v>
      </c>
      <c r="M3592" s="78" t="str">
        <f>IFERROR(VLOOKUP(A3592, Entries!A:B,2,false),"")</f>
        <v>BANDAI NAMCO</v>
      </c>
      <c r="N3592" s="23" t="str">
        <f>IFERROR(VLOOKUP(A3592, Entries!A:K,11,false),"")</f>
        <v/>
      </c>
    </row>
    <row r="3593">
      <c r="A3593" s="78" t="s">
        <v>4285</v>
      </c>
      <c r="B3593" s="78" t="s">
        <v>27</v>
      </c>
      <c r="C3593" s="85">
        <v>45095.0</v>
      </c>
      <c r="D3593" s="85">
        <v>45095.0</v>
      </c>
      <c r="E3593" s="86">
        <v>26.54</v>
      </c>
      <c r="F3593" s="87">
        <v>31.5</v>
      </c>
      <c r="G3593" s="88">
        <f t="shared" si="1"/>
        <v>4.96</v>
      </c>
      <c r="H3593" s="89">
        <f t="shared" si="10"/>
        <v>0.1574603175</v>
      </c>
      <c r="I3593" s="78" t="s">
        <v>4305</v>
      </c>
      <c r="J3593" s="78" t="s">
        <v>69</v>
      </c>
      <c r="K3593" s="58">
        <f t="shared" si="3"/>
        <v>0</v>
      </c>
      <c r="L3593" s="91" t="str">
        <f t="shared" si="8"/>
        <v>Sun</v>
      </c>
      <c r="M3593" s="78" t="str">
        <f>IFERROR(VLOOKUP(A3593, Entries!A:B,2,false),"")</f>
        <v>BANDAI NAMCO</v>
      </c>
      <c r="N3593" s="23" t="str">
        <f>IFERROR(VLOOKUP(A3593, Entries!A:K,11,false),"")</f>
        <v/>
      </c>
    </row>
    <row r="3594">
      <c r="A3594" s="78" t="s">
        <v>4285</v>
      </c>
      <c r="B3594" s="78" t="s">
        <v>27</v>
      </c>
      <c r="C3594" s="85">
        <v>45095.0</v>
      </c>
      <c r="D3594" s="85">
        <v>45095.0</v>
      </c>
      <c r="E3594" s="86">
        <v>26.54</v>
      </c>
      <c r="F3594" s="87">
        <v>31.5</v>
      </c>
      <c r="G3594" s="88">
        <f t="shared" si="1"/>
        <v>4.96</v>
      </c>
      <c r="H3594" s="89">
        <f t="shared" si="10"/>
        <v>0.1574603175</v>
      </c>
      <c r="I3594" s="78" t="s">
        <v>4306</v>
      </c>
      <c r="J3594" s="78" t="s">
        <v>69</v>
      </c>
      <c r="K3594" s="58">
        <f t="shared" si="3"/>
        <v>0</v>
      </c>
      <c r="L3594" s="91" t="str">
        <f t="shared" si="8"/>
        <v>Sun</v>
      </c>
      <c r="M3594" s="78" t="str">
        <f>IFERROR(VLOOKUP(A3594, Entries!A:B,2,false),"")</f>
        <v>BANDAI NAMCO</v>
      </c>
      <c r="N3594" s="23" t="str">
        <f>IFERROR(VLOOKUP(A3594, Entries!A:K,11,false),"")</f>
        <v/>
      </c>
    </row>
    <row r="3595">
      <c r="A3595" s="78" t="s">
        <v>4285</v>
      </c>
      <c r="B3595" s="78" t="s">
        <v>27</v>
      </c>
      <c r="C3595" s="85">
        <v>45095.0</v>
      </c>
      <c r="D3595" s="85">
        <v>45095.0</v>
      </c>
      <c r="E3595" s="86">
        <v>26.0</v>
      </c>
      <c r="F3595" s="87">
        <v>31.5</v>
      </c>
      <c r="G3595" s="88">
        <f t="shared" si="1"/>
        <v>5.5</v>
      </c>
      <c r="H3595" s="89">
        <f t="shared" si="10"/>
        <v>0.1746031746</v>
      </c>
      <c r="I3595" s="78" t="s">
        <v>4307</v>
      </c>
      <c r="J3595" s="78" t="s">
        <v>69</v>
      </c>
      <c r="K3595" s="58">
        <f t="shared" si="3"/>
        <v>0</v>
      </c>
      <c r="L3595" s="91" t="str">
        <f t="shared" si="8"/>
        <v>Sun</v>
      </c>
      <c r="M3595" s="78" t="str">
        <f>IFERROR(VLOOKUP(A3595, Entries!A:B,2,false),"")</f>
        <v>BANDAI NAMCO</v>
      </c>
      <c r="N3595" s="23" t="str">
        <f>IFERROR(VLOOKUP(A3595, Entries!A:K,11,false),"")</f>
        <v/>
      </c>
    </row>
    <row r="3596">
      <c r="A3596" s="78" t="s">
        <v>4285</v>
      </c>
      <c r="B3596" s="78" t="s">
        <v>27</v>
      </c>
      <c r="C3596" s="85">
        <v>45095.0</v>
      </c>
      <c r="D3596" s="85">
        <v>45095.0</v>
      </c>
      <c r="E3596" s="86">
        <v>26.0</v>
      </c>
      <c r="F3596" s="87">
        <v>31.5</v>
      </c>
      <c r="G3596" s="88">
        <f t="shared" si="1"/>
        <v>5.5</v>
      </c>
      <c r="H3596" s="89">
        <f t="shared" si="10"/>
        <v>0.1746031746</v>
      </c>
      <c r="I3596" s="78" t="s">
        <v>4308</v>
      </c>
      <c r="J3596" s="78" t="s">
        <v>69</v>
      </c>
      <c r="K3596" s="58">
        <f t="shared" si="3"/>
        <v>0</v>
      </c>
      <c r="L3596" s="91" t="str">
        <f t="shared" si="8"/>
        <v>Sun</v>
      </c>
      <c r="M3596" s="78" t="str">
        <f>IFERROR(VLOOKUP(A3596, Entries!A:B,2,false),"")</f>
        <v>BANDAI NAMCO</v>
      </c>
      <c r="N3596" s="23" t="str">
        <f>IFERROR(VLOOKUP(A3596, Entries!A:K,11,false),"")</f>
        <v/>
      </c>
    </row>
    <row r="3597">
      <c r="A3597" s="78" t="s">
        <v>4285</v>
      </c>
      <c r="B3597" s="78" t="s">
        <v>27</v>
      </c>
      <c r="C3597" s="85">
        <v>45095.0</v>
      </c>
      <c r="D3597" s="85">
        <v>45095.0</v>
      </c>
      <c r="E3597" s="86">
        <v>26.0</v>
      </c>
      <c r="F3597" s="87">
        <v>31.5</v>
      </c>
      <c r="G3597" s="88">
        <f t="shared" si="1"/>
        <v>5.5</v>
      </c>
      <c r="H3597" s="89">
        <f t="shared" si="10"/>
        <v>0.1746031746</v>
      </c>
      <c r="I3597" s="78" t="s">
        <v>4309</v>
      </c>
      <c r="J3597" s="78" t="s">
        <v>69</v>
      </c>
      <c r="K3597" s="58">
        <f t="shared" si="3"/>
        <v>0</v>
      </c>
      <c r="L3597" s="91" t="str">
        <f t="shared" si="8"/>
        <v>Sun</v>
      </c>
      <c r="M3597" s="78" t="str">
        <f>IFERROR(VLOOKUP(A3597, Entries!A:B,2,false),"")</f>
        <v>BANDAI NAMCO</v>
      </c>
      <c r="N3597" s="23" t="str">
        <f>IFERROR(VLOOKUP(A3597, Entries!A:K,11,false),"")</f>
        <v/>
      </c>
    </row>
    <row r="3598">
      <c r="A3598" s="78" t="s">
        <v>4285</v>
      </c>
      <c r="B3598" s="78" t="s">
        <v>27</v>
      </c>
      <c r="C3598" s="85">
        <v>45095.0</v>
      </c>
      <c r="D3598" s="85">
        <v>45095.0</v>
      </c>
      <c r="E3598" s="86">
        <v>26.0</v>
      </c>
      <c r="F3598" s="87">
        <v>31.5</v>
      </c>
      <c r="G3598" s="88">
        <f t="shared" si="1"/>
        <v>5.5</v>
      </c>
      <c r="H3598" s="89">
        <f t="shared" si="10"/>
        <v>0.1746031746</v>
      </c>
      <c r="I3598" s="78" t="s">
        <v>4310</v>
      </c>
      <c r="J3598" s="78" t="s">
        <v>69</v>
      </c>
      <c r="K3598" s="58">
        <f t="shared" si="3"/>
        <v>0</v>
      </c>
      <c r="L3598" s="91" t="str">
        <f t="shared" si="8"/>
        <v>Sun</v>
      </c>
      <c r="M3598" s="78" t="str">
        <f>IFERROR(VLOOKUP(A3598, Entries!A:B,2,false),"")</f>
        <v>BANDAI NAMCO</v>
      </c>
      <c r="N3598" s="23" t="str">
        <f>IFERROR(VLOOKUP(A3598, Entries!A:K,11,false),"")</f>
        <v/>
      </c>
    </row>
    <row r="3599">
      <c r="A3599" s="78" t="s">
        <v>4285</v>
      </c>
      <c r="B3599" s="78" t="s">
        <v>27</v>
      </c>
      <c r="C3599" s="85">
        <v>45095.0</v>
      </c>
      <c r="D3599" s="85">
        <v>45095.0</v>
      </c>
      <c r="E3599" s="86">
        <v>26.0</v>
      </c>
      <c r="F3599" s="87">
        <v>31.5</v>
      </c>
      <c r="G3599" s="88">
        <f t="shared" si="1"/>
        <v>5.5</v>
      </c>
      <c r="H3599" s="89">
        <f t="shared" si="10"/>
        <v>0.1746031746</v>
      </c>
      <c r="I3599" s="78" t="s">
        <v>4288</v>
      </c>
      <c r="J3599" s="78" t="s">
        <v>69</v>
      </c>
      <c r="K3599" s="58">
        <f t="shared" si="3"/>
        <v>0</v>
      </c>
      <c r="L3599" s="91" t="str">
        <f t="shared" si="8"/>
        <v>Sun</v>
      </c>
      <c r="M3599" s="78" t="str">
        <f>IFERROR(VLOOKUP(A3599, Entries!A:B,2,false),"")</f>
        <v>BANDAI NAMCO</v>
      </c>
      <c r="N3599" s="23" t="str">
        <f>IFERROR(VLOOKUP(A3599, Entries!A:K,11,false),"")</f>
        <v/>
      </c>
    </row>
    <row r="3600">
      <c r="A3600" s="78" t="s">
        <v>4285</v>
      </c>
      <c r="B3600" s="78" t="s">
        <v>27</v>
      </c>
      <c r="C3600" s="85">
        <v>45095.0</v>
      </c>
      <c r="D3600" s="85">
        <v>45095.0</v>
      </c>
      <c r="E3600" s="86">
        <v>26.0</v>
      </c>
      <c r="F3600" s="87">
        <v>31.5</v>
      </c>
      <c r="G3600" s="88">
        <f t="shared" si="1"/>
        <v>5.5</v>
      </c>
      <c r="H3600" s="89">
        <f t="shared" si="10"/>
        <v>0.1746031746</v>
      </c>
      <c r="I3600" s="78" t="s">
        <v>4311</v>
      </c>
      <c r="J3600" s="78" t="s">
        <v>69</v>
      </c>
      <c r="K3600" s="58">
        <f t="shared" si="3"/>
        <v>0</v>
      </c>
      <c r="L3600" s="91" t="str">
        <f t="shared" si="8"/>
        <v>Sun</v>
      </c>
      <c r="M3600" s="78" t="str">
        <f>IFERROR(VLOOKUP(A3600, Entries!A:B,2,false),"")</f>
        <v>BANDAI NAMCO</v>
      </c>
      <c r="N3600" s="23" t="str">
        <f>IFERROR(VLOOKUP(A3600, Entries!A:K,11,false),"")</f>
        <v/>
      </c>
    </row>
    <row r="3601">
      <c r="A3601" s="78" t="s">
        <v>4285</v>
      </c>
      <c r="B3601" s="78" t="s">
        <v>27</v>
      </c>
      <c r="C3601" s="85">
        <v>45095.0</v>
      </c>
      <c r="D3601" s="85">
        <v>45096.0</v>
      </c>
      <c r="E3601" s="86">
        <v>26.0</v>
      </c>
      <c r="F3601" s="87">
        <v>32.9</v>
      </c>
      <c r="G3601" s="88">
        <f t="shared" si="1"/>
        <v>6.9</v>
      </c>
      <c r="H3601" s="89">
        <f t="shared" si="10"/>
        <v>0.2097264438</v>
      </c>
      <c r="I3601" s="78" t="s">
        <v>4312</v>
      </c>
      <c r="J3601" s="78" t="s">
        <v>69</v>
      </c>
      <c r="K3601" s="58">
        <f t="shared" si="3"/>
        <v>1</v>
      </c>
      <c r="L3601" s="91" t="str">
        <f t="shared" si="8"/>
        <v>Mon</v>
      </c>
      <c r="M3601" s="78" t="str">
        <f>IFERROR(VLOOKUP(A3601, Entries!A:B,2,false),"")</f>
        <v>BANDAI NAMCO</v>
      </c>
      <c r="N3601" s="23" t="str">
        <f>IFERROR(VLOOKUP(A3601, Entries!A:K,11,false),"")</f>
        <v/>
      </c>
    </row>
    <row r="3602">
      <c r="A3602" s="78" t="s">
        <v>4285</v>
      </c>
      <c r="B3602" s="78" t="s">
        <v>27</v>
      </c>
      <c r="C3602" s="85">
        <v>45095.0</v>
      </c>
      <c r="D3602" s="85">
        <v>45096.0</v>
      </c>
      <c r="E3602" s="86">
        <v>26.0</v>
      </c>
      <c r="F3602" s="87">
        <v>32.9</v>
      </c>
      <c r="G3602" s="88">
        <f t="shared" si="1"/>
        <v>6.9</v>
      </c>
      <c r="H3602" s="89">
        <f t="shared" si="10"/>
        <v>0.2097264438</v>
      </c>
      <c r="I3602" s="78" t="s">
        <v>4313</v>
      </c>
      <c r="J3602" s="78" t="s">
        <v>69</v>
      </c>
      <c r="K3602" s="58">
        <f t="shared" si="3"/>
        <v>1</v>
      </c>
      <c r="L3602" s="91" t="str">
        <f t="shared" si="8"/>
        <v>Mon</v>
      </c>
      <c r="M3602" s="78" t="str">
        <f>IFERROR(VLOOKUP(A3602, Entries!A:B,2,false),"")</f>
        <v>BANDAI NAMCO</v>
      </c>
      <c r="N3602" s="23" t="str">
        <f>IFERROR(VLOOKUP(A3602, Entries!A:K,11,false),"")</f>
        <v/>
      </c>
    </row>
    <row r="3603">
      <c r="A3603" s="78" t="s">
        <v>3309</v>
      </c>
      <c r="B3603" s="78" t="s">
        <v>27</v>
      </c>
      <c r="C3603" s="85">
        <v>45100.0</v>
      </c>
      <c r="D3603" s="85">
        <v>45108.0</v>
      </c>
      <c r="E3603" s="86">
        <v>2.25</v>
      </c>
      <c r="F3603" s="87">
        <v>4.54</v>
      </c>
      <c r="G3603" s="88">
        <f t="shared" si="1"/>
        <v>2.29</v>
      </c>
      <c r="H3603" s="89">
        <f t="shared" si="10"/>
        <v>0.5044052863</v>
      </c>
      <c r="I3603" s="78" t="s">
        <v>4314</v>
      </c>
      <c r="J3603" s="78" t="s">
        <v>69</v>
      </c>
      <c r="K3603" s="58">
        <f t="shared" si="3"/>
        <v>8</v>
      </c>
      <c r="L3603" s="91" t="str">
        <f t="shared" si="8"/>
        <v>Sat</v>
      </c>
      <c r="M3603" s="78" t="str">
        <f>IFERROR(VLOOKUP(A3603, Entries!A:B,2,false),"")</f>
        <v>Digixart</v>
      </c>
      <c r="N3603" s="23" t="str">
        <f>IFERROR(VLOOKUP(A3603, Entries!A:K,11,false),"")</f>
        <v/>
      </c>
    </row>
    <row r="3604">
      <c r="A3604" s="78" t="s">
        <v>4285</v>
      </c>
      <c r="B3604" s="78" t="s">
        <v>27</v>
      </c>
      <c r="C3604" s="85">
        <v>45100.0</v>
      </c>
      <c r="D3604" s="85">
        <v>45103.0</v>
      </c>
      <c r="E3604" s="86">
        <v>26.54</v>
      </c>
      <c r="F3604" s="87">
        <v>31.49</v>
      </c>
      <c r="G3604" s="88">
        <f t="shared" si="1"/>
        <v>4.95</v>
      </c>
      <c r="H3604" s="89">
        <f t="shared" si="10"/>
        <v>0.1571927596</v>
      </c>
      <c r="I3604" s="78" t="s">
        <v>4289</v>
      </c>
      <c r="J3604" s="78" t="s">
        <v>69</v>
      </c>
      <c r="K3604" s="58">
        <f t="shared" si="3"/>
        <v>3</v>
      </c>
      <c r="L3604" s="91" t="str">
        <f t="shared" si="8"/>
        <v>Mon</v>
      </c>
      <c r="M3604" s="78" t="str">
        <f>IFERROR(VLOOKUP(A3604, Entries!A:B,2,false),"")</f>
        <v>BANDAI NAMCO</v>
      </c>
      <c r="N3604" s="23" t="str">
        <f>IFERROR(VLOOKUP(A3604, Entries!A:K,11,false),"")</f>
        <v/>
      </c>
    </row>
    <row r="3605">
      <c r="A3605" s="78" t="s">
        <v>4217</v>
      </c>
      <c r="B3605" s="78" t="s">
        <v>23</v>
      </c>
      <c r="C3605" s="85">
        <v>45100.0</v>
      </c>
      <c r="D3605" s="85">
        <v>45103.0</v>
      </c>
      <c r="E3605" s="86">
        <v>16.79</v>
      </c>
      <c r="F3605" s="87">
        <v>24.73</v>
      </c>
      <c r="G3605" s="88">
        <f t="shared" si="1"/>
        <v>7.94</v>
      </c>
      <c r="H3605" s="89">
        <f t="shared" si="10"/>
        <v>0.3210675293</v>
      </c>
      <c r="I3605" s="78" t="s">
        <v>4315</v>
      </c>
      <c r="J3605" s="78" t="s">
        <v>69</v>
      </c>
      <c r="K3605" s="58">
        <f t="shared" si="3"/>
        <v>3</v>
      </c>
      <c r="L3605" s="91" t="str">
        <f t="shared" si="8"/>
        <v>Mon</v>
      </c>
      <c r="M3605" s="78" t="str">
        <f>IFERROR(VLOOKUP(A3605, Entries!A:B,2,false),"")</f>
        <v>Studio Wildcard</v>
      </c>
      <c r="N3605" s="23" t="str">
        <f>IFERROR(VLOOKUP(A3605, Entries!A:K,11,false),"")</f>
        <v/>
      </c>
      <c r="P3605" s="78" t="s">
        <v>4316</v>
      </c>
    </row>
    <row r="3606">
      <c r="A3606" s="78" t="s">
        <v>4317</v>
      </c>
      <c r="B3606" s="78" t="s">
        <v>23</v>
      </c>
      <c r="C3606" s="85">
        <v>45100.0</v>
      </c>
      <c r="D3606" s="85">
        <v>45102.0</v>
      </c>
      <c r="E3606" s="86">
        <v>0.0</v>
      </c>
      <c r="F3606" s="87">
        <v>0.35</v>
      </c>
      <c r="G3606" s="88">
        <f t="shared" si="1"/>
        <v>0.35</v>
      </c>
      <c r="H3606" s="89">
        <f t="shared" si="10"/>
        <v>1</v>
      </c>
      <c r="I3606" s="78" t="s">
        <v>4318</v>
      </c>
      <c r="J3606" s="78" t="s">
        <v>69</v>
      </c>
      <c r="K3606" s="58">
        <f t="shared" si="3"/>
        <v>2</v>
      </c>
      <c r="L3606" s="91" t="str">
        <f t="shared" si="8"/>
        <v>Sun</v>
      </c>
      <c r="M3606" s="78" t="str">
        <f>IFERROR(VLOOKUP(A3606, Entries!A:B,2,false),"")</f>
        <v>Focus Home Interactive</v>
      </c>
      <c r="N3606" s="23" t="str">
        <f>IFERROR(VLOOKUP(A3606, Entries!A:K,11,false),"")</f>
        <v/>
      </c>
    </row>
    <row r="3607">
      <c r="A3607" s="78" t="s">
        <v>2395</v>
      </c>
      <c r="B3607" s="78" t="s">
        <v>19</v>
      </c>
      <c r="C3607" s="85">
        <v>45100.0</v>
      </c>
      <c r="D3607" s="85">
        <v>45126.0</v>
      </c>
      <c r="E3607" s="86">
        <v>7.99</v>
      </c>
      <c r="F3607" s="87">
        <v>12.72</v>
      </c>
      <c r="G3607" s="88">
        <f t="shared" si="1"/>
        <v>4.73</v>
      </c>
      <c r="H3607" s="89">
        <f t="shared" si="10"/>
        <v>0.3718553459</v>
      </c>
      <c r="I3607" s="78" t="s">
        <v>4319</v>
      </c>
      <c r="J3607" s="78" t="s">
        <v>69</v>
      </c>
      <c r="K3607" s="58">
        <f t="shared" si="3"/>
        <v>26</v>
      </c>
      <c r="L3607" s="91" t="str">
        <f t="shared" si="8"/>
        <v>Wed</v>
      </c>
      <c r="M3607" s="78" t="str">
        <f>IFERROR(VLOOKUP(A3607, Entries!A:B,2,false),"")</f>
        <v>Blue Brain Games</v>
      </c>
      <c r="N3607" s="23" t="str">
        <f>IFERROR(VLOOKUP(A3607, Entries!A:K,11,false),"")</f>
        <v/>
      </c>
    </row>
    <row r="3608">
      <c r="A3608" s="78" t="s">
        <v>1849</v>
      </c>
      <c r="B3608" s="78" t="s">
        <v>19</v>
      </c>
      <c r="C3608" s="85">
        <v>45100.0</v>
      </c>
      <c r="D3608" s="85">
        <v>45120.0</v>
      </c>
      <c r="E3608" s="86">
        <v>4.58</v>
      </c>
      <c r="F3608" s="87">
        <v>5.91</v>
      </c>
      <c r="G3608" s="88">
        <f t="shared" si="1"/>
        <v>1.33</v>
      </c>
      <c r="H3608" s="89">
        <f t="shared" si="10"/>
        <v>0.2250423012</v>
      </c>
      <c r="I3608" s="78" t="s">
        <v>4320</v>
      </c>
      <c r="J3608" s="78" t="s">
        <v>69</v>
      </c>
      <c r="K3608" s="58">
        <f t="shared" si="3"/>
        <v>20</v>
      </c>
      <c r="L3608" s="91" t="str">
        <f t="shared" si="8"/>
        <v>Thu</v>
      </c>
      <c r="M3608" s="78" t="str">
        <f>IFERROR(VLOOKUP(A3608, Entries!A:B,2,false),"")</f>
        <v>Marmalade Game Studio</v>
      </c>
      <c r="N3608" s="23" t="str">
        <f>IFERROR(VLOOKUP(A3608, Entries!A:K,11,false),"")</f>
        <v/>
      </c>
    </row>
    <row r="3609">
      <c r="A3609" s="78" t="s">
        <v>3226</v>
      </c>
      <c r="B3609" s="78" t="s">
        <v>25</v>
      </c>
      <c r="C3609" s="85">
        <v>45101.0</v>
      </c>
      <c r="D3609" s="85">
        <v>45113.0</v>
      </c>
      <c r="E3609" s="86">
        <v>15.96</v>
      </c>
      <c r="F3609" s="87">
        <v>26.67</v>
      </c>
      <c r="G3609" s="88">
        <f t="shared" si="1"/>
        <v>10.71</v>
      </c>
      <c r="H3609" s="89">
        <f t="shared" si="10"/>
        <v>0.4015748031</v>
      </c>
      <c r="I3609" s="78" t="s">
        <v>4321</v>
      </c>
      <c r="J3609" s="78" t="s">
        <v>69</v>
      </c>
      <c r="K3609" s="58">
        <f t="shared" si="3"/>
        <v>12</v>
      </c>
      <c r="L3609" s="91" t="str">
        <f t="shared" si="8"/>
        <v>Thu</v>
      </c>
      <c r="M3609" s="78" t="str">
        <f>IFERROR(VLOOKUP(A3609, Entries!A:B,2,false),"")</f>
        <v>Total Mayhem Games</v>
      </c>
      <c r="N3609" s="23" t="str">
        <f>IFERROR(VLOOKUP(A3609, Entries!A:K,11,false),"")</f>
        <v/>
      </c>
    </row>
    <row r="3610">
      <c r="A3610" s="78" t="s">
        <v>4252</v>
      </c>
      <c r="B3610" s="78" t="s">
        <v>27</v>
      </c>
      <c r="C3610" s="85">
        <v>45101.0</v>
      </c>
      <c r="D3610" s="85">
        <v>45101.0</v>
      </c>
      <c r="E3610" s="86">
        <v>25.99</v>
      </c>
      <c r="F3610" s="87">
        <v>32.67</v>
      </c>
      <c r="G3610" s="88">
        <f t="shared" si="1"/>
        <v>6.68</v>
      </c>
      <c r="H3610" s="89">
        <f t="shared" si="10"/>
        <v>0.2044689317</v>
      </c>
      <c r="I3610" s="78" t="s">
        <v>4322</v>
      </c>
      <c r="J3610" s="78" t="s">
        <v>69</v>
      </c>
      <c r="K3610" s="58">
        <f t="shared" si="3"/>
        <v>0</v>
      </c>
      <c r="L3610" s="91" t="str">
        <f t="shared" si="8"/>
        <v>Sat</v>
      </c>
      <c r="M3610" s="78" t="str">
        <f>IFERROR(VLOOKUP(A3610, Entries!A:B,2,false),"")</f>
        <v>PlayStation</v>
      </c>
      <c r="N3610" s="23" t="str">
        <f>IFERROR(VLOOKUP(A3610, Entries!A:K,11,false),"")</f>
        <v/>
      </c>
    </row>
    <row r="3611">
      <c r="A3611" s="78" t="s">
        <v>3832</v>
      </c>
      <c r="B3611" s="78" t="s">
        <v>19</v>
      </c>
      <c r="C3611" s="85">
        <v>45101.0</v>
      </c>
      <c r="D3611" s="85">
        <v>45101.0</v>
      </c>
      <c r="E3611" s="86">
        <v>17.57</v>
      </c>
      <c r="F3611" s="87">
        <v>23.68</v>
      </c>
      <c r="G3611" s="88">
        <f t="shared" si="1"/>
        <v>6.11</v>
      </c>
      <c r="H3611" s="89">
        <f t="shared" si="10"/>
        <v>0.2580236486</v>
      </c>
      <c r="I3611" s="78" t="s">
        <v>4323</v>
      </c>
      <c r="J3611" s="78" t="s">
        <v>69</v>
      </c>
      <c r="K3611" s="58">
        <f t="shared" si="3"/>
        <v>0</v>
      </c>
      <c r="L3611" s="91" t="str">
        <f t="shared" si="8"/>
        <v>Sat</v>
      </c>
      <c r="M3611" s="78" t="str">
        <f>IFERROR(VLOOKUP(A3611, Entries!A:B,2,false),"")</f>
        <v>Rebellion</v>
      </c>
      <c r="N3611" s="23" t="str">
        <f>IFERROR(VLOOKUP(A3611, Entries!A:K,11,false),"")</f>
        <v/>
      </c>
    </row>
    <row r="3612">
      <c r="A3612" s="78" t="s">
        <v>4252</v>
      </c>
      <c r="B3612" s="78" t="s">
        <v>27</v>
      </c>
      <c r="C3612" s="85">
        <v>45101.0</v>
      </c>
      <c r="D3612" s="85">
        <v>45103.0</v>
      </c>
      <c r="E3612" s="86">
        <v>25.99</v>
      </c>
      <c r="F3612" s="87">
        <v>32.47</v>
      </c>
      <c r="G3612" s="88">
        <f t="shared" si="1"/>
        <v>6.48</v>
      </c>
      <c r="H3612" s="89">
        <f t="shared" si="10"/>
        <v>0.1995688328</v>
      </c>
      <c r="I3612" s="78" t="s">
        <v>4324</v>
      </c>
      <c r="J3612" s="78" t="s">
        <v>69</v>
      </c>
      <c r="K3612" s="58">
        <f t="shared" si="3"/>
        <v>2</v>
      </c>
      <c r="L3612" s="91" t="str">
        <f t="shared" si="8"/>
        <v>Mon</v>
      </c>
      <c r="M3612" s="78" t="str">
        <f>IFERROR(VLOOKUP(A3612, Entries!A:B,2,false),"")</f>
        <v>PlayStation</v>
      </c>
      <c r="N3612" s="23" t="str">
        <f>IFERROR(VLOOKUP(A3612, Entries!A:K,11,false),"")</f>
        <v/>
      </c>
    </row>
    <row r="3613">
      <c r="A3613" s="78" t="s">
        <v>3832</v>
      </c>
      <c r="B3613" s="78" t="s">
        <v>19</v>
      </c>
      <c r="C3613" s="85">
        <v>45101.0</v>
      </c>
      <c r="D3613" s="85">
        <v>45102.0</v>
      </c>
      <c r="E3613" s="86">
        <v>17.49</v>
      </c>
      <c r="F3613" s="87">
        <v>23.68</v>
      </c>
      <c r="G3613" s="88">
        <f t="shared" si="1"/>
        <v>6.19</v>
      </c>
      <c r="H3613" s="89">
        <f t="shared" si="10"/>
        <v>0.261402027</v>
      </c>
      <c r="I3613" s="78" t="s">
        <v>4325</v>
      </c>
      <c r="J3613" s="78" t="s">
        <v>69</v>
      </c>
      <c r="K3613" s="58">
        <f t="shared" si="3"/>
        <v>1</v>
      </c>
      <c r="L3613" s="91" t="str">
        <f t="shared" si="8"/>
        <v>Sun</v>
      </c>
      <c r="M3613" s="78" t="str">
        <f>IFERROR(VLOOKUP(A3613, Entries!A:B,2,false),"")</f>
        <v>Rebellion</v>
      </c>
      <c r="N3613" s="23" t="str">
        <f>IFERROR(VLOOKUP(A3613, Entries!A:K,11,false),"")</f>
        <v/>
      </c>
    </row>
    <row r="3614">
      <c r="A3614" s="78" t="s">
        <v>4326</v>
      </c>
      <c r="B3614" s="78" t="s">
        <v>19</v>
      </c>
      <c r="C3614" s="85">
        <v>45101.0</v>
      </c>
      <c r="D3614" s="85">
        <v>45151.0</v>
      </c>
      <c r="E3614" s="86">
        <v>0.0</v>
      </c>
      <c r="F3614" s="87">
        <v>1.0</v>
      </c>
      <c r="G3614" s="88">
        <f t="shared" si="1"/>
        <v>1</v>
      </c>
      <c r="H3614" s="89">
        <f t="shared" si="10"/>
        <v>1</v>
      </c>
      <c r="I3614" s="78" t="s">
        <v>4327</v>
      </c>
      <c r="J3614" s="78" t="s">
        <v>69</v>
      </c>
      <c r="K3614" s="58">
        <f t="shared" si="3"/>
        <v>50</v>
      </c>
      <c r="L3614" s="91" t="str">
        <f t="shared" si="8"/>
        <v>Sun</v>
      </c>
      <c r="M3614" s="78" t="str">
        <f>IFERROR(VLOOKUP(A3614, Entries!A:B,2,false),"")</f>
        <v>Curve Digital</v>
      </c>
      <c r="N3614" s="23" t="str">
        <f>IFERROR(VLOOKUP(A3614, Entries!A:K,11,false),"")</f>
        <v/>
      </c>
    </row>
    <row r="3615">
      <c r="A3615" s="78" t="s">
        <v>3832</v>
      </c>
      <c r="B3615" s="78" t="s">
        <v>19</v>
      </c>
      <c r="C3615" s="85">
        <v>45102.0</v>
      </c>
      <c r="D3615" s="85">
        <v>45102.0</v>
      </c>
      <c r="E3615" s="86">
        <v>17.49</v>
      </c>
      <c r="F3615" s="87">
        <v>23.68</v>
      </c>
      <c r="G3615" s="88">
        <f t="shared" si="1"/>
        <v>6.19</v>
      </c>
      <c r="H3615" s="89">
        <f t="shared" si="10"/>
        <v>0.261402027</v>
      </c>
      <c r="I3615" s="78" t="s">
        <v>4328</v>
      </c>
      <c r="J3615" s="78" t="s">
        <v>69</v>
      </c>
      <c r="K3615" s="58">
        <f t="shared" si="3"/>
        <v>0</v>
      </c>
      <c r="L3615" s="91" t="str">
        <f t="shared" si="8"/>
        <v>Sun</v>
      </c>
      <c r="M3615" s="78" t="str">
        <f>IFERROR(VLOOKUP(A3615, Entries!A:B,2,false),"")</f>
        <v>Rebellion</v>
      </c>
      <c r="N3615" s="23" t="str">
        <f>IFERROR(VLOOKUP(A3615, Entries!A:K,11,false),"")</f>
        <v/>
      </c>
    </row>
    <row r="3616">
      <c r="A3616" s="78" t="s">
        <v>3832</v>
      </c>
      <c r="B3616" s="78" t="s">
        <v>19</v>
      </c>
      <c r="C3616" s="85">
        <v>45102.0</v>
      </c>
      <c r="D3616" s="85">
        <v>45103.0</v>
      </c>
      <c r="E3616" s="86">
        <v>17.2</v>
      </c>
      <c r="F3616" s="87">
        <v>23.65</v>
      </c>
      <c r="G3616" s="88">
        <f t="shared" si="1"/>
        <v>6.45</v>
      </c>
      <c r="H3616" s="89">
        <f t="shared" si="10"/>
        <v>0.2727272727</v>
      </c>
      <c r="I3616" s="78" t="s">
        <v>4329</v>
      </c>
      <c r="J3616" s="78" t="s">
        <v>69</v>
      </c>
      <c r="K3616" s="58">
        <f t="shared" si="3"/>
        <v>1</v>
      </c>
      <c r="L3616" s="91" t="str">
        <f t="shared" si="8"/>
        <v>Mon</v>
      </c>
      <c r="M3616" s="78" t="str">
        <f>IFERROR(VLOOKUP(A3616, Entries!A:B,2,false),"")</f>
        <v>Rebellion</v>
      </c>
      <c r="N3616" s="23" t="str">
        <f>IFERROR(VLOOKUP(A3616, Entries!A:K,11,false),"")</f>
        <v/>
      </c>
    </row>
    <row r="3617">
      <c r="A3617" s="78" t="s">
        <v>4217</v>
      </c>
      <c r="B3617" s="78" t="s">
        <v>23</v>
      </c>
      <c r="C3617" s="85">
        <v>45103.0</v>
      </c>
      <c r="D3617" s="85">
        <v>45104.0</v>
      </c>
      <c r="E3617" s="86">
        <v>16.79</v>
      </c>
      <c r="F3617" s="87">
        <v>24.7</v>
      </c>
      <c r="G3617" s="88">
        <f t="shared" si="1"/>
        <v>7.91</v>
      </c>
      <c r="H3617" s="89">
        <f t="shared" si="10"/>
        <v>0.320242915</v>
      </c>
      <c r="I3617" s="78" t="s">
        <v>4330</v>
      </c>
      <c r="J3617" s="78" t="s">
        <v>69</v>
      </c>
      <c r="K3617" s="58">
        <f t="shared" si="3"/>
        <v>1</v>
      </c>
      <c r="L3617" s="91" t="str">
        <f t="shared" si="8"/>
        <v>Tue</v>
      </c>
      <c r="M3617" s="78" t="str">
        <f>IFERROR(VLOOKUP(A3617, Entries!A:B,2,false),"")</f>
        <v>Studio Wildcard</v>
      </c>
      <c r="N3617" s="23" t="str">
        <f>IFERROR(VLOOKUP(A3617, Entries!A:K,11,false),"")</f>
        <v/>
      </c>
    </row>
    <row r="3618">
      <c r="A3618" s="78" t="s">
        <v>3832</v>
      </c>
      <c r="B3618" s="78" t="s">
        <v>19</v>
      </c>
      <c r="C3618" s="85">
        <v>45103.0</v>
      </c>
      <c r="D3618" s="85">
        <v>45103.0</v>
      </c>
      <c r="E3618" s="86">
        <v>17.57</v>
      </c>
      <c r="F3618" s="87">
        <v>23.65</v>
      </c>
      <c r="G3618" s="88">
        <f t="shared" si="1"/>
        <v>6.08</v>
      </c>
      <c r="H3618" s="89">
        <f t="shared" si="10"/>
        <v>0.2570824524</v>
      </c>
      <c r="I3618" s="78" t="s">
        <v>4331</v>
      </c>
      <c r="J3618" s="78" t="s">
        <v>69</v>
      </c>
      <c r="K3618" s="58">
        <f t="shared" si="3"/>
        <v>0</v>
      </c>
      <c r="L3618" s="91" t="str">
        <f t="shared" si="8"/>
        <v>Mon</v>
      </c>
      <c r="M3618" s="78" t="str">
        <f>IFERROR(VLOOKUP(A3618, Entries!A:B,2,false),"")</f>
        <v>Rebellion</v>
      </c>
      <c r="N3618" s="23" t="str">
        <f>IFERROR(VLOOKUP(A3618, Entries!A:K,11,false),"")</f>
        <v/>
      </c>
    </row>
    <row r="3619">
      <c r="A3619" s="78" t="s">
        <v>4217</v>
      </c>
      <c r="B3619" s="78" t="s">
        <v>23</v>
      </c>
      <c r="C3619" s="85">
        <v>45105.0</v>
      </c>
      <c r="D3619" s="85">
        <v>45105.0</v>
      </c>
      <c r="E3619" s="86">
        <v>16.79</v>
      </c>
      <c r="F3619" s="87">
        <v>24.68</v>
      </c>
      <c r="G3619" s="88">
        <f t="shared" si="1"/>
        <v>7.89</v>
      </c>
      <c r="H3619" s="89">
        <f t="shared" si="10"/>
        <v>0.3196920583</v>
      </c>
      <c r="I3619" s="78" t="s">
        <v>4332</v>
      </c>
      <c r="J3619" s="78" t="s">
        <v>69</v>
      </c>
      <c r="K3619" s="58">
        <f t="shared" si="3"/>
        <v>0</v>
      </c>
      <c r="L3619" s="91" t="str">
        <f t="shared" si="8"/>
        <v>Wed</v>
      </c>
      <c r="M3619" s="78" t="str">
        <f>IFERROR(VLOOKUP(A3619, Entries!A:B,2,false),"")</f>
        <v>Studio Wildcard</v>
      </c>
      <c r="N3619" s="23" t="str">
        <f>IFERROR(VLOOKUP(A3619, Entries!A:K,11,false),"")</f>
        <v/>
      </c>
      <c r="P3619" s="78" t="s">
        <v>4333</v>
      </c>
    </row>
    <row r="3620">
      <c r="A3620" s="78" t="s">
        <v>4252</v>
      </c>
      <c r="B3620" s="78" t="s">
        <v>27</v>
      </c>
      <c r="C3620" s="85">
        <v>45112.0</v>
      </c>
      <c r="D3620" s="85">
        <v>45114.0</v>
      </c>
      <c r="E3620" s="86">
        <v>25.54</v>
      </c>
      <c r="F3620" s="87">
        <v>32.75</v>
      </c>
      <c r="G3620" s="88">
        <f t="shared" si="1"/>
        <v>7.21</v>
      </c>
      <c r="H3620" s="89">
        <f t="shared" si="10"/>
        <v>0.2201526718</v>
      </c>
      <c r="I3620" s="78" t="s">
        <v>4334</v>
      </c>
      <c r="J3620" s="78" t="s">
        <v>69</v>
      </c>
      <c r="K3620" s="58">
        <f t="shared" si="3"/>
        <v>2</v>
      </c>
      <c r="L3620" s="91" t="str">
        <f t="shared" si="8"/>
        <v>Fri</v>
      </c>
      <c r="M3620" s="78" t="str">
        <f>IFERROR(VLOOKUP(A3620, Entries!A:B,2,false),"")</f>
        <v>PlayStation</v>
      </c>
      <c r="N3620" s="23" t="str">
        <f>IFERROR(VLOOKUP(A3620, Entries!A:K,11,false),"")</f>
        <v/>
      </c>
    </row>
    <row r="3621">
      <c r="A3621" s="78" t="s">
        <v>4217</v>
      </c>
      <c r="B3621" s="78" t="s">
        <v>23</v>
      </c>
      <c r="C3621" s="85">
        <v>45112.0</v>
      </c>
      <c r="D3621" s="85">
        <v>45114.0</v>
      </c>
      <c r="E3621" s="86">
        <v>16.79</v>
      </c>
      <c r="F3621" s="87">
        <v>25.05</v>
      </c>
      <c r="G3621" s="88">
        <f t="shared" si="1"/>
        <v>8.26</v>
      </c>
      <c r="H3621" s="89">
        <f t="shared" si="10"/>
        <v>0.329740519</v>
      </c>
      <c r="I3621" s="78" t="s">
        <v>4335</v>
      </c>
      <c r="J3621" s="78" t="s">
        <v>69</v>
      </c>
      <c r="K3621" s="58">
        <f t="shared" si="3"/>
        <v>2</v>
      </c>
      <c r="L3621" s="91" t="str">
        <f t="shared" si="8"/>
        <v>Fri</v>
      </c>
      <c r="M3621" s="78" t="str">
        <f>IFERROR(VLOOKUP(A3621, Entries!A:B,2,false),"")</f>
        <v>Studio Wildcard</v>
      </c>
      <c r="N3621" s="23" t="str">
        <f>IFERROR(VLOOKUP(A3621, Entries!A:K,11,false),"")</f>
        <v/>
      </c>
    </row>
    <row r="3622">
      <c r="A3622" s="78" t="s">
        <v>4096</v>
      </c>
      <c r="B3622" s="78" t="s">
        <v>25</v>
      </c>
      <c r="C3622" s="85">
        <v>45113.0</v>
      </c>
      <c r="D3622" s="85">
        <v>45117.0</v>
      </c>
      <c r="E3622" s="86">
        <v>26.5</v>
      </c>
      <c r="F3622" s="87">
        <v>37.31</v>
      </c>
      <c r="G3622" s="88">
        <f t="shared" si="1"/>
        <v>10.81</v>
      </c>
      <c r="H3622" s="89">
        <f t="shared" si="10"/>
        <v>0.2897346556</v>
      </c>
      <c r="I3622" s="78" t="s">
        <v>4336</v>
      </c>
      <c r="J3622" s="78" t="s">
        <v>69</v>
      </c>
      <c r="K3622" s="58">
        <f t="shared" si="3"/>
        <v>4</v>
      </c>
      <c r="L3622" s="91" t="str">
        <f t="shared" si="8"/>
        <v>Mon</v>
      </c>
      <c r="M3622" s="78" t="str">
        <f>IFERROR(VLOOKUP(A3622, Entries!A:B,2,false),"")</f>
        <v>Crate Entertainment</v>
      </c>
      <c r="N3622" s="23" t="str">
        <f>IFERROR(VLOOKUP(A3622, Entries!A:K,11,false),"")</f>
        <v/>
      </c>
    </row>
    <row r="3623">
      <c r="A3623" s="78" t="s">
        <v>550</v>
      </c>
      <c r="B3623" s="78" t="s">
        <v>25</v>
      </c>
      <c r="C3623" s="85">
        <v>45112.0</v>
      </c>
      <c r="D3623" s="85">
        <v>45128.0</v>
      </c>
      <c r="E3623" s="86">
        <v>5.3</v>
      </c>
      <c r="F3623" s="87">
        <v>6.31</v>
      </c>
      <c r="G3623" s="88">
        <f t="shared" si="1"/>
        <v>1.01</v>
      </c>
      <c r="H3623" s="89">
        <f t="shared" si="10"/>
        <v>0.1600633914</v>
      </c>
      <c r="I3623" s="78" t="s">
        <v>4337</v>
      </c>
      <c r="J3623" s="78" t="s">
        <v>69</v>
      </c>
      <c r="K3623" s="58">
        <f t="shared" si="3"/>
        <v>16</v>
      </c>
      <c r="L3623" s="91" t="str">
        <f t="shared" si="8"/>
        <v>Fri</v>
      </c>
      <c r="M3623" s="78" t="str">
        <f>IFERROR(VLOOKUP(A3623, Entries!A:B,2,false),"")</f>
        <v>Codemasters</v>
      </c>
      <c r="N3623" s="23" t="str">
        <f>IFERROR(VLOOKUP(A3623, Entries!A:K,11,false),"")</f>
        <v/>
      </c>
    </row>
    <row r="3624">
      <c r="A3624" s="78" t="s">
        <v>3242</v>
      </c>
      <c r="B3624" s="78" t="s">
        <v>30</v>
      </c>
      <c r="C3624" s="85">
        <v>45112.0</v>
      </c>
      <c r="D3624" s="85">
        <v>45117.0</v>
      </c>
      <c r="E3624" s="86">
        <v>10.29</v>
      </c>
      <c r="F3624" s="87">
        <v>15.38</v>
      </c>
      <c r="G3624" s="88">
        <f t="shared" si="1"/>
        <v>5.09</v>
      </c>
      <c r="H3624" s="89">
        <f t="shared" si="10"/>
        <v>0.3309492848</v>
      </c>
      <c r="I3624" s="78" t="s">
        <v>4338</v>
      </c>
      <c r="J3624" s="78" t="s">
        <v>69</v>
      </c>
      <c r="K3624" s="58">
        <f t="shared" si="3"/>
        <v>5</v>
      </c>
      <c r="L3624" s="91" t="str">
        <f t="shared" si="8"/>
        <v>Mon</v>
      </c>
      <c r="M3624" s="78" t="str">
        <f>IFERROR(VLOOKUP(A3624, Entries!A:B,2,false),"")</f>
        <v>Devolver Digital</v>
      </c>
      <c r="N3624" s="23" t="str">
        <f>IFERROR(VLOOKUP(A3624, Entries!A:K,11,false),"")</f>
        <v/>
      </c>
    </row>
    <row r="3625">
      <c r="A3625" s="78" t="s">
        <v>117</v>
      </c>
      <c r="B3625" s="78" t="s">
        <v>19</v>
      </c>
      <c r="C3625" s="85">
        <v>45112.0</v>
      </c>
      <c r="D3625" s="85">
        <v>45116.0</v>
      </c>
      <c r="E3625" s="86">
        <v>0.99</v>
      </c>
      <c r="F3625" s="87">
        <v>1.66</v>
      </c>
      <c r="G3625" s="88">
        <f t="shared" si="1"/>
        <v>0.67</v>
      </c>
      <c r="H3625" s="89">
        <f t="shared" si="10"/>
        <v>0.4036144578</v>
      </c>
      <c r="I3625" s="78" t="s">
        <v>4339</v>
      </c>
      <c r="J3625" s="78" t="s">
        <v>69</v>
      </c>
      <c r="K3625" s="58">
        <f t="shared" si="3"/>
        <v>4</v>
      </c>
      <c r="L3625" s="91" t="str">
        <f t="shared" si="8"/>
        <v>Sun</v>
      </c>
      <c r="M3625" s="78" t="str">
        <f>IFERROR(VLOOKUP(A3625, Entries!A:B,2,false),"")</f>
        <v>Starbreeze Publishing</v>
      </c>
      <c r="N3625" s="23" t="str">
        <f>IFERROR(VLOOKUP(A3625, Entries!A:K,11,false),"")</f>
        <v/>
      </c>
    </row>
    <row r="3626">
      <c r="A3626" s="78" t="s">
        <v>840</v>
      </c>
      <c r="B3626" s="78" t="s">
        <v>22</v>
      </c>
      <c r="C3626" s="85">
        <v>45112.0</v>
      </c>
      <c r="D3626" s="85">
        <v>45154.0</v>
      </c>
      <c r="E3626" s="86">
        <v>3.07</v>
      </c>
      <c r="F3626" s="87">
        <v>3.69</v>
      </c>
      <c r="G3626" s="88">
        <f t="shared" si="1"/>
        <v>0.62</v>
      </c>
      <c r="H3626" s="89">
        <f t="shared" si="10"/>
        <v>0.1680216802</v>
      </c>
      <c r="I3626" s="78" t="s">
        <v>4340</v>
      </c>
      <c r="J3626" s="78" t="s">
        <v>69</v>
      </c>
      <c r="K3626" s="58">
        <f t="shared" si="3"/>
        <v>42</v>
      </c>
      <c r="L3626" s="91" t="str">
        <f t="shared" si="8"/>
        <v>Wed</v>
      </c>
      <c r="M3626" s="78" t="str">
        <f>IFERROR(VLOOKUP(A3626, Entries!A:B,2,false),"")</f>
        <v>Square Enix</v>
      </c>
      <c r="N3626" s="23" t="str">
        <f>IFERROR(VLOOKUP(A3626, Entries!A:K,11,false),"")</f>
        <v/>
      </c>
    </row>
    <row r="3627">
      <c r="A3627" s="78" t="s">
        <v>3309</v>
      </c>
      <c r="B3627" s="78" t="s">
        <v>27</v>
      </c>
      <c r="C3627" s="85">
        <v>45112.0</v>
      </c>
      <c r="D3627" s="85">
        <v>45116.0</v>
      </c>
      <c r="E3627" s="86">
        <v>3.89</v>
      </c>
      <c r="F3627" s="87">
        <v>4.66</v>
      </c>
      <c r="G3627" s="88">
        <f t="shared" si="1"/>
        <v>0.77</v>
      </c>
      <c r="H3627" s="89">
        <f t="shared" si="10"/>
        <v>0.1652360515</v>
      </c>
      <c r="I3627" s="78" t="s">
        <v>4341</v>
      </c>
      <c r="J3627" s="78" t="s">
        <v>69</v>
      </c>
      <c r="K3627" s="58">
        <f t="shared" si="3"/>
        <v>4</v>
      </c>
      <c r="L3627" s="91" t="str">
        <f t="shared" si="8"/>
        <v>Sun</v>
      </c>
      <c r="M3627" s="78" t="str">
        <f>IFERROR(VLOOKUP(A3627, Entries!A:B,2,false),"")</f>
        <v>Digixart</v>
      </c>
      <c r="N3627" s="23" t="str">
        <f>IFERROR(VLOOKUP(A3627, Entries!A:K,11,false),"")</f>
        <v/>
      </c>
    </row>
    <row r="3628">
      <c r="A3628" s="78" t="s">
        <v>4342</v>
      </c>
      <c r="B3628" s="78" t="s">
        <v>23</v>
      </c>
      <c r="C3628" s="85">
        <v>45113.0</v>
      </c>
      <c r="D3628" s="25"/>
      <c r="E3628" s="86">
        <v>10.77</v>
      </c>
      <c r="F3628" s="88"/>
      <c r="G3628" s="88">
        <f t="shared" si="1"/>
        <v>-10.77</v>
      </c>
      <c r="H3628" s="89" t="str">
        <f t="shared" si="10"/>
        <v/>
      </c>
      <c r="I3628" s="103" t="s">
        <v>4343</v>
      </c>
      <c r="J3628" s="78" t="s">
        <v>1129</v>
      </c>
      <c r="K3628" s="58" t="str">
        <f t="shared" si="3"/>
        <v/>
      </c>
      <c r="L3628" s="91" t="str">
        <f t="shared" si="8"/>
        <v/>
      </c>
      <c r="M3628" s="78" t="str">
        <f>IFERROR(VLOOKUP(A3628, Entries!A:B,2,false),"")</f>
        <v>Secret Mode</v>
      </c>
      <c r="N3628" s="23" t="str">
        <f>IFERROR(VLOOKUP(A3628, Entries!A:K,11,false),"")</f>
        <v/>
      </c>
      <c r="O3628" s="23" t="b">
        <f>IFERROR(VLOOKUP(A3628, Entries!A:I,8,false),"")</f>
        <v>0</v>
      </c>
    </row>
    <row r="3629">
      <c r="A3629" s="78" t="s">
        <v>4344</v>
      </c>
      <c r="B3629" s="78" t="s">
        <v>19</v>
      </c>
      <c r="C3629" s="85">
        <v>45113.0</v>
      </c>
      <c r="D3629" s="85">
        <v>45122.0</v>
      </c>
      <c r="E3629" s="86">
        <v>23.74</v>
      </c>
      <c r="F3629" s="87">
        <v>25.19</v>
      </c>
      <c r="G3629" s="88">
        <f t="shared" si="1"/>
        <v>1.45</v>
      </c>
      <c r="H3629" s="89">
        <f t="shared" si="10"/>
        <v>0.05756252481</v>
      </c>
      <c r="I3629" s="78" t="s">
        <v>4345</v>
      </c>
      <c r="J3629" s="78" t="s">
        <v>69</v>
      </c>
      <c r="K3629" s="58">
        <f t="shared" si="3"/>
        <v>9</v>
      </c>
      <c r="L3629" s="91" t="str">
        <f t="shared" si="8"/>
        <v>Sat</v>
      </c>
      <c r="M3629" s="78" t="str">
        <f>IFERROR(VLOOKUP(A3629, Entries!A:B,2,false),"")</f>
        <v>Focus Home Interactive</v>
      </c>
      <c r="N3629" s="23" t="str">
        <f>IFERROR(VLOOKUP(A3629, Entries!A:K,11,false),"")</f>
        <v/>
      </c>
    </row>
    <row r="3630">
      <c r="A3630" s="78" t="s">
        <v>1265</v>
      </c>
      <c r="B3630" s="78" t="s">
        <v>25</v>
      </c>
      <c r="C3630" s="85">
        <v>45113.0</v>
      </c>
      <c r="D3630" s="85">
        <v>45120.0</v>
      </c>
      <c r="E3630" s="86">
        <v>2.93</v>
      </c>
      <c r="F3630" s="87">
        <v>4.44</v>
      </c>
      <c r="G3630" s="88">
        <f t="shared" si="1"/>
        <v>1.51</v>
      </c>
      <c r="H3630" s="89">
        <f t="shared" si="10"/>
        <v>0.3400900901</v>
      </c>
      <c r="I3630" s="78" t="s">
        <v>4346</v>
      </c>
      <c r="J3630" s="78" t="s">
        <v>69</v>
      </c>
      <c r="K3630" s="58">
        <f t="shared" si="3"/>
        <v>7</v>
      </c>
      <c r="L3630" s="91" t="str">
        <f t="shared" si="8"/>
        <v>Thu</v>
      </c>
      <c r="M3630" s="78" t="str">
        <f>IFERROR(VLOOKUP(A3630, Entries!A:B,2,false),"")</f>
        <v>Image &amp; Form Games</v>
      </c>
      <c r="N3630" s="23" t="str">
        <f>IFERROR(VLOOKUP(A3630, Entries!A:K,11,false),"")</f>
        <v/>
      </c>
    </row>
    <row r="3631">
      <c r="A3631" s="78" t="s">
        <v>3226</v>
      </c>
      <c r="B3631" s="78" t="s">
        <v>25</v>
      </c>
      <c r="C3631" s="85">
        <v>45113.0</v>
      </c>
      <c r="D3631" s="85">
        <v>45351.0</v>
      </c>
      <c r="E3631" s="86">
        <v>15.96</v>
      </c>
      <c r="F3631" s="87">
        <v>19.46</v>
      </c>
      <c r="G3631" s="88">
        <f t="shared" si="1"/>
        <v>3.5</v>
      </c>
      <c r="H3631" s="89">
        <f t="shared" si="10"/>
        <v>0.1798561151</v>
      </c>
      <c r="I3631" s="78" t="s">
        <v>4347</v>
      </c>
      <c r="J3631" s="78" t="s">
        <v>69</v>
      </c>
      <c r="K3631" s="58">
        <f t="shared" si="3"/>
        <v>238</v>
      </c>
      <c r="L3631" s="91" t="str">
        <f t="shared" si="8"/>
        <v>Thu</v>
      </c>
      <c r="M3631" s="78" t="str">
        <f>IFERROR(VLOOKUP(A3631, Entries!A:B,2,false),"")</f>
        <v>Total Mayhem Games</v>
      </c>
      <c r="N3631" s="23" t="str">
        <f>IFERROR(VLOOKUP(A3631, Entries!A:K,11,false),"")</f>
        <v/>
      </c>
      <c r="O3631" s="23" t="b">
        <f>IFERROR(VLOOKUP(A3631, Entries!A:I,8,false),"")</f>
        <v>0</v>
      </c>
    </row>
    <row r="3632">
      <c r="A3632" s="78" t="s">
        <v>669</v>
      </c>
      <c r="B3632" s="78" t="s">
        <v>19</v>
      </c>
      <c r="C3632" s="85">
        <v>45113.0</v>
      </c>
      <c r="D3632" s="85">
        <v>45122.0</v>
      </c>
      <c r="E3632" s="86">
        <v>3.79</v>
      </c>
      <c r="F3632" s="87">
        <v>5.22</v>
      </c>
      <c r="G3632" s="88">
        <f t="shared" si="1"/>
        <v>1.43</v>
      </c>
      <c r="H3632" s="89">
        <f t="shared" si="10"/>
        <v>0.2739463602</v>
      </c>
      <c r="I3632" s="78" t="s">
        <v>4348</v>
      </c>
      <c r="J3632" s="78" t="s">
        <v>69</v>
      </c>
      <c r="K3632" s="58">
        <f t="shared" si="3"/>
        <v>9</v>
      </c>
      <c r="L3632" s="91" t="str">
        <f t="shared" si="8"/>
        <v>Sat</v>
      </c>
      <c r="M3632" s="78" t="str">
        <f>IFERROR(VLOOKUP(A3632, Entries!A:B,2,false),"")</f>
        <v>Atari</v>
      </c>
      <c r="N3632" s="23" t="str">
        <f>IFERROR(VLOOKUP(A3632, Entries!A:K,11,false),"")</f>
        <v/>
      </c>
    </row>
    <row r="3633">
      <c r="A3633" s="78" t="s">
        <v>4349</v>
      </c>
      <c r="B3633" s="78" t="s">
        <v>21</v>
      </c>
      <c r="C3633" s="85">
        <v>45113.0</v>
      </c>
      <c r="D3633" s="85">
        <v>45913.0</v>
      </c>
      <c r="E3633" s="86">
        <v>21.01</v>
      </c>
      <c r="F3633" s="87">
        <v>21.92</v>
      </c>
      <c r="G3633" s="88">
        <f t="shared" si="1"/>
        <v>0.91</v>
      </c>
      <c r="H3633" s="89">
        <f t="shared" si="10"/>
        <v>0.04151459854</v>
      </c>
      <c r="I3633" s="103" t="s">
        <v>4350</v>
      </c>
      <c r="J3633" s="78" t="s">
        <v>69</v>
      </c>
      <c r="K3633" s="58">
        <f t="shared" si="3"/>
        <v>800</v>
      </c>
      <c r="L3633" s="91" t="str">
        <f t="shared" si="8"/>
        <v>Sat</v>
      </c>
      <c r="M3633" s="78" t="str">
        <f>IFERROR(VLOOKUP(A3633, Entries!A:B,2,false),"")</f>
        <v>Konami</v>
      </c>
      <c r="N3633" s="23" t="str">
        <f>IFERROR(VLOOKUP(A3633, Entries!A:K,11,false),"")</f>
        <v/>
      </c>
      <c r="O3633" s="23" t="b">
        <f>IFERROR(VLOOKUP(A3633, Entries!A:I,8,false),"")</f>
        <v>0</v>
      </c>
    </row>
    <row r="3634">
      <c r="A3634" s="78" t="s">
        <v>4351</v>
      </c>
      <c r="B3634" s="78" t="s">
        <v>21</v>
      </c>
      <c r="C3634" s="85">
        <v>45114.0</v>
      </c>
      <c r="D3634" s="85">
        <v>45122.0</v>
      </c>
      <c r="E3634" s="86">
        <v>15.07</v>
      </c>
      <c r="F3634" s="87">
        <v>23.9</v>
      </c>
      <c r="G3634" s="88">
        <f t="shared" si="1"/>
        <v>8.83</v>
      </c>
      <c r="H3634" s="89">
        <f t="shared" si="10"/>
        <v>0.3694560669</v>
      </c>
      <c r="I3634" s="78" t="s">
        <v>4291</v>
      </c>
      <c r="J3634" s="78" t="s">
        <v>69</v>
      </c>
      <c r="K3634" s="58">
        <f t="shared" si="3"/>
        <v>8</v>
      </c>
      <c r="L3634" s="91" t="str">
        <f t="shared" si="8"/>
        <v>Sat</v>
      </c>
      <c r="M3634" s="78" t="str">
        <f>IFERROR(VLOOKUP(A3634, Entries!A:B,2,false),"")</f>
        <v>Bethesda Softworks</v>
      </c>
      <c r="N3634" s="23" t="str">
        <f>IFERROR(VLOOKUP(A3634, Entries!A:K,11,false),"")</f>
        <v/>
      </c>
    </row>
    <row r="3635">
      <c r="A3635" s="78" t="s">
        <v>4217</v>
      </c>
      <c r="B3635" s="78" t="s">
        <v>23</v>
      </c>
      <c r="C3635" s="85">
        <v>45114.0</v>
      </c>
      <c r="D3635" s="85">
        <v>45120.0</v>
      </c>
      <c r="E3635" s="86">
        <v>16.79</v>
      </c>
      <c r="F3635" s="87">
        <v>24.9</v>
      </c>
      <c r="G3635" s="88">
        <f t="shared" si="1"/>
        <v>8.11</v>
      </c>
      <c r="H3635" s="89">
        <f t="shared" si="10"/>
        <v>0.3257028112</v>
      </c>
      <c r="I3635" s="78" t="s">
        <v>4352</v>
      </c>
      <c r="J3635" s="78" t="s">
        <v>69</v>
      </c>
      <c r="K3635" s="58">
        <f t="shared" si="3"/>
        <v>6</v>
      </c>
      <c r="L3635" s="91" t="str">
        <f t="shared" si="8"/>
        <v>Thu</v>
      </c>
      <c r="M3635" s="78" t="str">
        <f>IFERROR(VLOOKUP(A3635, Entries!A:B,2,false),"")</f>
        <v>Studio Wildcard</v>
      </c>
      <c r="N3635" s="23" t="str">
        <f>IFERROR(VLOOKUP(A3635, Entries!A:K,11,false),"")</f>
        <v/>
      </c>
    </row>
    <row r="3636">
      <c r="A3636" s="78" t="s">
        <v>4353</v>
      </c>
      <c r="B3636" s="78" t="s">
        <v>25</v>
      </c>
      <c r="C3636" s="85">
        <v>45114.0</v>
      </c>
      <c r="D3636" s="85">
        <v>45114.0</v>
      </c>
      <c r="E3636" s="86">
        <v>17.63</v>
      </c>
      <c r="F3636" s="87">
        <v>20.55</v>
      </c>
      <c r="G3636" s="88">
        <f t="shared" si="1"/>
        <v>2.92</v>
      </c>
      <c r="H3636" s="89">
        <f t="shared" si="10"/>
        <v>0.1420924574</v>
      </c>
      <c r="I3636" s="78" t="s">
        <v>4354</v>
      </c>
      <c r="J3636" s="78" t="s">
        <v>69</v>
      </c>
      <c r="K3636" s="58">
        <f t="shared" si="3"/>
        <v>0</v>
      </c>
      <c r="L3636" s="91" t="str">
        <f t="shared" si="8"/>
        <v>Fri</v>
      </c>
      <c r="M3636" s="78" t="str">
        <f>IFERROR(VLOOKUP(A3636, Entries!A:B,2,false),"")</f>
        <v>Shiro Games</v>
      </c>
      <c r="N3636" s="23" t="str">
        <f>IFERROR(VLOOKUP(A3636, Entries!A:K,11,false),"")</f>
        <v/>
      </c>
    </row>
    <row r="3637">
      <c r="A3637" s="78" t="s">
        <v>4355</v>
      </c>
      <c r="B3637" s="78" t="s">
        <v>27</v>
      </c>
      <c r="C3637" s="85">
        <v>45114.0</v>
      </c>
      <c r="D3637" s="85">
        <v>45115.0</v>
      </c>
      <c r="E3637" s="86">
        <v>8.59</v>
      </c>
      <c r="F3637" s="87">
        <v>10.21</v>
      </c>
      <c r="G3637" s="88">
        <f t="shared" si="1"/>
        <v>1.62</v>
      </c>
      <c r="H3637" s="89">
        <f t="shared" si="10"/>
        <v>0.1586679726</v>
      </c>
      <c r="I3637" s="78" t="s">
        <v>4356</v>
      </c>
      <c r="J3637" s="78" t="s">
        <v>69</v>
      </c>
      <c r="K3637" s="58">
        <f t="shared" si="3"/>
        <v>1</v>
      </c>
      <c r="L3637" s="91" t="str">
        <f t="shared" si="8"/>
        <v>Sat</v>
      </c>
      <c r="M3637" s="78" t="str">
        <f>IFERROR(VLOOKUP(A3637, Entries!A:B,2,false),"")</f>
        <v>Frontier Foundry</v>
      </c>
      <c r="N3637" s="23" t="str">
        <f>IFERROR(VLOOKUP(A3637, Entries!A:K,11,false),"")</f>
        <v/>
      </c>
    </row>
    <row r="3638">
      <c r="A3638" s="78" t="s">
        <v>4353</v>
      </c>
      <c r="B3638" s="78" t="s">
        <v>25</v>
      </c>
      <c r="C3638" s="85">
        <v>45114.0</v>
      </c>
      <c r="D3638" s="85">
        <v>45115.0</v>
      </c>
      <c r="E3638" s="86">
        <v>17.67</v>
      </c>
      <c r="F3638" s="87">
        <v>20.55</v>
      </c>
      <c r="G3638" s="88">
        <f t="shared" si="1"/>
        <v>2.88</v>
      </c>
      <c r="H3638" s="89">
        <f t="shared" si="10"/>
        <v>0.1401459854</v>
      </c>
      <c r="I3638" s="78" t="s">
        <v>4357</v>
      </c>
      <c r="J3638" s="78" t="s">
        <v>69</v>
      </c>
      <c r="K3638" s="58">
        <f t="shared" si="3"/>
        <v>1</v>
      </c>
      <c r="L3638" s="91" t="str">
        <f t="shared" si="8"/>
        <v>Sat</v>
      </c>
      <c r="M3638" s="78" t="str">
        <f>IFERROR(VLOOKUP(A3638, Entries!A:B,2,false),"")</f>
        <v>Shiro Games</v>
      </c>
      <c r="N3638" s="23" t="str">
        <f>IFERROR(VLOOKUP(A3638, Entries!A:K,11,false),"")</f>
        <v/>
      </c>
    </row>
    <row r="3639">
      <c r="A3639" s="78" t="s">
        <v>4353</v>
      </c>
      <c r="B3639" s="78" t="s">
        <v>25</v>
      </c>
      <c r="C3639" s="85">
        <v>45115.0</v>
      </c>
      <c r="D3639" s="85">
        <v>45134.0</v>
      </c>
      <c r="E3639" s="86">
        <v>17.63</v>
      </c>
      <c r="F3639" s="87">
        <v>21.16</v>
      </c>
      <c r="G3639" s="88">
        <f t="shared" si="1"/>
        <v>3.53</v>
      </c>
      <c r="H3639" s="89">
        <f t="shared" si="10"/>
        <v>0.1668241966</v>
      </c>
      <c r="I3639" s="78" t="s">
        <v>4358</v>
      </c>
      <c r="J3639" s="78" t="s">
        <v>69</v>
      </c>
      <c r="K3639" s="58">
        <f t="shared" si="3"/>
        <v>19</v>
      </c>
      <c r="L3639" s="91" t="str">
        <f t="shared" si="8"/>
        <v>Thu</v>
      </c>
      <c r="M3639" s="78" t="str">
        <f>IFERROR(VLOOKUP(A3639, Entries!A:B,2,false),"")</f>
        <v>Shiro Games</v>
      </c>
      <c r="N3639" s="23" t="str">
        <f>IFERROR(VLOOKUP(A3639, Entries!A:K,11,false),"")</f>
        <v/>
      </c>
    </row>
    <row r="3640">
      <c r="A3640" s="78" t="s">
        <v>3771</v>
      </c>
      <c r="B3640" s="78" t="s">
        <v>27</v>
      </c>
      <c r="C3640" s="85">
        <v>45115.0</v>
      </c>
      <c r="D3640" s="85">
        <v>45122.0</v>
      </c>
      <c r="E3640" s="86">
        <v>8.09</v>
      </c>
      <c r="F3640" s="87">
        <v>11.63</v>
      </c>
      <c r="G3640" s="88">
        <f t="shared" si="1"/>
        <v>3.54</v>
      </c>
      <c r="H3640" s="89">
        <f t="shared" si="10"/>
        <v>0.3043852107</v>
      </c>
      <c r="I3640" s="78" t="s">
        <v>4359</v>
      </c>
      <c r="J3640" s="78" t="s">
        <v>69</v>
      </c>
      <c r="K3640" s="58">
        <f t="shared" si="3"/>
        <v>7</v>
      </c>
      <c r="L3640" s="91" t="str">
        <f t="shared" si="8"/>
        <v>Sat</v>
      </c>
      <c r="M3640" s="78" t="str">
        <f>IFERROR(VLOOKUP(A3640, Entries!A:B,2,false),"")</f>
        <v>Good Shepherd Entertainment</v>
      </c>
      <c r="N3640" s="23" t="str">
        <f>IFERROR(VLOOKUP(A3640, Entries!A:K,11,false),"")</f>
        <v/>
      </c>
    </row>
    <row r="3641">
      <c r="A3641" s="78" t="s">
        <v>4252</v>
      </c>
      <c r="B3641" s="78" t="s">
        <v>27</v>
      </c>
      <c r="C3641" s="85">
        <v>45115.0</v>
      </c>
      <c r="D3641" s="85">
        <v>45115.0</v>
      </c>
      <c r="E3641" s="86">
        <v>28.29</v>
      </c>
      <c r="F3641" s="87">
        <v>31.97</v>
      </c>
      <c r="G3641" s="88">
        <f t="shared" si="1"/>
        <v>3.68</v>
      </c>
      <c r="H3641" s="89">
        <f t="shared" si="10"/>
        <v>0.1151079137</v>
      </c>
      <c r="I3641" s="78" t="s">
        <v>4360</v>
      </c>
      <c r="J3641" s="78" t="s">
        <v>69</v>
      </c>
      <c r="K3641" s="58">
        <f t="shared" si="3"/>
        <v>0</v>
      </c>
      <c r="L3641" s="91" t="str">
        <f t="shared" si="8"/>
        <v>Sat</v>
      </c>
      <c r="M3641" s="78" t="str">
        <f>IFERROR(VLOOKUP(A3641, Entries!A:B,2,false),"")</f>
        <v>PlayStation</v>
      </c>
      <c r="N3641" s="23" t="str">
        <f>IFERROR(VLOOKUP(A3641, Entries!A:K,11,false),"")</f>
        <v/>
      </c>
    </row>
    <row r="3642">
      <c r="A3642" s="78" t="s">
        <v>4285</v>
      </c>
      <c r="B3642" s="78" t="s">
        <v>27</v>
      </c>
      <c r="C3642" s="85">
        <v>45115.0</v>
      </c>
      <c r="D3642" s="85">
        <v>45170.0</v>
      </c>
      <c r="E3642" s="86">
        <v>27.09</v>
      </c>
      <c r="F3642" s="87">
        <v>28.49</v>
      </c>
      <c r="G3642" s="88">
        <f t="shared" si="1"/>
        <v>1.4</v>
      </c>
      <c r="H3642" s="89">
        <f t="shared" si="10"/>
        <v>0.04914004914</v>
      </c>
      <c r="I3642" s="78" t="s">
        <v>4291</v>
      </c>
      <c r="J3642" s="78" t="s">
        <v>69</v>
      </c>
      <c r="K3642" s="58">
        <f t="shared" si="3"/>
        <v>55</v>
      </c>
      <c r="L3642" s="91" t="str">
        <f t="shared" si="8"/>
        <v>Fri</v>
      </c>
      <c r="M3642" s="78" t="str">
        <f>IFERROR(VLOOKUP(A3642, Entries!A:B,2,false),"")</f>
        <v>BANDAI NAMCO</v>
      </c>
      <c r="N3642" s="23" t="str">
        <f>IFERROR(VLOOKUP(A3642, Entries!A:K,11,false),"")</f>
        <v/>
      </c>
    </row>
    <row r="3643">
      <c r="A3643" s="78" t="s">
        <v>4355</v>
      </c>
      <c r="B3643" s="78" t="s">
        <v>27</v>
      </c>
      <c r="C3643" s="85">
        <v>45115.0</v>
      </c>
      <c r="D3643" s="85">
        <v>45116.0</v>
      </c>
      <c r="E3643" s="86">
        <v>8.59</v>
      </c>
      <c r="F3643" s="87">
        <v>11.31</v>
      </c>
      <c r="G3643" s="88">
        <f t="shared" si="1"/>
        <v>2.72</v>
      </c>
      <c r="H3643" s="89">
        <f t="shared" si="10"/>
        <v>0.240495137</v>
      </c>
      <c r="I3643" s="78" t="s">
        <v>4361</v>
      </c>
      <c r="J3643" s="78" t="s">
        <v>69</v>
      </c>
      <c r="K3643" s="58">
        <f t="shared" si="3"/>
        <v>1</v>
      </c>
      <c r="L3643" s="91" t="str">
        <f t="shared" si="8"/>
        <v>Sun</v>
      </c>
      <c r="M3643" s="78" t="str">
        <f>IFERROR(VLOOKUP(A3643, Entries!A:B,2,false),"")</f>
        <v>Frontier Foundry</v>
      </c>
      <c r="N3643" s="23" t="str">
        <f>IFERROR(VLOOKUP(A3643, Entries!A:K,11,false),"")</f>
        <v/>
      </c>
    </row>
    <row r="3644">
      <c r="A3644" s="78" t="s">
        <v>4252</v>
      </c>
      <c r="B3644" s="78" t="s">
        <v>27</v>
      </c>
      <c r="C3644" s="85">
        <v>45116.0</v>
      </c>
      <c r="D3644" s="85">
        <v>45121.0</v>
      </c>
      <c r="E3644" s="86">
        <v>28.29</v>
      </c>
      <c r="F3644" s="87">
        <v>31.69</v>
      </c>
      <c r="G3644" s="88">
        <f t="shared" si="1"/>
        <v>3.4</v>
      </c>
      <c r="H3644" s="89">
        <f t="shared" si="10"/>
        <v>0.1072893657</v>
      </c>
      <c r="I3644" s="78" t="s">
        <v>4362</v>
      </c>
      <c r="J3644" s="78" t="s">
        <v>69</v>
      </c>
      <c r="K3644" s="58">
        <f t="shared" si="3"/>
        <v>5</v>
      </c>
      <c r="L3644" s="91" t="str">
        <f t="shared" si="8"/>
        <v>Fri</v>
      </c>
      <c r="M3644" s="78" t="str">
        <f>IFERROR(VLOOKUP(A3644, Entries!A:B,2,false),"")</f>
        <v>PlayStation</v>
      </c>
      <c r="N3644" s="23" t="str">
        <f>IFERROR(VLOOKUP(A3644, Entries!A:K,11,false),"")</f>
        <v/>
      </c>
    </row>
    <row r="3645">
      <c r="A3645" s="78" t="s">
        <v>4355</v>
      </c>
      <c r="B3645" s="78" t="s">
        <v>27</v>
      </c>
      <c r="C3645" s="85">
        <v>45116.0</v>
      </c>
      <c r="D3645" s="85">
        <v>45116.0</v>
      </c>
      <c r="E3645" s="86">
        <v>8.59</v>
      </c>
      <c r="F3645" s="87">
        <v>10.21</v>
      </c>
      <c r="G3645" s="88">
        <f t="shared" si="1"/>
        <v>1.62</v>
      </c>
      <c r="H3645" s="89">
        <f t="shared" si="10"/>
        <v>0.1586679726</v>
      </c>
      <c r="I3645" s="78" t="s">
        <v>4363</v>
      </c>
      <c r="J3645" s="78" t="s">
        <v>69</v>
      </c>
      <c r="K3645" s="58">
        <f t="shared" si="3"/>
        <v>0</v>
      </c>
      <c r="L3645" s="91" t="str">
        <f t="shared" si="8"/>
        <v>Sun</v>
      </c>
      <c r="M3645" s="78" t="str">
        <f>IFERROR(VLOOKUP(A3645, Entries!A:B,2,false),"")</f>
        <v>Frontier Foundry</v>
      </c>
      <c r="N3645" s="23" t="str">
        <f>IFERROR(VLOOKUP(A3645, Entries!A:K,11,false),"")</f>
        <v/>
      </c>
    </row>
    <row r="3646">
      <c r="A3646" s="78" t="s">
        <v>4355</v>
      </c>
      <c r="B3646" s="78" t="s">
        <v>27</v>
      </c>
      <c r="C3646" s="85">
        <v>45116.0</v>
      </c>
      <c r="D3646" s="85">
        <v>45116.0</v>
      </c>
      <c r="E3646" s="86">
        <v>8.59</v>
      </c>
      <c r="F3646" s="87">
        <v>10.12</v>
      </c>
      <c r="G3646" s="88">
        <f t="shared" si="1"/>
        <v>1.53</v>
      </c>
      <c r="H3646" s="89">
        <f t="shared" si="10"/>
        <v>0.1511857708</v>
      </c>
      <c r="I3646" s="78" t="s">
        <v>4364</v>
      </c>
      <c r="J3646" s="78" t="s">
        <v>69</v>
      </c>
      <c r="K3646" s="58">
        <f t="shared" si="3"/>
        <v>0</v>
      </c>
      <c r="L3646" s="91" t="str">
        <f t="shared" si="8"/>
        <v>Sun</v>
      </c>
      <c r="M3646" s="78" t="str">
        <f>IFERROR(VLOOKUP(A3646, Entries!A:B,2,false),"")</f>
        <v>Frontier Foundry</v>
      </c>
      <c r="N3646" s="23" t="str">
        <f>IFERROR(VLOOKUP(A3646, Entries!A:K,11,false),"")</f>
        <v/>
      </c>
    </row>
    <row r="3647">
      <c r="A3647" s="78" t="s">
        <v>117</v>
      </c>
      <c r="B3647" s="78" t="s">
        <v>19</v>
      </c>
      <c r="C3647" s="85">
        <v>45116.0</v>
      </c>
      <c r="D3647" s="85">
        <v>45117.0</v>
      </c>
      <c r="E3647" s="86">
        <v>0.94</v>
      </c>
      <c r="F3647" s="87">
        <v>1.59</v>
      </c>
      <c r="G3647" s="88">
        <f t="shared" si="1"/>
        <v>0.65</v>
      </c>
      <c r="H3647" s="89">
        <f t="shared" si="10"/>
        <v>0.4088050314</v>
      </c>
      <c r="I3647" s="78" t="s">
        <v>4365</v>
      </c>
      <c r="J3647" s="78" t="s">
        <v>69</v>
      </c>
      <c r="K3647" s="58">
        <f t="shared" si="3"/>
        <v>1</v>
      </c>
      <c r="L3647" s="91" t="str">
        <f t="shared" si="8"/>
        <v>Mon</v>
      </c>
      <c r="M3647" s="78" t="str">
        <f>IFERROR(VLOOKUP(A3647, Entries!A:B,2,false),"")</f>
        <v>Starbreeze Publishing</v>
      </c>
      <c r="N3647" s="23" t="str">
        <f>IFERROR(VLOOKUP(A3647, Entries!A:K,11,false),"")</f>
        <v/>
      </c>
    </row>
    <row r="3648">
      <c r="A3648" s="78" t="s">
        <v>117</v>
      </c>
      <c r="B3648" s="78" t="s">
        <v>19</v>
      </c>
      <c r="C3648" s="85">
        <v>45116.0</v>
      </c>
      <c r="D3648" s="85">
        <v>45117.0</v>
      </c>
      <c r="E3648" s="86">
        <v>0.94</v>
      </c>
      <c r="F3648" s="87">
        <v>1.59</v>
      </c>
      <c r="G3648" s="88">
        <f t="shared" si="1"/>
        <v>0.65</v>
      </c>
      <c r="H3648" s="89">
        <f t="shared" si="10"/>
        <v>0.4088050314</v>
      </c>
      <c r="I3648" s="78" t="s">
        <v>4366</v>
      </c>
      <c r="J3648" s="78" t="s">
        <v>69</v>
      </c>
      <c r="K3648" s="58">
        <f t="shared" si="3"/>
        <v>1</v>
      </c>
      <c r="L3648" s="91" t="str">
        <f t="shared" si="8"/>
        <v>Mon</v>
      </c>
      <c r="M3648" s="78" t="str">
        <f>IFERROR(VLOOKUP(A3648, Entries!A:B,2,false),"")</f>
        <v>Starbreeze Publishing</v>
      </c>
      <c r="N3648" s="23" t="str">
        <f>IFERROR(VLOOKUP(A3648, Entries!A:K,11,false),"")</f>
        <v/>
      </c>
    </row>
    <row r="3649">
      <c r="A3649" s="78" t="s">
        <v>117</v>
      </c>
      <c r="B3649" s="78" t="s">
        <v>19</v>
      </c>
      <c r="C3649" s="85">
        <v>45116.0</v>
      </c>
      <c r="D3649" s="85">
        <v>45119.0</v>
      </c>
      <c r="E3649" s="86">
        <v>0.94</v>
      </c>
      <c r="F3649" s="87">
        <v>1.38</v>
      </c>
      <c r="G3649" s="88">
        <f t="shared" si="1"/>
        <v>0.44</v>
      </c>
      <c r="H3649" s="89">
        <f t="shared" si="10"/>
        <v>0.3188405797</v>
      </c>
      <c r="I3649" s="78" t="s">
        <v>4367</v>
      </c>
      <c r="J3649" s="78" t="s">
        <v>69</v>
      </c>
      <c r="K3649" s="58">
        <f t="shared" si="3"/>
        <v>3</v>
      </c>
      <c r="L3649" s="91" t="str">
        <f t="shared" si="8"/>
        <v>Wed</v>
      </c>
      <c r="M3649" s="78" t="str">
        <f>IFERROR(VLOOKUP(A3649, Entries!A:B,2,false),"")</f>
        <v>Starbreeze Publishing</v>
      </c>
      <c r="N3649" s="23" t="str">
        <f>IFERROR(VLOOKUP(A3649, Entries!A:K,11,false),"")</f>
        <v/>
      </c>
    </row>
    <row r="3650">
      <c r="A3650" s="78" t="s">
        <v>4368</v>
      </c>
      <c r="B3650" s="78" t="s">
        <v>21</v>
      </c>
      <c r="C3650" s="85">
        <v>45116.0</v>
      </c>
      <c r="D3650" s="85">
        <v>45122.0</v>
      </c>
      <c r="E3650" s="86">
        <v>31.37</v>
      </c>
      <c r="F3650" s="87">
        <v>42.58</v>
      </c>
      <c r="G3650" s="88">
        <f t="shared" si="1"/>
        <v>11.21</v>
      </c>
      <c r="H3650" s="89">
        <f t="shared" si="10"/>
        <v>0.2632691404</v>
      </c>
      <c r="I3650" s="78" t="s">
        <v>4369</v>
      </c>
      <c r="J3650" s="78" t="s">
        <v>69</v>
      </c>
      <c r="K3650" s="58">
        <f t="shared" si="3"/>
        <v>6</v>
      </c>
      <c r="L3650" s="91" t="str">
        <f t="shared" si="8"/>
        <v>Sat</v>
      </c>
      <c r="M3650" s="78" t="str">
        <f>IFERROR(VLOOKUP(A3650, Entries!A:B,2,false),"")</f>
        <v>SEGA</v>
      </c>
      <c r="N3650" s="23" t="str">
        <f>IFERROR(VLOOKUP(A3650, Entries!A:K,11,false),"")</f>
        <v/>
      </c>
    </row>
    <row r="3651">
      <c r="A3651" s="78" t="s">
        <v>4085</v>
      </c>
      <c r="B3651" s="78" t="s">
        <v>27</v>
      </c>
      <c r="C3651" s="85">
        <v>45116.0</v>
      </c>
      <c r="D3651" s="85">
        <v>45128.0</v>
      </c>
      <c r="E3651" s="86">
        <v>7.09</v>
      </c>
      <c r="F3651" s="87">
        <v>7.87</v>
      </c>
      <c r="G3651" s="88">
        <f t="shared" si="1"/>
        <v>0.78</v>
      </c>
      <c r="H3651" s="89">
        <f t="shared" si="10"/>
        <v>0.09911054638</v>
      </c>
      <c r="I3651" s="78" t="s">
        <v>4370</v>
      </c>
      <c r="J3651" s="78" t="s">
        <v>69</v>
      </c>
      <c r="K3651" s="58">
        <f t="shared" si="3"/>
        <v>12</v>
      </c>
      <c r="L3651" s="91" t="str">
        <f t="shared" si="8"/>
        <v>Fri</v>
      </c>
      <c r="M3651" s="78" t="str">
        <f>IFERROR(VLOOKUP(A3651, Entries!A:B,2,false),"")</f>
        <v>Bethesda Softworks</v>
      </c>
      <c r="N3651" s="23" t="str">
        <f>IFERROR(VLOOKUP(A3651, Entries!A:K,11,false),"")</f>
        <v/>
      </c>
    </row>
    <row r="3652">
      <c r="A3652" s="78" t="s">
        <v>4355</v>
      </c>
      <c r="B3652" s="78" t="s">
        <v>27</v>
      </c>
      <c r="C3652" s="85">
        <v>45116.0</v>
      </c>
      <c r="D3652" s="85">
        <v>45117.0</v>
      </c>
      <c r="E3652" s="86">
        <v>8.59</v>
      </c>
      <c r="F3652" s="87">
        <v>10.48</v>
      </c>
      <c r="G3652" s="88">
        <f t="shared" si="1"/>
        <v>1.89</v>
      </c>
      <c r="H3652" s="89">
        <f t="shared" si="10"/>
        <v>0.1803435115</v>
      </c>
      <c r="I3652" s="78" t="s">
        <v>4371</v>
      </c>
      <c r="J3652" s="78" t="s">
        <v>69</v>
      </c>
      <c r="K3652" s="58">
        <f t="shared" si="3"/>
        <v>1</v>
      </c>
      <c r="L3652" s="91" t="str">
        <f t="shared" si="8"/>
        <v>Mon</v>
      </c>
      <c r="M3652" s="78" t="str">
        <f>IFERROR(VLOOKUP(A3652, Entries!A:B,2,false),"")</f>
        <v>Frontier Foundry</v>
      </c>
      <c r="N3652" s="23" t="str">
        <f>IFERROR(VLOOKUP(A3652, Entries!A:K,11,false),"")</f>
        <v/>
      </c>
    </row>
    <row r="3653">
      <c r="A3653" s="78" t="s">
        <v>3309</v>
      </c>
      <c r="B3653" s="78" t="s">
        <v>27</v>
      </c>
      <c r="C3653" s="85">
        <v>45116.0</v>
      </c>
      <c r="D3653" s="85">
        <v>45121.0</v>
      </c>
      <c r="E3653" s="86">
        <v>3.89</v>
      </c>
      <c r="F3653" s="87">
        <v>4.16</v>
      </c>
      <c r="G3653" s="88">
        <f t="shared" si="1"/>
        <v>0.27</v>
      </c>
      <c r="H3653" s="89">
        <f t="shared" si="10"/>
        <v>0.06490384615</v>
      </c>
      <c r="I3653" s="78" t="s">
        <v>4372</v>
      </c>
      <c r="J3653" s="78" t="s">
        <v>69</v>
      </c>
      <c r="K3653" s="58">
        <f t="shared" si="3"/>
        <v>5</v>
      </c>
      <c r="L3653" s="91" t="str">
        <f t="shared" si="8"/>
        <v>Fri</v>
      </c>
      <c r="M3653" s="78" t="str">
        <f>IFERROR(VLOOKUP(A3653, Entries!A:B,2,false),"")</f>
        <v>Digixart</v>
      </c>
      <c r="N3653" s="23" t="str">
        <f>IFERROR(VLOOKUP(A3653, Entries!A:K,11,false),"")</f>
        <v/>
      </c>
    </row>
    <row r="3654">
      <c r="A3654" s="78" t="s">
        <v>2624</v>
      </c>
      <c r="B3654" s="78" t="s">
        <v>27</v>
      </c>
      <c r="C3654" s="85">
        <v>45117.0</v>
      </c>
      <c r="D3654" s="85">
        <v>45146.0</v>
      </c>
      <c r="E3654" s="86">
        <v>16.49</v>
      </c>
      <c r="F3654" s="87">
        <v>18.35</v>
      </c>
      <c r="G3654" s="88">
        <f t="shared" si="1"/>
        <v>1.86</v>
      </c>
      <c r="H3654" s="89">
        <f t="shared" si="10"/>
        <v>0.1013623978</v>
      </c>
      <c r="I3654" s="78" t="s">
        <v>4373</v>
      </c>
      <c r="J3654" s="78" t="s">
        <v>69</v>
      </c>
      <c r="K3654" s="58">
        <f t="shared" si="3"/>
        <v>29</v>
      </c>
      <c r="L3654" s="91" t="str">
        <f t="shared" si="8"/>
        <v>Tue</v>
      </c>
      <c r="M3654" s="78" t="str">
        <f>IFERROR(VLOOKUP(A3654, Entries!A:B,2,false),"")</f>
        <v>Daedalic Entertainment</v>
      </c>
      <c r="N3654" s="23" t="str">
        <f>IFERROR(VLOOKUP(A3654, Entries!A:K,11,false),"")</f>
        <v/>
      </c>
    </row>
    <row r="3655">
      <c r="A3655" s="94" t="s">
        <v>3242</v>
      </c>
      <c r="B3655" s="78" t="s">
        <v>27</v>
      </c>
      <c r="C3655" s="85">
        <v>45117.0</v>
      </c>
      <c r="D3655" s="85">
        <v>45674.0</v>
      </c>
      <c r="E3655" s="86">
        <v>19.79</v>
      </c>
      <c r="F3655" s="87">
        <v>19.44</v>
      </c>
      <c r="G3655" s="88">
        <f t="shared" si="1"/>
        <v>-0.35</v>
      </c>
      <c r="H3655" s="89">
        <f t="shared" si="10"/>
        <v>-0.01800411523</v>
      </c>
      <c r="I3655" s="78" t="s">
        <v>4374</v>
      </c>
      <c r="J3655" s="78" t="s">
        <v>69</v>
      </c>
      <c r="K3655" s="58">
        <f t="shared" si="3"/>
        <v>557</v>
      </c>
      <c r="L3655" s="91" t="str">
        <f t="shared" si="8"/>
        <v>Fri</v>
      </c>
      <c r="M3655" s="78" t="str">
        <f>IFERROR(VLOOKUP(A3655, Entries!A:B,2,false),"")</f>
        <v>Devolver Digital</v>
      </c>
      <c r="N3655" s="23" t="str">
        <f>IFERROR(VLOOKUP(A3655, Entries!A:K,11,false),"")</f>
        <v/>
      </c>
      <c r="O3655" s="23" t="b">
        <f>IFERROR(VLOOKUP(A3655, Entries!A:I,8,false),"")</f>
        <v>0</v>
      </c>
    </row>
    <row r="3656">
      <c r="A3656" s="78" t="s">
        <v>4375</v>
      </c>
      <c r="B3656" s="78" t="s">
        <v>23</v>
      </c>
      <c r="C3656" s="85">
        <v>45118.0</v>
      </c>
      <c r="D3656" s="85">
        <v>45121.0</v>
      </c>
      <c r="E3656" s="86">
        <v>5.51</v>
      </c>
      <c r="F3656" s="87">
        <v>6.13</v>
      </c>
      <c r="G3656" s="88">
        <f t="shared" si="1"/>
        <v>0.62</v>
      </c>
      <c r="H3656" s="89">
        <f t="shared" si="10"/>
        <v>0.101141925</v>
      </c>
      <c r="I3656" s="78" t="s">
        <v>4376</v>
      </c>
      <c r="J3656" s="78" t="s">
        <v>69</v>
      </c>
      <c r="K3656" s="58">
        <f t="shared" si="3"/>
        <v>3</v>
      </c>
      <c r="L3656" s="91" t="str">
        <f t="shared" si="8"/>
        <v>Fri</v>
      </c>
      <c r="M3656" s="78" t="str">
        <f>IFERROR(VLOOKUP(A3656, Entries!A:B,2,false),"")</f>
        <v>Crystal Dynamics</v>
      </c>
      <c r="N3656" s="23" t="str">
        <f>IFERROR(VLOOKUP(A3656, Entries!A:K,11,false),"")</f>
        <v/>
      </c>
    </row>
    <row r="3657">
      <c r="A3657" s="78" t="s">
        <v>4168</v>
      </c>
      <c r="B3657" s="78" t="s">
        <v>21</v>
      </c>
      <c r="C3657" s="85">
        <v>45118.0</v>
      </c>
      <c r="D3657" s="85">
        <v>45123.0</v>
      </c>
      <c r="E3657" s="86">
        <v>12.26</v>
      </c>
      <c r="F3657" s="87">
        <v>13.32</v>
      </c>
      <c r="G3657" s="88">
        <f t="shared" si="1"/>
        <v>1.06</v>
      </c>
      <c r="H3657" s="89">
        <f t="shared" si="10"/>
        <v>0.07957957958</v>
      </c>
      <c r="I3657" s="78" t="s">
        <v>4377</v>
      </c>
      <c r="J3657" s="78" t="s">
        <v>69</v>
      </c>
      <c r="K3657" s="58">
        <f t="shared" si="3"/>
        <v>5</v>
      </c>
      <c r="L3657" s="91" t="str">
        <f t="shared" si="8"/>
        <v>Sun</v>
      </c>
      <c r="M3657" s="78" t="str">
        <f>IFERROR(VLOOKUP(A3657, Entries!A:B,2,false),"")</f>
        <v>DANGEN Entertainment</v>
      </c>
      <c r="N3657" s="23" t="str">
        <f>IFERROR(VLOOKUP(A3657, Entries!A:K,11,false),"")</f>
        <v/>
      </c>
    </row>
    <row r="3658">
      <c r="A3658" s="78" t="s">
        <v>4168</v>
      </c>
      <c r="B3658" s="78" t="s">
        <v>21</v>
      </c>
      <c r="C3658" s="85">
        <v>45118.0</v>
      </c>
      <c r="D3658" s="85">
        <v>45155.0</v>
      </c>
      <c r="E3658" s="86">
        <v>12.26</v>
      </c>
      <c r="F3658" s="87">
        <v>15.54</v>
      </c>
      <c r="G3658" s="88">
        <f t="shared" si="1"/>
        <v>3.28</v>
      </c>
      <c r="H3658" s="89">
        <f t="shared" si="10"/>
        <v>0.2110682111</v>
      </c>
      <c r="I3658" s="78" t="s">
        <v>4378</v>
      </c>
      <c r="J3658" s="78" t="s">
        <v>69</v>
      </c>
      <c r="K3658" s="58">
        <f t="shared" si="3"/>
        <v>37</v>
      </c>
      <c r="L3658" s="91" t="str">
        <f t="shared" si="8"/>
        <v>Thu</v>
      </c>
      <c r="M3658" s="78" t="str">
        <f>IFERROR(VLOOKUP(A3658, Entries!A:B,2,false),"")</f>
        <v>DANGEN Entertainment</v>
      </c>
      <c r="N3658" s="23" t="str">
        <f>IFERROR(VLOOKUP(A3658, Entries!A:K,11,false),"")</f>
        <v/>
      </c>
    </row>
    <row r="3659">
      <c r="A3659" s="78" t="s">
        <v>4379</v>
      </c>
      <c r="B3659" s="78" t="s">
        <v>22</v>
      </c>
      <c r="C3659" s="85">
        <v>45118.0</v>
      </c>
      <c r="D3659" s="25"/>
      <c r="E3659" s="86">
        <v>7.26</v>
      </c>
      <c r="F3659" s="88"/>
      <c r="G3659" s="88">
        <f t="shared" si="1"/>
        <v>-7.26</v>
      </c>
      <c r="H3659" s="89" t="str">
        <f t="shared" si="10"/>
        <v/>
      </c>
      <c r="I3659" s="103" t="s">
        <v>4380</v>
      </c>
      <c r="J3659" s="78" t="s">
        <v>1129</v>
      </c>
      <c r="K3659" s="58" t="str">
        <f t="shared" si="3"/>
        <v/>
      </c>
      <c r="L3659" s="91" t="str">
        <f t="shared" si="8"/>
        <v/>
      </c>
      <c r="M3659" s="78" t="str">
        <f>IFERROR(VLOOKUP(A3659, Entries!A:B,2,false),"")</f>
        <v>tinyBuild</v>
      </c>
      <c r="N3659" s="23" t="str">
        <f>IFERROR(VLOOKUP(A3659, Entries!A:K,11,false),"")</f>
        <v/>
      </c>
      <c r="O3659" s="23" t="b">
        <f>IFERROR(VLOOKUP(A3659, Entries!A:I,8,false),"")</f>
        <v>0</v>
      </c>
    </row>
    <row r="3660">
      <c r="A3660" s="78" t="s">
        <v>117</v>
      </c>
      <c r="B3660" s="78" t="s">
        <v>19</v>
      </c>
      <c r="C3660" s="85">
        <v>45118.0</v>
      </c>
      <c r="D3660" s="85">
        <v>45120.0</v>
      </c>
      <c r="E3660" s="86">
        <v>0.92</v>
      </c>
      <c r="F3660" s="87">
        <v>1.36</v>
      </c>
      <c r="G3660" s="88">
        <f t="shared" si="1"/>
        <v>0.44</v>
      </c>
      <c r="H3660" s="89">
        <f t="shared" si="10"/>
        <v>0.3235294118</v>
      </c>
      <c r="I3660" s="78" t="s">
        <v>4381</v>
      </c>
      <c r="J3660" s="78" t="s">
        <v>69</v>
      </c>
      <c r="K3660" s="58">
        <f t="shared" si="3"/>
        <v>2</v>
      </c>
      <c r="L3660" s="91" t="str">
        <f t="shared" si="8"/>
        <v>Thu</v>
      </c>
      <c r="M3660" s="78" t="str">
        <f>IFERROR(VLOOKUP(A3660, Entries!A:B,2,false),"")</f>
        <v>Starbreeze Publishing</v>
      </c>
      <c r="N3660" s="23" t="str">
        <f>IFERROR(VLOOKUP(A3660, Entries!A:K,11,false),"")</f>
        <v/>
      </c>
    </row>
    <row r="3661">
      <c r="A3661" s="94" t="s">
        <v>4382</v>
      </c>
      <c r="B3661" s="78" t="s">
        <v>19</v>
      </c>
      <c r="C3661" s="85">
        <v>45118.0</v>
      </c>
      <c r="D3661" s="85">
        <v>45662.0</v>
      </c>
      <c r="E3661" s="86">
        <v>15.06</v>
      </c>
      <c r="F3661" s="87">
        <v>14.72</v>
      </c>
      <c r="G3661" s="88">
        <f t="shared" si="1"/>
        <v>-0.34</v>
      </c>
      <c r="H3661" s="89">
        <f t="shared" si="10"/>
        <v>-0.02309782609</v>
      </c>
      <c r="I3661" s="78" t="s">
        <v>4383</v>
      </c>
      <c r="J3661" s="78" t="s">
        <v>69</v>
      </c>
      <c r="K3661" s="58">
        <f t="shared" si="3"/>
        <v>544</v>
      </c>
      <c r="L3661" s="91" t="str">
        <f t="shared" si="8"/>
        <v>Sun</v>
      </c>
      <c r="M3661" s="78" t="str">
        <f>IFERROR(VLOOKUP(A3661, Entries!A:B,2,false),"")</f>
        <v>SEGA</v>
      </c>
      <c r="N3661" s="23" t="str">
        <f>IFERROR(VLOOKUP(A3661, Entries!A:K,11,false),"")</f>
        <v/>
      </c>
      <c r="O3661" s="23" t="b">
        <f>IFERROR(VLOOKUP(A3661, Entries!A:I,8,false),"")</f>
        <v>0</v>
      </c>
    </row>
    <row r="3662">
      <c r="A3662" s="78" t="s">
        <v>4384</v>
      </c>
      <c r="B3662" s="78" t="s">
        <v>19</v>
      </c>
      <c r="C3662" s="85">
        <v>45118.0</v>
      </c>
      <c r="D3662" s="85">
        <v>45119.0</v>
      </c>
      <c r="E3662" s="86">
        <v>0.0</v>
      </c>
      <c r="F3662" s="87">
        <v>1.63</v>
      </c>
      <c r="G3662" s="88">
        <f t="shared" si="1"/>
        <v>1.63</v>
      </c>
      <c r="H3662" s="89">
        <f t="shared" si="10"/>
        <v>1</v>
      </c>
      <c r="I3662" s="78" t="s">
        <v>4385</v>
      </c>
      <c r="J3662" s="78" t="s">
        <v>69</v>
      </c>
      <c r="K3662" s="58">
        <f t="shared" si="3"/>
        <v>1</v>
      </c>
      <c r="L3662" s="91" t="str">
        <f t="shared" si="8"/>
        <v>Wed</v>
      </c>
      <c r="M3662" s="78" t="str">
        <f>IFERROR(VLOOKUP(A3662, Entries!A:B,2,false),"")</f>
        <v>Curve Digital</v>
      </c>
      <c r="N3662" s="23" t="str">
        <f>IFERROR(VLOOKUP(A3662, Entries!A:K,11,false),"")</f>
        <v/>
      </c>
    </row>
    <row r="3663">
      <c r="A3663" s="78" t="s">
        <v>1887</v>
      </c>
      <c r="B3663" s="78" t="s">
        <v>27</v>
      </c>
      <c r="C3663" s="85">
        <v>45119.0</v>
      </c>
      <c r="D3663" s="85">
        <v>45126.0</v>
      </c>
      <c r="E3663" s="86">
        <v>11.19</v>
      </c>
      <c r="F3663" s="87">
        <v>14.57</v>
      </c>
      <c r="G3663" s="88">
        <f t="shared" si="1"/>
        <v>3.38</v>
      </c>
      <c r="H3663" s="89">
        <f t="shared" si="10"/>
        <v>0.2319835278</v>
      </c>
      <c r="I3663" s="78" t="s">
        <v>4386</v>
      </c>
      <c r="J3663" s="78" t="s">
        <v>69</v>
      </c>
      <c r="K3663" s="58">
        <f t="shared" si="3"/>
        <v>7</v>
      </c>
      <c r="L3663" s="91" t="str">
        <f t="shared" si="8"/>
        <v>Wed</v>
      </c>
      <c r="M3663" s="78" t="str">
        <f>IFERROR(VLOOKUP(A3663, Entries!A:B,2,false),"")</f>
        <v>Devolver Digital</v>
      </c>
      <c r="N3663" s="23" t="str">
        <f>IFERROR(VLOOKUP(A3663, Entries!A:K,11,false),"")</f>
        <v/>
      </c>
    </row>
    <row r="3664">
      <c r="A3664" s="78" t="s">
        <v>4387</v>
      </c>
      <c r="B3664" s="78" t="s">
        <v>30</v>
      </c>
      <c r="C3664" s="85">
        <v>45119.0</v>
      </c>
      <c r="D3664" s="85">
        <v>45120.0</v>
      </c>
      <c r="E3664" s="86">
        <v>18.97</v>
      </c>
      <c r="F3664" s="87">
        <v>20.65</v>
      </c>
      <c r="G3664" s="88">
        <f t="shared" si="1"/>
        <v>1.68</v>
      </c>
      <c r="H3664" s="89">
        <f t="shared" si="10"/>
        <v>0.0813559322</v>
      </c>
      <c r="I3664" s="78" t="s">
        <v>4388</v>
      </c>
      <c r="J3664" s="78" t="s">
        <v>69</v>
      </c>
      <c r="K3664" s="58">
        <f t="shared" si="3"/>
        <v>1</v>
      </c>
      <c r="L3664" s="91" t="str">
        <f t="shared" si="8"/>
        <v>Thu</v>
      </c>
      <c r="M3664" s="78" t="str">
        <f>IFERROR(VLOOKUP(A3664, Entries!A:B,2,false),"")</f>
        <v>2K</v>
      </c>
      <c r="N3664" s="23" t="str">
        <f>IFERROR(VLOOKUP(A3664, Entries!A:K,11,false),"")</f>
        <v/>
      </c>
    </row>
    <row r="3665">
      <c r="A3665" s="78" t="s">
        <v>3897</v>
      </c>
      <c r="B3665" s="78" t="s">
        <v>27</v>
      </c>
      <c r="C3665" s="85">
        <v>45120.0</v>
      </c>
      <c r="D3665" s="85">
        <v>45124.0</v>
      </c>
      <c r="E3665" s="86">
        <v>4.69</v>
      </c>
      <c r="F3665" s="87">
        <v>5.45</v>
      </c>
      <c r="G3665" s="88">
        <f t="shared" si="1"/>
        <v>0.76</v>
      </c>
      <c r="H3665" s="89">
        <f t="shared" si="10"/>
        <v>0.1394495413</v>
      </c>
      <c r="I3665" s="78" t="s">
        <v>4389</v>
      </c>
      <c r="J3665" s="78" t="s">
        <v>69</v>
      </c>
      <c r="K3665" s="58">
        <f t="shared" si="3"/>
        <v>4</v>
      </c>
      <c r="L3665" s="91" t="str">
        <f t="shared" si="8"/>
        <v>Mon</v>
      </c>
      <c r="M3665" s="78" t="str">
        <f>IFERROR(VLOOKUP(A3665, Entries!A:B,2,false),"")</f>
        <v>Bethesda Softworks</v>
      </c>
      <c r="N3665" s="23" t="str">
        <f>IFERROR(VLOOKUP(A3665, Entries!A:K,11,false),"")</f>
        <v/>
      </c>
    </row>
    <row r="3666">
      <c r="A3666" s="78" t="s">
        <v>4390</v>
      </c>
      <c r="B3666" s="78" t="s">
        <v>27</v>
      </c>
      <c r="C3666" s="85">
        <v>45120.0</v>
      </c>
      <c r="D3666" s="85">
        <v>45325.0</v>
      </c>
      <c r="E3666" s="86">
        <v>12.99</v>
      </c>
      <c r="F3666" s="87">
        <v>22.85</v>
      </c>
      <c r="G3666" s="88">
        <f t="shared" si="1"/>
        <v>9.86</v>
      </c>
      <c r="H3666" s="89">
        <f t="shared" si="10"/>
        <v>0.4315098468</v>
      </c>
      <c r="I3666" s="78" t="s">
        <v>4391</v>
      </c>
      <c r="J3666" s="78" t="s">
        <v>69</v>
      </c>
      <c r="K3666" s="58">
        <f t="shared" si="3"/>
        <v>205</v>
      </c>
      <c r="L3666" s="91" t="str">
        <f t="shared" si="8"/>
        <v>Sat</v>
      </c>
      <c r="M3666" s="78" t="str">
        <f>IFERROR(VLOOKUP(A3666, Entries!A:B,2,false),"")</f>
        <v>Annapurna Interactive</v>
      </c>
      <c r="N3666" s="23" t="str">
        <f>IFERROR(VLOOKUP(A3666, Entries!A:K,11,false),"")</f>
        <v/>
      </c>
      <c r="O3666" s="23" t="b">
        <f>IFERROR(VLOOKUP(A3666, Entries!A:I,8,false),"")</f>
        <v>0</v>
      </c>
    </row>
    <row r="3667">
      <c r="A3667" s="78" t="s">
        <v>4217</v>
      </c>
      <c r="B3667" s="78" t="s">
        <v>23</v>
      </c>
      <c r="C3667" s="85">
        <v>45120.0</v>
      </c>
      <c r="D3667" s="85">
        <v>45121.0</v>
      </c>
      <c r="E3667" s="86">
        <v>16.79</v>
      </c>
      <c r="F3667" s="87">
        <v>24.9</v>
      </c>
      <c r="G3667" s="88">
        <f t="shared" si="1"/>
        <v>8.11</v>
      </c>
      <c r="H3667" s="89">
        <f t="shared" si="10"/>
        <v>0.3257028112</v>
      </c>
      <c r="I3667" s="78" t="s">
        <v>4392</v>
      </c>
      <c r="J3667" s="78" t="s">
        <v>69</v>
      </c>
      <c r="K3667" s="58">
        <f t="shared" si="3"/>
        <v>1</v>
      </c>
      <c r="L3667" s="91" t="str">
        <f t="shared" si="8"/>
        <v>Fri</v>
      </c>
      <c r="M3667" s="78" t="str">
        <f>IFERROR(VLOOKUP(A3667, Entries!A:B,2,false),"")</f>
        <v>Studio Wildcard</v>
      </c>
      <c r="N3667" s="23" t="str">
        <f>IFERROR(VLOOKUP(A3667, Entries!A:K,11,false),"")</f>
        <v/>
      </c>
    </row>
    <row r="3668">
      <c r="A3668" s="78" t="s">
        <v>1849</v>
      </c>
      <c r="B3668" s="78" t="s">
        <v>19</v>
      </c>
      <c r="C3668" s="85">
        <v>45120.0</v>
      </c>
      <c r="D3668" s="85">
        <v>45121.0</v>
      </c>
      <c r="E3668" s="86">
        <v>4.35</v>
      </c>
      <c r="F3668" s="87">
        <v>5.79</v>
      </c>
      <c r="G3668" s="88">
        <f t="shared" si="1"/>
        <v>1.44</v>
      </c>
      <c r="H3668" s="89">
        <f t="shared" si="10"/>
        <v>0.2487046632</v>
      </c>
      <c r="I3668" s="78" t="s">
        <v>4393</v>
      </c>
      <c r="J3668" s="78" t="s">
        <v>69</v>
      </c>
      <c r="K3668" s="58">
        <f t="shared" si="3"/>
        <v>1</v>
      </c>
      <c r="L3668" s="91" t="str">
        <f t="shared" si="8"/>
        <v>Fri</v>
      </c>
      <c r="M3668" s="78" t="str">
        <f>IFERROR(VLOOKUP(A3668, Entries!A:B,2,false),"")</f>
        <v>Marmalade Game Studio</v>
      </c>
      <c r="N3668" s="23" t="str">
        <f>IFERROR(VLOOKUP(A3668, Entries!A:K,11,false),"")</f>
        <v/>
      </c>
    </row>
    <row r="3669">
      <c r="A3669" s="78" t="s">
        <v>2013</v>
      </c>
      <c r="B3669" s="78" t="s">
        <v>30</v>
      </c>
      <c r="C3669" s="85">
        <v>45120.0</v>
      </c>
      <c r="D3669" s="85">
        <v>45120.0</v>
      </c>
      <c r="E3669" s="86">
        <v>7.56</v>
      </c>
      <c r="F3669" s="87">
        <v>9.7</v>
      </c>
      <c r="G3669" s="88">
        <f t="shared" si="1"/>
        <v>2.14</v>
      </c>
      <c r="H3669" s="89">
        <f t="shared" si="10"/>
        <v>0.2206185567</v>
      </c>
      <c r="I3669" s="78" t="s">
        <v>4394</v>
      </c>
      <c r="J3669" s="78" t="s">
        <v>69</v>
      </c>
      <c r="K3669" s="58">
        <f t="shared" si="3"/>
        <v>0</v>
      </c>
      <c r="L3669" s="91" t="str">
        <f t="shared" si="8"/>
        <v>Thu</v>
      </c>
      <c r="M3669" s="78" t="str">
        <f>IFERROR(VLOOKUP(A3669, Entries!A:B,2,false),"")</f>
        <v>2K</v>
      </c>
      <c r="N3669" s="23" t="str">
        <f>IFERROR(VLOOKUP(A3669, Entries!A:K,11,false),"")</f>
        <v/>
      </c>
    </row>
    <row r="3670">
      <c r="A3670" s="78" t="s">
        <v>2013</v>
      </c>
      <c r="B3670" s="78" t="s">
        <v>30</v>
      </c>
      <c r="C3670" s="85">
        <v>45120.0</v>
      </c>
      <c r="D3670" s="85">
        <v>45121.0</v>
      </c>
      <c r="E3670" s="86">
        <v>7.56</v>
      </c>
      <c r="F3670" s="87">
        <v>8.68</v>
      </c>
      <c r="G3670" s="88">
        <f t="shared" si="1"/>
        <v>1.12</v>
      </c>
      <c r="H3670" s="89">
        <f t="shared" si="10"/>
        <v>0.1290322581</v>
      </c>
      <c r="I3670" s="78" t="s">
        <v>4395</v>
      </c>
      <c r="J3670" s="78" t="s">
        <v>69</v>
      </c>
      <c r="K3670" s="58">
        <f t="shared" si="3"/>
        <v>1</v>
      </c>
      <c r="L3670" s="91" t="str">
        <f t="shared" si="8"/>
        <v>Fri</v>
      </c>
      <c r="M3670" s="78" t="str">
        <f>IFERROR(VLOOKUP(A3670, Entries!A:B,2,false),"")</f>
        <v>2K</v>
      </c>
      <c r="N3670" s="23" t="str">
        <f>IFERROR(VLOOKUP(A3670, Entries!A:K,11,false),"")</f>
        <v/>
      </c>
    </row>
    <row r="3671">
      <c r="A3671" s="78" t="s">
        <v>4375</v>
      </c>
      <c r="B3671" s="78" t="s">
        <v>23</v>
      </c>
      <c r="C3671" s="85">
        <v>45121.0</v>
      </c>
      <c r="D3671" s="85">
        <v>45122.0</v>
      </c>
      <c r="E3671" s="86">
        <v>5.24</v>
      </c>
      <c r="F3671" s="87">
        <v>5.28</v>
      </c>
      <c r="G3671" s="88">
        <f t="shared" si="1"/>
        <v>0.04</v>
      </c>
      <c r="H3671" s="89">
        <f t="shared" si="10"/>
        <v>0.007575757576</v>
      </c>
      <c r="I3671" s="78" t="s">
        <v>4396</v>
      </c>
      <c r="J3671" s="78" t="s">
        <v>69</v>
      </c>
      <c r="K3671" s="58">
        <f t="shared" si="3"/>
        <v>1</v>
      </c>
      <c r="L3671" s="91" t="str">
        <f t="shared" si="8"/>
        <v>Sat</v>
      </c>
      <c r="M3671" s="78" t="str">
        <f>IFERROR(VLOOKUP(A3671, Entries!A:B,2,false),"")</f>
        <v>Crystal Dynamics</v>
      </c>
      <c r="N3671" s="23" t="str">
        <f>IFERROR(VLOOKUP(A3671, Entries!A:K,11,false),"")</f>
        <v/>
      </c>
    </row>
    <row r="3672">
      <c r="A3672" s="78" t="s">
        <v>4217</v>
      </c>
      <c r="B3672" s="78" t="s">
        <v>23</v>
      </c>
      <c r="C3672" s="85">
        <v>45121.0</v>
      </c>
      <c r="D3672" s="85">
        <v>45122.0</v>
      </c>
      <c r="E3672" s="86">
        <v>16.79</v>
      </c>
      <c r="F3672" s="87">
        <v>24.85</v>
      </c>
      <c r="G3672" s="88">
        <f t="shared" si="1"/>
        <v>8.06</v>
      </c>
      <c r="H3672" s="89">
        <f t="shared" si="10"/>
        <v>0.3243460765</v>
      </c>
      <c r="I3672" s="78" t="s">
        <v>4397</v>
      </c>
      <c r="J3672" s="78" t="s">
        <v>69</v>
      </c>
      <c r="K3672" s="58">
        <f t="shared" si="3"/>
        <v>1</v>
      </c>
      <c r="L3672" s="91" t="str">
        <f t="shared" si="8"/>
        <v>Sat</v>
      </c>
      <c r="M3672" s="78" t="str">
        <f>IFERROR(VLOOKUP(A3672, Entries!A:B,2,false),"")</f>
        <v>Studio Wildcard</v>
      </c>
      <c r="N3672" s="23" t="str">
        <f>IFERROR(VLOOKUP(A3672, Entries!A:K,11,false),"")</f>
        <v/>
      </c>
    </row>
    <row r="3673">
      <c r="A3673" s="78" t="s">
        <v>2013</v>
      </c>
      <c r="B3673" s="78" t="s">
        <v>30</v>
      </c>
      <c r="C3673" s="85">
        <v>45121.0</v>
      </c>
      <c r="D3673" s="85">
        <v>45121.0</v>
      </c>
      <c r="E3673" s="86">
        <v>7.48</v>
      </c>
      <c r="F3673" s="87">
        <v>8.68</v>
      </c>
      <c r="G3673" s="88">
        <f t="shared" si="1"/>
        <v>1.2</v>
      </c>
      <c r="H3673" s="89">
        <f t="shared" si="10"/>
        <v>0.1382488479</v>
      </c>
      <c r="I3673" s="78" t="s">
        <v>4398</v>
      </c>
      <c r="J3673" s="78" t="s">
        <v>69</v>
      </c>
      <c r="K3673" s="58">
        <f t="shared" si="3"/>
        <v>0</v>
      </c>
      <c r="L3673" s="91" t="str">
        <f t="shared" si="8"/>
        <v>Fri</v>
      </c>
      <c r="M3673" s="78" t="str">
        <f>IFERROR(VLOOKUP(A3673, Entries!A:B,2,false),"")</f>
        <v>2K</v>
      </c>
      <c r="N3673" s="23" t="str">
        <f>IFERROR(VLOOKUP(A3673, Entries!A:K,11,false),"")</f>
        <v/>
      </c>
    </row>
    <row r="3674">
      <c r="A3674" s="78" t="s">
        <v>1265</v>
      </c>
      <c r="B3674" s="78" t="s">
        <v>21</v>
      </c>
      <c r="C3674" s="85">
        <v>45121.0</v>
      </c>
      <c r="D3674" s="85">
        <v>45200.0</v>
      </c>
      <c r="E3674" s="86">
        <v>4.11</v>
      </c>
      <c r="F3674" s="87">
        <v>4.77</v>
      </c>
      <c r="G3674" s="88">
        <f t="shared" si="1"/>
        <v>0.66</v>
      </c>
      <c r="H3674" s="89">
        <f t="shared" si="10"/>
        <v>0.1383647799</v>
      </c>
      <c r="I3674" s="78" t="s">
        <v>4399</v>
      </c>
      <c r="J3674" s="78" t="s">
        <v>69</v>
      </c>
      <c r="K3674" s="58">
        <f t="shared" si="3"/>
        <v>79</v>
      </c>
      <c r="L3674" s="91" t="str">
        <f t="shared" si="8"/>
        <v>Sun</v>
      </c>
      <c r="M3674" s="78" t="str">
        <f>IFERROR(VLOOKUP(A3674, Entries!A:B,2,false),"")</f>
        <v>Image &amp; Form Games</v>
      </c>
      <c r="N3674" s="23" t="str">
        <f>IFERROR(VLOOKUP(A3674, Entries!A:K,11,false),"")</f>
        <v/>
      </c>
      <c r="O3674" s="23" t="b">
        <f>IFERROR(VLOOKUP(A3674, Entries!A:I,8,false),"")</f>
        <v>0</v>
      </c>
    </row>
    <row r="3675">
      <c r="A3675" s="78" t="s">
        <v>1265</v>
      </c>
      <c r="B3675" s="78" t="s">
        <v>21</v>
      </c>
      <c r="C3675" s="85">
        <v>45121.0</v>
      </c>
      <c r="D3675" s="85">
        <v>45232.0</v>
      </c>
      <c r="E3675" s="86">
        <v>4.11</v>
      </c>
      <c r="F3675" s="87">
        <v>4.36</v>
      </c>
      <c r="G3675" s="88">
        <f t="shared" si="1"/>
        <v>0.25</v>
      </c>
      <c r="H3675" s="89">
        <f t="shared" si="10"/>
        <v>0.05733944954</v>
      </c>
      <c r="I3675" s="78" t="s">
        <v>4400</v>
      </c>
      <c r="J3675" s="78" t="s">
        <v>69</v>
      </c>
      <c r="K3675" s="58">
        <f t="shared" si="3"/>
        <v>111</v>
      </c>
      <c r="L3675" s="91" t="str">
        <f t="shared" si="8"/>
        <v>Thu</v>
      </c>
      <c r="M3675" s="78" t="str">
        <f>IFERROR(VLOOKUP(A3675, Entries!A:B,2,false),"")</f>
        <v>Image &amp; Form Games</v>
      </c>
      <c r="N3675" s="23" t="str">
        <f>IFERROR(VLOOKUP(A3675, Entries!A:K,11,false),"")</f>
        <v/>
      </c>
      <c r="O3675" s="23" t="b">
        <f>IFERROR(VLOOKUP(A3675, Entries!A:I,8,false),"")</f>
        <v>0</v>
      </c>
    </row>
    <row r="3676">
      <c r="A3676" s="78" t="s">
        <v>4355</v>
      </c>
      <c r="B3676" s="78" t="s">
        <v>18</v>
      </c>
      <c r="C3676" s="85">
        <v>45121.0</v>
      </c>
      <c r="D3676" s="85">
        <v>45122.0</v>
      </c>
      <c r="E3676" s="86">
        <v>11.89</v>
      </c>
      <c r="F3676" s="87">
        <v>13.89</v>
      </c>
      <c r="G3676" s="88">
        <f t="shared" si="1"/>
        <v>2</v>
      </c>
      <c r="H3676" s="89">
        <f t="shared" si="10"/>
        <v>0.1439884809</v>
      </c>
      <c r="I3676" s="78" t="s">
        <v>4401</v>
      </c>
      <c r="J3676" s="78" t="s">
        <v>69</v>
      </c>
      <c r="K3676" s="58">
        <f t="shared" si="3"/>
        <v>1</v>
      </c>
      <c r="L3676" s="91" t="str">
        <f t="shared" si="8"/>
        <v>Sat</v>
      </c>
      <c r="M3676" s="78" t="str">
        <f>IFERROR(VLOOKUP(A3676, Entries!A:B,2,false),"")</f>
        <v>Frontier Foundry</v>
      </c>
      <c r="N3676" s="23" t="str">
        <f>IFERROR(VLOOKUP(A3676, Entries!A:K,11,false),"")</f>
        <v/>
      </c>
    </row>
    <row r="3677">
      <c r="A3677" s="78" t="s">
        <v>4355</v>
      </c>
      <c r="B3677" s="78" t="s">
        <v>18</v>
      </c>
      <c r="C3677" s="85">
        <v>45121.0</v>
      </c>
      <c r="D3677" s="85">
        <v>45122.0</v>
      </c>
      <c r="E3677" s="86">
        <v>11.9</v>
      </c>
      <c r="F3677" s="87">
        <v>14.13</v>
      </c>
      <c r="G3677" s="88">
        <f t="shared" si="1"/>
        <v>2.23</v>
      </c>
      <c r="H3677" s="89">
        <f t="shared" si="10"/>
        <v>0.1578202406</v>
      </c>
      <c r="I3677" s="78" t="s">
        <v>4402</v>
      </c>
      <c r="J3677" s="78" t="s">
        <v>69</v>
      </c>
      <c r="K3677" s="58">
        <f t="shared" si="3"/>
        <v>1</v>
      </c>
      <c r="L3677" s="91" t="str">
        <f t="shared" si="8"/>
        <v>Sat</v>
      </c>
      <c r="M3677" s="78" t="str">
        <f>IFERROR(VLOOKUP(A3677, Entries!A:B,2,false),"")</f>
        <v>Frontier Foundry</v>
      </c>
      <c r="N3677" s="23" t="str">
        <f>IFERROR(VLOOKUP(A3677, Entries!A:K,11,false),"")</f>
        <v/>
      </c>
    </row>
    <row r="3678">
      <c r="A3678" s="78" t="s">
        <v>4403</v>
      </c>
      <c r="B3678" s="78" t="s">
        <v>19</v>
      </c>
      <c r="C3678" s="85">
        <v>45121.0</v>
      </c>
      <c r="D3678" s="85">
        <v>45140.0</v>
      </c>
      <c r="E3678" s="86">
        <v>14.27</v>
      </c>
      <c r="F3678" s="87">
        <v>17.87</v>
      </c>
      <c r="G3678" s="88">
        <f t="shared" si="1"/>
        <v>3.6</v>
      </c>
      <c r="H3678" s="89">
        <f t="shared" si="10"/>
        <v>0.2014549524</v>
      </c>
      <c r="I3678" s="78" t="s">
        <v>4404</v>
      </c>
      <c r="J3678" s="78" t="s">
        <v>69</v>
      </c>
      <c r="K3678" s="58">
        <f t="shared" si="3"/>
        <v>19</v>
      </c>
      <c r="L3678" s="91" t="str">
        <f t="shared" si="8"/>
        <v>Wed</v>
      </c>
      <c r="M3678" s="78" t="str">
        <f>IFERROR(VLOOKUP(A3678, Entries!A:B,2,false),"")</f>
        <v>Pathea Games</v>
      </c>
      <c r="N3678" s="23" t="str">
        <f>IFERROR(VLOOKUP(A3678, Entries!A:K,11,false),"")</f>
        <v/>
      </c>
    </row>
    <row r="3679">
      <c r="A3679" s="78" t="s">
        <v>2013</v>
      </c>
      <c r="B3679" s="78" t="s">
        <v>30</v>
      </c>
      <c r="C3679" s="85">
        <v>45121.0</v>
      </c>
      <c r="D3679" s="85">
        <v>45121.0</v>
      </c>
      <c r="E3679" s="86">
        <v>7.48</v>
      </c>
      <c r="F3679" s="87">
        <v>8.68</v>
      </c>
      <c r="G3679" s="88">
        <f t="shared" si="1"/>
        <v>1.2</v>
      </c>
      <c r="H3679" s="89">
        <f t="shared" si="10"/>
        <v>0.1382488479</v>
      </c>
      <c r="I3679" s="78" t="s">
        <v>4405</v>
      </c>
      <c r="J3679" s="78" t="s">
        <v>69</v>
      </c>
      <c r="K3679" s="58">
        <f t="shared" si="3"/>
        <v>0</v>
      </c>
      <c r="L3679" s="91" t="str">
        <f t="shared" si="8"/>
        <v>Fri</v>
      </c>
      <c r="M3679" s="78" t="str">
        <f>IFERROR(VLOOKUP(A3679, Entries!A:B,2,false),"")</f>
        <v>2K</v>
      </c>
      <c r="N3679" s="23" t="str">
        <f>IFERROR(VLOOKUP(A3679, Entries!A:K,11,false),"")</f>
        <v/>
      </c>
    </row>
    <row r="3680">
      <c r="A3680" s="78" t="s">
        <v>3309</v>
      </c>
      <c r="B3680" s="78" t="s">
        <v>27</v>
      </c>
      <c r="C3680" s="85">
        <v>45121.0</v>
      </c>
      <c r="D3680" s="85">
        <v>45130.0</v>
      </c>
      <c r="E3680" s="86">
        <v>3.89</v>
      </c>
      <c r="F3680" s="87">
        <v>5.02</v>
      </c>
      <c r="G3680" s="88">
        <f t="shared" si="1"/>
        <v>1.13</v>
      </c>
      <c r="H3680" s="89">
        <f t="shared" si="10"/>
        <v>0.2250996016</v>
      </c>
      <c r="I3680" s="78" t="s">
        <v>4406</v>
      </c>
      <c r="J3680" s="78" t="s">
        <v>69</v>
      </c>
      <c r="K3680" s="58">
        <f t="shared" si="3"/>
        <v>9</v>
      </c>
      <c r="L3680" s="91" t="str">
        <f t="shared" si="8"/>
        <v>Sun</v>
      </c>
      <c r="M3680" s="78" t="str">
        <f>IFERROR(VLOOKUP(A3680, Entries!A:B,2,false),"")</f>
        <v>Digixart</v>
      </c>
      <c r="N3680" s="23" t="str">
        <f>IFERROR(VLOOKUP(A3680, Entries!A:K,11,false),"")</f>
        <v/>
      </c>
    </row>
    <row r="3681">
      <c r="A3681" s="78" t="s">
        <v>2013</v>
      </c>
      <c r="B3681" s="78" t="s">
        <v>30</v>
      </c>
      <c r="C3681" s="85">
        <v>45121.0</v>
      </c>
      <c r="D3681" s="85">
        <v>45122.0</v>
      </c>
      <c r="E3681" s="86">
        <v>7.48</v>
      </c>
      <c r="F3681" s="87">
        <v>8.66</v>
      </c>
      <c r="G3681" s="88">
        <f t="shared" si="1"/>
        <v>1.18</v>
      </c>
      <c r="H3681" s="89">
        <f t="shared" si="10"/>
        <v>0.1362586605</v>
      </c>
      <c r="I3681" s="78" t="s">
        <v>4407</v>
      </c>
      <c r="J3681" s="78" t="s">
        <v>69</v>
      </c>
      <c r="K3681" s="58">
        <f t="shared" si="3"/>
        <v>1</v>
      </c>
      <c r="L3681" s="91" t="str">
        <f t="shared" si="8"/>
        <v>Sat</v>
      </c>
      <c r="M3681" s="78" t="str">
        <f>IFERROR(VLOOKUP(A3681, Entries!A:B,2,false),"")</f>
        <v>2K</v>
      </c>
      <c r="N3681" s="23" t="str">
        <f>IFERROR(VLOOKUP(A3681, Entries!A:K,11,false),"")</f>
        <v/>
      </c>
    </row>
    <row r="3682">
      <c r="A3682" s="78" t="s">
        <v>4408</v>
      </c>
      <c r="B3682" s="78" t="s">
        <v>18</v>
      </c>
      <c r="C3682" s="85">
        <v>45121.0</v>
      </c>
      <c r="D3682" s="85">
        <v>45126.0</v>
      </c>
      <c r="E3682" s="86">
        <v>19.99</v>
      </c>
      <c r="F3682" s="87">
        <v>22.27</v>
      </c>
      <c r="G3682" s="88">
        <f t="shared" si="1"/>
        <v>2.28</v>
      </c>
      <c r="H3682" s="89">
        <f t="shared" si="10"/>
        <v>0.1023798833</v>
      </c>
      <c r="I3682" s="78" t="s">
        <v>4409</v>
      </c>
      <c r="J3682" s="78" t="s">
        <v>69</v>
      </c>
      <c r="K3682" s="58">
        <f t="shared" si="3"/>
        <v>5</v>
      </c>
      <c r="L3682" s="91" t="str">
        <f t="shared" si="8"/>
        <v>Wed</v>
      </c>
      <c r="M3682" s="78" t="str">
        <f>IFERROR(VLOOKUP(A3682, Entries!A:B,2,false),"")</f>
        <v/>
      </c>
      <c r="N3682" s="23" t="str">
        <f>IFERROR(VLOOKUP(A3682, Entries!A:K,11,false),"")</f>
        <v/>
      </c>
    </row>
    <row r="3683">
      <c r="A3683" s="78" t="s">
        <v>2013</v>
      </c>
      <c r="B3683" s="78" t="s">
        <v>30</v>
      </c>
      <c r="C3683" s="85">
        <v>45122.0</v>
      </c>
      <c r="D3683" s="85">
        <v>45122.0</v>
      </c>
      <c r="E3683" s="86">
        <v>7.43</v>
      </c>
      <c r="F3683" s="87">
        <v>8.66</v>
      </c>
      <c r="G3683" s="88">
        <f t="shared" si="1"/>
        <v>1.23</v>
      </c>
      <c r="H3683" s="89">
        <f t="shared" si="10"/>
        <v>0.1420323326</v>
      </c>
      <c r="I3683" s="78" t="s">
        <v>4410</v>
      </c>
      <c r="J3683" s="78" t="s">
        <v>69</v>
      </c>
      <c r="K3683" s="58">
        <f t="shared" si="3"/>
        <v>0</v>
      </c>
      <c r="L3683" s="91" t="str">
        <f t="shared" si="8"/>
        <v>Sat</v>
      </c>
      <c r="M3683" s="78" t="str">
        <f>IFERROR(VLOOKUP(A3683, Entries!A:B,2,false),"")</f>
        <v>2K</v>
      </c>
      <c r="N3683" s="23" t="str">
        <f>IFERROR(VLOOKUP(A3683, Entries!A:K,11,false),"")</f>
        <v/>
      </c>
    </row>
    <row r="3684">
      <c r="A3684" s="78" t="s">
        <v>4375</v>
      </c>
      <c r="B3684" s="78" t="s">
        <v>23</v>
      </c>
      <c r="C3684" s="85">
        <v>45122.0</v>
      </c>
      <c r="D3684" s="85">
        <v>45123.0</v>
      </c>
      <c r="E3684" s="86">
        <v>5.23</v>
      </c>
      <c r="F3684" s="87">
        <v>5.72</v>
      </c>
      <c r="G3684" s="88">
        <f t="shared" si="1"/>
        <v>0.49</v>
      </c>
      <c r="H3684" s="89">
        <f t="shared" si="10"/>
        <v>0.08566433566</v>
      </c>
      <c r="I3684" s="78" t="s">
        <v>4411</v>
      </c>
      <c r="J3684" s="78" t="s">
        <v>69</v>
      </c>
      <c r="K3684" s="58">
        <f t="shared" si="3"/>
        <v>1</v>
      </c>
      <c r="L3684" s="91" t="str">
        <f t="shared" si="8"/>
        <v>Sun</v>
      </c>
      <c r="M3684" s="78" t="str">
        <f>IFERROR(VLOOKUP(A3684, Entries!A:B,2,false),"")</f>
        <v>Crystal Dynamics</v>
      </c>
      <c r="N3684" s="23" t="str">
        <f>IFERROR(VLOOKUP(A3684, Entries!A:K,11,false),"")</f>
        <v/>
      </c>
    </row>
    <row r="3685">
      <c r="A3685" s="78" t="s">
        <v>4351</v>
      </c>
      <c r="B3685" s="78" t="s">
        <v>21</v>
      </c>
      <c r="C3685" s="85">
        <v>45122.0</v>
      </c>
      <c r="D3685" s="85">
        <v>45134.0</v>
      </c>
      <c r="E3685" s="86">
        <v>15.23</v>
      </c>
      <c r="F3685" s="87">
        <v>20.68</v>
      </c>
      <c r="G3685" s="88">
        <f t="shared" si="1"/>
        <v>5.45</v>
      </c>
      <c r="H3685" s="89">
        <f t="shared" si="10"/>
        <v>0.2635396518</v>
      </c>
      <c r="I3685" s="78" t="s">
        <v>561</v>
      </c>
      <c r="J3685" s="78" t="s">
        <v>69</v>
      </c>
      <c r="K3685" s="58">
        <f t="shared" si="3"/>
        <v>12</v>
      </c>
      <c r="L3685" s="91" t="str">
        <f t="shared" si="8"/>
        <v>Thu</v>
      </c>
      <c r="M3685" s="78" t="str">
        <f>IFERROR(VLOOKUP(A3685, Entries!A:B,2,false),"")</f>
        <v>Bethesda Softworks</v>
      </c>
      <c r="N3685" s="23" t="str">
        <f>IFERROR(VLOOKUP(A3685, Entries!A:K,11,false),"")</f>
        <v/>
      </c>
    </row>
    <row r="3686">
      <c r="A3686" s="78" t="s">
        <v>3771</v>
      </c>
      <c r="B3686" s="78" t="s">
        <v>27</v>
      </c>
      <c r="C3686" s="85">
        <v>45122.0</v>
      </c>
      <c r="D3686" s="85">
        <v>45138.0</v>
      </c>
      <c r="E3686" s="86">
        <v>8.09</v>
      </c>
      <c r="F3686" s="87">
        <v>10.36</v>
      </c>
      <c r="G3686" s="88">
        <f t="shared" si="1"/>
        <v>2.27</v>
      </c>
      <c r="H3686" s="89">
        <f t="shared" si="10"/>
        <v>0.2191119691</v>
      </c>
      <c r="I3686" s="78" t="s">
        <v>4412</v>
      </c>
      <c r="J3686" s="78" t="s">
        <v>69</v>
      </c>
      <c r="K3686" s="58">
        <f t="shared" si="3"/>
        <v>16</v>
      </c>
      <c r="L3686" s="91" t="str">
        <f t="shared" si="8"/>
        <v>Mon</v>
      </c>
      <c r="M3686" s="78" t="str">
        <f>IFERROR(VLOOKUP(A3686, Entries!A:B,2,false),"")</f>
        <v>Good Shepherd Entertainment</v>
      </c>
      <c r="N3686" s="23" t="str">
        <f>IFERROR(VLOOKUP(A3686, Entries!A:K,11,false),"")</f>
        <v/>
      </c>
    </row>
    <row r="3687">
      <c r="A3687" s="78" t="s">
        <v>4355</v>
      </c>
      <c r="B3687" s="78" t="s">
        <v>18</v>
      </c>
      <c r="C3687" s="85">
        <v>45122.0</v>
      </c>
      <c r="D3687" s="85">
        <v>45123.0</v>
      </c>
      <c r="E3687" s="86">
        <v>11.89</v>
      </c>
      <c r="F3687" s="87">
        <v>14.13</v>
      </c>
      <c r="G3687" s="88">
        <f t="shared" si="1"/>
        <v>2.24</v>
      </c>
      <c r="H3687" s="89">
        <f t="shared" si="10"/>
        <v>0.1585279547</v>
      </c>
      <c r="I3687" s="78" t="s">
        <v>4413</v>
      </c>
      <c r="J3687" s="78" t="s">
        <v>69</v>
      </c>
      <c r="K3687" s="58">
        <f t="shared" si="3"/>
        <v>1</v>
      </c>
      <c r="L3687" s="91" t="str">
        <f t="shared" si="8"/>
        <v>Sun</v>
      </c>
      <c r="M3687" s="78" t="str">
        <f>IFERROR(VLOOKUP(A3687, Entries!A:B,2,false),"")</f>
        <v>Frontier Foundry</v>
      </c>
      <c r="N3687" s="23" t="str">
        <f>IFERROR(VLOOKUP(A3687, Entries!A:K,11,false),"")</f>
        <v/>
      </c>
    </row>
    <row r="3688">
      <c r="A3688" s="78" t="s">
        <v>4355</v>
      </c>
      <c r="B3688" s="78" t="s">
        <v>18</v>
      </c>
      <c r="C3688" s="85">
        <v>45122.0</v>
      </c>
      <c r="D3688" s="85">
        <v>45123.0</v>
      </c>
      <c r="E3688" s="86">
        <v>11.9</v>
      </c>
      <c r="F3688" s="87">
        <v>14.41</v>
      </c>
      <c r="G3688" s="88">
        <f t="shared" si="1"/>
        <v>2.51</v>
      </c>
      <c r="H3688" s="89">
        <f t="shared" si="10"/>
        <v>0.174184594</v>
      </c>
      <c r="I3688" s="78" t="s">
        <v>4414</v>
      </c>
      <c r="J3688" s="78" t="s">
        <v>69</v>
      </c>
      <c r="K3688" s="58">
        <f t="shared" si="3"/>
        <v>1</v>
      </c>
      <c r="L3688" s="91" t="str">
        <f t="shared" si="8"/>
        <v>Sun</v>
      </c>
      <c r="M3688" s="78" t="str">
        <f>IFERROR(VLOOKUP(A3688, Entries!A:B,2,false),"")</f>
        <v>Frontier Foundry</v>
      </c>
      <c r="N3688" s="23" t="str">
        <f>IFERROR(VLOOKUP(A3688, Entries!A:K,11,false),"")</f>
        <v/>
      </c>
    </row>
    <row r="3689">
      <c r="A3689" s="78" t="s">
        <v>4375</v>
      </c>
      <c r="B3689" s="78" t="s">
        <v>23</v>
      </c>
      <c r="C3689" s="85">
        <v>45122.0</v>
      </c>
      <c r="D3689" s="85">
        <v>45123.0</v>
      </c>
      <c r="E3689" s="86">
        <v>5.23</v>
      </c>
      <c r="F3689" s="87">
        <v>5.72</v>
      </c>
      <c r="G3689" s="88">
        <f t="shared" si="1"/>
        <v>0.49</v>
      </c>
      <c r="H3689" s="89">
        <f t="shared" si="10"/>
        <v>0.08566433566</v>
      </c>
      <c r="I3689" s="78" t="s">
        <v>4415</v>
      </c>
      <c r="J3689" s="78" t="s">
        <v>69</v>
      </c>
      <c r="K3689" s="58">
        <f t="shared" si="3"/>
        <v>1</v>
      </c>
      <c r="L3689" s="91" t="str">
        <f t="shared" si="8"/>
        <v>Sun</v>
      </c>
      <c r="M3689" s="78" t="str">
        <f>IFERROR(VLOOKUP(A3689, Entries!A:B,2,false),"")</f>
        <v>Crystal Dynamics</v>
      </c>
      <c r="N3689" s="23" t="str">
        <f>IFERROR(VLOOKUP(A3689, Entries!A:K,11,false),"")</f>
        <v/>
      </c>
    </row>
    <row r="3690">
      <c r="A3690" s="78" t="s">
        <v>4375</v>
      </c>
      <c r="B3690" s="78" t="s">
        <v>23</v>
      </c>
      <c r="C3690" s="85">
        <v>45123.0</v>
      </c>
      <c r="D3690" s="85">
        <v>45123.0</v>
      </c>
      <c r="E3690" s="86">
        <v>5.23</v>
      </c>
      <c r="F3690" s="87">
        <v>5.72</v>
      </c>
      <c r="G3690" s="88">
        <f t="shared" si="1"/>
        <v>0.49</v>
      </c>
      <c r="H3690" s="89">
        <f t="shared" si="10"/>
        <v>0.08566433566</v>
      </c>
      <c r="I3690" s="78" t="s">
        <v>4416</v>
      </c>
      <c r="J3690" s="78" t="s">
        <v>69</v>
      </c>
      <c r="K3690" s="58">
        <f t="shared" si="3"/>
        <v>0</v>
      </c>
      <c r="L3690" s="91" t="str">
        <f t="shared" si="8"/>
        <v>Sun</v>
      </c>
      <c r="M3690" s="78" t="str">
        <f>IFERROR(VLOOKUP(A3690, Entries!A:B,2,false),"")</f>
        <v>Crystal Dynamics</v>
      </c>
      <c r="N3690" s="23" t="str">
        <f>IFERROR(VLOOKUP(A3690, Entries!A:K,11,false),"")</f>
        <v/>
      </c>
    </row>
    <row r="3691">
      <c r="A3691" s="78" t="s">
        <v>4355</v>
      </c>
      <c r="B3691" s="78" t="s">
        <v>18</v>
      </c>
      <c r="C3691" s="85">
        <v>45123.0</v>
      </c>
      <c r="D3691" s="85">
        <v>45123.0</v>
      </c>
      <c r="E3691" s="86">
        <v>11.89</v>
      </c>
      <c r="F3691" s="87">
        <v>14.41</v>
      </c>
      <c r="G3691" s="88">
        <f t="shared" si="1"/>
        <v>2.52</v>
      </c>
      <c r="H3691" s="89">
        <f t="shared" si="10"/>
        <v>0.1748785566</v>
      </c>
      <c r="I3691" s="78" t="s">
        <v>4417</v>
      </c>
      <c r="J3691" s="78" t="s">
        <v>69</v>
      </c>
      <c r="K3691" s="58">
        <f t="shared" si="3"/>
        <v>0</v>
      </c>
      <c r="L3691" s="91" t="str">
        <f t="shared" si="8"/>
        <v>Sun</v>
      </c>
      <c r="M3691" s="78" t="str">
        <f>IFERROR(VLOOKUP(A3691, Entries!A:B,2,false),"")</f>
        <v>Frontier Foundry</v>
      </c>
      <c r="N3691" s="23" t="str">
        <f>IFERROR(VLOOKUP(A3691, Entries!A:K,11,false),"")</f>
        <v/>
      </c>
    </row>
    <row r="3692">
      <c r="A3692" s="78" t="s">
        <v>4355</v>
      </c>
      <c r="B3692" s="78" t="s">
        <v>18</v>
      </c>
      <c r="C3692" s="85">
        <v>45123.0</v>
      </c>
      <c r="D3692" s="85">
        <v>45125.0</v>
      </c>
      <c r="E3692" s="86">
        <v>11.9</v>
      </c>
      <c r="F3692" s="87">
        <v>14.32</v>
      </c>
      <c r="G3692" s="88">
        <f t="shared" si="1"/>
        <v>2.42</v>
      </c>
      <c r="H3692" s="89">
        <f t="shared" si="10"/>
        <v>0.1689944134</v>
      </c>
      <c r="I3692" s="78" t="s">
        <v>4418</v>
      </c>
      <c r="J3692" s="78" t="s">
        <v>69</v>
      </c>
      <c r="K3692" s="58">
        <f t="shared" si="3"/>
        <v>2</v>
      </c>
      <c r="L3692" s="91" t="str">
        <f t="shared" si="8"/>
        <v>Tue</v>
      </c>
      <c r="M3692" s="78" t="str">
        <f>IFERROR(VLOOKUP(A3692, Entries!A:B,2,false),"")</f>
        <v>Frontier Foundry</v>
      </c>
      <c r="N3692" s="23" t="str">
        <f>IFERROR(VLOOKUP(A3692, Entries!A:K,11,false),"")</f>
        <v/>
      </c>
    </row>
    <row r="3693">
      <c r="A3693" s="78" t="s">
        <v>117</v>
      </c>
      <c r="B3693" s="78" t="s">
        <v>19</v>
      </c>
      <c r="C3693" s="85">
        <v>45124.0</v>
      </c>
      <c r="D3693" s="85">
        <v>45124.0</v>
      </c>
      <c r="E3693" s="86">
        <v>0.94</v>
      </c>
      <c r="F3693" s="87">
        <v>1.64</v>
      </c>
      <c r="G3693" s="88">
        <f t="shared" si="1"/>
        <v>0.7</v>
      </c>
      <c r="H3693" s="89">
        <f t="shared" si="10"/>
        <v>0.4268292683</v>
      </c>
      <c r="I3693" s="78" t="s">
        <v>4419</v>
      </c>
      <c r="J3693" s="78" t="s">
        <v>69</v>
      </c>
      <c r="K3693" s="58">
        <f t="shared" si="3"/>
        <v>0</v>
      </c>
      <c r="L3693" s="91" t="str">
        <f t="shared" si="8"/>
        <v>Mon</v>
      </c>
      <c r="M3693" s="78" t="str">
        <f>IFERROR(VLOOKUP(A3693, Entries!A:B,2,false),"")</f>
        <v>Starbreeze Publishing</v>
      </c>
      <c r="N3693" s="23" t="str">
        <f>IFERROR(VLOOKUP(A3693, Entries!A:K,11,false),"")</f>
        <v/>
      </c>
    </row>
    <row r="3694">
      <c r="A3694" s="78" t="s">
        <v>117</v>
      </c>
      <c r="B3694" s="78" t="s">
        <v>19</v>
      </c>
      <c r="C3694" s="85">
        <v>45124.0</v>
      </c>
      <c r="D3694" s="85">
        <v>45124.0</v>
      </c>
      <c r="E3694" s="86">
        <v>0.94</v>
      </c>
      <c r="F3694" s="87">
        <v>1.4</v>
      </c>
      <c r="G3694" s="88">
        <f t="shared" si="1"/>
        <v>0.46</v>
      </c>
      <c r="H3694" s="89">
        <f t="shared" si="10"/>
        <v>0.3285714286</v>
      </c>
      <c r="I3694" s="78" t="s">
        <v>4420</v>
      </c>
      <c r="J3694" s="78" t="s">
        <v>69</v>
      </c>
      <c r="K3694" s="58">
        <f t="shared" si="3"/>
        <v>0</v>
      </c>
      <c r="L3694" s="91" t="str">
        <f t="shared" si="8"/>
        <v>Mon</v>
      </c>
      <c r="M3694" s="78" t="str">
        <f>IFERROR(VLOOKUP(A3694, Entries!A:B,2,false),"")</f>
        <v>Starbreeze Publishing</v>
      </c>
      <c r="N3694" s="23" t="str">
        <f>IFERROR(VLOOKUP(A3694, Entries!A:K,11,false),"")</f>
        <v/>
      </c>
    </row>
    <row r="3695">
      <c r="A3695" s="78" t="s">
        <v>117</v>
      </c>
      <c r="B3695" s="78" t="s">
        <v>19</v>
      </c>
      <c r="C3695" s="85">
        <v>45124.0</v>
      </c>
      <c r="D3695" s="85">
        <v>45124.0</v>
      </c>
      <c r="E3695" s="86">
        <v>0.94</v>
      </c>
      <c r="F3695" s="87">
        <v>1.38</v>
      </c>
      <c r="G3695" s="88">
        <f t="shared" si="1"/>
        <v>0.44</v>
      </c>
      <c r="H3695" s="89">
        <f t="shared" si="10"/>
        <v>0.3188405797</v>
      </c>
      <c r="I3695" s="78" t="s">
        <v>4421</v>
      </c>
      <c r="J3695" s="78" t="s">
        <v>69</v>
      </c>
      <c r="K3695" s="58">
        <f t="shared" si="3"/>
        <v>0</v>
      </c>
      <c r="L3695" s="91" t="str">
        <f t="shared" si="8"/>
        <v>Mon</v>
      </c>
      <c r="M3695" s="78" t="str">
        <f>IFERROR(VLOOKUP(A3695, Entries!A:B,2,false),"")</f>
        <v>Starbreeze Publishing</v>
      </c>
      <c r="N3695" s="23" t="str">
        <f>IFERROR(VLOOKUP(A3695, Entries!A:K,11,false),"")</f>
        <v/>
      </c>
    </row>
    <row r="3696">
      <c r="A3696" s="78" t="s">
        <v>3897</v>
      </c>
      <c r="B3696" s="78" t="s">
        <v>27</v>
      </c>
      <c r="C3696" s="85">
        <v>45124.0</v>
      </c>
      <c r="D3696" s="85">
        <v>45127.0</v>
      </c>
      <c r="E3696" s="86">
        <v>4.69</v>
      </c>
      <c r="F3696" s="87">
        <v>5.27</v>
      </c>
      <c r="G3696" s="88">
        <f t="shared" si="1"/>
        <v>0.58</v>
      </c>
      <c r="H3696" s="89">
        <f t="shared" si="10"/>
        <v>0.110056926</v>
      </c>
      <c r="I3696" s="78" t="s">
        <v>4422</v>
      </c>
      <c r="J3696" s="78" t="s">
        <v>69</v>
      </c>
      <c r="K3696" s="58">
        <f t="shared" si="3"/>
        <v>3</v>
      </c>
      <c r="L3696" s="91" t="str">
        <f t="shared" si="8"/>
        <v>Thu</v>
      </c>
      <c r="M3696" s="78" t="str">
        <f>IFERROR(VLOOKUP(A3696, Entries!A:B,2,false),"")</f>
        <v>Bethesda Softworks</v>
      </c>
      <c r="N3696" s="23" t="str">
        <f>IFERROR(VLOOKUP(A3696, Entries!A:K,11,false),"")</f>
        <v/>
      </c>
    </row>
    <row r="3697">
      <c r="A3697" s="78" t="s">
        <v>117</v>
      </c>
      <c r="B3697" s="78" t="s">
        <v>19</v>
      </c>
      <c r="C3697" s="85">
        <v>45124.0</v>
      </c>
      <c r="D3697" s="85">
        <v>45124.0</v>
      </c>
      <c r="E3697" s="86">
        <v>0.99</v>
      </c>
      <c r="F3697" s="87">
        <v>1.38</v>
      </c>
      <c r="G3697" s="88">
        <f t="shared" si="1"/>
        <v>0.39</v>
      </c>
      <c r="H3697" s="89">
        <f t="shared" si="10"/>
        <v>0.2826086957</v>
      </c>
      <c r="I3697" s="78" t="s">
        <v>4423</v>
      </c>
      <c r="J3697" s="78" t="s">
        <v>69</v>
      </c>
      <c r="K3697" s="58">
        <f t="shared" si="3"/>
        <v>0</v>
      </c>
      <c r="L3697" s="91" t="str">
        <f t="shared" si="8"/>
        <v>Mon</v>
      </c>
      <c r="M3697" s="78" t="str">
        <f>IFERROR(VLOOKUP(A3697, Entries!A:B,2,false),"")</f>
        <v>Starbreeze Publishing</v>
      </c>
      <c r="N3697" s="23" t="str">
        <f>IFERROR(VLOOKUP(A3697, Entries!A:K,11,false),"")</f>
        <v/>
      </c>
    </row>
    <row r="3698">
      <c r="A3698" s="78" t="s">
        <v>117</v>
      </c>
      <c r="B3698" s="78" t="s">
        <v>19</v>
      </c>
      <c r="C3698" s="85">
        <v>45124.0</v>
      </c>
      <c r="D3698" s="85">
        <v>45124.0</v>
      </c>
      <c r="E3698" s="86">
        <v>0.99</v>
      </c>
      <c r="F3698" s="87">
        <v>1.38</v>
      </c>
      <c r="G3698" s="88">
        <f t="shared" si="1"/>
        <v>0.39</v>
      </c>
      <c r="H3698" s="89">
        <f t="shared" si="10"/>
        <v>0.2826086957</v>
      </c>
      <c r="I3698" s="78" t="s">
        <v>4424</v>
      </c>
      <c r="J3698" s="78" t="s">
        <v>69</v>
      </c>
      <c r="K3698" s="58">
        <f t="shared" si="3"/>
        <v>0</v>
      </c>
      <c r="L3698" s="91" t="str">
        <f t="shared" si="8"/>
        <v>Mon</v>
      </c>
      <c r="M3698" s="78" t="str">
        <f>IFERROR(VLOOKUP(A3698, Entries!A:B,2,false),"")</f>
        <v>Starbreeze Publishing</v>
      </c>
      <c r="N3698" s="23" t="str">
        <f>IFERROR(VLOOKUP(A3698, Entries!A:K,11,false),"")</f>
        <v/>
      </c>
    </row>
    <row r="3699">
      <c r="A3699" s="78" t="s">
        <v>117</v>
      </c>
      <c r="B3699" s="78" t="s">
        <v>19</v>
      </c>
      <c r="C3699" s="85">
        <v>45124.0</v>
      </c>
      <c r="D3699" s="85">
        <v>45124.0</v>
      </c>
      <c r="E3699" s="86">
        <v>0.99</v>
      </c>
      <c r="F3699" s="87">
        <v>1.42</v>
      </c>
      <c r="G3699" s="88">
        <f t="shared" si="1"/>
        <v>0.43</v>
      </c>
      <c r="H3699" s="89">
        <f t="shared" si="10"/>
        <v>0.3028169014</v>
      </c>
      <c r="I3699" s="78" t="s">
        <v>4425</v>
      </c>
      <c r="J3699" s="78" t="s">
        <v>69</v>
      </c>
      <c r="K3699" s="58">
        <f t="shared" si="3"/>
        <v>0</v>
      </c>
      <c r="L3699" s="91" t="str">
        <f t="shared" si="8"/>
        <v>Mon</v>
      </c>
      <c r="M3699" s="78" t="str">
        <f>IFERROR(VLOOKUP(A3699, Entries!A:B,2,false),"")</f>
        <v>Starbreeze Publishing</v>
      </c>
      <c r="N3699" s="23" t="str">
        <f>IFERROR(VLOOKUP(A3699, Entries!A:K,11,false),"")</f>
        <v/>
      </c>
    </row>
    <row r="3700">
      <c r="A3700" s="78" t="s">
        <v>117</v>
      </c>
      <c r="B3700" s="78" t="s">
        <v>19</v>
      </c>
      <c r="C3700" s="85">
        <v>45124.0</v>
      </c>
      <c r="D3700" s="85">
        <v>45125.0</v>
      </c>
      <c r="E3700" s="86">
        <v>0.99</v>
      </c>
      <c r="F3700" s="87">
        <v>1.68</v>
      </c>
      <c r="G3700" s="88">
        <f t="shared" si="1"/>
        <v>0.69</v>
      </c>
      <c r="H3700" s="89">
        <f t="shared" si="10"/>
        <v>0.4107142857</v>
      </c>
      <c r="I3700" s="78" t="s">
        <v>4426</v>
      </c>
      <c r="J3700" s="78" t="s">
        <v>69</v>
      </c>
      <c r="K3700" s="58">
        <f t="shared" si="3"/>
        <v>1</v>
      </c>
      <c r="L3700" s="91" t="str">
        <f t="shared" si="8"/>
        <v>Tue</v>
      </c>
      <c r="M3700" s="78" t="str">
        <f>IFERROR(VLOOKUP(A3700, Entries!A:B,2,false),"")</f>
        <v>Starbreeze Publishing</v>
      </c>
      <c r="N3700" s="23" t="str">
        <f>IFERROR(VLOOKUP(A3700, Entries!A:K,11,false),"")</f>
        <v/>
      </c>
    </row>
    <row r="3701">
      <c r="A3701" s="78" t="s">
        <v>117</v>
      </c>
      <c r="B3701" s="78" t="s">
        <v>19</v>
      </c>
      <c r="C3701" s="85">
        <v>45124.0</v>
      </c>
      <c r="D3701" s="85">
        <v>45125.0</v>
      </c>
      <c r="E3701" s="86">
        <v>0.99</v>
      </c>
      <c r="F3701" s="87">
        <v>1.38</v>
      </c>
      <c r="G3701" s="88">
        <f t="shared" si="1"/>
        <v>0.39</v>
      </c>
      <c r="H3701" s="89">
        <f t="shared" si="10"/>
        <v>0.2826086957</v>
      </c>
      <c r="I3701" s="78" t="s">
        <v>4427</v>
      </c>
      <c r="J3701" s="78" t="s">
        <v>69</v>
      </c>
      <c r="K3701" s="58">
        <f t="shared" si="3"/>
        <v>1</v>
      </c>
      <c r="L3701" s="91" t="str">
        <f t="shared" si="8"/>
        <v>Tue</v>
      </c>
      <c r="M3701" s="78" t="str">
        <f>IFERROR(VLOOKUP(A3701, Entries!A:B,2,false),"")</f>
        <v>Starbreeze Publishing</v>
      </c>
      <c r="N3701" s="23" t="str">
        <f>IFERROR(VLOOKUP(A3701, Entries!A:K,11,false),"")</f>
        <v/>
      </c>
    </row>
    <row r="3702">
      <c r="A3702" s="78" t="s">
        <v>117</v>
      </c>
      <c r="B3702" s="78" t="s">
        <v>19</v>
      </c>
      <c r="C3702" s="85">
        <v>45125.0</v>
      </c>
      <c r="D3702" s="85">
        <v>45126.0</v>
      </c>
      <c r="E3702" s="86">
        <v>0.99</v>
      </c>
      <c r="F3702" s="87">
        <v>1.36</v>
      </c>
      <c r="G3702" s="88">
        <f t="shared" si="1"/>
        <v>0.37</v>
      </c>
      <c r="H3702" s="89">
        <f t="shared" si="10"/>
        <v>0.2720588235</v>
      </c>
      <c r="I3702" s="78" t="s">
        <v>4428</v>
      </c>
      <c r="J3702" s="78" t="s">
        <v>69</v>
      </c>
      <c r="K3702" s="58">
        <f t="shared" si="3"/>
        <v>1</v>
      </c>
      <c r="L3702" s="91" t="str">
        <f t="shared" si="8"/>
        <v>Wed</v>
      </c>
      <c r="M3702" s="78" t="str">
        <f>IFERROR(VLOOKUP(A3702, Entries!A:B,2,false),"")</f>
        <v>Starbreeze Publishing</v>
      </c>
      <c r="N3702" s="23" t="str">
        <f>IFERROR(VLOOKUP(A3702, Entries!A:K,11,false),"")</f>
        <v/>
      </c>
    </row>
    <row r="3703">
      <c r="A3703" s="78" t="s">
        <v>117</v>
      </c>
      <c r="B3703" s="78" t="s">
        <v>19</v>
      </c>
      <c r="C3703" s="85">
        <v>45125.0</v>
      </c>
      <c r="D3703" s="85">
        <v>45126.0</v>
      </c>
      <c r="E3703" s="86">
        <v>0.99</v>
      </c>
      <c r="F3703" s="87">
        <v>1.36</v>
      </c>
      <c r="G3703" s="88">
        <f t="shared" si="1"/>
        <v>0.37</v>
      </c>
      <c r="H3703" s="89">
        <f t="shared" si="10"/>
        <v>0.2720588235</v>
      </c>
      <c r="I3703" s="78" t="s">
        <v>4429</v>
      </c>
      <c r="J3703" s="78" t="s">
        <v>69</v>
      </c>
      <c r="K3703" s="58">
        <f t="shared" si="3"/>
        <v>1</v>
      </c>
      <c r="L3703" s="91" t="str">
        <f t="shared" si="8"/>
        <v>Wed</v>
      </c>
      <c r="M3703" s="78" t="str">
        <f>IFERROR(VLOOKUP(A3703, Entries!A:B,2,false),"")</f>
        <v>Starbreeze Publishing</v>
      </c>
      <c r="N3703" s="23" t="str">
        <f>IFERROR(VLOOKUP(A3703, Entries!A:K,11,false),"")</f>
        <v/>
      </c>
    </row>
    <row r="3704">
      <c r="A3704" s="78" t="s">
        <v>1887</v>
      </c>
      <c r="B3704" s="78" t="s">
        <v>27</v>
      </c>
      <c r="C3704" s="85">
        <v>45126.0</v>
      </c>
      <c r="D3704" s="85">
        <v>45127.0</v>
      </c>
      <c r="E3704" s="86">
        <v>9.62</v>
      </c>
      <c r="F3704" s="87">
        <v>14.77</v>
      </c>
      <c r="G3704" s="88">
        <f t="shared" si="1"/>
        <v>5.15</v>
      </c>
      <c r="H3704" s="89">
        <f t="shared" si="10"/>
        <v>0.3486797563</v>
      </c>
      <c r="I3704" s="78" t="s">
        <v>4430</v>
      </c>
      <c r="J3704" s="78" t="s">
        <v>69</v>
      </c>
      <c r="K3704" s="58">
        <f t="shared" si="3"/>
        <v>1</v>
      </c>
      <c r="L3704" s="91" t="str">
        <f t="shared" si="8"/>
        <v>Thu</v>
      </c>
      <c r="M3704" s="78" t="str">
        <f>IFERROR(VLOOKUP(A3704, Entries!A:B,2,false),"")</f>
        <v>Devolver Digital</v>
      </c>
      <c r="N3704" s="23" t="str">
        <f>IFERROR(VLOOKUP(A3704, Entries!A:K,11,false),"")</f>
        <v/>
      </c>
    </row>
    <row r="3705">
      <c r="A3705" s="78" t="s">
        <v>117</v>
      </c>
      <c r="B3705" s="78" t="s">
        <v>19</v>
      </c>
      <c r="C3705" s="85">
        <v>45126.0</v>
      </c>
      <c r="D3705" s="85">
        <v>45126.0</v>
      </c>
      <c r="E3705" s="86">
        <v>0.94</v>
      </c>
      <c r="F3705" s="87">
        <v>1.36</v>
      </c>
      <c r="G3705" s="88">
        <f t="shared" si="1"/>
        <v>0.42</v>
      </c>
      <c r="H3705" s="89">
        <f t="shared" si="10"/>
        <v>0.3088235294</v>
      </c>
      <c r="I3705" s="78" t="s">
        <v>4431</v>
      </c>
      <c r="J3705" s="78" t="s">
        <v>69</v>
      </c>
      <c r="K3705" s="58">
        <f t="shared" si="3"/>
        <v>0</v>
      </c>
      <c r="L3705" s="91" t="str">
        <f t="shared" si="8"/>
        <v>Wed</v>
      </c>
      <c r="M3705" s="78" t="str">
        <f>IFERROR(VLOOKUP(A3705, Entries!A:B,2,false),"")</f>
        <v>Starbreeze Publishing</v>
      </c>
      <c r="N3705" s="23" t="str">
        <f>IFERROR(VLOOKUP(A3705, Entries!A:K,11,false),"")</f>
        <v/>
      </c>
    </row>
    <row r="3706">
      <c r="A3706" s="78" t="s">
        <v>117</v>
      </c>
      <c r="B3706" s="78" t="s">
        <v>19</v>
      </c>
      <c r="C3706" s="85">
        <v>45126.0</v>
      </c>
      <c r="D3706" s="85">
        <v>45126.0</v>
      </c>
      <c r="E3706" s="86">
        <v>0.94</v>
      </c>
      <c r="F3706" s="87">
        <v>1.36</v>
      </c>
      <c r="G3706" s="88">
        <f t="shared" si="1"/>
        <v>0.42</v>
      </c>
      <c r="H3706" s="89">
        <f t="shared" si="10"/>
        <v>0.3088235294</v>
      </c>
      <c r="I3706" s="78" t="s">
        <v>4432</v>
      </c>
      <c r="J3706" s="78" t="s">
        <v>69</v>
      </c>
      <c r="K3706" s="58">
        <f t="shared" si="3"/>
        <v>0</v>
      </c>
      <c r="L3706" s="91" t="str">
        <f t="shared" si="8"/>
        <v>Wed</v>
      </c>
      <c r="M3706" s="78" t="str">
        <f>IFERROR(VLOOKUP(A3706, Entries!A:B,2,false),"")</f>
        <v>Starbreeze Publishing</v>
      </c>
      <c r="N3706" s="23" t="str">
        <f>IFERROR(VLOOKUP(A3706, Entries!A:K,11,false),"")</f>
        <v/>
      </c>
    </row>
    <row r="3707">
      <c r="A3707" s="78" t="s">
        <v>117</v>
      </c>
      <c r="B3707" s="78" t="s">
        <v>19</v>
      </c>
      <c r="C3707" s="85">
        <v>45126.0</v>
      </c>
      <c r="D3707" s="85">
        <v>45127.0</v>
      </c>
      <c r="E3707" s="86">
        <v>0.94</v>
      </c>
      <c r="F3707" s="87">
        <v>1.36</v>
      </c>
      <c r="G3707" s="88">
        <f t="shared" si="1"/>
        <v>0.42</v>
      </c>
      <c r="H3707" s="89">
        <f t="shared" si="10"/>
        <v>0.3088235294</v>
      </c>
      <c r="I3707" s="78" t="s">
        <v>4433</v>
      </c>
      <c r="J3707" s="78" t="s">
        <v>69</v>
      </c>
      <c r="K3707" s="58">
        <f t="shared" si="3"/>
        <v>1</v>
      </c>
      <c r="L3707" s="91" t="str">
        <f t="shared" si="8"/>
        <v>Thu</v>
      </c>
      <c r="M3707" s="78" t="str">
        <f>IFERROR(VLOOKUP(A3707, Entries!A:B,2,false),"")</f>
        <v>Starbreeze Publishing</v>
      </c>
      <c r="N3707" s="23" t="str">
        <f>IFERROR(VLOOKUP(A3707, Entries!A:K,11,false),"")</f>
        <v/>
      </c>
    </row>
    <row r="3708">
      <c r="A3708" s="78" t="s">
        <v>1806</v>
      </c>
      <c r="B3708" s="78" t="s">
        <v>27</v>
      </c>
      <c r="C3708" s="85">
        <v>45126.0</v>
      </c>
      <c r="D3708" s="85">
        <v>45128.0</v>
      </c>
      <c r="E3708" s="86">
        <v>7.09</v>
      </c>
      <c r="F3708" s="87">
        <v>10.64</v>
      </c>
      <c r="G3708" s="88">
        <f t="shared" si="1"/>
        <v>3.55</v>
      </c>
      <c r="H3708" s="89">
        <f t="shared" si="10"/>
        <v>0.3336466165</v>
      </c>
      <c r="I3708" s="78" t="s">
        <v>4434</v>
      </c>
      <c r="J3708" s="78" t="s">
        <v>69</v>
      </c>
      <c r="K3708" s="58">
        <f t="shared" si="3"/>
        <v>2</v>
      </c>
      <c r="L3708" s="91" t="str">
        <f t="shared" si="8"/>
        <v>Fri</v>
      </c>
      <c r="M3708" s="78" t="str">
        <f>IFERROR(VLOOKUP(A3708, Entries!A:B,2,false),"")</f>
        <v>Daedalic Entertainment</v>
      </c>
      <c r="N3708" s="23" t="str">
        <f>IFERROR(VLOOKUP(A3708, Entries!A:K,11,false),"")</f>
        <v/>
      </c>
    </row>
    <row r="3709">
      <c r="A3709" s="78" t="s">
        <v>117</v>
      </c>
      <c r="B3709" s="78" t="s">
        <v>19</v>
      </c>
      <c r="C3709" s="85">
        <v>45127.0</v>
      </c>
      <c r="D3709" s="85">
        <v>45127.0</v>
      </c>
      <c r="E3709" s="86">
        <v>0.94</v>
      </c>
      <c r="F3709" s="87">
        <v>1.36</v>
      </c>
      <c r="G3709" s="88">
        <f t="shared" si="1"/>
        <v>0.42</v>
      </c>
      <c r="H3709" s="89">
        <f t="shared" si="10"/>
        <v>0.3088235294</v>
      </c>
      <c r="I3709" s="78" t="s">
        <v>4435</v>
      </c>
      <c r="J3709" s="78" t="s">
        <v>69</v>
      </c>
      <c r="K3709" s="58">
        <f t="shared" si="3"/>
        <v>0</v>
      </c>
      <c r="L3709" s="91" t="str">
        <f t="shared" si="8"/>
        <v>Thu</v>
      </c>
      <c r="M3709" s="78" t="str">
        <f>IFERROR(VLOOKUP(A3709, Entries!A:B,2,false),"")</f>
        <v>Starbreeze Publishing</v>
      </c>
      <c r="N3709" s="23" t="str">
        <f>IFERROR(VLOOKUP(A3709, Entries!A:K,11,false),"")</f>
        <v/>
      </c>
    </row>
    <row r="3710">
      <c r="A3710" s="78" t="s">
        <v>117</v>
      </c>
      <c r="B3710" s="78" t="s">
        <v>19</v>
      </c>
      <c r="C3710" s="85">
        <v>45127.0</v>
      </c>
      <c r="D3710" s="85">
        <v>45127.0</v>
      </c>
      <c r="E3710" s="86">
        <v>0.94</v>
      </c>
      <c r="F3710" s="87">
        <v>1.36</v>
      </c>
      <c r="G3710" s="88">
        <f t="shared" si="1"/>
        <v>0.42</v>
      </c>
      <c r="H3710" s="89">
        <f t="shared" si="10"/>
        <v>0.3088235294</v>
      </c>
      <c r="I3710" s="78" t="s">
        <v>4436</v>
      </c>
      <c r="J3710" s="78" t="s">
        <v>69</v>
      </c>
      <c r="K3710" s="58">
        <f t="shared" si="3"/>
        <v>0</v>
      </c>
      <c r="L3710" s="91" t="str">
        <f t="shared" si="8"/>
        <v>Thu</v>
      </c>
      <c r="M3710" s="78" t="str">
        <f>IFERROR(VLOOKUP(A3710, Entries!A:B,2,false),"")</f>
        <v>Starbreeze Publishing</v>
      </c>
      <c r="N3710" s="23" t="str">
        <f>IFERROR(VLOOKUP(A3710, Entries!A:K,11,false),"")</f>
        <v/>
      </c>
    </row>
    <row r="3711">
      <c r="A3711" s="78" t="s">
        <v>117</v>
      </c>
      <c r="B3711" s="78" t="s">
        <v>19</v>
      </c>
      <c r="C3711" s="85">
        <v>45127.0</v>
      </c>
      <c r="D3711" s="85">
        <v>45127.0</v>
      </c>
      <c r="E3711" s="86">
        <v>0.94</v>
      </c>
      <c r="F3711" s="87">
        <v>1.36</v>
      </c>
      <c r="G3711" s="88">
        <f t="shared" si="1"/>
        <v>0.42</v>
      </c>
      <c r="H3711" s="89">
        <f t="shared" si="10"/>
        <v>0.3088235294</v>
      </c>
      <c r="I3711" s="78" t="s">
        <v>4437</v>
      </c>
      <c r="J3711" s="78" t="s">
        <v>69</v>
      </c>
      <c r="K3711" s="58">
        <f t="shared" si="3"/>
        <v>0</v>
      </c>
      <c r="L3711" s="91" t="str">
        <f t="shared" si="8"/>
        <v>Thu</v>
      </c>
      <c r="M3711" s="78" t="str">
        <f>IFERROR(VLOOKUP(A3711, Entries!A:B,2,false),"")</f>
        <v>Starbreeze Publishing</v>
      </c>
      <c r="N3711" s="23" t="str">
        <f>IFERROR(VLOOKUP(A3711, Entries!A:K,11,false),"")</f>
        <v/>
      </c>
    </row>
    <row r="3712">
      <c r="A3712" s="78" t="s">
        <v>3897</v>
      </c>
      <c r="B3712" s="78" t="s">
        <v>27</v>
      </c>
      <c r="C3712" s="85">
        <v>45127.0</v>
      </c>
      <c r="D3712" s="85">
        <v>45127.0</v>
      </c>
      <c r="E3712" s="86">
        <v>4.69</v>
      </c>
      <c r="F3712" s="87">
        <v>5.27</v>
      </c>
      <c r="G3712" s="88">
        <f t="shared" si="1"/>
        <v>0.58</v>
      </c>
      <c r="H3712" s="89">
        <f t="shared" si="10"/>
        <v>0.110056926</v>
      </c>
      <c r="I3712" s="78" t="s">
        <v>4438</v>
      </c>
      <c r="J3712" s="78" t="s">
        <v>69</v>
      </c>
      <c r="K3712" s="58">
        <f t="shared" si="3"/>
        <v>0</v>
      </c>
      <c r="L3712" s="91" t="str">
        <f t="shared" si="8"/>
        <v>Thu</v>
      </c>
      <c r="M3712" s="78" t="str">
        <f>IFERROR(VLOOKUP(A3712, Entries!A:B,2,false),"")</f>
        <v>Bethesda Softworks</v>
      </c>
      <c r="N3712" s="23" t="str">
        <f>IFERROR(VLOOKUP(A3712, Entries!A:K,11,false),"")</f>
        <v/>
      </c>
    </row>
    <row r="3713">
      <c r="A3713" s="78" t="s">
        <v>3897</v>
      </c>
      <c r="B3713" s="78" t="s">
        <v>27</v>
      </c>
      <c r="C3713" s="85">
        <v>45127.0</v>
      </c>
      <c r="D3713" s="85">
        <v>45170.0</v>
      </c>
      <c r="E3713" s="86">
        <v>4.69</v>
      </c>
      <c r="F3713" s="87">
        <v>5.87</v>
      </c>
      <c r="G3713" s="88">
        <f t="shared" si="1"/>
        <v>1.18</v>
      </c>
      <c r="H3713" s="89">
        <f t="shared" si="10"/>
        <v>0.2010221465</v>
      </c>
      <c r="I3713" s="78" t="s">
        <v>4439</v>
      </c>
      <c r="J3713" s="78" t="s">
        <v>69</v>
      </c>
      <c r="K3713" s="58">
        <f t="shared" si="3"/>
        <v>43</v>
      </c>
      <c r="L3713" s="91" t="str">
        <f t="shared" si="8"/>
        <v>Fri</v>
      </c>
      <c r="M3713" s="78" t="str">
        <f>IFERROR(VLOOKUP(A3713, Entries!A:B,2,false),"")</f>
        <v>Bethesda Softworks</v>
      </c>
      <c r="N3713" s="23" t="str">
        <f>IFERROR(VLOOKUP(A3713, Entries!A:K,11,false),"")</f>
        <v/>
      </c>
    </row>
    <row r="3714">
      <c r="A3714" s="78" t="s">
        <v>3979</v>
      </c>
      <c r="B3714" s="78" t="s">
        <v>22</v>
      </c>
      <c r="C3714" s="85">
        <v>45127.0</v>
      </c>
      <c r="D3714" s="85">
        <v>45127.0</v>
      </c>
      <c r="E3714" s="86">
        <v>29.75</v>
      </c>
      <c r="F3714" s="87">
        <v>34.59</v>
      </c>
      <c r="G3714" s="88">
        <f t="shared" si="1"/>
        <v>4.84</v>
      </c>
      <c r="H3714" s="89">
        <f t="shared" si="10"/>
        <v>0.1399248338</v>
      </c>
      <c r="I3714" s="78" t="s">
        <v>4440</v>
      </c>
      <c r="J3714" s="78" t="s">
        <v>69</v>
      </c>
      <c r="K3714" s="58">
        <f t="shared" si="3"/>
        <v>0</v>
      </c>
      <c r="L3714" s="91" t="str">
        <f t="shared" si="8"/>
        <v>Thu</v>
      </c>
      <c r="M3714" s="78" t="str">
        <f>IFERROR(VLOOKUP(A3714, Entries!A:B,2,false),"")</f>
        <v>Square Enix</v>
      </c>
      <c r="N3714" s="23" t="str">
        <f>IFERROR(VLOOKUP(A3714, Entries!A:K,11,false),"")</f>
        <v/>
      </c>
    </row>
    <row r="3715">
      <c r="A3715" s="78" t="s">
        <v>2914</v>
      </c>
      <c r="B3715" s="78" t="s">
        <v>22</v>
      </c>
      <c r="C3715" s="85">
        <v>45215.0</v>
      </c>
      <c r="D3715" s="25"/>
      <c r="E3715" s="86">
        <v>16.32</v>
      </c>
      <c r="F3715" s="88"/>
      <c r="G3715" s="88">
        <f t="shared" si="1"/>
        <v>-16.32</v>
      </c>
      <c r="H3715" s="89" t="str">
        <f t="shared" si="10"/>
        <v/>
      </c>
      <c r="I3715" s="103" t="s">
        <v>4441</v>
      </c>
      <c r="J3715" s="78" t="s">
        <v>1129</v>
      </c>
      <c r="K3715" s="58" t="str">
        <f t="shared" si="3"/>
        <v/>
      </c>
      <c r="L3715" s="91" t="str">
        <f t="shared" si="8"/>
        <v/>
      </c>
      <c r="M3715" s="78" t="str">
        <f>IFERROR(VLOOKUP(A3715, Entries!A:B,2,false),"")</f>
        <v>Square Enix</v>
      </c>
      <c r="N3715" s="23" t="str">
        <f>IFERROR(VLOOKUP(A3715, Entries!A:K,11,false),"")</f>
        <v/>
      </c>
      <c r="O3715" s="23" t="b">
        <f>IFERROR(VLOOKUP(A3715, Entries!A:I,8,false),"")</f>
        <v>0</v>
      </c>
      <c r="P3715" s="78" t="s">
        <v>4442</v>
      </c>
    </row>
    <row r="3716">
      <c r="A3716" s="94" t="s">
        <v>1887</v>
      </c>
      <c r="B3716" s="78" t="s">
        <v>27</v>
      </c>
      <c r="C3716" s="85">
        <v>45127.0</v>
      </c>
      <c r="D3716" s="85">
        <v>45574.0</v>
      </c>
      <c r="E3716" s="86">
        <v>11.19</v>
      </c>
      <c r="F3716" s="87">
        <v>20.89</v>
      </c>
      <c r="G3716" s="88">
        <f t="shared" si="1"/>
        <v>9.7</v>
      </c>
      <c r="H3716" s="89">
        <f t="shared" si="10"/>
        <v>0.4643370034</v>
      </c>
      <c r="I3716" s="78" t="s">
        <v>4443</v>
      </c>
      <c r="J3716" s="78" t="s">
        <v>69</v>
      </c>
      <c r="K3716" s="58">
        <f t="shared" si="3"/>
        <v>447</v>
      </c>
      <c r="L3716" s="91" t="str">
        <f t="shared" si="8"/>
        <v>Wed</v>
      </c>
      <c r="M3716" s="78" t="str">
        <f>IFERROR(VLOOKUP(A3716, Entries!A:B,2,false),"")</f>
        <v>Devolver Digital</v>
      </c>
      <c r="N3716" s="23" t="str">
        <f>IFERROR(VLOOKUP(A3716, Entries!A:K,11,false),"")</f>
        <v/>
      </c>
      <c r="O3716" s="23" t="b">
        <f>IFERROR(VLOOKUP(A3716, Entries!A:I,8,false),"")</f>
        <v>0</v>
      </c>
    </row>
    <row r="3717">
      <c r="A3717" s="78" t="s">
        <v>3979</v>
      </c>
      <c r="B3717" s="78" t="s">
        <v>22</v>
      </c>
      <c r="C3717" s="85">
        <v>45127.0</v>
      </c>
      <c r="D3717" s="85">
        <v>45127.0</v>
      </c>
      <c r="E3717" s="86">
        <v>29.75</v>
      </c>
      <c r="F3717" s="87">
        <v>34.08</v>
      </c>
      <c r="G3717" s="88">
        <f t="shared" si="1"/>
        <v>4.33</v>
      </c>
      <c r="H3717" s="89">
        <f t="shared" si="10"/>
        <v>0.1270539906</v>
      </c>
      <c r="I3717" s="78" t="s">
        <v>4444</v>
      </c>
      <c r="J3717" s="78" t="s">
        <v>69</v>
      </c>
      <c r="K3717" s="58">
        <f t="shared" si="3"/>
        <v>0</v>
      </c>
      <c r="L3717" s="91" t="str">
        <f t="shared" si="8"/>
        <v>Thu</v>
      </c>
      <c r="M3717" s="78" t="str">
        <f>IFERROR(VLOOKUP(A3717, Entries!A:B,2,false),"")</f>
        <v>Square Enix</v>
      </c>
      <c r="N3717" s="23" t="str">
        <f>IFERROR(VLOOKUP(A3717, Entries!A:K,11,false),"")</f>
        <v/>
      </c>
    </row>
    <row r="3718">
      <c r="A3718" s="78" t="s">
        <v>3738</v>
      </c>
      <c r="B3718" s="78" t="s">
        <v>22</v>
      </c>
      <c r="C3718" s="85">
        <v>45127.0</v>
      </c>
      <c r="D3718" s="85">
        <v>45128.0</v>
      </c>
      <c r="E3718" s="86">
        <v>26.1</v>
      </c>
      <c r="F3718" s="87">
        <v>30.48</v>
      </c>
      <c r="G3718" s="88">
        <f t="shared" si="1"/>
        <v>4.38</v>
      </c>
      <c r="H3718" s="89">
        <f t="shared" si="10"/>
        <v>0.1437007874</v>
      </c>
      <c r="I3718" s="78" t="s">
        <v>4445</v>
      </c>
      <c r="J3718" s="78" t="s">
        <v>69</v>
      </c>
      <c r="K3718" s="58">
        <f t="shared" si="3"/>
        <v>1</v>
      </c>
      <c r="L3718" s="91" t="str">
        <f t="shared" si="8"/>
        <v>Fri</v>
      </c>
      <c r="M3718" s="78" t="str">
        <f>IFERROR(VLOOKUP(A3718, Entries!A:B,2,false),"")</f>
        <v>Square Enix</v>
      </c>
      <c r="N3718" s="23" t="str">
        <f>IFERROR(VLOOKUP(A3718, Entries!A:K,11,false),"")</f>
        <v/>
      </c>
    </row>
    <row r="3719">
      <c r="A3719" s="78" t="s">
        <v>3979</v>
      </c>
      <c r="B3719" s="78" t="s">
        <v>22</v>
      </c>
      <c r="C3719" s="85">
        <v>45127.0</v>
      </c>
      <c r="D3719" s="85">
        <v>45127.0</v>
      </c>
      <c r="E3719" s="86">
        <v>29.75</v>
      </c>
      <c r="F3719" s="87">
        <v>34.08</v>
      </c>
      <c r="G3719" s="88">
        <f t="shared" si="1"/>
        <v>4.33</v>
      </c>
      <c r="H3719" s="89">
        <f t="shared" si="10"/>
        <v>0.1270539906</v>
      </c>
      <c r="I3719" s="78" t="s">
        <v>4446</v>
      </c>
      <c r="J3719" s="78" t="s">
        <v>69</v>
      </c>
      <c r="K3719" s="58">
        <f t="shared" si="3"/>
        <v>0</v>
      </c>
      <c r="L3719" s="91" t="str">
        <f t="shared" si="8"/>
        <v>Thu</v>
      </c>
      <c r="M3719" s="78" t="str">
        <f>IFERROR(VLOOKUP(A3719, Entries!A:B,2,false),"")</f>
        <v>Square Enix</v>
      </c>
      <c r="N3719" s="23" t="str">
        <f>IFERROR(VLOOKUP(A3719, Entries!A:K,11,false),"")</f>
        <v/>
      </c>
    </row>
    <row r="3720">
      <c r="A3720" s="78" t="s">
        <v>3979</v>
      </c>
      <c r="B3720" s="78" t="s">
        <v>22</v>
      </c>
      <c r="C3720" s="85">
        <v>45127.0</v>
      </c>
      <c r="D3720" s="85">
        <v>45127.0</v>
      </c>
      <c r="E3720" s="86">
        <v>29.75</v>
      </c>
      <c r="F3720" s="87">
        <v>33.63</v>
      </c>
      <c r="G3720" s="88">
        <f t="shared" si="1"/>
        <v>3.88</v>
      </c>
      <c r="H3720" s="89">
        <f t="shared" si="10"/>
        <v>0.1153731787</v>
      </c>
      <c r="I3720" s="78" t="s">
        <v>4447</v>
      </c>
      <c r="J3720" s="78" t="s">
        <v>69</v>
      </c>
      <c r="K3720" s="58">
        <f t="shared" si="3"/>
        <v>0</v>
      </c>
      <c r="L3720" s="91" t="str">
        <f t="shared" si="8"/>
        <v>Thu</v>
      </c>
      <c r="M3720" s="78" t="str">
        <f>IFERROR(VLOOKUP(A3720, Entries!A:B,2,false),"")</f>
        <v>Square Enix</v>
      </c>
      <c r="N3720" s="23" t="str">
        <f>IFERROR(VLOOKUP(A3720, Entries!A:K,11,false),"")</f>
        <v/>
      </c>
    </row>
    <row r="3721">
      <c r="A3721" s="78" t="s">
        <v>4448</v>
      </c>
      <c r="B3721" s="78" t="s">
        <v>22</v>
      </c>
      <c r="C3721" s="85">
        <v>45127.0</v>
      </c>
      <c r="D3721" s="85">
        <v>45149.0</v>
      </c>
      <c r="E3721" s="86">
        <v>26.1</v>
      </c>
      <c r="F3721" s="87">
        <v>28.05</v>
      </c>
      <c r="G3721" s="88">
        <f t="shared" si="1"/>
        <v>1.95</v>
      </c>
      <c r="H3721" s="89">
        <f t="shared" si="10"/>
        <v>0.06951871658</v>
      </c>
      <c r="I3721" s="78" t="s">
        <v>4449</v>
      </c>
      <c r="J3721" s="78" t="s">
        <v>69</v>
      </c>
      <c r="K3721" s="58">
        <f t="shared" si="3"/>
        <v>22</v>
      </c>
      <c r="L3721" s="91" t="str">
        <f t="shared" si="8"/>
        <v>Fri</v>
      </c>
      <c r="M3721" s="78" t="str">
        <f>IFERROR(VLOOKUP(A3721, Entries!A:B,2,false),"")</f>
        <v>Square Enix</v>
      </c>
      <c r="N3721" s="23" t="str">
        <f>IFERROR(VLOOKUP(A3721, Entries!A:K,11,false),"")</f>
        <v/>
      </c>
    </row>
    <row r="3722">
      <c r="A3722" s="78" t="s">
        <v>3979</v>
      </c>
      <c r="B3722" s="78" t="s">
        <v>22</v>
      </c>
      <c r="C3722" s="85">
        <v>45127.0</v>
      </c>
      <c r="D3722" s="85">
        <v>45128.0</v>
      </c>
      <c r="E3722" s="86">
        <v>29.75</v>
      </c>
      <c r="F3722" s="87">
        <v>33.63</v>
      </c>
      <c r="G3722" s="88">
        <f t="shared" si="1"/>
        <v>3.88</v>
      </c>
      <c r="H3722" s="89">
        <f t="shared" si="10"/>
        <v>0.1153731787</v>
      </c>
      <c r="I3722" s="78" t="s">
        <v>4450</v>
      </c>
      <c r="J3722" s="78" t="s">
        <v>69</v>
      </c>
      <c r="K3722" s="58">
        <f t="shared" si="3"/>
        <v>1</v>
      </c>
      <c r="L3722" s="91" t="str">
        <f t="shared" si="8"/>
        <v>Fri</v>
      </c>
      <c r="M3722" s="78" t="str">
        <f>IFERROR(VLOOKUP(A3722, Entries!A:B,2,false),"")</f>
        <v>Square Enix</v>
      </c>
      <c r="N3722" s="23" t="str">
        <f>IFERROR(VLOOKUP(A3722, Entries!A:K,11,false),"")</f>
        <v/>
      </c>
    </row>
    <row r="3723">
      <c r="A3723" s="78" t="s">
        <v>272</v>
      </c>
      <c r="B3723" s="78" t="s">
        <v>19</v>
      </c>
      <c r="C3723" s="85">
        <v>45128.0</v>
      </c>
      <c r="D3723" s="85">
        <v>45128.0</v>
      </c>
      <c r="E3723" s="86">
        <v>0.99</v>
      </c>
      <c r="F3723" s="87">
        <v>1.36</v>
      </c>
      <c r="G3723" s="88">
        <f t="shared" si="1"/>
        <v>0.37</v>
      </c>
      <c r="H3723" s="89">
        <f t="shared" si="10"/>
        <v>0.2720588235</v>
      </c>
      <c r="I3723" s="78" t="s">
        <v>4451</v>
      </c>
      <c r="J3723" s="78" t="s">
        <v>69</v>
      </c>
      <c r="K3723" s="58">
        <f t="shared" si="3"/>
        <v>0</v>
      </c>
      <c r="L3723" s="91" t="str">
        <f t="shared" si="8"/>
        <v>Fri</v>
      </c>
      <c r="M3723" s="78" t="str">
        <f>IFERROR(VLOOKUP(A3723, Entries!A:B,2,false),"")</f>
        <v>Starbreeze Publishing</v>
      </c>
      <c r="N3723" s="23" t="str">
        <f>IFERROR(VLOOKUP(A3723, Entries!A:K,11,false),"")</f>
        <v/>
      </c>
    </row>
    <row r="3724">
      <c r="A3724" s="78" t="s">
        <v>272</v>
      </c>
      <c r="B3724" s="78" t="s">
        <v>19</v>
      </c>
      <c r="C3724" s="85">
        <v>45128.0</v>
      </c>
      <c r="D3724" s="85">
        <v>45128.0</v>
      </c>
      <c r="E3724" s="86">
        <v>0.99</v>
      </c>
      <c r="F3724" s="87">
        <v>1.36</v>
      </c>
      <c r="G3724" s="88">
        <f t="shared" si="1"/>
        <v>0.37</v>
      </c>
      <c r="H3724" s="89">
        <f t="shared" si="10"/>
        <v>0.2720588235</v>
      </c>
      <c r="I3724" s="78" t="s">
        <v>4452</v>
      </c>
      <c r="J3724" s="78" t="s">
        <v>69</v>
      </c>
      <c r="K3724" s="58">
        <f t="shared" si="3"/>
        <v>0</v>
      </c>
      <c r="L3724" s="91" t="str">
        <f t="shared" si="8"/>
        <v>Fri</v>
      </c>
      <c r="M3724" s="78" t="str">
        <f>IFERROR(VLOOKUP(A3724, Entries!A:B,2,false),"")</f>
        <v>Starbreeze Publishing</v>
      </c>
      <c r="N3724" s="23" t="str">
        <f>IFERROR(VLOOKUP(A3724, Entries!A:K,11,false),"")</f>
        <v/>
      </c>
    </row>
    <row r="3725">
      <c r="A3725" s="78" t="s">
        <v>3979</v>
      </c>
      <c r="B3725" s="78" t="s">
        <v>22</v>
      </c>
      <c r="C3725" s="85">
        <v>45128.0</v>
      </c>
      <c r="D3725" s="85">
        <v>45128.0</v>
      </c>
      <c r="E3725" s="86">
        <v>29.9</v>
      </c>
      <c r="F3725" s="87">
        <v>33.06</v>
      </c>
      <c r="G3725" s="88">
        <f t="shared" si="1"/>
        <v>3.16</v>
      </c>
      <c r="H3725" s="89">
        <f t="shared" si="10"/>
        <v>0.09558378705</v>
      </c>
      <c r="I3725" s="78" t="s">
        <v>4453</v>
      </c>
      <c r="J3725" s="78" t="s">
        <v>69</v>
      </c>
      <c r="K3725" s="58">
        <f t="shared" si="3"/>
        <v>0</v>
      </c>
      <c r="L3725" s="91" t="str">
        <f t="shared" si="8"/>
        <v>Fri</v>
      </c>
      <c r="M3725" s="78" t="str">
        <f>IFERROR(VLOOKUP(A3725, Entries!A:B,2,false),"")</f>
        <v>Square Enix</v>
      </c>
      <c r="N3725" s="23" t="str">
        <f>IFERROR(VLOOKUP(A3725, Entries!A:K,11,false),"")</f>
        <v/>
      </c>
    </row>
    <row r="3726">
      <c r="A3726" s="78" t="s">
        <v>4085</v>
      </c>
      <c r="B3726" s="78" t="s">
        <v>27</v>
      </c>
      <c r="C3726" s="85">
        <v>45128.0</v>
      </c>
      <c r="D3726" s="85">
        <v>45128.0</v>
      </c>
      <c r="E3726" s="86">
        <v>6.54</v>
      </c>
      <c r="F3726" s="87">
        <v>7.91</v>
      </c>
      <c r="G3726" s="88">
        <f t="shared" si="1"/>
        <v>1.37</v>
      </c>
      <c r="H3726" s="89">
        <f t="shared" si="10"/>
        <v>0.1731984829</v>
      </c>
      <c r="I3726" s="78" t="s">
        <v>4454</v>
      </c>
      <c r="J3726" s="78" t="s">
        <v>69</v>
      </c>
      <c r="K3726" s="58">
        <f t="shared" si="3"/>
        <v>0</v>
      </c>
      <c r="L3726" s="91" t="str">
        <f t="shared" si="8"/>
        <v>Fri</v>
      </c>
      <c r="M3726" s="78" t="str">
        <f>IFERROR(VLOOKUP(A3726, Entries!A:B,2,false),"")</f>
        <v>Bethesda Softworks</v>
      </c>
      <c r="N3726" s="23" t="str">
        <f>IFERROR(VLOOKUP(A3726, Entries!A:K,11,false),"")</f>
        <v/>
      </c>
    </row>
    <row r="3727">
      <c r="A3727" s="78" t="s">
        <v>3738</v>
      </c>
      <c r="B3727" s="78" t="s">
        <v>22</v>
      </c>
      <c r="C3727" s="85">
        <v>45128.0</v>
      </c>
      <c r="D3727" s="85">
        <v>45128.0</v>
      </c>
      <c r="E3727" s="86">
        <v>26.24</v>
      </c>
      <c r="F3727" s="87">
        <v>30.48</v>
      </c>
      <c r="G3727" s="88">
        <f t="shared" si="1"/>
        <v>4.24</v>
      </c>
      <c r="H3727" s="89">
        <f t="shared" si="10"/>
        <v>0.1391076115</v>
      </c>
      <c r="I3727" s="78" t="s">
        <v>4455</v>
      </c>
      <c r="J3727" s="78" t="s">
        <v>69</v>
      </c>
      <c r="K3727" s="58">
        <f t="shared" si="3"/>
        <v>0</v>
      </c>
      <c r="L3727" s="91" t="str">
        <f t="shared" si="8"/>
        <v>Fri</v>
      </c>
      <c r="M3727" s="78" t="str">
        <f>IFERROR(VLOOKUP(A3727, Entries!A:B,2,false),"")</f>
        <v>Square Enix</v>
      </c>
      <c r="N3727" s="23" t="str">
        <f>IFERROR(VLOOKUP(A3727, Entries!A:K,11,false),"")</f>
        <v/>
      </c>
    </row>
    <row r="3728">
      <c r="A3728" s="78" t="s">
        <v>3738</v>
      </c>
      <c r="B3728" s="78" t="s">
        <v>22</v>
      </c>
      <c r="C3728" s="85">
        <v>45128.0</v>
      </c>
      <c r="D3728" s="85">
        <v>45129.0</v>
      </c>
      <c r="E3728" s="86">
        <v>26.24</v>
      </c>
      <c r="F3728" s="87">
        <v>30.97</v>
      </c>
      <c r="G3728" s="88">
        <f t="shared" si="1"/>
        <v>4.73</v>
      </c>
      <c r="H3728" s="89">
        <f t="shared" si="10"/>
        <v>0.1527284469</v>
      </c>
      <c r="I3728" s="78" t="s">
        <v>4456</v>
      </c>
      <c r="J3728" s="78" t="s">
        <v>69</v>
      </c>
      <c r="K3728" s="58">
        <f t="shared" si="3"/>
        <v>1</v>
      </c>
      <c r="L3728" s="91" t="str">
        <f t="shared" si="8"/>
        <v>Sat</v>
      </c>
      <c r="M3728" s="78" t="str">
        <f>IFERROR(VLOOKUP(A3728, Entries!A:B,2,false),"")</f>
        <v>Square Enix</v>
      </c>
      <c r="N3728" s="23" t="str">
        <f>IFERROR(VLOOKUP(A3728, Entries!A:K,11,false),"")</f>
        <v/>
      </c>
    </row>
    <row r="3729">
      <c r="A3729" s="78" t="s">
        <v>1387</v>
      </c>
      <c r="B3729" s="78" t="s">
        <v>23</v>
      </c>
      <c r="C3729" s="85">
        <v>45128.0</v>
      </c>
      <c r="D3729" s="85">
        <v>45130.0</v>
      </c>
      <c r="E3729" s="86">
        <v>4.51</v>
      </c>
      <c r="F3729" s="87">
        <v>5.15</v>
      </c>
      <c r="G3729" s="88">
        <f t="shared" si="1"/>
        <v>0.64</v>
      </c>
      <c r="H3729" s="89">
        <f t="shared" si="10"/>
        <v>0.1242718447</v>
      </c>
      <c r="I3729" s="78" t="s">
        <v>4457</v>
      </c>
      <c r="J3729" s="78" t="s">
        <v>69</v>
      </c>
      <c r="K3729" s="58">
        <f t="shared" si="3"/>
        <v>2</v>
      </c>
      <c r="L3729" s="91" t="str">
        <f t="shared" si="8"/>
        <v>Sun</v>
      </c>
      <c r="M3729" s="78" t="str">
        <f>IFERROR(VLOOKUP(A3729, Entries!A:B,2,false),"")</f>
        <v>Eugen Systems</v>
      </c>
      <c r="N3729" s="23" t="str">
        <f>IFERROR(VLOOKUP(A3729, Entries!A:K,11,false),"")</f>
        <v/>
      </c>
    </row>
    <row r="3730">
      <c r="A3730" s="78" t="s">
        <v>1034</v>
      </c>
      <c r="B3730" s="78" t="s">
        <v>23</v>
      </c>
      <c r="C3730" s="85">
        <v>45128.0</v>
      </c>
      <c r="D3730" s="85">
        <v>45137.0</v>
      </c>
      <c r="E3730" s="86">
        <v>7.03</v>
      </c>
      <c r="F3730" s="87">
        <v>10.86</v>
      </c>
      <c r="G3730" s="88">
        <f t="shared" si="1"/>
        <v>3.83</v>
      </c>
      <c r="H3730" s="89">
        <f t="shared" si="10"/>
        <v>0.3526703499</v>
      </c>
      <c r="I3730" s="78" t="s">
        <v>4458</v>
      </c>
      <c r="J3730" s="78" t="s">
        <v>69</v>
      </c>
      <c r="K3730" s="58">
        <f t="shared" si="3"/>
        <v>9</v>
      </c>
      <c r="L3730" s="91" t="str">
        <f t="shared" si="8"/>
        <v>Sun</v>
      </c>
      <c r="M3730" s="78" t="str">
        <f>IFERROR(VLOOKUP(A3730, Entries!A:B,2,false),"")</f>
        <v>Eugen Systems</v>
      </c>
      <c r="N3730" s="23" t="str">
        <f>IFERROR(VLOOKUP(A3730, Entries!A:K,11,false),"")</f>
        <v/>
      </c>
    </row>
    <row r="3731">
      <c r="A3731" s="78" t="s">
        <v>1406</v>
      </c>
      <c r="B3731" s="78" t="s">
        <v>23</v>
      </c>
      <c r="C3731" s="85">
        <v>45128.0</v>
      </c>
      <c r="D3731" s="85">
        <v>45131.0</v>
      </c>
      <c r="E3731" s="86">
        <v>18.73</v>
      </c>
      <c r="F3731" s="87">
        <v>32.97</v>
      </c>
      <c r="G3731" s="88">
        <f t="shared" si="1"/>
        <v>14.24</v>
      </c>
      <c r="H3731" s="89">
        <f t="shared" si="10"/>
        <v>0.431907795</v>
      </c>
      <c r="I3731" s="78" t="s">
        <v>4459</v>
      </c>
      <c r="J3731" s="78" t="s">
        <v>69</v>
      </c>
      <c r="K3731" s="58">
        <f t="shared" si="3"/>
        <v>3</v>
      </c>
      <c r="L3731" s="91" t="str">
        <f t="shared" si="8"/>
        <v>Mon</v>
      </c>
      <c r="M3731" s="78" t="str">
        <f>IFERROR(VLOOKUP(A3731, Entries!A:B,2,false),"")</f>
        <v>Eugen Systems</v>
      </c>
      <c r="N3731" s="23" t="str">
        <f>IFERROR(VLOOKUP(A3731, Entries!A:K,11,false),"")</f>
        <v/>
      </c>
    </row>
    <row r="3732">
      <c r="A3732" s="78" t="s">
        <v>1389</v>
      </c>
      <c r="B3732" s="78" t="s">
        <v>23</v>
      </c>
      <c r="C3732" s="85">
        <v>45128.0</v>
      </c>
      <c r="D3732" s="85">
        <v>45130.0</v>
      </c>
      <c r="E3732" s="86">
        <v>9.36</v>
      </c>
      <c r="F3732" s="87">
        <v>19.52</v>
      </c>
      <c r="G3732" s="88">
        <f t="shared" si="1"/>
        <v>10.16</v>
      </c>
      <c r="H3732" s="89">
        <f t="shared" si="10"/>
        <v>0.5204918033</v>
      </c>
      <c r="I3732" s="78" t="s">
        <v>4460</v>
      </c>
      <c r="J3732" s="78" t="s">
        <v>69</v>
      </c>
      <c r="K3732" s="58">
        <f t="shared" si="3"/>
        <v>2</v>
      </c>
      <c r="L3732" s="91" t="str">
        <f t="shared" si="8"/>
        <v>Sun</v>
      </c>
      <c r="M3732" s="78" t="str">
        <f>IFERROR(VLOOKUP(A3732, Entries!A:B,2,false),"")</f>
        <v>Eugen Systems</v>
      </c>
      <c r="N3732" s="23" t="str">
        <f>IFERROR(VLOOKUP(A3732, Entries!A:K,11,false),"")</f>
        <v/>
      </c>
      <c r="P3732" s="78" t="s">
        <v>4461</v>
      </c>
    </row>
    <row r="3733">
      <c r="A3733" s="78" t="s">
        <v>4010</v>
      </c>
      <c r="B3733" s="78" t="s">
        <v>23</v>
      </c>
      <c r="C3733" s="85">
        <v>45128.0</v>
      </c>
      <c r="D3733" s="85">
        <v>45178.0</v>
      </c>
      <c r="E3733" s="86">
        <v>16.4</v>
      </c>
      <c r="F3733" s="87">
        <v>23.65</v>
      </c>
      <c r="G3733" s="88">
        <f t="shared" si="1"/>
        <v>7.25</v>
      </c>
      <c r="H3733" s="89">
        <f t="shared" si="10"/>
        <v>0.3065539112</v>
      </c>
      <c r="I3733" s="78" t="s">
        <v>4462</v>
      </c>
      <c r="J3733" s="78" t="s">
        <v>69</v>
      </c>
      <c r="K3733" s="58">
        <f t="shared" si="3"/>
        <v>50</v>
      </c>
      <c r="L3733" s="91" t="str">
        <f t="shared" si="8"/>
        <v>Sat</v>
      </c>
      <c r="M3733" s="78" t="str">
        <f>IFERROR(VLOOKUP(A3733, Entries!A:B,2,false),"")</f>
        <v>Eugen Systems</v>
      </c>
      <c r="N3733" s="23" t="str">
        <f>IFERROR(VLOOKUP(A3733, Entries!A:K,11,false),"")</f>
        <v/>
      </c>
      <c r="O3733" s="23" t="b">
        <f>IFERROR(VLOOKUP(A3733, Entries!A:I,8,false),"")</f>
        <v>0</v>
      </c>
    </row>
    <row r="3734">
      <c r="A3734" s="78" t="s">
        <v>4463</v>
      </c>
      <c r="B3734" s="78" t="s">
        <v>22</v>
      </c>
      <c r="C3734" s="85">
        <v>45128.0</v>
      </c>
      <c r="D3734" s="85">
        <v>45164.0</v>
      </c>
      <c r="E3734" s="86">
        <v>25.79</v>
      </c>
      <c r="F3734" s="87">
        <v>40.4</v>
      </c>
      <c r="G3734" s="88">
        <f t="shared" si="1"/>
        <v>14.61</v>
      </c>
      <c r="H3734" s="89">
        <f t="shared" si="10"/>
        <v>0.3616336634</v>
      </c>
      <c r="I3734" s="78" t="s">
        <v>4464</v>
      </c>
      <c r="J3734" s="78" t="s">
        <v>69</v>
      </c>
      <c r="K3734" s="58">
        <f t="shared" si="3"/>
        <v>36</v>
      </c>
      <c r="L3734" s="91" t="str">
        <f t="shared" si="8"/>
        <v>Sat</v>
      </c>
      <c r="M3734" s="78" t="str">
        <f>IFERROR(VLOOKUP(A3734, Entries!A:B,2,false),"")</f>
        <v>BANDAI NAMCO</v>
      </c>
      <c r="N3734" s="23" t="str">
        <f>IFERROR(VLOOKUP(A3734, Entries!A:K,11,false),"")</f>
        <v/>
      </c>
    </row>
    <row r="3735">
      <c r="A3735" s="78" t="s">
        <v>4226</v>
      </c>
      <c r="B3735" s="78" t="s">
        <v>22</v>
      </c>
      <c r="C3735" s="85">
        <v>45128.0</v>
      </c>
      <c r="D3735" s="85">
        <v>45158.0</v>
      </c>
      <c r="E3735" s="86">
        <v>16.12</v>
      </c>
      <c r="F3735" s="87">
        <v>18.73</v>
      </c>
      <c r="G3735" s="88">
        <f t="shared" si="1"/>
        <v>2.61</v>
      </c>
      <c r="H3735" s="89">
        <f t="shared" si="10"/>
        <v>0.1393486385</v>
      </c>
      <c r="I3735" s="78" t="s">
        <v>4465</v>
      </c>
      <c r="J3735" s="78" t="s">
        <v>69</v>
      </c>
      <c r="K3735" s="58">
        <f t="shared" si="3"/>
        <v>30</v>
      </c>
      <c r="L3735" s="91" t="str">
        <f t="shared" si="8"/>
        <v>Sun</v>
      </c>
      <c r="M3735" s="78" t="str">
        <f>IFERROR(VLOOKUP(A3735, Entries!A:B,2,false),"")</f>
        <v>BANDAI NAMCO</v>
      </c>
      <c r="N3735" s="23" t="str">
        <f>IFERROR(VLOOKUP(A3735, Entries!A:K,11,false),"")</f>
        <v/>
      </c>
    </row>
    <row r="3736">
      <c r="A3736" s="78" t="s">
        <v>4466</v>
      </c>
      <c r="B3736" s="78" t="s">
        <v>22</v>
      </c>
      <c r="C3736" s="85">
        <v>45128.0</v>
      </c>
      <c r="D3736" s="85">
        <v>45128.0</v>
      </c>
      <c r="E3736" s="86">
        <v>4.19</v>
      </c>
      <c r="F3736" s="87">
        <v>6.99</v>
      </c>
      <c r="G3736" s="88">
        <f t="shared" si="1"/>
        <v>2.8</v>
      </c>
      <c r="H3736" s="89">
        <f t="shared" si="10"/>
        <v>0.4005722461</v>
      </c>
      <c r="I3736" s="78" t="s">
        <v>4467</v>
      </c>
      <c r="J3736" s="78" t="s">
        <v>69</v>
      </c>
      <c r="K3736" s="58">
        <f t="shared" si="3"/>
        <v>0</v>
      </c>
      <c r="L3736" s="91" t="str">
        <f t="shared" si="8"/>
        <v>Fri</v>
      </c>
      <c r="M3736" s="78" t="str">
        <f>IFERROR(VLOOKUP(A3736, Entries!A:B,2,false),"")</f>
        <v>SCKR Games</v>
      </c>
      <c r="N3736" s="23" t="str">
        <f>IFERROR(VLOOKUP(A3736, Entries!A:K,11,false),"")</f>
        <v/>
      </c>
    </row>
    <row r="3737">
      <c r="A3737" s="78" t="s">
        <v>272</v>
      </c>
      <c r="B3737" s="78" t="s">
        <v>19</v>
      </c>
      <c r="C3737" s="85">
        <v>45128.0</v>
      </c>
      <c r="D3737" s="85">
        <v>45128.0</v>
      </c>
      <c r="E3737" s="86">
        <v>0.99</v>
      </c>
      <c r="F3737" s="87">
        <v>1.36</v>
      </c>
      <c r="G3737" s="88">
        <f t="shared" si="1"/>
        <v>0.37</v>
      </c>
      <c r="H3737" s="89">
        <f t="shared" si="10"/>
        <v>0.2720588235</v>
      </c>
      <c r="I3737" s="78" t="s">
        <v>4468</v>
      </c>
      <c r="J3737" s="78" t="s">
        <v>69</v>
      </c>
      <c r="K3737" s="58">
        <f t="shared" si="3"/>
        <v>0</v>
      </c>
      <c r="L3737" s="91" t="str">
        <f t="shared" si="8"/>
        <v>Fri</v>
      </c>
      <c r="M3737" s="78" t="str">
        <f>IFERROR(VLOOKUP(A3737, Entries!A:B,2,false),"")</f>
        <v>Starbreeze Publishing</v>
      </c>
      <c r="N3737" s="23" t="str">
        <f>IFERROR(VLOOKUP(A3737, Entries!A:K,11,false),"")</f>
        <v/>
      </c>
    </row>
    <row r="3738">
      <c r="A3738" s="78" t="s">
        <v>272</v>
      </c>
      <c r="B3738" s="78" t="s">
        <v>19</v>
      </c>
      <c r="C3738" s="85">
        <v>45128.0</v>
      </c>
      <c r="D3738" s="85">
        <v>45128.0</v>
      </c>
      <c r="E3738" s="86">
        <v>0.99</v>
      </c>
      <c r="F3738" s="87">
        <v>1.36</v>
      </c>
      <c r="G3738" s="88">
        <f t="shared" si="1"/>
        <v>0.37</v>
      </c>
      <c r="H3738" s="89">
        <f t="shared" si="10"/>
        <v>0.2720588235</v>
      </c>
      <c r="I3738" s="78" t="s">
        <v>4469</v>
      </c>
      <c r="J3738" s="78" t="s">
        <v>69</v>
      </c>
      <c r="K3738" s="58">
        <f t="shared" si="3"/>
        <v>0</v>
      </c>
      <c r="L3738" s="91" t="str">
        <f t="shared" si="8"/>
        <v>Fri</v>
      </c>
      <c r="M3738" s="78" t="str">
        <f>IFERROR(VLOOKUP(A3738, Entries!A:B,2,false),"")</f>
        <v>Starbreeze Publishing</v>
      </c>
      <c r="N3738" s="23" t="str">
        <f>IFERROR(VLOOKUP(A3738, Entries!A:K,11,false),"")</f>
        <v/>
      </c>
    </row>
    <row r="3739">
      <c r="A3739" s="78" t="s">
        <v>4466</v>
      </c>
      <c r="B3739" s="78" t="s">
        <v>22</v>
      </c>
      <c r="C3739" s="85">
        <v>45128.0</v>
      </c>
      <c r="D3739" s="85">
        <v>45130.0</v>
      </c>
      <c r="E3739" s="86">
        <v>4.19</v>
      </c>
      <c r="F3739" s="87">
        <v>6.88</v>
      </c>
      <c r="G3739" s="88">
        <f t="shared" si="1"/>
        <v>2.69</v>
      </c>
      <c r="H3739" s="89">
        <f t="shared" si="10"/>
        <v>0.3909883721</v>
      </c>
      <c r="I3739" s="78" t="s">
        <v>4470</v>
      </c>
      <c r="J3739" s="78" t="s">
        <v>69</v>
      </c>
      <c r="K3739" s="58">
        <f t="shared" si="3"/>
        <v>2</v>
      </c>
      <c r="L3739" s="91" t="str">
        <f t="shared" si="8"/>
        <v>Sun</v>
      </c>
      <c r="M3739" s="78" t="str">
        <f>IFERROR(VLOOKUP(A3739, Entries!A:B,2,false),"")</f>
        <v>SCKR Games</v>
      </c>
      <c r="N3739" s="23" t="str">
        <f>IFERROR(VLOOKUP(A3739, Entries!A:K,11,false),"")</f>
        <v/>
      </c>
    </row>
    <row r="3740">
      <c r="A3740" s="78" t="s">
        <v>4466</v>
      </c>
      <c r="B3740" s="78" t="s">
        <v>22</v>
      </c>
      <c r="C3740" s="85">
        <v>45128.0</v>
      </c>
      <c r="D3740" s="85">
        <v>45131.0</v>
      </c>
      <c r="E3740" s="86">
        <v>4.19</v>
      </c>
      <c r="F3740" s="87">
        <v>6.11</v>
      </c>
      <c r="G3740" s="88">
        <f t="shared" si="1"/>
        <v>1.92</v>
      </c>
      <c r="H3740" s="89">
        <f t="shared" si="10"/>
        <v>0.3142389525</v>
      </c>
      <c r="I3740" s="78" t="s">
        <v>4471</v>
      </c>
      <c r="J3740" s="78" t="s">
        <v>69</v>
      </c>
      <c r="K3740" s="58">
        <f t="shared" si="3"/>
        <v>3</v>
      </c>
      <c r="L3740" s="91" t="str">
        <f t="shared" si="8"/>
        <v>Mon</v>
      </c>
      <c r="M3740" s="78" t="str">
        <f>IFERROR(VLOOKUP(A3740, Entries!A:B,2,false),"")</f>
        <v>SCKR Games</v>
      </c>
      <c r="N3740" s="23" t="str">
        <f>IFERROR(VLOOKUP(A3740, Entries!A:K,11,false),"")</f>
        <v/>
      </c>
    </row>
    <row r="3741">
      <c r="A3741" s="78" t="s">
        <v>4466</v>
      </c>
      <c r="B3741" s="78" t="s">
        <v>22</v>
      </c>
      <c r="C3741" s="85">
        <v>45128.0</v>
      </c>
      <c r="D3741" s="85">
        <v>45133.0</v>
      </c>
      <c r="E3741" s="86">
        <v>4.19</v>
      </c>
      <c r="F3741" s="87">
        <v>5.34</v>
      </c>
      <c r="G3741" s="88">
        <f t="shared" si="1"/>
        <v>1.15</v>
      </c>
      <c r="H3741" s="89">
        <f t="shared" si="10"/>
        <v>0.2153558052</v>
      </c>
      <c r="I3741" s="78" t="s">
        <v>4472</v>
      </c>
      <c r="J3741" s="78" t="s">
        <v>69</v>
      </c>
      <c r="K3741" s="58">
        <f t="shared" si="3"/>
        <v>5</v>
      </c>
      <c r="L3741" s="91" t="str">
        <f t="shared" si="8"/>
        <v>Wed</v>
      </c>
      <c r="M3741" s="78" t="str">
        <f>IFERROR(VLOOKUP(A3741, Entries!A:B,2,false),"")</f>
        <v>SCKR Games</v>
      </c>
      <c r="N3741" s="23" t="str">
        <f>IFERROR(VLOOKUP(A3741, Entries!A:K,11,false),"")</f>
        <v/>
      </c>
    </row>
    <row r="3742">
      <c r="A3742" s="78" t="s">
        <v>149</v>
      </c>
      <c r="B3742" s="78" t="s">
        <v>23</v>
      </c>
      <c r="C3742" s="85">
        <v>45128.0</v>
      </c>
      <c r="D3742" s="85">
        <v>45250.0</v>
      </c>
      <c r="E3742" s="86">
        <v>2.8</v>
      </c>
      <c r="F3742" s="87">
        <v>3.56</v>
      </c>
      <c r="G3742" s="88">
        <f t="shared" si="1"/>
        <v>0.76</v>
      </c>
      <c r="H3742" s="89">
        <f t="shared" si="10"/>
        <v>0.2134831461</v>
      </c>
      <c r="I3742" s="78" t="s">
        <v>4473</v>
      </c>
      <c r="J3742" s="78" t="s">
        <v>69</v>
      </c>
      <c r="K3742" s="58">
        <f t="shared" si="3"/>
        <v>122</v>
      </c>
      <c r="L3742" s="91" t="str">
        <f t="shared" si="8"/>
        <v>Mon</v>
      </c>
      <c r="M3742" s="78" t="str">
        <f>IFERROR(VLOOKUP(A3742, Entries!A:B,2,false),"")</f>
        <v>Focus Home Interactive</v>
      </c>
      <c r="N3742" s="23" t="str">
        <f>IFERROR(VLOOKUP(A3742, Entries!A:K,11,false),"")</f>
        <v/>
      </c>
      <c r="O3742" s="23" t="b">
        <f>IFERROR(VLOOKUP(A3742, Entries!A:I,8,false),"")</f>
        <v>0</v>
      </c>
    </row>
    <row r="3743">
      <c r="A3743" s="78" t="s">
        <v>4085</v>
      </c>
      <c r="B3743" s="78" t="s">
        <v>27</v>
      </c>
      <c r="C3743" s="85">
        <v>45128.0</v>
      </c>
      <c r="D3743" s="85">
        <v>45131.0</v>
      </c>
      <c r="E3743" s="86">
        <v>7.09</v>
      </c>
      <c r="F3743" s="87">
        <v>7.87</v>
      </c>
      <c r="G3743" s="88">
        <f t="shared" si="1"/>
        <v>0.78</v>
      </c>
      <c r="H3743" s="89">
        <f t="shared" si="10"/>
        <v>0.09911054638</v>
      </c>
      <c r="I3743" s="78" t="s">
        <v>4474</v>
      </c>
      <c r="J3743" s="78" t="s">
        <v>69</v>
      </c>
      <c r="K3743" s="58">
        <f t="shared" si="3"/>
        <v>3</v>
      </c>
      <c r="L3743" s="91" t="str">
        <f t="shared" si="8"/>
        <v>Mon</v>
      </c>
      <c r="M3743" s="78" t="str">
        <f>IFERROR(VLOOKUP(A3743, Entries!A:B,2,false),"")</f>
        <v>Bethesda Softworks</v>
      </c>
      <c r="N3743" s="23" t="str">
        <f>IFERROR(VLOOKUP(A3743, Entries!A:K,11,false),"")</f>
        <v/>
      </c>
    </row>
    <row r="3744">
      <c r="A3744" s="78" t="s">
        <v>1806</v>
      </c>
      <c r="B3744" s="78" t="s">
        <v>23</v>
      </c>
      <c r="C3744" s="85">
        <v>45128.0</v>
      </c>
      <c r="D3744" s="85">
        <v>45130.0</v>
      </c>
      <c r="E3744" s="86">
        <v>4.68</v>
      </c>
      <c r="F3744" s="87">
        <v>8.76</v>
      </c>
      <c r="G3744" s="88">
        <f t="shared" si="1"/>
        <v>4.08</v>
      </c>
      <c r="H3744" s="89">
        <f t="shared" si="10"/>
        <v>0.4657534247</v>
      </c>
      <c r="I3744" s="78" t="s">
        <v>4475</v>
      </c>
      <c r="J3744" s="78" t="s">
        <v>69</v>
      </c>
      <c r="K3744" s="58">
        <f t="shared" si="3"/>
        <v>2</v>
      </c>
      <c r="L3744" s="91" t="str">
        <f t="shared" si="8"/>
        <v>Sun</v>
      </c>
      <c r="M3744" s="78" t="str">
        <f>IFERROR(VLOOKUP(A3744, Entries!A:B,2,false),"")</f>
        <v>Daedalic Entertainment</v>
      </c>
      <c r="N3744" s="23" t="str">
        <f>IFERROR(VLOOKUP(A3744, Entries!A:K,11,false),"")</f>
        <v/>
      </c>
      <c r="P3744" s="78" t="s">
        <v>4461</v>
      </c>
    </row>
    <row r="3745">
      <c r="A3745" s="78" t="s">
        <v>1806</v>
      </c>
      <c r="B3745" s="78" t="s">
        <v>23</v>
      </c>
      <c r="C3745" s="85">
        <v>45128.0</v>
      </c>
      <c r="D3745" s="85">
        <v>45130.0</v>
      </c>
      <c r="E3745" s="86">
        <v>4.68</v>
      </c>
      <c r="F3745" s="87">
        <v>8.76</v>
      </c>
      <c r="G3745" s="88">
        <f t="shared" si="1"/>
        <v>4.08</v>
      </c>
      <c r="H3745" s="89">
        <f t="shared" si="10"/>
        <v>0.4657534247</v>
      </c>
      <c r="I3745" s="78" t="s">
        <v>4476</v>
      </c>
      <c r="J3745" s="78" t="s">
        <v>69</v>
      </c>
      <c r="K3745" s="58">
        <f t="shared" si="3"/>
        <v>2</v>
      </c>
      <c r="L3745" s="91" t="str">
        <f t="shared" si="8"/>
        <v>Sun</v>
      </c>
      <c r="M3745" s="78" t="str">
        <f>IFERROR(VLOOKUP(A3745, Entries!A:B,2,false),"")</f>
        <v>Daedalic Entertainment</v>
      </c>
      <c r="N3745" s="23" t="str">
        <f>IFERROR(VLOOKUP(A3745, Entries!A:K,11,false),"")</f>
        <v/>
      </c>
      <c r="P3745" s="78" t="s">
        <v>4461</v>
      </c>
    </row>
    <row r="3746">
      <c r="A3746" s="78" t="s">
        <v>1406</v>
      </c>
      <c r="B3746" s="78" t="s">
        <v>23</v>
      </c>
      <c r="C3746" s="85">
        <v>45129.0</v>
      </c>
      <c r="D3746" s="85">
        <v>45132.0</v>
      </c>
      <c r="E3746" s="86">
        <v>18.73</v>
      </c>
      <c r="F3746" s="87">
        <v>32.98</v>
      </c>
      <c r="G3746" s="88">
        <f t="shared" si="1"/>
        <v>14.25</v>
      </c>
      <c r="H3746" s="89">
        <f t="shared" si="10"/>
        <v>0.4320800485</v>
      </c>
      <c r="I3746" s="78" t="s">
        <v>4477</v>
      </c>
      <c r="J3746" s="78" t="s">
        <v>69</v>
      </c>
      <c r="K3746" s="58">
        <f t="shared" si="3"/>
        <v>3</v>
      </c>
      <c r="L3746" s="91" t="str">
        <f t="shared" si="8"/>
        <v>Tue</v>
      </c>
      <c r="M3746" s="78" t="str">
        <f>IFERROR(VLOOKUP(A3746, Entries!A:B,2,false),"")</f>
        <v>Eugen Systems</v>
      </c>
      <c r="N3746" s="23" t="str">
        <f>IFERROR(VLOOKUP(A3746, Entries!A:K,11,false),"")</f>
        <v/>
      </c>
    </row>
    <row r="3747">
      <c r="A3747" s="78" t="s">
        <v>1389</v>
      </c>
      <c r="B3747" s="78" t="s">
        <v>23</v>
      </c>
      <c r="C3747" s="85">
        <v>45129.0</v>
      </c>
      <c r="D3747" s="85">
        <v>45131.0</v>
      </c>
      <c r="E3747" s="86">
        <v>9.36</v>
      </c>
      <c r="F3747" s="87">
        <v>19.53</v>
      </c>
      <c r="G3747" s="88">
        <f t="shared" si="1"/>
        <v>10.17</v>
      </c>
      <c r="H3747" s="89">
        <f t="shared" si="10"/>
        <v>0.5207373272</v>
      </c>
      <c r="I3747" s="78" t="s">
        <v>4478</v>
      </c>
      <c r="J3747" s="78" t="s">
        <v>69</v>
      </c>
      <c r="K3747" s="58">
        <f t="shared" si="3"/>
        <v>2</v>
      </c>
      <c r="L3747" s="91" t="str">
        <f t="shared" si="8"/>
        <v>Mon</v>
      </c>
      <c r="M3747" s="78" t="str">
        <f>IFERROR(VLOOKUP(A3747, Entries!A:B,2,false),"")</f>
        <v>Eugen Systems</v>
      </c>
      <c r="N3747" s="23" t="str">
        <f>IFERROR(VLOOKUP(A3747, Entries!A:K,11,false),"")</f>
        <v/>
      </c>
    </row>
    <row r="3748">
      <c r="A3748" s="78" t="s">
        <v>1806</v>
      </c>
      <c r="B3748" s="78" t="s">
        <v>23</v>
      </c>
      <c r="C3748" s="85">
        <v>45129.0</v>
      </c>
      <c r="D3748" s="85">
        <v>45130.0</v>
      </c>
      <c r="E3748" s="86">
        <v>4.68</v>
      </c>
      <c r="F3748" s="87">
        <v>8.76</v>
      </c>
      <c r="G3748" s="88">
        <f t="shared" si="1"/>
        <v>4.08</v>
      </c>
      <c r="H3748" s="89">
        <f t="shared" si="10"/>
        <v>0.4657534247</v>
      </c>
      <c r="I3748" s="78" t="s">
        <v>4479</v>
      </c>
      <c r="J3748" s="78" t="s">
        <v>69</v>
      </c>
      <c r="K3748" s="58">
        <f t="shared" si="3"/>
        <v>1</v>
      </c>
      <c r="L3748" s="91" t="str">
        <f t="shared" si="8"/>
        <v>Sun</v>
      </c>
      <c r="M3748" s="78" t="str">
        <f>IFERROR(VLOOKUP(A3748, Entries!A:B,2,false),"")</f>
        <v>Daedalic Entertainment</v>
      </c>
      <c r="N3748" s="23" t="str">
        <f>IFERROR(VLOOKUP(A3748, Entries!A:K,11,false),"")</f>
        <v/>
      </c>
    </row>
    <row r="3749">
      <c r="A3749" s="78" t="s">
        <v>3738</v>
      </c>
      <c r="B3749" s="78" t="s">
        <v>22</v>
      </c>
      <c r="C3749" s="85">
        <v>45129.0</v>
      </c>
      <c r="D3749" s="85">
        <v>45134.0</v>
      </c>
      <c r="E3749" s="86">
        <v>26.26</v>
      </c>
      <c r="F3749" s="87">
        <v>29.84</v>
      </c>
      <c r="G3749" s="88">
        <f t="shared" si="1"/>
        <v>3.58</v>
      </c>
      <c r="H3749" s="89">
        <f t="shared" si="10"/>
        <v>0.1199731903</v>
      </c>
      <c r="I3749" s="78" t="s">
        <v>4480</v>
      </c>
      <c r="J3749" s="78" t="s">
        <v>69</v>
      </c>
      <c r="K3749" s="58">
        <f t="shared" si="3"/>
        <v>5</v>
      </c>
      <c r="L3749" s="91" t="str">
        <f t="shared" si="8"/>
        <v>Thu</v>
      </c>
      <c r="M3749" s="78" t="str">
        <f>IFERROR(VLOOKUP(A3749, Entries!A:B,2,false),"")</f>
        <v>Square Enix</v>
      </c>
      <c r="N3749" s="23" t="str">
        <f>IFERROR(VLOOKUP(A3749, Entries!A:K,11,false),"")</f>
        <v/>
      </c>
    </row>
    <row r="3750">
      <c r="A3750" s="78" t="s">
        <v>3979</v>
      </c>
      <c r="B3750" s="78" t="s">
        <v>22</v>
      </c>
      <c r="C3750" s="85">
        <v>45130.0</v>
      </c>
      <c r="D3750" s="85">
        <v>45130.0</v>
      </c>
      <c r="E3750" s="86">
        <v>29.93</v>
      </c>
      <c r="F3750" s="87">
        <v>33.06</v>
      </c>
      <c r="G3750" s="88">
        <f t="shared" si="1"/>
        <v>3.13</v>
      </c>
      <c r="H3750" s="89">
        <f t="shared" si="10"/>
        <v>0.09467634604</v>
      </c>
      <c r="I3750" s="78" t="s">
        <v>4481</v>
      </c>
      <c r="J3750" s="78" t="s">
        <v>69</v>
      </c>
      <c r="K3750" s="58">
        <f t="shared" si="3"/>
        <v>0</v>
      </c>
      <c r="L3750" s="91" t="str">
        <f t="shared" si="8"/>
        <v>Sun</v>
      </c>
      <c r="M3750" s="78" t="str">
        <f>IFERROR(VLOOKUP(A3750, Entries!A:B,2,false),"")</f>
        <v>Square Enix</v>
      </c>
      <c r="N3750" s="23" t="str">
        <f>IFERROR(VLOOKUP(A3750, Entries!A:K,11,false),"")</f>
        <v/>
      </c>
    </row>
    <row r="3751">
      <c r="A3751" s="78" t="s">
        <v>3979</v>
      </c>
      <c r="B3751" s="78" t="s">
        <v>22</v>
      </c>
      <c r="C3751" s="85">
        <v>45130.0</v>
      </c>
      <c r="D3751" s="85">
        <v>45130.0</v>
      </c>
      <c r="E3751" s="86">
        <v>29.93</v>
      </c>
      <c r="F3751" s="87">
        <v>33.06</v>
      </c>
      <c r="G3751" s="88">
        <f t="shared" si="1"/>
        <v>3.13</v>
      </c>
      <c r="H3751" s="89">
        <f t="shared" si="10"/>
        <v>0.09467634604</v>
      </c>
      <c r="I3751" s="78" t="s">
        <v>4482</v>
      </c>
      <c r="J3751" s="78" t="s">
        <v>69</v>
      </c>
      <c r="K3751" s="58">
        <f t="shared" si="3"/>
        <v>0</v>
      </c>
      <c r="L3751" s="91" t="str">
        <f t="shared" si="8"/>
        <v>Sun</v>
      </c>
      <c r="M3751" s="78" t="str">
        <f>IFERROR(VLOOKUP(A3751, Entries!A:B,2,false),"")</f>
        <v>Square Enix</v>
      </c>
      <c r="N3751" s="23" t="str">
        <f>IFERROR(VLOOKUP(A3751, Entries!A:K,11,false),"")</f>
        <v/>
      </c>
    </row>
    <row r="3752">
      <c r="A3752" s="78" t="s">
        <v>1336</v>
      </c>
      <c r="B3752" s="78" t="s">
        <v>25</v>
      </c>
      <c r="C3752" s="85">
        <v>45130.0</v>
      </c>
      <c r="D3752" s="85">
        <v>45131.0</v>
      </c>
      <c r="E3752" s="86">
        <v>9.96</v>
      </c>
      <c r="F3752" s="87">
        <v>11.98</v>
      </c>
      <c r="G3752" s="88">
        <f t="shared" si="1"/>
        <v>2.02</v>
      </c>
      <c r="H3752" s="89">
        <f t="shared" si="10"/>
        <v>0.1686143573</v>
      </c>
      <c r="I3752" s="78" t="s">
        <v>4483</v>
      </c>
      <c r="J3752" s="78" t="s">
        <v>69</v>
      </c>
      <c r="K3752" s="58">
        <f t="shared" si="3"/>
        <v>1</v>
      </c>
      <c r="L3752" s="91" t="str">
        <f t="shared" si="8"/>
        <v>Mon</v>
      </c>
      <c r="M3752" s="78" t="str">
        <f>IFERROR(VLOOKUP(A3752, Entries!A:B,2,false),"")</f>
        <v>Team17 Digital</v>
      </c>
      <c r="N3752" s="23" t="str">
        <f>IFERROR(VLOOKUP(A3752, Entries!A:K,11,false),"")</f>
        <v/>
      </c>
    </row>
    <row r="3753">
      <c r="A3753" s="78" t="s">
        <v>3309</v>
      </c>
      <c r="B3753" s="78" t="s">
        <v>27</v>
      </c>
      <c r="C3753" s="85">
        <v>45130.0</v>
      </c>
      <c r="D3753" s="85">
        <v>45133.0</v>
      </c>
      <c r="E3753" s="86">
        <v>3.89</v>
      </c>
      <c r="F3753" s="87">
        <v>4.49</v>
      </c>
      <c r="G3753" s="88">
        <f t="shared" si="1"/>
        <v>0.6</v>
      </c>
      <c r="H3753" s="89">
        <f t="shared" si="10"/>
        <v>0.1336302895</v>
      </c>
      <c r="I3753" s="78" t="s">
        <v>4484</v>
      </c>
      <c r="J3753" s="78" t="s">
        <v>69</v>
      </c>
      <c r="K3753" s="58">
        <f t="shared" si="3"/>
        <v>3</v>
      </c>
      <c r="L3753" s="91" t="str">
        <f t="shared" si="8"/>
        <v>Wed</v>
      </c>
      <c r="M3753" s="78" t="str">
        <f>IFERROR(VLOOKUP(A3753, Entries!A:B,2,false),"")</f>
        <v>Digixart</v>
      </c>
      <c r="N3753" s="23" t="str">
        <f>IFERROR(VLOOKUP(A3753, Entries!A:K,11,false),"")</f>
        <v/>
      </c>
    </row>
    <row r="3754">
      <c r="A3754" s="78" t="s">
        <v>3979</v>
      </c>
      <c r="B3754" s="78" t="s">
        <v>22</v>
      </c>
      <c r="C3754" s="85">
        <v>45130.0</v>
      </c>
      <c r="D3754" s="85">
        <v>45130.0</v>
      </c>
      <c r="E3754" s="86">
        <v>29.93</v>
      </c>
      <c r="F3754" s="87">
        <v>33.06</v>
      </c>
      <c r="G3754" s="88">
        <f t="shared" si="1"/>
        <v>3.13</v>
      </c>
      <c r="H3754" s="89">
        <f t="shared" si="10"/>
        <v>0.09467634604</v>
      </c>
      <c r="I3754" s="78" t="s">
        <v>4485</v>
      </c>
      <c r="J3754" s="78" t="s">
        <v>69</v>
      </c>
      <c r="K3754" s="58">
        <f t="shared" si="3"/>
        <v>0</v>
      </c>
      <c r="L3754" s="91" t="str">
        <f t="shared" si="8"/>
        <v>Sun</v>
      </c>
      <c r="M3754" s="78" t="str">
        <f>IFERROR(VLOOKUP(A3754, Entries!A:B,2,false),"")</f>
        <v>Square Enix</v>
      </c>
      <c r="N3754" s="23" t="str">
        <f>IFERROR(VLOOKUP(A3754, Entries!A:K,11,false),"")</f>
        <v/>
      </c>
    </row>
    <row r="3755">
      <c r="A3755" s="78" t="s">
        <v>3979</v>
      </c>
      <c r="B3755" s="78" t="s">
        <v>22</v>
      </c>
      <c r="C3755" s="85">
        <v>45130.0</v>
      </c>
      <c r="D3755" s="85">
        <v>45130.0</v>
      </c>
      <c r="E3755" s="86">
        <v>29.93</v>
      </c>
      <c r="F3755" s="87">
        <v>33.06</v>
      </c>
      <c r="G3755" s="88">
        <f t="shared" si="1"/>
        <v>3.13</v>
      </c>
      <c r="H3755" s="89">
        <f t="shared" si="10"/>
        <v>0.09467634604</v>
      </c>
      <c r="I3755" s="78" t="s">
        <v>4486</v>
      </c>
      <c r="J3755" s="78" t="s">
        <v>69</v>
      </c>
      <c r="K3755" s="58">
        <f t="shared" si="3"/>
        <v>0</v>
      </c>
      <c r="L3755" s="91" t="str">
        <f t="shared" si="8"/>
        <v>Sun</v>
      </c>
      <c r="M3755" s="78" t="str">
        <f>IFERROR(VLOOKUP(A3755, Entries!A:B,2,false),"")</f>
        <v>Square Enix</v>
      </c>
      <c r="N3755" s="23" t="str">
        <f>IFERROR(VLOOKUP(A3755, Entries!A:K,11,false),"")</f>
        <v/>
      </c>
    </row>
    <row r="3756">
      <c r="A3756" s="78" t="s">
        <v>3738</v>
      </c>
      <c r="B3756" s="78" t="s">
        <v>22</v>
      </c>
      <c r="C3756" s="85">
        <v>45130.0</v>
      </c>
      <c r="D3756" s="85">
        <v>45135.0</v>
      </c>
      <c r="E3756" s="86">
        <v>26.26</v>
      </c>
      <c r="F3756" s="87">
        <v>29.84</v>
      </c>
      <c r="G3756" s="88">
        <f t="shared" si="1"/>
        <v>3.58</v>
      </c>
      <c r="H3756" s="89">
        <f t="shared" si="10"/>
        <v>0.1199731903</v>
      </c>
      <c r="I3756" s="78" t="s">
        <v>4487</v>
      </c>
      <c r="J3756" s="78" t="s">
        <v>69</v>
      </c>
      <c r="K3756" s="58">
        <f t="shared" si="3"/>
        <v>5</v>
      </c>
      <c r="L3756" s="91" t="str">
        <f t="shared" si="8"/>
        <v>Fri</v>
      </c>
      <c r="M3756" s="78" t="str">
        <f>IFERROR(VLOOKUP(A3756, Entries!A:B,2,false),"")</f>
        <v>Square Enix</v>
      </c>
      <c r="N3756" s="23" t="str">
        <f>IFERROR(VLOOKUP(A3756, Entries!A:K,11,false),"")</f>
        <v/>
      </c>
    </row>
    <row r="3757">
      <c r="A3757" s="78" t="s">
        <v>3979</v>
      </c>
      <c r="B3757" s="78" t="s">
        <v>22</v>
      </c>
      <c r="C3757" s="85">
        <v>45130.0</v>
      </c>
      <c r="D3757" s="85">
        <v>45131.0</v>
      </c>
      <c r="E3757" s="86">
        <v>29.93</v>
      </c>
      <c r="F3757" s="87">
        <v>33.05</v>
      </c>
      <c r="G3757" s="88">
        <f t="shared" si="1"/>
        <v>3.12</v>
      </c>
      <c r="H3757" s="89">
        <f t="shared" si="10"/>
        <v>0.09440242057</v>
      </c>
      <c r="I3757" s="78" t="s">
        <v>4488</v>
      </c>
      <c r="J3757" s="78" t="s">
        <v>69</v>
      </c>
      <c r="K3757" s="58">
        <f t="shared" si="3"/>
        <v>1</v>
      </c>
      <c r="L3757" s="91" t="str">
        <f t="shared" si="8"/>
        <v>Mon</v>
      </c>
      <c r="M3757" s="78" t="str">
        <f>IFERROR(VLOOKUP(A3757, Entries!A:B,2,false),"")</f>
        <v>Square Enix</v>
      </c>
      <c r="N3757" s="23" t="str">
        <f>IFERROR(VLOOKUP(A3757, Entries!A:K,11,false),"")</f>
        <v/>
      </c>
    </row>
    <row r="3758">
      <c r="A3758" s="78" t="s">
        <v>3979</v>
      </c>
      <c r="B3758" s="78" t="s">
        <v>22</v>
      </c>
      <c r="C3758" s="85">
        <v>45130.0</v>
      </c>
      <c r="D3758" s="85">
        <v>45131.0</v>
      </c>
      <c r="E3758" s="86">
        <v>29.93</v>
      </c>
      <c r="F3758" s="87">
        <v>33.05</v>
      </c>
      <c r="G3758" s="88">
        <f t="shared" si="1"/>
        <v>3.12</v>
      </c>
      <c r="H3758" s="89">
        <f t="shared" si="10"/>
        <v>0.09440242057</v>
      </c>
      <c r="I3758" s="78" t="s">
        <v>4489</v>
      </c>
      <c r="J3758" s="78" t="s">
        <v>69</v>
      </c>
      <c r="K3758" s="58">
        <f t="shared" si="3"/>
        <v>1</v>
      </c>
      <c r="L3758" s="91" t="str">
        <f t="shared" si="8"/>
        <v>Mon</v>
      </c>
      <c r="M3758" s="78" t="str">
        <f>IFERROR(VLOOKUP(A3758, Entries!A:B,2,false),"")</f>
        <v>Square Enix</v>
      </c>
      <c r="N3758" s="23" t="str">
        <f>IFERROR(VLOOKUP(A3758, Entries!A:K,11,false),"")</f>
        <v/>
      </c>
    </row>
    <row r="3759">
      <c r="A3759" s="78" t="s">
        <v>3979</v>
      </c>
      <c r="B3759" s="78" t="s">
        <v>22</v>
      </c>
      <c r="C3759" s="85">
        <v>45130.0</v>
      </c>
      <c r="D3759" s="85">
        <v>45131.0</v>
      </c>
      <c r="E3759" s="86">
        <v>29.93</v>
      </c>
      <c r="F3759" s="87">
        <v>33.05</v>
      </c>
      <c r="G3759" s="88">
        <f t="shared" si="1"/>
        <v>3.12</v>
      </c>
      <c r="H3759" s="89">
        <f t="shared" si="10"/>
        <v>0.09440242057</v>
      </c>
      <c r="I3759" s="78" t="s">
        <v>4490</v>
      </c>
      <c r="J3759" s="78" t="s">
        <v>69</v>
      </c>
      <c r="K3759" s="58">
        <f t="shared" si="3"/>
        <v>1</v>
      </c>
      <c r="L3759" s="91" t="str">
        <f t="shared" si="8"/>
        <v>Mon</v>
      </c>
      <c r="M3759" s="78" t="str">
        <f>IFERROR(VLOOKUP(A3759, Entries!A:B,2,false),"")</f>
        <v>Square Enix</v>
      </c>
      <c r="N3759" s="23" t="str">
        <f>IFERROR(VLOOKUP(A3759, Entries!A:K,11,false),"")</f>
        <v/>
      </c>
    </row>
    <row r="3760">
      <c r="A3760" s="78" t="s">
        <v>1806</v>
      </c>
      <c r="B3760" s="78" t="s">
        <v>23</v>
      </c>
      <c r="C3760" s="85">
        <v>45130.0</v>
      </c>
      <c r="D3760" s="85">
        <v>45130.0</v>
      </c>
      <c r="E3760" s="86">
        <v>4.68</v>
      </c>
      <c r="F3760" s="87">
        <v>8.76</v>
      </c>
      <c r="G3760" s="88">
        <f t="shared" si="1"/>
        <v>4.08</v>
      </c>
      <c r="H3760" s="89">
        <f t="shared" si="10"/>
        <v>0.4657534247</v>
      </c>
      <c r="I3760" s="78" t="s">
        <v>4491</v>
      </c>
      <c r="J3760" s="78" t="s">
        <v>69</v>
      </c>
      <c r="K3760" s="58">
        <f t="shared" si="3"/>
        <v>0</v>
      </c>
      <c r="L3760" s="91" t="str">
        <f t="shared" si="8"/>
        <v>Sun</v>
      </c>
      <c r="M3760" s="78" t="str">
        <f>IFERROR(VLOOKUP(A3760, Entries!A:B,2,false),"")</f>
        <v>Daedalic Entertainment</v>
      </c>
      <c r="N3760" s="23" t="str">
        <f>IFERROR(VLOOKUP(A3760, Entries!A:K,11,false),"")</f>
        <v/>
      </c>
    </row>
    <row r="3761">
      <c r="A3761" s="78" t="s">
        <v>1389</v>
      </c>
      <c r="B3761" s="78" t="s">
        <v>23</v>
      </c>
      <c r="C3761" s="85">
        <v>45130.0</v>
      </c>
      <c r="D3761" s="85">
        <v>45143.0</v>
      </c>
      <c r="E3761" s="86">
        <v>9.37</v>
      </c>
      <c r="F3761" s="87">
        <v>17.77</v>
      </c>
      <c r="G3761" s="88">
        <f t="shared" si="1"/>
        <v>8.4</v>
      </c>
      <c r="H3761" s="89">
        <f t="shared" si="10"/>
        <v>0.4727068092</v>
      </c>
      <c r="I3761" s="78" t="s">
        <v>4492</v>
      </c>
      <c r="J3761" s="78" t="s">
        <v>69</v>
      </c>
      <c r="K3761" s="58">
        <f t="shared" si="3"/>
        <v>13</v>
      </c>
      <c r="L3761" s="91" t="str">
        <f t="shared" si="8"/>
        <v>Sat</v>
      </c>
      <c r="M3761" s="78" t="str">
        <f>IFERROR(VLOOKUP(A3761, Entries!A:B,2,false),"")</f>
        <v>Eugen Systems</v>
      </c>
      <c r="N3761" s="23" t="str">
        <f>IFERROR(VLOOKUP(A3761, Entries!A:K,11,false),"")</f>
        <v/>
      </c>
    </row>
    <row r="3762">
      <c r="A3762" s="78" t="s">
        <v>1387</v>
      </c>
      <c r="B3762" s="78" t="s">
        <v>23</v>
      </c>
      <c r="C3762" s="85">
        <v>45130.0</v>
      </c>
      <c r="D3762" s="85">
        <v>45148.0</v>
      </c>
      <c r="E3762" s="86">
        <v>4.51</v>
      </c>
      <c r="F3762" s="87">
        <v>4.95</v>
      </c>
      <c r="G3762" s="88">
        <f t="shared" si="1"/>
        <v>0.44</v>
      </c>
      <c r="H3762" s="89">
        <f t="shared" si="10"/>
        <v>0.08888888889</v>
      </c>
      <c r="I3762" s="78" t="s">
        <v>4493</v>
      </c>
      <c r="J3762" s="78" t="s">
        <v>69</v>
      </c>
      <c r="K3762" s="58">
        <f t="shared" si="3"/>
        <v>18</v>
      </c>
      <c r="L3762" s="91" t="str">
        <f t="shared" si="8"/>
        <v>Thu</v>
      </c>
      <c r="M3762" s="78" t="str">
        <f>IFERROR(VLOOKUP(A3762, Entries!A:B,2,false),"")</f>
        <v>Eugen Systems</v>
      </c>
      <c r="N3762" s="23" t="str">
        <f>IFERROR(VLOOKUP(A3762, Entries!A:K,11,false),"")</f>
        <v/>
      </c>
    </row>
    <row r="3763">
      <c r="A3763" s="78" t="s">
        <v>4494</v>
      </c>
      <c r="B3763" s="78" t="s">
        <v>25</v>
      </c>
      <c r="C3763" s="85">
        <v>45130.0</v>
      </c>
      <c r="D3763" s="85">
        <v>45131.0</v>
      </c>
      <c r="E3763" s="86">
        <v>6.42</v>
      </c>
      <c r="F3763" s="87">
        <v>6.44</v>
      </c>
      <c r="G3763" s="88">
        <f t="shared" si="1"/>
        <v>0.02</v>
      </c>
      <c r="H3763" s="89">
        <f t="shared" si="10"/>
        <v>0.003105590062</v>
      </c>
      <c r="I3763" s="78" t="s">
        <v>4495</v>
      </c>
      <c r="J3763" s="78" t="s">
        <v>69</v>
      </c>
      <c r="K3763" s="58">
        <f t="shared" si="3"/>
        <v>1</v>
      </c>
      <c r="L3763" s="91" t="str">
        <f t="shared" si="8"/>
        <v>Mon</v>
      </c>
      <c r="M3763" s="78" t="str">
        <f>IFERROR(VLOOKUP(A3763, Entries!A:B,2,false),"")</f>
        <v>Skystone Games</v>
      </c>
      <c r="N3763" s="23" t="str">
        <f>IFERROR(VLOOKUP(A3763, Entries!A:K,11,false),"")</f>
        <v/>
      </c>
    </row>
    <row r="3764">
      <c r="A3764" s="78" t="s">
        <v>272</v>
      </c>
      <c r="B3764" s="78" t="s">
        <v>19</v>
      </c>
      <c r="C3764" s="85">
        <v>45130.0</v>
      </c>
      <c r="D3764" s="85">
        <v>45131.0</v>
      </c>
      <c r="E3764" s="86">
        <v>0.99</v>
      </c>
      <c r="F3764" s="87">
        <v>1.38</v>
      </c>
      <c r="G3764" s="88">
        <f t="shared" si="1"/>
        <v>0.39</v>
      </c>
      <c r="H3764" s="89">
        <f t="shared" si="10"/>
        <v>0.2826086957</v>
      </c>
      <c r="I3764" s="78" t="s">
        <v>4496</v>
      </c>
      <c r="J3764" s="78" t="s">
        <v>69</v>
      </c>
      <c r="K3764" s="58">
        <f t="shared" si="3"/>
        <v>1</v>
      </c>
      <c r="L3764" s="91" t="str">
        <f t="shared" si="8"/>
        <v>Mon</v>
      </c>
      <c r="M3764" s="78" t="str">
        <f>IFERROR(VLOOKUP(A3764, Entries!A:B,2,false),"")</f>
        <v>Starbreeze Publishing</v>
      </c>
      <c r="N3764" s="23" t="str">
        <f>IFERROR(VLOOKUP(A3764, Entries!A:K,11,false),"")</f>
        <v/>
      </c>
    </row>
    <row r="3765">
      <c r="A3765" s="78" t="s">
        <v>272</v>
      </c>
      <c r="B3765" s="78" t="s">
        <v>19</v>
      </c>
      <c r="C3765" s="85">
        <v>45130.0</v>
      </c>
      <c r="D3765" s="85">
        <v>45131.0</v>
      </c>
      <c r="E3765" s="86">
        <v>0.99</v>
      </c>
      <c r="F3765" s="87">
        <v>1.38</v>
      </c>
      <c r="G3765" s="88">
        <f t="shared" si="1"/>
        <v>0.39</v>
      </c>
      <c r="H3765" s="89">
        <f t="shared" si="10"/>
        <v>0.2826086957</v>
      </c>
      <c r="I3765" s="78" t="s">
        <v>4497</v>
      </c>
      <c r="J3765" s="78" t="s">
        <v>69</v>
      </c>
      <c r="K3765" s="58">
        <f t="shared" si="3"/>
        <v>1</v>
      </c>
      <c r="L3765" s="91" t="str">
        <f t="shared" si="8"/>
        <v>Mon</v>
      </c>
      <c r="M3765" s="78" t="str">
        <f>IFERROR(VLOOKUP(A3765, Entries!A:B,2,false),"")</f>
        <v>Starbreeze Publishing</v>
      </c>
      <c r="N3765" s="23" t="str">
        <f>IFERROR(VLOOKUP(A3765, Entries!A:K,11,false),"")</f>
        <v/>
      </c>
    </row>
    <row r="3766">
      <c r="A3766" s="78" t="s">
        <v>272</v>
      </c>
      <c r="B3766" s="78" t="s">
        <v>19</v>
      </c>
      <c r="C3766" s="85">
        <v>45130.0</v>
      </c>
      <c r="D3766" s="85">
        <v>45135.0</v>
      </c>
      <c r="E3766" s="86">
        <v>0.99</v>
      </c>
      <c r="F3766" s="87">
        <v>1.12</v>
      </c>
      <c r="G3766" s="88">
        <f t="shared" si="1"/>
        <v>0.13</v>
      </c>
      <c r="H3766" s="89">
        <f t="shared" si="10"/>
        <v>0.1160714286</v>
      </c>
      <c r="I3766" s="78" t="s">
        <v>4498</v>
      </c>
      <c r="J3766" s="78" t="s">
        <v>69</v>
      </c>
      <c r="K3766" s="58">
        <f t="shared" si="3"/>
        <v>5</v>
      </c>
      <c r="L3766" s="91" t="str">
        <f t="shared" si="8"/>
        <v>Fri</v>
      </c>
      <c r="M3766" s="78" t="str">
        <f>IFERROR(VLOOKUP(A3766, Entries!A:B,2,false),"")</f>
        <v>Starbreeze Publishing</v>
      </c>
      <c r="N3766" s="23" t="str">
        <f>IFERROR(VLOOKUP(A3766, Entries!A:K,11,false),"")</f>
        <v/>
      </c>
    </row>
    <row r="3767">
      <c r="A3767" s="78" t="s">
        <v>1806</v>
      </c>
      <c r="B3767" s="78" t="s">
        <v>23</v>
      </c>
      <c r="C3767" s="85">
        <v>45130.0</v>
      </c>
      <c r="D3767" s="85">
        <v>45130.0</v>
      </c>
      <c r="E3767" s="86">
        <v>4.68</v>
      </c>
      <c r="F3767" s="87">
        <v>8.76</v>
      </c>
      <c r="G3767" s="88">
        <f t="shared" si="1"/>
        <v>4.08</v>
      </c>
      <c r="H3767" s="89">
        <f t="shared" si="10"/>
        <v>0.4657534247</v>
      </c>
      <c r="I3767" s="78" t="s">
        <v>4499</v>
      </c>
      <c r="J3767" s="78" t="s">
        <v>69</v>
      </c>
      <c r="K3767" s="58">
        <f t="shared" si="3"/>
        <v>0</v>
      </c>
      <c r="L3767" s="91" t="str">
        <f t="shared" si="8"/>
        <v>Sun</v>
      </c>
      <c r="M3767" s="78" t="str">
        <f>IFERROR(VLOOKUP(A3767, Entries!A:B,2,false),"")</f>
        <v>Daedalic Entertainment</v>
      </c>
      <c r="N3767" s="23" t="str">
        <f>IFERROR(VLOOKUP(A3767, Entries!A:K,11,false),"")</f>
        <v/>
      </c>
    </row>
    <row r="3768">
      <c r="A3768" s="78" t="s">
        <v>4500</v>
      </c>
      <c r="B3768" s="78" t="s">
        <v>22</v>
      </c>
      <c r="C3768" s="85">
        <v>45130.0</v>
      </c>
      <c r="D3768" s="85">
        <v>45132.0</v>
      </c>
      <c r="E3768" s="86">
        <v>3.75</v>
      </c>
      <c r="F3768" s="87">
        <v>7.95</v>
      </c>
      <c r="G3768" s="88">
        <f t="shared" si="1"/>
        <v>4.2</v>
      </c>
      <c r="H3768" s="89">
        <f t="shared" si="10"/>
        <v>0.5283018868</v>
      </c>
      <c r="I3768" s="78" t="s">
        <v>4501</v>
      </c>
      <c r="J3768" s="78" t="s">
        <v>69</v>
      </c>
      <c r="K3768" s="58">
        <f t="shared" si="3"/>
        <v>2</v>
      </c>
      <c r="L3768" s="91" t="str">
        <f t="shared" si="8"/>
        <v>Tue</v>
      </c>
      <c r="M3768" s="78" t="str">
        <f>IFERROR(VLOOKUP(A3768, Entries!A:B,2,false),"")</f>
        <v>Daedalic Entertainment</v>
      </c>
      <c r="N3768" s="23" t="str">
        <f>IFERROR(VLOOKUP(A3768, Entries!A:K,11,false),"")</f>
        <v/>
      </c>
    </row>
    <row r="3769">
      <c r="A3769" s="78" t="s">
        <v>1806</v>
      </c>
      <c r="B3769" s="78" t="s">
        <v>27</v>
      </c>
      <c r="C3769" s="85">
        <v>45130.0</v>
      </c>
      <c r="D3769" s="85">
        <v>45131.0</v>
      </c>
      <c r="E3769" s="86">
        <v>7.09</v>
      </c>
      <c r="F3769" s="87">
        <v>8.71</v>
      </c>
      <c r="G3769" s="88">
        <f t="shared" si="1"/>
        <v>1.62</v>
      </c>
      <c r="H3769" s="89">
        <f t="shared" si="10"/>
        <v>0.1859931114</v>
      </c>
      <c r="I3769" s="78" t="s">
        <v>4502</v>
      </c>
      <c r="J3769" s="78" t="s">
        <v>69</v>
      </c>
      <c r="K3769" s="58">
        <f t="shared" si="3"/>
        <v>1</v>
      </c>
      <c r="L3769" s="91" t="str">
        <f t="shared" si="8"/>
        <v>Mon</v>
      </c>
      <c r="M3769" s="78" t="str">
        <f>IFERROR(VLOOKUP(A3769, Entries!A:B,2,false),"")</f>
        <v>Daedalic Entertainment</v>
      </c>
      <c r="N3769" s="23" t="str">
        <f>IFERROR(VLOOKUP(A3769, Entries!A:K,11,false),"")</f>
        <v/>
      </c>
    </row>
    <row r="3770">
      <c r="A3770" s="78" t="s">
        <v>1406</v>
      </c>
      <c r="B3770" s="78" t="s">
        <v>23</v>
      </c>
      <c r="C3770" s="85">
        <v>45131.0</v>
      </c>
      <c r="D3770" s="85">
        <v>45140.0</v>
      </c>
      <c r="E3770" s="86">
        <v>18.75</v>
      </c>
      <c r="F3770" s="87">
        <v>31.84</v>
      </c>
      <c r="G3770" s="88">
        <f t="shared" si="1"/>
        <v>13.09</v>
      </c>
      <c r="H3770" s="89">
        <f t="shared" si="10"/>
        <v>0.4111180905</v>
      </c>
      <c r="I3770" s="78" t="s">
        <v>4503</v>
      </c>
      <c r="J3770" s="78" t="s">
        <v>69</v>
      </c>
      <c r="K3770" s="58">
        <f t="shared" si="3"/>
        <v>9</v>
      </c>
      <c r="L3770" s="91" t="str">
        <f t="shared" si="8"/>
        <v>Wed</v>
      </c>
      <c r="M3770" s="78" t="str">
        <f>IFERROR(VLOOKUP(A3770, Entries!A:B,2,false),"")</f>
        <v>Eugen Systems</v>
      </c>
      <c r="N3770" s="23" t="str">
        <f>IFERROR(VLOOKUP(A3770, Entries!A:K,11,false),"")</f>
        <v/>
      </c>
    </row>
    <row r="3771">
      <c r="A3771" s="78" t="s">
        <v>3979</v>
      </c>
      <c r="B3771" s="78" t="s">
        <v>22</v>
      </c>
      <c r="C3771" s="85">
        <v>45131.0</v>
      </c>
      <c r="D3771" s="85">
        <v>45131.0</v>
      </c>
      <c r="E3771" s="86">
        <v>29.93</v>
      </c>
      <c r="F3771" s="87">
        <v>33.05</v>
      </c>
      <c r="G3771" s="88">
        <f t="shared" si="1"/>
        <v>3.12</v>
      </c>
      <c r="H3771" s="89">
        <f t="shared" si="10"/>
        <v>0.09440242057</v>
      </c>
      <c r="I3771" s="78" t="s">
        <v>4504</v>
      </c>
      <c r="J3771" s="78" t="s">
        <v>69</v>
      </c>
      <c r="K3771" s="58">
        <f t="shared" si="3"/>
        <v>0</v>
      </c>
      <c r="L3771" s="91" t="str">
        <f t="shared" si="8"/>
        <v>Mon</v>
      </c>
      <c r="M3771" s="78" t="str">
        <f>IFERROR(VLOOKUP(A3771, Entries!A:B,2,false),"")</f>
        <v>Square Enix</v>
      </c>
      <c r="N3771" s="23" t="str">
        <f>IFERROR(VLOOKUP(A3771, Entries!A:K,11,false),"")</f>
        <v/>
      </c>
    </row>
    <row r="3772">
      <c r="A3772" s="78" t="s">
        <v>1336</v>
      </c>
      <c r="B3772" s="78" t="s">
        <v>25</v>
      </c>
      <c r="C3772" s="85">
        <v>45131.0</v>
      </c>
      <c r="D3772" s="85">
        <v>45131.0</v>
      </c>
      <c r="E3772" s="86">
        <v>9.96</v>
      </c>
      <c r="F3772" s="87">
        <v>11.98</v>
      </c>
      <c r="G3772" s="88">
        <f t="shared" si="1"/>
        <v>2.02</v>
      </c>
      <c r="H3772" s="89">
        <f t="shared" si="10"/>
        <v>0.1686143573</v>
      </c>
      <c r="I3772" s="78" t="s">
        <v>4505</v>
      </c>
      <c r="J3772" s="78" t="s">
        <v>69</v>
      </c>
      <c r="K3772" s="58">
        <f t="shared" si="3"/>
        <v>0</v>
      </c>
      <c r="L3772" s="91" t="str">
        <f t="shared" si="8"/>
        <v>Mon</v>
      </c>
      <c r="M3772" s="78" t="str">
        <f>IFERROR(VLOOKUP(A3772, Entries!A:B,2,false),"")</f>
        <v>Team17 Digital</v>
      </c>
      <c r="N3772" s="23" t="str">
        <f>IFERROR(VLOOKUP(A3772, Entries!A:K,11,false),"")</f>
        <v/>
      </c>
    </row>
    <row r="3773">
      <c r="A3773" s="78" t="s">
        <v>3979</v>
      </c>
      <c r="B3773" s="78" t="s">
        <v>22</v>
      </c>
      <c r="C3773" s="85">
        <v>45131.0</v>
      </c>
      <c r="D3773" s="85">
        <v>45131.0</v>
      </c>
      <c r="E3773" s="86">
        <v>29.93</v>
      </c>
      <c r="F3773" s="87">
        <v>33.01</v>
      </c>
      <c r="G3773" s="88">
        <f t="shared" si="1"/>
        <v>3.08</v>
      </c>
      <c r="H3773" s="89">
        <f t="shared" si="10"/>
        <v>0.09330505907</v>
      </c>
      <c r="I3773" s="78" t="s">
        <v>4506</v>
      </c>
      <c r="J3773" s="78" t="s">
        <v>69</v>
      </c>
      <c r="K3773" s="58">
        <f t="shared" si="3"/>
        <v>0</v>
      </c>
      <c r="L3773" s="91" t="str">
        <f t="shared" si="8"/>
        <v>Mon</v>
      </c>
      <c r="M3773" s="78" t="str">
        <f>IFERROR(VLOOKUP(A3773, Entries!A:B,2,false),"")</f>
        <v>Square Enix</v>
      </c>
      <c r="N3773" s="23" t="str">
        <f>IFERROR(VLOOKUP(A3773, Entries!A:K,11,false),"")</f>
        <v/>
      </c>
    </row>
    <row r="3774">
      <c r="A3774" s="78" t="s">
        <v>1336</v>
      </c>
      <c r="B3774" s="78" t="s">
        <v>25</v>
      </c>
      <c r="C3774" s="85">
        <v>45131.0</v>
      </c>
      <c r="D3774" s="85">
        <v>45150.0</v>
      </c>
      <c r="E3774" s="86">
        <v>9.93</v>
      </c>
      <c r="F3774" s="87">
        <v>11.64</v>
      </c>
      <c r="G3774" s="88">
        <f t="shared" si="1"/>
        <v>1.71</v>
      </c>
      <c r="H3774" s="89">
        <f t="shared" si="10"/>
        <v>0.1469072165</v>
      </c>
      <c r="I3774" s="78" t="s">
        <v>4507</v>
      </c>
      <c r="J3774" s="78" t="s">
        <v>69</v>
      </c>
      <c r="K3774" s="58">
        <f t="shared" si="3"/>
        <v>19</v>
      </c>
      <c r="L3774" s="91" t="str">
        <f t="shared" si="8"/>
        <v>Sat</v>
      </c>
      <c r="M3774" s="78" t="str">
        <f>IFERROR(VLOOKUP(A3774, Entries!A:B,2,false),"")</f>
        <v>Team17 Digital</v>
      </c>
      <c r="N3774" s="23" t="str">
        <f>IFERROR(VLOOKUP(A3774, Entries!A:K,11,false),"")</f>
        <v/>
      </c>
    </row>
    <row r="3775">
      <c r="A3775" s="78" t="s">
        <v>1336</v>
      </c>
      <c r="B3775" s="78" t="s">
        <v>25</v>
      </c>
      <c r="C3775" s="85">
        <v>45131.0</v>
      </c>
      <c r="D3775" s="85">
        <v>45302.0</v>
      </c>
      <c r="E3775" s="86">
        <v>9.93</v>
      </c>
      <c r="F3775" s="87">
        <v>11.81</v>
      </c>
      <c r="G3775" s="88">
        <f t="shared" si="1"/>
        <v>1.88</v>
      </c>
      <c r="H3775" s="89">
        <f t="shared" si="10"/>
        <v>0.1591871296</v>
      </c>
      <c r="I3775" s="78" t="s">
        <v>4508</v>
      </c>
      <c r="J3775" s="78" t="s">
        <v>69</v>
      </c>
      <c r="K3775" s="58">
        <f t="shared" si="3"/>
        <v>171</v>
      </c>
      <c r="L3775" s="91" t="str">
        <f t="shared" si="8"/>
        <v>Thu</v>
      </c>
      <c r="M3775" s="78" t="str">
        <f>IFERROR(VLOOKUP(A3775, Entries!A:B,2,false),"")</f>
        <v>Team17 Digital</v>
      </c>
      <c r="N3775" s="23" t="str">
        <f>IFERROR(VLOOKUP(A3775, Entries!A:K,11,false),"")</f>
        <v/>
      </c>
      <c r="O3775" s="23" t="b">
        <f>IFERROR(VLOOKUP(A3775, Entries!A:I,8,false),"")</f>
        <v>0</v>
      </c>
    </row>
    <row r="3776">
      <c r="A3776" s="78" t="s">
        <v>1806</v>
      </c>
      <c r="B3776" s="78" t="s">
        <v>27</v>
      </c>
      <c r="C3776" s="85">
        <v>45131.0</v>
      </c>
      <c r="D3776" s="85">
        <v>45137.0</v>
      </c>
      <c r="E3776" s="86">
        <v>7.09</v>
      </c>
      <c r="F3776" s="87">
        <v>6.87</v>
      </c>
      <c r="G3776" s="88">
        <f t="shared" si="1"/>
        <v>-0.22</v>
      </c>
      <c r="H3776" s="89">
        <f t="shared" si="10"/>
        <v>-0.03202328967</v>
      </c>
      <c r="I3776" s="78" t="s">
        <v>4509</v>
      </c>
      <c r="J3776" s="78" t="s">
        <v>69</v>
      </c>
      <c r="K3776" s="58">
        <f t="shared" si="3"/>
        <v>6</v>
      </c>
      <c r="L3776" s="91" t="str">
        <f t="shared" si="8"/>
        <v>Sun</v>
      </c>
      <c r="M3776" s="78" t="str">
        <f>IFERROR(VLOOKUP(A3776, Entries!A:B,2,false),"")</f>
        <v>Daedalic Entertainment</v>
      </c>
      <c r="N3776" s="23" t="str">
        <f>IFERROR(VLOOKUP(A3776, Entries!A:K,11,false),"")</f>
        <v/>
      </c>
    </row>
    <row r="3777">
      <c r="A3777" s="78" t="s">
        <v>4494</v>
      </c>
      <c r="B3777" s="78" t="s">
        <v>25</v>
      </c>
      <c r="C3777" s="85">
        <v>45131.0</v>
      </c>
      <c r="D3777" s="85">
        <v>45135.0</v>
      </c>
      <c r="E3777" s="86">
        <v>6.24</v>
      </c>
      <c r="F3777" s="87">
        <v>6.5</v>
      </c>
      <c r="G3777" s="88">
        <f t="shared" si="1"/>
        <v>0.26</v>
      </c>
      <c r="H3777" s="89">
        <f t="shared" si="10"/>
        <v>0.04</v>
      </c>
      <c r="I3777" s="78" t="s">
        <v>4510</v>
      </c>
      <c r="J3777" s="78" t="s">
        <v>69</v>
      </c>
      <c r="K3777" s="58">
        <f t="shared" si="3"/>
        <v>4</v>
      </c>
      <c r="L3777" s="91" t="str">
        <f t="shared" si="8"/>
        <v>Fri</v>
      </c>
      <c r="M3777" s="78" t="str">
        <f>IFERROR(VLOOKUP(A3777, Entries!A:B,2,false),"")</f>
        <v>Skystone Games</v>
      </c>
      <c r="N3777" s="23" t="str">
        <f>IFERROR(VLOOKUP(A3777, Entries!A:K,11,false),"")</f>
        <v/>
      </c>
    </row>
    <row r="3778">
      <c r="A3778" s="78" t="s">
        <v>4466</v>
      </c>
      <c r="B3778" s="78" t="s">
        <v>22</v>
      </c>
      <c r="C3778" s="85">
        <v>45131.0</v>
      </c>
      <c r="D3778" s="85">
        <v>45136.0</v>
      </c>
      <c r="E3778" s="86">
        <v>4.19</v>
      </c>
      <c r="F3778" s="87">
        <v>5.31</v>
      </c>
      <c r="G3778" s="88">
        <f t="shared" si="1"/>
        <v>1.12</v>
      </c>
      <c r="H3778" s="89">
        <f t="shared" si="10"/>
        <v>0.2109227872</v>
      </c>
      <c r="I3778" s="78" t="s">
        <v>4511</v>
      </c>
      <c r="J3778" s="78" t="s">
        <v>69</v>
      </c>
      <c r="K3778" s="58">
        <f t="shared" si="3"/>
        <v>5</v>
      </c>
      <c r="L3778" s="91" t="str">
        <f t="shared" si="8"/>
        <v>Sat</v>
      </c>
      <c r="M3778" s="78" t="str">
        <f>IFERROR(VLOOKUP(A3778, Entries!A:B,2,false),"")</f>
        <v>SCKR Games</v>
      </c>
      <c r="N3778" s="23" t="str">
        <f>IFERROR(VLOOKUP(A3778, Entries!A:K,11,false),"")</f>
        <v/>
      </c>
    </row>
    <row r="3779">
      <c r="A3779" s="78" t="s">
        <v>4466</v>
      </c>
      <c r="B3779" s="78" t="s">
        <v>22</v>
      </c>
      <c r="C3779" s="85">
        <v>45131.0</v>
      </c>
      <c r="D3779" s="85">
        <v>45137.0</v>
      </c>
      <c r="E3779" s="86">
        <v>4.19</v>
      </c>
      <c r="F3779" s="87">
        <v>5.31</v>
      </c>
      <c r="G3779" s="88">
        <f t="shared" si="1"/>
        <v>1.12</v>
      </c>
      <c r="H3779" s="89">
        <f t="shared" si="10"/>
        <v>0.2109227872</v>
      </c>
      <c r="I3779" s="78" t="s">
        <v>4512</v>
      </c>
      <c r="J3779" s="78" t="s">
        <v>69</v>
      </c>
      <c r="K3779" s="58">
        <f t="shared" si="3"/>
        <v>6</v>
      </c>
      <c r="L3779" s="91" t="str">
        <f t="shared" si="8"/>
        <v>Sun</v>
      </c>
      <c r="M3779" s="78" t="str">
        <f>IFERROR(VLOOKUP(A3779, Entries!A:B,2,false),"")</f>
        <v>SCKR Games</v>
      </c>
      <c r="N3779" s="23" t="str">
        <f>IFERROR(VLOOKUP(A3779, Entries!A:K,11,false),"")</f>
        <v/>
      </c>
    </row>
    <row r="3780">
      <c r="A3780" s="78" t="s">
        <v>4466</v>
      </c>
      <c r="B3780" s="78" t="s">
        <v>22</v>
      </c>
      <c r="C3780" s="85">
        <v>45131.0</v>
      </c>
      <c r="D3780" s="85">
        <v>45138.0</v>
      </c>
      <c r="E3780" s="86">
        <v>4.19</v>
      </c>
      <c r="F3780" s="87">
        <v>5.31</v>
      </c>
      <c r="G3780" s="88">
        <f t="shared" si="1"/>
        <v>1.12</v>
      </c>
      <c r="H3780" s="89">
        <f t="shared" si="10"/>
        <v>0.2109227872</v>
      </c>
      <c r="I3780" s="78" t="s">
        <v>4513</v>
      </c>
      <c r="J3780" s="78" t="s">
        <v>69</v>
      </c>
      <c r="K3780" s="58">
        <f t="shared" si="3"/>
        <v>7</v>
      </c>
      <c r="L3780" s="91" t="str">
        <f t="shared" si="8"/>
        <v>Mon</v>
      </c>
      <c r="M3780" s="78" t="str">
        <f>IFERROR(VLOOKUP(A3780, Entries!A:B,2,false),"")</f>
        <v>SCKR Games</v>
      </c>
      <c r="N3780" s="23" t="str">
        <f>IFERROR(VLOOKUP(A3780, Entries!A:K,11,false),"")</f>
        <v/>
      </c>
    </row>
    <row r="3781">
      <c r="A3781" s="78" t="s">
        <v>4466</v>
      </c>
      <c r="B3781" s="78" t="s">
        <v>22</v>
      </c>
      <c r="C3781" s="85">
        <v>45131.0</v>
      </c>
      <c r="D3781" s="85">
        <v>45145.0</v>
      </c>
      <c r="E3781" s="86">
        <v>4.2</v>
      </c>
      <c r="F3781" s="87">
        <v>5.49</v>
      </c>
      <c r="G3781" s="88">
        <f t="shared" si="1"/>
        <v>1.29</v>
      </c>
      <c r="H3781" s="89">
        <f t="shared" si="10"/>
        <v>0.2349726776</v>
      </c>
      <c r="I3781" s="78" t="s">
        <v>4514</v>
      </c>
      <c r="J3781" s="78" t="s">
        <v>69</v>
      </c>
      <c r="K3781" s="58">
        <f t="shared" si="3"/>
        <v>14</v>
      </c>
      <c r="L3781" s="91" t="str">
        <f t="shared" si="8"/>
        <v>Mon</v>
      </c>
      <c r="M3781" s="78" t="str">
        <f>IFERROR(VLOOKUP(A3781, Entries!A:B,2,false),"")</f>
        <v>SCKR Games</v>
      </c>
      <c r="N3781" s="23" t="str">
        <f>IFERROR(VLOOKUP(A3781, Entries!A:K,11,false),"")</f>
        <v/>
      </c>
    </row>
    <row r="3782">
      <c r="A3782" s="78" t="s">
        <v>2498</v>
      </c>
      <c r="B3782" s="78" t="s">
        <v>23</v>
      </c>
      <c r="C3782" s="85">
        <v>45132.0</v>
      </c>
      <c r="D3782" s="85">
        <v>45134.0</v>
      </c>
      <c r="E3782" s="86">
        <v>2.34</v>
      </c>
      <c r="F3782" s="87">
        <v>3.44</v>
      </c>
      <c r="G3782" s="88">
        <f t="shared" si="1"/>
        <v>1.1</v>
      </c>
      <c r="H3782" s="89">
        <f t="shared" si="10"/>
        <v>0.3197674419</v>
      </c>
      <c r="I3782" s="78" t="s">
        <v>4515</v>
      </c>
      <c r="J3782" s="78" t="s">
        <v>69</v>
      </c>
      <c r="K3782" s="58">
        <f t="shared" si="3"/>
        <v>2</v>
      </c>
      <c r="L3782" s="91" t="str">
        <f t="shared" si="8"/>
        <v>Thu</v>
      </c>
      <c r="M3782" s="78" t="str">
        <f>IFERROR(VLOOKUP(A3782, Entries!A:B,2,false),"")</f>
        <v>Eugen Systems</v>
      </c>
      <c r="N3782" s="23" t="str">
        <f>IFERROR(VLOOKUP(A3782, Entries!A:K,11,false),"")</f>
        <v/>
      </c>
    </row>
    <row r="3783">
      <c r="A3783" s="78" t="s">
        <v>4500</v>
      </c>
      <c r="B3783" s="78" t="s">
        <v>22</v>
      </c>
      <c r="C3783" s="85">
        <v>45132.0</v>
      </c>
      <c r="D3783" s="85">
        <v>45140.0</v>
      </c>
      <c r="E3783" s="86">
        <v>4.0</v>
      </c>
      <c r="F3783" s="87">
        <v>5.5</v>
      </c>
      <c r="G3783" s="88">
        <f t="shared" si="1"/>
        <v>1.5</v>
      </c>
      <c r="H3783" s="89">
        <f t="shared" si="10"/>
        <v>0.2727272727</v>
      </c>
      <c r="I3783" s="78" t="s">
        <v>4516</v>
      </c>
      <c r="J3783" s="78" t="s">
        <v>69</v>
      </c>
      <c r="K3783" s="58">
        <f t="shared" si="3"/>
        <v>8</v>
      </c>
      <c r="L3783" s="91" t="str">
        <f t="shared" si="8"/>
        <v>Wed</v>
      </c>
      <c r="M3783" s="78" t="str">
        <f>IFERROR(VLOOKUP(A3783, Entries!A:B,2,false),"")</f>
        <v>Daedalic Entertainment</v>
      </c>
      <c r="N3783" s="23" t="str">
        <f>IFERROR(VLOOKUP(A3783, Entries!A:K,11,false),"")</f>
        <v/>
      </c>
    </row>
    <row r="3784">
      <c r="A3784" s="78" t="s">
        <v>4517</v>
      </c>
      <c r="B3784" s="78" t="s">
        <v>22</v>
      </c>
      <c r="C3784" s="85">
        <v>45132.0</v>
      </c>
      <c r="D3784" s="85">
        <v>45135.0</v>
      </c>
      <c r="E3784" s="86">
        <v>4.8</v>
      </c>
      <c r="F3784" s="87">
        <v>5.97</v>
      </c>
      <c r="G3784" s="88">
        <f t="shared" si="1"/>
        <v>1.17</v>
      </c>
      <c r="H3784" s="89">
        <f t="shared" si="10"/>
        <v>0.1959798995</v>
      </c>
      <c r="I3784" s="78" t="s">
        <v>4518</v>
      </c>
      <c r="J3784" s="78" t="s">
        <v>69</v>
      </c>
      <c r="K3784" s="58">
        <f t="shared" si="3"/>
        <v>3</v>
      </c>
      <c r="L3784" s="91" t="str">
        <f t="shared" si="8"/>
        <v>Fri</v>
      </c>
      <c r="M3784" s="78" t="str">
        <f>IFERROR(VLOOKUP(A3784, Entries!A:B,2,false),"")</f>
        <v>Crystal Dynamics</v>
      </c>
      <c r="N3784" s="23" t="str">
        <f>IFERROR(VLOOKUP(A3784, Entries!A:K,11,false),"")</f>
        <v/>
      </c>
    </row>
    <row r="3785">
      <c r="A3785" s="78" t="s">
        <v>3309</v>
      </c>
      <c r="B3785" s="78" t="s">
        <v>27</v>
      </c>
      <c r="C3785" s="85">
        <v>45133.0</v>
      </c>
      <c r="D3785" s="85">
        <v>45133.0</v>
      </c>
      <c r="E3785" s="86">
        <v>3.4</v>
      </c>
      <c r="F3785" s="87">
        <v>4.45</v>
      </c>
      <c r="G3785" s="88">
        <f t="shared" si="1"/>
        <v>1.05</v>
      </c>
      <c r="H3785" s="89">
        <f t="shared" si="10"/>
        <v>0.2359550562</v>
      </c>
      <c r="I3785" s="78" t="s">
        <v>4519</v>
      </c>
      <c r="J3785" s="78" t="s">
        <v>69</v>
      </c>
      <c r="K3785" s="58">
        <f t="shared" si="3"/>
        <v>0</v>
      </c>
      <c r="L3785" s="91" t="str">
        <f t="shared" si="8"/>
        <v>Wed</v>
      </c>
      <c r="M3785" s="78" t="str">
        <f>IFERROR(VLOOKUP(A3785, Entries!A:B,2,false),"")</f>
        <v>Digixart</v>
      </c>
      <c r="N3785" s="23" t="str">
        <f>IFERROR(VLOOKUP(A3785, Entries!A:K,11,false),"")</f>
        <v/>
      </c>
    </row>
    <row r="3786">
      <c r="A3786" s="78" t="s">
        <v>3309</v>
      </c>
      <c r="B3786" s="78" t="s">
        <v>27</v>
      </c>
      <c r="C3786" s="85">
        <v>45133.0</v>
      </c>
      <c r="D3786" s="85">
        <v>45136.0</v>
      </c>
      <c r="E3786" s="86">
        <v>3.79</v>
      </c>
      <c r="F3786" s="87">
        <v>4.28</v>
      </c>
      <c r="G3786" s="88">
        <f t="shared" si="1"/>
        <v>0.49</v>
      </c>
      <c r="H3786" s="89">
        <f t="shared" si="10"/>
        <v>0.1144859813</v>
      </c>
      <c r="I3786" s="78" t="s">
        <v>4520</v>
      </c>
      <c r="J3786" s="78" t="s">
        <v>69</v>
      </c>
      <c r="K3786" s="58">
        <f t="shared" si="3"/>
        <v>3</v>
      </c>
      <c r="L3786" s="91" t="str">
        <f t="shared" si="8"/>
        <v>Sat</v>
      </c>
      <c r="M3786" s="78" t="str">
        <f>IFERROR(VLOOKUP(A3786, Entries!A:B,2,false),"")</f>
        <v>Digixart</v>
      </c>
      <c r="N3786" s="23" t="str">
        <f>IFERROR(VLOOKUP(A3786, Entries!A:K,11,false),"")</f>
        <v/>
      </c>
    </row>
    <row r="3787">
      <c r="A3787" s="78" t="s">
        <v>2498</v>
      </c>
      <c r="B3787" s="78" t="s">
        <v>23</v>
      </c>
      <c r="C3787" s="85">
        <v>45134.0</v>
      </c>
      <c r="D3787" s="85">
        <v>45137.0</v>
      </c>
      <c r="E3787" s="86">
        <v>2.36</v>
      </c>
      <c r="F3787" s="87">
        <v>3.39</v>
      </c>
      <c r="G3787" s="88">
        <f t="shared" si="1"/>
        <v>1.03</v>
      </c>
      <c r="H3787" s="89">
        <f t="shared" si="10"/>
        <v>0.3038348083</v>
      </c>
      <c r="I3787" s="78" t="s">
        <v>4521</v>
      </c>
      <c r="J3787" s="78" t="s">
        <v>69</v>
      </c>
      <c r="K3787" s="58">
        <f t="shared" si="3"/>
        <v>3</v>
      </c>
      <c r="L3787" s="91" t="str">
        <f t="shared" si="8"/>
        <v>Sun</v>
      </c>
      <c r="M3787" s="78" t="str">
        <f>IFERROR(VLOOKUP(A3787, Entries!A:B,2,false),"")</f>
        <v>Eugen Systems</v>
      </c>
      <c r="N3787" s="23" t="str">
        <f>IFERROR(VLOOKUP(A3787, Entries!A:K,11,false),"")</f>
        <v/>
      </c>
    </row>
    <row r="3788">
      <c r="A3788" s="78" t="s">
        <v>3897</v>
      </c>
      <c r="B3788" s="78" t="s">
        <v>27</v>
      </c>
      <c r="C3788" s="85">
        <v>45134.0</v>
      </c>
      <c r="D3788" s="85">
        <v>45140.0</v>
      </c>
      <c r="E3788" s="86">
        <v>4.59</v>
      </c>
      <c r="F3788" s="87">
        <v>5.18</v>
      </c>
      <c r="G3788" s="88">
        <f t="shared" si="1"/>
        <v>0.59</v>
      </c>
      <c r="H3788" s="89">
        <f t="shared" si="10"/>
        <v>0.1138996139</v>
      </c>
      <c r="I3788" s="78" t="s">
        <v>4522</v>
      </c>
      <c r="J3788" s="78" t="s">
        <v>69</v>
      </c>
      <c r="K3788" s="58">
        <f t="shared" si="3"/>
        <v>6</v>
      </c>
      <c r="L3788" s="91" t="str">
        <f t="shared" si="8"/>
        <v>Wed</v>
      </c>
      <c r="M3788" s="78" t="str">
        <f>IFERROR(VLOOKUP(A3788, Entries!A:B,2,false),"")</f>
        <v>Bethesda Softworks</v>
      </c>
      <c r="N3788" s="23" t="str">
        <f>IFERROR(VLOOKUP(A3788, Entries!A:K,11,false),"")</f>
        <v/>
      </c>
    </row>
    <row r="3789">
      <c r="A3789" s="78" t="s">
        <v>1596</v>
      </c>
      <c r="B3789" s="78" t="s">
        <v>25</v>
      </c>
      <c r="C3789" s="85">
        <v>45134.0</v>
      </c>
      <c r="D3789" s="85">
        <v>45138.0</v>
      </c>
      <c r="E3789" s="86">
        <v>23.04</v>
      </c>
      <c r="F3789" s="87">
        <v>35.86</v>
      </c>
      <c r="G3789" s="88">
        <f t="shared" si="1"/>
        <v>12.82</v>
      </c>
      <c r="H3789" s="89">
        <f t="shared" si="10"/>
        <v>0.3575013943</v>
      </c>
      <c r="I3789" s="78" t="s">
        <v>4523</v>
      </c>
      <c r="J3789" s="78" t="s">
        <v>69</v>
      </c>
      <c r="K3789" s="58">
        <f t="shared" si="3"/>
        <v>4</v>
      </c>
      <c r="L3789" s="91" t="str">
        <f t="shared" si="8"/>
        <v>Mon</v>
      </c>
      <c r="M3789" s="78" t="str">
        <f>IFERROR(VLOOKUP(A3789, Entries!A:B,2,false),"")</f>
        <v>505 Games</v>
      </c>
      <c r="N3789" s="23" t="str">
        <f>IFERROR(VLOOKUP(A3789, Entries!A:K,11,false),"")</f>
        <v/>
      </c>
    </row>
    <row r="3790">
      <c r="A3790" s="78" t="s">
        <v>2972</v>
      </c>
      <c r="B3790" s="78" t="s">
        <v>25</v>
      </c>
      <c r="C3790" s="85">
        <v>45134.0</v>
      </c>
      <c r="D3790" s="85">
        <v>45165.0</v>
      </c>
      <c r="E3790" s="86">
        <v>4.59</v>
      </c>
      <c r="F3790" s="87">
        <v>7.36</v>
      </c>
      <c r="G3790" s="88">
        <f t="shared" si="1"/>
        <v>2.77</v>
      </c>
      <c r="H3790" s="89">
        <f t="shared" si="10"/>
        <v>0.3763586957</v>
      </c>
      <c r="J3790" s="78" t="s">
        <v>69</v>
      </c>
      <c r="K3790" s="58">
        <f t="shared" si="3"/>
        <v>31</v>
      </c>
      <c r="L3790" s="91" t="str">
        <f t="shared" si="8"/>
        <v>Sun</v>
      </c>
      <c r="M3790" s="78" t="str">
        <f>IFERROR(VLOOKUP(A3790, Entries!A:B,2,false),"")</f>
        <v>505 Games</v>
      </c>
      <c r="N3790" s="23" t="str">
        <f>IFERROR(VLOOKUP(A3790, Entries!A:K,11,false),"")</f>
        <v/>
      </c>
    </row>
    <row r="3791">
      <c r="A3791" s="78" t="s">
        <v>4351</v>
      </c>
      <c r="B3791" s="78" t="s">
        <v>21</v>
      </c>
      <c r="C3791" s="85">
        <v>45135.0</v>
      </c>
      <c r="D3791" s="85">
        <v>45139.0</v>
      </c>
      <c r="E3791" s="86">
        <v>15.94</v>
      </c>
      <c r="F3791" s="87">
        <v>20.86</v>
      </c>
      <c r="G3791" s="88">
        <f t="shared" si="1"/>
        <v>4.92</v>
      </c>
      <c r="H3791" s="89">
        <f t="shared" si="10"/>
        <v>0.2358581016</v>
      </c>
      <c r="J3791" s="78" t="s">
        <v>69</v>
      </c>
      <c r="K3791" s="58">
        <f t="shared" si="3"/>
        <v>4</v>
      </c>
      <c r="L3791" s="91" t="str">
        <f t="shared" si="8"/>
        <v>Tue</v>
      </c>
      <c r="M3791" s="78" t="str">
        <f>IFERROR(VLOOKUP(A3791, Entries!A:B,2,false),"")</f>
        <v>Bethesda Softworks</v>
      </c>
      <c r="N3791" s="23" t="str">
        <f>IFERROR(VLOOKUP(A3791, Entries!A:K,11,false),"")</f>
        <v/>
      </c>
    </row>
    <row r="3792">
      <c r="A3792" s="78" t="s">
        <v>272</v>
      </c>
      <c r="B3792" s="78" t="s">
        <v>19</v>
      </c>
      <c r="C3792" s="85">
        <v>45135.0</v>
      </c>
      <c r="D3792" s="85">
        <v>45137.0</v>
      </c>
      <c r="E3792" s="86">
        <v>0.94</v>
      </c>
      <c r="F3792" s="87">
        <v>1.13</v>
      </c>
      <c r="G3792" s="88">
        <f t="shared" si="1"/>
        <v>0.19</v>
      </c>
      <c r="H3792" s="89">
        <f t="shared" si="10"/>
        <v>0.1681415929</v>
      </c>
      <c r="I3792" s="78" t="s">
        <v>4524</v>
      </c>
      <c r="J3792" s="78" t="s">
        <v>69</v>
      </c>
      <c r="K3792" s="58">
        <f t="shared" si="3"/>
        <v>2</v>
      </c>
      <c r="L3792" s="91" t="str">
        <f t="shared" si="8"/>
        <v>Sun</v>
      </c>
      <c r="M3792" s="78" t="str">
        <f>IFERROR(VLOOKUP(A3792, Entries!A:B,2,false),"")</f>
        <v>Starbreeze Publishing</v>
      </c>
      <c r="N3792" s="23" t="str">
        <f>IFERROR(VLOOKUP(A3792, Entries!A:K,11,false),"")</f>
        <v/>
      </c>
    </row>
    <row r="3793">
      <c r="A3793" s="78" t="s">
        <v>272</v>
      </c>
      <c r="B3793" s="78" t="s">
        <v>19</v>
      </c>
      <c r="C3793" s="85">
        <v>45135.0</v>
      </c>
      <c r="D3793" s="85">
        <v>45137.0</v>
      </c>
      <c r="E3793" s="86">
        <v>0.94</v>
      </c>
      <c r="F3793" s="87">
        <v>1.13</v>
      </c>
      <c r="G3793" s="88">
        <f t="shared" si="1"/>
        <v>0.19</v>
      </c>
      <c r="H3793" s="89">
        <f t="shared" si="10"/>
        <v>0.1681415929</v>
      </c>
      <c r="I3793" s="78" t="s">
        <v>4525</v>
      </c>
      <c r="J3793" s="78" t="s">
        <v>69</v>
      </c>
      <c r="K3793" s="58">
        <f t="shared" si="3"/>
        <v>2</v>
      </c>
      <c r="L3793" s="91" t="str">
        <f t="shared" si="8"/>
        <v>Sun</v>
      </c>
      <c r="M3793" s="78" t="str">
        <f>IFERROR(VLOOKUP(A3793, Entries!A:B,2,false),"")</f>
        <v>Starbreeze Publishing</v>
      </c>
      <c r="N3793" s="23" t="str">
        <f>IFERROR(VLOOKUP(A3793, Entries!A:K,11,false),"")</f>
        <v/>
      </c>
    </row>
    <row r="3794">
      <c r="A3794" s="78" t="s">
        <v>272</v>
      </c>
      <c r="B3794" s="78" t="s">
        <v>19</v>
      </c>
      <c r="C3794" s="85">
        <v>45135.0</v>
      </c>
      <c r="D3794" s="85">
        <v>45137.0</v>
      </c>
      <c r="E3794" s="86">
        <v>0.94</v>
      </c>
      <c r="F3794" s="87">
        <v>1.13</v>
      </c>
      <c r="G3794" s="88">
        <f t="shared" si="1"/>
        <v>0.19</v>
      </c>
      <c r="H3794" s="89">
        <f t="shared" si="10"/>
        <v>0.1681415929</v>
      </c>
      <c r="I3794" s="78" t="s">
        <v>4526</v>
      </c>
      <c r="J3794" s="78" t="s">
        <v>69</v>
      </c>
      <c r="K3794" s="58">
        <f t="shared" si="3"/>
        <v>2</v>
      </c>
      <c r="L3794" s="91" t="str">
        <f t="shared" si="8"/>
        <v>Sun</v>
      </c>
      <c r="M3794" s="78" t="str">
        <f>IFERROR(VLOOKUP(A3794, Entries!A:B,2,false),"")</f>
        <v>Starbreeze Publishing</v>
      </c>
      <c r="N3794" s="23" t="str">
        <f>IFERROR(VLOOKUP(A3794, Entries!A:K,11,false),"")</f>
        <v/>
      </c>
    </row>
    <row r="3795">
      <c r="A3795" s="78" t="s">
        <v>1387</v>
      </c>
      <c r="B3795" s="78" t="s">
        <v>23</v>
      </c>
      <c r="C3795" s="85">
        <v>45135.0</v>
      </c>
      <c r="D3795" s="85">
        <v>45149.0</v>
      </c>
      <c r="E3795" s="86">
        <v>3.89</v>
      </c>
      <c r="F3795" s="87">
        <v>4.96</v>
      </c>
      <c r="G3795" s="88">
        <f t="shared" si="1"/>
        <v>1.07</v>
      </c>
      <c r="H3795" s="89">
        <f t="shared" si="10"/>
        <v>0.2157258065</v>
      </c>
      <c r="I3795" s="78" t="s">
        <v>4527</v>
      </c>
      <c r="J3795" s="78" t="s">
        <v>69</v>
      </c>
      <c r="K3795" s="58">
        <f t="shared" si="3"/>
        <v>14</v>
      </c>
      <c r="L3795" s="91" t="str">
        <f t="shared" si="8"/>
        <v>Fri</v>
      </c>
      <c r="M3795" s="78" t="str">
        <f>IFERROR(VLOOKUP(A3795, Entries!A:B,2,false),"")</f>
        <v>Eugen Systems</v>
      </c>
      <c r="N3795" s="23" t="str">
        <f>IFERROR(VLOOKUP(A3795, Entries!A:K,11,false),"")</f>
        <v/>
      </c>
    </row>
    <row r="3796">
      <c r="A3796" s="78" t="s">
        <v>1034</v>
      </c>
      <c r="B3796" s="78" t="s">
        <v>23</v>
      </c>
      <c r="C3796" s="85">
        <v>45135.0</v>
      </c>
      <c r="D3796" s="85">
        <v>45137.0</v>
      </c>
      <c r="E3796" s="86">
        <v>5.94</v>
      </c>
      <c r="F3796" s="87">
        <v>10.77</v>
      </c>
      <c r="G3796" s="88">
        <f t="shared" si="1"/>
        <v>4.83</v>
      </c>
      <c r="H3796" s="89">
        <f t="shared" si="10"/>
        <v>0.4484679666</v>
      </c>
      <c r="I3796" s="78" t="s">
        <v>4528</v>
      </c>
      <c r="J3796" s="78" t="s">
        <v>69</v>
      </c>
      <c r="K3796" s="58">
        <f t="shared" si="3"/>
        <v>2</v>
      </c>
      <c r="L3796" s="91" t="str">
        <f t="shared" si="8"/>
        <v>Sun</v>
      </c>
      <c r="M3796" s="78" t="str">
        <f>IFERROR(VLOOKUP(A3796, Entries!A:B,2,false),"")</f>
        <v>Eugen Systems</v>
      </c>
      <c r="N3796" s="23" t="str">
        <f>IFERROR(VLOOKUP(A3796, Entries!A:K,11,false),"")</f>
        <v/>
      </c>
    </row>
    <row r="3797">
      <c r="A3797" s="78" t="s">
        <v>4494</v>
      </c>
      <c r="B3797" s="78" t="s">
        <v>18</v>
      </c>
      <c r="C3797" s="85">
        <v>45136.0</v>
      </c>
      <c r="D3797" s="85">
        <v>45136.0</v>
      </c>
      <c r="E3797" s="86">
        <v>5.1</v>
      </c>
      <c r="F3797" s="87">
        <v>6.5</v>
      </c>
      <c r="G3797" s="88">
        <f t="shared" si="1"/>
        <v>1.4</v>
      </c>
      <c r="H3797" s="89">
        <f t="shared" si="10"/>
        <v>0.2153846154</v>
      </c>
      <c r="I3797" s="78" t="s">
        <v>4529</v>
      </c>
      <c r="J3797" s="78" t="s">
        <v>69</v>
      </c>
      <c r="K3797" s="58">
        <f t="shared" si="3"/>
        <v>0</v>
      </c>
      <c r="L3797" s="91" t="str">
        <f t="shared" si="8"/>
        <v>Sat</v>
      </c>
      <c r="M3797" s="78" t="str">
        <f>IFERROR(VLOOKUP(A3797, Entries!A:B,2,false),"")</f>
        <v>Skystone Games</v>
      </c>
      <c r="N3797" s="23" t="str">
        <f>IFERROR(VLOOKUP(A3797, Entries!A:K,11,false),"")</f>
        <v/>
      </c>
    </row>
    <row r="3798">
      <c r="A3798" s="78" t="s">
        <v>4494</v>
      </c>
      <c r="B3798" s="78" t="s">
        <v>18</v>
      </c>
      <c r="C3798" s="85">
        <v>45136.0</v>
      </c>
      <c r="D3798" s="85">
        <v>45136.0</v>
      </c>
      <c r="E3798" s="86">
        <v>5.1</v>
      </c>
      <c r="F3798" s="87">
        <v>6.2</v>
      </c>
      <c r="G3798" s="88">
        <f t="shared" si="1"/>
        <v>1.1</v>
      </c>
      <c r="H3798" s="89">
        <f t="shared" si="10"/>
        <v>0.1774193548</v>
      </c>
      <c r="I3798" s="78" t="s">
        <v>4530</v>
      </c>
      <c r="J3798" s="78" t="s">
        <v>69</v>
      </c>
      <c r="K3798" s="58">
        <f t="shared" si="3"/>
        <v>0</v>
      </c>
      <c r="L3798" s="91" t="str">
        <f t="shared" si="8"/>
        <v>Sat</v>
      </c>
      <c r="M3798" s="78" t="str">
        <f>IFERROR(VLOOKUP(A3798, Entries!A:B,2,false),"")</f>
        <v>Skystone Games</v>
      </c>
      <c r="N3798" s="23" t="str">
        <f>IFERROR(VLOOKUP(A3798, Entries!A:K,11,false),"")</f>
        <v/>
      </c>
    </row>
    <row r="3799">
      <c r="A3799" s="78" t="s">
        <v>3995</v>
      </c>
      <c r="B3799" s="78" t="s">
        <v>23</v>
      </c>
      <c r="C3799" s="85">
        <v>45136.0</v>
      </c>
      <c r="D3799" s="85">
        <v>45137.0</v>
      </c>
      <c r="E3799" s="86">
        <v>19.03</v>
      </c>
      <c r="F3799" s="87">
        <v>21.72</v>
      </c>
      <c r="G3799" s="88">
        <f t="shared" si="1"/>
        <v>2.69</v>
      </c>
      <c r="H3799" s="89">
        <f t="shared" si="10"/>
        <v>0.1238489871</v>
      </c>
      <c r="I3799" s="78" t="s">
        <v>4531</v>
      </c>
      <c r="J3799" s="78" t="s">
        <v>69</v>
      </c>
      <c r="K3799" s="58">
        <f t="shared" si="3"/>
        <v>1</v>
      </c>
      <c r="L3799" s="91" t="str">
        <f t="shared" si="8"/>
        <v>Sun</v>
      </c>
      <c r="M3799" s="78" t="str">
        <f>IFERROR(VLOOKUP(A3799, Entries!A:B,2,false),"")</f>
        <v>astragon Entertainment</v>
      </c>
      <c r="N3799" s="23" t="str">
        <f>IFERROR(VLOOKUP(A3799, Entries!A:K,11,false),"")</f>
        <v/>
      </c>
    </row>
    <row r="3800">
      <c r="A3800" s="78" t="s">
        <v>4532</v>
      </c>
      <c r="B3800" s="78" t="s">
        <v>23</v>
      </c>
      <c r="C3800" s="85">
        <v>45136.0</v>
      </c>
      <c r="D3800" s="85">
        <v>45139.0</v>
      </c>
      <c r="E3800" s="86">
        <v>22.84</v>
      </c>
      <c r="F3800" s="87">
        <v>32.67</v>
      </c>
      <c r="G3800" s="88">
        <f t="shared" si="1"/>
        <v>9.83</v>
      </c>
      <c r="H3800" s="89">
        <f t="shared" si="10"/>
        <v>0.3008876645</v>
      </c>
      <c r="I3800" s="78" t="s">
        <v>4533</v>
      </c>
      <c r="J3800" s="78" t="s">
        <v>69</v>
      </c>
      <c r="K3800" s="58">
        <f t="shared" si="3"/>
        <v>3</v>
      </c>
      <c r="L3800" s="91" t="str">
        <f t="shared" si="8"/>
        <v>Tue</v>
      </c>
      <c r="M3800" s="78" t="str">
        <f>IFERROR(VLOOKUP(A3800, Entries!A:B,2,false),"")</f>
        <v>Eugen Systems</v>
      </c>
      <c r="N3800" s="23" t="str">
        <f>IFERROR(VLOOKUP(A3800, Entries!A:K,11,false),"")</f>
        <v/>
      </c>
    </row>
    <row r="3801">
      <c r="A3801" s="78" t="s">
        <v>4534</v>
      </c>
      <c r="B3801" s="78" t="s">
        <v>27</v>
      </c>
      <c r="C3801" s="85">
        <v>45136.0</v>
      </c>
      <c r="D3801" s="85">
        <v>45136.0</v>
      </c>
      <c r="E3801" s="86">
        <v>9.89</v>
      </c>
      <c r="F3801" s="87">
        <v>10.08</v>
      </c>
      <c r="G3801" s="88">
        <f t="shared" si="1"/>
        <v>0.19</v>
      </c>
      <c r="H3801" s="89">
        <f t="shared" si="10"/>
        <v>0.01884920635</v>
      </c>
      <c r="I3801" s="78" t="s">
        <v>4535</v>
      </c>
      <c r="J3801" s="78" t="s">
        <v>69</v>
      </c>
      <c r="K3801" s="58">
        <f t="shared" si="3"/>
        <v>0</v>
      </c>
      <c r="L3801" s="91" t="str">
        <f t="shared" si="8"/>
        <v>Sat</v>
      </c>
      <c r="M3801" s="78" t="str">
        <f>IFERROR(VLOOKUP(A3801, Entries!A:B,2,false),"")</f>
        <v>Fireshine Games</v>
      </c>
      <c r="N3801" s="23" t="str">
        <f>IFERROR(VLOOKUP(A3801, Entries!A:K,11,false),"")</f>
        <v/>
      </c>
    </row>
    <row r="3802">
      <c r="A3802" s="78" t="s">
        <v>3309</v>
      </c>
      <c r="B3802" s="78" t="s">
        <v>27</v>
      </c>
      <c r="C3802" s="85">
        <v>45136.0</v>
      </c>
      <c r="D3802" s="85">
        <v>45137.0</v>
      </c>
      <c r="E3802" s="86">
        <v>3.74</v>
      </c>
      <c r="F3802" s="87">
        <v>5.06</v>
      </c>
      <c r="G3802" s="88">
        <f t="shared" si="1"/>
        <v>1.32</v>
      </c>
      <c r="H3802" s="89">
        <f t="shared" si="10"/>
        <v>0.2608695652</v>
      </c>
      <c r="I3802" s="78" t="s">
        <v>4536</v>
      </c>
      <c r="J3802" s="78" t="s">
        <v>69</v>
      </c>
      <c r="K3802" s="58">
        <f t="shared" si="3"/>
        <v>1</v>
      </c>
      <c r="L3802" s="91" t="str">
        <f t="shared" si="8"/>
        <v>Sun</v>
      </c>
      <c r="M3802" s="78" t="str">
        <f>IFERROR(VLOOKUP(A3802, Entries!A:B,2,false),"")</f>
        <v>Digixart</v>
      </c>
      <c r="N3802" s="23" t="str">
        <f>IFERROR(VLOOKUP(A3802, Entries!A:K,11,false),"")</f>
        <v/>
      </c>
      <c r="O3802" s="23" t="b">
        <f>IFERROR(VLOOKUP(A3802, Entries!A:I,8,false),"")</f>
        <v>0</v>
      </c>
    </row>
    <row r="3803">
      <c r="A3803" s="78" t="s">
        <v>4534</v>
      </c>
      <c r="B3803" s="78" t="s">
        <v>27</v>
      </c>
      <c r="C3803" s="85">
        <v>45136.0</v>
      </c>
      <c r="D3803" s="85">
        <v>45136.0</v>
      </c>
      <c r="E3803" s="86">
        <v>9.89</v>
      </c>
      <c r="F3803" s="87">
        <v>11.03</v>
      </c>
      <c r="G3803" s="88">
        <f t="shared" si="1"/>
        <v>1.14</v>
      </c>
      <c r="H3803" s="89">
        <f t="shared" si="10"/>
        <v>0.1033544878</v>
      </c>
      <c r="I3803" s="78" t="s">
        <v>4537</v>
      </c>
      <c r="J3803" s="78" t="s">
        <v>69</v>
      </c>
      <c r="K3803" s="58">
        <f t="shared" si="3"/>
        <v>0</v>
      </c>
      <c r="L3803" s="91" t="str">
        <f t="shared" si="8"/>
        <v>Sat</v>
      </c>
      <c r="M3803" s="78" t="str">
        <f>IFERROR(VLOOKUP(A3803, Entries!A:B,2,false),"")</f>
        <v>Fireshine Games</v>
      </c>
      <c r="N3803" s="23" t="str">
        <f>IFERROR(VLOOKUP(A3803, Entries!A:K,11,false),"")</f>
        <v/>
      </c>
    </row>
    <row r="3804">
      <c r="A3804" s="78" t="s">
        <v>4494</v>
      </c>
      <c r="B3804" s="78" t="s">
        <v>18</v>
      </c>
      <c r="C3804" s="85">
        <v>45136.0</v>
      </c>
      <c r="D3804" s="85">
        <v>45136.0</v>
      </c>
      <c r="E3804" s="86">
        <v>5.0</v>
      </c>
      <c r="F3804" s="87">
        <v>6.2</v>
      </c>
      <c r="G3804" s="88">
        <f t="shared" si="1"/>
        <v>1.2</v>
      </c>
      <c r="H3804" s="89">
        <f t="shared" si="10"/>
        <v>0.1935483871</v>
      </c>
      <c r="I3804" s="78" t="s">
        <v>4538</v>
      </c>
      <c r="J3804" s="78" t="s">
        <v>69</v>
      </c>
      <c r="K3804" s="58">
        <f t="shared" si="3"/>
        <v>0</v>
      </c>
      <c r="L3804" s="91" t="str">
        <f t="shared" si="8"/>
        <v>Sat</v>
      </c>
      <c r="M3804" s="78" t="str">
        <f>IFERROR(VLOOKUP(A3804, Entries!A:B,2,false),"")</f>
        <v>Skystone Games</v>
      </c>
      <c r="N3804" s="23" t="str">
        <f>IFERROR(VLOOKUP(A3804, Entries!A:K,11,false),"")</f>
        <v/>
      </c>
    </row>
    <row r="3805">
      <c r="A3805" s="78" t="s">
        <v>4494</v>
      </c>
      <c r="B3805" s="78" t="s">
        <v>18</v>
      </c>
      <c r="C3805" s="85">
        <v>45136.0</v>
      </c>
      <c r="D3805" s="85">
        <v>45136.0</v>
      </c>
      <c r="E3805" s="86">
        <v>5.0</v>
      </c>
      <c r="F3805" s="87">
        <v>6.2</v>
      </c>
      <c r="G3805" s="88">
        <f t="shared" si="1"/>
        <v>1.2</v>
      </c>
      <c r="H3805" s="89">
        <f t="shared" si="10"/>
        <v>0.1935483871</v>
      </c>
      <c r="I3805" s="78" t="s">
        <v>4539</v>
      </c>
      <c r="J3805" s="78" t="s">
        <v>69</v>
      </c>
      <c r="K3805" s="58">
        <f t="shared" si="3"/>
        <v>0</v>
      </c>
      <c r="L3805" s="91" t="str">
        <f t="shared" si="8"/>
        <v>Sat</v>
      </c>
      <c r="M3805" s="78" t="str">
        <f>IFERROR(VLOOKUP(A3805, Entries!A:B,2,false),"")</f>
        <v>Skystone Games</v>
      </c>
      <c r="N3805" s="23" t="str">
        <f>IFERROR(VLOOKUP(A3805, Entries!A:K,11,false),"")</f>
        <v/>
      </c>
    </row>
    <row r="3806">
      <c r="A3806" s="78" t="s">
        <v>4494</v>
      </c>
      <c r="B3806" s="78" t="s">
        <v>18</v>
      </c>
      <c r="C3806" s="85">
        <v>45136.0</v>
      </c>
      <c r="D3806" s="85">
        <v>45139.0</v>
      </c>
      <c r="E3806" s="86">
        <v>5.0</v>
      </c>
      <c r="F3806" s="87">
        <v>5.6</v>
      </c>
      <c r="G3806" s="88">
        <f t="shared" si="1"/>
        <v>0.6</v>
      </c>
      <c r="H3806" s="89">
        <f t="shared" si="10"/>
        <v>0.1071428571</v>
      </c>
      <c r="I3806" s="78" t="s">
        <v>4540</v>
      </c>
      <c r="J3806" s="78" t="s">
        <v>69</v>
      </c>
      <c r="K3806" s="58">
        <f t="shared" si="3"/>
        <v>3</v>
      </c>
      <c r="L3806" s="91" t="str">
        <f t="shared" si="8"/>
        <v>Tue</v>
      </c>
      <c r="M3806" s="78" t="str">
        <f>IFERROR(VLOOKUP(A3806, Entries!A:B,2,false),"")</f>
        <v>Skystone Games</v>
      </c>
      <c r="N3806" s="23" t="str">
        <f>IFERROR(VLOOKUP(A3806, Entries!A:K,11,false),"")</f>
        <v/>
      </c>
    </row>
    <row r="3807">
      <c r="A3807" s="78" t="s">
        <v>4494</v>
      </c>
      <c r="B3807" s="78" t="s">
        <v>18</v>
      </c>
      <c r="C3807" s="85">
        <v>45136.0</v>
      </c>
      <c r="D3807" s="85">
        <v>45146.0</v>
      </c>
      <c r="E3807" s="86">
        <v>5.01</v>
      </c>
      <c r="F3807" s="87">
        <v>5.44</v>
      </c>
      <c r="G3807" s="88">
        <f t="shared" si="1"/>
        <v>0.43</v>
      </c>
      <c r="H3807" s="89">
        <f t="shared" si="10"/>
        <v>0.07904411765</v>
      </c>
      <c r="I3807" s="78" t="s">
        <v>4541</v>
      </c>
      <c r="J3807" s="78" t="s">
        <v>69</v>
      </c>
      <c r="K3807" s="58">
        <f t="shared" si="3"/>
        <v>10</v>
      </c>
      <c r="L3807" s="91" t="str">
        <f t="shared" si="8"/>
        <v>Tue</v>
      </c>
      <c r="M3807" s="78" t="str">
        <f>IFERROR(VLOOKUP(A3807, Entries!A:B,2,false),"")</f>
        <v>Skystone Games</v>
      </c>
      <c r="N3807" s="23" t="str">
        <f>IFERROR(VLOOKUP(A3807, Entries!A:K,11,false),"")</f>
        <v/>
      </c>
    </row>
    <row r="3808">
      <c r="A3808" s="78" t="s">
        <v>4534</v>
      </c>
      <c r="B3808" s="78" t="s">
        <v>27</v>
      </c>
      <c r="C3808" s="85">
        <v>45136.0</v>
      </c>
      <c r="D3808" s="85">
        <v>45137.0</v>
      </c>
      <c r="E3808" s="86">
        <v>9.89</v>
      </c>
      <c r="F3808" s="87">
        <v>11.03</v>
      </c>
      <c r="G3808" s="88">
        <f t="shared" si="1"/>
        <v>1.14</v>
      </c>
      <c r="H3808" s="89">
        <f t="shared" si="10"/>
        <v>0.1033544878</v>
      </c>
      <c r="I3808" s="78" t="s">
        <v>4542</v>
      </c>
      <c r="J3808" s="78" t="s">
        <v>69</v>
      </c>
      <c r="K3808" s="58">
        <f t="shared" si="3"/>
        <v>1</v>
      </c>
      <c r="L3808" s="91" t="str">
        <f t="shared" si="8"/>
        <v>Sun</v>
      </c>
      <c r="M3808" s="78" t="str">
        <f>IFERROR(VLOOKUP(A3808, Entries!A:B,2,false),"")</f>
        <v>Fireshine Games</v>
      </c>
      <c r="N3808" s="23" t="str">
        <f>IFERROR(VLOOKUP(A3808, Entries!A:K,11,false),"")</f>
        <v/>
      </c>
    </row>
    <row r="3809">
      <c r="A3809" s="78" t="s">
        <v>4534</v>
      </c>
      <c r="B3809" s="78" t="s">
        <v>27</v>
      </c>
      <c r="C3809" s="85">
        <v>45137.0</v>
      </c>
      <c r="D3809" s="85">
        <v>45137.0</v>
      </c>
      <c r="E3809" s="86">
        <v>9.89</v>
      </c>
      <c r="F3809" s="87">
        <v>11.03</v>
      </c>
      <c r="G3809" s="88">
        <f t="shared" si="1"/>
        <v>1.14</v>
      </c>
      <c r="H3809" s="89">
        <f t="shared" si="10"/>
        <v>0.1033544878</v>
      </c>
      <c r="I3809" s="78" t="s">
        <v>4543</v>
      </c>
      <c r="J3809" s="78" t="s">
        <v>69</v>
      </c>
      <c r="K3809" s="58">
        <f t="shared" si="3"/>
        <v>0</v>
      </c>
      <c r="L3809" s="91" t="str">
        <f t="shared" si="8"/>
        <v>Sun</v>
      </c>
      <c r="M3809" s="78" t="str">
        <f>IFERROR(VLOOKUP(A3809, Entries!A:B,2,false),"")</f>
        <v>Fireshine Games</v>
      </c>
      <c r="N3809" s="23" t="str">
        <f>IFERROR(VLOOKUP(A3809, Entries!A:K,11,false),"")</f>
        <v/>
      </c>
    </row>
    <row r="3810">
      <c r="A3810" s="78" t="s">
        <v>4534</v>
      </c>
      <c r="B3810" s="78" t="s">
        <v>27</v>
      </c>
      <c r="C3810" s="85">
        <v>45137.0</v>
      </c>
      <c r="D3810" s="85">
        <v>45137.0</v>
      </c>
      <c r="E3810" s="86">
        <v>9.72</v>
      </c>
      <c r="F3810" s="87">
        <v>10.91</v>
      </c>
      <c r="G3810" s="88">
        <f t="shared" si="1"/>
        <v>1.19</v>
      </c>
      <c r="H3810" s="89">
        <f t="shared" si="10"/>
        <v>0.1090742438</v>
      </c>
      <c r="I3810" s="78" t="s">
        <v>4544</v>
      </c>
      <c r="J3810" s="78" t="s">
        <v>69</v>
      </c>
      <c r="K3810" s="58">
        <f t="shared" si="3"/>
        <v>0</v>
      </c>
      <c r="L3810" s="91" t="str">
        <f t="shared" si="8"/>
        <v>Sun</v>
      </c>
      <c r="M3810" s="78" t="str">
        <f>IFERROR(VLOOKUP(A3810, Entries!A:B,2,false),"")</f>
        <v>Fireshine Games</v>
      </c>
      <c r="N3810" s="23" t="str">
        <f>IFERROR(VLOOKUP(A3810, Entries!A:K,11,false),"")</f>
        <v/>
      </c>
    </row>
    <row r="3811">
      <c r="A3811" s="78" t="s">
        <v>2466</v>
      </c>
      <c r="B3811" s="78" t="s">
        <v>23</v>
      </c>
      <c r="C3811" s="85">
        <v>45137.0</v>
      </c>
      <c r="D3811" s="85">
        <v>45268.0</v>
      </c>
      <c r="E3811" s="86">
        <v>11.87</v>
      </c>
      <c r="F3811" s="87">
        <v>12.4</v>
      </c>
      <c r="G3811" s="88">
        <f t="shared" si="1"/>
        <v>0.53</v>
      </c>
      <c r="H3811" s="89">
        <f t="shared" si="10"/>
        <v>0.04274193548</v>
      </c>
      <c r="I3811" s="78" t="s">
        <v>4545</v>
      </c>
      <c r="J3811" s="78" t="s">
        <v>69</v>
      </c>
      <c r="K3811" s="58">
        <f t="shared" si="3"/>
        <v>131</v>
      </c>
      <c r="L3811" s="91" t="str">
        <f t="shared" si="8"/>
        <v>Fri</v>
      </c>
      <c r="M3811" s="78" t="str">
        <f>IFERROR(VLOOKUP(A3811, Entries!A:B,2,false),"")</f>
        <v>Bethesda Softworks</v>
      </c>
      <c r="N3811" s="23" t="str">
        <f>IFERROR(VLOOKUP(A3811, Entries!A:K,11,false),"")</f>
        <v/>
      </c>
      <c r="O3811" s="23" t="b">
        <f>IFERROR(VLOOKUP(A3811, Entries!A:I,8,false),"")</f>
        <v>1</v>
      </c>
    </row>
    <row r="3812">
      <c r="A3812" s="78" t="s">
        <v>1034</v>
      </c>
      <c r="B3812" s="78" t="s">
        <v>23</v>
      </c>
      <c r="C3812" s="85">
        <v>45137.0</v>
      </c>
      <c r="D3812" s="85">
        <v>45138.0</v>
      </c>
      <c r="E3812" s="86">
        <v>5.95</v>
      </c>
      <c r="F3812" s="87">
        <v>10.85</v>
      </c>
      <c r="G3812" s="88">
        <f t="shared" si="1"/>
        <v>4.9</v>
      </c>
      <c r="H3812" s="89">
        <f t="shared" si="10"/>
        <v>0.4516129032</v>
      </c>
      <c r="I3812" s="78" t="s">
        <v>4546</v>
      </c>
      <c r="J3812" s="78" t="s">
        <v>69</v>
      </c>
      <c r="K3812" s="58">
        <f t="shared" si="3"/>
        <v>1</v>
      </c>
      <c r="L3812" s="91" t="str">
        <f t="shared" si="8"/>
        <v>Mon</v>
      </c>
      <c r="M3812" s="78" t="str">
        <f>IFERROR(VLOOKUP(A3812, Entries!A:B,2,false),"")</f>
        <v>Eugen Systems</v>
      </c>
      <c r="N3812" s="23" t="str">
        <f>IFERROR(VLOOKUP(A3812, Entries!A:K,11,false),"")</f>
        <v/>
      </c>
    </row>
    <row r="3813">
      <c r="A3813" s="78" t="s">
        <v>2498</v>
      </c>
      <c r="B3813" s="78" t="s">
        <v>23</v>
      </c>
      <c r="C3813" s="85">
        <v>45137.0</v>
      </c>
      <c r="D3813" s="85">
        <v>45178.0</v>
      </c>
      <c r="E3813" s="86">
        <v>2.09</v>
      </c>
      <c r="F3813" s="87">
        <v>3.32</v>
      </c>
      <c r="G3813" s="88">
        <f t="shared" si="1"/>
        <v>1.23</v>
      </c>
      <c r="H3813" s="89">
        <f t="shared" si="10"/>
        <v>0.3704819277</v>
      </c>
      <c r="I3813" s="78" t="s">
        <v>4547</v>
      </c>
      <c r="J3813" s="78" t="s">
        <v>69</v>
      </c>
      <c r="K3813" s="58">
        <f t="shared" si="3"/>
        <v>41</v>
      </c>
      <c r="L3813" s="91" t="str">
        <f t="shared" si="8"/>
        <v>Sat</v>
      </c>
      <c r="M3813" s="78" t="str">
        <f>IFERROR(VLOOKUP(A3813, Entries!A:B,2,false),"")</f>
        <v>Eugen Systems</v>
      </c>
      <c r="N3813" s="23" t="str">
        <f>IFERROR(VLOOKUP(A3813, Entries!A:K,11,false),"")</f>
        <v/>
      </c>
      <c r="O3813" s="23" t="b">
        <f>IFERROR(VLOOKUP(A3813, Entries!A:I,8,false),"")</f>
        <v>0</v>
      </c>
    </row>
    <row r="3814">
      <c r="A3814" s="78" t="s">
        <v>3309</v>
      </c>
      <c r="B3814" s="78" t="s">
        <v>27</v>
      </c>
      <c r="C3814" s="85">
        <v>45137.0</v>
      </c>
      <c r="D3814" s="85">
        <v>45137.0</v>
      </c>
      <c r="E3814" s="86">
        <v>3.79</v>
      </c>
      <c r="F3814" s="87">
        <v>5.06</v>
      </c>
      <c r="G3814" s="88">
        <f t="shared" si="1"/>
        <v>1.27</v>
      </c>
      <c r="H3814" s="89">
        <f t="shared" si="10"/>
        <v>0.2509881423</v>
      </c>
      <c r="I3814" s="78" t="s">
        <v>4548</v>
      </c>
      <c r="J3814" s="78" t="s">
        <v>69</v>
      </c>
      <c r="K3814" s="58">
        <f t="shared" si="3"/>
        <v>0</v>
      </c>
      <c r="L3814" s="91" t="str">
        <f t="shared" si="8"/>
        <v>Sun</v>
      </c>
      <c r="M3814" s="78" t="str">
        <f>IFERROR(VLOOKUP(A3814, Entries!A:B,2,false),"")</f>
        <v>Digixart</v>
      </c>
      <c r="N3814" s="23" t="str">
        <f>IFERROR(VLOOKUP(A3814, Entries!A:K,11,false),"")</f>
        <v/>
      </c>
    </row>
    <row r="3815">
      <c r="A3815" s="78" t="s">
        <v>3309</v>
      </c>
      <c r="B3815" s="78" t="s">
        <v>27</v>
      </c>
      <c r="C3815" s="85">
        <v>45137.0</v>
      </c>
      <c r="D3815" s="85">
        <v>45137.0</v>
      </c>
      <c r="E3815" s="86">
        <v>3.79</v>
      </c>
      <c r="F3815" s="87">
        <v>5.06</v>
      </c>
      <c r="G3815" s="88">
        <f t="shared" si="1"/>
        <v>1.27</v>
      </c>
      <c r="H3815" s="89">
        <f t="shared" si="10"/>
        <v>0.2509881423</v>
      </c>
      <c r="I3815" s="78" t="s">
        <v>4549</v>
      </c>
      <c r="J3815" s="78" t="s">
        <v>69</v>
      </c>
      <c r="K3815" s="58">
        <f t="shared" si="3"/>
        <v>0</v>
      </c>
      <c r="L3815" s="91" t="str">
        <f t="shared" si="8"/>
        <v>Sun</v>
      </c>
      <c r="M3815" s="78" t="str">
        <f>IFERROR(VLOOKUP(A3815, Entries!A:B,2,false),"")</f>
        <v>Digixart</v>
      </c>
      <c r="N3815" s="23" t="str">
        <f>IFERROR(VLOOKUP(A3815, Entries!A:K,11,false),"")</f>
        <v/>
      </c>
    </row>
    <row r="3816">
      <c r="A3816" s="78" t="s">
        <v>4550</v>
      </c>
      <c r="B3816" s="78" t="s">
        <v>23</v>
      </c>
      <c r="C3816" s="85">
        <v>45137.0</v>
      </c>
      <c r="D3816" s="85">
        <v>45137.0</v>
      </c>
      <c r="E3816" s="86">
        <v>13.32</v>
      </c>
      <c r="F3816" s="87">
        <v>14.39</v>
      </c>
      <c r="G3816" s="88">
        <f t="shared" si="1"/>
        <v>1.07</v>
      </c>
      <c r="H3816" s="89">
        <f t="shared" si="10"/>
        <v>0.07435719249</v>
      </c>
      <c r="I3816" s="78" t="s">
        <v>4551</v>
      </c>
      <c r="J3816" s="78" t="s">
        <v>69</v>
      </c>
      <c r="K3816" s="58">
        <f t="shared" si="3"/>
        <v>0</v>
      </c>
      <c r="L3816" s="91" t="str">
        <f t="shared" si="8"/>
        <v>Sun</v>
      </c>
      <c r="M3816" s="78" t="str">
        <f>IFERROR(VLOOKUP(A3816, Entries!A:B,2,false),"")</f>
        <v>Merge Games</v>
      </c>
      <c r="N3816" s="23" t="str">
        <f>IFERROR(VLOOKUP(A3816, Entries!A:K,11,false),"")</f>
        <v/>
      </c>
    </row>
    <row r="3817">
      <c r="A3817" s="78" t="s">
        <v>4550</v>
      </c>
      <c r="B3817" s="78" t="s">
        <v>23</v>
      </c>
      <c r="C3817" s="85">
        <v>45137.0</v>
      </c>
      <c r="D3817" s="85">
        <v>45138.0</v>
      </c>
      <c r="E3817" s="86">
        <v>13.32</v>
      </c>
      <c r="F3817" s="87">
        <v>14.38</v>
      </c>
      <c r="G3817" s="88">
        <f t="shared" si="1"/>
        <v>1.06</v>
      </c>
      <c r="H3817" s="89">
        <f t="shared" si="10"/>
        <v>0.07371349096</v>
      </c>
      <c r="I3817" s="78" t="s">
        <v>4552</v>
      </c>
      <c r="J3817" s="78" t="s">
        <v>69</v>
      </c>
      <c r="K3817" s="58">
        <f t="shared" si="3"/>
        <v>1</v>
      </c>
      <c r="L3817" s="91" t="str">
        <f t="shared" si="8"/>
        <v>Mon</v>
      </c>
      <c r="M3817" s="78" t="str">
        <f>IFERROR(VLOOKUP(A3817, Entries!A:B,2,false),"")</f>
        <v>Merge Games</v>
      </c>
      <c r="N3817" s="23" t="str">
        <f>IFERROR(VLOOKUP(A3817, Entries!A:K,11,false),"")</f>
        <v/>
      </c>
    </row>
    <row r="3818">
      <c r="A3818" s="78" t="s">
        <v>3309</v>
      </c>
      <c r="B3818" s="78" t="s">
        <v>27</v>
      </c>
      <c r="C3818" s="85">
        <v>45137.0</v>
      </c>
      <c r="D3818" s="85">
        <v>45138.0</v>
      </c>
      <c r="E3818" s="86">
        <v>3.59</v>
      </c>
      <c r="F3818" s="87">
        <v>5.06</v>
      </c>
      <c r="G3818" s="88">
        <f t="shared" si="1"/>
        <v>1.47</v>
      </c>
      <c r="H3818" s="89">
        <f t="shared" si="10"/>
        <v>0.290513834</v>
      </c>
      <c r="I3818" s="78" t="s">
        <v>4553</v>
      </c>
      <c r="J3818" s="78" t="s">
        <v>69</v>
      </c>
      <c r="K3818" s="58">
        <f t="shared" si="3"/>
        <v>1</v>
      </c>
      <c r="L3818" s="91" t="str">
        <f t="shared" si="8"/>
        <v>Mon</v>
      </c>
      <c r="M3818" s="78" t="str">
        <f>IFERROR(VLOOKUP(A3818, Entries!A:B,2,false),"")</f>
        <v>Digixart</v>
      </c>
      <c r="N3818" s="23" t="str">
        <f>IFERROR(VLOOKUP(A3818, Entries!A:K,11,false),"")</f>
        <v/>
      </c>
    </row>
    <row r="3819">
      <c r="A3819" s="78" t="s">
        <v>3995</v>
      </c>
      <c r="B3819" s="78" t="s">
        <v>23</v>
      </c>
      <c r="C3819" s="85">
        <v>45137.0</v>
      </c>
      <c r="D3819" s="85">
        <v>45138.0</v>
      </c>
      <c r="E3819" s="86">
        <v>19.03</v>
      </c>
      <c r="F3819" s="87">
        <v>21.86</v>
      </c>
      <c r="G3819" s="88">
        <f t="shared" si="1"/>
        <v>2.83</v>
      </c>
      <c r="H3819" s="89">
        <f t="shared" si="10"/>
        <v>0.1294602013</v>
      </c>
      <c r="I3819" s="78" t="s">
        <v>4554</v>
      </c>
      <c r="J3819" s="78" t="s">
        <v>69</v>
      </c>
      <c r="K3819" s="58">
        <f t="shared" si="3"/>
        <v>1</v>
      </c>
      <c r="L3819" s="91" t="str">
        <f t="shared" si="8"/>
        <v>Mon</v>
      </c>
      <c r="M3819" s="78" t="str">
        <f>IFERROR(VLOOKUP(A3819, Entries!A:B,2,false),"")</f>
        <v>astragon Entertainment</v>
      </c>
      <c r="N3819" s="23" t="str">
        <f>IFERROR(VLOOKUP(A3819, Entries!A:K,11,false),"")</f>
        <v/>
      </c>
    </row>
    <row r="3820">
      <c r="A3820" s="78" t="s">
        <v>4466</v>
      </c>
      <c r="B3820" s="78" t="s">
        <v>22</v>
      </c>
      <c r="C3820" s="85">
        <v>45138.0</v>
      </c>
      <c r="D3820" s="85">
        <v>45144.0</v>
      </c>
      <c r="E3820" s="86">
        <v>4.36</v>
      </c>
      <c r="F3820" s="87">
        <v>5.49</v>
      </c>
      <c r="G3820" s="88">
        <f t="shared" si="1"/>
        <v>1.13</v>
      </c>
      <c r="H3820" s="89">
        <f t="shared" si="10"/>
        <v>0.2058287796</v>
      </c>
      <c r="I3820" s="78" t="s">
        <v>4555</v>
      </c>
      <c r="J3820" s="78" t="s">
        <v>69</v>
      </c>
      <c r="K3820" s="58">
        <f t="shared" si="3"/>
        <v>6</v>
      </c>
      <c r="L3820" s="91" t="str">
        <f t="shared" si="8"/>
        <v>Sun</v>
      </c>
      <c r="M3820" s="78" t="str">
        <f>IFERROR(VLOOKUP(A3820, Entries!A:B,2,false),"")</f>
        <v>SCKR Games</v>
      </c>
      <c r="N3820" s="23" t="str">
        <f>IFERROR(VLOOKUP(A3820, Entries!A:K,11,false),"")</f>
        <v/>
      </c>
    </row>
    <row r="3821">
      <c r="A3821" s="78" t="s">
        <v>4466</v>
      </c>
      <c r="B3821" s="78" t="s">
        <v>22</v>
      </c>
      <c r="C3821" s="85">
        <v>45138.0</v>
      </c>
      <c r="D3821" s="85">
        <v>45144.0</v>
      </c>
      <c r="E3821" s="86">
        <v>4.36</v>
      </c>
      <c r="F3821" s="87">
        <v>5.49</v>
      </c>
      <c r="G3821" s="88">
        <f t="shared" si="1"/>
        <v>1.13</v>
      </c>
      <c r="H3821" s="89">
        <f t="shared" si="10"/>
        <v>0.2058287796</v>
      </c>
      <c r="I3821" s="78" t="s">
        <v>4556</v>
      </c>
      <c r="J3821" s="78" t="s">
        <v>69</v>
      </c>
      <c r="K3821" s="58">
        <f t="shared" si="3"/>
        <v>6</v>
      </c>
      <c r="L3821" s="91" t="str">
        <f t="shared" si="8"/>
        <v>Sun</v>
      </c>
      <c r="M3821" s="78" t="str">
        <f>IFERROR(VLOOKUP(A3821, Entries!A:B,2,false),"")</f>
        <v>SCKR Games</v>
      </c>
      <c r="N3821" s="23" t="str">
        <f>IFERROR(VLOOKUP(A3821, Entries!A:K,11,false),"")</f>
        <v/>
      </c>
    </row>
    <row r="3822">
      <c r="A3822" s="78" t="s">
        <v>4466</v>
      </c>
      <c r="B3822" s="78" t="s">
        <v>22</v>
      </c>
      <c r="C3822" s="85">
        <v>45138.0</v>
      </c>
      <c r="D3822" s="85">
        <v>45145.0</v>
      </c>
      <c r="E3822" s="86">
        <v>4.36</v>
      </c>
      <c r="F3822" s="87">
        <v>5.49</v>
      </c>
      <c r="G3822" s="88">
        <f t="shared" si="1"/>
        <v>1.13</v>
      </c>
      <c r="H3822" s="89">
        <f t="shared" si="10"/>
        <v>0.2058287796</v>
      </c>
      <c r="I3822" s="78" t="s">
        <v>4557</v>
      </c>
      <c r="J3822" s="78" t="s">
        <v>69</v>
      </c>
      <c r="K3822" s="58">
        <f t="shared" si="3"/>
        <v>7</v>
      </c>
      <c r="L3822" s="91" t="str">
        <f t="shared" si="8"/>
        <v>Mon</v>
      </c>
      <c r="M3822" s="78" t="str">
        <f>IFERROR(VLOOKUP(A3822, Entries!A:B,2,false),"")</f>
        <v>SCKR Games</v>
      </c>
      <c r="N3822" s="23" t="str">
        <f>IFERROR(VLOOKUP(A3822, Entries!A:K,11,false),"")</f>
        <v/>
      </c>
    </row>
    <row r="3823">
      <c r="A3823" s="78" t="s">
        <v>4466</v>
      </c>
      <c r="B3823" s="78" t="s">
        <v>22</v>
      </c>
      <c r="C3823" s="85">
        <v>45138.0</v>
      </c>
      <c r="D3823" s="85">
        <v>45145.0</v>
      </c>
      <c r="E3823" s="86">
        <v>4.36</v>
      </c>
      <c r="F3823" s="87">
        <v>5.49</v>
      </c>
      <c r="G3823" s="88">
        <f t="shared" si="1"/>
        <v>1.13</v>
      </c>
      <c r="H3823" s="89">
        <f t="shared" si="10"/>
        <v>0.2058287796</v>
      </c>
      <c r="I3823" s="78" t="s">
        <v>4558</v>
      </c>
      <c r="J3823" s="78" t="s">
        <v>69</v>
      </c>
      <c r="K3823" s="58">
        <f t="shared" si="3"/>
        <v>7</v>
      </c>
      <c r="L3823" s="91" t="str">
        <f t="shared" si="8"/>
        <v>Mon</v>
      </c>
      <c r="M3823" s="78" t="str">
        <f>IFERROR(VLOOKUP(A3823, Entries!A:B,2,false),"")</f>
        <v>SCKR Games</v>
      </c>
      <c r="N3823" s="23" t="str">
        <f>IFERROR(VLOOKUP(A3823, Entries!A:K,11,false),"")</f>
        <v/>
      </c>
    </row>
    <row r="3824">
      <c r="A3824" s="78" t="s">
        <v>4466</v>
      </c>
      <c r="B3824" s="78" t="s">
        <v>22</v>
      </c>
      <c r="C3824" s="85">
        <v>45138.0</v>
      </c>
      <c r="D3824" s="85">
        <v>45145.0</v>
      </c>
      <c r="E3824" s="86">
        <v>4.36</v>
      </c>
      <c r="F3824" s="87">
        <v>5.49</v>
      </c>
      <c r="G3824" s="88">
        <f t="shared" si="1"/>
        <v>1.13</v>
      </c>
      <c r="H3824" s="89">
        <f t="shared" si="10"/>
        <v>0.2058287796</v>
      </c>
      <c r="I3824" s="78" t="s">
        <v>4559</v>
      </c>
      <c r="J3824" s="78" t="s">
        <v>69</v>
      </c>
      <c r="K3824" s="58">
        <f t="shared" si="3"/>
        <v>7</v>
      </c>
      <c r="L3824" s="91" t="str">
        <f t="shared" si="8"/>
        <v>Mon</v>
      </c>
      <c r="M3824" s="78" t="str">
        <f>IFERROR(VLOOKUP(A3824, Entries!A:B,2,false),"")</f>
        <v>SCKR Games</v>
      </c>
      <c r="N3824" s="23" t="str">
        <f>IFERROR(VLOOKUP(A3824, Entries!A:K,11,false),"")</f>
        <v/>
      </c>
    </row>
    <row r="3825">
      <c r="A3825" s="78" t="s">
        <v>3309</v>
      </c>
      <c r="B3825" s="78" t="s">
        <v>27</v>
      </c>
      <c r="C3825" s="85">
        <v>45138.0</v>
      </c>
      <c r="D3825" s="85">
        <v>45138.0</v>
      </c>
      <c r="E3825" s="86">
        <v>3.79</v>
      </c>
      <c r="F3825" s="87">
        <v>5.06</v>
      </c>
      <c r="G3825" s="88">
        <f t="shared" si="1"/>
        <v>1.27</v>
      </c>
      <c r="H3825" s="89">
        <f t="shared" si="10"/>
        <v>0.2509881423</v>
      </c>
      <c r="I3825" s="78" t="s">
        <v>4560</v>
      </c>
      <c r="J3825" s="78" t="s">
        <v>69</v>
      </c>
      <c r="K3825" s="58">
        <f t="shared" si="3"/>
        <v>0</v>
      </c>
      <c r="L3825" s="91" t="str">
        <f t="shared" si="8"/>
        <v>Mon</v>
      </c>
      <c r="M3825" s="78" t="str">
        <f>IFERROR(VLOOKUP(A3825, Entries!A:B,2,false),"")</f>
        <v>Digixart</v>
      </c>
      <c r="N3825" s="23" t="str">
        <f>IFERROR(VLOOKUP(A3825, Entries!A:K,11,false),"")</f>
        <v/>
      </c>
    </row>
    <row r="3826">
      <c r="A3826" s="78" t="s">
        <v>3771</v>
      </c>
      <c r="B3826" s="78" t="s">
        <v>27</v>
      </c>
      <c r="C3826" s="85">
        <v>45138.0</v>
      </c>
      <c r="D3826" s="85">
        <v>45139.0</v>
      </c>
      <c r="E3826" s="86">
        <v>9.89</v>
      </c>
      <c r="F3826" s="87">
        <v>11.63</v>
      </c>
      <c r="G3826" s="88">
        <f t="shared" si="1"/>
        <v>1.74</v>
      </c>
      <c r="H3826" s="89">
        <f t="shared" si="10"/>
        <v>0.1496130696</v>
      </c>
      <c r="I3826" s="78" t="s">
        <v>4561</v>
      </c>
      <c r="J3826" s="78" t="s">
        <v>69</v>
      </c>
      <c r="K3826" s="58">
        <f t="shared" si="3"/>
        <v>1</v>
      </c>
      <c r="L3826" s="91" t="str">
        <f t="shared" si="8"/>
        <v>Tue</v>
      </c>
      <c r="M3826" s="78" t="str">
        <f>IFERROR(VLOOKUP(A3826, Entries!A:B,2,false),"")</f>
        <v>Good Shepherd Entertainment</v>
      </c>
      <c r="N3826" s="23" t="str">
        <f>IFERROR(VLOOKUP(A3826, Entries!A:K,11,false),"")</f>
        <v/>
      </c>
    </row>
    <row r="3827">
      <c r="A3827" s="94" t="s">
        <v>3309</v>
      </c>
      <c r="B3827" s="78" t="s">
        <v>27</v>
      </c>
      <c r="C3827" s="85">
        <v>45138.0</v>
      </c>
      <c r="D3827" s="85">
        <v>45469.0</v>
      </c>
      <c r="E3827" s="86">
        <v>3.72</v>
      </c>
      <c r="F3827" s="87">
        <v>4.16</v>
      </c>
      <c r="G3827" s="88">
        <f t="shared" si="1"/>
        <v>0.44</v>
      </c>
      <c r="H3827" s="89">
        <f t="shared" si="10"/>
        <v>0.1057692308</v>
      </c>
      <c r="I3827" s="78" t="s">
        <v>4562</v>
      </c>
      <c r="J3827" s="78" t="s">
        <v>69</v>
      </c>
      <c r="K3827" s="58">
        <f t="shared" si="3"/>
        <v>331</v>
      </c>
      <c r="L3827" s="91" t="str">
        <f t="shared" si="8"/>
        <v>Wed</v>
      </c>
      <c r="M3827" s="78" t="str">
        <f>IFERROR(VLOOKUP(A3827, Entries!A:B,2,false),"")</f>
        <v>Digixart</v>
      </c>
      <c r="N3827" s="23" t="str">
        <f>IFERROR(VLOOKUP(A3827, Entries!A:K,11,false),"")</f>
        <v/>
      </c>
      <c r="O3827" s="23" t="b">
        <f>IFERROR(VLOOKUP(A3827, Entries!A:I,8,false),"")</f>
        <v>0</v>
      </c>
    </row>
    <row r="3828">
      <c r="A3828" s="78" t="s">
        <v>272</v>
      </c>
      <c r="B3828" s="78" t="s">
        <v>19</v>
      </c>
      <c r="C3828" s="85">
        <v>45138.0</v>
      </c>
      <c r="D3828" s="85">
        <v>45138.0</v>
      </c>
      <c r="E3828" s="86">
        <v>0.94</v>
      </c>
      <c r="F3828" s="87">
        <v>1.38</v>
      </c>
      <c r="G3828" s="88">
        <f t="shared" si="1"/>
        <v>0.44</v>
      </c>
      <c r="H3828" s="89">
        <f t="shared" si="10"/>
        <v>0.3188405797</v>
      </c>
      <c r="I3828" s="78" t="s">
        <v>4563</v>
      </c>
      <c r="J3828" s="78" t="s">
        <v>69</v>
      </c>
      <c r="K3828" s="58">
        <f t="shared" si="3"/>
        <v>0</v>
      </c>
      <c r="L3828" s="91" t="str">
        <f t="shared" si="8"/>
        <v>Mon</v>
      </c>
      <c r="M3828" s="78" t="str">
        <f>IFERROR(VLOOKUP(A3828, Entries!A:B,2,false),"")</f>
        <v>Starbreeze Publishing</v>
      </c>
      <c r="N3828" s="23" t="str">
        <f>IFERROR(VLOOKUP(A3828, Entries!A:K,11,false),"")</f>
        <v/>
      </c>
    </row>
    <row r="3829">
      <c r="A3829" s="78" t="s">
        <v>272</v>
      </c>
      <c r="B3829" s="78" t="s">
        <v>19</v>
      </c>
      <c r="C3829" s="85">
        <v>45138.0</v>
      </c>
      <c r="D3829" s="85">
        <v>45139.0</v>
      </c>
      <c r="E3829" s="86">
        <v>0.94</v>
      </c>
      <c r="F3829" s="87">
        <v>1.38</v>
      </c>
      <c r="G3829" s="88">
        <f t="shared" si="1"/>
        <v>0.44</v>
      </c>
      <c r="H3829" s="89">
        <f t="shared" si="10"/>
        <v>0.3188405797</v>
      </c>
      <c r="I3829" s="78" t="s">
        <v>4564</v>
      </c>
      <c r="J3829" s="78" t="s">
        <v>69</v>
      </c>
      <c r="K3829" s="58">
        <f t="shared" si="3"/>
        <v>1</v>
      </c>
      <c r="L3829" s="91" t="str">
        <f t="shared" si="8"/>
        <v>Tue</v>
      </c>
      <c r="M3829" s="78" t="str">
        <f>IFERROR(VLOOKUP(A3829, Entries!A:B,2,false),"")</f>
        <v>Starbreeze Publishing</v>
      </c>
      <c r="N3829" s="23" t="str">
        <f>IFERROR(VLOOKUP(A3829, Entries!A:K,11,false),"")</f>
        <v/>
      </c>
    </row>
    <row r="3830">
      <c r="A3830" s="78" t="s">
        <v>272</v>
      </c>
      <c r="B3830" s="78" t="s">
        <v>19</v>
      </c>
      <c r="C3830" s="85">
        <v>45138.0</v>
      </c>
      <c r="D3830" s="85">
        <v>45140.0</v>
      </c>
      <c r="E3830" s="86">
        <v>0.94</v>
      </c>
      <c r="F3830" s="87">
        <v>1.38</v>
      </c>
      <c r="G3830" s="88">
        <f t="shared" si="1"/>
        <v>0.44</v>
      </c>
      <c r="H3830" s="89">
        <f t="shared" si="10"/>
        <v>0.3188405797</v>
      </c>
      <c r="I3830" s="78" t="s">
        <v>4565</v>
      </c>
      <c r="J3830" s="78" t="s">
        <v>69</v>
      </c>
      <c r="K3830" s="58">
        <f t="shared" si="3"/>
        <v>2</v>
      </c>
      <c r="L3830" s="91" t="str">
        <f t="shared" si="8"/>
        <v>Wed</v>
      </c>
      <c r="M3830" s="78" t="str">
        <f>IFERROR(VLOOKUP(A3830, Entries!A:B,2,false),"")</f>
        <v>Starbreeze Publishing</v>
      </c>
      <c r="N3830" s="23" t="str">
        <f>IFERROR(VLOOKUP(A3830, Entries!A:K,11,false),"")</f>
        <v/>
      </c>
    </row>
    <row r="3831">
      <c r="A3831" s="78" t="s">
        <v>4566</v>
      </c>
      <c r="B3831" s="78" t="s">
        <v>27</v>
      </c>
      <c r="C3831" s="85">
        <v>45139.0</v>
      </c>
      <c r="D3831" s="85">
        <v>45151.0</v>
      </c>
      <c r="E3831" s="86">
        <v>16.89</v>
      </c>
      <c r="F3831" s="87">
        <v>18.14</v>
      </c>
      <c r="G3831" s="88">
        <f t="shared" si="1"/>
        <v>1.25</v>
      </c>
      <c r="H3831" s="89">
        <f t="shared" si="10"/>
        <v>0.06890848953</v>
      </c>
      <c r="I3831" s="78" t="s">
        <v>4567</v>
      </c>
      <c r="J3831" s="78" t="s">
        <v>69</v>
      </c>
      <c r="K3831" s="58">
        <f t="shared" si="3"/>
        <v>12</v>
      </c>
      <c r="L3831" s="91" t="str">
        <f t="shared" si="8"/>
        <v>Sun</v>
      </c>
      <c r="M3831" s="78" t="str">
        <f>IFERROR(VLOOKUP(A3831, Entries!A:B,2,false),"")</f>
        <v>2K</v>
      </c>
      <c r="N3831" s="23" t="str">
        <f>IFERROR(VLOOKUP(A3831, Entries!A:K,11,false),"")</f>
        <v/>
      </c>
    </row>
    <row r="3832">
      <c r="A3832" s="78" t="s">
        <v>4355</v>
      </c>
      <c r="B3832" s="78" t="s">
        <v>18</v>
      </c>
      <c r="C3832" s="85">
        <v>45139.0</v>
      </c>
      <c r="D3832" s="85">
        <v>45139.0</v>
      </c>
      <c r="E3832" s="86">
        <v>21.02</v>
      </c>
      <c r="F3832" s="87">
        <v>24.99</v>
      </c>
      <c r="G3832" s="88">
        <f t="shared" si="1"/>
        <v>3.97</v>
      </c>
      <c r="H3832" s="89">
        <f t="shared" si="10"/>
        <v>0.1588635454</v>
      </c>
      <c r="I3832" s="78" t="s">
        <v>4568</v>
      </c>
      <c r="J3832" s="78" t="s">
        <v>69</v>
      </c>
      <c r="K3832" s="58">
        <f t="shared" si="3"/>
        <v>0</v>
      </c>
      <c r="L3832" s="91" t="str">
        <f t="shared" si="8"/>
        <v>Tue</v>
      </c>
      <c r="M3832" s="78" t="str">
        <f>IFERROR(VLOOKUP(A3832, Entries!A:B,2,false),"")</f>
        <v>Frontier Foundry</v>
      </c>
      <c r="N3832" s="23" t="str">
        <f>IFERROR(VLOOKUP(A3832, Entries!A:K,11,false),"")</f>
        <v/>
      </c>
    </row>
    <row r="3833">
      <c r="A3833" s="78" t="s">
        <v>3771</v>
      </c>
      <c r="B3833" s="78" t="s">
        <v>27</v>
      </c>
      <c r="C3833" s="85">
        <v>45139.0</v>
      </c>
      <c r="D3833" s="85">
        <v>45141.0</v>
      </c>
      <c r="E3833" s="86">
        <v>9.82</v>
      </c>
      <c r="F3833" s="87">
        <v>11.57</v>
      </c>
      <c r="G3833" s="88">
        <f t="shared" si="1"/>
        <v>1.75</v>
      </c>
      <c r="H3833" s="89">
        <f t="shared" si="10"/>
        <v>0.1512532411</v>
      </c>
      <c r="I3833" s="78" t="s">
        <v>4569</v>
      </c>
      <c r="J3833" s="78" t="s">
        <v>69</v>
      </c>
      <c r="K3833" s="58">
        <f t="shared" si="3"/>
        <v>2</v>
      </c>
      <c r="L3833" s="91" t="str">
        <f t="shared" si="8"/>
        <v>Thu</v>
      </c>
      <c r="M3833" s="78" t="str">
        <f>IFERROR(VLOOKUP(A3833, Entries!A:B,2,false),"")</f>
        <v>Good Shepherd Entertainment</v>
      </c>
      <c r="N3833" s="23" t="str">
        <f>IFERROR(VLOOKUP(A3833, Entries!A:K,11,false),"")</f>
        <v/>
      </c>
    </row>
    <row r="3834">
      <c r="A3834" s="78" t="s">
        <v>4570</v>
      </c>
      <c r="B3834" s="78" t="s">
        <v>27</v>
      </c>
      <c r="C3834" s="85">
        <v>45139.0</v>
      </c>
      <c r="D3834" s="85">
        <v>45192.0</v>
      </c>
      <c r="E3834" s="86">
        <v>16.19</v>
      </c>
      <c r="F3834" s="87">
        <v>18.64</v>
      </c>
      <c r="G3834" s="88">
        <f t="shared" si="1"/>
        <v>2.45</v>
      </c>
      <c r="H3834" s="89">
        <f t="shared" si="10"/>
        <v>0.1314377682</v>
      </c>
      <c r="I3834" s="78" t="s">
        <v>4571</v>
      </c>
      <c r="J3834" s="78" t="s">
        <v>69</v>
      </c>
      <c r="K3834" s="58">
        <f t="shared" si="3"/>
        <v>53</v>
      </c>
      <c r="L3834" s="91" t="str">
        <f t="shared" si="8"/>
        <v>Sat</v>
      </c>
      <c r="M3834" s="78" t="str">
        <f>IFERROR(VLOOKUP(A3834, Entries!A:B,2,false),"")</f>
        <v>Good Shepherd Entertainment</v>
      </c>
      <c r="N3834" s="23" t="str">
        <f>IFERROR(VLOOKUP(A3834, Entries!A:K,11,false),"")</f>
        <v/>
      </c>
      <c r="O3834" s="23" t="b">
        <f>IFERROR(VLOOKUP(A3834, Entries!A:I,8,false),"")</f>
        <v>0</v>
      </c>
    </row>
    <row r="3835">
      <c r="A3835" s="78" t="s">
        <v>4572</v>
      </c>
      <c r="B3835" s="78" t="s">
        <v>27</v>
      </c>
      <c r="C3835" s="85">
        <v>45139.0</v>
      </c>
      <c r="D3835" s="85">
        <v>45159.0</v>
      </c>
      <c r="E3835" s="86">
        <v>33.59</v>
      </c>
      <c r="F3835" s="87">
        <v>40.03</v>
      </c>
      <c r="G3835" s="88">
        <f t="shared" si="1"/>
        <v>6.44</v>
      </c>
      <c r="H3835" s="89">
        <f t="shared" si="10"/>
        <v>0.1608793405</v>
      </c>
      <c r="I3835" s="78" t="s">
        <v>4573</v>
      </c>
      <c r="J3835" s="78" t="s">
        <v>69</v>
      </c>
      <c r="K3835" s="58">
        <f t="shared" si="3"/>
        <v>20</v>
      </c>
      <c r="L3835" s="91" t="str">
        <f t="shared" si="8"/>
        <v>Mon</v>
      </c>
      <c r="M3835" s="78" t="str">
        <f>IFERROR(VLOOKUP(A3835, Entries!A:B,2,false),"")</f>
        <v>KOEI TECMO GAMES</v>
      </c>
      <c r="N3835" s="23" t="str">
        <f>IFERROR(VLOOKUP(A3835, Entries!A:K,11,false),"")</f>
        <v/>
      </c>
    </row>
    <row r="3836">
      <c r="A3836" s="78" t="s">
        <v>272</v>
      </c>
      <c r="B3836" s="78" t="s">
        <v>19</v>
      </c>
      <c r="C3836" s="85">
        <v>45140.0</v>
      </c>
      <c r="D3836" s="85">
        <v>45140.0</v>
      </c>
      <c r="E3836" s="86">
        <v>0.94</v>
      </c>
      <c r="F3836" s="87">
        <v>1.38</v>
      </c>
      <c r="G3836" s="88">
        <f t="shared" si="1"/>
        <v>0.44</v>
      </c>
      <c r="H3836" s="89">
        <f t="shared" si="10"/>
        <v>0.3188405797</v>
      </c>
      <c r="I3836" s="78" t="s">
        <v>4574</v>
      </c>
      <c r="J3836" s="78" t="s">
        <v>69</v>
      </c>
      <c r="K3836" s="58">
        <f t="shared" si="3"/>
        <v>0</v>
      </c>
      <c r="L3836" s="91" t="str">
        <f t="shared" si="8"/>
        <v>Wed</v>
      </c>
      <c r="M3836" s="78" t="str">
        <f>IFERROR(VLOOKUP(A3836, Entries!A:B,2,false),"")</f>
        <v>Starbreeze Publishing</v>
      </c>
      <c r="N3836" s="23" t="str">
        <f>IFERROR(VLOOKUP(A3836, Entries!A:K,11,false),"")</f>
        <v/>
      </c>
    </row>
    <row r="3837">
      <c r="A3837" s="78" t="s">
        <v>272</v>
      </c>
      <c r="B3837" s="78" t="s">
        <v>19</v>
      </c>
      <c r="C3837" s="85">
        <v>45140.0</v>
      </c>
      <c r="D3837" s="85">
        <v>45140.0</v>
      </c>
      <c r="E3837" s="86">
        <v>0.94</v>
      </c>
      <c r="F3837" s="87">
        <v>1.38</v>
      </c>
      <c r="G3837" s="88">
        <f t="shared" si="1"/>
        <v>0.44</v>
      </c>
      <c r="H3837" s="89">
        <f t="shared" si="10"/>
        <v>0.3188405797</v>
      </c>
      <c r="I3837" s="78" t="s">
        <v>4575</v>
      </c>
      <c r="J3837" s="78" t="s">
        <v>69</v>
      </c>
      <c r="K3837" s="58">
        <f t="shared" si="3"/>
        <v>0</v>
      </c>
      <c r="L3837" s="91" t="str">
        <f t="shared" si="8"/>
        <v>Wed</v>
      </c>
      <c r="M3837" s="78" t="str">
        <f>IFERROR(VLOOKUP(A3837, Entries!A:B,2,false),"")</f>
        <v>Starbreeze Publishing</v>
      </c>
      <c r="N3837" s="23" t="str">
        <f>IFERROR(VLOOKUP(A3837, Entries!A:K,11,false),"")</f>
        <v/>
      </c>
    </row>
    <row r="3838">
      <c r="A3838" s="78" t="s">
        <v>272</v>
      </c>
      <c r="B3838" s="78" t="s">
        <v>19</v>
      </c>
      <c r="C3838" s="85">
        <v>45140.0</v>
      </c>
      <c r="D3838" s="85">
        <v>45140.0</v>
      </c>
      <c r="E3838" s="86">
        <v>0.94</v>
      </c>
      <c r="F3838" s="87">
        <v>1.37</v>
      </c>
      <c r="G3838" s="88">
        <f t="shared" si="1"/>
        <v>0.43</v>
      </c>
      <c r="H3838" s="89">
        <f t="shared" si="10"/>
        <v>0.3138686131</v>
      </c>
      <c r="I3838" s="78" t="s">
        <v>4576</v>
      </c>
      <c r="J3838" s="78" t="s">
        <v>69</v>
      </c>
      <c r="K3838" s="58">
        <f t="shared" si="3"/>
        <v>0</v>
      </c>
      <c r="L3838" s="91" t="str">
        <f t="shared" si="8"/>
        <v>Wed</v>
      </c>
      <c r="M3838" s="78" t="str">
        <f>IFERROR(VLOOKUP(A3838, Entries!A:B,2,false),"")</f>
        <v>Starbreeze Publishing</v>
      </c>
      <c r="N3838" s="23" t="str">
        <f>IFERROR(VLOOKUP(A3838, Entries!A:K,11,false),"")</f>
        <v/>
      </c>
    </row>
    <row r="3839">
      <c r="A3839" s="78" t="s">
        <v>272</v>
      </c>
      <c r="B3839" s="78" t="s">
        <v>19</v>
      </c>
      <c r="C3839" s="85">
        <v>45140.0</v>
      </c>
      <c r="D3839" s="85">
        <v>45140.0</v>
      </c>
      <c r="E3839" s="86">
        <v>0.94</v>
      </c>
      <c r="F3839" s="87">
        <v>1.37</v>
      </c>
      <c r="G3839" s="88">
        <f t="shared" si="1"/>
        <v>0.43</v>
      </c>
      <c r="H3839" s="89">
        <f t="shared" si="10"/>
        <v>0.3138686131</v>
      </c>
      <c r="I3839" s="78" t="s">
        <v>4577</v>
      </c>
      <c r="J3839" s="78" t="s">
        <v>69</v>
      </c>
      <c r="K3839" s="58">
        <f t="shared" si="3"/>
        <v>0</v>
      </c>
      <c r="L3839" s="91" t="str">
        <f t="shared" si="8"/>
        <v>Wed</v>
      </c>
      <c r="M3839" s="78" t="str">
        <f>IFERROR(VLOOKUP(A3839, Entries!A:B,2,false),"")</f>
        <v>Starbreeze Publishing</v>
      </c>
      <c r="N3839" s="23" t="str">
        <f>IFERROR(VLOOKUP(A3839, Entries!A:K,11,false),"")</f>
        <v/>
      </c>
    </row>
    <row r="3840">
      <c r="A3840" s="78" t="s">
        <v>272</v>
      </c>
      <c r="B3840" s="78" t="s">
        <v>19</v>
      </c>
      <c r="C3840" s="85">
        <v>45140.0</v>
      </c>
      <c r="D3840" s="85">
        <v>45140.0</v>
      </c>
      <c r="E3840" s="86">
        <v>0.94</v>
      </c>
      <c r="F3840" s="87">
        <v>1.35</v>
      </c>
      <c r="G3840" s="88">
        <f t="shared" si="1"/>
        <v>0.41</v>
      </c>
      <c r="H3840" s="89">
        <f t="shared" si="10"/>
        <v>0.3037037037</v>
      </c>
      <c r="I3840" s="78" t="s">
        <v>4578</v>
      </c>
      <c r="J3840" s="78" t="s">
        <v>69</v>
      </c>
      <c r="K3840" s="58">
        <f t="shared" si="3"/>
        <v>0</v>
      </c>
      <c r="L3840" s="91" t="str">
        <f t="shared" si="8"/>
        <v>Wed</v>
      </c>
      <c r="M3840" s="78" t="str">
        <f>IFERROR(VLOOKUP(A3840, Entries!A:B,2,false),"")</f>
        <v>Starbreeze Publishing</v>
      </c>
      <c r="N3840" s="23" t="str">
        <f>IFERROR(VLOOKUP(A3840, Entries!A:K,11,false),"")</f>
        <v/>
      </c>
    </row>
    <row r="3841">
      <c r="A3841" s="78" t="s">
        <v>4085</v>
      </c>
      <c r="B3841" s="78" t="s">
        <v>27</v>
      </c>
      <c r="C3841" s="85">
        <v>45140.0</v>
      </c>
      <c r="D3841" s="85">
        <v>45143.0</v>
      </c>
      <c r="E3841" s="86">
        <v>6.99</v>
      </c>
      <c r="F3841" s="87">
        <v>8.14</v>
      </c>
      <c r="G3841" s="88">
        <f t="shared" si="1"/>
        <v>1.15</v>
      </c>
      <c r="H3841" s="89">
        <f t="shared" si="10"/>
        <v>0.1412776413</v>
      </c>
      <c r="I3841" s="78" t="s">
        <v>4579</v>
      </c>
      <c r="J3841" s="78" t="s">
        <v>69</v>
      </c>
      <c r="K3841" s="58">
        <f t="shared" si="3"/>
        <v>3</v>
      </c>
      <c r="L3841" s="91" t="str">
        <f t="shared" si="8"/>
        <v>Sat</v>
      </c>
      <c r="M3841" s="78" t="str">
        <f>IFERROR(VLOOKUP(A3841, Entries!A:B,2,false),"")</f>
        <v>Bethesda Softworks</v>
      </c>
      <c r="N3841" s="23" t="str">
        <f>IFERROR(VLOOKUP(A3841, Entries!A:K,11,false),"")</f>
        <v/>
      </c>
    </row>
    <row r="3842">
      <c r="A3842" s="78" t="s">
        <v>4580</v>
      </c>
      <c r="B3842" s="78" t="s">
        <v>18</v>
      </c>
      <c r="C3842" s="85">
        <v>45140.0</v>
      </c>
      <c r="D3842" s="85">
        <v>45151.0</v>
      </c>
      <c r="E3842" s="86">
        <v>8.45</v>
      </c>
      <c r="F3842" s="87">
        <v>10.4</v>
      </c>
      <c r="G3842" s="88">
        <f t="shared" si="1"/>
        <v>1.95</v>
      </c>
      <c r="H3842" s="89">
        <f t="shared" si="10"/>
        <v>0.1875</v>
      </c>
      <c r="I3842" s="78" t="s">
        <v>4581</v>
      </c>
      <c r="J3842" s="78" t="s">
        <v>69</v>
      </c>
      <c r="K3842" s="58">
        <f t="shared" si="3"/>
        <v>11</v>
      </c>
      <c r="L3842" s="91" t="str">
        <f t="shared" si="8"/>
        <v>Sun</v>
      </c>
      <c r="M3842" s="78" t="str">
        <f>IFERROR(VLOOKUP(A3842, Entries!A:B,2,false),"")</f>
        <v>Crytivo</v>
      </c>
      <c r="N3842" s="23" t="str">
        <f>IFERROR(VLOOKUP(A3842, Entries!A:K,11,false),"")</f>
        <v/>
      </c>
    </row>
    <row r="3843">
      <c r="A3843" s="78" t="s">
        <v>4580</v>
      </c>
      <c r="B3843" s="78" t="s">
        <v>18</v>
      </c>
      <c r="C3843" s="85">
        <v>45140.0</v>
      </c>
      <c r="D3843" s="85">
        <v>45314.0</v>
      </c>
      <c r="E3843" s="86">
        <v>8.44</v>
      </c>
      <c r="F3843" s="87">
        <v>10.29</v>
      </c>
      <c r="G3843" s="88">
        <f t="shared" si="1"/>
        <v>1.85</v>
      </c>
      <c r="H3843" s="89">
        <f t="shared" si="10"/>
        <v>0.1797862002</v>
      </c>
      <c r="I3843" s="78" t="s">
        <v>4582</v>
      </c>
      <c r="J3843" s="78" t="s">
        <v>69</v>
      </c>
      <c r="K3843" s="58">
        <f t="shared" si="3"/>
        <v>174</v>
      </c>
      <c r="L3843" s="91" t="str">
        <f t="shared" si="8"/>
        <v>Tue</v>
      </c>
      <c r="M3843" s="78" t="str">
        <f>IFERROR(VLOOKUP(A3843, Entries!A:B,2,false),"")</f>
        <v>Crytivo</v>
      </c>
      <c r="N3843" s="23" t="str">
        <f>IFERROR(VLOOKUP(A3843, Entries!A:K,11,false),"")</f>
        <v/>
      </c>
      <c r="O3843" s="23" t="b">
        <f>IFERROR(VLOOKUP(A3843, Entries!A:I,8,false),"")</f>
        <v>0</v>
      </c>
    </row>
    <row r="3844">
      <c r="A3844" s="78" t="s">
        <v>3897</v>
      </c>
      <c r="B3844" s="78" t="s">
        <v>27</v>
      </c>
      <c r="C3844" s="85">
        <v>45140.0</v>
      </c>
      <c r="D3844" s="85">
        <v>45170.0</v>
      </c>
      <c r="E3844" s="86">
        <v>4.59</v>
      </c>
      <c r="F3844" s="87">
        <v>5.87</v>
      </c>
      <c r="G3844" s="88">
        <f t="shared" si="1"/>
        <v>1.28</v>
      </c>
      <c r="H3844" s="89">
        <f t="shared" si="10"/>
        <v>0.2180579216</v>
      </c>
      <c r="I3844" s="78" t="s">
        <v>4583</v>
      </c>
      <c r="J3844" s="78" t="s">
        <v>69</v>
      </c>
      <c r="K3844" s="58">
        <f t="shared" si="3"/>
        <v>30</v>
      </c>
      <c r="L3844" s="91" t="str">
        <f t="shared" si="8"/>
        <v>Fri</v>
      </c>
      <c r="M3844" s="78" t="str">
        <f>IFERROR(VLOOKUP(A3844, Entries!A:B,2,false),"")</f>
        <v>Bethesda Softworks</v>
      </c>
      <c r="N3844" s="23" t="str">
        <f>IFERROR(VLOOKUP(A3844, Entries!A:K,11,false),"")</f>
        <v/>
      </c>
      <c r="O3844" s="23" t="b">
        <f>IFERROR(VLOOKUP(A3844, Entries!A:I,8,false),"")</f>
        <v>0</v>
      </c>
    </row>
    <row r="3845">
      <c r="A3845" s="78" t="s">
        <v>4584</v>
      </c>
      <c r="B3845" s="78" t="s">
        <v>25</v>
      </c>
      <c r="C3845" s="85">
        <v>45140.0</v>
      </c>
      <c r="D3845" s="85">
        <v>45140.0</v>
      </c>
      <c r="E3845" s="86">
        <v>8.24</v>
      </c>
      <c r="F3845" s="87">
        <v>11.09</v>
      </c>
      <c r="G3845" s="88">
        <f t="shared" si="1"/>
        <v>2.85</v>
      </c>
      <c r="H3845" s="89">
        <f t="shared" si="10"/>
        <v>0.2569882777</v>
      </c>
      <c r="I3845" s="78" t="s">
        <v>4585</v>
      </c>
      <c r="J3845" s="78" t="s">
        <v>69</v>
      </c>
      <c r="K3845" s="58">
        <f t="shared" si="3"/>
        <v>0</v>
      </c>
      <c r="L3845" s="91" t="str">
        <f t="shared" si="8"/>
        <v>Wed</v>
      </c>
      <c r="M3845" s="78" t="str">
        <f>IFERROR(VLOOKUP(A3845, Entries!A:B,2,false),"")</f>
        <v>Devolver Digital</v>
      </c>
      <c r="N3845" s="23" t="str">
        <f>IFERROR(VLOOKUP(A3845, Entries!A:K,11,false),"")</f>
        <v/>
      </c>
    </row>
    <row r="3846">
      <c r="A3846" s="78" t="s">
        <v>1333</v>
      </c>
      <c r="B3846" s="78" t="s">
        <v>18</v>
      </c>
      <c r="C3846" s="85">
        <v>45140.0</v>
      </c>
      <c r="D3846" s="85">
        <v>45205.0</v>
      </c>
      <c r="E3846" s="86">
        <v>24.77</v>
      </c>
      <c r="F3846" s="87">
        <v>35.8</v>
      </c>
      <c r="G3846" s="88">
        <f t="shared" si="1"/>
        <v>11.03</v>
      </c>
      <c r="H3846" s="89">
        <f t="shared" si="10"/>
        <v>0.3081005587</v>
      </c>
      <c r="I3846" s="78" t="s">
        <v>4586</v>
      </c>
      <c r="J3846" s="78" t="s">
        <v>69</v>
      </c>
      <c r="K3846" s="58">
        <f t="shared" si="3"/>
        <v>65</v>
      </c>
      <c r="L3846" s="91" t="str">
        <f t="shared" si="8"/>
        <v>Fri</v>
      </c>
      <c r="M3846" s="78" t="str">
        <f>IFERROR(VLOOKUP(A3846, Entries!A:B,2,false),"")</f>
        <v>505 Games</v>
      </c>
      <c r="N3846" s="23" t="str">
        <f>IFERROR(VLOOKUP(A3846, Entries!A:K,11,false),"")</f>
        <v/>
      </c>
      <c r="O3846" s="23" t="b">
        <f>IFERROR(VLOOKUP(A3846, Entries!A:I,8,false),"")</f>
        <v>0</v>
      </c>
    </row>
    <row r="3847">
      <c r="A3847" s="78" t="s">
        <v>1333</v>
      </c>
      <c r="B3847" s="78" t="s">
        <v>18</v>
      </c>
      <c r="C3847" s="85">
        <v>45140.0</v>
      </c>
      <c r="D3847" s="85">
        <v>45271.0</v>
      </c>
      <c r="E3847" s="86">
        <v>24.76</v>
      </c>
      <c r="F3847" s="87">
        <v>35.71</v>
      </c>
      <c r="G3847" s="88">
        <f t="shared" si="1"/>
        <v>10.95</v>
      </c>
      <c r="H3847" s="89">
        <f t="shared" si="10"/>
        <v>0.3066367964</v>
      </c>
      <c r="I3847" s="78" t="s">
        <v>4587</v>
      </c>
      <c r="J3847" s="78" t="s">
        <v>69</v>
      </c>
      <c r="K3847" s="58">
        <f t="shared" si="3"/>
        <v>131</v>
      </c>
      <c r="L3847" s="91" t="str">
        <f t="shared" si="8"/>
        <v>Mon</v>
      </c>
      <c r="M3847" s="78" t="str">
        <f>IFERROR(VLOOKUP(A3847, Entries!A:B,2,false),"")</f>
        <v>505 Games</v>
      </c>
      <c r="N3847" s="23" t="str">
        <f>IFERROR(VLOOKUP(A3847, Entries!A:K,11,false),"")</f>
        <v/>
      </c>
      <c r="O3847" s="23" t="b">
        <f>IFERROR(VLOOKUP(A3847, Entries!A:I,8,false),"")</f>
        <v>0</v>
      </c>
    </row>
    <row r="3848">
      <c r="A3848" s="78" t="s">
        <v>4375</v>
      </c>
      <c r="B3848" s="78" t="s">
        <v>27</v>
      </c>
      <c r="C3848" s="85">
        <v>45140.0</v>
      </c>
      <c r="D3848" s="85">
        <v>45165.0</v>
      </c>
      <c r="E3848" s="86">
        <v>6.39</v>
      </c>
      <c r="F3848" s="87">
        <v>6.22</v>
      </c>
      <c r="G3848" s="88">
        <f t="shared" si="1"/>
        <v>-0.17</v>
      </c>
      <c r="H3848" s="89">
        <f t="shared" si="10"/>
        <v>-0.02733118971</v>
      </c>
      <c r="I3848" s="78" t="s">
        <v>4588</v>
      </c>
      <c r="J3848" s="78" t="s">
        <v>69</v>
      </c>
      <c r="K3848" s="58">
        <f t="shared" si="3"/>
        <v>25</v>
      </c>
      <c r="L3848" s="91" t="str">
        <f t="shared" si="8"/>
        <v>Sun</v>
      </c>
      <c r="M3848" s="78" t="str">
        <f>IFERROR(VLOOKUP(A3848, Entries!A:B,2,false),"")</f>
        <v>Crystal Dynamics</v>
      </c>
      <c r="N3848" s="23" t="str">
        <f>IFERROR(VLOOKUP(A3848, Entries!A:K,11,false),"")</f>
        <v/>
      </c>
    </row>
    <row r="3849">
      <c r="A3849" s="78" t="s">
        <v>272</v>
      </c>
      <c r="B3849" s="78" t="s">
        <v>19</v>
      </c>
      <c r="C3849" s="85">
        <v>45140.0</v>
      </c>
      <c r="D3849" s="85">
        <v>45140.0</v>
      </c>
      <c r="E3849" s="86">
        <v>0.99</v>
      </c>
      <c r="F3849" s="87">
        <v>1.35</v>
      </c>
      <c r="G3849" s="88">
        <f t="shared" si="1"/>
        <v>0.36</v>
      </c>
      <c r="H3849" s="89">
        <f t="shared" si="10"/>
        <v>0.2666666667</v>
      </c>
      <c r="I3849" s="78" t="s">
        <v>4589</v>
      </c>
      <c r="J3849" s="78" t="s">
        <v>69</v>
      </c>
      <c r="K3849" s="58">
        <f t="shared" si="3"/>
        <v>0</v>
      </c>
      <c r="L3849" s="91" t="str">
        <f t="shared" si="8"/>
        <v>Wed</v>
      </c>
      <c r="M3849" s="78" t="str">
        <f>IFERROR(VLOOKUP(A3849, Entries!A:B,2,false),"")</f>
        <v>Starbreeze Publishing</v>
      </c>
      <c r="N3849" s="23" t="str">
        <f>IFERROR(VLOOKUP(A3849, Entries!A:K,11,false),"")</f>
        <v/>
      </c>
    </row>
    <row r="3850">
      <c r="A3850" s="78" t="s">
        <v>272</v>
      </c>
      <c r="B3850" s="78" t="s">
        <v>19</v>
      </c>
      <c r="C3850" s="85">
        <v>45140.0</v>
      </c>
      <c r="D3850" s="85">
        <v>45140.0</v>
      </c>
      <c r="E3850" s="86">
        <v>0.94</v>
      </c>
      <c r="F3850" s="87">
        <v>1.35</v>
      </c>
      <c r="G3850" s="88">
        <f t="shared" si="1"/>
        <v>0.41</v>
      </c>
      <c r="H3850" s="89">
        <f t="shared" si="10"/>
        <v>0.3037037037</v>
      </c>
      <c r="I3850" s="78" t="s">
        <v>4590</v>
      </c>
      <c r="J3850" s="78" t="s">
        <v>69</v>
      </c>
      <c r="K3850" s="58">
        <f t="shared" si="3"/>
        <v>0</v>
      </c>
      <c r="L3850" s="91" t="str">
        <f t="shared" si="8"/>
        <v>Wed</v>
      </c>
      <c r="M3850" s="78" t="str">
        <f>IFERROR(VLOOKUP(A3850, Entries!A:B,2,false),"")</f>
        <v>Starbreeze Publishing</v>
      </c>
      <c r="N3850" s="23" t="str">
        <f>IFERROR(VLOOKUP(A3850, Entries!A:K,11,false),"")</f>
        <v/>
      </c>
    </row>
    <row r="3851">
      <c r="A3851" s="78" t="s">
        <v>272</v>
      </c>
      <c r="B3851" s="78" t="s">
        <v>19</v>
      </c>
      <c r="C3851" s="85">
        <v>45140.0</v>
      </c>
      <c r="D3851" s="85">
        <v>45140.0</v>
      </c>
      <c r="E3851" s="86">
        <v>0.94</v>
      </c>
      <c r="F3851" s="87">
        <v>1.35</v>
      </c>
      <c r="G3851" s="88">
        <f t="shared" si="1"/>
        <v>0.41</v>
      </c>
      <c r="H3851" s="89">
        <f t="shared" si="10"/>
        <v>0.3037037037</v>
      </c>
      <c r="I3851" s="78" t="s">
        <v>4591</v>
      </c>
      <c r="J3851" s="78" t="s">
        <v>69</v>
      </c>
      <c r="K3851" s="58">
        <f t="shared" si="3"/>
        <v>0</v>
      </c>
      <c r="L3851" s="91" t="str">
        <f t="shared" si="8"/>
        <v>Wed</v>
      </c>
      <c r="M3851" s="78" t="str">
        <f>IFERROR(VLOOKUP(A3851, Entries!A:B,2,false),"")</f>
        <v>Starbreeze Publishing</v>
      </c>
      <c r="N3851" s="23" t="str">
        <f>IFERROR(VLOOKUP(A3851, Entries!A:K,11,false),"")</f>
        <v/>
      </c>
    </row>
    <row r="3852">
      <c r="A3852" s="78" t="s">
        <v>272</v>
      </c>
      <c r="B3852" s="78" t="s">
        <v>19</v>
      </c>
      <c r="C3852" s="85">
        <v>45140.0</v>
      </c>
      <c r="D3852" s="85">
        <v>45140.0</v>
      </c>
      <c r="E3852" s="86">
        <v>0.94</v>
      </c>
      <c r="F3852" s="87">
        <v>1.35</v>
      </c>
      <c r="G3852" s="88">
        <f t="shared" si="1"/>
        <v>0.41</v>
      </c>
      <c r="H3852" s="89">
        <f t="shared" si="10"/>
        <v>0.3037037037</v>
      </c>
      <c r="I3852" s="78" t="s">
        <v>4592</v>
      </c>
      <c r="J3852" s="78" t="s">
        <v>69</v>
      </c>
      <c r="K3852" s="58">
        <f t="shared" si="3"/>
        <v>0</v>
      </c>
      <c r="L3852" s="91" t="str">
        <f t="shared" si="8"/>
        <v>Wed</v>
      </c>
      <c r="M3852" s="78" t="str">
        <f>IFERROR(VLOOKUP(A3852, Entries!A:B,2,false),"")</f>
        <v>Starbreeze Publishing</v>
      </c>
      <c r="N3852" s="23" t="str">
        <f>IFERROR(VLOOKUP(A3852, Entries!A:K,11,false),"")</f>
        <v/>
      </c>
    </row>
    <row r="3853">
      <c r="A3853" s="78" t="s">
        <v>272</v>
      </c>
      <c r="B3853" s="78" t="s">
        <v>19</v>
      </c>
      <c r="C3853" s="85">
        <v>45140.0</v>
      </c>
      <c r="D3853" s="85">
        <v>45141.0</v>
      </c>
      <c r="E3853" s="86">
        <v>0.94</v>
      </c>
      <c r="F3853" s="87">
        <v>1.34</v>
      </c>
      <c r="G3853" s="88">
        <f t="shared" si="1"/>
        <v>0.4</v>
      </c>
      <c r="H3853" s="89">
        <f t="shared" si="10"/>
        <v>0.2985074627</v>
      </c>
      <c r="I3853" s="78" t="s">
        <v>4593</v>
      </c>
      <c r="J3853" s="78" t="s">
        <v>69</v>
      </c>
      <c r="K3853" s="58">
        <f t="shared" si="3"/>
        <v>1</v>
      </c>
      <c r="L3853" s="91" t="str">
        <f t="shared" si="8"/>
        <v>Thu</v>
      </c>
      <c r="M3853" s="78" t="str">
        <f>IFERROR(VLOOKUP(A3853, Entries!A:B,2,false),"")</f>
        <v>Starbreeze Publishing</v>
      </c>
      <c r="N3853" s="23" t="str">
        <f>IFERROR(VLOOKUP(A3853, Entries!A:K,11,false),"")</f>
        <v/>
      </c>
    </row>
    <row r="3854">
      <c r="A3854" s="78" t="s">
        <v>4500</v>
      </c>
      <c r="B3854" s="78" t="s">
        <v>22</v>
      </c>
      <c r="C3854" s="85">
        <v>45140.0</v>
      </c>
      <c r="D3854" s="85">
        <v>45141.0</v>
      </c>
      <c r="E3854" s="86">
        <v>4.0</v>
      </c>
      <c r="F3854" s="87">
        <v>5.5</v>
      </c>
      <c r="G3854" s="88">
        <f t="shared" si="1"/>
        <v>1.5</v>
      </c>
      <c r="H3854" s="89">
        <f t="shared" si="10"/>
        <v>0.2727272727</v>
      </c>
      <c r="I3854" s="78" t="s">
        <v>4594</v>
      </c>
      <c r="J3854" s="78" t="s">
        <v>69</v>
      </c>
      <c r="K3854" s="58">
        <f t="shared" si="3"/>
        <v>1</v>
      </c>
      <c r="L3854" s="91" t="str">
        <f t="shared" si="8"/>
        <v>Thu</v>
      </c>
      <c r="M3854" s="78" t="str">
        <f>IFERROR(VLOOKUP(A3854, Entries!A:B,2,false),"")</f>
        <v>Daedalic Entertainment</v>
      </c>
      <c r="N3854" s="23" t="str">
        <f>IFERROR(VLOOKUP(A3854, Entries!A:K,11,false),"")</f>
        <v/>
      </c>
    </row>
    <row r="3855">
      <c r="A3855" s="78" t="s">
        <v>4500</v>
      </c>
      <c r="B3855" s="78" t="s">
        <v>22</v>
      </c>
      <c r="C3855" s="85">
        <v>45140.0</v>
      </c>
      <c r="D3855" s="85">
        <v>45142.0</v>
      </c>
      <c r="E3855" s="86">
        <v>4.0</v>
      </c>
      <c r="F3855" s="87">
        <v>5.5</v>
      </c>
      <c r="G3855" s="88">
        <f t="shared" si="1"/>
        <v>1.5</v>
      </c>
      <c r="H3855" s="89">
        <f t="shared" si="10"/>
        <v>0.2727272727</v>
      </c>
      <c r="I3855" s="78" t="s">
        <v>4595</v>
      </c>
      <c r="J3855" s="78" t="s">
        <v>69</v>
      </c>
      <c r="K3855" s="58">
        <f t="shared" si="3"/>
        <v>2</v>
      </c>
      <c r="L3855" s="91" t="str">
        <f t="shared" si="8"/>
        <v>Fri</v>
      </c>
      <c r="M3855" s="78" t="str">
        <f>IFERROR(VLOOKUP(A3855, Entries!A:B,2,false),"")</f>
        <v>Daedalic Entertainment</v>
      </c>
      <c r="N3855" s="23" t="str">
        <f>IFERROR(VLOOKUP(A3855, Entries!A:K,11,false),"")</f>
        <v/>
      </c>
    </row>
    <row r="3856">
      <c r="A3856" s="78" t="s">
        <v>4584</v>
      </c>
      <c r="B3856" s="78" t="s">
        <v>25</v>
      </c>
      <c r="C3856" s="85">
        <v>45140.0</v>
      </c>
      <c r="D3856" s="85">
        <v>45142.0</v>
      </c>
      <c r="E3856" s="86">
        <v>8.4</v>
      </c>
      <c r="F3856" s="87">
        <v>11.45</v>
      </c>
      <c r="G3856" s="88">
        <f t="shared" si="1"/>
        <v>3.05</v>
      </c>
      <c r="H3856" s="89">
        <f t="shared" si="10"/>
        <v>0.2663755459</v>
      </c>
      <c r="I3856" s="78" t="s">
        <v>4596</v>
      </c>
      <c r="J3856" s="78" t="s">
        <v>69</v>
      </c>
      <c r="K3856" s="58">
        <f t="shared" si="3"/>
        <v>2</v>
      </c>
      <c r="L3856" s="91" t="str">
        <f t="shared" si="8"/>
        <v>Fri</v>
      </c>
      <c r="M3856" s="78" t="str">
        <f>IFERROR(VLOOKUP(A3856, Entries!A:B,2,false),"")</f>
        <v>Devolver Digital</v>
      </c>
      <c r="N3856" s="23" t="str">
        <f>IFERROR(VLOOKUP(A3856, Entries!A:K,11,false),"")</f>
        <v/>
      </c>
    </row>
    <row r="3857">
      <c r="A3857" s="78" t="s">
        <v>4584</v>
      </c>
      <c r="B3857" s="78" t="s">
        <v>25</v>
      </c>
      <c r="C3857" s="85">
        <v>45140.0</v>
      </c>
      <c r="D3857" s="85">
        <v>45144.0</v>
      </c>
      <c r="E3857" s="86">
        <v>8.41</v>
      </c>
      <c r="F3857" s="87">
        <v>11.2</v>
      </c>
      <c r="G3857" s="88">
        <f t="shared" si="1"/>
        <v>2.79</v>
      </c>
      <c r="H3857" s="89">
        <f t="shared" si="10"/>
        <v>0.2491071429</v>
      </c>
      <c r="I3857" s="78" t="s">
        <v>4597</v>
      </c>
      <c r="J3857" s="78" t="s">
        <v>69</v>
      </c>
      <c r="K3857" s="58">
        <f t="shared" si="3"/>
        <v>4</v>
      </c>
      <c r="L3857" s="91" t="str">
        <f t="shared" si="8"/>
        <v>Sun</v>
      </c>
      <c r="M3857" s="78" t="str">
        <f>IFERROR(VLOOKUP(A3857, Entries!A:B,2,false),"")</f>
        <v>Devolver Digital</v>
      </c>
      <c r="N3857" s="23" t="str">
        <f>IFERROR(VLOOKUP(A3857, Entries!A:K,11,false),"")</f>
        <v/>
      </c>
    </row>
    <row r="3858">
      <c r="A3858" s="78" t="s">
        <v>272</v>
      </c>
      <c r="B3858" s="78" t="s">
        <v>19</v>
      </c>
      <c r="C3858" s="85">
        <v>45141.0</v>
      </c>
      <c r="D3858" s="85">
        <v>45141.0</v>
      </c>
      <c r="E3858" s="86">
        <v>0.94</v>
      </c>
      <c r="F3858" s="87">
        <v>1.34</v>
      </c>
      <c r="G3858" s="88">
        <f t="shared" si="1"/>
        <v>0.4</v>
      </c>
      <c r="H3858" s="89">
        <f t="shared" si="10"/>
        <v>0.2985074627</v>
      </c>
      <c r="I3858" s="78" t="s">
        <v>4598</v>
      </c>
      <c r="J3858" s="78" t="s">
        <v>69</v>
      </c>
      <c r="K3858" s="58">
        <f t="shared" si="3"/>
        <v>0</v>
      </c>
      <c r="L3858" s="91" t="str">
        <f t="shared" si="8"/>
        <v>Thu</v>
      </c>
      <c r="M3858" s="78" t="str">
        <f>IFERROR(VLOOKUP(A3858, Entries!A:B,2,false),"")</f>
        <v>Starbreeze Publishing</v>
      </c>
      <c r="N3858" s="23" t="str">
        <f>IFERROR(VLOOKUP(A3858, Entries!A:K,11,false),"")</f>
        <v/>
      </c>
    </row>
    <row r="3859">
      <c r="A3859" s="78" t="s">
        <v>272</v>
      </c>
      <c r="B3859" s="78" t="s">
        <v>19</v>
      </c>
      <c r="C3859" s="85">
        <v>45141.0</v>
      </c>
      <c r="D3859" s="85">
        <v>45141.0</v>
      </c>
      <c r="E3859" s="86">
        <v>0.94</v>
      </c>
      <c r="F3859" s="87">
        <v>1.31</v>
      </c>
      <c r="G3859" s="88">
        <f t="shared" si="1"/>
        <v>0.37</v>
      </c>
      <c r="H3859" s="89">
        <f t="shared" si="10"/>
        <v>0.2824427481</v>
      </c>
      <c r="I3859" s="78" t="s">
        <v>4599</v>
      </c>
      <c r="J3859" s="78" t="s">
        <v>69</v>
      </c>
      <c r="K3859" s="58">
        <f t="shared" si="3"/>
        <v>0</v>
      </c>
      <c r="L3859" s="91" t="str">
        <f t="shared" si="8"/>
        <v>Thu</v>
      </c>
      <c r="M3859" s="78" t="str">
        <f>IFERROR(VLOOKUP(A3859, Entries!A:B,2,false),"")</f>
        <v>Starbreeze Publishing</v>
      </c>
      <c r="N3859" s="23" t="str">
        <f>IFERROR(VLOOKUP(A3859, Entries!A:K,11,false),"")</f>
        <v/>
      </c>
    </row>
    <row r="3860">
      <c r="A3860" s="78" t="s">
        <v>272</v>
      </c>
      <c r="B3860" s="78" t="s">
        <v>19</v>
      </c>
      <c r="C3860" s="85">
        <v>45141.0</v>
      </c>
      <c r="D3860" s="85">
        <v>45141.0</v>
      </c>
      <c r="E3860" s="86">
        <v>0.94</v>
      </c>
      <c r="F3860" s="87">
        <v>1.31</v>
      </c>
      <c r="G3860" s="88">
        <f t="shared" si="1"/>
        <v>0.37</v>
      </c>
      <c r="H3860" s="89">
        <f t="shared" si="10"/>
        <v>0.2824427481</v>
      </c>
      <c r="I3860" s="78" t="s">
        <v>4600</v>
      </c>
      <c r="J3860" s="78" t="s">
        <v>69</v>
      </c>
      <c r="K3860" s="58">
        <f t="shared" si="3"/>
        <v>0</v>
      </c>
      <c r="L3860" s="91" t="str">
        <f t="shared" si="8"/>
        <v>Thu</v>
      </c>
      <c r="M3860" s="78" t="str">
        <f>IFERROR(VLOOKUP(A3860, Entries!A:B,2,false),"")</f>
        <v>Starbreeze Publishing</v>
      </c>
      <c r="N3860" s="23" t="str">
        <f>IFERROR(VLOOKUP(A3860, Entries!A:K,11,false),"")</f>
        <v/>
      </c>
    </row>
    <row r="3861">
      <c r="A3861" s="78" t="s">
        <v>272</v>
      </c>
      <c r="B3861" s="78" t="s">
        <v>19</v>
      </c>
      <c r="C3861" s="85">
        <v>45141.0</v>
      </c>
      <c r="D3861" s="85">
        <v>45141.0</v>
      </c>
      <c r="E3861" s="86">
        <v>0.94</v>
      </c>
      <c r="F3861" s="87">
        <v>1.31</v>
      </c>
      <c r="G3861" s="88">
        <f t="shared" si="1"/>
        <v>0.37</v>
      </c>
      <c r="H3861" s="89">
        <f t="shared" si="10"/>
        <v>0.2824427481</v>
      </c>
      <c r="I3861" s="78" t="s">
        <v>4601</v>
      </c>
      <c r="J3861" s="78" t="s">
        <v>69</v>
      </c>
      <c r="K3861" s="58">
        <f t="shared" si="3"/>
        <v>0</v>
      </c>
      <c r="L3861" s="91" t="str">
        <f t="shared" si="8"/>
        <v>Thu</v>
      </c>
      <c r="M3861" s="78" t="str">
        <f>IFERROR(VLOOKUP(A3861, Entries!A:B,2,false),"")</f>
        <v>Starbreeze Publishing</v>
      </c>
      <c r="N3861" s="23" t="str">
        <f>IFERROR(VLOOKUP(A3861, Entries!A:K,11,false),"")</f>
        <v/>
      </c>
    </row>
    <row r="3862">
      <c r="A3862" s="78" t="s">
        <v>272</v>
      </c>
      <c r="B3862" s="78" t="s">
        <v>19</v>
      </c>
      <c r="C3862" s="85">
        <v>45141.0</v>
      </c>
      <c r="D3862" s="85">
        <v>45141.0</v>
      </c>
      <c r="E3862" s="86">
        <v>0.94</v>
      </c>
      <c r="F3862" s="87">
        <v>1.31</v>
      </c>
      <c r="G3862" s="88">
        <f t="shared" si="1"/>
        <v>0.37</v>
      </c>
      <c r="H3862" s="89">
        <f t="shared" si="10"/>
        <v>0.2824427481</v>
      </c>
      <c r="I3862" s="78" t="s">
        <v>4602</v>
      </c>
      <c r="J3862" s="78" t="s">
        <v>69</v>
      </c>
      <c r="K3862" s="58">
        <f t="shared" si="3"/>
        <v>0</v>
      </c>
      <c r="L3862" s="91" t="str">
        <f t="shared" si="8"/>
        <v>Thu</v>
      </c>
      <c r="M3862" s="78" t="str">
        <f>IFERROR(VLOOKUP(A3862, Entries!A:B,2,false),"")</f>
        <v>Starbreeze Publishing</v>
      </c>
      <c r="N3862" s="23" t="str">
        <f>IFERROR(VLOOKUP(A3862, Entries!A:K,11,false),"")</f>
        <v/>
      </c>
    </row>
    <row r="3863">
      <c r="A3863" s="78" t="s">
        <v>3804</v>
      </c>
      <c r="B3863" s="78" t="s">
        <v>25</v>
      </c>
      <c r="C3863" s="85">
        <v>45141.0</v>
      </c>
      <c r="D3863" s="85">
        <v>45168.0</v>
      </c>
      <c r="E3863" s="86">
        <v>5.99</v>
      </c>
      <c r="F3863" s="87">
        <v>7.84</v>
      </c>
      <c r="G3863" s="88">
        <f t="shared" si="1"/>
        <v>1.85</v>
      </c>
      <c r="H3863" s="89">
        <f t="shared" si="10"/>
        <v>0.2359693878</v>
      </c>
      <c r="I3863" s="78" t="s">
        <v>4603</v>
      </c>
      <c r="J3863" s="78" t="s">
        <v>69</v>
      </c>
      <c r="K3863" s="58">
        <f t="shared" si="3"/>
        <v>27</v>
      </c>
      <c r="L3863" s="91" t="str">
        <f t="shared" si="8"/>
        <v>Wed</v>
      </c>
      <c r="M3863" s="78" t="str">
        <f>IFERROR(VLOOKUP(A3863, Entries!A:B,2,false),"")</f>
        <v>Ocean Drive Studio</v>
      </c>
      <c r="N3863" s="23" t="str">
        <f>IFERROR(VLOOKUP(A3863, Entries!A:K,11,false),"")</f>
        <v/>
      </c>
    </row>
    <row r="3864">
      <c r="A3864" s="78" t="s">
        <v>4604</v>
      </c>
      <c r="B3864" s="78" t="s">
        <v>21</v>
      </c>
      <c r="C3864" s="85">
        <v>45141.0</v>
      </c>
      <c r="D3864" s="85">
        <v>45141.0</v>
      </c>
      <c r="E3864" s="86">
        <v>27.65</v>
      </c>
      <c r="F3864" s="87">
        <v>33.87</v>
      </c>
      <c r="G3864" s="88">
        <f t="shared" si="1"/>
        <v>6.22</v>
      </c>
      <c r="H3864" s="89">
        <f t="shared" si="10"/>
        <v>0.1836433422</v>
      </c>
      <c r="I3864" s="78" t="s">
        <v>4605</v>
      </c>
      <c r="J3864" s="78" t="s">
        <v>69</v>
      </c>
      <c r="K3864" s="58">
        <f t="shared" si="3"/>
        <v>0</v>
      </c>
      <c r="L3864" s="91" t="str">
        <f t="shared" si="8"/>
        <v>Thu</v>
      </c>
      <c r="M3864" s="78" t="str">
        <f>IFERROR(VLOOKUP(A3864, Entries!A:B,2,false),"")</f>
        <v>Warner Bros</v>
      </c>
      <c r="N3864" s="23" t="str">
        <f>IFERROR(VLOOKUP(A3864, Entries!A:K,11,false),"")</f>
        <v/>
      </c>
    </row>
    <row r="3865">
      <c r="A3865" s="78" t="s">
        <v>4604</v>
      </c>
      <c r="B3865" s="78" t="s">
        <v>21</v>
      </c>
      <c r="C3865" s="85">
        <v>45141.0</v>
      </c>
      <c r="D3865" s="85">
        <v>45141.0</v>
      </c>
      <c r="E3865" s="86">
        <v>27.65</v>
      </c>
      <c r="F3865" s="87">
        <v>33.87</v>
      </c>
      <c r="G3865" s="88">
        <f t="shared" si="1"/>
        <v>6.22</v>
      </c>
      <c r="H3865" s="89">
        <f t="shared" si="10"/>
        <v>0.1836433422</v>
      </c>
      <c r="I3865" s="78" t="s">
        <v>4606</v>
      </c>
      <c r="J3865" s="78" t="s">
        <v>69</v>
      </c>
      <c r="K3865" s="58">
        <f t="shared" si="3"/>
        <v>0</v>
      </c>
      <c r="L3865" s="91" t="str">
        <f t="shared" si="8"/>
        <v>Thu</v>
      </c>
      <c r="M3865" s="78" t="str">
        <f>IFERROR(VLOOKUP(A3865, Entries!A:B,2,false),"")</f>
        <v>Warner Bros</v>
      </c>
      <c r="N3865" s="23" t="str">
        <f>IFERROR(VLOOKUP(A3865, Entries!A:K,11,false),"")</f>
        <v/>
      </c>
    </row>
    <row r="3866">
      <c r="A3866" s="78" t="s">
        <v>3771</v>
      </c>
      <c r="B3866" s="78" t="s">
        <v>27</v>
      </c>
      <c r="C3866" s="85">
        <v>45141.0</v>
      </c>
      <c r="D3866" s="85">
        <v>45148.0</v>
      </c>
      <c r="E3866" s="86">
        <v>9.72</v>
      </c>
      <c r="F3866" s="87">
        <v>11.57</v>
      </c>
      <c r="G3866" s="88">
        <f t="shared" si="1"/>
        <v>1.85</v>
      </c>
      <c r="H3866" s="89">
        <f t="shared" si="10"/>
        <v>0.1598962835</v>
      </c>
      <c r="I3866" s="78" t="s">
        <v>4607</v>
      </c>
      <c r="J3866" s="78" t="s">
        <v>69</v>
      </c>
      <c r="K3866" s="58">
        <f t="shared" si="3"/>
        <v>7</v>
      </c>
      <c r="L3866" s="91" t="str">
        <f t="shared" si="8"/>
        <v>Thu</v>
      </c>
      <c r="M3866" s="78" t="str">
        <f>IFERROR(VLOOKUP(A3866, Entries!A:B,2,false),"")</f>
        <v>Good Shepherd Entertainment</v>
      </c>
      <c r="N3866" s="23" t="str">
        <f>IFERROR(VLOOKUP(A3866, Entries!A:K,11,false),"")</f>
        <v/>
      </c>
    </row>
    <row r="3867">
      <c r="A3867" s="78" t="s">
        <v>4500</v>
      </c>
      <c r="B3867" s="78" t="s">
        <v>22</v>
      </c>
      <c r="C3867" s="85">
        <v>45141.0</v>
      </c>
      <c r="D3867" s="85">
        <v>45142.0</v>
      </c>
      <c r="E3867" s="86">
        <v>4.0</v>
      </c>
      <c r="F3867" s="87">
        <v>5.5</v>
      </c>
      <c r="G3867" s="88">
        <f t="shared" si="1"/>
        <v>1.5</v>
      </c>
      <c r="H3867" s="89">
        <f t="shared" si="10"/>
        <v>0.2727272727</v>
      </c>
      <c r="I3867" s="78" t="s">
        <v>4608</v>
      </c>
      <c r="J3867" s="78" t="s">
        <v>69</v>
      </c>
      <c r="K3867" s="58">
        <f t="shared" si="3"/>
        <v>1</v>
      </c>
      <c r="L3867" s="91" t="str">
        <f t="shared" si="8"/>
        <v>Fri</v>
      </c>
      <c r="M3867" s="78" t="str">
        <f>IFERROR(VLOOKUP(A3867, Entries!A:B,2,false),"")</f>
        <v>Daedalic Entertainment</v>
      </c>
      <c r="N3867" s="23" t="str">
        <f>IFERROR(VLOOKUP(A3867, Entries!A:K,11,false),"")</f>
        <v/>
      </c>
    </row>
    <row r="3868">
      <c r="A3868" s="78" t="s">
        <v>4500</v>
      </c>
      <c r="B3868" s="78" t="s">
        <v>22</v>
      </c>
      <c r="C3868" s="85">
        <v>45141.0</v>
      </c>
      <c r="D3868" s="85">
        <v>45143.0</v>
      </c>
      <c r="E3868" s="86">
        <v>4.0</v>
      </c>
      <c r="F3868" s="87">
        <v>5.5</v>
      </c>
      <c r="G3868" s="88">
        <f t="shared" si="1"/>
        <v>1.5</v>
      </c>
      <c r="H3868" s="89">
        <f t="shared" si="10"/>
        <v>0.2727272727</v>
      </c>
      <c r="I3868" s="78" t="s">
        <v>4609</v>
      </c>
      <c r="J3868" s="78" t="s">
        <v>69</v>
      </c>
      <c r="K3868" s="58">
        <f t="shared" si="3"/>
        <v>2</v>
      </c>
      <c r="L3868" s="91" t="str">
        <f t="shared" si="8"/>
        <v>Sat</v>
      </c>
      <c r="M3868" s="78" t="str">
        <f>IFERROR(VLOOKUP(A3868, Entries!A:B,2,false),"")</f>
        <v>Daedalic Entertainment</v>
      </c>
      <c r="N3868" s="23" t="str">
        <f>IFERROR(VLOOKUP(A3868, Entries!A:K,11,false),"")</f>
        <v/>
      </c>
    </row>
    <row r="3869">
      <c r="A3869" s="78" t="s">
        <v>272</v>
      </c>
      <c r="B3869" s="78" t="s">
        <v>19</v>
      </c>
      <c r="C3869" s="85">
        <v>45141.0</v>
      </c>
      <c r="D3869" s="85">
        <v>45142.0</v>
      </c>
      <c r="E3869" s="86">
        <v>0.99</v>
      </c>
      <c r="F3869" s="87">
        <v>1.37</v>
      </c>
      <c r="G3869" s="88">
        <f t="shared" si="1"/>
        <v>0.38</v>
      </c>
      <c r="H3869" s="89">
        <f t="shared" si="10"/>
        <v>0.2773722628</v>
      </c>
      <c r="I3869" s="78" t="s">
        <v>4610</v>
      </c>
      <c r="J3869" s="78" t="s">
        <v>69</v>
      </c>
      <c r="K3869" s="58">
        <f t="shared" si="3"/>
        <v>1</v>
      </c>
      <c r="L3869" s="91" t="str">
        <f t="shared" si="8"/>
        <v>Fri</v>
      </c>
      <c r="M3869" s="78" t="str">
        <f>IFERROR(VLOOKUP(A3869, Entries!A:B,2,false),"")</f>
        <v>Starbreeze Publishing</v>
      </c>
      <c r="N3869" s="23" t="str">
        <f>IFERROR(VLOOKUP(A3869, Entries!A:K,11,false),"")</f>
        <v/>
      </c>
    </row>
    <row r="3870">
      <c r="A3870" s="78" t="s">
        <v>272</v>
      </c>
      <c r="B3870" s="78" t="s">
        <v>19</v>
      </c>
      <c r="C3870" s="85">
        <v>45141.0</v>
      </c>
      <c r="D3870" s="85">
        <v>45142.0</v>
      </c>
      <c r="E3870" s="86">
        <v>0.94</v>
      </c>
      <c r="F3870" s="87">
        <v>1.37</v>
      </c>
      <c r="G3870" s="88">
        <f t="shared" si="1"/>
        <v>0.43</v>
      </c>
      <c r="H3870" s="89">
        <f t="shared" si="10"/>
        <v>0.3138686131</v>
      </c>
      <c r="I3870" s="78" t="s">
        <v>4611</v>
      </c>
      <c r="J3870" s="78" t="s">
        <v>69</v>
      </c>
      <c r="K3870" s="58">
        <f t="shared" si="3"/>
        <v>1</v>
      </c>
      <c r="L3870" s="91" t="str">
        <f t="shared" si="8"/>
        <v>Fri</v>
      </c>
      <c r="M3870" s="78" t="str">
        <f>IFERROR(VLOOKUP(A3870, Entries!A:B,2,false),"")</f>
        <v>Starbreeze Publishing</v>
      </c>
      <c r="N3870" s="23" t="str">
        <f>IFERROR(VLOOKUP(A3870, Entries!A:K,11,false),"")</f>
        <v/>
      </c>
    </row>
    <row r="3871">
      <c r="A3871" s="78" t="s">
        <v>272</v>
      </c>
      <c r="B3871" s="78" t="s">
        <v>19</v>
      </c>
      <c r="C3871" s="85">
        <v>45141.0</v>
      </c>
      <c r="D3871" s="85">
        <v>45143.0</v>
      </c>
      <c r="E3871" s="86">
        <v>0.94</v>
      </c>
      <c r="F3871" s="87">
        <v>1.37</v>
      </c>
      <c r="G3871" s="88">
        <f t="shared" si="1"/>
        <v>0.43</v>
      </c>
      <c r="H3871" s="89">
        <f t="shared" si="10"/>
        <v>0.3138686131</v>
      </c>
      <c r="I3871" s="78" t="s">
        <v>4612</v>
      </c>
      <c r="J3871" s="78" t="s">
        <v>69</v>
      </c>
      <c r="K3871" s="58">
        <f t="shared" si="3"/>
        <v>2</v>
      </c>
      <c r="L3871" s="91" t="str">
        <f t="shared" si="8"/>
        <v>Sat</v>
      </c>
      <c r="M3871" s="78" t="str">
        <f>IFERROR(VLOOKUP(A3871, Entries!A:B,2,false),"")</f>
        <v>Starbreeze Publishing</v>
      </c>
      <c r="N3871" s="23" t="str">
        <f>IFERROR(VLOOKUP(A3871, Entries!A:K,11,false),"")</f>
        <v/>
      </c>
    </row>
    <row r="3872">
      <c r="A3872" s="78" t="s">
        <v>272</v>
      </c>
      <c r="B3872" s="78" t="s">
        <v>19</v>
      </c>
      <c r="C3872" s="85">
        <v>45141.0</v>
      </c>
      <c r="D3872" s="85">
        <v>45143.0</v>
      </c>
      <c r="E3872" s="86">
        <v>0.94</v>
      </c>
      <c r="F3872" s="87">
        <v>1.37</v>
      </c>
      <c r="G3872" s="88">
        <f t="shared" si="1"/>
        <v>0.43</v>
      </c>
      <c r="H3872" s="89">
        <f t="shared" si="10"/>
        <v>0.3138686131</v>
      </c>
      <c r="I3872" s="78" t="s">
        <v>4613</v>
      </c>
      <c r="J3872" s="78" t="s">
        <v>69</v>
      </c>
      <c r="K3872" s="58">
        <f t="shared" si="3"/>
        <v>2</v>
      </c>
      <c r="L3872" s="91" t="str">
        <f t="shared" si="8"/>
        <v>Sat</v>
      </c>
      <c r="M3872" s="78" t="str">
        <f>IFERROR(VLOOKUP(A3872, Entries!A:B,2,false),"")</f>
        <v>Starbreeze Publishing</v>
      </c>
      <c r="N3872" s="23" t="str">
        <f>IFERROR(VLOOKUP(A3872, Entries!A:K,11,false),"")</f>
        <v/>
      </c>
    </row>
    <row r="3873">
      <c r="A3873" s="78" t="s">
        <v>272</v>
      </c>
      <c r="B3873" s="78" t="s">
        <v>19</v>
      </c>
      <c r="C3873" s="85">
        <v>45141.0</v>
      </c>
      <c r="D3873" s="85">
        <v>45143.0</v>
      </c>
      <c r="E3873" s="86">
        <v>0.94</v>
      </c>
      <c r="F3873" s="87">
        <v>1.37</v>
      </c>
      <c r="G3873" s="88">
        <f t="shared" si="1"/>
        <v>0.43</v>
      </c>
      <c r="H3873" s="89">
        <f t="shared" si="10"/>
        <v>0.3138686131</v>
      </c>
      <c r="I3873" s="78" t="s">
        <v>4614</v>
      </c>
      <c r="J3873" s="78" t="s">
        <v>69</v>
      </c>
      <c r="K3873" s="58">
        <f t="shared" si="3"/>
        <v>2</v>
      </c>
      <c r="L3873" s="91" t="str">
        <f t="shared" si="8"/>
        <v>Sat</v>
      </c>
      <c r="M3873" s="78" t="str">
        <f>IFERROR(VLOOKUP(A3873, Entries!A:B,2,false),"")</f>
        <v>Starbreeze Publishing</v>
      </c>
      <c r="N3873" s="23" t="str">
        <f>IFERROR(VLOOKUP(A3873, Entries!A:K,11,false),"")</f>
        <v/>
      </c>
    </row>
    <row r="3874">
      <c r="A3874" s="78" t="s">
        <v>4615</v>
      </c>
      <c r="B3874" s="78" t="s">
        <v>30</v>
      </c>
      <c r="C3874" s="85">
        <v>45142.0</v>
      </c>
      <c r="D3874" s="85">
        <v>45158.0</v>
      </c>
      <c r="E3874" s="86">
        <v>9.53</v>
      </c>
      <c r="F3874" s="87">
        <v>12.79</v>
      </c>
      <c r="G3874" s="88">
        <f t="shared" si="1"/>
        <v>3.26</v>
      </c>
      <c r="H3874" s="89">
        <f t="shared" si="10"/>
        <v>0.2548866302</v>
      </c>
      <c r="I3874" s="78" t="s">
        <v>4616</v>
      </c>
      <c r="J3874" s="78" t="s">
        <v>69</v>
      </c>
      <c r="K3874" s="58">
        <f t="shared" si="3"/>
        <v>16</v>
      </c>
      <c r="L3874" s="91" t="str">
        <f t="shared" si="8"/>
        <v>Sun</v>
      </c>
      <c r="M3874" s="78" t="str">
        <f>IFERROR(VLOOKUP(A3874, Entries!A:B,2,false),"")</f>
        <v>Fellow Traveller</v>
      </c>
      <c r="N3874" s="23" t="str">
        <f>IFERROR(VLOOKUP(A3874, Entries!A:K,11,false),"")</f>
        <v/>
      </c>
    </row>
    <row r="3875">
      <c r="A3875" s="78" t="s">
        <v>2180</v>
      </c>
      <c r="B3875" s="78" t="s">
        <v>25</v>
      </c>
      <c r="C3875" s="85">
        <v>45142.0</v>
      </c>
      <c r="D3875" s="85">
        <v>45142.0</v>
      </c>
      <c r="E3875" s="86">
        <v>4.82</v>
      </c>
      <c r="F3875" s="87">
        <v>5.79</v>
      </c>
      <c r="G3875" s="88">
        <f t="shared" si="1"/>
        <v>0.97</v>
      </c>
      <c r="H3875" s="89">
        <f t="shared" si="10"/>
        <v>0.1675302245</v>
      </c>
      <c r="I3875" s="78" t="s">
        <v>4617</v>
      </c>
      <c r="J3875" s="78" t="s">
        <v>69</v>
      </c>
      <c r="K3875" s="58">
        <f t="shared" si="3"/>
        <v>0</v>
      </c>
      <c r="L3875" s="91" t="str">
        <f t="shared" si="8"/>
        <v>Fri</v>
      </c>
      <c r="M3875" s="78" t="str">
        <f>IFERROR(VLOOKUP(A3875, Entries!A:B,2,false),"")</f>
        <v>Konami</v>
      </c>
      <c r="N3875" s="23" t="str">
        <f>IFERROR(VLOOKUP(A3875, Entries!A:K,11,false),"")</f>
        <v/>
      </c>
    </row>
    <row r="3876">
      <c r="A3876" s="78" t="s">
        <v>2180</v>
      </c>
      <c r="B3876" s="78" t="s">
        <v>25</v>
      </c>
      <c r="C3876" s="85">
        <v>45142.0</v>
      </c>
      <c r="D3876" s="85">
        <v>45143.0</v>
      </c>
      <c r="E3876" s="86">
        <v>4.82</v>
      </c>
      <c r="F3876" s="87">
        <v>5.76</v>
      </c>
      <c r="G3876" s="88">
        <f t="shared" si="1"/>
        <v>0.94</v>
      </c>
      <c r="H3876" s="89">
        <f t="shared" si="10"/>
        <v>0.1631944444</v>
      </c>
      <c r="I3876" s="78" t="s">
        <v>4618</v>
      </c>
      <c r="J3876" s="78" t="s">
        <v>69</v>
      </c>
      <c r="K3876" s="58">
        <f t="shared" si="3"/>
        <v>1</v>
      </c>
      <c r="L3876" s="91" t="str">
        <f t="shared" si="8"/>
        <v>Sat</v>
      </c>
      <c r="M3876" s="78" t="str">
        <f>IFERROR(VLOOKUP(A3876, Entries!A:B,2,false),"")</f>
        <v>Konami</v>
      </c>
      <c r="N3876" s="23" t="str">
        <f>IFERROR(VLOOKUP(A3876, Entries!A:K,11,false),"")</f>
        <v/>
      </c>
    </row>
    <row r="3877">
      <c r="A3877" s="78" t="s">
        <v>4500</v>
      </c>
      <c r="B3877" s="78" t="s">
        <v>22</v>
      </c>
      <c r="C3877" s="85">
        <v>45142.0</v>
      </c>
      <c r="D3877" s="85">
        <v>45143.0</v>
      </c>
      <c r="E3877" s="86">
        <v>4.0</v>
      </c>
      <c r="F3877" s="87">
        <v>5.5</v>
      </c>
      <c r="G3877" s="88">
        <f t="shared" si="1"/>
        <v>1.5</v>
      </c>
      <c r="H3877" s="89">
        <f t="shared" si="10"/>
        <v>0.2727272727</v>
      </c>
      <c r="I3877" s="78" t="s">
        <v>4619</v>
      </c>
      <c r="J3877" s="78" t="s">
        <v>69</v>
      </c>
      <c r="K3877" s="58">
        <f t="shared" si="3"/>
        <v>1</v>
      </c>
      <c r="L3877" s="91" t="str">
        <f t="shared" si="8"/>
        <v>Sat</v>
      </c>
      <c r="M3877" s="78" t="str">
        <f>IFERROR(VLOOKUP(A3877, Entries!A:B,2,false),"")</f>
        <v>Daedalic Entertainment</v>
      </c>
      <c r="N3877" s="23" t="str">
        <f>IFERROR(VLOOKUP(A3877, Entries!A:K,11,false),"")</f>
        <v/>
      </c>
    </row>
    <row r="3878">
      <c r="A3878" s="78" t="s">
        <v>4500</v>
      </c>
      <c r="B3878" s="78" t="s">
        <v>22</v>
      </c>
      <c r="C3878" s="85">
        <v>45142.0</v>
      </c>
      <c r="D3878" s="85">
        <v>45150.0</v>
      </c>
      <c r="E3878" s="86">
        <v>4.0</v>
      </c>
      <c r="F3878" s="87">
        <v>5.5</v>
      </c>
      <c r="G3878" s="88">
        <f t="shared" si="1"/>
        <v>1.5</v>
      </c>
      <c r="H3878" s="89">
        <f t="shared" si="10"/>
        <v>0.2727272727</v>
      </c>
      <c r="I3878" s="78" t="s">
        <v>4620</v>
      </c>
      <c r="J3878" s="78" t="s">
        <v>69</v>
      </c>
      <c r="K3878" s="58">
        <f t="shared" si="3"/>
        <v>8</v>
      </c>
      <c r="L3878" s="91" t="str">
        <f t="shared" si="8"/>
        <v>Sat</v>
      </c>
      <c r="M3878" s="78" t="str">
        <f>IFERROR(VLOOKUP(A3878, Entries!A:B,2,false),"")</f>
        <v>Daedalic Entertainment</v>
      </c>
      <c r="N3878" s="23" t="str">
        <f>IFERROR(VLOOKUP(A3878, Entries!A:K,11,false),"")</f>
        <v/>
      </c>
    </row>
    <row r="3879">
      <c r="A3879" s="78" t="s">
        <v>4085</v>
      </c>
      <c r="B3879" s="78" t="s">
        <v>27</v>
      </c>
      <c r="C3879" s="85">
        <v>45143.0</v>
      </c>
      <c r="D3879" s="85">
        <v>45144.0</v>
      </c>
      <c r="E3879" s="86">
        <v>6.96</v>
      </c>
      <c r="F3879" s="87">
        <v>8.15</v>
      </c>
      <c r="G3879" s="88">
        <f t="shared" si="1"/>
        <v>1.19</v>
      </c>
      <c r="H3879" s="89">
        <f t="shared" si="10"/>
        <v>0.1460122699</v>
      </c>
      <c r="I3879" s="78" t="s">
        <v>4621</v>
      </c>
      <c r="J3879" s="78" t="s">
        <v>69</v>
      </c>
      <c r="K3879" s="58">
        <f t="shared" si="3"/>
        <v>1</v>
      </c>
      <c r="L3879" s="91" t="str">
        <f t="shared" si="8"/>
        <v>Sun</v>
      </c>
      <c r="M3879" s="78" t="str">
        <f>IFERROR(VLOOKUP(A3879, Entries!A:B,2,false),"")</f>
        <v>Bethesda Softworks</v>
      </c>
      <c r="N3879" s="23" t="str">
        <f>IFERROR(VLOOKUP(A3879, Entries!A:K,11,false),"")</f>
        <v/>
      </c>
    </row>
    <row r="3880">
      <c r="A3880" s="78" t="s">
        <v>2016</v>
      </c>
      <c r="B3880" s="78" t="s">
        <v>30</v>
      </c>
      <c r="C3880" s="85">
        <v>45143.0</v>
      </c>
      <c r="D3880" s="85">
        <v>45146.0</v>
      </c>
      <c r="E3880" s="86">
        <v>2.37</v>
      </c>
      <c r="F3880" s="87">
        <v>3.46</v>
      </c>
      <c r="G3880" s="88">
        <f t="shared" si="1"/>
        <v>1.09</v>
      </c>
      <c r="H3880" s="89">
        <f t="shared" si="10"/>
        <v>0.3150289017</v>
      </c>
      <c r="I3880" s="78" t="s">
        <v>4622</v>
      </c>
      <c r="J3880" s="78" t="s">
        <v>69</v>
      </c>
      <c r="K3880" s="58">
        <f t="shared" si="3"/>
        <v>3</v>
      </c>
      <c r="L3880" s="91" t="str">
        <f t="shared" si="8"/>
        <v>Tue</v>
      </c>
      <c r="M3880" s="78" t="str">
        <f>IFERROR(VLOOKUP(A3880, Entries!A:B,2,false),"")</f>
        <v>Ironhide Game Studio</v>
      </c>
      <c r="N3880" s="23" t="str">
        <f>IFERROR(VLOOKUP(A3880, Entries!A:K,11,false),"")</f>
        <v/>
      </c>
    </row>
    <row r="3881">
      <c r="A3881" s="78" t="s">
        <v>272</v>
      </c>
      <c r="B3881" s="78" t="s">
        <v>19</v>
      </c>
      <c r="C3881" s="85">
        <v>45143.0</v>
      </c>
      <c r="D3881" s="85">
        <v>45143.0</v>
      </c>
      <c r="E3881" s="86">
        <v>0.94</v>
      </c>
      <c r="F3881" s="87">
        <v>1.378</v>
      </c>
      <c r="G3881" s="88">
        <f t="shared" si="1"/>
        <v>0.438</v>
      </c>
      <c r="H3881" s="89">
        <f t="shared" si="10"/>
        <v>0.3178519594</v>
      </c>
      <c r="I3881" s="78" t="s">
        <v>4623</v>
      </c>
      <c r="J3881" s="78" t="s">
        <v>69</v>
      </c>
      <c r="K3881" s="58">
        <f t="shared" si="3"/>
        <v>0</v>
      </c>
      <c r="L3881" s="91" t="str">
        <f t="shared" si="8"/>
        <v>Sat</v>
      </c>
      <c r="M3881" s="78" t="str">
        <f>IFERROR(VLOOKUP(A3881, Entries!A:B,2,false),"")</f>
        <v>Starbreeze Publishing</v>
      </c>
      <c r="N3881" s="23" t="str">
        <f>IFERROR(VLOOKUP(A3881, Entries!A:K,11,false),"")</f>
        <v/>
      </c>
    </row>
    <row r="3882">
      <c r="A3882" s="78" t="s">
        <v>272</v>
      </c>
      <c r="B3882" s="78" t="s">
        <v>19</v>
      </c>
      <c r="C3882" s="85">
        <v>45143.0</v>
      </c>
      <c r="D3882" s="85">
        <v>45144.0</v>
      </c>
      <c r="E3882" s="86">
        <v>0.94</v>
      </c>
      <c r="F3882" s="87">
        <v>1.37</v>
      </c>
      <c r="G3882" s="88">
        <f t="shared" si="1"/>
        <v>0.43</v>
      </c>
      <c r="H3882" s="89">
        <f t="shared" si="10"/>
        <v>0.3138686131</v>
      </c>
      <c r="I3882" s="78" t="s">
        <v>4624</v>
      </c>
      <c r="J3882" s="78" t="s">
        <v>69</v>
      </c>
      <c r="K3882" s="58">
        <f t="shared" si="3"/>
        <v>1</v>
      </c>
      <c r="L3882" s="91" t="str">
        <f t="shared" si="8"/>
        <v>Sun</v>
      </c>
      <c r="M3882" s="78" t="str">
        <f>IFERROR(VLOOKUP(A3882, Entries!A:B,2,false),"")</f>
        <v>Starbreeze Publishing</v>
      </c>
      <c r="N3882" s="23" t="str">
        <f>IFERROR(VLOOKUP(A3882, Entries!A:K,11,false),"")</f>
        <v/>
      </c>
    </row>
    <row r="3883">
      <c r="A3883" s="78" t="s">
        <v>272</v>
      </c>
      <c r="B3883" s="78" t="s">
        <v>19</v>
      </c>
      <c r="C3883" s="85">
        <v>45143.0</v>
      </c>
      <c r="D3883" s="85">
        <v>45144.0</v>
      </c>
      <c r="E3883" s="86">
        <v>0.94</v>
      </c>
      <c r="F3883" s="87">
        <v>1.37</v>
      </c>
      <c r="G3883" s="88">
        <f t="shared" si="1"/>
        <v>0.43</v>
      </c>
      <c r="H3883" s="89">
        <f t="shared" si="10"/>
        <v>0.3138686131</v>
      </c>
      <c r="I3883" s="78" t="s">
        <v>4625</v>
      </c>
      <c r="J3883" s="78" t="s">
        <v>69</v>
      </c>
      <c r="K3883" s="58">
        <f t="shared" si="3"/>
        <v>1</v>
      </c>
      <c r="L3883" s="91" t="str">
        <f t="shared" si="8"/>
        <v>Sun</v>
      </c>
      <c r="M3883" s="78" t="str">
        <f>IFERROR(VLOOKUP(A3883, Entries!A:B,2,false),"")</f>
        <v>Starbreeze Publishing</v>
      </c>
      <c r="N3883" s="23" t="str">
        <f>IFERROR(VLOOKUP(A3883, Entries!A:K,11,false),"")</f>
        <v/>
      </c>
    </row>
    <row r="3884">
      <c r="A3884" s="78" t="s">
        <v>272</v>
      </c>
      <c r="B3884" s="78" t="s">
        <v>19</v>
      </c>
      <c r="C3884" s="85">
        <v>45143.0</v>
      </c>
      <c r="D3884" s="85">
        <v>45144.0</v>
      </c>
      <c r="E3884" s="86">
        <v>0.94</v>
      </c>
      <c r="F3884" s="87">
        <v>1.37</v>
      </c>
      <c r="G3884" s="88">
        <f t="shared" si="1"/>
        <v>0.43</v>
      </c>
      <c r="H3884" s="89">
        <f t="shared" si="10"/>
        <v>0.3138686131</v>
      </c>
      <c r="I3884" s="78" t="s">
        <v>4626</v>
      </c>
      <c r="J3884" s="78" t="s">
        <v>69</v>
      </c>
      <c r="K3884" s="58">
        <f t="shared" si="3"/>
        <v>1</v>
      </c>
      <c r="L3884" s="91" t="str">
        <f t="shared" si="8"/>
        <v>Sun</v>
      </c>
      <c r="M3884" s="78" t="str">
        <f>IFERROR(VLOOKUP(A3884, Entries!A:B,2,false),"")</f>
        <v>Starbreeze Publishing</v>
      </c>
      <c r="N3884" s="23" t="str">
        <f>IFERROR(VLOOKUP(A3884, Entries!A:K,11,false),"")</f>
        <v/>
      </c>
    </row>
    <row r="3885">
      <c r="A3885" s="78" t="s">
        <v>272</v>
      </c>
      <c r="B3885" s="78" t="s">
        <v>19</v>
      </c>
      <c r="C3885" s="85">
        <v>45143.0</v>
      </c>
      <c r="D3885" s="85">
        <v>45144.0</v>
      </c>
      <c r="E3885" s="86">
        <v>0.94</v>
      </c>
      <c r="F3885" s="87">
        <v>1.37</v>
      </c>
      <c r="G3885" s="88">
        <f t="shared" si="1"/>
        <v>0.43</v>
      </c>
      <c r="H3885" s="89">
        <f t="shared" si="10"/>
        <v>0.3138686131</v>
      </c>
      <c r="I3885" s="78" t="s">
        <v>4627</v>
      </c>
      <c r="J3885" s="78" t="s">
        <v>69</v>
      </c>
      <c r="K3885" s="58">
        <f t="shared" si="3"/>
        <v>1</v>
      </c>
      <c r="L3885" s="91" t="str">
        <f t="shared" si="8"/>
        <v>Sun</v>
      </c>
      <c r="M3885" s="78" t="str">
        <f>IFERROR(VLOOKUP(A3885, Entries!A:B,2,false),"")</f>
        <v>Starbreeze Publishing</v>
      </c>
      <c r="N3885" s="23" t="str">
        <f>IFERROR(VLOOKUP(A3885, Entries!A:K,11,false),"")</f>
        <v/>
      </c>
    </row>
    <row r="3886">
      <c r="A3886" s="78" t="s">
        <v>4628</v>
      </c>
      <c r="B3886" s="78" t="s">
        <v>30</v>
      </c>
      <c r="C3886" s="85">
        <v>45143.0</v>
      </c>
      <c r="D3886" s="85">
        <v>45155.0</v>
      </c>
      <c r="E3886" s="86">
        <v>2.37</v>
      </c>
      <c r="F3886" s="87">
        <v>2.91</v>
      </c>
      <c r="G3886" s="88">
        <f t="shared" si="1"/>
        <v>0.54</v>
      </c>
      <c r="H3886" s="89">
        <f t="shared" si="10"/>
        <v>0.1855670103</v>
      </c>
      <c r="I3886" s="78" t="s">
        <v>4629</v>
      </c>
      <c r="J3886" s="78" t="s">
        <v>69</v>
      </c>
      <c r="K3886" s="58">
        <f t="shared" si="3"/>
        <v>12</v>
      </c>
      <c r="L3886" s="91" t="str">
        <f t="shared" si="8"/>
        <v>Thu</v>
      </c>
      <c r="M3886" s="78" t="str">
        <f>IFERROR(VLOOKUP(A3886, Entries!A:B,2,false),"")</f>
        <v>Ironhide Game Studio</v>
      </c>
      <c r="N3886" s="23" t="str">
        <f>IFERROR(VLOOKUP(A3886, Entries!A:K,11,false),"")</f>
        <v/>
      </c>
    </row>
    <row r="3887">
      <c r="A3887" s="78" t="s">
        <v>2180</v>
      </c>
      <c r="B3887" s="78" t="s">
        <v>25</v>
      </c>
      <c r="C3887" s="85">
        <v>45143.0</v>
      </c>
      <c r="D3887" s="85">
        <v>45143.0</v>
      </c>
      <c r="E3887" s="86">
        <v>4.78</v>
      </c>
      <c r="F3887" s="87">
        <v>5.76</v>
      </c>
      <c r="G3887" s="88">
        <f t="shared" si="1"/>
        <v>0.98</v>
      </c>
      <c r="H3887" s="89">
        <f t="shared" si="10"/>
        <v>0.1701388889</v>
      </c>
      <c r="I3887" s="78" t="s">
        <v>4630</v>
      </c>
      <c r="J3887" s="78" t="s">
        <v>69</v>
      </c>
      <c r="K3887" s="58">
        <f t="shared" si="3"/>
        <v>0</v>
      </c>
      <c r="L3887" s="91" t="str">
        <f t="shared" si="8"/>
        <v>Sat</v>
      </c>
      <c r="M3887" s="78" t="str">
        <f>IFERROR(VLOOKUP(A3887, Entries!A:B,2,false),"")</f>
        <v>Konami</v>
      </c>
      <c r="N3887" s="23" t="str">
        <f>IFERROR(VLOOKUP(A3887, Entries!A:K,11,false),"")</f>
        <v/>
      </c>
    </row>
    <row r="3888">
      <c r="A3888" s="78" t="s">
        <v>2180</v>
      </c>
      <c r="B3888" s="78" t="s">
        <v>25</v>
      </c>
      <c r="C3888" s="85">
        <v>45143.0</v>
      </c>
      <c r="D3888" s="85">
        <v>45144.0</v>
      </c>
      <c r="E3888" s="86">
        <v>4.78</v>
      </c>
      <c r="F3888" s="87">
        <v>5.76</v>
      </c>
      <c r="G3888" s="88">
        <f t="shared" si="1"/>
        <v>0.98</v>
      </c>
      <c r="H3888" s="89">
        <f t="shared" si="10"/>
        <v>0.1701388889</v>
      </c>
      <c r="I3888" s="78" t="s">
        <v>4631</v>
      </c>
      <c r="J3888" s="106" t="s">
        <v>69</v>
      </c>
      <c r="K3888" s="58">
        <f t="shared" si="3"/>
        <v>1</v>
      </c>
      <c r="L3888" s="91" t="str">
        <f t="shared" si="8"/>
        <v>Sun</v>
      </c>
      <c r="M3888" s="78" t="str">
        <f>IFERROR(VLOOKUP(A3888, Entries!A:B,2,false),"")</f>
        <v>Konami</v>
      </c>
      <c r="N3888" s="23" t="str">
        <f>IFERROR(VLOOKUP(A3888, Entries!A:K,11,false),"")</f>
        <v/>
      </c>
    </row>
    <row r="3889">
      <c r="A3889" s="78" t="s">
        <v>2180</v>
      </c>
      <c r="B3889" s="78" t="s">
        <v>25</v>
      </c>
      <c r="C3889" s="85">
        <v>45144.0</v>
      </c>
      <c r="D3889" s="85">
        <v>45145.0</v>
      </c>
      <c r="E3889" s="86">
        <v>4.78</v>
      </c>
      <c r="F3889" s="87">
        <v>5.69</v>
      </c>
      <c r="G3889" s="88">
        <f t="shared" si="1"/>
        <v>0.91</v>
      </c>
      <c r="H3889" s="89">
        <f t="shared" si="10"/>
        <v>0.1599297012</v>
      </c>
      <c r="I3889" s="78" t="s">
        <v>4632</v>
      </c>
      <c r="J3889" s="78" t="s">
        <v>69</v>
      </c>
      <c r="K3889" s="58">
        <f t="shared" si="3"/>
        <v>1</v>
      </c>
      <c r="L3889" s="91" t="str">
        <f t="shared" si="8"/>
        <v>Mon</v>
      </c>
      <c r="M3889" s="78" t="str">
        <f>IFERROR(VLOOKUP(A3889, Entries!A:B,2,false),"")</f>
        <v>Konami</v>
      </c>
      <c r="N3889" s="23" t="str">
        <f>IFERROR(VLOOKUP(A3889, Entries!A:K,11,false),"")</f>
        <v/>
      </c>
    </row>
    <row r="3890">
      <c r="A3890" s="78" t="s">
        <v>272</v>
      </c>
      <c r="B3890" s="78" t="s">
        <v>19</v>
      </c>
      <c r="C3890" s="85">
        <v>45144.0</v>
      </c>
      <c r="D3890" s="85">
        <v>45144.0</v>
      </c>
      <c r="E3890" s="86">
        <v>0.94</v>
      </c>
      <c r="F3890" s="87">
        <v>1.37</v>
      </c>
      <c r="G3890" s="88">
        <f t="shared" si="1"/>
        <v>0.43</v>
      </c>
      <c r="H3890" s="89">
        <f t="shared" si="10"/>
        <v>0.3138686131</v>
      </c>
      <c r="I3890" s="78" t="s">
        <v>4633</v>
      </c>
      <c r="J3890" s="78" t="s">
        <v>69</v>
      </c>
      <c r="K3890" s="58">
        <f t="shared" si="3"/>
        <v>0</v>
      </c>
      <c r="L3890" s="91" t="str">
        <f t="shared" si="8"/>
        <v>Sun</v>
      </c>
      <c r="M3890" s="78" t="str">
        <f>IFERROR(VLOOKUP(A3890, Entries!A:B,2,false),"")</f>
        <v>Starbreeze Publishing</v>
      </c>
      <c r="N3890" s="23" t="str">
        <f>IFERROR(VLOOKUP(A3890, Entries!A:K,11,false),"")</f>
        <v/>
      </c>
    </row>
    <row r="3891">
      <c r="A3891" s="78" t="s">
        <v>272</v>
      </c>
      <c r="B3891" s="78" t="s">
        <v>19</v>
      </c>
      <c r="C3891" s="85">
        <v>45144.0</v>
      </c>
      <c r="D3891" s="85">
        <v>45144.0</v>
      </c>
      <c r="E3891" s="86">
        <v>0.94</v>
      </c>
      <c r="F3891" s="87">
        <v>1.37</v>
      </c>
      <c r="G3891" s="88">
        <f t="shared" si="1"/>
        <v>0.43</v>
      </c>
      <c r="H3891" s="89">
        <f t="shared" si="10"/>
        <v>0.3138686131</v>
      </c>
      <c r="I3891" s="78" t="s">
        <v>4634</v>
      </c>
      <c r="J3891" s="78" t="s">
        <v>69</v>
      </c>
      <c r="K3891" s="58">
        <f t="shared" si="3"/>
        <v>0</v>
      </c>
      <c r="L3891" s="91" t="str">
        <f t="shared" si="8"/>
        <v>Sun</v>
      </c>
      <c r="M3891" s="78" t="str">
        <f>IFERROR(VLOOKUP(A3891, Entries!A:B,2,false),"")</f>
        <v>Starbreeze Publishing</v>
      </c>
      <c r="N3891" s="23" t="str">
        <f>IFERROR(VLOOKUP(A3891, Entries!A:K,11,false),"")</f>
        <v/>
      </c>
    </row>
    <row r="3892">
      <c r="A3892" s="78" t="s">
        <v>272</v>
      </c>
      <c r="B3892" s="78" t="s">
        <v>19</v>
      </c>
      <c r="C3892" s="85">
        <v>45144.0</v>
      </c>
      <c r="D3892" s="85">
        <v>45144.0</v>
      </c>
      <c r="E3892" s="86">
        <v>0.94</v>
      </c>
      <c r="F3892" s="87">
        <v>1.37</v>
      </c>
      <c r="G3892" s="88">
        <f t="shared" si="1"/>
        <v>0.43</v>
      </c>
      <c r="H3892" s="89">
        <f t="shared" si="10"/>
        <v>0.3138686131</v>
      </c>
      <c r="I3892" s="78" t="s">
        <v>4635</v>
      </c>
      <c r="J3892" s="78" t="s">
        <v>69</v>
      </c>
      <c r="K3892" s="58">
        <f t="shared" si="3"/>
        <v>0</v>
      </c>
      <c r="L3892" s="91" t="str">
        <f t="shared" si="8"/>
        <v>Sun</v>
      </c>
      <c r="M3892" s="78" t="str">
        <f>IFERROR(VLOOKUP(A3892, Entries!A:B,2,false),"")</f>
        <v>Starbreeze Publishing</v>
      </c>
      <c r="N3892" s="23" t="str">
        <f>IFERROR(VLOOKUP(A3892, Entries!A:K,11,false),"")</f>
        <v/>
      </c>
    </row>
    <row r="3893">
      <c r="A3893" s="78" t="s">
        <v>272</v>
      </c>
      <c r="B3893" s="78" t="s">
        <v>19</v>
      </c>
      <c r="C3893" s="85">
        <v>45144.0</v>
      </c>
      <c r="D3893" s="85">
        <v>45145.0</v>
      </c>
      <c r="E3893" s="86">
        <v>0.94</v>
      </c>
      <c r="F3893" s="87">
        <v>1.37</v>
      </c>
      <c r="G3893" s="88">
        <f t="shared" si="1"/>
        <v>0.43</v>
      </c>
      <c r="H3893" s="89">
        <f t="shared" si="10"/>
        <v>0.3138686131</v>
      </c>
      <c r="I3893" s="78" t="s">
        <v>4636</v>
      </c>
      <c r="J3893" s="78" t="s">
        <v>69</v>
      </c>
      <c r="K3893" s="58">
        <f t="shared" si="3"/>
        <v>1</v>
      </c>
      <c r="L3893" s="91" t="str">
        <f t="shared" si="8"/>
        <v>Mon</v>
      </c>
      <c r="M3893" s="78" t="str">
        <f>IFERROR(VLOOKUP(A3893, Entries!A:B,2,false),"")</f>
        <v>Starbreeze Publishing</v>
      </c>
      <c r="N3893" s="23" t="str">
        <f>IFERROR(VLOOKUP(A3893, Entries!A:K,11,false),"")</f>
        <v/>
      </c>
    </row>
    <row r="3894">
      <c r="A3894" s="78" t="s">
        <v>272</v>
      </c>
      <c r="B3894" s="78" t="s">
        <v>19</v>
      </c>
      <c r="C3894" s="85">
        <v>45144.0</v>
      </c>
      <c r="D3894" s="85">
        <v>45145.0</v>
      </c>
      <c r="E3894" s="86">
        <v>0.94</v>
      </c>
      <c r="F3894" s="87">
        <v>1.37</v>
      </c>
      <c r="G3894" s="88">
        <f t="shared" si="1"/>
        <v>0.43</v>
      </c>
      <c r="H3894" s="89">
        <f t="shared" si="10"/>
        <v>0.3138686131</v>
      </c>
      <c r="I3894" s="78" t="s">
        <v>4637</v>
      </c>
      <c r="J3894" s="78" t="s">
        <v>69</v>
      </c>
      <c r="K3894" s="58">
        <f t="shared" si="3"/>
        <v>1</v>
      </c>
      <c r="L3894" s="91" t="str">
        <f t="shared" si="8"/>
        <v>Mon</v>
      </c>
      <c r="M3894" s="78" t="str">
        <f>IFERROR(VLOOKUP(A3894, Entries!A:B,2,false),"")</f>
        <v>Starbreeze Publishing</v>
      </c>
      <c r="N3894" s="23" t="str">
        <f>IFERROR(VLOOKUP(A3894, Entries!A:K,11,false),"")</f>
        <v/>
      </c>
    </row>
    <row r="3895">
      <c r="A3895" s="94" t="s">
        <v>4638</v>
      </c>
      <c r="B3895" s="78" t="s">
        <v>21</v>
      </c>
      <c r="C3895" s="85">
        <v>45144.0</v>
      </c>
      <c r="D3895" s="85">
        <v>45467.0</v>
      </c>
      <c r="E3895" s="86">
        <v>14.48</v>
      </c>
      <c r="F3895" s="87">
        <v>17.77</v>
      </c>
      <c r="G3895" s="88">
        <f t="shared" si="1"/>
        <v>3.29</v>
      </c>
      <c r="H3895" s="89">
        <f t="shared" si="10"/>
        <v>0.1851435003</v>
      </c>
      <c r="I3895" s="78" t="s">
        <v>4639</v>
      </c>
      <c r="J3895" s="78" t="s">
        <v>69</v>
      </c>
      <c r="K3895" s="58">
        <f t="shared" si="3"/>
        <v>323</v>
      </c>
      <c r="L3895" s="91" t="str">
        <f t="shared" si="8"/>
        <v>Mon</v>
      </c>
      <c r="M3895" s="78" t="str">
        <f>IFERROR(VLOOKUP(A3895, Entries!A:B,2,false),"")</f>
        <v>Private Division</v>
      </c>
      <c r="N3895" s="23" t="str">
        <f>IFERROR(VLOOKUP(A3895, Entries!A:K,11,false),"")</f>
        <v/>
      </c>
      <c r="O3895" s="23" t="b">
        <f>IFERROR(VLOOKUP(A3895, Entries!A:I,8,false),"")</f>
        <v>0</v>
      </c>
    </row>
    <row r="3896">
      <c r="A3896" s="78" t="s">
        <v>4584</v>
      </c>
      <c r="B3896" s="78" t="s">
        <v>25</v>
      </c>
      <c r="C3896" s="85">
        <v>45144.0</v>
      </c>
      <c r="D3896" s="85">
        <v>45147.0</v>
      </c>
      <c r="E3896" s="86">
        <v>8.22</v>
      </c>
      <c r="F3896" s="87">
        <v>11.2</v>
      </c>
      <c r="G3896" s="88">
        <f t="shared" si="1"/>
        <v>2.98</v>
      </c>
      <c r="H3896" s="89">
        <f t="shared" si="10"/>
        <v>0.2660714286</v>
      </c>
      <c r="I3896" s="78" t="s">
        <v>4640</v>
      </c>
      <c r="J3896" s="78" t="s">
        <v>69</v>
      </c>
      <c r="K3896" s="58">
        <f t="shared" si="3"/>
        <v>3</v>
      </c>
      <c r="L3896" s="91" t="str">
        <f t="shared" si="8"/>
        <v>Wed</v>
      </c>
      <c r="M3896" s="78" t="str">
        <f>IFERROR(VLOOKUP(A3896, Entries!A:B,2,false),"")</f>
        <v>Devolver Digital</v>
      </c>
      <c r="N3896" s="23" t="str">
        <f>IFERROR(VLOOKUP(A3896, Entries!A:K,11,false),"")</f>
        <v/>
      </c>
    </row>
    <row r="3897">
      <c r="A3897" s="78" t="s">
        <v>4584</v>
      </c>
      <c r="B3897" s="78" t="s">
        <v>25</v>
      </c>
      <c r="C3897" s="85">
        <v>45144.0</v>
      </c>
      <c r="D3897" s="85">
        <v>45177.0</v>
      </c>
      <c r="E3897" s="86">
        <v>8.22</v>
      </c>
      <c r="F3897" s="87">
        <v>11.07</v>
      </c>
      <c r="G3897" s="88">
        <f t="shared" si="1"/>
        <v>2.85</v>
      </c>
      <c r="H3897" s="89">
        <f t="shared" si="10"/>
        <v>0.2574525745</v>
      </c>
      <c r="I3897" s="78" t="s">
        <v>4641</v>
      </c>
      <c r="J3897" s="78" t="s">
        <v>69</v>
      </c>
      <c r="K3897" s="58">
        <f t="shared" si="3"/>
        <v>33</v>
      </c>
      <c r="L3897" s="91" t="str">
        <f t="shared" si="8"/>
        <v>Fri</v>
      </c>
      <c r="M3897" s="78" t="str">
        <f>IFERROR(VLOOKUP(A3897, Entries!A:B,2,false),"")</f>
        <v>Devolver Digital</v>
      </c>
      <c r="N3897" s="23" t="str">
        <f>IFERROR(VLOOKUP(A3897, Entries!A:K,11,false),"")</f>
        <v/>
      </c>
      <c r="O3897" s="23" t="b">
        <f>IFERROR(VLOOKUP(A3897, Entries!A:I,8,false),"")</f>
        <v>0</v>
      </c>
    </row>
    <row r="3898">
      <c r="A3898" s="78" t="s">
        <v>4085</v>
      </c>
      <c r="B3898" s="78" t="s">
        <v>27</v>
      </c>
      <c r="C3898" s="85">
        <v>45144.0</v>
      </c>
      <c r="D3898" s="85">
        <v>45146.0</v>
      </c>
      <c r="E3898" s="86">
        <v>6.99</v>
      </c>
      <c r="F3898" s="87">
        <v>8.15</v>
      </c>
      <c r="G3898" s="88">
        <f t="shared" si="1"/>
        <v>1.16</v>
      </c>
      <c r="H3898" s="89">
        <f t="shared" si="10"/>
        <v>0.1423312883</v>
      </c>
      <c r="I3898" s="78" t="s">
        <v>4642</v>
      </c>
      <c r="J3898" s="78" t="s">
        <v>69</v>
      </c>
      <c r="K3898" s="58">
        <f t="shared" si="3"/>
        <v>2</v>
      </c>
      <c r="L3898" s="91" t="str">
        <f t="shared" si="8"/>
        <v>Tue</v>
      </c>
      <c r="M3898" s="78" t="str">
        <f>IFERROR(VLOOKUP(A3898, Entries!A:B,2,false),"")</f>
        <v>Bethesda Softworks</v>
      </c>
      <c r="N3898" s="23" t="str">
        <f>IFERROR(VLOOKUP(A3898, Entries!A:K,11,false),"")</f>
        <v/>
      </c>
    </row>
    <row r="3899">
      <c r="A3899" s="78" t="s">
        <v>272</v>
      </c>
      <c r="B3899" s="78" t="s">
        <v>19</v>
      </c>
      <c r="C3899" s="85">
        <v>45145.0</v>
      </c>
      <c r="D3899" s="85">
        <v>45145.0</v>
      </c>
      <c r="E3899" s="86">
        <v>0.94</v>
      </c>
      <c r="F3899" s="87">
        <v>1.37</v>
      </c>
      <c r="G3899" s="88">
        <f t="shared" si="1"/>
        <v>0.43</v>
      </c>
      <c r="H3899" s="89">
        <f t="shared" si="10"/>
        <v>0.3138686131</v>
      </c>
      <c r="I3899" s="78" t="s">
        <v>4643</v>
      </c>
      <c r="J3899" s="78" t="s">
        <v>69</v>
      </c>
      <c r="K3899" s="58">
        <f t="shared" si="3"/>
        <v>0</v>
      </c>
      <c r="L3899" s="91" t="str">
        <f t="shared" si="8"/>
        <v>Mon</v>
      </c>
      <c r="M3899" s="78" t="str">
        <f>IFERROR(VLOOKUP(A3899, Entries!A:B,2,false),"")</f>
        <v>Starbreeze Publishing</v>
      </c>
      <c r="N3899" s="23" t="str">
        <f>IFERROR(VLOOKUP(A3899, Entries!A:K,11,false),"")</f>
        <v/>
      </c>
    </row>
    <row r="3900">
      <c r="A3900" s="78" t="s">
        <v>272</v>
      </c>
      <c r="B3900" s="78" t="s">
        <v>19</v>
      </c>
      <c r="C3900" s="85">
        <v>45145.0</v>
      </c>
      <c r="D3900" s="85">
        <v>45145.0</v>
      </c>
      <c r="E3900" s="86">
        <v>0.94</v>
      </c>
      <c r="F3900" s="87">
        <v>1.37</v>
      </c>
      <c r="G3900" s="88">
        <f t="shared" si="1"/>
        <v>0.43</v>
      </c>
      <c r="H3900" s="89">
        <f t="shared" si="10"/>
        <v>0.3138686131</v>
      </c>
      <c r="I3900" s="78" t="s">
        <v>4644</v>
      </c>
      <c r="J3900" s="78" t="s">
        <v>69</v>
      </c>
      <c r="K3900" s="58">
        <f t="shared" si="3"/>
        <v>0</v>
      </c>
      <c r="L3900" s="91" t="str">
        <f t="shared" si="8"/>
        <v>Mon</v>
      </c>
      <c r="M3900" s="78" t="str">
        <f>IFERROR(VLOOKUP(A3900, Entries!A:B,2,false),"")</f>
        <v>Starbreeze Publishing</v>
      </c>
      <c r="N3900" s="23" t="str">
        <f>IFERROR(VLOOKUP(A3900, Entries!A:K,11,false),"")</f>
        <v/>
      </c>
    </row>
    <row r="3901">
      <c r="A3901" s="78" t="s">
        <v>272</v>
      </c>
      <c r="B3901" s="78" t="s">
        <v>19</v>
      </c>
      <c r="C3901" s="85">
        <v>45145.0</v>
      </c>
      <c r="D3901" s="85">
        <v>45145.0</v>
      </c>
      <c r="E3901" s="86">
        <v>0.94</v>
      </c>
      <c r="F3901" s="87">
        <v>1.37</v>
      </c>
      <c r="G3901" s="88">
        <f t="shared" si="1"/>
        <v>0.43</v>
      </c>
      <c r="H3901" s="89">
        <f t="shared" si="10"/>
        <v>0.3138686131</v>
      </c>
      <c r="I3901" s="78" t="s">
        <v>4645</v>
      </c>
      <c r="J3901" s="78" t="s">
        <v>69</v>
      </c>
      <c r="K3901" s="58">
        <f t="shared" si="3"/>
        <v>0</v>
      </c>
      <c r="L3901" s="91" t="str">
        <f t="shared" si="8"/>
        <v>Mon</v>
      </c>
      <c r="M3901" s="78" t="str">
        <f>IFERROR(VLOOKUP(A3901, Entries!A:B,2,false),"")</f>
        <v>Starbreeze Publishing</v>
      </c>
      <c r="N3901" s="23" t="str">
        <f>IFERROR(VLOOKUP(A3901, Entries!A:K,11,false),"")</f>
        <v/>
      </c>
    </row>
    <row r="3902">
      <c r="A3902" s="78" t="s">
        <v>272</v>
      </c>
      <c r="B3902" s="78" t="s">
        <v>19</v>
      </c>
      <c r="C3902" s="85">
        <v>45145.0</v>
      </c>
      <c r="D3902" s="85">
        <v>45145.0</v>
      </c>
      <c r="E3902" s="86">
        <v>0.94</v>
      </c>
      <c r="F3902" s="87">
        <v>1.37</v>
      </c>
      <c r="G3902" s="88">
        <f t="shared" si="1"/>
        <v>0.43</v>
      </c>
      <c r="H3902" s="89">
        <f t="shared" si="10"/>
        <v>0.3138686131</v>
      </c>
      <c r="I3902" s="78" t="s">
        <v>4646</v>
      </c>
      <c r="J3902" s="78" t="s">
        <v>69</v>
      </c>
      <c r="K3902" s="58">
        <f t="shared" si="3"/>
        <v>0</v>
      </c>
      <c r="L3902" s="91" t="str">
        <f t="shared" si="8"/>
        <v>Mon</v>
      </c>
      <c r="M3902" s="78" t="str">
        <f>IFERROR(VLOOKUP(A3902, Entries!A:B,2,false),"")</f>
        <v>Starbreeze Publishing</v>
      </c>
      <c r="N3902" s="23" t="str">
        <f>IFERROR(VLOOKUP(A3902, Entries!A:K,11,false),"")</f>
        <v/>
      </c>
    </row>
    <row r="3903">
      <c r="A3903" s="78" t="s">
        <v>272</v>
      </c>
      <c r="B3903" s="78" t="s">
        <v>19</v>
      </c>
      <c r="C3903" s="85">
        <v>45145.0</v>
      </c>
      <c r="D3903" s="85">
        <v>45145.0</v>
      </c>
      <c r="E3903" s="86">
        <v>0.94</v>
      </c>
      <c r="F3903" s="87">
        <v>1.36</v>
      </c>
      <c r="G3903" s="88">
        <f t="shared" si="1"/>
        <v>0.42</v>
      </c>
      <c r="H3903" s="89">
        <f t="shared" si="10"/>
        <v>0.3088235294</v>
      </c>
      <c r="I3903" s="78" t="s">
        <v>4647</v>
      </c>
      <c r="J3903" s="78" t="s">
        <v>69</v>
      </c>
      <c r="K3903" s="58">
        <f t="shared" si="3"/>
        <v>0</v>
      </c>
      <c r="L3903" s="91" t="str">
        <f t="shared" si="8"/>
        <v>Mon</v>
      </c>
      <c r="M3903" s="78" t="str">
        <f>IFERROR(VLOOKUP(A3903, Entries!A:B,2,false),"")</f>
        <v>Starbreeze Publishing</v>
      </c>
      <c r="N3903" s="23" t="str">
        <f>IFERROR(VLOOKUP(A3903, Entries!A:K,11,false),"")</f>
        <v/>
      </c>
    </row>
    <row r="3904">
      <c r="A3904" s="78" t="s">
        <v>2180</v>
      </c>
      <c r="B3904" s="78" t="s">
        <v>25</v>
      </c>
      <c r="C3904" s="85">
        <v>45145.0</v>
      </c>
      <c r="D3904" s="85">
        <v>45146.0</v>
      </c>
      <c r="E3904" s="86">
        <v>4.75</v>
      </c>
      <c r="F3904" s="87">
        <v>5.67</v>
      </c>
      <c r="G3904" s="88">
        <f t="shared" si="1"/>
        <v>0.92</v>
      </c>
      <c r="H3904" s="89">
        <f t="shared" si="10"/>
        <v>0.1622574956</v>
      </c>
      <c r="I3904" s="78" t="s">
        <v>4648</v>
      </c>
      <c r="J3904" s="78" t="s">
        <v>69</v>
      </c>
      <c r="K3904" s="58">
        <f t="shared" si="3"/>
        <v>1</v>
      </c>
      <c r="L3904" s="91" t="str">
        <f t="shared" si="8"/>
        <v>Tue</v>
      </c>
      <c r="M3904" s="78" t="str">
        <f>IFERROR(VLOOKUP(A3904, Entries!A:B,2,false),"")</f>
        <v>Konami</v>
      </c>
      <c r="N3904" s="23" t="str">
        <f>IFERROR(VLOOKUP(A3904, Entries!A:K,11,false),"")</f>
        <v/>
      </c>
    </row>
    <row r="3905">
      <c r="A3905" s="78" t="s">
        <v>2180</v>
      </c>
      <c r="B3905" s="78" t="s">
        <v>25</v>
      </c>
      <c r="C3905" s="85">
        <v>45145.0</v>
      </c>
      <c r="D3905" s="85">
        <v>45146.0</v>
      </c>
      <c r="E3905" s="86">
        <v>4.75</v>
      </c>
      <c r="F3905" s="87">
        <v>5.67</v>
      </c>
      <c r="G3905" s="88">
        <f t="shared" si="1"/>
        <v>0.92</v>
      </c>
      <c r="H3905" s="89">
        <f t="shared" si="10"/>
        <v>0.1622574956</v>
      </c>
      <c r="J3905" s="78" t="s">
        <v>69</v>
      </c>
      <c r="K3905" s="58">
        <f t="shared" si="3"/>
        <v>1</v>
      </c>
      <c r="L3905" s="91" t="str">
        <f t="shared" si="8"/>
        <v>Tue</v>
      </c>
      <c r="M3905" s="78" t="str">
        <f>IFERROR(VLOOKUP(A3905, Entries!A:B,2,false),"")</f>
        <v>Konami</v>
      </c>
      <c r="N3905" s="23" t="str">
        <f>IFERROR(VLOOKUP(A3905, Entries!A:K,11,false),"")</f>
        <v/>
      </c>
    </row>
    <row r="3906">
      <c r="A3906" s="78" t="s">
        <v>2180</v>
      </c>
      <c r="B3906" s="78" t="s">
        <v>25</v>
      </c>
      <c r="C3906" s="85">
        <v>45145.0</v>
      </c>
      <c r="D3906" s="85">
        <v>45146.0</v>
      </c>
      <c r="E3906" s="86">
        <v>4.75</v>
      </c>
      <c r="F3906" s="87">
        <v>5.67</v>
      </c>
      <c r="G3906" s="88">
        <f t="shared" si="1"/>
        <v>0.92</v>
      </c>
      <c r="H3906" s="89">
        <f t="shared" si="10"/>
        <v>0.1622574956</v>
      </c>
      <c r="J3906" s="78" t="s">
        <v>69</v>
      </c>
      <c r="K3906" s="58">
        <f t="shared" si="3"/>
        <v>1</v>
      </c>
      <c r="L3906" s="91" t="str">
        <f t="shared" si="8"/>
        <v>Tue</v>
      </c>
      <c r="M3906" s="78" t="str">
        <f>IFERROR(VLOOKUP(A3906, Entries!A:B,2,false),"")</f>
        <v>Konami</v>
      </c>
      <c r="N3906" s="23" t="str">
        <f>IFERROR(VLOOKUP(A3906, Entries!A:K,11,false),"")</f>
        <v/>
      </c>
    </row>
    <row r="3907">
      <c r="A3907" s="78" t="s">
        <v>272</v>
      </c>
      <c r="B3907" s="78" t="s">
        <v>19</v>
      </c>
      <c r="C3907" s="85">
        <v>45145.0</v>
      </c>
      <c r="D3907" s="85">
        <v>45145.0</v>
      </c>
      <c r="E3907" s="86">
        <v>0.94</v>
      </c>
      <c r="F3907" s="87">
        <v>1.19</v>
      </c>
      <c r="G3907" s="88">
        <f t="shared" si="1"/>
        <v>0.25</v>
      </c>
      <c r="H3907" s="89">
        <f t="shared" si="10"/>
        <v>0.2100840336</v>
      </c>
      <c r="I3907" s="78" t="s">
        <v>4649</v>
      </c>
      <c r="J3907" s="78" t="s">
        <v>69</v>
      </c>
      <c r="K3907" s="58">
        <f t="shared" si="3"/>
        <v>0</v>
      </c>
      <c r="L3907" s="91" t="str">
        <f t="shared" si="8"/>
        <v>Mon</v>
      </c>
      <c r="M3907" s="78" t="str">
        <f>IFERROR(VLOOKUP(A3907, Entries!A:B,2,false),"")</f>
        <v>Starbreeze Publishing</v>
      </c>
      <c r="N3907" s="23" t="str">
        <f>IFERROR(VLOOKUP(A3907, Entries!A:K,11,false),"")</f>
        <v/>
      </c>
    </row>
    <row r="3908">
      <c r="A3908" s="78" t="s">
        <v>272</v>
      </c>
      <c r="B3908" s="78" t="s">
        <v>19</v>
      </c>
      <c r="C3908" s="85">
        <v>45145.0</v>
      </c>
      <c r="D3908" s="85">
        <v>45145.0</v>
      </c>
      <c r="E3908" s="86">
        <v>0.94</v>
      </c>
      <c r="F3908" s="87">
        <v>1.19</v>
      </c>
      <c r="G3908" s="88">
        <f t="shared" si="1"/>
        <v>0.25</v>
      </c>
      <c r="H3908" s="89">
        <f t="shared" si="10"/>
        <v>0.2100840336</v>
      </c>
      <c r="I3908" s="78" t="s">
        <v>4650</v>
      </c>
      <c r="J3908" s="78" t="s">
        <v>69</v>
      </c>
      <c r="K3908" s="58">
        <f t="shared" si="3"/>
        <v>0</v>
      </c>
      <c r="L3908" s="91" t="str">
        <f t="shared" si="8"/>
        <v>Mon</v>
      </c>
      <c r="M3908" s="78" t="str">
        <f>IFERROR(VLOOKUP(A3908, Entries!A:B,2,false),"")</f>
        <v>Starbreeze Publishing</v>
      </c>
      <c r="N3908" s="23" t="str">
        <f>IFERROR(VLOOKUP(A3908, Entries!A:K,11,false),"")</f>
        <v/>
      </c>
    </row>
    <row r="3909">
      <c r="A3909" s="78" t="s">
        <v>272</v>
      </c>
      <c r="B3909" s="78" t="s">
        <v>19</v>
      </c>
      <c r="C3909" s="85">
        <v>45145.0</v>
      </c>
      <c r="D3909" s="85">
        <v>45145.0</v>
      </c>
      <c r="E3909" s="86">
        <v>0.94</v>
      </c>
      <c r="F3909" s="87">
        <v>1.19</v>
      </c>
      <c r="G3909" s="88">
        <f t="shared" si="1"/>
        <v>0.25</v>
      </c>
      <c r="H3909" s="89">
        <f t="shared" si="10"/>
        <v>0.2100840336</v>
      </c>
      <c r="I3909" s="78" t="s">
        <v>4651</v>
      </c>
      <c r="J3909" s="78" t="s">
        <v>69</v>
      </c>
      <c r="K3909" s="58">
        <f t="shared" si="3"/>
        <v>0</v>
      </c>
      <c r="L3909" s="91" t="str">
        <f t="shared" si="8"/>
        <v>Mon</v>
      </c>
      <c r="M3909" s="78" t="str">
        <f>IFERROR(VLOOKUP(A3909, Entries!A:B,2,false),"")</f>
        <v>Starbreeze Publishing</v>
      </c>
      <c r="N3909" s="23" t="str">
        <f>IFERROR(VLOOKUP(A3909, Entries!A:K,11,false),"")</f>
        <v/>
      </c>
    </row>
    <row r="3910">
      <c r="A3910" s="78" t="s">
        <v>272</v>
      </c>
      <c r="B3910" s="78" t="s">
        <v>19</v>
      </c>
      <c r="C3910" s="85">
        <v>45145.0</v>
      </c>
      <c r="D3910" s="85">
        <v>45146.0</v>
      </c>
      <c r="E3910" s="86">
        <v>0.94</v>
      </c>
      <c r="F3910" s="87">
        <v>1.33</v>
      </c>
      <c r="G3910" s="88">
        <f t="shared" si="1"/>
        <v>0.39</v>
      </c>
      <c r="H3910" s="89">
        <f t="shared" si="10"/>
        <v>0.2932330827</v>
      </c>
      <c r="I3910" s="78" t="s">
        <v>4652</v>
      </c>
      <c r="J3910" s="78" t="s">
        <v>69</v>
      </c>
      <c r="K3910" s="58">
        <f t="shared" si="3"/>
        <v>1</v>
      </c>
      <c r="L3910" s="91" t="str">
        <f t="shared" si="8"/>
        <v>Tue</v>
      </c>
      <c r="M3910" s="78" t="str">
        <f>IFERROR(VLOOKUP(A3910, Entries!A:B,2,false),"")</f>
        <v>Starbreeze Publishing</v>
      </c>
      <c r="N3910" s="23" t="str">
        <f>IFERROR(VLOOKUP(A3910, Entries!A:K,11,false),"")</f>
        <v/>
      </c>
    </row>
    <row r="3911">
      <c r="A3911" s="78" t="s">
        <v>272</v>
      </c>
      <c r="B3911" s="78" t="s">
        <v>19</v>
      </c>
      <c r="C3911" s="85">
        <v>45145.0</v>
      </c>
      <c r="D3911" s="85">
        <v>45146.0</v>
      </c>
      <c r="E3911" s="86">
        <v>0.94</v>
      </c>
      <c r="F3911" s="87">
        <v>1.33</v>
      </c>
      <c r="G3911" s="88">
        <f t="shared" si="1"/>
        <v>0.39</v>
      </c>
      <c r="H3911" s="89">
        <f t="shared" si="10"/>
        <v>0.2932330827</v>
      </c>
      <c r="I3911" s="78" t="s">
        <v>4653</v>
      </c>
      <c r="J3911" s="78" t="s">
        <v>69</v>
      </c>
      <c r="K3911" s="58">
        <f t="shared" si="3"/>
        <v>1</v>
      </c>
      <c r="L3911" s="91" t="str">
        <f t="shared" si="8"/>
        <v>Tue</v>
      </c>
      <c r="M3911" s="78" t="str">
        <f>IFERROR(VLOOKUP(A3911, Entries!A:B,2,false),"")</f>
        <v>Starbreeze Publishing</v>
      </c>
      <c r="N3911" s="23" t="str">
        <f>IFERROR(VLOOKUP(A3911, Entries!A:K,11,false),"")</f>
        <v/>
      </c>
    </row>
    <row r="3912">
      <c r="A3912" s="78" t="s">
        <v>2395</v>
      </c>
      <c r="B3912" s="78" t="s">
        <v>19</v>
      </c>
      <c r="C3912" s="85">
        <v>45145.0</v>
      </c>
      <c r="D3912" s="85">
        <v>45146.0</v>
      </c>
      <c r="E3912" s="86">
        <v>7.59</v>
      </c>
      <c r="F3912" s="87">
        <v>11.0</v>
      </c>
      <c r="G3912" s="88">
        <f t="shared" si="1"/>
        <v>3.41</v>
      </c>
      <c r="H3912" s="89">
        <f t="shared" si="10"/>
        <v>0.31</v>
      </c>
      <c r="I3912" s="78" t="s">
        <v>4654</v>
      </c>
      <c r="J3912" s="78" t="s">
        <v>69</v>
      </c>
      <c r="K3912" s="58">
        <f t="shared" si="3"/>
        <v>1</v>
      </c>
      <c r="L3912" s="91" t="str">
        <f t="shared" si="8"/>
        <v>Tue</v>
      </c>
      <c r="M3912" s="78" t="str">
        <f>IFERROR(VLOOKUP(A3912, Entries!A:B,2,false),"")</f>
        <v>Blue Brain Games</v>
      </c>
      <c r="N3912" s="23" t="str">
        <f>IFERROR(VLOOKUP(A3912, Entries!A:K,11,false),"")</f>
        <v/>
      </c>
    </row>
    <row r="3913">
      <c r="A3913" s="78" t="s">
        <v>3832</v>
      </c>
      <c r="B3913" s="78" t="s">
        <v>19</v>
      </c>
      <c r="C3913" s="85">
        <v>45145.0</v>
      </c>
      <c r="D3913" s="85">
        <v>45146.0</v>
      </c>
      <c r="E3913" s="86">
        <v>14.72</v>
      </c>
      <c r="F3913" s="87">
        <v>16.67</v>
      </c>
      <c r="G3913" s="88">
        <f t="shared" si="1"/>
        <v>1.95</v>
      </c>
      <c r="H3913" s="89">
        <f t="shared" si="10"/>
        <v>0.1169766047</v>
      </c>
      <c r="I3913" s="78" t="s">
        <v>4655</v>
      </c>
      <c r="J3913" s="78" t="s">
        <v>69</v>
      </c>
      <c r="K3913" s="58">
        <f t="shared" si="3"/>
        <v>1</v>
      </c>
      <c r="L3913" s="91" t="str">
        <f t="shared" si="8"/>
        <v>Tue</v>
      </c>
      <c r="M3913" s="78" t="str">
        <f>IFERROR(VLOOKUP(A3913, Entries!A:B,2,false),"")</f>
        <v>Rebellion</v>
      </c>
      <c r="N3913" s="23" t="str">
        <f>IFERROR(VLOOKUP(A3913, Entries!A:K,11,false),"")</f>
        <v/>
      </c>
    </row>
    <row r="3914">
      <c r="A3914" s="94" t="s">
        <v>3850</v>
      </c>
      <c r="B3914" s="78" t="s">
        <v>19</v>
      </c>
      <c r="C3914" s="85">
        <v>45145.0</v>
      </c>
      <c r="D3914" s="85">
        <v>45703.0</v>
      </c>
      <c r="E3914" s="86">
        <v>30.39</v>
      </c>
      <c r="F3914" s="87">
        <v>31.99</v>
      </c>
      <c r="G3914" s="88">
        <f t="shared" si="1"/>
        <v>1.6</v>
      </c>
      <c r="H3914" s="89">
        <f t="shared" si="10"/>
        <v>0.05001562988</v>
      </c>
      <c r="I3914" s="78" t="s">
        <v>4656</v>
      </c>
      <c r="J3914" s="78" t="s">
        <v>69</v>
      </c>
      <c r="K3914" s="58">
        <f t="shared" si="3"/>
        <v>558</v>
      </c>
      <c r="L3914" s="91" t="str">
        <f t="shared" si="8"/>
        <v>Sat</v>
      </c>
      <c r="M3914" s="78" t="str">
        <f>IFERROR(VLOOKUP(A3914, Entries!A:B,2,false),"")</f>
        <v>Rebellion</v>
      </c>
      <c r="N3914" s="23" t="str">
        <f>IFERROR(VLOOKUP(A3914, Entries!A:K,11,false),"")</f>
        <v/>
      </c>
      <c r="O3914" s="23" t="b">
        <f>IFERROR(VLOOKUP(A3914, Entries!A:I,8,false),"")</f>
        <v>0</v>
      </c>
    </row>
    <row r="3915">
      <c r="A3915" s="78" t="s">
        <v>4628</v>
      </c>
      <c r="B3915" s="78" t="s">
        <v>19</v>
      </c>
      <c r="C3915" s="85">
        <v>45145.0</v>
      </c>
      <c r="D3915" s="85">
        <v>45156.0</v>
      </c>
      <c r="E3915" s="86">
        <v>0.0</v>
      </c>
      <c r="F3915" s="87">
        <v>2.87</v>
      </c>
      <c r="G3915" s="88">
        <f t="shared" si="1"/>
        <v>2.87</v>
      </c>
      <c r="H3915" s="89">
        <f t="shared" si="10"/>
        <v>1</v>
      </c>
      <c r="I3915" s="78" t="s">
        <v>4657</v>
      </c>
      <c r="J3915" s="78" t="s">
        <v>69</v>
      </c>
      <c r="K3915" s="58">
        <f t="shared" si="3"/>
        <v>11</v>
      </c>
      <c r="L3915" s="91" t="str">
        <f t="shared" si="8"/>
        <v>Fri</v>
      </c>
      <c r="M3915" s="78" t="str">
        <f>IFERROR(VLOOKUP(A3915, Entries!A:B,2,false),"")</f>
        <v>Ironhide Game Studio</v>
      </c>
      <c r="N3915" s="23" t="str">
        <f>IFERROR(VLOOKUP(A3915, Entries!A:K,11,false),"")</f>
        <v/>
      </c>
    </row>
    <row r="3916">
      <c r="A3916" s="78" t="s">
        <v>4658</v>
      </c>
      <c r="B3916" s="78" t="s">
        <v>19</v>
      </c>
      <c r="C3916" s="85">
        <v>45145.0</v>
      </c>
      <c r="D3916" s="85">
        <v>45169.0</v>
      </c>
      <c r="E3916" s="86">
        <v>0.0</v>
      </c>
      <c r="F3916" s="87">
        <v>0.2</v>
      </c>
      <c r="G3916" s="88">
        <f t="shared" si="1"/>
        <v>0.2</v>
      </c>
      <c r="H3916" s="89">
        <f t="shared" si="10"/>
        <v>1</v>
      </c>
      <c r="I3916" s="78" t="s">
        <v>4659</v>
      </c>
      <c r="J3916" s="78" t="s">
        <v>69</v>
      </c>
      <c r="K3916" s="58">
        <f t="shared" si="3"/>
        <v>24</v>
      </c>
      <c r="L3916" s="91" t="str">
        <f t="shared" si="8"/>
        <v>Thu</v>
      </c>
      <c r="M3916" s="78" t="str">
        <f>IFERROR(VLOOKUP(A3916, Entries!A:B,2,false),"")</f>
        <v>Star Drifters</v>
      </c>
      <c r="N3916" s="23" t="str">
        <f>IFERROR(VLOOKUP(A3916, Entries!A:K,11,false),"")</f>
        <v/>
      </c>
    </row>
    <row r="3917">
      <c r="A3917" s="78" t="s">
        <v>4096</v>
      </c>
      <c r="B3917" s="78" t="s">
        <v>25</v>
      </c>
      <c r="C3917" s="85">
        <v>45145.0</v>
      </c>
      <c r="D3917" s="85">
        <v>45154.0</v>
      </c>
      <c r="E3917" s="86">
        <v>26.5</v>
      </c>
      <c r="F3917" s="87">
        <v>37.79</v>
      </c>
      <c r="G3917" s="88">
        <f t="shared" si="1"/>
        <v>11.29</v>
      </c>
      <c r="H3917" s="89">
        <f t="shared" si="10"/>
        <v>0.2987562847</v>
      </c>
      <c r="I3917" s="78" t="s">
        <v>4660</v>
      </c>
      <c r="J3917" s="78" t="s">
        <v>69</v>
      </c>
      <c r="K3917" s="58">
        <f t="shared" si="3"/>
        <v>9</v>
      </c>
      <c r="L3917" s="91" t="str">
        <f t="shared" si="8"/>
        <v>Wed</v>
      </c>
      <c r="M3917" s="78" t="str">
        <f>IFERROR(VLOOKUP(A3917, Entries!A:B,2,false),"")</f>
        <v>Crate Entertainment</v>
      </c>
      <c r="N3917" s="23" t="str">
        <f>IFERROR(VLOOKUP(A3917, Entries!A:K,11,false),"")</f>
        <v/>
      </c>
    </row>
    <row r="3918">
      <c r="A3918" s="78" t="s">
        <v>4353</v>
      </c>
      <c r="B3918" s="78" t="s">
        <v>25</v>
      </c>
      <c r="C3918" s="85">
        <v>45145.0</v>
      </c>
      <c r="D3918" s="85">
        <v>45172.0</v>
      </c>
      <c r="E3918" s="86">
        <v>16.47</v>
      </c>
      <c r="F3918" s="87">
        <v>17.88</v>
      </c>
      <c r="G3918" s="88">
        <f t="shared" si="1"/>
        <v>1.41</v>
      </c>
      <c r="H3918" s="89">
        <f t="shared" si="10"/>
        <v>0.0788590604</v>
      </c>
      <c r="I3918" s="78" t="s">
        <v>4661</v>
      </c>
      <c r="J3918" s="78" t="s">
        <v>69</v>
      </c>
      <c r="K3918" s="58">
        <f t="shared" si="3"/>
        <v>27</v>
      </c>
      <c r="L3918" s="91" t="str">
        <f t="shared" si="8"/>
        <v>Sun</v>
      </c>
      <c r="M3918" s="78" t="str">
        <f>IFERROR(VLOOKUP(A3918, Entries!A:B,2,false),"")</f>
        <v>Shiro Games</v>
      </c>
      <c r="N3918" s="23" t="str">
        <f>IFERROR(VLOOKUP(A3918, Entries!A:K,11,false),"")</f>
        <v/>
      </c>
    </row>
    <row r="3919">
      <c r="A3919" s="94" t="s">
        <v>3832</v>
      </c>
      <c r="B3919" s="78" t="s">
        <v>19</v>
      </c>
      <c r="C3919" s="85">
        <v>45146.0</v>
      </c>
      <c r="D3919" s="85">
        <v>45703.0</v>
      </c>
      <c r="E3919" s="86">
        <v>14.72</v>
      </c>
      <c r="F3919" s="87">
        <v>16.45</v>
      </c>
      <c r="G3919" s="88">
        <f t="shared" si="1"/>
        <v>1.73</v>
      </c>
      <c r="H3919" s="89">
        <f t="shared" si="10"/>
        <v>0.1051671733</v>
      </c>
      <c r="I3919" s="78" t="s">
        <v>4662</v>
      </c>
      <c r="J3919" s="78" t="s">
        <v>69</v>
      </c>
      <c r="K3919" s="58">
        <f t="shared" si="3"/>
        <v>557</v>
      </c>
      <c r="L3919" s="91" t="str">
        <f t="shared" si="8"/>
        <v>Sat</v>
      </c>
      <c r="M3919" s="78" t="str">
        <f>IFERROR(VLOOKUP(A3919, Entries!A:B,2,false),"")</f>
        <v>Rebellion</v>
      </c>
      <c r="N3919" s="23" t="str">
        <f>IFERROR(VLOOKUP(A3919, Entries!A:K,11,false),"")</f>
        <v/>
      </c>
      <c r="O3919" s="23" t="b">
        <f>IFERROR(VLOOKUP(A3919, Entries!A:I,8,false),"")</f>
        <v>0</v>
      </c>
    </row>
    <row r="3920">
      <c r="A3920" s="78" t="s">
        <v>4663</v>
      </c>
      <c r="B3920" s="78" t="s">
        <v>19</v>
      </c>
      <c r="C3920" s="85">
        <v>45146.0</v>
      </c>
      <c r="D3920" s="85">
        <v>45149.0</v>
      </c>
      <c r="E3920" s="86">
        <v>0.0</v>
      </c>
      <c r="F3920" s="87">
        <v>1.11</v>
      </c>
      <c r="G3920" s="88">
        <f t="shared" si="1"/>
        <v>1.11</v>
      </c>
      <c r="H3920" s="89">
        <f t="shared" si="10"/>
        <v>1</v>
      </c>
      <c r="I3920" s="78" t="s">
        <v>4664</v>
      </c>
      <c r="J3920" s="78" t="s">
        <v>69</v>
      </c>
      <c r="K3920" s="58">
        <f t="shared" si="3"/>
        <v>3</v>
      </c>
      <c r="L3920" s="91" t="str">
        <f t="shared" si="8"/>
        <v>Fri</v>
      </c>
      <c r="M3920" s="78" t="str">
        <f>IFERROR(VLOOKUP(A3920, Entries!A:B,2,false),"")</f>
        <v>Wired Productions</v>
      </c>
      <c r="N3920" s="23" t="str">
        <f>IFERROR(VLOOKUP(A3920, Entries!A:K,11,false),"")</f>
        <v/>
      </c>
    </row>
    <row r="3921">
      <c r="A3921" s="78" t="s">
        <v>2180</v>
      </c>
      <c r="B3921" s="78" t="s">
        <v>25</v>
      </c>
      <c r="C3921" s="85">
        <v>45146.0</v>
      </c>
      <c r="D3921" s="85">
        <v>45146.0</v>
      </c>
      <c r="E3921" s="86">
        <v>4.73</v>
      </c>
      <c r="F3921" s="87">
        <v>5.67</v>
      </c>
      <c r="G3921" s="88">
        <f t="shared" si="1"/>
        <v>0.94</v>
      </c>
      <c r="H3921" s="89">
        <f t="shared" si="10"/>
        <v>0.1657848325</v>
      </c>
      <c r="I3921" s="78" t="s">
        <v>4665</v>
      </c>
      <c r="J3921" s="78" t="s">
        <v>69</v>
      </c>
      <c r="K3921" s="58">
        <f t="shared" si="3"/>
        <v>0</v>
      </c>
      <c r="L3921" s="91" t="str">
        <f t="shared" si="8"/>
        <v>Tue</v>
      </c>
      <c r="M3921" s="78" t="str">
        <f>IFERROR(VLOOKUP(A3921, Entries!A:B,2,false),"")</f>
        <v>Konami</v>
      </c>
      <c r="N3921" s="23" t="str">
        <f>IFERROR(VLOOKUP(A3921, Entries!A:K,11,false),"")</f>
        <v/>
      </c>
    </row>
    <row r="3922">
      <c r="A3922" s="78" t="s">
        <v>2395</v>
      </c>
      <c r="B3922" s="78" t="s">
        <v>19</v>
      </c>
      <c r="C3922" s="85">
        <v>45146.0</v>
      </c>
      <c r="D3922" s="85">
        <v>45198.0</v>
      </c>
      <c r="E3922" s="86">
        <v>7.59</v>
      </c>
      <c r="F3922" s="87">
        <v>8.16</v>
      </c>
      <c r="G3922" s="88">
        <f t="shared" si="1"/>
        <v>0.57</v>
      </c>
      <c r="H3922" s="89">
        <f t="shared" si="10"/>
        <v>0.06985294118</v>
      </c>
      <c r="I3922" s="78" t="s">
        <v>4666</v>
      </c>
      <c r="J3922" s="78" t="s">
        <v>69</v>
      </c>
      <c r="K3922" s="58">
        <f t="shared" si="3"/>
        <v>52</v>
      </c>
      <c r="L3922" s="91" t="str">
        <f t="shared" si="8"/>
        <v>Fri</v>
      </c>
      <c r="M3922" s="78" t="str">
        <f>IFERROR(VLOOKUP(A3922, Entries!A:B,2,false),"")</f>
        <v>Blue Brain Games</v>
      </c>
      <c r="N3922" s="23" t="str">
        <f>IFERROR(VLOOKUP(A3922, Entries!A:K,11,false),"")</f>
        <v/>
      </c>
      <c r="O3922" s="23" t="b">
        <f>IFERROR(VLOOKUP(A3922, Entries!A:I,8,false),"")</f>
        <v>0</v>
      </c>
    </row>
    <row r="3923">
      <c r="A3923" s="78" t="s">
        <v>2395</v>
      </c>
      <c r="B3923" s="78" t="s">
        <v>19</v>
      </c>
      <c r="C3923" s="85">
        <v>45146.0</v>
      </c>
      <c r="D3923" s="85">
        <v>45202.0</v>
      </c>
      <c r="E3923" s="86">
        <v>7.59</v>
      </c>
      <c r="F3923" s="87">
        <v>8.1</v>
      </c>
      <c r="G3923" s="88">
        <f t="shared" si="1"/>
        <v>0.51</v>
      </c>
      <c r="H3923" s="89">
        <f t="shared" si="10"/>
        <v>0.06296296296</v>
      </c>
      <c r="I3923" s="78" t="s">
        <v>4667</v>
      </c>
      <c r="J3923" s="78" t="s">
        <v>69</v>
      </c>
      <c r="K3923" s="58">
        <f t="shared" si="3"/>
        <v>56</v>
      </c>
      <c r="L3923" s="91" t="str">
        <f t="shared" si="8"/>
        <v>Tue</v>
      </c>
      <c r="M3923" s="78" t="str">
        <f>IFERROR(VLOOKUP(A3923, Entries!A:B,2,false),"")</f>
        <v>Blue Brain Games</v>
      </c>
      <c r="N3923" s="23" t="str">
        <f>IFERROR(VLOOKUP(A3923, Entries!A:K,11,false),"")</f>
        <v/>
      </c>
      <c r="O3923" s="23" t="b">
        <f>IFERROR(VLOOKUP(A3923, Entries!A:I,8,false),"")</f>
        <v>0</v>
      </c>
    </row>
    <row r="3924">
      <c r="A3924" s="78" t="s">
        <v>272</v>
      </c>
      <c r="B3924" s="78" t="s">
        <v>19</v>
      </c>
      <c r="C3924" s="85">
        <v>45146.0</v>
      </c>
      <c r="D3924" s="85">
        <v>45146.0</v>
      </c>
      <c r="E3924" s="86">
        <v>0.94</v>
      </c>
      <c r="F3924" s="87">
        <v>1.33</v>
      </c>
      <c r="G3924" s="88">
        <f t="shared" si="1"/>
        <v>0.39</v>
      </c>
      <c r="H3924" s="89">
        <f t="shared" si="10"/>
        <v>0.2932330827</v>
      </c>
      <c r="I3924" s="78" t="s">
        <v>4668</v>
      </c>
      <c r="J3924" s="78" t="s">
        <v>69</v>
      </c>
      <c r="K3924" s="58">
        <f t="shared" si="3"/>
        <v>0</v>
      </c>
      <c r="L3924" s="91" t="str">
        <f t="shared" si="8"/>
        <v>Tue</v>
      </c>
      <c r="M3924" s="78" t="str">
        <f>IFERROR(VLOOKUP(A3924, Entries!A:B,2,false),"")</f>
        <v>Starbreeze Publishing</v>
      </c>
      <c r="N3924" s="23" t="str">
        <f>IFERROR(VLOOKUP(A3924, Entries!A:K,11,false),"")</f>
        <v/>
      </c>
    </row>
    <row r="3925">
      <c r="A3925" s="78" t="s">
        <v>272</v>
      </c>
      <c r="B3925" s="78" t="s">
        <v>19</v>
      </c>
      <c r="C3925" s="85">
        <v>45146.0</v>
      </c>
      <c r="D3925" s="85">
        <v>45146.0</v>
      </c>
      <c r="E3925" s="86">
        <v>0.94</v>
      </c>
      <c r="F3925" s="87">
        <v>1.36</v>
      </c>
      <c r="G3925" s="88">
        <f t="shared" si="1"/>
        <v>0.42</v>
      </c>
      <c r="H3925" s="89">
        <f t="shared" si="10"/>
        <v>0.3088235294</v>
      </c>
      <c r="I3925" s="78" t="s">
        <v>4669</v>
      </c>
      <c r="J3925" s="78" t="s">
        <v>69</v>
      </c>
      <c r="K3925" s="58">
        <f t="shared" si="3"/>
        <v>0</v>
      </c>
      <c r="L3925" s="91" t="str">
        <f t="shared" si="8"/>
        <v>Tue</v>
      </c>
      <c r="M3925" s="78" t="str">
        <f>IFERROR(VLOOKUP(A3925, Entries!A:B,2,false),"")</f>
        <v>Starbreeze Publishing</v>
      </c>
      <c r="N3925" s="23" t="str">
        <f>IFERROR(VLOOKUP(A3925, Entries!A:K,11,false),"")</f>
        <v/>
      </c>
    </row>
    <row r="3926">
      <c r="A3926" s="78" t="s">
        <v>272</v>
      </c>
      <c r="B3926" s="78" t="s">
        <v>19</v>
      </c>
      <c r="C3926" s="85">
        <v>45146.0</v>
      </c>
      <c r="D3926" s="85">
        <v>45146.0</v>
      </c>
      <c r="E3926" s="86">
        <v>0.94</v>
      </c>
      <c r="F3926" s="87">
        <v>1.36</v>
      </c>
      <c r="G3926" s="88">
        <f t="shared" si="1"/>
        <v>0.42</v>
      </c>
      <c r="H3926" s="89">
        <f t="shared" si="10"/>
        <v>0.3088235294</v>
      </c>
      <c r="I3926" s="78" t="s">
        <v>4670</v>
      </c>
      <c r="J3926" s="78" t="s">
        <v>69</v>
      </c>
      <c r="K3926" s="58">
        <f t="shared" si="3"/>
        <v>0</v>
      </c>
      <c r="L3926" s="91" t="str">
        <f t="shared" si="8"/>
        <v>Tue</v>
      </c>
      <c r="M3926" s="78" t="str">
        <f>IFERROR(VLOOKUP(A3926, Entries!A:B,2,false),"")</f>
        <v>Starbreeze Publishing</v>
      </c>
      <c r="N3926" s="23" t="str">
        <f>IFERROR(VLOOKUP(A3926, Entries!A:K,11,false),"")</f>
        <v/>
      </c>
    </row>
    <row r="3927">
      <c r="A3927" s="78" t="s">
        <v>272</v>
      </c>
      <c r="B3927" s="78" t="s">
        <v>19</v>
      </c>
      <c r="C3927" s="85">
        <v>45146.0</v>
      </c>
      <c r="D3927" s="85">
        <v>45151.0</v>
      </c>
      <c r="E3927" s="86">
        <v>0.94</v>
      </c>
      <c r="F3927" s="87">
        <v>1.28</v>
      </c>
      <c r="G3927" s="88">
        <f t="shared" si="1"/>
        <v>0.34</v>
      </c>
      <c r="H3927" s="89">
        <f t="shared" si="10"/>
        <v>0.265625</v>
      </c>
      <c r="I3927" s="78" t="s">
        <v>4671</v>
      </c>
      <c r="J3927" s="78" t="s">
        <v>69</v>
      </c>
      <c r="K3927" s="58">
        <f t="shared" si="3"/>
        <v>5</v>
      </c>
      <c r="L3927" s="91" t="str">
        <f t="shared" si="8"/>
        <v>Sun</v>
      </c>
      <c r="M3927" s="78" t="str">
        <f>IFERROR(VLOOKUP(A3927, Entries!A:B,2,false),"")</f>
        <v>Starbreeze Publishing</v>
      </c>
      <c r="N3927" s="23" t="str">
        <f>IFERROR(VLOOKUP(A3927, Entries!A:K,11,false),"")</f>
        <v/>
      </c>
    </row>
    <row r="3928">
      <c r="A3928" s="78" t="s">
        <v>272</v>
      </c>
      <c r="B3928" s="78" t="s">
        <v>19</v>
      </c>
      <c r="C3928" s="85">
        <v>45146.0</v>
      </c>
      <c r="D3928" s="85">
        <v>45152.0</v>
      </c>
      <c r="E3928" s="86">
        <v>0.94</v>
      </c>
      <c r="F3928" s="87">
        <v>1.28</v>
      </c>
      <c r="G3928" s="88">
        <f t="shared" si="1"/>
        <v>0.34</v>
      </c>
      <c r="H3928" s="89">
        <f t="shared" si="10"/>
        <v>0.265625</v>
      </c>
      <c r="I3928" s="78" t="s">
        <v>4672</v>
      </c>
      <c r="J3928" s="78" t="s">
        <v>69</v>
      </c>
      <c r="K3928" s="58">
        <f t="shared" si="3"/>
        <v>6</v>
      </c>
      <c r="L3928" s="91" t="str">
        <f t="shared" si="8"/>
        <v>Mon</v>
      </c>
      <c r="M3928" s="78" t="str">
        <f>IFERROR(VLOOKUP(A3928, Entries!A:B,2,false),"")</f>
        <v>Starbreeze Publishing</v>
      </c>
      <c r="N3928" s="23" t="str">
        <f>IFERROR(VLOOKUP(A3928, Entries!A:K,11,false),"")</f>
        <v/>
      </c>
    </row>
    <row r="3929">
      <c r="A3929" s="78" t="s">
        <v>4658</v>
      </c>
      <c r="B3929" s="78" t="s">
        <v>19</v>
      </c>
      <c r="C3929" s="85">
        <v>45146.0</v>
      </c>
      <c r="D3929" s="85">
        <v>45177.0</v>
      </c>
      <c r="E3929" s="86">
        <v>0.0</v>
      </c>
      <c r="F3929" s="87">
        <v>0.32</v>
      </c>
      <c r="G3929" s="88">
        <f t="shared" si="1"/>
        <v>0.32</v>
      </c>
      <c r="H3929" s="89">
        <f t="shared" si="10"/>
        <v>1</v>
      </c>
      <c r="I3929" s="78" t="s">
        <v>4673</v>
      </c>
      <c r="J3929" s="78" t="s">
        <v>69</v>
      </c>
      <c r="K3929" s="58">
        <f t="shared" si="3"/>
        <v>31</v>
      </c>
      <c r="L3929" s="91" t="str">
        <f t="shared" si="8"/>
        <v>Fri</v>
      </c>
      <c r="M3929" s="78" t="str">
        <f>IFERROR(VLOOKUP(A3929, Entries!A:B,2,false),"")</f>
        <v>Star Drifters</v>
      </c>
      <c r="N3929" s="23" t="str">
        <f>IFERROR(VLOOKUP(A3929, Entries!A:K,11,false),"")</f>
        <v/>
      </c>
      <c r="O3929" s="23" t="b">
        <f>IFERROR(VLOOKUP(A3929, Entries!A:I,8,false),"")</f>
        <v>0</v>
      </c>
    </row>
    <row r="3930">
      <c r="A3930" s="78" t="s">
        <v>2180</v>
      </c>
      <c r="B3930" s="78" t="s">
        <v>25</v>
      </c>
      <c r="C3930" s="85">
        <v>45146.0</v>
      </c>
      <c r="D3930" s="85">
        <v>45147.0</v>
      </c>
      <c r="E3930" s="86">
        <v>4.71</v>
      </c>
      <c r="F3930" s="87">
        <v>5.64</v>
      </c>
      <c r="G3930" s="88">
        <f t="shared" si="1"/>
        <v>0.93</v>
      </c>
      <c r="H3930" s="89">
        <f t="shared" si="10"/>
        <v>0.164893617</v>
      </c>
      <c r="I3930" s="78" t="s">
        <v>4674</v>
      </c>
      <c r="J3930" s="78" t="s">
        <v>69</v>
      </c>
      <c r="K3930" s="58">
        <f t="shared" si="3"/>
        <v>1</v>
      </c>
      <c r="L3930" s="91" t="str">
        <f t="shared" si="8"/>
        <v>Wed</v>
      </c>
      <c r="M3930" s="78" t="str">
        <f>IFERROR(VLOOKUP(A3930, Entries!A:B,2,false),"")</f>
        <v>Konami</v>
      </c>
      <c r="N3930" s="23" t="str">
        <f>IFERROR(VLOOKUP(A3930, Entries!A:K,11,false),"")</f>
        <v/>
      </c>
    </row>
    <row r="3931">
      <c r="A3931" s="78" t="s">
        <v>2180</v>
      </c>
      <c r="B3931" s="78" t="s">
        <v>25</v>
      </c>
      <c r="C3931" s="85">
        <v>45146.0</v>
      </c>
      <c r="D3931" s="85">
        <v>45147.0</v>
      </c>
      <c r="E3931" s="86">
        <v>4.71</v>
      </c>
      <c r="F3931" s="87">
        <v>5.64</v>
      </c>
      <c r="G3931" s="88">
        <f t="shared" si="1"/>
        <v>0.93</v>
      </c>
      <c r="H3931" s="89">
        <f t="shared" si="10"/>
        <v>0.164893617</v>
      </c>
      <c r="I3931" s="78" t="s">
        <v>4675</v>
      </c>
      <c r="J3931" s="78" t="s">
        <v>69</v>
      </c>
      <c r="K3931" s="58">
        <f t="shared" si="3"/>
        <v>1</v>
      </c>
      <c r="L3931" s="91" t="str">
        <f t="shared" si="8"/>
        <v>Wed</v>
      </c>
      <c r="M3931" s="78" t="str">
        <f>IFERROR(VLOOKUP(A3931, Entries!A:B,2,false),"")</f>
        <v>Konami</v>
      </c>
      <c r="N3931" s="23" t="str">
        <f>IFERROR(VLOOKUP(A3931, Entries!A:K,11,false),"")</f>
        <v/>
      </c>
    </row>
    <row r="3932">
      <c r="A3932" s="78" t="s">
        <v>4494</v>
      </c>
      <c r="B3932" s="78" t="s">
        <v>18</v>
      </c>
      <c r="C3932" s="85">
        <v>45146.0</v>
      </c>
      <c r="D3932" s="85">
        <v>45147.0</v>
      </c>
      <c r="E3932" s="86">
        <v>5.1</v>
      </c>
      <c r="F3932" s="87">
        <v>6.61</v>
      </c>
      <c r="G3932" s="88">
        <f t="shared" si="1"/>
        <v>1.51</v>
      </c>
      <c r="H3932" s="89">
        <f t="shared" si="10"/>
        <v>0.2284417549</v>
      </c>
      <c r="I3932" s="78" t="s">
        <v>4676</v>
      </c>
      <c r="J3932" s="78" t="s">
        <v>69</v>
      </c>
      <c r="K3932" s="58">
        <f t="shared" si="3"/>
        <v>1</v>
      </c>
      <c r="L3932" s="91" t="str">
        <f t="shared" si="8"/>
        <v>Wed</v>
      </c>
      <c r="M3932" s="78" t="str">
        <f>IFERROR(VLOOKUP(A3932, Entries!A:B,2,false),"")</f>
        <v>Skystone Games</v>
      </c>
      <c r="N3932" s="23" t="str">
        <f>IFERROR(VLOOKUP(A3932, Entries!A:K,11,false),"")</f>
        <v/>
      </c>
    </row>
    <row r="3933">
      <c r="A3933" s="78" t="s">
        <v>4494</v>
      </c>
      <c r="B3933" s="78" t="s">
        <v>18</v>
      </c>
      <c r="C3933" s="85">
        <v>45146.0</v>
      </c>
      <c r="D3933" s="85">
        <v>45185.0</v>
      </c>
      <c r="E3933" s="86">
        <v>5.1</v>
      </c>
      <c r="F3933" s="87">
        <v>6.0</v>
      </c>
      <c r="G3933" s="88">
        <f t="shared" si="1"/>
        <v>0.9</v>
      </c>
      <c r="H3933" s="89">
        <f t="shared" si="10"/>
        <v>0.15</v>
      </c>
      <c r="I3933" s="78" t="s">
        <v>4677</v>
      </c>
      <c r="J3933" s="78" t="s">
        <v>69</v>
      </c>
      <c r="K3933" s="58">
        <f t="shared" si="3"/>
        <v>39</v>
      </c>
      <c r="L3933" s="91" t="str">
        <f t="shared" si="8"/>
        <v>Sat</v>
      </c>
      <c r="M3933" s="78" t="str">
        <f>IFERROR(VLOOKUP(A3933, Entries!A:B,2,false),"")</f>
        <v>Skystone Games</v>
      </c>
      <c r="N3933" s="23" t="str">
        <f>IFERROR(VLOOKUP(A3933, Entries!A:K,11,false),"")</f>
        <v/>
      </c>
      <c r="O3933" s="23" t="b">
        <f>IFERROR(VLOOKUP(A3933, Entries!A:I,8,false),"")</f>
        <v>0</v>
      </c>
    </row>
    <row r="3934">
      <c r="A3934" s="78" t="s">
        <v>2624</v>
      </c>
      <c r="B3934" s="78" t="s">
        <v>27</v>
      </c>
      <c r="C3934" s="85">
        <v>45146.0</v>
      </c>
      <c r="D3934" s="85">
        <v>45170.0</v>
      </c>
      <c r="E3934" s="86">
        <v>15.09</v>
      </c>
      <c r="F3934" s="87">
        <v>16.17</v>
      </c>
      <c r="G3934" s="88">
        <f t="shared" si="1"/>
        <v>1.08</v>
      </c>
      <c r="H3934" s="89">
        <f t="shared" si="10"/>
        <v>0.0667903525</v>
      </c>
      <c r="I3934" s="78" t="s">
        <v>4678</v>
      </c>
      <c r="J3934" s="78" t="s">
        <v>69</v>
      </c>
      <c r="K3934" s="58">
        <f t="shared" si="3"/>
        <v>24</v>
      </c>
      <c r="L3934" s="91" t="str">
        <f t="shared" si="8"/>
        <v>Fri</v>
      </c>
      <c r="M3934" s="78" t="str">
        <f>IFERROR(VLOOKUP(A3934, Entries!A:B,2,false),"")</f>
        <v>Daedalic Entertainment</v>
      </c>
      <c r="N3934" s="23" t="str">
        <f>IFERROR(VLOOKUP(A3934, Entries!A:K,11,false),"")</f>
        <v/>
      </c>
    </row>
    <row r="3935">
      <c r="A3935" s="78" t="s">
        <v>4085</v>
      </c>
      <c r="B3935" s="78" t="s">
        <v>27</v>
      </c>
      <c r="C3935" s="85">
        <v>45146.0</v>
      </c>
      <c r="D3935" s="85">
        <v>45147.0</v>
      </c>
      <c r="E3935" s="86">
        <v>6.51</v>
      </c>
      <c r="F3935" s="87">
        <v>8.15</v>
      </c>
      <c r="G3935" s="88">
        <f t="shared" si="1"/>
        <v>1.64</v>
      </c>
      <c r="H3935" s="89">
        <f t="shared" si="10"/>
        <v>0.2012269939</v>
      </c>
      <c r="I3935" s="78" t="s">
        <v>4679</v>
      </c>
      <c r="J3935" s="78" t="s">
        <v>69</v>
      </c>
      <c r="K3935" s="58">
        <f t="shared" si="3"/>
        <v>1</v>
      </c>
      <c r="L3935" s="91" t="str">
        <f t="shared" si="8"/>
        <v>Wed</v>
      </c>
      <c r="M3935" s="78" t="str">
        <f>IFERROR(VLOOKUP(A3935, Entries!A:B,2,false),"")</f>
        <v>Bethesda Softworks</v>
      </c>
      <c r="N3935" s="23" t="str">
        <f>IFERROR(VLOOKUP(A3935, Entries!A:K,11,false),"")</f>
        <v/>
      </c>
    </row>
    <row r="3936">
      <c r="A3936" s="78" t="s">
        <v>3691</v>
      </c>
      <c r="B3936" s="78" t="s">
        <v>27</v>
      </c>
      <c r="C3936" s="85">
        <v>45147.0</v>
      </c>
      <c r="D3936" s="85">
        <v>45153.0</v>
      </c>
      <c r="E3936" s="86">
        <v>4.59</v>
      </c>
      <c r="F3936" s="87">
        <v>7.65</v>
      </c>
      <c r="G3936" s="88">
        <f t="shared" si="1"/>
        <v>3.06</v>
      </c>
      <c r="H3936" s="89">
        <f t="shared" si="10"/>
        <v>0.4</v>
      </c>
      <c r="I3936" s="78" t="s">
        <v>4680</v>
      </c>
      <c r="J3936" s="78" t="s">
        <v>69</v>
      </c>
      <c r="K3936" s="58">
        <f t="shared" si="3"/>
        <v>6</v>
      </c>
      <c r="L3936" s="91" t="str">
        <f t="shared" si="8"/>
        <v>Tue</v>
      </c>
      <c r="M3936" s="78" t="str">
        <f>IFERROR(VLOOKUP(A3936, Entries!A:B,2,false),"")</f>
        <v>Klei Entertainment</v>
      </c>
      <c r="N3936" s="23" t="str">
        <f>IFERROR(VLOOKUP(A3936, Entries!A:K,11,false),"")</f>
        <v/>
      </c>
    </row>
    <row r="3937">
      <c r="A3937" s="78" t="s">
        <v>4085</v>
      </c>
      <c r="B3937" s="78" t="s">
        <v>27</v>
      </c>
      <c r="C3937" s="85">
        <v>45147.0</v>
      </c>
      <c r="D3937" s="85">
        <v>45154.0</v>
      </c>
      <c r="E3937" s="86">
        <v>6.75</v>
      </c>
      <c r="F3937" s="87">
        <v>8.15</v>
      </c>
      <c r="G3937" s="88">
        <f t="shared" si="1"/>
        <v>1.4</v>
      </c>
      <c r="H3937" s="89">
        <f t="shared" si="10"/>
        <v>0.1717791411</v>
      </c>
      <c r="I3937" s="78" t="s">
        <v>4681</v>
      </c>
      <c r="J3937" s="78" t="s">
        <v>69</v>
      </c>
      <c r="K3937" s="58">
        <f t="shared" si="3"/>
        <v>7</v>
      </c>
      <c r="L3937" s="91" t="str">
        <f t="shared" si="8"/>
        <v>Wed</v>
      </c>
      <c r="M3937" s="78" t="str">
        <f>IFERROR(VLOOKUP(A3937, Entries!A:B,2,false),"")</f>
        <v>Bethesda Softworks</v>
      </c>
      <c r="N3937" s="23" t="str">
        <f>IFERROR(VLOOKUP(A3937, Entries!A:K,11,false),"")</f>
        <v/>
      </c>
    </row>
    <row r="3938">
      <c r="A3938" s="78" t="s">
        <v>2180</v>
      </c>
      <c r="B3938" s="78" t="s">
        <v>25</v>
      </c>
      <c r="C3938" s="85">
        <v>45147.0</v>
      </c>
      <c r="D3938" s="85">
        <v>45147.0</v>
      </c>
      <c r="E3938" s="86">
        <v>4.68</v>
      </c>
      <c r="F3938" s="87">
        <v>5.64</v>
      </c>
      <c r="G3938" s="88">
        <f t="shared" si="1"/>
        <v>0.96</v>
      </c>
      <c r="H3938" s="89">
        <f t="shared" si="10"/>
        <v>0.170212766</v>
      </c>
      <c r="I3938" s="78" t="s">
        <v>4682</v>
      </c>
      <c r="J3938" s="78" t="s">
        <v>69</v>
      </c>
      <c r="K3938" s="58">
        <f t="shared" si="3"/>
        <v>0</v>
      </c>
      <c r="L3938" s="91" t="str">
        <f t="shared" si="8"/>
        <v>Wed</v>
      </c>
      <c r="M3938" s="78" t="str">
        <f>IFERROR(VLOOKUP(A3938, Entries!A:B,2,false),"")</f>
        <v>Konami</v>
      </c>
      <c r="N3938" s="23" t="str">
        <f>IFERROR(VLOOKUP(A3938, Entries!A:K,11,false),"")</f>
        <v/>
      </c>
    </row>
    <row r="3939">
      <c r="A3939" s="78" t="s">
        <v>2180</v>
      </c>
      <c r="B3939" s="78" t="s">
        <v>25</v>
      </c>
      <c r="C3939" s="85">
        <v>45147.0</v>
      </c>
      <c r="D3939" s="85">
        <v>45147.0</v>
      </c>
      <c r="E3939" s="86">
        <v>4.68</v>
      </c>
      <c r="F3939" s="87">
        <v>5.64</v>
      </c>
      <c r="G3939" s="88">
        <f t="shared" si="1"/>
        <v>0.96</v>
      </c>
      <c r="H3939" s="89">
        <f t="shared" si="10"/>
        <v>0.170212766</v>
      </c>
      <c r="I3939" s="78" t="s">
        <v>4683</v>
      </c>
      <c r="J3939" s="78" t="s">
        <v>69</v>
      </c>
      <c r="K3939" s="58">
        <f t="shared" si="3"/>
        <v>0</v>
      </c>
      <c r="L3939" s="91" t="str">
        <f t="shared" si="8"/>
        <v>Wed</v>
      </c>
      <c r="M3939" s="78" t="str">
        <f>IFERROR(VLOOKUP(A3939, Entries!A:B,2,false),"")</f>
        <v>Konami</v>
      </c>
      <c r="N3939" s="23" t="str">
        <f>IFERROR(VLOOKUP(A3939, Entries!A:K,11,false),"")</f>
        <v/>
      </c>
    </row>
    <row r="3940">
      <c r="A3940" s="78" t="s">
        <v>2180</v>
      </c>
      <c r="B3940" s="78" t="s">
        <v>25</v>
      </c>
      <c r="C3940" s="85">
        <v>45147.0</v>
      </c>
      <c r="D3940" s="85">
        <v>45148.0</v>
      </c>
      <c r="E3940" s="86">
        <v>4.68</v>
      </c>
      <c r="F3940" s="87">
        <v>6.21</v>
      </c>
      <c r="G3940" s="88">
        <f t="shared" si="1"/>
        <v>1.53</v>
      </c>
      <c r="H3940" s="89">
        <f t="shared" si="10"/>
        <v>0.2463768116</v>
      </c>
      <c r="I3940" s="78" t="s">
        <v>4684</v>
      </c>
      <c r="J3940" s="78" t="s">
        <v>69</v>
      </c>
      <c r="K3940" s="58">
        <f t="shared" si="3"/>
        <v>1</v>
      </c>
      <c r="L3940" s="91" t="str">
        <f t="shared" si="8"/>
        <v>Thu</v>
      </c>
      <c r="M3940" s="78" t="str">
        <f>IFERROR(VLOOKUP(A3940, Entries!A:B,2,false),"")</f>
        <v>Konami</v>
      </c>
      <c r="N3940" s="23" t="str">
        <f>IFERROR(VLOOKUP(A3940, Entries!A:K,11,false),"")</f>
        <v/>
      </c>
    </row>
    <row r="3941">
      <c r="A3941" s="78" t="s">
        <v>2180</v>
      </c>
      <c r="B3941" s="78" t="s">
        <v>25</v>
      </c>
      <c r="C3941" s="85">
        <v>45147.0</v>
      </c>
      <c r="D3941" s="85">
        <v>45149.0</v>
      </c>
      <c r="E3941" s="86">
        <v>4.68</v>
      </c>
      <c r="F3941" s="87">
        <v>6.21</v>
      </c>
      <c r="G3941" s="88">
        <f t="shared" si="1"/>
        <v>1.53</v>
      </c>
      <c r="H3941" s="89">
        <f t="shared" si="10"/>
        <v>0.2463768116</v>
      </c>
      <c r="I3941" s="78" t="s">
        <v>4685</v>
      </c>
      <c r="J3941" s="78" t="s">
        <v>69</v>
      </c>
      <c r="K3941" s="58">
        <f t="shared" si="3"/>
        <v>2</v>
      </c>
      <c r="L3941" s="91" t="str">
        <f t="shared" si="8"/>
        <v>Fri</v>
      </c>
      <c r="M3941" s="78" t="str">
        <f>IFERROR(VLOOKUP(A3941, Entries!A:B,2,false),"")</f>
        <v>Konami</v>
      </c>
      <c r="N3941" s="23" t="str">
        <f>IFERROR(VLOOKUP(A3941, Entries!A:K,11,false),"")</f>
        <v/>
      </c>
    </row>
    <row r="3942">
      <c r="A3942" s="78" t="s">
        <v>2180</v>
      </c>
      <c r="B3942" s="78" t="s">
        <v>25</v>
      </c>
      <c r="C3942" s="85">
        <v>45148.0</v>
      </c>
      <c r="D3942" s="85">
        <v>45149.0</v>
      </c>
      <c r="E3942" s="86">
        <v>4.68</v>
      </c>
      <c r="F3942" s="87">
        <v>6.21</v>
      </c>
      <c r="G3942" s="88">
        <f t="shared" si="1"/>
        <v>1.53</v>
      </c>
      <c r="H3942" s="89">
        <f t="shared" si="10"/>
        <v>0.2463768116</v>
      </c>
      <c r="I3942" s="78" t="s">
        <v>4686</v>
      </c>
      <c r="J3942" s="78" t="s">
        <v>69</v>
      </c>
      <c r="K3942" s="58">
        <f t="shared" si="3"/>
        <v>1</v>
      </c>
      <c r="L3942" s="91" t="str">
        <f t="shared" si="8"/>
        <v>Fri</v>
      </c>
      <c r="M3942" s="78" t="str">
        <f>IFERROR(VLOOKUP(A3942, Entries!A:B,2,false),"")</f>
        <v>Konami</v>
      </c>
      <c r="N3942" s="23" t="str">
        <f>IFERROR(VLOOKUP(A3942, Entries!A:K,11,false),"")</f>
        <v/>
      </c>
    </row>
    <row r="3943">
      <c r="A3943" s="78" t="s">
        <v>2180</v>
      </c>
      <c r="B3943" s="78" t="s">
        <v>25</v>
      </c>
      <c r="C3943" s="85">
        <v>45148.0</v>
      </c>
      <c r="D3943" s="85">
        <v>45148.0</v>
      </c>
      <c r="E3943" s="86">
        <v>4.68</v>
      </c>
      <c r="F3943" s="87">
        <v>5.64</v>
      </c>
      <c r="G3943" s="88">
        <f t="shared" si="1"/>
        <v>0.96</v>
      </c>
      <c r="H3943" s="89">
        <f t="shared" si="10"/>
        <v>0.170212766</v>
      </c>
      <c r="I3943" s="78" t="s">
        <v>4687</v>
      </c>
      <c r="J3943" s="78" t="s">
        <v>69</v>
      </c>
      <c r="K3943" s="58">
        <f t="shared" si="3"/>
        <v>0</v>
      </c>
      <c r="L3943" s="91" t="str">
        <f t="shared" si="8"/>
        <v>Thu</v>
      </c>
      <c r="M3943" s="78" t="str">
        <f>IFERROR(VLOOKUP(A3943, Entries!A:B,2,false),"")</f>
        <v>Konami</v>
      </c>
      <c r="N3943" s="23" t="str">
        <f>IFERROR(VLOOKUP(A3943, Entries!A:K,11,false),"")</f>
        <v/>
      </c>
    </row>
    <row r="3944">
      <c r="A3944" s="78" t="s">
        <v>550</v>
      </c>
      <c r="B3944" s="78" t="s">
        <v>25</v>
      </c>
      <c r="C3944" s="85">
        <v>45148.0</v>
      </c>
      <c r="D3944" s="85">
        <v>45154.0</v>
      </c>
      <c r="E3944" s="86">
        <v>6.57</v>
      </c>
      <c r="F3944" s="87">
        <v>8.77</v>
      </c>
      <c r="G3944" s="88">
        <f t="shared" si="1"/>
        <v>2.2</v>
      </c>
      <c r="H3944" s="89">
        <f t="shared" si="10"/>
        <v>0.2508551881</v>
      </c>
      <c r="I3944" s="78" t="s">
        <v>4688</v>
      </c>
      <c r="J3944" s="78" t="s">
        <v>69</v>
      </c>
      <c r="K3944" s="58">
        <f t="shared" si="3"/>
        <v>6</v>
      </c>
      <c r="L3944" s="91" t="str">
        <f t="shared" si="8"/>
        <v>Wed</v>
      </c>
      <c r="M3944" s="78" t="str">
        <f>IFERROR(VLOOKUP(A3944, Entries!A:B,2,false),"")</f>
        <v>Codemasters</v>
      </c>
      <c r="N3944" s="23" t="str">
        <f>IFERROR(VLOOKUP(A3944, Entries!A:K,11,false),"")</f>
        <v/>
      </c>
    </row>
    <row r="3945">
      <c r="A3945" s="78" t="s">
        <v>3771</v>
      </c>
      <c r="B3945" s="78" t="s">
        <v>27</v>
      </c>
      <c r="C3945" s="85">
        <v>45148.0</v>
      </c>
      <c r="D3945" s="85">
        <v>45179.0</v>
      </c>
      <c r="E3945" s="86">
        <v>9.65</v>
      </c>
      <c r="F3945" s="87">
        <v>11.52</v>
      </c>
      <c r="G3945" s="88">
        <f t="shared" si="1"/>
        <v>1.87</v>
      </c>
      <c r="H3945" s="89">
        <f t="shared" si="10"/>
        <v>0.1623263889</v>
      </c>
      <c r="I3945" s="78" t="s">
        <v>4689</v>
      </c>
      <c r="J3945" s="78" t="s">
        <v>69</v>
      </c>
      <c r="K3945" s="58">
        <f t="shared" si="3"/>
        <v>31</v>
      </c>
      <c r="L3945" s="91" t="str">
        <f t="shared" si="8"/>
        <v>Sun</v>
      </c>
      <c r="M3945" s="78" t="str">
        <f>IFERROR(VLOOKUP(A3945, Entries!A:B,2,false),"")</f>
        <v>Good Shepherd Entertainment</v>
      </c>
      <c r="N3945" s="23" t="str">
        <f>IFERROR(VLOOKUP(A3945, Entries!A:K,11,false),"")</f>
        <v/>
      </c>
      <c r="O3945" s="23" t="b">
        <f>IFERROR(VLOOKUP(A3945, Entries!A:I,8,false),"")</f>
        <v>0</v>
      </c>
    </row>
    <row r="3946">
      <c r="A3946" s="78" t="s">
        <v>4355</v>
      </c>
      <c r="B3946" s="78" t="s">
        <v>25</v>
      </c>
      <c r="C3946" s="85">
        <v>45148.0</v>
      </c>
      <c r="D3946" s="85">
        <v>45163.0</v>
      </c>
      <c r="E3946" s="86">
        <v>25.99</v>
      </c>
      <c r="F3946" s="87">
        <v>31.39</v>
      </c>
      <c r="G3946" s="88">
        <f t="shared" si="1"/>
        <v>5.4</v>
      </c>
      <c r="H3946" s="89">
        <f t="shared" si="10"/>
        <v>0.1720293087</v>
      </c>
      <c r="I3946" s="78" t="s">
        <v>4690</v>
      </c>
      <c r="J3946" s="78" t="s">
        <v>69</v>
      </c>
      <c r="K3946" s="58">
        <f t="shared" si="3"/>
        <v>15</v>
      </c>
      <c r="L3946" s="91" t="str">
        <f t="shared" si="8"/>
        <v>Fri</v>
      </c>
      <c r="M3946" s="78" t="str">
        <f>IFERROR(VLOOKUP(A3946, Entries!A:B,2,false),"")</f>
        <v>Frontier Foundry</v>
      </c>
      <c r="N3946" s="23" t="str">
        <f>IFERROR(VLOOKUP(A3946, Entries!A:K,11,false),"")</f>
        <v/>
      </c>
    </row>
    <row r="3947">
      <c r="A3947" s="78" t="s">
        <v>2180</v>
      </c>
      <c r="B3947" s="78" t="s">
        <v>25</v>
      </c>
      <c r="C3947" s="85">
        <v>45149.0</v>
      </c>
      <c r="D3947" s="85">
        <v>45150.0</v>
      </c>
      <c r="E3947" s="86">
        <v>4.56</v>
      </c>
      <c r="F3947" s="87">
        <v>6.21</v>
      </c>
      <c r="G3947" s="88">
        <f t="shared" si="1"/>
        <v>1.65</v>
      </c>
      <c r="H3947" s="89">
        <f t="shared" si="10"/>
        <v>0.2657004831</v>
      </c>
      <c r="I3947" s="78" t="s">
        <v>4691</v>
      </c>
      <c r="J3947" s="78" t="s">
        <v>69</v>
      </c>
      <c r="K3947" s="58">
        <f t="shared" si="3"/>
        <v>1</v>
      </c>
      <c r="L3947" s="91" t="str">
        <f t="shared" si="8"/>
        <v>Sat</v>
      </c>
      <c r="M3947" s="78" t="str">
        <f>IFERROR(VLOOKUP(A3947, Entries!A:B,2,false),"")</f>
        <v>Konami</v>
      </c>
      <c r="N3947" s="23" t="str">
        <f>IFERROR(VLOOKUP(A3947, Entries!A:K,11,false),"")</f>
        <v/>
      </c>
    </row>
    <row r="3948">
      <c r="A3948" s="78" t="s">
        <v>2180</v>
      </c>
      <c r="B3948" s="78" t="s">
        <v>25</v>
      </c>
      <c r="C3948" s="85">
        <v>45149.0</v>
      </c>
      <c r="D3948" s="85">
        <v>45150.0</v>
      </c>
      <c r="E3948" s="86">
        <v>4.56</v>
      </c>
      <c r="F3948" s="87">
        <v>6.21</v>
      </c>
      <c r="G3948" s="88">
        <f t="shared" si="1"/>
        <v>1.65</v>
      </c>
      <c r="H3948" s="89">
        <f t="shared" si="10"/>
        <v>0.2657004831</v>
      </c>
      <c r="I3948" s="78" t="s">
        <v>4692</v>
      </c>
      <c r="J3948" s="78" t="s">
        <v>69</v>
      </c>
      <c r="K3948" s="58">
        <f t="shared" si="3"/>
        <v>1</v>
      </c>
      <c r="L3948" s="91" t="str">
        <f t="shared" si="8"/>
        <v>Sat</v>
      </c>
      <c r="M3948" s="78" t="str">
        <f>IFERROR(VLOOKUP(A3948, Entries!A:B,2,false),"")</f>
        <v>Konami</v>
      </c>
      <c r="N3948" s="23" t="str">
        <f>IFERROR(VLOOKUP(A3948, Entries!A:K,11,false),"")</f>
        <v/>
      </c>
    </row>
    <row r="3949">
      <c r="A3949" s="78" t="s">
        <v>3930</v>
      </c>
      <c r="B3949" s="78" t="s">
        <v>22</v>
      </c>
      <c r="C3949" s="85">
        <v>45149.0</v>
      </c>
      <c r="D3949" s="85">
        <v>45214.0</v>
      </c>
      <c r="E3949" s="86">
        <v>3.99</v>
      </c>
      <c r="F3949" s="87">
        <v>3.99</v>
      </c>
      <c r="G3949" s="88">
        <f t="shared" si="1"/>
        <v>0</v>
      </c>
      <c r="H3949" s="89">
        <f t="shared" si="10"/>
        <v>0</v>
      </c>
      <c r="I3949" s="78" t="s">
        <v>4693</v>
      </c>
      <c r="J3949" s="78" t="s">
        <v>69</v>
      </c>
      <c r="K3949" s="58">
        <f t="shared" si="3"/>
        <v>65</v>
      </c>
      <c r="L3949" s="91" t="str">
        <f t="shared" si="8"/>
        <v>Sun</v>
      </c>
      <c r="M3949" s="78" t="str">
        <f>IFERROR(VLOOKUP(A3949, Entries!A:B,2,false),"")</f>
        <v>Coatsink</v>
      </c>
      <c r="N3949" s="23" t="str">
        <f>IFERROR(VLOOKUP(A3949, Entries!A:K,11,false),"")</f>
        <v/>
      </c>
      <c r="O3949" s="23" t="b">
        <f>IFERROR(VLOOKUP(A3949, Entries!A:I,8,false),"")</f>
        <v>0</v>
      </c>
    </row>
    <row r="3950">
      <c r="A3950" s="78" t="s">
        <v>2180</v>
      </c>
      <c r="B3950" s="78" t="s">
        <v>25</v>
      </c>
      <c r="C3950" s="85">
        <v>45150.0</v>
      </c>
      <c r="D3950" s="85">
        <v>45150.0</v>
      </c>
      <c r="E3950" s="86">
        <v>4.57</v>
      </c>
      <c r="F3950" s="87">
        <v>6.21</v>
      </c>
      <c r="G3950" s="88">
        <f t="shared" si="1"/>
        <v>1.64</v>
      </c>
      <c r="H3950" s="89">
        <f t="shared" si="10"/>
        <v>0.2640901771</v>
      </c>
      <c r="I3950" s="78" t="s">
        <v>4694</v>
      </c>
      <c r="J3950" s="78" t="s">
        <v>69</v>
      </c>
      <c r="K3950" s="58">
        <f t="shared" si="3"/>
        <v>0</v>
      </c>
      <c r="L3950" s="91" t="str">
        <f t="shared" si="8"/>
        <v>Sat</v>
      </c>
      <c r="M3950" s="78" t="str">
        <f>IFERROR(VLOOKUP(A3950, Entries!A:B,2,false),"")</f>
        <v>Konami</v>
      </c>
      <c r="N3950" s="23" t="str">
        <f>IFERROR(VLOOKUP(A3950, Entries!A:K,11,false),"")</f>
        <v/>
      </c>
    </row>
    <row r="3951">
      <c r="A3951" s="78" t="s">
        <v>2180</v>
      </c>
      <c r="B3951" s="78" t="s">
        <v>25</v>
      </c>
      <c r="C3951" s="85">
        <v>45150.0</v>
      </c>
      <c r="D3951" s="85">
        <v>45151.0</v>
      </c>
      <c r="E3951" s="86">
        <v>4.57</v>
      </c>
      <c r="F3951" s="87">
        <v>6.15</v>
      </c>
      <c r="G3951" s="88">
        <f t="shared" si="1"/>
        <v>1.58</v>
      </c>
      <c r="H3951" s="89">
        <f t="shared" si="10"/>
        <v>0.2569105691</v>
      </c>
      <c r="I3951" s="78" t="s">
        <v>4695</v>
      </c>
      <c r="J3951" s="78" t="s">
        <v>69</v>
      </c>
      <c r="K3951" s="58">
        <f t="shared" si="3"/>
        <v>1</v>
      </c>
      <c r="L3951" s="91" t="str">
        <f t="shared" si="8"/>
        <v>Sun</v>
      </c>
      <c r="M3951" s="78" t="str">
        <f>IFERROR(VLOOKUP(A3951, Entries!A:B,2,false),"")</f>
        <v>Konami</v>
      </c>
      <c r="N3951" s="23" t="str">
        <f>IFERROR(VLOOKUP(A3951, Entries!A:K,11,false),"")</f>
        <v/>
      </c>
    </row>
    <row r="3952">
      <c r="A3952" s="78" t="s">
        <v>2180</v>
      </c>
      <c r="B3952" s="78" t="s">
        <v>25</v>
      </c>
      <c r="C3952" s="85">
        <v>45150.0</v>
      </c>
      <c r="D3952" s="85">
        <v>45153.0</v>
      </c>
      <c r="E3952" s="86">
        <v>4.57</v>
      </c>
      <c r="F3952" s="87">
        <v>6.15</v>
      </c>
      <c r="G3952" s="88">
        <f t="shared" si="1"/>
        <v>1.58</v>
      </c>
      <c r="H3952" s="89">
        <f t="shared" si="10"/>
        <v>0.2569105691</v>
      </c>
      <c r="I3952" s="78" t="s">
        <v>4696</v>
      </c>
      <c r="J3952" s="78" t="s">
        <v>69</v>
      </c>
      <c r="K3952" s="58">
        <f t="shared" si="3"/>
        <v>3</v>
      </c>
      <c r="L3952" s="91" t="str">
        <f t="shared" si="8"/>
        <v>Tue</v>
      </c>
      <c r="M3952" s="78" t="str">
        <f>IFERROR(VLOOKUP(A3952, Entries!A:B,2,false),"")</f>
        <v>Konami</v>
      </c>
      <c r="N3952" s="23" t="str">
        <f>IFERROR(VLOOKUP(A3952, Entries!A:K,11,false),"")</f>
        <v/>
      </c>
    </row>
    <row r="3953">
      <c r="A3953" s="78" t="s">
        <v>4697</v>
      </c>
      <c r="B3953" s="78" t="s">
        <v>19</v>
      </c>
      <c r="C3953" s="85">
        <v>45151.0</v>
      </c>
      <c r="D3953" s="85">
        <v>45151.0</v>
      </c>
      <c r="E3953" s="86">
        <v>9.3</v>
      </c>
      <c r="F3953" s="87">
        <v>11.13</v>
      </c>
      <c r="G3953" s="88">
        <f t="shared" si="1"/>
        <v>1.83</v>
      </c>
      <c r="H3953" s="89">
        <f t="shared" si="10"/>
        <v>0.1644204852</v>
      </c>
      <c r="I3953" s="78" t="s">
        <v>4698</v>
      </c>
      <c r="J3953" s="78" t="s">
        <v>69</v>
      </c>
      <c r="K3953" s="58">
        <f t="shared" si="3"/>
        <v>0</v>
      </c>
      <c r="L3953" s="91" t="str">
        <f t="shared" si="8"/>
        <v>Sun</v>
      </c>
      <c r="M3953" s="78" t="str">
        <f>IFERROR(VLOOKUP(A3953, Entries!A:B,2,false),"")</f>
        <v>Annapurna Interactive</v>
      </c>
      <c r="N3953" s="23" t="str">
        <f>IFERROR(VLOOKUP(A3953, Entries!A:K,11,false),"")</f>
        <v/>
      </c>
    </row>
    <row r="3954">
      <c r="A3954" s="78" t="s">
        <v>272</v>
      </c>
      <c r="B3954" s="78" t="s">
        <v>19</v>
      </c>
      <c r="C3954" s="85">
        <v>45151.0</v>
      </c>
      <c r="D3954" s="85">
        <v>45152.0</v>
      </c>
      <c r="E3954" s="86">
        <v>0.94</v>
      </c>
      <c r="F3954" s="87">
        <v>1.28</v>
      </c>
      <c r="G3954" s="88">
        <f t="shared" si="1"/>
        <v>0.34</v>
      </c>
      <c r="H3954" s="89">
        <f t="shared" si="10"/>
        <v>0.265625</v>
      </c>
      <c r="I3954" s="78" t="s">
        <v>4699</v>
      </c>
      <c r="J3954" s="78" t="s">
        <v>69</v>
      </c>
      <c r="K3954" s="58">
        <f t="shared" si="3"/>
        <v>1</v>
      </c>
      <c r="L3954" s="91" t="str">
        <f t="shared" si="8"/>
        <v>Mon</v>
      </c>
      <c r="M3954" s="78" t="str">
        <f>IFERROR(VLOOKUP(A3954, Entries!A:B,2,false),"")</f>
        <v>Starbreeze Publishing</v>
      </c>
      <c r="N3954" s="23" t="str">
        <f>IFERROR(VLOOKUP(A3954, Entries!A:K,11,false),"")</f>
        <v/>
      </c>
    </row>
    <row r="3955">
      <c r="A3955" s="78" t="s">
        <v>272</v>
      </c>
      <c r="B3955" s="78" t="s">
        <v>19</v>
      </c>
      <c r="C3955" s="85">
        <v>45151.0</v>
      </c>
      <c r="D3955" s="85">
        <v>45152.0</v>
      </c>
      <c r="E3955" s="86">
        <v>0.94</v>
      </c>
      <c r="F3955" s="87">
        <v>1.28</v>
      </c>
      <c r="G3955" s="88">
        <f t="shared" si="1"/>
        <v>0.34</v>
      </c>
      <c r="H3955" s="89">
        <f t="shared" si="10"/>
        <v>0.265625</v>
      </c>
      <c r="I3955" s="78" t="s">
        <v>4700</v>
      </c>
      <c r="J3955" s="78" t="s">
        <v>69</v>
      </c>
      <c r="K3955" s="58">
        <f t="shared" si="3"/>
        <v>1</v>
      </c>
      <c r="L3955" s="91" t="str">
        <f t="shared" si="8"/>
        <v>Mon</v>
      </c>
      <c r="M3955" s="78" t="str">
        <f>IFERROR(VLOOKUP(A3955, Entries!A:B,2,false),"")</f>
        <v>Starbreeze Publishing</v>
      </c>
      <c r="N3955" s="23" t="str">
        <f>IFERROR(VLOOKUP(A3955, Entries!A:K,11,false),"")</f>
        <v/>
      </c>
    </row>
    <row r="3956">
      <c r="A3956" s="78" t="s">
        <v>272</v>
      </c>
      <c r="B3956" s="78" t="s">
        <v>19</v>
      </c>
      <c r="C3956" s="85">
        <v>45151.0</v>
      </c>
      <c r="D3956" s="85">
        <v>45152.0</v>
      </c>
      <c r="E3956" s="86">
        <v>0.94</v>
      </c>
      <c r="F3956" s="87">
        <v>1.28</v>
      </c>
      <c r="G3956" s="88">
        <f t="shared" si="1"/>
        <v>0.34</v>
      </c>
      <c r="H3956" s="89">
        <f t="shared" si="10"/>
        <v>0.265625</v>
      </c>
      <c r="I3956" s="78" t="s">
        <v>4701</v>
      </c>
      <c r="J3956" s="78" t="s">
        <v>69</v>
      </c>
      <c r="K3956" s="58">
        <f t="shared" si="3"/>
        <v>1</v>
      </c>
      <c r="L3956" s="91" t="str">
        <f t="shared" si="8"/>
        <v>Mon</v>
      </c>
      <c r="M3956" s="78" t="str">
        <f>IFERROR(VLOOKUP(A3956, Entries!A:B,2,false),"")</f>
        <v>Starbreeze Publishing</v>
      </c>
      <c r="N3956" s="23" t="str">
        <f>IFERROR(VLOOKUP(A3956, Entries!A:K,11,false),"")</f>
        <v/>
      </c>
    </row>
    <row r="3957">
      <c r="A3957" s="78" t="s">
        <v>4702</v>
      </c>
      <c r="B3957" s="78" t="s">
        <v>19</v>
      </c>
      <c r="C3957" s="85">
        <v>45151.0</v>
      </c>
      <c r="D3957" s="85">
        <v>45153.0</v>
      </c>
      <c r="E3957" s="86">
        <v>0.0</v>
      </c>
      <c r="F3957" s="87">
        <v>0.6</v>
      </c>
      <c r="G3957" s="88">
        <f t="shared" si="1"/>
        <v>0.6</v>
      </c>
      <c r="H3957" s="89">
        <f t="shared" si="10"/>
        <v>1</v>
      </c>
      <c r="I3957" s="78" t="s">
        <v>4703</v>
      </c>
      <c r="J3957" s="78" t="s">
        <v>69</v>
      </c>
      <c r="K3957" s="58">
        <f t="shared" si="3"/>
        <v>2</v>
      </c>
      <c r="L3957" s="91" t="str">
        <f t="shared" si="8"/>
        <v>Tue</v>
      </c>
      <c r="M3957" s="78" t="str">
        <f>IFERROR(VLOOKUP(A3957, Entries!A:B,2,false),"")</f>
        <v>Ninja Robot Dinosaur</v>
      </c>
      <c r="N3957" s="23" t="str">
        <f>IFERROR(VLOOKUP(A3957, Entries!A:K,11,false),"")</f>
        <v/>
      </c>
    </row>
    <row r="3958">
      <c r="A3958" s="78" t="s">
        <v>4697</v>
      </c>
      <c r="B3958" s="78" t="s">
        <v>19</v>
      </c>
      <c r="C3958" s="85">
        <v>45151.0</v>
      </c>
      <c r="D3958" s="85">
        <v>45172.0</v>
      </c>
      <c r="E3958" s="86">
        <v>9.3</v>
      </c>
      <c r="F3958" s="87">
        <v>12.23</v>
      </c>
      <c r="G3958" s="88">
        <f t="shared" si="1"/>
        <v>2.93</v>
      </c>
      <c r="H3958" s="89">
        <f t="shared" si="10"/>
        <v>0.239574816</v>
      </c>
      <c r="I3958" s="78" t="s">
        <v>4704</v>
      </c>
      <c r="J3958" s="78" t="s">
        <v>69</v>
      </c>
      <c r="K3958" s="58">
        <f t="shared" si="3"/>
        <v>21</v>
      </c>
      <c r="L3958" s="91" t="str">
        <f t="shared" si="8"/>
        <v>Sun</v>
      </c>
      <c r="M3958" s="78" t="str">
        <f>IFERROR(VLOOKUP(A3958, Entries!A:B,2,false),"")</f>
        <v>Annapurna Interactive</v>
      </c>
      <c r="N3958" s="23" t="str">
        <f>IFERROR(VLOOKUP(A3958, Entries!A:K,11,false),"")</f>
        <v/>
      </c>
    </row>
    <row r="3959">
      <c r="A3959" s="78" t="s">
        <v>2180</v>
      </c>
      <c r="B3959" s="78" t="s">
        <v>25</v>
      </c>
      <c r="C3959" s="85">
        <v>45151.0</v>
      </c>
      <c r="D3959" s="85">
        <v>45154.0</v>
      </c>
      <c r="E3959" s="86">
        <v>4.57</v>
      </c>
      <c r="F3959" s="87">
        <v>6.15</v>
      </c>
      <c r="G3959" s="88">
        <f t="shared" si="1"/>
        <v>1.58</v>
      </c>
      <c r="H3959" s="89">
        <f t="shared" si="10"/>
        <v>0.2569105691</v>
      </c>
      <c r="I3959" s="78" t="s">
        <v>4705</v>
      </c>
      <c r="J3959" s="78" t="s">
        <v>69</v>
      </c>
      <c r="K3959" s="58">
        <f t="shared" si="3"/>
        <v>3</v>
      </c>
      <c r="L3959" s="91" t="str">
        <f t="shared" si="8"/>
        <v>Wed</v>
      </c>
      <c r="M3959" s="78" t="str">
        <f>IFERROR(VLOOKUP(A3959, Entries!A:B,2,false),"")</f>
        <v>Konami</v>
      </c>
      <c r="N3959" s="23" t="str">
        <f>IFERROR(VLOOKUP(A3959, Entries!A:K,11,false),"")</f>
        <v/>
      </c>
    </row>
    <row r="3960">
      <c r="A3960" s="78" t="s">
        <v>2180</v>
      </c>
      <c r="B3960" s="78" t="s">
        <v>25</v>
      </c>
      <c r="C3960" s="85">
        <v>45151.0</v>
      </c>
      <c r="D3960" s="85">
        <v>45154.0</v>
      </c>
      <c r="E3960" s="86">
        <v>4.57</v>
      </c>
      <c r="F3960" s="87">
        <v>5.62</v>
      </c>
      <c r="G3960" s="88">
        <f t="shared" si="1"/>
        <v>1.05</v>
      </c>
      <c r="H3960" s="89">
        <f t="shared" si="10"/>
        <v>0.1868327402</v>
      </c>
      <c r="I3960" s="78" t="s">
        <v>4706</v>
      </c>
      <c r="J3960" s="78" t="s">
        <v>69</v>
      </c>
      <c r="K3960" s="58">
        <f t="shared" si="3"/>
        <v>3</v>
      </c>
      <c r="L3960" s="91" t="str">
        <f t="shared" si="8"/>
        <v>Wed</v>
      </c>
      <c r="M3960" s="78" t="str">
        <f>IFERROR(VLOOKUP(A3960, Entries!A:B,2,false),"")</f>
        <v>Konami</v>
      </c>
      <c r="N3960" s="23" t="str">
        <f>IFERROR(VLOOKUP(A3960, Entries!A:K,11,false),"")</f>
        <v/>
      </c>
    </row>
    <row r="3961">
      <c r="A3961" s="78" t="s">
        <v>4707</v>
      </c>
      <c r="B3961" s="78" t="s">
        <v>19</v>
      </c>
      <c r="C3961" s="85">
        <v>45152.0</v>
      </c>
      <c r="D3961" s="85">
        <v>45154.0</v>
      </c>
      <c r="E3961" s="86">
        <v>0.0</v>
      </c>
      <c r="F3961" s="87">
        <v>0.71</v>
      </c>
      <c r="G3961" s="88">
        <f t="shared" si="1"/>
        <v>0.71</v>
      </c>
      <c r="H3961" s="89">
        <f t="shared" si="10"/>
        <v>1</v>
      </c>
      <c r="I3961" s="78" t="s">
        <v>4708</v>
      </c>
      <c r="J3961" s="78" t="s">
        <v>69</v>
      </c>
      <c r="K3961" s="58">
        <f t="shared" si="3"/>
        <v>2</v>
      </c>
      <c r="L3961" s="91" t="str">
        <f t="shared" si="8"/>
        <v>Wed</v>
      </c>
      <c r="M3961" s="78" t="str">
        <f>IFERROR(VLOOKUP(A3961, Entries!A:B,2,false),"")</f>
        <v/>
      </c>
      <c r="N3961" s="23" t="str">
        <f>IFERROR(VLOOKUP(A3961, Entries!A:K,11,false),"")</f>
        <v/>
      </c>
    </row>
    <row r="3962">
      <c r="A3962" s="78" t="s">
        <v>4697</v>
      </c>
      <c r="B3962" s="78" t="s">
        <v>19</v>
      </c>
      <c r="C3962" s="85">
        <v>45152.0</v>
      </c>
      <c r="D3962" s="25"/>
      <c r="E3962" s="86">
        <v>9.3</v>
      </c>
      <c r="F3962" s="88"/>
      <c r="G3962" s="88">
        <f t="shared" si="1"/>
        <v>-9.3</v>
      </c>
      <c r="H3962" s="89" t="str">
        <f t="shared" si="10"/>
        <v/>
      </c>
      <c r="I3962" s="103" t="s">
        <v>4709</v>
      </c>
      <c r="J3962" s="78" t="s">
        <v>1129</v>
      </c>
      <c r="K3962" s="58" t="str">
        <f t="shared" si="3"/>
        <v/>
      </c>
      <c r="L3962" s="91" t="str">
        <f t="shared" si="8"/>
        <v/>
      </c>
      <c r="M3962" s="78" t="str">
        <f>IFERROR(VLOOKUP(A3962, Entries!A:B,2,false),"")</f>
        <v>Annapurna Interactive</v>
      </c>
      <c r="N3962" s="23" t="str">
        <f>IFERROR(VLOOKUP(A3962, Entries!A:K,11,false),"")</f>
        <v/>
      </c>
      <c r="O3962" s="23" t="b">
        <f>IFERROR(VLOOKUP(A3962, Entries!A:I,8,false),"")</f>
        <v>0</v>
      </c>
    </row>
    <row r="3963">
      <c r="A3963" s="78" t="s">
        <v>272</v>
      </c>
      <c r="B3963" s="78" t="s">
        <v>19</v>
      </c>
      <c r="C3963" s="85">
        <v>45152.0</v>
      </c>
      <c r="D3963" s="85">
        <v>45152.0</v>
      </c>
      <c r="E3963" s="86">
        <v>0.94</v>
      </c>
      <c r="F3963" s="87">
        <v>1.28</v>
      </c>
      <c r="G3963" s="88">
        <f t="shared" si="1"/>
        <v>0.34</v>
      </c>
      <c r="H3963" s="89">
        <f t="shared" si="10"/>
        <v>0.265625</v>
      </c>
      <c r="I3963" s="78" t="s">
        <v>4710</v>
      </c>
      <c r="J3963" s="78" t="s">
        <v>69</v>
      </c>
      <c r="K3963" s="58">
        <f t="shared" si="3"/>
        <v>0</v>
      </c>
      <c r="L3963" s="91" t="str">
        <f t="shared" si="8"/>
        <v>Mon</v>
      </c>
      <c r="M3963" s="78" t="str">
        <f>IFERROR(VLOOKUP(A3963, Entries!A:B,2,false),"")</f>
        <v>Starbreeze Publishing</v>
      </c>
      <c r="N3963" s="23" t="str">
        <f>IFERROR(VLOOKUP(A3963, Entries!A:K,11,false),"")</f>
        <v/>
      </c>
    </row>
    <row r="3964">
      <c r="A3964" s="78" t="s">
        <v>272</v>
      </c>
      <c r="B3964" s="78" t="s">
        <v>19</v>
      </c>
      <c r="C3964" s="85">
        <v>45152.0</v>
      </c>
      <c r="D3964" s="85">
        <v>45152.0</v>
      </c>
      <c r="E3964" s="86">
        <v>0.94</v>
      </c>
      <c r="F3964" s="87">
        <v>1.28</v>
      </c>
      <c r="G3964" s="88">
        <f t="shared" si="1"/>
        <v>0.34</v>
      </c>
      <c r="H3964" s="89">
        <f t="shared" si="10"/>
        <v>0.265625</v>
      </c>
      <c r="I3964" s="78" t="s">
        <v>4711</v>
      </c>
      <c r="J3964" s="78" t="s">
        <v>69</v>
      </c>
      <c r="K3964" s="58">
        <f t="shared" si="3"/>
        <v>0</v>
      </c>
      <c r="L3964" s="91" t="str">
        <f t="shared" si="8"/>
        <v>Mon</v>
      </c>
      <c r="M3964" s="78" t="str">
        <f>IFERROR(VLOOKUP(A3964, Entries!A:B,2,false),"")</f>
        <v>Starbreeze Publishing</v>
      </c>
      <c r="N3964" s="23" t="str">
        <f>IFERROR(VLOOKUP(A3964, Entries!A:K,11,false),"")</f>
        <v/>
      </c>
    </row>
    <row r="3965">
      <c r="A3965" s="78" t="s">
        <v>272</v>
      </c>
      <c r="B3965" s="78" t="s">
        <v>19</v>
      </c>
      <c r="C3965" s="85">
        <v>45152.0</v>
      </c>
      <c r="D3965" s="85">
        <v>45154.0</v>
      </c>
      <c r="E3965" s="86">
        <v>0.94</v>
      </c>
      <c r="F3965" s="87">
        <v>1.22</v>
      </c>
      <c r="G3965" s="88">
        <f t="shared" si="1"/>
        <v>0.28</v>
      </c>
      <c r="H3965" s="89">
        <f t="shared" si="10"/>
        <v>0.2295081967</v>
      </c>
      <c r="I3965" s="78" t="s">
        <v>4712</v>
      </c>
      <c r="J3965" s="78" t="s">
        <v>69</v>
      </c>
      <c r="K3965" s="58">
        <f t="shared" si="3"/>
        <v>2</v>
      </c>
      <c r="L3965" s="91" t="str">
        <f t="shared" si="8"/>
        <v>Wed</v>
      </c>
      <c r="M3965" s="78" t="str">
        <f>IFERROR(VLOOKUP(A3965, Entries!A:B,2,false),"")</f>
        <v>Starbreeze Publishing</v>
      </c>
      <c r="N3965" s="23" t="str">
        <f>IFERROR(VLOOKUP(A3965, Entries!A:K,11,false),"")</f>
        <v/>
      </c>
    </row>
    <row r="3966">
      <c r="A3966" s="78" t="s">
        <v>3798</v>
      </c>
      <c r="B3966" s="78" t="s">
        <v>19</v>
      </c>
      <c r="C3966" s="85">
        <v>45152.0</v>
      </c>
      <c r="D3966" s="85">
        <v>45171.0</v>
      </c>
      <c r="E3966" s="86">
        <v>9.97</v>
      </c>
      <c r="F3966" s="87">
        <v>12.46</v>
      </c>
      <c r="G3966" s="88">
        <f t="shared" si="1"/>
        <v>2.49</v>
      </c>
      <c r="H3966" s="89">
        <f t="shared" si="10"/>
        <v>0.1998394864</v>
      </c>
      <c r="I3966" s="78" t="s">
        <v>4713</v>
      </c>
      <c r="J3966" s="78" t="s">
        <v>69</v>
      </c>
      <c r="K3966" s="58">
        <f t="shared" si="3"/>
        <v>19</v>
      </c>
      <c r="L3966" s="91" t="str">
        <f t="shared" si="8"/>
        <v>Sat</v>
      </c>
      <c r="M3966" s="78" t="str">
        <f>IFERROR(VLOOKUP(A3966, Entries!A:B,2,false),"")</f>
        <v>Good Shepherd Entertainment</v>
      </c>
      <c r="N3966" s="23" t="str">
        <f>IFERROR(VLOOKUP(A3966, Entries!A:K,11,false),"")</f>
        <v/>
      </c>
    </row>
    <row r="3967">
      <c r="A3967" s="78" t="s">
        <v>272</v>
      </c>
      <c r="B3967" s="78" t="s">
        <v>19</v>
      </c>
      <c r="C3967" s="85">
        <v>45152.0</v>
      </c>
      <c r="D3967" s="85">
        <v>45155.0</v>
      </c>
      <c r="E3967" s="86">
        <v>0.94</v>
      </c>
      <c r="F3967" s="87">
        <v>1.22</v>
      </c>
      <c r="G3967" s="88">
        <f t="shared" si="1"/>
        <v>0.28</v>
      </c>
      <c r="H3967" s="89">
        <f t="shared" si="10"/>
        <v>0.2295081967</v>
      </c>
      <c r="I3967" s="78" t="s">
        <v>4714</v>
      </c>
      <c r="J3967" s="78" t="s">
        <v>69</v>
      </c>
      <c r="K3967" s="58">
        <f t="shared" si="3"/>
        <v>3</v>
      </c>
      <c r="L3967" s="91" t="str">
        <f t="shared" si="8"/>
        <v>Thu</v>
      </c>
      <c r="M3967" s="78" t="str">
        <f>IFERROR(VLOOKUP(A3967, Entries!A:B,2,false),"")</f>
        <v>Starbreeze Publishing</v>
      </c>
      <c r="N3967" s="23" t="str">
        <f>IFERROR(VLOOKUP(A3967, Entries!A:K,11,false),"")</f>
        <v/>
      </c>
    </row>
    <row r="3968">
      <c r="A3968" s="78" t="s">
        <v>272</v>
      </c>
      <c r="B3968" s="78" t="s">
        <v>19</v>
      </c>
      <c r="C3968" s="85">
        <v>45152.0</v>
      </c>
      <c r="D3968" s="85">
        <v>45155.0</v>
      </c>
      <c r="E3968" s="86">
        <v>0.94</v>
      </c>
      <c r="F3968" s="87">
        <v>1.22</v>
      </c>
      <c r="G3968" s="88">
        <f t="shared" si="1"/>
        <v>0.28</v>
      </c>
      <c r="H3968" s="89">
        <f t="shared" si="10"/>
        <v>0.2295081967</v>
      </c>
      <c r="I3968" s="78" t="s">
        <v>4715</v>
      </c>
      <c r="J3968" s="78" t="s">
        <v>69</v>
      </c>
      <c r="K3968" s="58">
        <f t="shared" si="3"/>
        <v>3</v>
      </c>
      <c r="L3968" s="91" t="str">
        <f t="shared" si="8"/>
        <v>Thu</v>
      </c>
      <c r="M3968" s="78" t="str">
        <f>IFERROR(VLOOKUP(A3968, Entries!A:B,2,false),"")</f>
        <v>Starbreeze Publishing</v>
      </c>
      <c r="N3968" s="23" t="str">
        <f>IFERROR(VLOOKUP(A3968, Entries!A:K,11,false),"")</f>
        <v/>
      </c>
    </row>
    <row r="3969">
      <c r="A3969" s="78" t="s">
        <v>4716</v>
      </c>
      <c r="B3969" s="78" t="s">
        <v>27</v>
      </c>
      <c r="C3969" s="85">
        <v>45152.0</v>
      </c>
      <c r="D3969" s="85">
        <v>45332.0</v>
      </c>
      <c r="E3969" s="86">
        <v>16.79</v>
      </c>
      <c r="F3969" s="87">
        <v>17.88</v>
      </c>
      <c r="G3969" s="88">
        <f t="shared" si="1"/>
        <v>1.09</v>
      </c>
      <c r="H3969" s="89">
        <f t="shared" si="10"/>
        <v>0.06096196868</v>
      </c>
      <c r="I3969" s="78" t="s">
        <v>4717</v>
      </c>
      <c r="J3969" s="78" t="s">
        <v>69</v>
      </c>
      <c r="K3969" s="58">
        <f t="shared" si="3"/>
        <v>180</v>
      </c>
      <c r="L3969" s="91" t="str">
        <f t="shared" si="8"/>
        <v>Sat</v>
      </c>
      <c r="M3969" s="78" t="str">
        <f>IFERROR(VLOOKUP(A3969, Entries!A:B,2,false),"")</f>
        <v>Kepler Interactive</v>
      </c>
      <c r="N3969" s="23" t="str">
        <f>IFERROR(VLOOKUP(A3969, Entries!A:K,11,false),"")</f>
        <v/>
      </c>
      <c r="O3969" s="23" t="b">
        <f>IFERROR(VLOOKUP(A3969, Entries!A:I,8,false),"")</f>
        <v>0</v>
      </c>
    </row>
    <row r="3970">
      <c r="A3970" s="78" t="s">
        <v>4718</v>
      </c>
      <c r="B3970" s="78" t="s">
        <v>27</v>
      </c>
      <c r="C3970" s="85">
        <v>45152.0</v>
      </c>
      <c r="D3970" s="85">
        <v>45201.0</v>
      </c>
      <c r="E3970" s="86">
        <v>34.92</v>
      </c>
      <c r="F3970" s="87">
        <v>36.79</v>
      </c>
      <c r="G3970" s="88">
        <f t="shared" si="1"/>
        <v>1.87</v>
      </c>
      <c r="H3970" s="89">
        <f t="shared" si="10"/>
        <v>0.05082902963</v>
      </c>
      <c r="I3970" s="78" t="s">
        <v>4719</v>
      </c>
      <c r="J3970" s="78" t="s">
        <v>69</v>
      </c>
      <c r="K3970" s="58">
        <f t="shared" si="3"/>
        <v>49</v>
      </c>
      <c r="L3970" s="91" t="str">
        <f t="shared" si="8"/>
        <v>Mon</v>
      </c>
      <c r="M3970" s="78" t="str">
        <f>IFERROR(VLOOKUP(A3970, Entries!A:B,2,false),"")</f>
        <v>SEGA</v>
      </c>
      <c r="N3970" s="23" t="str">
        <f>IFERROR(VLOOKUP(A3970, Entries!A:K,11,false),"")</f>
        <v/>
      </c>
      <c r="O3970" s="23" t="b">
        <f>IFERROR(VLOOKUP(A3970, Entries!A:I,8,false),"")</f>
        <v>0</v>
      </c>
    </row>
    <row r="3971">
      <c r="A3971" s="78" t="s">
        <v>3691</v>
      </c>
      <c r="B3971" s="78" t="s">
        <v>27</v>
      </c>
      <c r="C3971" s="85">
        <v>45153.0</v>
      </c>
      <c r="D3971" s="85">
        <v>45155.0</v>
      </c>
      <c r="E3971" s="86">
        <v>4.52</v>
      </c>
      <c r="F3971" s="87">
        <v>7.6</v>
      </c>
      <c r="G3971" s="88">
        <f t="shared" si="1"/>
        <v>3.08</v>
      </c>
      <c r="H3971" s="89">
        <f t="shared" si="10"/>
        <v>0.4052631579</v>
      </c>
      <c r="I3971" s="78" t="s">
        <v>4720</v>
      </c>
      <c r="J3971" s="78" t="s">
        <v>69</v>
      </c>
      <c r="K3971" s="58">
        <f t="shared" si="3"/>
        <v>2</v>
      </c>
      <c r="L3971" s="91" t="str">
        <f t="shared" si="8"/>
        <v>Thu</v>
      </c>
      <c r="M3971" s="78" t="str">
        <f>IFERROR(VLOOKUP(A3971, Entries!A:B,2,false),"")</f>
        <v>Klei Entertainment</v>
      </c>
      <c r="N3971" s="23" t="str">
        <f>IFERROR(VLOOKUP(A3971, Entries!A:K,11,false),"")</f>
        <v/>
      </c>
    </row>
    <row r="3972">
      <c r="A3972" s="78" t="s">
        <v>4085</v>
      </c>
      <c r="B3972" s="78" t="s">
        <v>27</v>
      </c>
      <c r="C3972" s="85">
        <v>45154.0</v>
      </c>
      <c r="D3972" s="85">
        <v>45170.0</v>
      </c>
      <c r="E3972" s="86">
        <v>6.99</v>
      </c>
      <c r="F3972" s="87">
        <v>8.14</v>
      </c>
      <c r="G3972" s="88">
        <f t="shared" si="1"/>
        <v>1.15</v>
      </c>
      <c r="H3972" s="89">
        <f t="shared" si="10"/>
        <v>0.1412776413</v>
      </c>
      <c r="I3972" s="78" t="s">
        <v>4721</v>
      </c>
      <c r="J3972" s="78" t="s">
        <v>69</v>
      </c>
      <c r="K3972" s="58">
        <f t="shared" si="3"/>
        <v>16</v>
      </c>
      <c r="L3972" s="91" t="str">
        <f t="shared" si="8"/>
        <v>Fri</v>
      </c>
      <c r="M3972" s="78" t="str">
        <f>IFERROR(VLOOKUP(A3972, Entries!A:B,2,false),"")</f>
        <v>Bethesda Softworks</v>
      </c>
      <c r="N3972" s="23" t="str">
        <f>IFERROR(VLOOKUP(A3972, Entries!A:K,11,false),"")</f>
        <v/>
      </c>
    </row>
    <row r="3973">
      <c r="A3973" s="78" t="s">
        <v>2180</v>
      </c>
      <c r="B3973" s="78" t="s">
        <v>25</v>
      </c>
      <c r="C3973" s="85">
        <v>45154.0</v>
      </c>
      <c r="D3973" s="85">
        <v>45154.0</v>
      </c>
      <c r="E3973" s="86">
        <v>4.54</v>
      </c>
      <c r="F3973" s="87">
        <v>5.62</v>
      </c>
      <c r="G3973" s="88">
        <f t="shared" si="1"/>
        <v>1.08</v>
      </c>
      <c r="H3973" s="89">
        <f t="shared" si="10"/>
        <v>0.1921708185</v>
      </c>
      <c r="I3973" s="78" t="s">
        <v>4722</v>
      </c>
      <c r="J3973" s="78" t="s">
        <v>69</v>
      </c>
      <c r="K3973" s="58">
        <f t="shared" si="3"/>
        <v>0</v>
      </c>
      <c r="L3973" s="91" t="str">
        <f t="shared" si="8"/>
        <v>Wed</v>
      </c>
      <c r="M3973" s="78" t="str">
        <f>IFERROR(VLOOKUP(A3973, Entries!A:B,2,false),"")</f>
        <v>Konami</v>
      </c>
      <c r="N3973" s="23" t="str">
        <f>IFERROR(VLOOKUP(A3973, Entries!A:K,11,false),"")</f>
        <v/>
      </c>
    </row>
    <row r="3974">
      <c r="A3974" s="78" t="s">
        <v>4566</v>
      </c>
      <c r="B3974" s="78" t="s">
        <v>21</v>
      </c>
      <c r="C3974" s="85">
        <v>45154.0</v>
      </c>
      <c r="D3974" s="85">
        <v>45389.0</v>
      </c>
      <c r="E3974" s="86">
        <v>22.52</v>
      </c>
      <c r="F3974" s="87">
        <v>26.03</v>
      </c>
      <c r="G3974" s="88">
        <f t="shared" si="1"/>
        <v>3.51</v>
      </c>
      <c r="H3974" s="89">
        <f t="shared" si="10"/>
        <v>0.1348444103</v>
      </c>
      <c r="I3974" s="78" t="s">
        <v>4723</v>
      </c>
      <c r="J3974" s="78" t="s">
        <v>69</v>
      </c>
      <c r="K3974" s="58">
        <f t="shared" si="3"/>
        <v>235</v>
      </c>
      <c r="L3974" s="91" t="str">
        <f t="shared" si="8"/>
        <v>Sun</v>
      </c>
      <c r="M3974" s="78" t="str">
        <f>IFERROR(VLOOKUP(A3974, Entries!A:B,2,false),"")</f>
        <v>2K</v>
      </c>
      <c r="N3974" s="23" t="str">
        <f>IFERROR(VLOOKUP(A3974, Entries!A:K,11,false),"")</f>
        <v/>
      </c>
      <c r="O3974" s="23" t="b">
        <f>IFERROR(VLOOKUP(A3974, Entries!A:I,8,false),"")</f>
        <v>0</v>
      </c>
    </row>
    <row r="3975">
      <c r="A3975" s="78" t="s">
        <v>2180</v>
      </c>
      <c r="B3975" s="78" t="s">
        <v>25</v>
      </c>
      <c r="C3975" s="85">
        <v>45154.0</v>
      </c>
      <c r="D3975" s="85">
        <v>45154.0</v>
      </c>
      <c r="E3975" s="86">
        <v>4.54</v>
      </c>
      <c r="F3975" s="87">
        <v>5.62</v>
      </c>
      <c r="G3975" s="88">
        <f t="shared" si="1"/>
        <v>1.08</v>
      </c>
      <c r="H3975" s="89">
        <f t="shared" si="10"/>
        <v>0.1921708185</v>
      </c>
      <c r="I3975" s="78" t="s">
        <v>4724</v>
      </c>
      <c r="J3975" s="78" t="s">
        <v>69</v>
      </c>
      <c r="K3975" s="58">
        <f t="shared" si="3"/>
        <v>0</v>
      </c>
      <c r="L3975" s="91" t="str">
        <f t="shared" si="8"/>
        <v>Wed</v>
      </c>
      <c r="M3975" s="78" t="str">
        <f>IFERROR(VLOOKUP(A3975, Entries!A:B,2,false),"")</f>
        <v>Konami</v>
      </c>
      <c r="N3975" s="23" t="str">
        <f>IFERROR(VLOOKUP(A3975, Entries!A:K,11,false),"")</f>
        <v/>
      </c>
    </row>
    <row r="3976">
      <c r="A3976" s="78" t="s">
        <v>2180</v>
      </c>
      <c r="B3976" s="78" t="s">
        <v>25</v>
      </c>
      <c r="C3976" s="85">
        <v>45154.0</v>
      </c>
      <c r="D3976" s="85">
        <v>45156.0</v>
      </c>
      <c r="E3976" s="86">
        <v>4.51</v>
      </c>
      <c r="F3976" s="87">
        <v>5.62</v>
      </c>
      <c r="G3976" s="88">
        <f t="shared" si="1"/>
        <v>1.11</v>
      </c>
      <c r="H3976" s="89">
        <f t="shared" si="10"/>
        <v>0.1975088968</v>
      </c>
      <c r="I3976" s="78" t="s">
        <v>4725</v>
      </c>
      <c r="J3976" s="78" t="s">
        <v>69</v>
      </c>
      <c r="K3976" s="58">
        <f t="shared" si="3"/>
        <v>2</v>
      </c>
      <c r="L3976" s="91" t="str">
        <f t="shared" si="8"/>
        <v>Fri</v>
      </c>
      <c r="M3976" s="78" t="str">
        <f>IFERROR(VLOOKUP(A3976, Entries!A:B,2,false),"")</f>
        <v>Konami</v>
      </c>
      <c r="N3976" s="23" t="str">
        <f>IFERROR(VLOOKUP(A3976, Entries!A:K,11,false),"")</f>
        <v/>
      </c>
    </row>
    <row r="3977">
      <c r="A3977" s="78" t="s">
        <v>4718</v>
      </c>
      <c r="B3977" s="78" t="s">
        <v>29</v>
      </c>
      <c r="C3977" s="85">
        <v>45154.0</v>
      </c>
      <c r="D3977" s="85">
        <v>45205.0</v>
      </c>
      <c r="E3977" s="86">
        <v>20.52</v>
      </c>
      <c r="F3977" s="87">
        <v>35.89</v>
      </c>
      <c r="G3977" s="88">
        <f t="shared" si="1"/>
        <v>15.37</v>
      </c>
      <c r="H3977" s="89">
        <f t="shared" si="10"/>
        <v>0.4282529953</v>
      </c>
      <c r="I3977" s="78" t="s">
        <v>4726</v>
      </c>
      <c r="J3977" s="78" t="s">
        <v>69</v>
      </c>
      <c r="K3977" s="58">
        <f t="shared" si="3"/>
        <v>51</v>
      </c>
      <c r="L3977" s="91" t="str">
        <f t="shared" si="8"/>
        <v>Fri</v>
      </c>
      <c r="M3977" s="78" t="str">
        <f>IFERROR(VLOOKUP(A3977, Entries!A:B,2,false),"")</f>
        <v>SEGA</v>
      </c>
      <c r="N3977" s="23" t="str">
        <f>IFERROR(VLOOKUP(A3977, Entries!A:K,11,false),"")</f>
        <v/>
      </c>
      <c r="O3977" s="23" t="b">
        <f>IFERROR(VLOOKUP(A3977, Entries!A:I,8,false),"")</f>
        <v>0</v>
      </c>
    </row>
    <row r="3978">
      <c r="A3978" s="78" t="s">
        <v>4718</v>
      </c>
      <c r="B3978" s="78" t="s">
        <v>29</v>
      </c>
      <c r="C3978" s="85">
        <v>45154.0</v>
      </c>
      <c r="D3978" s="85">
        <v>45208.0</v>
      </c>
      <c r="E3978" s="86">
        <v>20.52</v>
      </c>
      <c r="F3978" s="87">
        <v>35.89</v>
      </c>
      <c r="G3978" s="88">
        <f t="shared" si="1"/>
        <v>15.37</v>
      </c>
      <c r="H3978" s="89">
        <f t="shared" si="10"/>
        <v>0.4282529953</v>
      </c>
      <c r="I3978" s="78" t="s">
        <v>4727</v>
      </c>
      <c r="J3978" s="78" t="s">
        <v>69</v>
      </c>
      <c r="K3978" s="58">
        <f t="shared" si="3"/>
        <v>54</v>
      </c>
      <c r="L3978" s="91" t="str">
        <f t="shared" si="8"/>
        <v>Mon</v>
      </c>
      <c r="M3978" s="78" t="str">
        <f>IFERROR(VLOOKUP(A3978, Entries!A:B,2,false),"")</f>
        <v>SEGA</v>
      </c>
      <c r="N3978" s="23" t="str">
        <f>IFERROR(VLOOKUP(A3978, Entries!A:K,11,false),"")</f>
        <v/>
      </c>
      <c r="O3978" s="23" t="b">
        <f>IFERROR(VLOOKUP(A3978, Entries!A:I,8,false),"")</f>
        <v>0</v>
      </c>
    </row>
    <row r="3979">
      <c r="A3979" s="78" t="s">
        <v>4718</v>
      </c>
      <c r="B3979" s="78" t="s">
        <v>29</v>
      </c>
      <c r="C3979" s="85">
        <v>45154.0</v>
      </c>
      <c r="D3979" s="85">
        <v>45212.0</v>
      </c>
      <c r="E3979" s="86">
        <v>20.53</v>
      </c>
      <c r="F3979" s="87">
        <v>35.89</v>
      </c>
      <c r="G3979" s="88">
        <f t="shared" si="1"/>
        <v>15.36</v>
      </c>
      <c r="H3979" s="89">
        <f t="shared" si="10"/>
        <v>0.4279743661</v>
      </c>
      <c r="I3979" s="78" t="s">
        <v>4728</v>
      </c>
      <c r="J3979" s="78" t="s">
        <v>69</v>
      </c>
      <c r="K3979" s="58">
        <f t="shared" si="3"/>
        <v>58</v>
      </c>
      <c r="L3979" s="91" t="str">
        <f t="shared" si="8"/>
        <v>Fri</v>
      </c>
      <c r="M3979" s="78" t="str">
        <f>IFERROR(VLOOKUP(A3979, Entries!A:B,2,false),"")</f>
        <v>SEGA</v>
      </c>
      <c r="N3979" s="23" t="str">
        <f>IFERROR(VLOOKUP(A3979, Entries!A:K,11,false),"")</f>
        <v/>
      </c>
      <c r="O3979" s="23" t="b">
        <f>IFERROR(VLOOKUP(A3979, Entries!A:I,8,false),"")</f>
        <v>0</v>
      </c>
    </row>
    <row r="3980">
      <c r="A3980" s="78" t="s">
        <v>550</v>
      </c>
      <c r="B3980" s="78" t="s">
        <v>25</v>
      </c>
      <c r="C3980" s="85">
        <v>45155.0</v>
      </c>
      <c r="D3980" s="85">
        <v>45157.0</v>
      </c>
      <c r="E3980" s="86">
        <v>6.57</v>
      </c>
      <c r="F3980" s="87">
        <v>8.68</v>
      </c>
      <c r="G3980" s="88">
        <f t="shared" si="1"/>
        <v>2.11</v>
      </c>
      <c r="H3980" s="89">
        <f t="shared" si="10"/>
        <v>0.2430875576</v>
      </c>
      <c r="I3980" s="78" t="s">
        <v>4729</v>
      </c>
      <c r="J3980" s="78" t="s">
        <v>69</v>
      </c>
      <c r="K3980" s="58">
        <f t="shared" si="3"/>
        <v>2</v>
      </c>
      <c r="L3980" s="91" t="str">
        <f t="shared" si="8"/>
        <v>Sat</v>
      </c>
      <c r="M3980" s="78" t="str">
        <f>IFERROR(VLOOKUP(A3980, Entries!A:B,2,false),"")</f>
        <v>Codemasters</v>
      </c>
      <c r="N3980" s="23" t="str">
        <f>IFERROR(VLOOKUP(A3980, Entries!A:K,11,false),"")</f>
        <v/>
      </c>
    </row>
    <row r="3981">
      <c r="A3981" s="78" t="s">
        <v>2180</v>
      </c>
      <c r="B3981" s="78" t="s">
        <v>25</v>
      </c>
      <c r="C3981" s="85">
        <v>45155.0</v>
      </c>
      <c r="D3981" s="85">
        <v>45156.0</v>
      </c>
      <c r="E3981" s="86">
        <v>4.5</v>
      </c>
      <c r="F3981" s="87">
        <v>5.62</v>
      </c>
      <c r="G3981" s="88">
        <f t="shared" si="1"/>
        <v>1.12</v>
      </c>
      <c r="H3981" s="89">
        <f t="shared" si="10"/>
        <v>0.1992882562</v>
      </c>
      <c r="I3981" s="78" t="s">
        <v>4730</v>
      </c>
      <c r="J3981" s="78" t="s">
        <v>69</v>
      </c>
      <c r="K3981" s="58">
        <f t="shared" si="3"/>
        <v>1</v>
      </c>
      <c r="L3981" s="91" t="str">
        <f t="shared" si="8"/>
        <v>Fri</v>
      </c>
      <c r="M3981" s="78" t="str">
        <f>IFERROR(VLOOKUP(A3981, Entries!A:B,2,false),"")</f>
        <v>Konami</v>
      </c>
      <c r="N3981" s="23" t="str">
        <f>IFERROR(VLOOKUP(A3981, Entries!A:K,11,false),"")</f>
        <v/>
      </c>
    </row>
    <row r="3982">
      <c r="A3982" s="78" t="s">
        <v>272</v>
      </c>
      <c r="B3982" s="78" t="s">
        <v>19</v>
      </c>
      <c r="C3982" s="85">
        <v>45155.0</v>
      </c>
      <c r="D3982" s="85">
        <v>45155.0</v>
      </c>
      <c r="E3982" s="86">
        <v>0.94</v>
      </c>
      <c r="F3982" s="87">
        <v>1.22</v>
      </c>
      <c r="G3982" s="88">
        <f t="shared" si="1"/>
        <v>0.28</v>
      </c>
      <c r="H3982" s="89">
        <f t="shared" si="10"/>
        <v>0.2295081967</v>
      </c>
      <c r="I3982" s="78" t="s">
        <v>4731</v>
      </c>
      <c r="J3982" s="78" t="s">
        <v>69</v>
      </c>
      <c r="K3982" s="58">
        <f t="shared" si="3"/>
        <v>0</v>
      </c>
      <c r="L3982" s="91" t="str">
        <f t="shared" si="8"/>
        <v>Thu</v>
      </c>
      <c r="M3982" s="78" t="str">
        <f>IFERROR(VLOOKUP(A3982, Entries!A:B,2,false),"")</f>
        <v>Starbreeze Publishing</v>
      </c>
      <c r="N3982" s="23" t="str">
        <f>IFERROR(VLOOKUP(A3982, Entries!A:K,11,false),"")</f>
        <v/>
      </c>
    </row>
    <row r="3983">
      <c r="A3983" s="78" t="s">
        <v>272</v>
      </c>
      <c r="B3983" s="78" t="s">
        <v>19</v>
      </c>
      <c r="C3983" s="85">
        <v>45155.0</v>
      </c>
      <c r="D3983" s="85">
        <v>45155.0</v>
      </c>
      <c r="E3983" s="86">
        <v>0.94</v>
      </c>
      <c r="F3983" s="87">
        <v>1.22</v>
      </c>
      <c r="G3983" s="88">
        <f t="shared" si="1"/>
        <v>0.28</v>
      </c>
      <c r="H3983" s="89">
        <f t="shared" si="10"/>
        <v>0.2295081967</v>
      </c>
      <c r="I3983" s="78" t="s">
        <v>4732</v>
      </c>
      <c r="J3983" s="78" t="s">
        <v>69</v>
      </c>
      <c r="K3983" s="58">
        <f t="shared" si="3"/>
        <v>0</v>
      </c>
      <c r="L3983" s="91" t="str">
        <f t="shared" si="8"/>
        <v>Thu</v>
      </c>
      <c r="M3983" s="78" t="str">
        <f>IFERROR(VLOOKUP(A3983, Entries!A:B,2,false),"")</f>
        <v>Starbreeze Publishing</v>
      </c>
      <c r="N3983" s="23" t="str">
        <f>IFERROR(VLOOKUP(A3983, Entries!A:K,11,false),"")</f>
        <v/>
      </c>
    </row>
    <row r="3984">
      <c r="A3984" s="78" t="s">
        <v>272</v>
      </c>
      <c r="B3984" s="78" t="s">
        <v>19</v>
      </c>
      <c r="C3984" s="85">
        <v>45155.0</v>
      </c>
      <c r="D3984" s="85">
        <v>45155.0</v>
      </c>
      <c r="E3984" s="86">
        <v>0.94</v>
      </c>
      <c r="F3984" s="87">
        <v>1.22</v>
      </c>
      <c r="G3984" s="88">
        <f t="shared" si="1"/>
        <v>0.28</v>
      </c>
      <c r="H3984" s="89">
        <f t="shared" si="10"/>
        <v>0.2295081967</v>
      </c>
      <c r="I3984" s="78" t="s">
        <v>4733</v>
      </c>
      <c r="J3984" s="78" t="s">
        <v>69</v>
      </c>
      <c r="K3984" s="58">
        <f t="shared" si="3"/>
        <v>0</v>
      </c>
      <c r="L3984" s="91" t="str">
        <f t="shared" si="8"/>
        <v>Thu</v>
      </c>
      <c r="M3984" s="78" t="str">
        <f>IFERROR(VLOOKUP(A3984, Entries!A:B,2,false),"")</f>
        <v>Starbreeze Publishing</v>
      </c>
      <c r="N3984" s="23" t="str">
        <f>IFERROR(VLOOKUP(A3984, Entries!A:K,11,false),"")</f>
        <v/>
      </c>
    </row>
    <row r="3985">
      <c r="A3985" s="78" t="s">
        <v>272</v>
      </c>
      <c r="B3985" s="78" t="s">
        <v>19</v>
      </c>
      <c r="C3985" s="85">
        <v>45155.0</v>
      </c>
      <c r="D3985" s="85">
        <v>45155.0</v>
      </c>
      <c r="E3985" s="86">
        <v>0.94</v>
      </c>
      <c r="F3985" s="87">
        <v>1.22</v>
      </c>
      <c r="G3985" s="88">
        <f t="shared" si="1"/>
        <v>0.28</v>
      </c>
      <c r="H3985" s="89">
        <f t="shared" si="10"/>
        <v>0.2295081967</v>
      </c>
      <c r="I3985" s="78" t="s">
        <v>4734</v>
      </c>
      <c r="J3985" s="78" t="s">
        <v>69</v>
      </c>
      <c r="K3985" s="58">
        <f t="shared" si="3"/>
        <v>0</v>
      </c>
      <c r="L3985" s="91" t="str">
        <f t="shared" si="8"/>
        <v>Thu</v>
      </c>
      <c r="M3985" s="78" t="str">
        <f>IFERROR(VLOOKUP(A3985, Entries!A:B,2,false),"")</f>
        <v>Starbreeze Publishing</v>
      </c>
      <c r="N3985" s="23" t="str">
        <f>IFERROR(VLOOKUP(A3985, Entries!A:K,11,false),"")</f>
        <v/>
      </c>
    </row>
    <row r="3986">
      <c r="A3986" s="78" t="s">
        <v>272</v>
      </c>
      <c r="B3986" s="78" t="s">
        <v>19</v>
      </c>
      <c r="C3986" s="85">
        <v>45155.0</v>
      </c>
      <c r="D3986" s="85">
        <v>45158.0</v>
      </c>
      <c r="E3986" s="86">
        <v>0.94</v>
      </c>
      <c r="F3986" s="87">
        <v>1.22</v>
      </c>
      <c r="G3986" s="88">
        <f t="shared" si="1"/>
        <v>0.28</v>
      </c>
      <c r="H3986" s="89">
        <f t="shared" si="10"/>
        <v>0.2295081967</v>
      </c>
      <c r="I3986" s="78" t="s">
        <v>4735</v>
      </c>
      <c r="J3986" s="78" t="s">
        <v>69</v>
      </c>
      <c r="K3986" s="58">
        <f t="shared" si="3"/>
        <v>3</v>
      </c>
      <c r="L3986" s="91" t="str">
        <f t="shared" si="8"/>
        <v>Sun</v>
      </c>
      <c r="M3986" s="78" t="str">
        <f>IFERROR(VLOOKUP(A3986, Entries!A:B,2,false),"")</f>
        <v>Starbreeze Publishing</v>
      </c>
      <c r="N3986" s="23" t="str">
        <f>IFERROR(VLOOKUP(A3986, Entries!A:K,11,false),"")</f>
        <v/>
      </c>
    </row>
    <row r="3987">
      <c r="A3987" s="78" t="s">
        <v>2611</v>
      </c>
      <c r="B3987" s="78" t="s">
        <v>22</v>
      </c>
      <c r="C3987" s="85">
        <v>45155.0</v>
      </c>
      <c r="D3987" s="85">
        <v>45192.0</v>
      </c>
      <c r="E3987" s="86">
        <v>11.72</v>
      </c>
      <c r="F3987" s="87">
        <v>25.09</v>
      </c>
      <c r="G3987" s="88">
        <f t="shared" si="1"/>
        <v>13.37</v>
      </c>
      <c r="H3987" s="89">
        <f t="shared" si="10"/>
        <v>0.5328816261</v>
      </c>
      <c r="I3987" s="78" t="s">
        <v>4736</v>
      </c>
      <c r="J3987" s="78" t="s">
        <v>69</v>
      </c>
      <c r="K3987" s="58">
        <f t="shared" si="3"/>
        <v>37</v>
      </c>
      <c r="L3987" s="91" t="str">
        <f t="shared" si="8"/>
        <v>Sat</v>
      </c>
      <c r="M3987" s="78" t="str">
        <f>IFERROR(VLOOKUP(A3987, Entries!A:B,2,false),"")</f>
        <v>Ninja Kiwi</v>
      </c>
      <c r="N3987" s="23" t="str">
        <f>IFERROR(VLOOKUP(A3987, Entries!A:K,11,false),"")</f>
        <v/>
      </c>
      <c r="O3987" s="23" t="b">
        <f>IFERROR(VLOOKUP(A3987, Entries!A:I,8,false),"")</f>
        <v>0</v>
      </c>
    </row>
    <row r="3988">
      <c r="A3988" s="78" t="s">
        <v>2611</v>
      </c>
      <c r="B3988" s="78" t="s">
        <v>22</v>
      </c>
      <c r="C3988" s="85">
        <v>45155.0</v>
      </c>
      <c r="D3988" s="85">
        <v>45208.0</v>
      </c>
      <c r="E3988" s="86">
        <v>11.72</v>
      </c>
      <c r="F3988" s="87">
        <v>25.05</v>
      </c>
      <c r="G3988" s="88">
        <f t="shared" si="1"/>
        <v>13.33</v>
      </c>
      <c r="H3988" s="89">
        <f t="shared" si="10"/>
        <v>0.5321357285</v>
      </c>
      <c r="I3988" s="78" t="s">
        <v>4737</v>
      </c>
      <c r="J3988" s="78" t="s">
        <v>69</v>
      </c>
      <c r="K3988" s="58">
        <f t="shared" si="3"/>
        <v>53</v>
      </c>
      <c r="L3988" s="91" t="str">
        <f t="shared" si="8"/>
        <v>Mon</v>
      </c>
      <c r="M3988" s="78" t="str">
        <f>IFERROR(VLOOKUP(A3988, Entries!A:B,2,false),"")</f>
        <v>Ninja Kiwi</v>
      </c>
      <c r="N3988" s="23" t="str">
        <f>IFERROR(VLOOKUP(A3988, Entries!A:K,11,false),"")</f>
        <v/>
      </c>
      <c r="O3988" s="23" t="b">
        <f>IFERROR(VLOOKUP(A3988, Entries!A:I,8,false),"")</f>
        <v>0</v>
      </c>
    </row>
    <row r="3989">
      <c r="A3989" s="78" t="s">
        <v>3691</v>
      </c>
      <c r="B3989" s="78" t="s">
        <v>27</v>
      </c>
      <c r="C3989" s="85">
        <v>45156.0</v>
      </c>
      <c r="D3989" s="85">
        <v>45157.0</v>
      </c>
      <c r="E3989" s="86">
        <v>4.59</v>
      </c>
      <c r="F3989" s="87">
        <v>7.73</v>
      </c>
      <c r="G3989" s="88">
        <f t="shared" si="1"/>
        <v>3.14</v>
      </c>
      <c r="H3989" s="89">
        <f t="shared" si="10"/>
        <v>0.4062095731</v>
      </c>
      <c r="I3989" s="78" t="s">
        <v>4738</v>
      </c>
      <c r="J3989" s="78" t="s">
        <v>69</v>
      </c>
      <c r="K3989" s="58">
        <f t="shared" si="3"/>
        <v>1</v>
      </c>
      <c r="L3989" s="91" t="str">
        <f t="shared" si="8"/>
        <v>Sat</v>
      </c>
      <c r="M3989" s="78" t="str">
        <f>IFERROR(VLOOKUP(A3989, Entries!A:B,2,false),"")</f>
        <v>Klei Entertainment</v>
      </c>
      <c r="N3989" s="23" t="str">
        <f>IFERROR(VLOOKUP(A3989, Entries!A:K,11,false),"")</f>
        <v/>
      </c>
    </row>
    <row r="3990">
      <c r="A3990" s="78" t="s">
        <v>4096</v>
      </c>
      <c r="B3990" s="78" t="s">
        <v>25</v>
      </c>
      <c r="C3990" s="85">
        <v>45156.0</v>
      </c>
      <c r="D3990" s="85">
        <v>45185.0</v>
      </c>
      <c r="E3990" s="86">
        <v>26.5</v>
      </c>
      <c r="F3990" s="87">
        <v>36.8</v>
      </c>
      <c r="G3990" s="88">
        <f t="shared" si="1"/>
        <v>10.3</v>
      </c>
      <c r="H3990" s="89">
        <f t="shared" si="10"/>
        <v>0.2798913043</v>
      </c>
      <c r="I3990" s="78" t="s">
        <v>4739</v>
      </c>
      <c r="J3990" s="78" t="s">
        <v>69</v>
      </c>
      <c r="K3990" s="58">
        <f t="shared" si="3"/>
        <v>29</v>
      </c>
      <c r="L3990" s="91" t="str">
        <f t="shared" si="8"/>
        <v>Sat</v>
      </c>
      <c r="M3990" s="78" t="str">
        <f>IFERROR(VLOOKUP(A3990, Entries!A:B,2,false),"")</f>
        <v>Crate Entertainment</v>
      </c>
      <c r="N3990" s="23" t="str">
        <f>IFERROR(VLOOKUP(A3990, Entries!A:K,11,false),"")</f>
        <v/>
      </c>
      <c r="O3990" s="23" t="b">
        <f>IFERROR(VLOOKUP(A3990, Entries!A:I,8,false),"")</f>
        <v>0</v>
      </c>
    </row>
    <row r="3991">
      <c r="A3991" s="78" t="s">
        <v>2180</v>
      </c>
      <c r="B3991" s="78" t="s">
        <v>25</v>
      </c>
      <c r="C3991" s="85">
        <v>45156.0</v>
      </c>
      <c r="D3991" s="85">
        <v>45157.0</v>
      </c>
      <c r="E3991" s="86">
        <v>4.46</v>
      </c>
      <c r="F3991" s="87">
        <v>5.13</v>
      </c>
      <c r="G3991" s="88">
        <f t="shared" si="1"/>
        <v>0.67</v>
      </c>
      <c r="H3991" s="89">
        <f t="shared" si="10"/>
        <v>0.1306042885</v>
      </c>
      <c r="I3991" s="78" t="s">
        <v>4740</v>
      </c>
      <c r="J3991" s="78" t="s">
        <v>69</v>
      </c>
      <c r="K3991" s="58">
        <f t="shared" si="3"/>
        <v>1</v>
      </c>
      <c r="L3991" s="91" t="str">
        <f t="shared" si="8"/>
        <v>Sat</v>
      </c>
      <c r="M3991" s="78" t="str">
        <f>IFERROR(VLOOKUP(A3991, Entries!A:B,2,false),"")</f>
        <v>Konami</v>
      </c>
      <c r="N3991" s="23" t="str">
        <f>IFERROR(VLOOKUP(A3991, Entries!A:K,11,false),"")</f>
        <v/>
      </c>
    </row>
    <row r="3992">
      <c r="A3992" s="78" t="s">
        <v>4466</v>
      </c>
      <c r="B3992" s="78" t="s">
        <v>22</v>
      </c>
      <c r="C3992" s="85">
        <v>45156.0</v>
      </c>
      <c r="D3992" s="85">
        <v>45158.0</v>
      </c>
      <c r="E3992" s="86">
        <v>4.36</v>
      </c>
      <c r="F3992" s="87">
        <v>5.16</v>
      </c>
      <c r="G3992" s="88">
        <f t="shared" si="1"/>
        <v>0.8</v>
      </c>
      <c r="H3992" s="89">
        <f t="shared" si="10"/>
        <v>0.1550387597</v>
      </c>
      <c r="I3992" s="78" t="s">
        <v>4741</v>
      </c>
      <c r="J3992" s="78" t="s">
        <v>69</v>
      </c>
      <c r="K3992" s="58">
        <f t="shared" si="3"/>
        <v>2</v>
      </c>
      <c r="L3992" s="91" t="str">
        <f t="shared" si="8"/>
        <v>Sun</v>
      </c>
      <c r="M3992" s="78" t="str">
        <f>IFERROR(VLOOKUP(A3992, Entries!A:B,2,false),"")</f>
        <v>SCKR Games</v>
      </c>
      <c r="N3992" s="23" t="str">
        <f>IFERROR(VLOOKUP(A3992, Entries!A:K,11,false),"")</f>
        <v/>
      </c>
    </row>
    <row r="3993">
      <c r="A3993" s="78" t="s">
        <v>4466</v>
      </c>
      <c r="B3993" s="78" t="s">
        <v>22</v>
      </c>
      <c r="C3993" s="85">
        <v>45156.0</v>
      </c>
      <c r="D3993" s="85">
        <v>45158.0</v>
      </c>
      <c r="E3993" s="86">
        <v>4.36</v>
      </c>
      <c r="F3993" s="87">
        <v>5.16</v>
      </c>
      <c r="G3993" s="88">
        <f t="shared" si="1"/>
        <v>0.8</v>
      </c>
      <c r="H3993" s="89">
        <f t="shared" si="10"/>
        <v>0.1550387597</v>
      </c>
      <c r="I3993" s="78" t="s">
        <v>4742</v>
      </c>
      <c r="J3993" s="78" t="s">
        <v>69</v>
      </c>
      <c r="K3993" s="58">
        <f t="shared" si="3"/>
        <v>2</v>
      </c>
      <c r="L3993" s="91" t="str">
        <f t="shared" si="8"/>
        <v>Sun</v>
      </c>
      <c r="M3993" s="78" t="str">
        <f>IFERROR(VLOOKUP(A3993, Entries!A:B,2,false),"")</f>
        <v>SCKR Games</v>
      </c>
      <c r="N3993" s="23" t="str">
        <f>IFERROR(VLOOKUP(A3993, Entries!A:K,11,false),"")</f>
        <v/>
      </c>
    </row>
    <row r="3994">
      <c r="A3994" s="78" t="s">
        <v>4466</v>
      </c>
      <c r="B3994" s="78" t="s">
        <v>22</v>
      </c>
      <c r="C3994" s="85">
        <v>45156.0</v>
      </c>
      <c r="D3994" s="85">
        <v>45158.0</v>
      </c>
      <c r="E3994" s="86">
        <v>4.36</v>
      </c>
      <c r="F3994" s="87">
        <v>5.13</v>
      </c>
      <c r="G3994" s="88">
        <f t="shared" si="1"/>
        <v>0.77</v>
      </c>
      <c r="H3994" s="89">
        <f t="shared" si="10"/>
        <v>0.1500974659</v>
      </c>
      <c r="I3994" s="78" t="s">
        <v>4743</v>
      </c>
      <c r="J3994" s="78" t="s">
        <v>69</v>
      </c>
      <c r="K3994" s="58">
        <f t="shared" si="3"/>
        <v>2</v>
      </c>
      <c r="L3994" s="91" t="str">
        <f t="shared" si="8"/>
        <v>Sun</v>
      </c>
      <c r="M3994" s="78" t="str">
        <f>IFERROR(VLOOKUP(A3994, Entries!A:B,2,false),"")</f>
        <v>SCKR Games</v>
      </c>
      <c r="N3994" s="23" t="str">
        <f>IFERROR(VLOOKUP(A3994, Entries!A:K,11,false),"")</f>
        <v/>
      </c>
    </row>
    <row r="3995">
      <c r="A3995" s="78" t="s">
        <v>4466</v>
      </c>
      <c r="B3995" s="78" t="s">
        <v>22</v>
      </c>
      <c r="C3995" s="85">
        <v>45156.0</v>
      </c>
      <c r="D3995" s="85">
        <v>45158.0</v>
      </c>
      <c r="E3995" s="86">
        <v>4.36</v>
      </c>
      <c r="F3995" s="87">
        <v>5.13</v>
      </c>
      <c r="G3995" s="88">
        <f t="shared" si="1"/>
        <v>0.77</v>
      </c>
      <c r="H3995" s="89">
        <f t="shared" si="10"/>
        <v>0.1500974659</v>
      </c>
      <c r="I3995" s="78" t="s">
        <v>4744</v>
      </c>
      <c r="J3995" s="78" t="s">
        <v>69</v>
      </c>
      <c r="K3995" s="58">
        <f t="shared" si="3"/>
        <v>2</v>
      </c>
      <c r="L3995" s="91" t="str">
        <f t="shared" si="8"/>
        <v>Sun</v>
      </c>
      <c r="M3995" s="78" t="str">
        <f>IFERROR(VLOOKUP(A3995, Entries!A:B,2,false),"")</f>
        <v>SCKR Games</v>
      </c>
      <c r="N3995" s="23" t="str">
        <f>IFERROR(VLOOKUP(A3995, Entries!A:K,11,false),"")</f>
        <v/>
      </c>
    </row>
    <row r="3996">
      <c r="A3996" s="78" t="s">
        <v>4168</v>
      </c>
      <c r="B3996" s="78" t="s">
        <v>21</v>
      </c>
      <c r="C3996" s="85">
        <v>45156.0</v>
      </c>
      <c r="D3996" s="85">
        <v>45214.0</v>
      </c>
      <c r="E3996" s="86">
        <v>4.44</v>
      </c>
      <c r="F3996" s="87">
        <v>11.8</v>
      </c>
      <c r="G3996" s="88">
        <f t="shared" si="1"/>
        <v>7.36</v>
      </c>
      <c r="H3996" s="89">
        <f t="shared" si="10"/>
        <v>0.6237288136</v>
      </c>
      <c r="I3996" s="78" t="s">
        <v>4745</v>
      </c>
      <c r="J3996" s="78" t="s">
        <v>69</v>
      </c>
      <c r="K3996" s="58">
        <f t="shared" si="3"/>
        <v>58</v>
      </c>
      <c r="L3996" s="91" t="str">
        <f t="shared" si="8"/>
        <v>Sun</v>
      </c>
      <c r="M3996" s="78" t="str">
        <f>IFERROR(VLOOKUP(A3996, Entries!A:B,2,false),"")</f>
        <v>DANGEN Entertainment</v>
      </c>
      <c r="N3996" s="23" t="str">
        <f>IFERROR(VLOOKUP(A3996, Entries!A:K,11,false),"")</f>
        <v/>
      </c>
      <c r="O3996" s="23" t="b">
        <f>IFERROR(VLOOKUP(A3996, Entries!A:I,8,false),"")</f>
        <v>0</v>
      </c>
    </row>
    <row r="3997">
      <c r="A3997" s="78" t="s">
        <v>4168</v>
      </c>
      <c r="B3997" s="78" t="s">
        <v>21</v>
      </c>
      <c r="C3997" s="85">
        <v>45156.0</v>
      </c>
      <c r="D3997" s="85">
        <v>45214.0</v>
      </c>
      <c r="E3997" s="86">
        <v>4.44</v>
      </c>
      <c r="F3997" s="87">
        <v>11.89</v>
      </c>
      <c r="G3997" s="88">
        <f t="shared" si="1"/>
        <v>7.45</v>
      </c>
      <c r="H3997" s="89">
        <f t="shared" si="10"/>
        <v>0.6265769554</v>
      </c>
      <c r="I3997" s="78" t="s">
        <v>4746</v>
      </c>
      <c r="J3997" s="78" t="s">
        <v>69</v>
      </c>
      <c r="K3997" s="58">
        <f t="shared" si="3"/>
        <v>58</v>
      </c>
      <c r="L3997" s="91" t="str">
        <f t="shared" si="8"/>
        <v>Sun</v>
      </c>
      <c r="M3997" s="78" t="str">
        <f>IFERROR(VLOOKUP(A3997, Entries!A:B,2,false),"")</f>
        <v>DANGEN Entertainment</v>
      </c>
      <c r="N3997" s="23" t="str">
        <f>IFERROR(VLOOKUP(A3997, Entries!A:K,11,false),"")</f>
        <v/>
      </c>
      <c r="O3997" s="23" t="b">
        <f>IFERROR(VLOOKUP(A3997, Entries!A:I,8,false),"")</f>
        <v>0</v>
      </c>
    </row>
    <row r="3998">
      <c r="A3998" s="78" t="s">
        <v>2180</v>
      </c>
      <c r="B3998" s="78" t="s">
        <v>25</v>
      </c>
      <c r="C3998" s="85">
        <v>45156.0</v>
      </c>
      <c r="D3998" s="85">
        <v>45157.0</v>
      </c>
      <c r="E3998" s="86">
        <v>4.46</v>
      </c>
      <c r="F3998" s="87">
        <v>5.13</v>
      </c>
      <c r="G3998" s="88">
        <f t="shared" si="1"/>
        <v>0.67</v>
      </c>
      <c r="H3998" s="89">
        <f t="shared" si="10"/>
        <v>0.1306042885</v>
      </c>
      <c r="I3998" s="78" t="s">
        <v>4747</v>
      </c>
      <c r="J3998" s="78" t="s">
        <v>69</v>
      </c>
      <c r="K3998" s="58">
        <f t="shared" si="3"/>
        <v>1</v>
      </c>
      <c r="L3998" s="91" t="str">
        <f t="shared" si="8"/>
        <v>Sat</v>
      </c>
      <c r="M3998" s="78" t="str">
        <f>IFERROR(VLOOKUP(A3998, Entries!A:B,2,false),"")</f>
        <v>Konami</v>
      </c>
      <c r="N3998" s="23" t="str">
        <f>IFERROR(VLOOKUP(A3998, Entries!A:K,11,false),"")</f>
        <v/>
      </c>
    </row>
    <row r="3999">
      <c r="A3999" s="78" t="s">
        <v>3247</v>
      </c>
      <c r="B3999" s="78" t="s">
        <v>19</v>
      </c>
      <c r="C3999" s="85">
        <v>45157.0</v>
      </c>
      <c r="D3999" s="85">
        <v>45188.0</v>
      </c>
      <c r="E3999" s="86">
        <v>30.77</v>
      </c>
      <c r="F3999" s="87">
        <v>31.73</v>
      </c>
      <c r="G3999" s="88">
        <f t="shared" si="1"/>
        <v>0.96</v>
      </c>
      <c r="H3999" s="89">
        <f t="shared" si="10"/>
        <v>0.03025527892</v>
      </c>
      <c r="I3999" s="78" t="s">
        <v>4748</v>
      </c>
      <c r="J3999" s="78" t="s">
        <v>69</v>
      </c>
      <c r="K3999" s="58">
        <f t="shared" si="3"/>
        <v>31</v>
      </c>
      <c r="L3999" s="91" t="str">
        <f t="shared" si="8"/>
        <v>Tue</v>
      </c>
      <c r="M3999" s="78" t="str">
        <f>IFERROR(VLOOKUP(A3999, Entries!A:B,2,false),"")</f>
        <v>SEGA</v>
      </c>
      <c r="N3999" s="23" t="str">
        <f>IFERROR(VLOOKUP(A3999, Entries!A:K,11,false),"")</f>
        <v/>
      </c>
      <c r="O3999" s="23" t="b">
        <f>IFERROR(VLOOKUP(A3999, Entries!A:I,8,false),"")</f>
        <v>0</v>
      </c>
    </row>
    <row r="4000">
      <c r="A4000" s="78" t="s">
        <v>4749</v>
      </c>
      <c r="B4000" s="78" t="s">
        <v>19</v>
      </c>
      <c r="C4000" s="85">
        <v>45157.0</v>
      </c>
      <c r="D4000" s="85">
        <v>45170.0</v>
      </c>
      <c r="E4000" s="86">
        <v>0.0</v>
      </c>
      <c r="F4000" s="87">
        <v>0.26</v>
      </c>
      <c r="G4000" s="88">
        <f t="shared" si="1"/>
        <v>0.26</v>
      </c>
      <c r="H4000" s="89">
        <f t="shared" si="10"/>
        <v>1</v>
      </c>
      <c r="I4000" s="78" t="s">
        <v>4750</v>
      </c>
      <c r="J4000" s="78" t="s">
        <v>69</v>
      </c>
      <c r="K4000" s="58">
        <f t="shared" si="3"/>
        <v>13</v>
      </c>
      <c r="L4000" s="91" t="str">
        <f t="shared" si="8"/>
        <v>Fri</v>
      </c>
      <c r="M4000" s="78" t="str">
        <f>IFERROR(VLOOKUP(A4000, Entries!A:B,2,false),"")</f>
        <v/>
      </c>
      <c r="N4000" s="23" t="str">
        <f>IFERROR(VLOOKUP(A4000, Entries!A:K,11,false),"")</f>
        <v/>
      </c>
    </row>
    <row r="4001">
      <c r="A4001" s="78" t="s">
        <v>1596</v>
      </c>
      <c r="B4001" s="78" t="s">
        <v>18</v>
      </c>
      <c r="C4001" s="85">
        <v>45157.0</v>
      </c>
      <c r="D4001" s="85">
        <v>45173.0</v>
      </c>
      <c r="E4001" s="86">
        <v>27.91</v>
      </c>
      <c r="F4001" s="87">
        <v>35.86</v>
      </c>
      <c r="G4001" s="88">
        <f t="shared" si="1"/>
        <v>7.95</v>
      </c>
      <c r="H4001" s="89">
        <f t="shared" si="10"/>
        <v>0.2216954824</v>
      </c>
      <c r="I4001" s="78" t="s">
        <v>4751</v>
      </c>
      <c r="J4001" s="78" t="s">
        <v>69</v>
      </c>
      <c r="K4001" s="58">
        <f t="shared" si="3"/>
        <v>16</v>
      </c>
      <c r="L4001" s="91" t="str">
        <f t="shared" si="8"/>
        <v>Mon</v>
      </c>
      <c r="M4001" s="78" t="str">
        <f>IFERROR(VLOOKUP(A4001, Entries!A:B,2,false),"")</f>
        <v>505 Games</v>
      </c>
      <c r="N4001" s="23" t="str">
        <f>IFERROR(VLOOKUP(A4001, Entries!A:K,11,false),"")</f>
        <v/>
      </c>
    </row>
    <row r="4002">
      <c r="A4002" s="78" t="s">
        <v>550</v>
      </c>
      <c r="B4002" s="78" t="s">
        <v>25</v>
      </c>
      <c r="C4002" s="85">
        <v>45157.0</v>
      </c>
      <c r="D4002" s="85">
        <v>45223.0</v>
      </c>
      <c r="E4002" s="86">
        <v>6.57</v>
      </c>
      <c r="F4002" s="87">
        <v>8.17</v>
      </c>
      <c r="G4002" s="88">
        <f t="shared" si="1"/>
        <v>1.6</v>
      </c>
      <c r="H4002" s="89">
        <f t="shared" si="10"/>
        <v>0.1958384333</v>
      </c>
      <c r="I4002" s="78" t="s">
        <v>4752</v>
      </c>
      <c r="J4002" s="78" t="s">
        <v>69</v>
      </c>
      <c r="K4002" s="58">
        <f t="shared" si="3"/>
        <v>66</v>
      </c>
      <c r="L4002" s="91" t="str">
        <f t="shared" si="8"/>
        <v>Tue</v>
      </c>
      <c r="M4002" s="78" t="str">
        <f>IFERROR(VLOOKUP(A4002, Entries!A:B,2,false),"")</f>
        <v>Codemasters</v>
      </c>
      <c r="N4002" s="23" t="str">
        <f>IFERROR(VLOOKUP(A4002, Entries!A:K,11,false),"")</f>
        <v/>
      </c>
      <c r="O4002" s="23" t="b">
        <f>IFERROR(VLOOKUP(A4002, Entries!A:I,8,false),"")</f>
        <v>0</v>
      </c>
    </row>
    <row r="4003">
      <c r="A4003" s="78" t="s">
        <v>2180</v>
      </c>
      <c r="B4003" s="78" t="s">
        <v>25</v>
      </c>
      <c r="C4003" s="85">
        <v>45157.0</v>
      </c>
      <c r="D4003" s="85">
        <v>45157.0</v>
      </c>
      <c r="E4003" s="86">
        <v>4.47</v>
      </c>
      <c r="F4003" s="87">
        <v>5.13</v>
      </c>
      <c r="G4003" s="88">
        <f t="shared" si="1"/>
        <v>0.66</v>
      </c>
      <c r="H4003" s="89">
        <f t="shared" si="10"/>
        <v>0.1286549708</v>
      </c>
      <c r="I4003" s="78" t="s">
        <v>4753</v>
      </c>
      <c r="J4003" s="78" t="s">
        <v>69</v>
      </c>
      <c r="K4003" s="58">
        <f t="shared" si="3"/>
        <v>0</v>
      </c>
      <c r="L4003" s="91" t="str">
        <f t="shared" si="8"/>
        <v>Sat</v>
      </c>
      <c r="M4003" s="78" t="str">
        <f>IFERROR(VLOOKUP(A4003, Entries!A:B,2,false),"")</f>
        <v>Konami</v>
      </c>
      <c r="N4003" s="23" t="str">
        <f>IFERROR(VLOOKUP(A4003, Entries!A:K,11,false),"")</f>
        <v/>
      </c>
    </row>
    <row r="4004">
      <c r="A4004" s="78" t="s">
        <v>2180</v>
      </c>
      <c r="B4004" s="78" t="s">
        <v>25</v>
      </c>
      <c r="C4004" s="85">
        <v>45157.0</v>
      </c>
      <c r="D4004" s="85">
        <v>45157.0</v>
      </c>
      <c r="E4004" s="86">
        <v>4.47</v>
      </c>
      <c r="F4004" s="87">
        <v>5.13</v>
      </c>
      <c r="G4004" s="88">
        <f t="shared" si="1"/>
        <v>0.66</v>
      </c>
      <c r="H4004" s="89">
        <f t="shared" si="10"/>
        <v>0.1286549708</v>
      </c>
      <c r="I4004" s="78" t="s">
        <v>4754</v>
      </c>
      <c r="J4004" s="78" t="s">
        <v>69</v>
      </c>
      <c r="K4004" s="58">
        <f t="shared" si="3"/>
        <v>0</v>
      </c>
      <c r="L4004" s="91" t="str">
        <f t="shared" si="8"/>
        <v>Sat</v>
      </c>
      <c r="M4004" s="78" t="str">
        <f>IFERROR(VLOOKUP(A4004, Entries!A:B,2,false),"")</f>
        <v>Konami</v>
      </c>
      <c r="N4004" s="23" t="str">
        <f>IFERROR(VLOOKUP(A4004, Entries!A:K,11,false),"")</f>
        <v/>
      </c>
    </row>
    <row r="4005">
      <c r="A4005" s="78" t="s">
        <v>3691</v>
      </c>
      <c r="B4005" s="78" t="s">
        <v>27</v>
      </c>
      <c r="C4005" s="85">
        <v>45157.0</v>
      </c>
      <c r="D4005" s="85">
        <v>45159.0</v>
      </c>
      <c r="E4005" s="86">
        <v>5.67</v>
      </c>
      <c r="F4005" s="87">
        <v>7.72</v>
      </c>
      <c r="G4005" s="88">
        <f t="shared" si="1"/>
        <v>2.05</v>
      </c>
      <c r="H4005" s="89">
        <f t="shared" si="10"/>
        <v>0.2655440415</v>
      </c>
      <c r="I4005" s="78" t="s">
        <v>4755</v>
      </c>
      <c r="J4005" s="78" t="s">
        <v>69</v>
      </c>
      <c r="K4005" s="58">
        <f t="shared" si="3"/>
        <v>2</v>
      </c>
      <c r="L4005" s="91" t="str">
        <f t="shared" si="8"/>
        <v>Mon</v>
      </c>
      <c r="M4005" s="78" t="str">
        <f>IFERROR(VLOOKUP(A4005, Entries!A:B,2,false),"")</f>
        <v>Klei Entertainment</v>
      </c>
      <c r="N4005" s="23" t="str">
        <f>IFERROR(VLOOKUP(A4005, Entries!A:K,11,false),"")</f>
        <v/>
      </c>
    </row>
    <row r="4006">
      <c r="A4006" s="78" t="s">
        <v>2180</v>
      </c>
      <c r="B4006" s="78" t="s">
        <v>25</v>
      </c>
      <c r="C4006" s="85">
        <v>45157.0</v>
      </c>
      <c r="D4006" s="85">
        <v>45157.0</v>
      </c>
      <c r="E4006" s="86">
        <v>4.47</v>
      </c>
      <c r="F4006" s="87">
        <v>5.13</v>
      </c>
      <c r="G4006" s="88">
        <f t="shared" si="1"/>
        <v>0.66</v>
      </c>
      <c r="H4006" s="89">
        <f t="shared" si="10"/>
        <v>0.1286549708</v>
      </c>
      <c r="I4006" s="78" t="s">
        <v>4756</v>
      </c>
      <c r="J4006" s="78" t="s">
        <v>69</v>
      </c>
      <c r="K4006" s="58">
        <f t="shared" si="3"/>
        <v>0</v>
      </c>
      <c r="L4006" s="91" t="str">
        <f t="shared" si="8"/>
        <v>Sat</v>
      </c>
      <c r="M4006" s="78" t="str">
        <f>IFERROR(VLOOKUP(A4006, Entries!A:B,2,false),"")</f>
        <v>Konami</v>
      </c>
      <c r="N4006" s="23" t="str">
        <f>IFERROR(VLOOKUP(A4006, Entries!A:K,11,false),"")</f>
        <v/>
      </c>
    </row>
    <row r="4007">
      <c r="A4007" s="78" t="s">
        <v>2180</v>
      </c>
      <c r="B4007" s="78" t="s">
        <v>25</v>
      </c>
      <c r="C4007" s="85">
        <v>45157.0</v>
      </c>
      <c r="D4007" s="85">
        <v>45158.0</v>
      </c>
      <c r="E4007" s="86">
        <v>4.47</v>
      </c>
      <c r="F4007" s="87">
        <v>5.13</v>
      </c>
      <c r="G4007" s="88">
        <f t="shared" si="1"/>
        <v>0.66</v>
      </c>
      <c r="H4007" s="89">
        <f t="shared" si="10"/>
        <v>0.1286549708</v>
      </c>
      <c r="I4007" s="78" t="s">
        <v>4757</v>
      </c>
      <c r="J4007" s="78" t="s">
        <v>69</v>
      </c>
      <c r="K4007" s="58">
        <f t="shared" si="3"/>
        <v>1</v>
      </c>
      <c r="L4007" s="91" t="str">
        <f t="shared" si="8"/>
        <v>Sun</v>
      </c>
      <c r="M4007" s="78" t="str">
        <f>IFERROR(VLOOKUP(A4007, Entries!A:B,2,false),"")</f>
        <v>Konami</v>
      </c>
      <c r="N4007" s="23" t="str">
        <f>IFERROR(VLOOKUP(A4007, Entries!A:K,11,false),"")</f>
        <v/>
      </c>
    </row>
    <row r="4008">
      <c r="A4008" s="78" t="s">
        <v>2180</v>
      </c>
      <c r="B4008" s="78" t="s">
        <v>25</v>
      </c>
      <c r="C4008" s="85">
        <v>45158.0</v>
      </c>
      <c r="D4008" s="85">
        <v>45158.0</v>
      </c>
      <c r="E4008" s="86">
        <v>4.47</v>
      </c>
      <c r="F4008" s="87">
        <v>5.13</v>
      </c>
      <c r="G4008" s="88">
        <f t="shared" si="1"/>
        <v>0.66</v>
      </c>
      <c r="H4008" s="89">
        <f t="shared" si="10"/>
        <v>0.1286549708</v>
      </c>
      <c r="I4008" s="78" t="s">
        <v>4758</v>
      </c>
      <c r="J4008" s="78" t="s">
        <v>69</v>
      </c>
      <c r="K4008" s="58">
        <f t="shared" si="3"/>
        <v>0</v>
      </c>
      <c r="L4008" s="91" t="str">
        <f t="shared" si="8"/>
        <v>Sun</v>
      </c>
      <c r="M4008" s="78" t="str">
        <f>IFERROR(VLOOKUP(A4008, Entries!A:B,2,false),"")</f>
        <v>Konami</v>
      </c>
      <c r="N4008" s="23" t="str">
        <f>IFERROR(VLOOKUP(A4008, Entries!A:K,11,false),"")</f>
        <v/>
      </c>
    </row>
    <row r="4009">
      <c r="A4009" s="78" t="s">
        <v>2180</v>
      </c>
      <c r="B4009" s="78" t="s">
        <v>25</v>
      </c>
      <c r="C4009" s="85">
        <v>45158.0</v>
      </c>
      <c r="D4009" s="85">
        <v>45158.0</v>
      </c>
      <c r="E4009" s="86">
        <v>4.47</v>
      </c>
      <c r="F4009" s="87">
        <v>5.13</v>
      </c>
      <c r="G4009" s="88">
        <f t="shared" si="1"/>
        <v>0.66</v>
      </c>
      <c r="H4009" s="89">
        <f t="shared" si="10"/>
        <v>0.1286549708</v>
      </c>
      <c r="I4009" s="78" t="s">
        <v>4759</v>
      </c>
      <c r="J4009" s="78" t="s">
        <v>69</v>
      </c>
      <c r="K4009" s="58">
        <f t="shared" si="3"/>
        <v>0</v>
      </c>
      <c r="L4009" s="91" t="str">
        <f t="shared" si="8"/>
        <v>Sun</v>
      </c>
      <c r="M4009" s="78" t="str">
        <f>IFERROR(VLOOKUP(A4009, Entries!A:B,2,false),"")</f>
        <v>Konami</v>
      </c>
      <c r="N4009" s="23" t="str">
        <f>IFERROR(VLOOKUP(A4009, Entries!A:K,11,false),"")</f>
        <v/>
      </c>
    </row>
    <row r="4010">
      <c r="A4010" s="78" t="s">
        <v>2180</v>
      </c>
      <c r="B4010" s="78" t="s">
        <v>25</v>
      </c>
      <c r="C4010" s="85">
        <v>45158.0</v>
      </c>
      <c r="D4010" s="85">
        <v>45158.0</v>
      </c>
      <c r="E4010" s="86">
        <v>4.47</v>
      </c>
      <c r="F4010" s="87">
        <v>5.13</v>
      </c>
      <c r="G4010" s="88">
        <f t="shared" si="1"/>
        <v>0.66</v>
      </c>
      <c r="H4010" s="89">
        <f t="shared" si="10"/>
        <v>0.1286549708</v>
      </c>
      <c r="I4010" s="78" t="s">
        <v>4760</v>
      </c>
      <c r="J4010" s="78" t="s">
        <v>69</v>
      </c>
      <c r="K4010" s="58">
        <f t="shared" si="3"/>
        <v>0</v>
      </c>
      <c r="L4010" s="91" t="str">
        <f t="shared" si="8"/>
        <v>Sun</v>
      </c>
      <c r="M4010" s="78" t="str">
        <f>IFERROR(VLOOKUP(A4010, Entries!A:B,2,false),"")</f>
        <v>Konami</v>
      </c>
      <c r="N4010" s="23" t="str">
        <f>IFERROR(VLOOKUP(A4010, Entries!A:K,11,false),"")</f>
        <v/>
      </c>
    </row>
    <row r="4011">
      <c r="A4011" s="78" t="s">
        <v>2180</v>
      </c>
      <c r="B4011" s="78" t="s">
        <v>25</v>
      </c>
      <c r="C4011" s="85">
        <v>45158.0</v>
      </c>
      <c r="D4011" s="85">
        <v>45158.0</v>
      </c>
      <c r="E4011" s="86">
        <v>4.47</v>
      </c>
      <c r="F4011" s="87">
        <v>5.13</v>
      </c>
      <c r="G4011" s="88">
        <f t="shared" si="1"/>
        <v>0.66</v>
      </c>
      <c r="H4011" s="89">
        <f t="shared" si="10"/>
        <v>0.1286549708</v>
      </c>
      <c r="I4011" s="78" t="s">
        <v>4761</v>
      </c>
      <c r="J4011" s="78" t="s">
        <v>69</v>
      </c>
      <c r="K4011" s="58">
        <f t="shared" si="3"/>
        <v>0</v>
      </c>
      <c r="L4011" s="91" t="str">
        <f t="shared" si="8"/>
        <v>Sun</v>
      </c>
      <c r="M4011" s="78" t="str">
        <f>IFERROR(VLOOKUP(A4011, Entries!A:B,2,false),"")</f>
        <v>Konami</v>
      </c>
      <c r="N4011" s="23" t="str">
        <f>IFERROR(VLOOKUP(A4011, Entries!A:K,11,false),"")</f>
        <v/>
      </c>
    </row>
    <row r="4012">
      <c r="A4012" s="78" t="s">
        <v>2180</v>
      </c>
      <c r="B4012" s="78" t="s">
        <v>25</v>
      </c>
      <c r="C4012" s="85">
        <v>45158.0</v>
      </c>
      <c r="D4012" s="85">
        <v>45159.0</v>
      </c>
      <c r="E4012" s="86">
        <v>4.47</v>
      </c>
      <c r="F4012" s="87">
        <v>5.13</v>
      </c>
      <c r="G4012" s="88">
        <f t="shared" si="1"/>
        <v>0.66</v>
      </c>
      <c r="H4012" s="89">
        <f t="shared" si="10"/>
        <v>0.1286549708</v>
      </c>
      <c r="I4012" s="78" t="s">
        <v>4762</v>
      </c>
      <c r="J4012" s="78" t="s">
        <v>69</v>
      </c>
      <c r="K4012" s="58">
        <f t="shared" si="3"/>
        <v>1</v>
      </c>
      <c r="L4012" s="91" t="str">
        <f t="shared" si="8"/>
        <v>Mon</v>
      </c>
      <c r="M4012" s="78" t="str">
        <f>IFERROR(VLOOKUP(A4012, Entries!A:B,2,false),"")</f>
        <v>Konami</v>
      </c>
      <c r="N4012" s="23" t="str">
        <f>IFERROR(VLOOKUP(A4012, Entries!A:K,11,false),"")</f>
        <v/>
      </c>
    </row>
    <row r="4013">
      <c r="A4013" s="78" t="s">
        <v>2180</v>
      </c>
      <c r="B4013" s="78" t="s">
        <v>25</v>
      </c>
      <c r="C4013" s="85">
        <v>45158.0</v>
      </c>
      <c r="D4013" s="85">
        <v>45159.0</v>
      </c>
      <c r="E4013" s="86">
        <v>4.47</v>
      </c>
      <c r="F4013" s="87">
        <v>5.13</v>
      </c>
      <c r="G4013" s="88">
        <f t="shared" si="1"/>
        <v>0.66</v>
      </c>
      <c r="H4013" s="89">
        <f t="shared" si="10"/>
        <v>0.1286549708</v>
      </c>
      <c r="I4013" s="78" t="s">
        <v>4763</v>
      </c>
      <c r="J4013" s="78" t="s">
        <v>69</v>
      </c>
      <c r="K4013" s="58">
        <f t="shared" si="3"/>
        <v>1</v>
      </c>
      <c r="L4013" s="91" t="str">
        <f t="shared" si="8"/>
        <v>Mon</v>
      </c>
      <c r="M4013" s="78" t="str">
        <f>IFERROR(VLOOKUP(A4013, Entries!A:B,2,false),"")</f>
        <v>Konami</v>
      </c>
      <c r="N4013" s="23" t="str">
        <f>IFERROR(VLOOKUP(A4013, Entries!A:K,11,false),"")</f>
        <v/>
      </c>
    </row>
    <row r="4014">
      <c r="A4014" s="78" t="s">
        <v>4466</v>
      </c>
      <c r="B4014" s="78" t="s">
        <v>22</v>
      </c>
      <c r="C4014" s="85">
        <v>45158.0</v>
      </c>
      <c r="D4014" s="85">
        <v>45158.0</v>
      </c>
      <c r="E4014" s="86">
        <v>4.33</v>
      </c>
      <c r="F4014" s="87">
        <v>5.13</v>
      </c>
      <c r="G4014" s="88">
        <f t="shared" si="1"/>
        <v>0.8</v>
      </c>
      <c r="H4014" s="89">
        <f t="shared" si="10"/>
        <v>0.1559454191</v>
      </c>
      <c r="I4014" s="78" t="s">
        <v>4764</v>
      </c>
      <c r="J4014" s="78" t="s">
        <v>69</v>
      </c>
      <c r="K4014" s="58">
        <f t="shared" si="3"/>
        <v>0</v>
      </c>
      <c r="L4014" s="91" t="str">
        <f t="shared" si="8"/>
        <v>Sun</v>
      </c>
      <c r="M4014" s="78" t="str">
        <f>IFERROR(VLOOKUP(A4014, Entries!A:B,2,false),"")</f>
        <v>SCKR Games</v>
      </c>
      <c r="N4014" s="23" t="str">
        <f>IFERROR(VLOOKUP(A4014, Entries!A:K,11,false),"")</f>
        <v/>
      </c>
    </row>
    <row r="4015">
      <c r="A4015" s="78" t="s">
        <v>4466</v>
      </c>
      <c r="B4015" s="78" t="s">
        <v>22</v>
      </c>
      <c r="C4015" s="85">
        <v>45158.0</v>
      </c>
      <c r="D4015" s="85">
        <v>45158.0</v>
      </c>
      <c r="E4015" s="86">
        <v>4.33</v>
      </c>
      <c r="F4015" s="87">
        <v>5.13</v>
      </c>
      <c r="G4015" s="88">
        <f t="shared" si="1"/>
        <v>0.8</v>
      </c>
      <c r="H4015" s="89">
        <f t="shared" si="10"/>
        <v>0.1559454191</v>
      </c>
      <c r="I4015" s="78" t="s">
        <v>4765</v>
      </c>
      <c r="J4015" s="78" t="s">
        <v>69</v>
      </c>
      <c r="K4015" s="58">
        <f t="shared" si="3"/>
        <v>0</v>
      </c>
      <c r="L4015" s="91" t="str">
        <f t="shared" si="8"/>
        <v>Sun</v>
      </c>
      <c r="M4015" s="78" t="str">
        <f>IFERROR(VLOOKUP(A4015, Entries!A:B,2,false),"")</f>
        <v>SCKR Games</v>
      </c>
      <c r="N4015" s="23" t="str">
        <f>IFERROR(VLOOKUP(A4015, Entries!A:K,11,false),"")</f>
        <v/>
      </c>
    </row>
    <row r="4016">
      <c r="A4016" s="78" t="s">
        <v>4466</v>
      </c>
      <c r="B4016" s="78" t="s">
        <v>22</v>
      </c>
      <c r="C4016" s="85">
        <v>45158.0</v>
      </c>
      <c r="D4016" s="85">
        <v>45158.0</v>
      </c>
      <c r="E4016" s="86">
        <v>4.33</v>
      </c>
      <c r="F4016" s="87">
        <v>5.13</v>
      </c>
      <c r="G4016" s="88">
        <f t="shared" si="1"/>
        <v>0.8</v>
      </c>
      <c r="H4016" s="89">
        <f t="shared" si="10"/>
        <v>0.1559454191</v>
      </c>
      <c r="I4016" s="78" t="s">
        <v>4766</v>
      </c>
      <c r="J4016" s="78" t="s">
        <v>69</v>
      </c>
      <c r="K4016" s="58">
        <f t="shared" si="3"/>
        <v>0</v>
      </c>
      <c r="L4016" s="91" t="str">
        <f t="shared" si="8"/>
        <v>Sun</v>
      </c>
      <c r="M4016" s="78" t="str">
        <f>IFERROR(VLOOKUP(A4016, Entries!A:B,2,false),"")</f>
        <v>SCKR Games</v>
      </c>
      <c r="N4016" s="23" t="str">
        <f>IFERROR(VLOOKUP(A4016, Entries!A:K,11,false),"")</f>
        <v/>
      </c>
    </row>
    <row r="4017">
      <c r="A4017" s="78" t="s">
        <v>4767</v>
      </c>
      <c r="B4017" s="78" t="s">
        <v>19</v>
      </c>
      <c r="C4017" s="85">
        <v>45158.0</v>
      </c>
      <c r="D4017" s="85">
        <v>45160.0</v>
      </c>
      <c r="E4017" s="86">
        <v>15.43</v>
      </c>
      <c r="F4017" s="87">
        <v>17.43</v>
      </c>
      <c r="G4017" s="88">
        <f t="shared" si="1"/>
        <v>2</v>
      </c>
      <c r="H4017" s="89">
        <f t="shared" si="10"/>
        <v>0.1147446931</v>
      </c>
      <c r="I4017" s="78" t="s">
        <v>4768</v>
      </c>
      <c r="J4017" s="78" t="s">
        <v>69</v>
      </c>
      <c r="K4017" s="58">
        <f t="shared" si="3"/>
        <v>2</v>
      </c>
      <c r="L4017" s="91" t="str">
        <f t="shared" si="8"/>
        <v>Tue</v>
      </c>
      <c r="M4017" s="78" t="str">
        <f>IFERROR(VLOOKUP(A4017, Entries!A:B,2,false),"")</f>
        <v/>
      </c>
      <c r="N4017" s="23" t="str">
        <f>IFERROR(VLOOKUP(A4017, Entries!A:K,11,false),"")</f>
        <v/>
      </c>
    </row>
    <row r="4018">
      <c r="A4018" s="78" t="s">
        <v>4707</v>
      </c>
      <c r="B4018" s="78" t="s">
        <v>19</v>
      </c>
      <c r="C4018" s="85">
        <v>45158.0</v>
      </c>
      <c r="D4018" s="85">
        <v>45159.0</v>
      </c>
      <c r="E4018" s="86">
        <v>0.0</v>
      </c>
      <c r="F4018" s="87">
        <v>0.71</v>
      </c>
      <c r="G4018" s="88">
        <f t="shared" si="1"/>
        <v>0.71</v>
      </c>
      <c r="H4018" s="89">
        <f t="shared" si="10"/>
        <v>1</v>
      </c>
      <c r="I4018" s="78" t="s">
        <v>4769</v>
      </c>
      <c r="J4018" s="78" t="s">
        <v>69</v>
      </c>
      <c r="K4018" s="58">
        <f t="shared" si="3"/>
        <v>1</v>
      </c>
      <c r="L4018" s="91" t="str">
        <f t="shared" si="8"/>
        <v>Mon</v>
      </c>
      <c r="M4018" s="78" t="str">
        <f>IFERROR(VLOOKUP(A4018, Entries!A:B,2,false),"")</f>
        <v/>
      </c>
      <c r="N4018" s="23" t="str">
        <f>IFERROR(VLOOKUP(A4018, Entries!A:K,11,false),"")</f>
        <v/>
      </c>
    </row>
    <row r="4019">
      <c r="A4019" s="78" t="s">
        <v>4466</v>
      </c>
      <c r="B4019" s="78" t="s">
        <v>22</v>
      </c>
      <c r="C4019" s="85">
        <v>45158.0</v>
      </c>
      <c r="D4019" s="85">
        <v>45160.0</v>
      </c>
      <c r="E4019" s="86">
        <v>4.36</v>
      </c>
      <c r="F4019" s="87">
        <v>5.11</v>
      </c>
      <c r="G4019" s="88">
        <f t="shared" si="1"/>
        <v>0.75</v>
      </c>
      <c r="H4019" s="89">
        <f t="shared" si="10"/>
        <v>0.1467710372</v>
      </c>
      <c r="I4019" s="78" t="s">
        <v>4770</v>
      </c>
      <c r="J4019" s="78" t="s">
        <v>69</v>
      </c>
      <c r="K4019" s="58">
        <f t="shared" si="3"/>
        <v>2</v>
      </c>
      <c r="L4019" s="91" t="str">
        <f t="shared" si="8"/>
        <v>Tue</v>
      </c>
      <c r="M4019" s="78" t="str">
        <f>IFERROR(VLOOKUP(A4019, Entries!A:B,2,false),"")</f>
        <v>SCKR Games</v>
      </c>
      <c r="N4019" s="23" t="str">
        <f>IFERROR(VLOOKUP(A4019, Entries!A:K,11,false),"")</f>
        <v/>
      </c>
    </row>
    <row r="4020">
      <c r="A4020" s="78" t="s">
        <v>4466</v>
      </c>
      <c r="B4020" s="78" t="s">
        <v>22</v>
      </c>
      <c r="C4020" s="85">
        <v>45158.0</v>
      </c>
      <c r="D4020" s="85">
        <v>45160.0</v>
      </c>
      <c r="E4020" s="86">
        <v>4.36</v>
      </c>
      <c r="F4020" s="87">
        <v>5.11</v>
      </c>
      <c r="G4020" s="88">
        <f t="shared" si="1"/>
        <v>0.75</v>
      </c>
      <c r="H4020" s="89">
        <f t="shared" si="10"/>
        <v>0.1467710372</v>
      </c>
      <c r="I4020" s="78" t="s">
        <v>4771</v>
      </c>
      <c r="J4020" s="78" t="s">
        <v>69</v>
      </c>
      <c r="K4020" s="58">
        <f t="shared" si="3"/>
        <v>2</v>
      </c>
      <c r="L4020" s="91" t="str">
        <f t="shared" si="8"/>
        <v>Tue</v>
      </c>
      <c r="M4020" s="78" t="str">
        <f>IFERROR(VLOOKUP(A4020, Entries!A:B,2,false),"")</f>
        <v>SCKR Games</v>
      </c>
      <c r="N4020" s="23" t="str">
        <f>IFERROR(VLOOKUP(A4020, Entries!A:K,11,false),"")</f>
        <v/>
      </c>
    </row>
    <row r="4021">
      <c r="A4021" s="78" t="s">
        <v>4466</v>
      </c>
      <c r="B4021" s="78" t="s">
        <v>22</v>
      </c>
      <c r="C4021" s="85">
        <v>45158.0</v>
      </c>
      <c r="D4021" s="85">
        <v>45160.0</v>
      </c>
      <c r="E4021" s="86">
        <v>4.36</v>
      </c>
      <c r="F4021" s="87">
        <v>5.11</v>
      </c>
      <c r="G4021" s="88">
        <f t="shared" si="1"/>
        <v>0.75</v>
      </c>
      <c r="H4021" s="89">
        <f t="shared" si="10"/>
        <v>0.1467710372</v>
      </c>
      <c r="I4021" s="78" t="s">
        <v>4772</v>
      </c>
      <c r="J4021" s="78" t="s">
        <v>69</v>
      </c>
      <c r="K4021" s="58">
        <f t="shared" si="3"/>
        <v>2</v>
      </c>
      <c r="L4021" s="91" t="str">
        <f t="shared" si="8"/>
        <v>Tue</v>
      </c>
      <c r="M4021" s="78" t="str">
        <f>IFERROR(VLOOKUP(A4021, Entries!A:B,2,false),"")</f>
        <v>SCKR Games</v>
      </c>
      <c r="N4021" s="23" t="str">
        <f>IFERROR(VLOOKUP(A4021, Entries!A:K,11,false),"")</f>
        <v/>
      </c>
    </row>
    <row r="4022">
      <c r="A4022" s="78" t="s">
        <v>4466</v>
      </c>
      <c r="B4022" s="78" t="s">
        <v>22</v>
      </c>
      <c r="C4022" s="85">
        <v>45158.0</v>
      </c>
      <c r="D4022" s="85">
        <v>45160.0</v>
      </c>
      <c r="E4022" s="86">
        <v>4.36</v>
      </c>
      <c r="F4022" s="87">
        <v>5.05</v>
      </c>
      <c r="G4022" s="88">
        <f t="shared" si="1"/>
        <v>0.69</v>
      </c>
      <c r="H4022" s="89">
        <f t="shared" si="10"/>
        <v>0.1366336634</v>
      </c>
      <c r="I4022" s="78" t="s">
        <v>4773</v>
      </c>
      <c r="J4022" s="78" t="s">
        <v>69</v>
      </c>
      <c r="K4022" s="58">
        <f t="shared" si="3"/>
        <v>2</v>
      </c>
      <c r="L4022" s="91" t="str">
        <f t="shared" si="8"/>
        <v>Tue</v>
      </c>
      <c r="M4022" s="78" t="str">
        <f>IFERROR(VLOOKUP(A4022, Entries!A:B,2,false),"")</f>
        <v>SCKR Games</v>
      </c>
      <c r="N4022" s="23" t="str">
        <f>IFERROR(VLOOKUP(A4022, Entries!A:K,11,false),"")</f>
        <v/>
      </c>
    </row>
    <row r="4023">
      <c r="A4023" s="78" t="s">
        <v>4466</v>
      </c>
      <c r="B4023" s="78" t="s">
        <v>22</v>
      </c>
      <c r="C4023" s="85">
        <v>45158.0</v>
      </c>
      <c r="D4023" s="85">
        <v>45161.0</v>
      </c>
      <c r="E4023" s="86">
        <v>4.36</v>
      </c>
      <c r="F4023" s="87">
        <v>5.04</v>
      </c>
      <c r="G4023" s="88">
        <f t="shared" si="1"/>
        <v>0.68</v>
      </c>
      <c r="H4023" s="89">
        <f t="shared" si="10"/>
        <v>0.1349206349</v>
      </c>
      <c r="I4023" s="78" t="s">
        <v>4774</v>
      </c>
      <c r="J4023" s="78" t="s">
        <v>69</v>
      </c>
      <c r="K4023" s="58">
        <f t="shared" si="3"/>
        <v>3</v>
      </c>
      <c r="L4023" s="91" t="str">
        <f t="shared" si="8"/>
        <v>Wed</v>
      </c>
      <c r="M4023" s="78" t="str">
        <f>IFERROR(VLOOKUP(A4023, Entries!A:B,2,false),"")</f>
        <v>SCKR Games</v>
      </c>
      <c r="N4023" s="23" t="str">
        <f>IFERROR(VLOOKUP(A4023, Entries!A:K,11,false),"")</f>
        <v/>
      </c>
    </row>
    <row r="4024">
      <c r="A4024" s="78" t="s">
        <v>4466</v>
      </c>
      <c r="B4024" s="78" t="s">
        <v>22</v>
      </c>
      <c r="C4024" s="85">
        <v>45158.0</v>
      </c>
      <c r="D4024" s="85">
        <v>45161.0</v>
      </c>
      <c r="E4024" s="86">
        <v>4.36</v>
      </c>
      <c r="F4024" s="87">
        <v>4.99</v>
      </c>
      <c r="G4024" s="88">
        <f t="shared" si="1"/>
        <v>0.63</v>
      </c>
      <c r="H4024" s="89">
        <f t="shared" si="10"/>
        <v>0.126252505</v>
      </c>
      <c r="I4024" s="78" t="s">
        <v>4775</v>
      </c>
      <c r="J4024" s="78" t="s">
        <v>69</v>
      </c>
      <c r="K4024" s="58">
        <f t="shared" si="3"/>
        <v>3</v>
      </c>
      <c r="L4024" s="91" t="str">
        <f t="shared" si="8"/>
        <v>Wed</v>
      </c>
      <c r="M4024" s="78" t="str">
        <f>IFERROR(VLOOKUP(A4024, Entries!A:B,2,false),"")</f>
        <v>SCKR Games</v>
      </c>
      <c r="N4024" s="23" t="str">
        <f>IFERROR(VLOOKUP(A4024, Entries!A:K,11,false),"")</f>
        <v/>
      </c>
    </row>
    <row r="4025">
      <c r="A4025" s="78" t="s">
        <v>2180</v>
      </c>
      <c r="B4025" s="78" t="s">
        <v>25</v>
      </c>
      <c r="C4025" s="85">
        <v>45159.0</v>
      </c>
      <c r="D4025" s="85">
        <v>45159.0</v>
      </c>
      <c r="E4025" s="86">
        <v>4.47</v>
      </c>
      <c r="F4025" s="87">
        <v>5.13</v>
      </c>
      <c r="G4025" s="88">
        <f t="shared" si="1"/>
        <v>0.66</v>
      </c>
      <c r="H4025" s="89">
        <f t="shared" si="10"/>
        <v>0.1286549708</v>
      </c>
      <c r="I4025" s="78" t="s">
        <v>4776</v>
      </c>
      <c r="J4025" s="78" t="s">
        <v>69</v>
      </c>
      <c r="K4025" s="58">
        <f t="shared" si="3"/>
        <v>0</v>
      </c>
      <c r="L4025" s="91" t="str">
        <f t="shared" si="8"/>
        <v>Mon</v>
      </c>
      <c r="M4025" s="78" t="str">
        <f>IFERROR(VLOOKUP(A4025, Entries!A:B,2,false),"")</f>
        <v>Konami</v>
      </c>
      <c r="N4025" s="23" t="str">
        <f>IFERROR(VLOOKUP(A4025, Entries!A:K,11,false),"")</f>
        <v/>
      </c>
    </row>
    <row r="4026">
      <c r="A4026" s="78" t="s">
        <v>2180</v>
      </c>
      <c r="B4026" s="78" t="s">
        <v>25</v>
      </c>
      <c r="C4026" s="85">
        <v>45159.0</v>
      </c>
      <c r="D4026" s="85">
        <v>45159.0</v>
      </c>
      <c r="E4026" s="86">
        <v>4.47</v>
      </c>
      <c r="F4026" s="87">
        <v>5.13</v>
      </c>
      <c r="G4026" s="88">
        <f t="shared" si="1"/>
        <v>0.66</v>
      </c>
      <c r="H4026" s="89">
        <f t="shared" si="10"/>
        <v>0.1286549708</v>
      </c>
      <c r="I4026" s="78" t="s">
        <v>4777</v>
      </c>
      <c r="J4026" s="78" t="s">
        <v>69</v>
      </c>
      <c r="K4026" s="58">
        <f t="shared" si="3"/>
        <v>0</v>
      </c>
      <c r="L4026" s="91" t="str">
        <f t="shared" si="8"/>
        <v>Mon</v>
      </c>
      <c r="M4026" s="78" t="str">
        <f>IFERROR(VLOOKUP(A4026, Entries!A:B,2,false),"")</f>
        <v>Konami</v>
      </c>
      <c r="N4026" s="23" t="str">
        <f>IFERROR(VLOOKUP(A4026, Entries!A:K,11,false),"")</f>
        <v/>
      </c>
    </row>
    <row r="4027">
      <c r="A4027" s="78" t="s">
        <v>2180</v>
      </c>
      <c r="B4027" s="78" t="s">
        <v>25</v>
      </c>
      <c r="C4027" s="85">
        <v>45159.0</v>
      </c>
      <c r="D4027" s="85">
        <v>45159.0</v>
      </c>
      <c r="E4027" s="86">
        <v>4.47</v>
      </c>
      <c r="F4027" s="87">
        <v>5.13</v>
      </c>
      <c r="G4027" s="88">
        <f t="shared" si="1"/>
        <v>0.66</v>
      </c>
      <c r="H4027" s="89">
        <f t="shared" si="10"/>
        <v>0.1286549708</v>
      </c>
      <c r="I4027" s="78" t="s">
        <v>4778</v>
      </c>
      <c r="J4027" s="78" t="s">
        <v>69</v>
      </c>
      <c r="K4027" s="58">
        <f t="shared" si="3"/>
        <v>0</v>
      </c>
      <c r="L4027" s="91" t="str">
        <f t="shared" si="8"/>
        <v>Mon</v>
      </c>
      <c r="M4027" s="78" t="str">
        <f>IFERROR(VLOOKUP(A4027, Entries!A:B,2,false),"")</f>
        <v>Konami</v>
      </c>
      <c r="N4027" s="23" t="str">
        <f>IFERROR(VLOOKUP(A4027, Entries!A:K,11,false),"")</f>
        <v/>
      </c>
    </row>
    <row r="4028">
      <c r="A4028" s="78" t="s">
        <v>3691</v>
      </c>
      <c r="B4028" s="78" t="s">
        <v>27</v>
      </c>
      <c r="C4028" s="85">
        <v>45159.0</v>
      </c>
      <c r="D4028" s="85">
        <v>45160.0</v>
      </c>
      <c r="E4028" s="86">
        <v>5.61</v>
      </c>
      <c r="F4028" s="87">
        <v>7.73</v>
      </c>
      <c r="G4028" s="88">
        <f t="shared" si="1"/>
        <v>2.12</v>
      </c>
      <c r="H4028" s="89">
        <f t="shared" si="10"/>
        <v>0.2742561449</v>
      </c>
      <c r="I4028" s="78" t="s">
        <v>4779</v>
      </c>
      <c r="J4028" s="78" t="s">
        <v>69</v>
      </c>
      <c r="K4028" s="58">
        <f t="shared" si="3"/>
        <v>1</v>
      </c>
      <c r="L4028" s="91" t="str">
        <f t="shared" si="8"/>
        <v>Tue</v>
      </c>
      <c r="M4028" s="78" t="str">
        <f>IFERROR(VLOOKUP(A4028, Entries!A:B,2,false),"")</f>
        <v>Klei Entertainment</v>
      </c>
      <c r="N4028" s="23" t="str">
        <f>IFERROR(VLOOKUP(A4028, Entries!A:K,11,false),"")</f>
        <v/>
      </c>
    </row>
    <row r="4029">
      <c r="A4029" s="78" t="s">
        <v>4780</v>
      </c>
      <c r="B4029" s="78" t="s">
        <v>27</v>
      </c>
      <c r="C4029" s="85">
        <v>45159.0</v>
      </c>
      <c r="D4029" s="25"/>
      <c r="E4029" s="86">
        <v>15.19</v>
      </c>
      <c r="F4029" s="88"/>
      <c r="G4029" s="88">
        <f t="shared" si="1"/>
        <v>-15.19</v>
      </c>
      <c r="H4029" s="89" t="str">
        <f t="shared" si="10"/>
        <v/>
      </c>
      <c r="I4029" s="103" t="s">
        <v>4781</v>
      </c>
      <c r="J4029" s="78" t="s">
        <v>1129</v>
      </c>
      <c r="K4029" s="58" t="str">
        <f t="shared" si="3"/>
        <v/>
      </c>
      <c r="L4029" s="91" t="str">
        <f t="shared" si="8"/>
        <v/>
      </c>
      <c r="M4029" s="78" t="str">
        <f>IFERROR(VLOOKUP(A4029, Entries!A:B,2,false),"")</f>
        <v>Hooded Horse</v>
      </c>
      <c r="N4029" s="23" t="str">
        <f>IFERROR(VLOOKUP(A4029, Entries!A:K,11,false),"")</f>
        <v/>
      </c>
      <c r="O4029" s="23" t="b">
        <f>IFERROR(VLOOKUP(A4029, Entries!A:I,8,false),"")</f>
        <v>0</v>
      </c>
    </row>
    <row r="4030">
      <c r="A4030" s="78" t="s">
        <v>2180</v>
      </c>
      <c r="B4030" s="78" t="s">
        <v>25</v>
      </c>
      <c r="C4030" s="85">
        <v>45159.0</v>
      </c>
      <c r="D4030" s="85">
        <v>45159.0</v>
      </c>
      <c r="E4030" s="86">
        <v>4.47</v>
      </c>
      <c r="F4030" s="87">
        <v>5.13</v>
      </c>
      <c r="G4030" s="88">
        <f t="shared" si="1"/>
        <v>0.66</v>
      </c>
      <c r="H4030" s="89">
        <f t="shared" si="10"/>
        <v>0.1286549708</v>
      </c>
      <c r="I4030" s="78" t="s">
        <v>4782</v>
      </c>
      <c r="J4030" s="78" t="s">
        <v>69</v>
      </c>
      <c r="K4030" s="58">
        <f t="shared" si="3"/>
        <v>0</v>
      </c>
      <c r="L4030" s="91" t="str">
        <f t="shared" si="8"/>
        <v>Mon</v>
      </c>
      <c r="M4030" s="78" t="str">
        <f>IFERROR(VLOOKUP(A4030, Entries!A:B,2,false),"")</f>
        <v>Konami</v>
      </c>
      <c r="N4030" s="23" t="str">
        <f>IFERROR(VLOOKUP(A4030, Entries!A:K,11,false),"")</f>
        <v/>
      </c>
    </row>
    <row r="4031">
      <c r="A4031" s="78" t="s">
        <v>2180</v>
      </c>
      <c r="B4031" s="78" t="s">
        <v>25</v>
      </c>
      <c r="C4031" s="85">
        <v>45159.0</v>
      </c>
      <c r="D4031" s="85">
        <v>45159.0</v>
      </c>
      <c r="E4031" s="86">
        <v>4.47</v>
      </c>
      <c r="F4031" s="87">
        <v>5.13</v>
      </c>
      <c r="G4031" s="88">
        <f t="shared" si="1"/>
        <v>0.66</v>
      </c>
      <c r="H4031" s="89">
        <f t="shared" si="10"/>
        <v>0.1286549708</v>
      </c>
      <c r="I4031" s="78" t="s">
        <v>4783</v>
      </c>
      <c r="J4031" s="78" t="s">
        <v>69</v>
      </c>
      <c r="K4031" s="58">
        <f t="shared" si="3"/>
        <v>0</v>
      </c>
      <c r="L4031" s="91" t="str">
        <f t="shared" si="8"/>
        <v>Mon</v>
      </c>
      <c r="M4031" s="78" t="str">
        <f>IFERROR(VLOOKUP(A4031, Entries!A:B,2,false),"")</f>
        <v>Konami</v>
      </c>
      <c r="N4031" s="23" t="str">
        <f>IFERROR(VLOOKUP(A4031, Entries!A:K,11,false),"")</f>
        <v/>
      </c>
    </row>
    <row r="4032">
      <c r="A4032" s="78" t="s">
        <v>2180</v>
      </c>
      <c r="B4032" s="78" t="s">
        <v>25</v>
      </c>
      <c r="C4032" s="85">
        <v>45159.0</v>
      </c>
      <c r="D4032" s="85">
        <v>45160.0</v>
      </c>
      <c r="E4032" s="86">
        <v>4.47</v>
      </c>
      <c r="F4032" s="87">
        <v>5.13</v>
      </c>
      <c r="G4032" s="88">
        <f t="shared" si="1"/>
        <v>0.66</v>
      </c>
      <c r="H4032" s="89">
        <f t="shared" si="10"/>
        <v>0.1286549708</v>
      </c>
      <c r="I4032" s="78" t="s">
        <v>4784</v>
      </c>
      <c r="J4032" s="78" t="s">
        <v>69</v>
      </c>
      <c r="K4032" s="58">
        <f t="shared" si="3"/>
        <v>1</v>
      </c>
      <c r="L4032" s="91" t="str">
        <f t="shared" si="8"/>
        <v>Tue</v>
      </c>
      <c r="M4032" s="78" t="str">
        <f>IFERROR(VLOOKUP(A4032, Entries!A:B,2,false),"")</f>
        <v>Konami</v>
      </c>
      <c r="N4032" s="23" t="str">
        <f>IFERROR(VLOOKUP(A4032, Entries!A:K,11,false),"")</f>
        <v/>
      </c>
    </row>
    <row r="4033">
      <c r="A4033" s="78" t="s">
        <v>2180</v>
      </c>
      <c r="B4033" s="78" t="s">
        <v>25</v>
      </c>
      <c r="C4033" s="85">
        <v>45159.0</v>
      </c>
      <c r="D4033" s="85">
        <v>45160.0</v>
      </c>
      <c r="E4033" s="86">
        <v>4.47</v>
      </c>
      <c r="F4033" s="87">
        <v>5.13</v>
      </c>
      <c r="G4033" s="88">
        <f t="shared" si="1"/>
        <v>0.66</v>
      </c>
      <c r="H4033" s="89">
        <f t="shared" si="10"/>
        <v>0.1286549708</v>
      </c>
      <c r="I4033" s="78" t="s">
        <v>4785</v>
      </c>
      <c r="J4033" s="78" t="s">
        <v>69</v>
      </c>
      <c r="K4033" s="58">
        <f t="shared" si="3"/>
        <v>1</v>
      </c>
      <c r="L4033" s="91" t="str">
        <f t="shared" si="8"/>
        <v>Tue</v>
      </c>
      <c r="M4033" s="78" t="str">
        <f>IFERROR(VLOOKUP(A4033, Entries!A:B,2,false),"")</f>
        <v>Konami</v>
      </c>
      <c r="N4033" s="23" t="str">
        <f>IFERROR(VLOOKUP(A4033, Entries!A:K,11,false),"")</f>
        <v/>
      </c>
    </row>
    <row r="4034">
      <c r="A4034" s="78" t="s">
        <v>2180</v>
      </c>
      <c r="B4034" s="78" t="s">
        <v>25</v>
      </c>
      <c r="C4034" s="85">
        <v>45159.0</v>
      </c>
      <c r="D4034" s="85">
        <v>45161.0</v>
      </c>
      <c r="E4034" s="86">
        <v>4.47</v>
      </c>
      <c r="F4034" s="87">
        <v>5.13</v>
      </c>
      <c r="G4034" s="88">
        <f t="shared" si="1"/>
        <v>0.66</v>
      </c>
      <c r="H4034" s="89">
        <f t="shared" si="10"/>
        <v>0.1286549708</v>
      </c>
      <c r="I4034" s="78" t="s">
        <v>4786</v>
      </c>
      <c r="J4034" s="78" t="s">
        <v>69</v>
      </c>
      <c r="K4034" s="58">
        <f t="shared" si="3"/>
        <v>2</v>
      </c>
      <c r="L4034" s="91" t="str">
        <f t="shared" si="8"/>
        <v>Wed</v>
      </c>
      <c r="M4034" s="78" t="str">
        <f>IFERROR(VLOOKUP(A4034, Entries!A:B,2,false),"")</f>
        <v>Konami</v>
      </c>
      <c r="N4034" s="23" t="str">
        <f>IFERROR(VLOOKUP(A4034, Entries!A:K,11,false),"")</f>
        <v/>
      </c>
    </row>
    <row r="4035">
      <c r="A4035" s="78" t="s">
        <v>2180</v>
      </c>
      <c r="B4035" s="78" t="s">
        <v>25</v>
      </c>
      <c r="C4035" s="85">
        <v>45159.0</v>
      </c>
      <c r="D4035" s="85">
        <v>45161.0</v>
      </c>
      <c r="E4035" s="86">
        <v>4.47</v>
      </c>
      <c r="F4035" s="87">
        <v>5.13</v>
      </c>
      <c r="G4035" s="88">
        <f t="shared" si="1"/>
        <v>0.66</v>
      </c>
      <c r="H4035" s="89">
        <f t="shared" si="10"/>
        <v>0.1286549708</v>
      </c>
      <c r="I4035" s="78" t="s">
        <v>4787</v>
      </c>
      <c r="J4035" s="78" t="s">
        <v>69</v>
      </c>
      <c r="K4035" s="58">
        <f t="shared" si="3"/>
        <v>2</v>
      </c>
      <c r="L4035" s="91" t="str">
        <f t="shared" si="8"/>
        <v>Wed</v>
      </c>
      <c r="M4035" s="78" t="str">
        <f>IFERROR(VLOOKUP(A4035, Entries!A:B,2,false),"")</f>
        <v>Konami</v>
      </c>
      <c r="N4035" s="23" t="str">
        <f>IFERROR(VLOOKUP(A4035, Entries!A:K,11,false),"")</f>
        <v/>
      </c>
    </row>
    <row r="4036">
      <c r="A4036" s="94" t="s">
        <v>3181</v>
      </c>
      <c r="B4036" s="78" t="s">
        <v>18</v>
      </c>
      <c r="C4036" s="85">
        <v>45160.0</v>
      </c>
      <c r="D4036" s="85">
        <v>45414.0</v>
      </c>
      <c r="E4036" s="86">
        <v>19.83</v>
      </c>
      <c r="F4036" s="87">
        <v>24.57</v>
      </c>
      <c r="G4036" s="88">
        <f t="shared" si="1"/>
        <v>4.74</v>
      </c>
      <c r="H4036" s="89">
        <f t="shared" si="10"/>
        <v>0.1929181929</v>
      </c>
      <c r="I4036" s="78" t="s">
        <v>4788</v>
      </c>
      <c r="J4036" s="78" t="s">
        <v>69</v>
      </c>
      <c r="K4036" s="58">
        <f t="shared" si="3"/>
        <v>254</v>
      </c>
      <c r="L4036" s="91" t="str">
        <f t="shared" si="8"/>
        <v>Thu</v>
      </c>
      <c r="M4036" s="78" t="str">
        <f>IFERROR(VLOOKUP(A4036, Entries!A:B,2,false),"")</f>
        <v>Thunderful Publishing</v>
      </c>
      <c r="N4036" s="23" t="str">
        <f>IFERROR(VLOOKUP(A4036, Entries!A:K,11,false),"")</f>
        <v/>
      </c>
      <c r="O4036" s="23" t="b">
        <f>IFERROR(VLOOKUP(A4036, Entries!A:I,8,false),"")</f>
        <v>0</v>
      </c>
    </row>
    <row r="4037">
      <c r="A4037" s="78" t="s">
        <v>3181</v>
      </c>
      <c r="B4037" s="78" t="s">
        <v>18</v>
      </c>
      <c r="C4037" s="85">
        <v>45160.0</v>
      </c>
      <c r="D4037" s="25"/>
      <c r="E4037" s="86">
        <v>19.83</v>
      </c>
      <c r="F4037" s="88"/>
      <c r="G4037" s="88">
        <f t="shared" si="1"/>
        <v>-19.83</v>
      </c>
      <c r="H4037" s="89" t="str">
        <f t="shared" si="10"/>
        <v/>
      </c>
      <c r="I4037" s="103" t="s">
        <v>4789</v>
      </c>
      <c r="J4037" s="78" t="s">
        <v>1129</v>
      </c>
      <c r="K4037" s="58" t="str">
        <f t="shared" si="3"/>
        <v/>
      </c>
      <c r="L4037" s="91" t="str">
        <f t="shared" si="8"/>
        <v/>
      </c>
      <c r="M4037" s="78" t="str">
        <f>IFERROR(VLOOKUP(A4037, Entries!A:B,2,false),"")</f>
        <v>Thunderful Publishing</v>
      </c>
      <c r="N4037" s="23" t="str">
        <f>IFERROR(VLOOKUP(A4037, Entries!A:K,11,false),"")</f>
        <v/>
      </c>
      <c r="O4037" s="23" t="b">
        <f>IFERROR(VLOOKUP(A4037, Entries!A:I,8,false),"")</f>
        <v>0</v>
      </c>
    </row>
    <row r="4038">
      <c r="A4038" s="78" t="s">
        <v>4767</v>
      </c>
      <c r="B4038" s="78" t="s">
        <v>19</v>
      </c>
      <c r="C4038" s="85">
        <v>45160.0</v>
      </c>
      <c r="D4038" s="85">
        <v>45163.0</v>
      </c>
      <c r="E4038" s="86">
        <v>15.43</v>
      </c>
      <c r="F4038" s="87">
        <v>17.86</v>
      </c>
      <c r="G4038" s="88">
        <f t="shared" si="1"/>
        <v>2.43</v>
      </c>
      <c r="H4038" s="89">
        <f t="shared" si="10"/>
        <v>0.1360582307</v>
      </c>
      <c r="I4038" s="78" t="s">
        <v>4790</v>
      </c>
      <c r="J4038" s="78" t="s">
        <v>69</v>
      </c>
      <c r="K4038" s="58">
        <f t="shared" si="3"/>
        <v>3</v>
      </c>
      <c r="L4038" s="91" t="str">
        <f t="shared" si="8"/>
        <v>Fri</v>
      </c>
      <c r="M4038" s="78" t="str">
        <f>IFERROR(VLOOKUP(A4038, Entries!A:B,2,false),"")</f>
        <v/>
      </c>
      <c r="N4038" s="23" t="str">
        <f>IFERROR(VLOOKUP(A4038, Entries!A:K,11,false),"")</f>
        <v/>
      </c>
    </row>
    <row r="4039">
      <c r="A4039" s="78" t="s">
        <v>4791</v>
      </c>
      <c r="B4039" s="78" t="s">
        <v>19</v>
      </c>
      <c r="C4039" s="85">
        <v>45160.0</v>
      </c>
      <c r="D4039" s="85">
        <v>45161.0</v>
      </c>
      <c r="E4039" s="86">
        <v>0.0</v>
      </c>
      <c r="F4039" s="87">
        <v>0.85</v>
      </c>
      <c r="G4039" s="88">
        <f t="shared" si="1"/>
        <v>0.85</v>
      </c>
      <c r="H4039" s="89">
        <f t="shared" si="10"/>
        <v>1</v>
      </c>
      <c r="I4039" s="78" t="s">
        <v>4792</v>
      </c>
      <c r="J4039" s="78" t="s">
        <v>69</v>
      </c>
      <c r="K4039" s="58">
        <f t="shared" si="3"/>
        <v>1</v>
      </c>
      <c r="L4039" s="91" t="str">
        <f t="shared" si="8"/>
        <v>Wed</v>
      </c>
      <c r="M4039" s="78" t="str">
        <f>IFERROR(VLOOKUP(A4039, Entries!A:B,2,false),"")</f>
        <v/>
      </c>
      <c r="N4039" s="23" t="str">
        <f>IFERROR(VLOOKUP(A4039, Entries!A:K,11,false),"")</f>
        <v/>
      </c>
    </row>
    <row r="4040">
      <c r="A4040" s="78" t="s">
        <v>3691</v>
      </c>
      <c r="B4040" s="78" t="s">
        <v>27</v>
      </c>
      <c r="C4040" s="85">
        <v>45160.0</v>
      </c>
      <c r="D4040" s="85">
        <v>45161.0</v>
      </c>
      <c r="E4040" s="86">
        <v>5.79</v>
      </c>
      <c r="F4040" s="87">
        <v>7.73</v>
      </c>
      <c r="G4040" s="88">
        <f t="shared" si="1"/>
        <v>1.94</v>
      </c>
      <c r="H4040" s="89">
        <f t="shared" si="10"/>
        <v>0.2509702458</v>
      </c>
      <c r="I4040" s="78" t="s">
        <v>4793</v>
      </c>
      <c r="J4040" s="78" t="s">
        <v>69</v>
      </c>
      <c r="K4040" s="58">
        <f t="shared" si="3"/>
        <v>1</v>
      </c>
      <c r="L4040" s="91" t="str">
        <f t="shared" si="8"/>
        <v>Wed</v>
      </c>
      <c r="M4040" s="78" t="str">
        <f>IFERROR(VLOOKUP(A4040, Entries!A:B,2,false),"")</f>
        <v>Klei Entertainment</v>
      </c>
      <c r="N4040" s="23" t="str">
        <f>IFERROR(VLOOKUP(A4040, Entries!A:K,11,false),"")</f>
        <v/>
      </c>
    </row>
    <row r="4041">
      <c r="A4041" s="78" t="s">
        <v>4466</v>
      </c>
      <c r="B4041" s="78" t="s">
        <v>22</v>
      </c>
      <c r="C4041" s="85">
        <v>45160.0</v>
      </c>
      <c r="D4041" s="85">
        <v>45161.0</v>
      </c>
      <c r="E4041" s="86">
        <v>4.36</v>
      </c>
      <c r="F4041" s="87">
        <v>4.99</v>
      </c>
      <c r="G4041" s="88">
        <f t="shared" si="1"/>
        <v>0.63</v>
      </c>
      <c r="H4041" s="89">
        <f t="shared" si="10"/>
        <v>0.126252505</v>
      </c>
      <c r="I4041" s="78" t="s">
        <v>4794</v>
      </c>
      <c r="J4041" s="78" t="s">
        <v>69</v>
      </c>
      <c r="K4041" s="58">
        <f t="shared" si="3"/>
        <v>1</v>
      </c>
      <c r="L4041" s="91" t="str">
        <f t="shared" si="8"/>
        <v>Wed</v>
      </c>
      <c r="M4041" s="78" t="str">
        <f>IFERROR(VLOOKUP(A4041, Entries!A:B,2,false),"")</f>
        <v>SCKR Games</v>
      </c>
      <c r="N4041" s="23" t="str">
        <f>IFERROR(VLOOKUP(A4041, Entries!A:K,11,false),"")</f>
        <v/>
      </c>
    </row>
    <row r="4042">
      <c r="A4042" s="78" t="s">
        <v>4466</v>
      </c>
      <c r="B4042" s="78" t="s">
        <v>22</v>
      </c>
      <c r="C4042" s="85">
        <v>45160.0</v>
      </c>
      <c r="D4042" s="85">
        <v>45161.0</v>
      </c>
      <c r="E4042" s="86">
        <v>4.36</v>
      </c>
      <c r="F4042" s="87">
        <v>4.99</v>
      </c>
      <c r="G4042" s="88">
        <f t="shared" si="1"/>
        <v>0.63</v>
      </c>
      <c r="H4042" s="89">
        <f t="shared" si="10"/>
        <v>0.126252505</v>
      </c>
      <c r="I4042" s="78" t="s">
        <v>4795</v>
      </c>
      <c r="J4042" s="78" t="s">
        <v>69</v>
      </c>
      <c r="K4042" s="58">
        <f t="shared" si="3"/>
        <v>1</v>
      </c>
      <c r="L4042" s="91" t="str">
        <f t="shared" si="8"/>
        <v>Wed</v>
      </c>
      <c r="M4042" s="78" t="str">
        <f>IFERROR(VLOOKUP(A4042, Entries!A:B,2,false),"")</f>
        <v>SCKR Games</v>
      </c>
      <c r="N4042" s="23" t="str">
        <f>IFERROR(VLOOKUP(A4042, Entries!A:K,11,false),"")</f>
        <v/>
      </c>
    </row>
    <row r="4043">
      <c r="A4043" s="78" t="s">
        <v>4466</v>
      </c>
      <c r="B4043" s="78" t="s">
        <v>22</v>
      </c>
      <c r="C4043" s="85">
        <v>45160.0</v>
      </c>
      <c r="D4043" s="85">
        <v>45162.0</v>
      </c>
      <c r="E4043" s="86">
        <v>4.36</v>
      </c>
      <c r="F4043" s="87">
        <v>4.99</v>
      </c>
      <c r="G4043" s="88">
        <f t="shared" si="1"/>
        <v>0.63</v>
      </c>
      <c r="H4043" s="89">
        <f t="shared" si="10"/>
        <v>0.126252505</v>
      </c>
      <c r="I4043" s="78" t="s">
        <v>4796</v>
      </c>
      <c r="J4043" s="78" t="s">
        <v>69</v>
      </c>
      <c r="K4043" s="58">
        <f t="shared" si="3"/>
        <v>2</v>
      </c>
      <c r="L4043" s="91" t="str">
        <f t="shared" si="8"/>
        <v>Thu</v>
      </c>
      <c r="M4043" s="78" t="str">
        <f>IFERROR(VLOOKUP(A4043, Entries!A:B,2,false),"")</f>
        <v>SCKR Games</v>
      </c>
      <c r="N4043" s="23" t="str">
        <f>IFERROR(VLOOKUP(A4043, Entries!A:K,11,false),"")</f>
        <v/>
      </c>
    </row>
    <row r="4044">
      <c r="A4044" s="78" t="s">
        <v>4466</v>
      </c>
      <c r="B4044" s="78" t="s">
        <v>22</v>
      </c>
      <c r="C4044" s="85">
        <v>45160.0</v>
      </c>
      <c r="D4044" s="85">
        <v>45162.0</v>
      </c>
      <c r="E4044" s="86">
        <v>4.36</v>
      </c>
      <c r="F4044" s="87">
        <v>4.99</v>
      </c>
      <c r="G4044" s="88">
        <f t="shared" si="1"/>
        <v>0.63</v>
      </c>
      <c r="H4044" s="89">
        <f t="shared" si="10"/>
        <v>0.126252505</v>
      </c>
      <c r="I4044" s="78" t="s">
        <v>4797</v>
      </c>
      <c r="J4044" s="78" t="s">
        <v>69</v>
      </c>
      <c r="K4044" s="58">
        <f t="shared" si="3"/>
        <v>2</v>
      </c>
      <c r="L4044" s="91" t="str">
        <f t="shared" si="8"/>
        <v>Thu</v>
      </c>
      <c r="M4044" s="78" t="str">
        <f>IFERROR(VLOOKUP(A4044, Entries!A:B,2,false),"")</f>
        <v>SCKR Games</v>
      </c>
      <c r="N4044" s="23" t="str">
        <f>IFERROR(VLOOKUP(A4044, Entries!A:K,11,false),"")</f>
        <v/>
      </c>
    </row>
    <row r="4045">
      <c r="A4045" s="78" t="s">
        <v>2180</v>
      </c>
      <c r="B4045" s="78" t="s">
        <v>25</v>
      </c>
      <c r="C4045" s="85">
        <v>45160.0</v>
      </c>
      <c r="D4045" s="85">
        <v>45161.0</v>
      </c>
      <c r="E4045" s="86">
        <v>4.46</v>
      </c>
      <c r="F4045" s="87">
        <v>5.13</v>
      </c>
      <c r="G4045" s="88">
        <f t="shared" si="1"/>
        <v>0.67</v>
      </c>
      <c r="H4045" s="89">
        <f t="shared" si="10"/>
        <v>0.1306042885</v>
      </c>
      <c r="I4045" s="78" t="s">
        <v>4798</v>
      </c>
      <c r="J4045" s="78" t="s">
        <v>69</v>
      </c>
      <c r="K4045" s="58">
        <f t="shared" si="3"/>
        <v>1</v>
      </c>
      <c r="L4045" s="91" t="str">
        <f t="shared" si="8"/>
        <v>Wed</v>
      </c>
      <c r="M4045" s="78" t="str">
        <f>IFERROR(VLOOKUP(A4045, Entries!A:B,2,false),"")</f>
        <v>Konami</v>
      </c>
      <c r="N4045" s="23" t="str">
        <f>IFERROR(VLOOKUP(A4045, Entries!A:K,11,false),"")</f>
        <v/>
      </c>
    </row>
    <row r="4046">
      <c r="A4046" s="78" t="s">
        <v>2180</v>
      </c>
      <c r="B4046" s="78" t="s">
        <v>25</v>
      </c>
      <c r="C4046" s="85">
        <v>45160.0</v>
      </c>
      <c r="D4046" s="85">
        <v>45161.0</v>
      </c>
      <c r="E4046" s="86">
        <v>4.46</v>
      </c>
      <c r="F4046" s="87">
        <v>5.13</v>
      </c>
      <c r="G4046" s="88">
        <f t="shared" si="1"/>
        <v>0.67</v>
      </c>
      <c r="H4046" s="89">
        <f t="shared" si="10"/>
        <v>0.1306042885</v>
      </c>
      <c r="I4046" s="78" t="s">
        <v>4799</v>
      </c>
      <c r="J4046" s="78" t="s">
        <v>69</v>
      </c>
      <c r="K4046" s="58">
        <f t="shared" si="3"/>
        <v>1</v>
      </c>
      <c r="L4046" s="91" t="str">
        <f t="shared" si="8"/>
        <v>Wed</v>
      </c>
      <c r="M4046" s="78" t="str">
        <f>IFERROR(VLOOKUP(A4046, Entries!A:B,2,false),"")</f>
        <v>Konami</v>
      </c>
      <c r="N4046" s="23" t="str">
        <f>IFERROR(VLOOKUP(A4046, Entries!A:K,11,false),"")</f>
        <v/>
      </c>
    </row>
    <row r="4047">
      <c r="A4047" s="78" t="s">
        <v>2180</v>
      </c>
      <c r="B4047" s="78" t="s">
        <v>25</v>
      </c>
      <c r="C4047" s="85">
        <v>45160.0</v>
      </c>
      <c r="D4047" s="85">
        <v>45161.0</v>
      </c>
      <c r="E4047" s="86">
        <v>4.46</v>
      </c>
      <c r="F4047" s="87">
        <v>5.13</v>
      </c>
      <c r="G4047" s="88">
        <f t="shared" si="1"/>
        <v>0.67</v>
      </c>
      <c r="H4047" s="89">
        <f t="shared" si="10"/>
        <v>0.1306042885</v>
      </c>
      <c r="I4047" s="78" t="s">
        <v>4800</v>
      </c>
      <c r="J4047" s="78" t="s">
        <v>69</v>
      </c>
      <c r="K4047" s="58">
        <f t="shared" si="3"/>
        <v>1</v>
      </c>
      <c r="L4047" s="91" t="str">
        <f t="shared" si="8"/>
        <v>Wed</v>
      </c>
      <c r="M4047" s="78" t="str">
        <f>IFERROR(VLOOKUP(A4047, Entries!A:B,2,false),"")</f>
        <v>Konami</v>
      </c>
      <c r="N4047" s="23" t="str">
        <f>IFERROR(VLOOKUP(A4047, Entries!A:K,11,false),"")</f>
        <v/>
      </c>
    </row>
    <row r="4048">
      <c r="A4048" s="78" t="s">
        <v>2818</v>
      </c>
      <c r="B4048" s="78" t="s">
        <v>27</v>
      </c>
      <c r="C4048" s="85">
        <v>45161.0</v>
      </c>
      <c r="D4048" s="85">
        <v>45182.0</v>
      </c>
      <c r="E4048" s="86">
        <v>6.99</v>
      </c>
      <c r="F4048" s="87">
        <v>8.84</v>
      </c>
      <c r="G4048" s="88">
        <f t="shared" si="1"/>
        <v>1.85</v>
      </c>
      <c r="H4048" s="89">
        <f t="shared" si="10"/>
        <v>0.2092760181</v>
      </c>
      <c r="I4048" s="78" t="s">
        <v>4801</v>
      </c>
      <c r="J4048" s="78" t="s">
        <v>69</v>
      </c>
      <c r="K4048" s="58">
        <f t="shared" si="3"/>
        <v>21</v>
      </c>
      <c r="L4048" s="91" t="str">
        <f t="shared" si="8"/>
        <v>Wed</v>
      </c>
      <c r="M4048" s="78" t="str">
        <f>IFERROR(VLOOKUP(A4048, Entries!A:B,2,false),"")</f>
        <v>Daedalic Entertainment</v>
      </c>
      <c r="N4048" s="23" t="str">
        <f>IFERROR(VLOOKUP(A4048, Entries!A:K,11,false),"")</f>
        <v/>
      </c>
      <c r="O4048" s="23" t="b">
        <f>IFERROR(VLOOKUP(A4048, Entries!A:I,8,false),"")</f>
        <v>1</v>
      </c>
    </row>
    <row r="4049">
      <c r="A4049" s="78" t="s">
        <v>2818</v>
      </c>
      <c r="B4049" s="78" t="s">
        <v>25</v>
      </c>
      <c r="C4049" s="85">
        <v>45161.0</v>
      </c>
      <c r="D4049" s="85">
        <v>45183.0</v>
      </c>
      <c r="E4049" s="86">
        <v>6.78</v>
      </c>
      <c r="F4049" s="87">
        <v>8.86</v>
      </c>
      <c r="G4049" s="88">
        <f t="shared" si="1"/>
        <v>2.08</v>
      </c>
      <c r="H4049" s="89">
        <f t="shared" si="10"/>
        <v>0.2347629797</v>
      </c>
      <c r="I4049" s="78" t="s">
        <v>4802</v>
      </c>
      <c r="J4049" s="78" t="s">
        <v>69</v>
      </c>
      <c r="K4049" s="58">
        <f t="shared" si="3"/>
        <v>22</v>
      </c>
      <c r="L4049" s="91" t="str">
        <f t="shared" si="8"/>
        <v>Thu</v>
      </c>
      <c r="M4049" s="78" t="str">
        <f>IFERROR(VLOOKUP(A4049, Entries!A:B,2,false),"")</f>
        <v>Daedalic Entertainment</v>
      </c>
      <c r="N4049" s="23" t="str">
        <f>IFERROR(VLOOKUP(A4049, Entries!A:K,11,false),"")</f>
        <v/>
      </c>
      <c r="O4049" s="23" t="b">
        <f>IFERROR(VLOOKUP(A4049, Entries!A:I,8,false),"")</f>
        <v>1</v>
      </c>
    </row>
    <row r="4050">
      <c r="A4050" s="78" t="s">
        <v>2180</v>
      </c>
      <c r="B4050" s="78" t="s">
        <v>25</v>
      </c>
      <c r="C4050" s="85">
        <v>45161.0</v>
      </c>
      <c r="D4050" s="85">
        <v>45161.0</v>
      </c>
      <c r="E4050" s="86">
        <v>4.46</v>
      </c>
      <c r="F4050" s="87">
        <v>5.13</v>
      </c>
      <c r="G4050" s="88">
        <f t="shared" si="1"/>
        <v>0.67</v>
      </c>
      <c r="H4050" s="89">
        <f t="shared" si="10"/>
        <v>0.1306042885</v>
      </c>
      <c r="I4050" s="78" t="s">
        <v>4803</v>
      </c>
      <c r="J4050" s="78" t="s">
        <v>69</v>
      </c>
      <c r="K4050" s="58">
        <f t="shared" si="3"/>
        <v>0</v>
      </c>
      <c r="L4050" s="91" t="str">
        <f t="shared" si="8"/>
        <v>Wed</v>
      </c>
      <c r="M4050" s="78" t="str">
        <f>IFERROR(VLOOKUP(A4050, Entries!A:B,2,false),"")</f>
        <v>Konami</v>
      </c>
      <c r="N4050" s="23" t="str">
        <f>IFERROR(VLOOKUP(A4050, Entries!A:K,11,false),"")</f>
        <v/>
      </c>
    </row>
    <row r="4051">
      <c r="A4051" s="78" t="s">
        <v>2180</v>
      </c>
      <c r="B4051" s="78" t="s">
        <v>25</v>
      </c>
      <c r="C4051" s="85">
        <v>45161.0</v>
      </c>
      <c r="D4051" s="85">
        <v>45162.0</v>
      </c>
      <c r="E4051" s="86">
        <v>4.46</v>
      </c>
      <c r="F4051" s="87">
        <v>5.13</v>
      </c>
      <c r="G4051" s="88">
        <f t="shared" si="1"/>
        <v>0.67</v>
      </c>
      <c r="H4051" s="89">
        <f t="shared" si="10"/>
        <v>0.1306042885</v>
      </c>
      <c r="I4051" s="78" t="s">
        <v>4804</v>
      </c>
      <c r="J4051" s="78" t="s">
        <v>69</v>
      </c>
      <c r="K4051" s="58">
        <f t="shared" si="3"/>
        <v>1</v>
      </c>
      <c r="L4051" s="91" t="str">
        <f t="shared" si="8"/>
        <v>Thu</v>
      </c>
      <c r="M4051" s="78" t="str">
        <f>IFERROR(VLOOKUP(A4051, Entries!A:B,2,false),"")</f>
        <v>Konami</v>
      </c>
      <c r="N4051" s="23" t="str">
        <f>IFERROR(VLOOKUP(A4051, Entries!A:K,11,false),"")</f>
        <v/>
      </c>
    </row>
    <row r="4052">
      <c r="A4052" s="78" t="s">
        <v>2180</v>
      </c>
      <c r="B4052" s="78" t="s">
        <v>25</v>
      </c>
      <c r="C4052" s="85">
        <v>45161.0</v>
      </c>
      <c r="D4052" s="85">
        <v>45162.0</v>
      </c>
      <c r="E4052" s="86">
        <v>4.46</v>
      </c>
      <c r="F4052" s="87">
        <v>5.13</v>
      </c>
      <c r="G4052" s="88">
        <f t="shared" si="1"/>
        <v>0.67</v>
      </c>
      <c r="H4052" s="89">
        <f t="shared" si="10"/>
        <v>0.1306042885</v>
      </c>
      <c r="I4052" s="78" t="s">
        <v>4805</v>
      </c>
      <c r="J4052" s="78" t="s">
        <v>69</v>
      </c>
      <c r="K4052" s="58">
        <f t="shared" si="3"/>
        <v>1</v>
      </c>
      <c r="L4052" s="91" t="str">
        <f t="shared" si="8"/>
        <v>Thu</v>
      </c>
      <c r="M4052" s="78" t="str">
        <f>IFERROR(VLOOKUP(A4052, Entries!A:B,2,false),"")</f>
        <v>Konami</v>
      </c>
      <c r="N4052" s="23" t="str">
        <f>IFERROR(VLOOKUP(A4052, Entries!A:K,11,false),"")</f>
        <v/>
      </c>
    </row>
    <row r="4053">
      <c r="A4053" s="78" t="s">
        <v>3691</v>
      </c>
      <c r="B4053" s="78" t="s">
        <v>27</v>
      </c>
      <c r="C4053" s="85">
        <v>45161.0</v>
      </c>
      <c r="D4053" s="85">
        <v>45166.0</v>
      </c>
      <c r="E4053" s="86">
        <v>5.79</v>
      </c>
      <c r="F4053" s="87">
        <v>7.73</v>
      </c>
      <c r="G4053" s="88">
        <f t="shared" si="1"/>
        <v>1.94</v>
      </c>
      <c r="H4053" s="89">
        <f t="shared" si="10"/>
        <v>0.2509702458</v>
      </c>
      <c r="I4053" s="78" t="s">
        <v>4806</v>
      </c>
      <c r="J4053" s="78" t="s">
        <v>69</v>
      </c>
      <c r="K4053" s="58">
        <f t="shared" si="3"/>
        <v>5</v>
      </c>
      <c r="L4053" s="91" t="str">
        <f t="shared" si="8"/>
        <v>Mon</v>
      </c>
      <c r="M4053" s="78" t="str">
        <f>IFERROR(VLOOKUP(A4053, Entries!A:B,2,false),"")</f>
        <v>Klei Entertainment</v>
      </c>
      <c r="N4053" s="23" t="str">
        <f>IFERROR(VLOOKUP(A4053, Entries!A:K,11,false),"")</f>
        <v/>
      </c>
    </row>
    <row r="4054">
      <c r="A4054" s="78" t="s">
        <v>4466</v>
      </c>
      <c r="B4054" s="78" t="s">
        <v>22</v>
      </c>
      <c r="C4054" s="85">
        <v>45161.0</v>
      </c>
      <c r="D4054" s="85">
        <v>45163.0</v>
      </c>
      <c r="E4054" s="86">
        <v>4.36</v>
      </c>
      <c r="F4054" s="87">
        <v>4.99</v>
      </c>
      <c r="G4054" s="88">
        <f t="shared" si="1"/>
        <v>0.63</v>
      </c>
      <c r="H4054" s="89">
        <f t="shared" si="10"/>
        <v>0.126252505</v>
      </c>
      <c r="I4054" s="78" t="s">
        <v>4807</v>
      </c>
      <c r="J4054" s="78" t="s">
        <v>69</v>
      </c>
      <c r="K4054" s="58">
        <f t="shared" si="3"/>
        <v>2</v>
      </c>
      <c r="L4054" s="91" t="str">
        <f t="shared" si="8"/>
        <v>Fri</v>
      </c>
      <c r="M4054" s="78" t="str">
        <f>IFERROR(VLOOKUP(A4054, Entries!A:B,2,false),"")</f>
        <v>SCKR Games</v>
      </c>
      <c r="N4054" s="23" t="str">
        <f>IFERROR(VLOOKUP(A4054, Entries!A:K,11,false),"")</f>
        <v/>
      </c>
    </row>
    <row r="4055">
      <c r="A4055" s="78" t="s">
        <v>4466</v>
      </c>
      <c r="B4055" s="78" t="s">
        <v>22</v>
      </c>
      <c r="C4055" s="85">
        <v>45161.0</v>
      </c>
      <c r="D4055" s="85">
        <v>45163.0</v>
      </c>
      <c r="E4055" s="86">
        <v>4.36</v>
      </c>
      <c r="F4055" s="87">
        <v>4.99</v>
      </c>
      <c r="G4055" s="88">
        <f t="shared" si="1"/>
        <v>0.63</v>
      </c>
      <c r="H4055" s="89">
        <f t="shared" si="10"/>
        <v>0.126252505</v>
      </c>
      <c r="I4055" s="78" t="s">
        <v>4808</v>
      </c>
      <c r="J4055" s="78" t="s">
        <v>69</v>
      </c>
      <c r="K4055" s="58">
        <f t="shared" si="3"/>
        <v>2</v>
      </c>
      <c r="L4055" s="91" t="str">
        <f t="shared" si="8"/>
        <v>Fri</v>
      </c>
      <c r="M4055" s="78" t="str">
        <f>IFERROR(VLOOKUP(A4055, Entries!A:B,2,false),"")</f>
        <v>SCKR Games</v>
      </c>
      <c r="N4055" s="23" t="str">
        <f>IFERROR(VLOOKUP(A4055, Entries!A:K,11,false),"")</f>
        <v/>
      </c>
    </row>
    <row r="4056">
      <c r="A4056" s="78" t="s">
        <v>4466</v>
      </c>
      <c r="B4056" s="78" t="s">
        <v>22</v>
      </c>
      <c r="C4056" s="85">
        <v>45161.0</v>
      </c>
      <c r="D4056" s="85">
        <v>45163.0</v>
      </c>
      <c r="E4056" s="86">
        <v>4.36</v>
      </c>
      <c r="F4056" s="87">
        <v>4.99</v>
      </c>
      <c r="G4056" s="88">
        <f t="shared" si="1"/>
        <v>0.63</v>
      </c>
      <c r="H4056" s="89">
        <f t="shared" si="10"/>
        <v>0.126252505</v>
      </c>
      <c r="I4056" s="78" t="s">
        <v>4809</v>
      </c>
      <c r="J4056" s="78" t="s">
        <v>69</v>
      </c>
      <c r="K4056" s="58">
        <f t="shared" si="3"/>
        <v>2</v>
      </c>
      <c r="L4056" s="91" t="str">
        <f t="shared" si="8"/>
        <v>Fri</v>
      </c>
      <c r="M4056" s="78" t="str">
        <f>IFERROR(VLOOKUP(A4056, Entries!A:B,2,false),"")</f>
        <v>SCKR Games</v>
      </c>
      <c r="N4056" s="23" t="str">
        <f>IFERROR(VLOOKUP(A4056, Entries!A:K,11,false),"")</f>
        <v/>
      </c>
    </row>
    <row r="4057">
      <c r="A4057" s="78" t="s">
        <v>4466</v>
      </c>
      <c r="B4057" s="78" t="s">
        <v>22</v>
      </c>
      <c r="C4057" s="85">
        <v>45163.0</v>
      </c>
      <c r="D4057" s="85">
        <v>45163.0</v>
      </c>
      <c r="E4057" s="86">
        <v>4.31</v>
      </c>
      <c r="F4057" s="87">
        <v>4.99</v>
      </c>
      <c r="G4057" s="88">
        <f t="shared" si="1"/>
        <v>0.68</v>
      </c>
      <c r="H4057" s="89">
        <f t="shared" si="10"/>
        <v>0.1362725451</v>
      </c>
      <c r="I4057" s="78" t="s">
        <v>4810</v>
      </c>
      <c r="J4057" s="78" t="s">
        <v>69</v>
      </c>
      <c r="K4057" s="58">
        <f t="shared" si="3"/>
        <v>0</v>
      </c>
      <c r="L4057" s="91" t="str">
        <f t="shared" si="8"/>
        <v>Fri</v>
      </c>
      <c r="M4057" s="78" t="str">
        <f>IFERROR(VLOOKUP(A4057, Entries!A:B,2,false),"")</f>
        <v>SCKR Games</v>
      </c>
      <c r="N4057" s="23" t="str">
        <f>IFERROR(VLOOKUP(A4057, Entries!A:K,11,false),"")</f>
        <v/>
      </c>
    </row>
    <row r="4058">
      <c r="A4058" s="78" t="s">
        <v>4466</v>
      </c>
      <c r="B4058" s="78" t="s">
        <v>22</v>
      </c>
      <c r="C4058" s="85">
        <v>45163.0</v>
      </c>
      <c r="D4058" s="85">
        <v>45163.0</v>
      </c>
      <c r="E4058" s="86">
        <v>4.31</v>
      </c>
      <c r="F4058" s="87">
        <v>4.99</v>
      </c>
      <c r="G4058" s="88">
        <f t="shared" si="1"/>
        <v>0.68</v>
      </c>
      <c r="H4058" s="89">
        <f t="shared" si="10"/>
        <v>0.1362725451</v>
      </c>
      <c r="I4058" s="78" t="s">
        <v>4811</v>
      </c>
      <c r="J4058" s="78" t="s">
        <v>69</v>
      </c>
      <c r="K4058" s="58">
        <f t="shared" si="3"/>
        <v>0</v>
      </c>
      <c r="L4058" s="91" t="str">
        <f t="shared" si="8"/>
        <v>Fri</v>
      </c>
      <c r="M4058" s="78" t="str">
        <f>IFERROR(VLOOKUP(A4058, Entries!A:B,2,false),"")</f>
        <v>SCKR Games</v>
      </c>
      <c r="N4058" s="23" t="str">
        <f>IFERROR(VLOOKUP(A4058, Entries!A:K,11,false),"")</f>
        <v/>
      </c>
    </row>
    <row r="4059">
      <c r="A4059" s="78" t="s">
        <v>2180</v>
      </c>
      <c r="B4059" s="78" t="s">
        <v>25</v>
      </c>
      <c r="C4059" s="85">
        <v>45163.0</v>
      </c>
      <c r="D4059" s="85">
        <v>45163.0</v>
      </c>
      <c r="E4059" s="86">
        <v>4.42</v>
      </c>
      <c r="F4059" s="87">
        <v>5.13</v>
      </c>
      <c r="G4059" s="88">
        <f t="shared" si="1"/>
        <v>0.71</v>
      </c>
      <c r="H4059" s="89">
        <f t="shared" si="10"/>
        <v>0.1384015595</v>
      </c>
      <c r="I4059" s="78" t="s">
        <v>4812</v>
      </c>
      <c r="J4059" s="78" t="s">
        <v>69</v>
      </c>
      <c r="K4059" s="58">
        <f t="shared" si="3"/>
        <v>0</v>
      </c>
      <c r="L4059" s="91" t="str">
        <f t="shared" si="8"/>
        <v>Fri</v>
      </c>
      <c r="M4059" s="78" t="str">
        <f>IFERROR(VLOOKUP(A4059, Entries!A:B,2,false),"")</f>
        <v>Konami</v>
      </c>
      <c r="N4059" s="23" t="str">
        <f>IFERROR(VLOOKUP(A4059, Entries!A:K,11,false),"")</f>
        <v/>
      </c>
    </row>
    <row r="4060">
      <c r="A4060" s="78" t="s">
        <v>2180</v>
      </c>
      <c r="B4060" s="78" t="s">
        <v>25</v>
      </c>
      <c r="C4060" s="85">
        <v>45163.0</v>
      </c>
      <c r="D4060" s="85">
        <v>45163.0</v>
      </c>
      <c r="E4060" s="86">
        <v>4.42</v>
      </c>
      <c r="F4060" s="87">
        <v>5.13</v>
      </c>
      <c r="G4060" s="88">
        <f t="shared" si="1"/>
        <v>0.71</v>
      </c>
      <c r="H4060" s="89">
        <f t="shared" si="10"/>
        <v>0.1384015595</v>
      </c>
      <c r="I4060" s="78" t="s">
        <v>4813</v>
      </c>
      <c r="J4060" s="78" t="s">
        <v>69</v>
      </c>
      <c r="K4060" s="58">
        <f t="shared" si="3"/>
        <v>0</v>
      </c>
      <c r="L4060" s="91" t="str">
        <f t="shared" si="8"/>
        <v>Fri</v>
      </c>
      <c r="M4060" s="78" t="str">
        <f>IFERROR(VLOOKUP(A4060, Entries!A:B,2,false),"")</f>
        <v>Konami</v>
      </c>
      <c r="N4060" s="23" t="str">
        <f>IFERROR(VLOOKUP(A4060, Entries!A:K,11,false),"")</f>
        <v/>
      </c>
    </row>
    <row r="4061">
      <c r="A4061" s="78" t="s">
        <v>4814</v>
      </c>
      <c r="B4061" s="78" t="s">
        <v>27</v>
      </c>
      <c r="C4061" s="85">
        <v>45163.0</v>
      </c>
      <c r="D4061" s="85">
        <v>45164.0</v>
      </c>
      <c r="E4061" s="86">
        <v>18.69</v>
      </c>
      <c r="F4061" s="87">
        <v>20.12</v>
      </c>
      <c r="G4061" s="88">
        <f t="shared" si="1"/>
        <v>1.43</v>
      </c>
      <c r="H4061" s="89">
        <f t="shared" si="10"/>
        <v>0.07107355865</v>
      </c>
      <c r="I4061" s="78" t="s">
        <v>4815</v>
      </c>
      <c r="J4061" s="78" t="s">
        <v>69</v>
      </c>
      <c r="K4061" s="58">
        <f t="shared" si="3"/>
        <v>1</v>
      </c>
      <c r="L4061" s="91" t="str">
        <f t="shared" si="8"/>
        <v>Sat</v>
      </c>
      <c r="M4061" s="78" t="str">
        <f>IFERROR(VLOOKUP(A4061, Entries!A:B,2,false),"")</f>
        <v>PlayStation</v>
      </c>
      <c r="N4061" s="23" t="str">
        <f>IFERROR(VLOOKUP(A4061, Entries!A:K,11,false),"")</f>
        <v/>
      </c>
    </row>
    <row r="4062">
      <c r="A4062" s="78" t="s">
        <v>2180</v>
      </c>
      <c r="B4062" s="78" t="s">
        <v>25</v>
      </c>
      <c r="C4062" s="85">
        <v>45163.0</v>
      </c>
      <c r="D4062" s="85">
        <v>45163.0</v>
      </c>
      <c r="E4062" s="86">
        <v>4.39</v>
      </c>
      <c r="F4062" s="87">
        <v>5.13</v>
      </c>
      <c r="G4062" s="88">
        <f t="shared" si="1"/>
        <v>0.74</v>
      </c>
      <c r="H4062" s="89">
        <f t="shared" si="10"/>
        <v>0.1442495127</v>
      </c>
      <c r="I4062" s="78" t="s">
        <v>4816</v>
      </c>
      <c r="J4062" s="78" t="s">
        <v>69</v>
      </c>
      <c r="K4062" s="58">
        <f t="shared" si="3"/>
        <v>0</v>
      </c>
      <c r="L4062" s="91" t="str">
        <f t="shared" si="8"/>
        <v>Fri</v>
      </c>
      <c r="M4062" s="78" t="str">
        <f>IFERROR(VLOOKUP(A4062, Entries!A:B,2,false),"")</f>
        <v>Konami</v>
      </c>
      <c r="N4062" s="23" t="str">
        <f>IFERROR(VLOOKUP(A4062, Entries!A:K,11,false),"")</f>
        <v/>
      </c>
    </row>
    <row r="4063">
      <c r="A4063" s="78" t="s">
        <v>2180</v>
      </c>
      <c r="B4063" s="78" t="s">
        <v>25</v>
      </c>
      <c r="C4063" s="85">
        <v>45163.0</v>
      </c>
      <c r="D4063" s="85">
        <v>45163.0</v>
      </c>
      <c r="E4063" s="86">
        <v>4.39</v>
      </c>
      <c r="F4063" s="87">
        <v>5.13</v>
      </c>
      <c r="G4063" s="88">
        <f t="shared" si="1"/>
        <v>0.74</v>
      </c>
      <c r="H4063" s="89">
        <f t="shared" si="10"/>
        <v>0.1442495127</v>
      </c>
      <c r="I4063" s="78" t="s">
        <v>4817</v>
      </c>
      <c r="J4063" s="78" t="s">
        <v>69</v>
      </c>
      <c r="K4063" s="58">
        <f t="shared" si="3"/>
        <v>0</v>
      </c>
      <c r="L4063" s="91" t="str">
        <f t="shared" si="8"/>
        <v>Fri</v>
      </c>
      <c r="M4063" s="78" t="str">
        <f>IFERROR(VLOOKUP(A4063, Entries!A:B,2,false),"")</f>
        <v>Konami</v>
      </c>
      <c r="N4063" s="23" t="str">
        <f>IFERROR(VLOOKUP(A4063, Entries!A:K,11,false),"")</f>
        <v/>
      </c>
    </row>
    <row r="4064">
      <c r="A4064" s="78" t="s">
        <v>4466</v>
      </c>
      <c r="B4064" s="78" t="s">
        <v>22</v>
      </c>
      <c r="C4064" s="85">
        <v>45163.0</v>
      </c>
      <c r="D4064" s="85">
        <v>45163.0</v>
      </c>
      <c r="E4064" s="86">
        <v>4.31</v>
      </c>
      <c r="F4064" s="87">
        <v>4.99</v>
      </c>
      <c r="G4064" s="88">
        <f t="shared" si="1"/>
        <v>0.68</v>
      </c>
      <c r="H4064" s="89">
        <f t="shared" si="10"/>
        <v>0.1362725451</v>
      </c>
      <c r="I4064" s="78" t="s">
        <v>4818</v>
      </c>
      <c r="J4064" s="78" t="s">
        <v>69</v>
      </c>
      <c r="K4064" s="58">
        <f t="shared" si="3"/>
        <v>0</v>
      </c>
      <c r="L4064" s="91" t="str">
        <f t="shared" si="8"/>
        <v>Fri</v>
      </c>
      <c r="M4064" s="78" t="str">
        <f>IFERROR(VLOOKUP(A4064, Entries!A:B,2,false),"")</f>
        <v>SCKR Games</v>
      </c>
      <c r="N4064" s="23" t="str">
        <f>IFERROR(VLOOKUP(A4064, Entries!A:K,11,false),"")</f>
        <v/>
      </c>
    </row>
    <row r="4065">
      <c r="A4065" s="78" t="s">
        <v>4466</v>
      </c>
      <c r="B4065" s="78" t="s">
        <v>22</v>
      </c>
      <c r="C4065" s="85">
        <v>45163.0</v>
      </c>
      <c r="D4065" s="85">
        <v>45164.0</v>
      </c>
      <c r="E4065" s="86">
        <v>4.31</v>
      </c>
      <c r="F4065" s="87">
        <v>4.99</v>
      </c>
      <c r="G4065" s="88">
        <f t="shared" si="1"/>
        <v>0.68</v>
      </c>
      <c r="H4065" s="89">
        <f t="shared" si="10"/>
        <v>0.1362725451</v>
      </c>
      <c r="I4065" s="78" t="s">
        <v>4819</v>
      </c>
      <c r="J4065" s="78" t="s">
        <v>69</v>
      </c>
      <c r="K4065" s="58">
        <f t="shared" si="3"/>
        <v>1</v>
      </c>
      <c r="L4065" s="91" t="str">
        <f t="shared" si="8"/>
        <v>Sat</v>
      </c>
      <c r="M4065" s="78" t="str">
        <f>IFERROR(VLOOKUP(A4065, Entries!A:B,2,false),"")</f>
        <v>SCKR Games</v>
      </c>
      <c r="N4065" s="23" t="str">
        <f>IFERROR(VLOOKUP(A4065, Entries!A:K,11,false),"")</f>
        <v/>
      </c>
    </row>
    <row r="4066">
      <c r="A4066" s="78" t="s">
        <v>4466</v>
      </c>
      <c r="B4066" s="78" t="s">
        <v>22</v>
      </c>
      <c r="C4066" s="85">
        <v>45163.0</v>
      </c>
      <c r="D4066" s="85">
        <v>45164.0</v>
      </c>
      <c r="E4066" s="86">
        <v>4.31</v>
      </c>
      <c r="F4066" s="87">
        <v>4.99</v>
      </c>
      <c r="G4066" s="88">
        <f t="shared" si="1"/>
        <v>0.68</v>
      </c>
      <c r="H4066" s="89">
        <f t="shared" si="10"/>
        <v>0.1362725451</v>
      </c>
      <c r="I4066" s="78" t="s">
        <v>4820</v>
      </c>
      <c r="J4066" s="78" t="s">
        <v>69</v>
      </c>
      <c r="K4066" s="58">
        <f t="shared" si="3"/>
        <v>1</v>
      </c>
      <c r="L4066" s="91" t="str">
        <f t="shared" si="8"/>
        <v>Sat</v>
      </c>
      <c r="M4066" s="78" t="str">
        <f>IFERROR(VLOOKUP(A4066, Entries!A:B,2,false),"")</f>
        <v>SCKR Games</v>
      </c>
      <c r="N4066" s="23" t="str">
        <f>IFERROR(VLOOKUP(A4066, Entries!A:K,11,false),"")</f>
        <v/>
      </c>
    </row>
    <row r="4067">
      <c r="A4067" s="78" t="s">
        <v>4466</v>
      </c>
      <c r="B4067" s="78" t="s">
        <v>22</v>
      </c>
      <c r="C4067" s="85">
        <v>45163.0</v>
      </c>
      <c r="D4067" s="85">
        <v>45164.0</v>
      </c>
      <c r="E4067" s="86">
        <v>4.31</v>
      </c>
      <c r="F4067" s="87">
        <v>4.99</v>
      </c>
      <c r="G4067" s="88">
        <f t="shared" si="1"/>
        <v>0.68</v>
      </c>
      <c r="H4067" s="89">
        <f t="shared" si="10"/>
        <v>0.1362725451</v>
      </c>
      <c r="I4067" s="78" t="s">
        <v>4821</v>
      </c>
      <c r="J4067" s="78" t="s">
        <v>69</v>
      </c>
      <c r="K4067" s="58">
        <f t="shared" si="3"/>
        <v>1</v>
      </c>
      <c r="L4067" s="91" t="str">
        <f t="shared" si="8"/>
        <v>Sat</v>
      </c>
      <c r="M4067" s="78" t="str">
        <f>IFERROR(VLOOKUP(A4067, Entries!A:B,2,false),"")</f>
        <v>SCKR Games</v>
      </c>
      <c r="N4067" s="23" t="str">
        <f>IFERROR(VLOOKUP(A4067, Entries!A:K,11,false),"")</f>
        <v/>
      </c>
    </row>
    <row r="4068">
      <c r="A4068" s="78" t="s">
        <v>4466</v>
      </c>
      <c r="B4068" s="78" t="s">
        <v>22</v>
      </c>
      <c r="C4068" s="85">
        <v>45163.0</v>
      </c>
      <c r="D4068" s="85">
        <v>45164.0</v>
      </c>
      <c r="E4068" s="86">
        <v>4.31</v>
      </c>
      <c r="F4068" s="87">
        <v>4.99</v>
      </c>
      <c r="G4068" s="88">
        <f t="shared" si="1"/>
        <v>0.68</v>
      </c>
      <c r="H4068" s="89">
        <f t="shared" si="10"/>
        <v>0.1362725451</v>
      </c>
      <c r="I4068" s="78" t="s">
        <v>4822</v>
      </c>
      <c r="J4068" s="78" t="s">
        <v>69</v>
      </c>
      <c r="K4068" s="58">
        <f t="shared" si="3"/>
        <v>1</v>
      </c>
      <c r="L4068" s="91" t="str">
        <f t="shared" si="8"/>
        <v>Sat</v>
      </c>
      <c r="M4068" s="78" t="str">
        <f>IFERROR(VLOOKUP(A4068, Entries!A:B,2,false),"")</f>
        <v>SCKR Games</v>
      </c>
      <c r="N4068" s="23" t="str">
        <f>IFERROR(VLOOKUP(A4068, Entries!A:K,11,false),"")</f>
        <v/>
      </c>
    </row>
    <row r="4069">
      <c r="A4069" s="78" t="s">
        <v>4615</v>
      </c>
      <c r="B4069" s="78" t="s">
        <v>30</v>
      </c>
      <c r="C4069" s="85">
        <v>45163.0</v>
      </c>
      <c r="D4069" s="85">
        <v>45194.0</v>
      </c>
      <c r="E4069" s="86">
        <v>4.81</v>
      </c>
      <c r="F4069" s="87">
        <v>11.32</v>
      </c>
      <c r="G4069" s="88">
        <f t="shared" si="1"/>
        <v>6.51</v>
      </c>
      <c r="H4069" s="89">
        <f t="shared" si="10"/>
        <v>0.5750883392</v>
      </c>
      <c r="I4069" s="78" t="s">
        <v>4823</v>
      </c>
      <c r="J4069" s="78" t="s">
        <v>69</v>
      </c>
      <c r="K4069" s="58">
        <f t="shared" si="3"/>
        <v>31</v>
      </c>
      <c r="L4069" s="91" t="str">
        <f t="shared" si="8"/>
        <v>Mon</v>
      </c>
      <c r="M4069" s="78" t="str">
        <f>IFERROR(VLOOKUP(A4069, Entries!A:B,2,false),"")</f>
        <v>Fellow Traveller</v>
      </c>
      <c r="N4069" s="23" t="str">
        <f>IFERROR(VLOOKUP(A4069, Entries!A:K,11,false),"")</f>
        <v/>
      </c>
      <c r="O4069" s="23" t="b">
        <f>IFERROR(VLOOKUP(A4069, Entries!A:I,8,false),"")</f>
        <v>0</v>
      </c>
    </row>
    <row r="4070">
      <c r="A4070" s="78" t="s">
        <v>2180</v>
      </c>
      <c r="B4070" s="78" t="s">
        <v>25</v>
      </c>
      <c r="C4070" s="85">
        <v>45163.0</v>
      </c>
      <c r="D4070" s="85">
        <v>45164.0</v>
      </c>
      <c r="E4070" s="86">
        <v>4.37</v>
      </c>
      <c r="F4070" s="87">
        <v>5.13</v>
      </c>
      <c r="G4070" s="88">
        <f t="shared" si="1"/>
        <v>0.76</v>
      </c>
      <c r="H4070" s="89">
        <f t="shared" si="10"/>
        <v>0.1481481481</v>
      </c>
      <c r="I4070" s="78" t="s">
        <v>4824</v>
      </c>
      <c r="J4070" s="78" t="s">
        <v>69</v>
      </c>
      <c r="K4070" s="58">
        <f t="shared" si="3"/>
        <v>1</v>
      </c>
      <c r="L4070" s="91" t="str">
        <f t="shared" si="8"/>
        <v>Sat</v>
      </c>
      <c r="M4070" s="78" t="str">
        <f>IFERROR(VLOOKUP(A4070, Entries!A:B,2,false),"")</f>
        <v>Konami</v>
      </c>
      <c r="N4070" s="23" t="str">
        <f>IFERROR(VLOOKUP(A4070, Entries!A:K,11,false),"")</f>
        <v/>
      </c>
    </row>
    <row r="4071">
      <c r="A4071" s="78" t="s">
        <v>2180</v>
      </c>
      <c r="B4071" s="78" t="s">
        <v>25</v>
      </c>
      <c r="C4071" s="85">
        <v>45163.0</v>
      </c>
      <c r="D4071" s="85">
        <v>45164.0</v>
      </c>
      <c r="E4071" s="86">
        <v>4.37</v>
      </c>
      <c r="F4071" s="87">
        <v>5.13</v>
      </c>
      <c r="G4071" s="88">
        <f t="shared" si="1"/>
        <v>0.76</v>
      </c>
      <c r="H4071" s="89">
        <f t="shared" si="10"/>
        <v>0.1481481481</v>
      </c>
      <c r="I4071" s="78" t="s">
        <v>4825</v>
      </c>
      <c r="J4071" s="78" t="s">
        <v>69</v>
      </c>
      <c r="K4071" s="58">
        <f t="shared" si="3"/>
        <v>1</v>
      </c>
      <c r="L4071" s="91" t="str">
        <f t="shared" si="8"/>
        <v>Sat</v>
      </c>
      <c r="M4071" s="78" t="str">
        <f>IFERROR(VLOOKUP(A4071, Entries!A:B,2,false),"")</f>
        <v>Konami</v>
      </c>
      <c r="N4071" s="23" t="str">
        <f>IFERROR(VLOOKUP(A4071, Entries!A:K,11,false),"")</f>
        <v/>
      </c>
    </row>
    <row r="4072">
      <c r="A4072" s="78" t="s">
        <v>2180</v>
      </c>
      <c r="B4072" s="78" t="s">
        <v>25</v>
      </c>
      <c r="C4072" s="85">
        <v>45163.0</v>
      </c>
      <c r="D4072" s="85">
        <v>45164.0</v>
      </c>
      <c r="E4072" s="86">
        <v>4.37</v>
      </c>
      <c r="F4072" s="87">
        <v>5.13</v>
      </c>
      <c r="G4072" s="88">
        <f t="shared" si="1"/>
        <v>0.76</v>
      </c>
      <c r="H4072" s="89">
        <f t="shared" si="10"/>
        <v>0.1481481481</v>
      </c>
      <c r="I4072" s="78" t="s">
        <v>4826</v>
      </c>
      <c r="J4072" s="78" t="s">
        <v>69</v>
      </c>
      <c r="K4072" s="58">
        <f t="shared" si="3"/>
        <v>1</v>
      </c>
      <c r="L4072" s="91" t="str">
        <f t="shared" si="8"/>
        <v>Sat</v>
      </c>
      <c r="M4072" s="78" t="str">
        <f>IFERROR(VLOOKUP(A4072, Entries!A:B,2,false),"")</f>
        <v>Konami</v>
      </c>
      <c r="N4072" s="23" t="str">
        <f>IFERROR(VLOOKUP(A4072, Entries!A:K,11,false),"")</f>
        <v/>
      </c>
    </row>
    <row r="4073">
      <c r="A4073" s="78" t="s">
        <v>4466</v>
      </c>
      <c r="B4073" s="78" t="s">
        <v>22</v>
      </c>
      <c r="C4073" s="85">
        <v>45163.0</v>
      </c>
      <c r="D4073" s="85">
        <v>45164.0</v>
      </c>
      <c r="E4073" s="86">
        <v>4.31</v>
      </c>
      <c r="F4073" s="87">
        <v>5.0</v>
      </c>
      <c r="G4073" s="88">
        <f t="shared" si="1"/>
        <v>0.69</v>
      </c>
      <c r="H4073" s="89">
        <f t="shared" si="10"/>
        <v>0.138</v>
      </c>
      <c r="I4073" s="78" t="s">
        <v>4827</v>
      </c>
      <c r="J4073" s="78" t="s">
        <v>69</v>
      </c>
      <c r="K4073" s="58">
        <f t="shared" si="3"/>
        <v>1</v>
      </c>
      <c r="L4073" s="91" t="str">
        <f t="shared" si="8"/>
        <v>Sat</v>
      </c>
      <c r="M4073" s="78" t="str">
        <f>IFERROR(VLOOKUP(A4073, Entries!A:B,2,false),"")</f>
        <v>SCKR Games</v>
      </c>
      <c r="N4073" s="23" t="str">
        <f>IFERROR(VLOOKUP(A4073, Entries!A:K,11,false),"")</f>
        <v/>
      </c>
    </row>
    <row r="4074">
      <c r="A4074" s="78" t="s">
        <v>4466</v>
      </c>
      <c r="B4074" s="78" t="s">
        <v>22</v>
      </c>
      <c r="C4074" s="85">
        <v>45163.0</v>
      </c>
      <c r="D4074" s="85">
        <v>45164.0</v>
      </c>
      <c r="E4074" s="86">
        <v>4.31</v>
      </c>
      <c r="F4074" s="87">
        <v>5.0</v>
      </c>
      <c r="G4074" s="88">
        <f t="shared" si="1"/>
        <v>0.69</v>
      </c>
      <c r="H4074" s="89">
        <f t="shared" si="10"/>
        <v>0.138</v>
      </c>
      <c r="I4074" s="78" t="s">
        <v>4828</v>
      </c>
      <c r="J4074" s="78" t="s">
        <v>69</v>
      </c>
      <c r="K4074" s="58">
        <f t="shared" si="3"/>
        <v>1</v>
      </c>
      <c r="L4074" s="91" t="str">
        <f t="shared" si="8"/>
        <v>Sat</v>
      </c>
      <c r="M4074" s="78" t="str">
        <f>IFERROR(VLOOKUP(A4074, Entries!A:B,2,false),"")</f>
        <v>SCKR Games</v>
      </c>
      <c r="N4074" s="23" t="str">
        <f>IFERROR(VLOOKUP(A4074, Entries!A:K,11,false),"")</f>
        <v/>
      </c>
    </row>
    <row r="4075">
      <c r="A4075" s="78" t="s">
        <v>4466</v>
      </c>
      <c r="B4075" s="78" t="s">
        <v>22</v>
      </c>
      <c r="C4075" s="85">
        <v>45163.0</v>
      </c>
      <c r="D4075" s="85">
        <v>45164.0</v>
      </c>
      <c r="E4075" s="86">
        <v>4.31</v>
      </c>
      <c r="F4075" s="87">
        <v>5.0</v>
      </c>
      <c r="G4075" s="88">
        <f t="shared" si="1"/>
        <v>0.69</v>
      </c>
      <c r="H4075" s="89">
        <f t="shared" si="10"/>
        <v>0.138</v>
      </c>
      <c r="I4075" s="78" t="s">
        <v>4829</v>
      </c>
      <c r="J4075" s="78" t="s">
        <v>69</v>
      </c>
      <c r="K4075" s="58">
        <f t="shared" si="3"/>
        <v>1</v>
      </c>
      <c r="L4075" s="91" t="str">
        <f t="shared" si="8"/>
        <v>Sat</v>
      </c>
      <c r="M4075" s="78" t="str">
        <f>IFERROR(VLOOKUP(A4075, Entries!A:B,2,false),"")</f>
        <v>SCKR Games</v>
      </c>
      <c r="N4075" s="23" t="str">
        <f>IFERROR(VLOOKUP(A4075, Entries!A:K,11,false),"")</f>
        <v/>
      </c>
    </row>
    <row r="4076">
      <c r="A4076" s="78" t="s">
        <v>4466</v>
      </c>
      <c r="B4076" s="78" t="s">
        <v>22</v>
      </c>
      <c r="C4076" s="85">
        <v>45163.0</v>
      </c>
      <c r="D4076" s="85">
        <v>45164.0</v>
      </c>
      <c r="E4076" s="86">
        <v>4.31</v>
      </c>
      <c r="F4076" s="87">
        <v>5.0</v>
      </c>
      <c r="G4076" s="88">
        <f t="shared" si="1"/>
        <v>0.69</v>
      </c>
      <c r="H4076" s="89">
        <f t="shared" si="10"/>
        <v>0.138</v>
      </c>
      <c r="I4076" s="78" t="s">
        <v>4830</v>
      </c>
      <c r="J4076" s="78" t="s">
        <v>69</v>
      </c>
      <c r="K4076" s="58">
        <f t="shared" si="3"/>
        <v>1</v>
      </c>
      <c r="L4076" s="91" t="str">
        <f t="shared" si="8"/>
        <v>Sat</v>
      </c>
      <c r="M4076" s="78" t="str">
        <f>IFERROR(VLOOKUP(A4076, Entries!A:B,2,false),"")</f>
        <v>SCKR Games</v>
      </c>
      <c r="N4076" s="23" t="str">
        <f>IFERROR(VLOOKUP(A4076, Entries!A:K,11,false),"")</f>
        <v/>
      </c>
    </row>
    <row r="4077">
      <c r="A4077" s="78" t="s">
        <v>4466</v>
      </c>
      <c r="B4077" s="78" t="s">
        <v>22</v>
      </c>
      <c r="C4077" s="85">
        <v>45163.0</v>
      </c>
      <c r="D4077" s="85">
        <v>45165.0</v>
      </c>
      <c r="E4077" s="86">
        <v>4.31</v>
      </c>
      <c r="F4077" s="87">
        <v>4.99</v>
      </c>
      <c r="G4077" s="88">
        <f t="shared" si="1"/>
        <v>0.68</v>
      </c>
      <c r="H4077" s="89">
        <f t="shared" si="10"/>
        <v>0.1362725451</v>
      </c>
      <c r="I4077" s="78" t="s">
        <v>4831</v>
      </c>
      <c r="J4077" s="78" t="s">
        <v>69</v>
      </c>
      <c r="K4077" s="58">
        <f t="shared" si="3"/>
        <v>2</v>
      </c>
      <c r="L4077" s="91" t="str">
        <f t="shared" si="8"/>
        <v>Sun</v>
      </c>
      <c r="M4077" s="78" t="str">
        <f>IFERROR(VLOOKUP(A4077, Entries!A:B,2,false),"")</f>
        <v>SCKR Games</v>
      </c>
      <c r="N4077" s="23" t="str">
        <f>IFERROR(VLOOKUP(A4077, Entries!A:K,11,false),"")</f>
        <v/>
      </c>
    </row>
    <row r="4078">
      <c r="A4078" s="78" t="s">
        <v>4466</v>
      </c>
      <c r="B4078" s="78" t="s">
        <v>22</v>
      </c>
      <c r="C4078" s="85">
        <v>45163.0</v>
      </c>
      <c r="D4078" s="85">
        <v>45165.0</v>
      </c>
      <c r="E4078" s="86">
        <v>4.31</v>
      </c>
      <c r="F4078" s="87">
        <v>4.99</v>
      </c>
      <c r="G4078" s="88">
        <f t="shared" si="1"/>
        <v>0.68</v>
      </c>
      <c r="H4078" s="89">
        <f t="shared" si="10"/>
        <v>0.1362725451</v>
      </c>
      <c r="I4078" s="78" t="s">
        <v>4832</v>
      </c>
      <c r="J4078" s="78" t="s">
        <v>69</v>
      </c>
      <c r="K4078" s="58">
        <f t="shared" si="3"/>
        <v>2</v>
      </c>
      <c r="L4078" s="91" t="str">
        <f t="shared" si="8"/>
        <v>Sun</v>
      </c>
      <c r="M4078" s="78" t="str">
        <f>IFERROR(VLOOKUP(A4078, Entries!A:B,2,false),"")</f>
        <v>SCKR Games</v>
      </c>
      <c r="N4078" s="23" t="str">
        <f>IFERROR(VLOOKUP(A4078, Entries!A:K,11,false),"")</f>
        <v/>
      </c>
    </row>
    <row r="4079">
      <c r="A4079" s="78" t="s">
        <v>4466</v>
      </c>
      <c r="B4079" s="78" t="s">
        <v>22</v>
      </c>
      <c r="C4079" s="85">
        <v>45164.0</v>
      </c>
      <c r="D4079" s="85">
        <v>45165.0</v>
      </c>
      <c r="E4079" s="86">
        <v>4.31</v>
      </c>
      <c r="F4079" s="87">
        <v>4.99</v>
      </c>
      <c r="G4079" s="88">
        <f t="shared" si="1"/>
        <v>0.68</v>
      </c>
      <c r="H4079" s="89">
        <f t="shared" si="10"/>
        <v>0.1362725451</v>
      </c>
      <c r="I4079" s="78" t="s">
        <v>4833</v>
      </c>
      <c r="J4079" s="78" t="s">
        <v>69</v>
      </c>
      <c r="K4079" s="58">
        <f t="shared" si="3"/>
        <v>1</v>
      </c>
      <c r="L4079" s="91" t="str">
        <f t="shared" si="8"/>
        <v>Sun</v>
      </c>
      <c r="M4079" s="78" t="str">
        <f>IFERROR(VLOOKUP(A4079, Entries!A:B,2,false),"")</f>
        <v>SCKR Games</v>
      </c>
      <c r="N4079" s="23" t="str">
        <f>IFERROR(VLOOKUP(A4079, Entries!A:K,11,false),"")</f>
        <v/>
      </c>
    </row>
    <row r="4080">
      <c r="A4080" s="78" t="s">
        <v>4466</v>
      </c>
      <c r="B4080" s="78" t="s">
        <v>22</v>
      </c>
      <c r="C4080" s="85">
        <v>45164.0</v>
      </c>
      <c r="D4080" s="85">
        <v>45165.0</v>
      </c>
      <c r="E4080" s="86">
        <v>4.31</v>
      </c>
      <c r="F4080" s="87">
        <v>4.99</v>
      </c>
      <c r="G4080" s="88">
        <f t="shared" si="1"/>
        <v>0.68</v>
      </c>
      <c r="H4080" s="89">
        <f t="shared" si="10"/>
        <v>0.1362725451</v>
      </c>
      <c r="I4080" s="78" t="s">
        <v>4834</v>
      </c>
      <c r="J4080" s="78" t="s">
        <v>69</v>
      </c>
      <c r="K4080" s="58">
        <f t="shared" si="3"/>
        <v>1</v>
      </c>
      <c r="L4080" s="91" t="str">
        <f t="shared" si="8"/>
        <v>Sun</v>
      </c>
      <c r="M4080" s="78" t="str">
        <f>IFERROR(VLOOKUP(A4080, Entries!A:B,2,false),"")</f>
        <v>SCKR Games</v>
      </c>
      <c r="N4080" s="23" t="str">
        <f>IFERROR(VLOOKUP(A4080, Entries!A:K,11,false),"")</f>
        <v/>
      </c>
    </row>
    <row r="4081">
      <c r="A4081" s="78" t="s">
        <v>4466</v>
      </c>
      <c r="B4081" s="78" t="s">
        <v>22</v>
      </c>
      <c r="C4081" s="85">
        <v>45164.0</v>
      </c>
      <c r="D4081" s="85">
        <v>45166.0</v>
      </c>
      <c r="E4081" s="86">
        <v>4.31</v>
      </c>
      <c r="F4081" s="87">
        <v>4.99</v>
      </c>
      <c r="G4081" s="88">
        <f t="shared" si="1"/>
        <v>0.68</v>
      </c>
      <c r="H4081" s="89">
        <f t="shared" si="10"/>
        <v>0.1362725451</v>
      </c>
      <c r="I4081" s="78" t="s">
        <v>4835</v>
      </c>
      <c r="J4081" s="78" t="s">
        <v>69</v>
      </c>
      <c r="K4081" s="58">
        <f t="shared" si="3"/>
        <v>2</v>
      </c>
      <c r="L4081" s="91" t="str">
        <f t="shared" si="8"/>
        <v>Mon</v>
      </c>
      <c r="M4081" s="78" t="str">
        <f>IFERROR(VLOOKUP(A4081, Entries!A:B,2,false),"")</f>
        <v>SCKR Games</v>
      </c>
      <c r="N4081" s="23" t="str">
        <f>IFERROR(VLOOKUP(A4081, Entries!A:K,11,false),"")</f>
        <v/>
      </c>
    </row>
    <row r="4082">
      <c r="A4082" s="78" t="s">
        <v>4466</v>
      </c>
      <c r="B4082" s="78" t="s">
        <v>22</v>
      </c>
      <c r="C4082" s="85">
        <v>45164.0</v>
      </c>
      <c r="D4082" s="85">
        <v>45165.0</v>
      </c>
      <c r="E4082" s="86">
        <v>4.31</v>
      </c>
      <c r="F4082" s="87">
        <v>4.99</v>
      </c>
      <c r="G4082" s="88">
        <f t="shared" si="1"/>
        <v>0.68</v>
      </c>
      <c r="H4082" s="89">
        <f t="shared" si="10"/>
        <v>0.1362725451</v>
      </c>
      <c r="I4082" s="78" t="s">
        <v>4836</v>
      </c>
      <c r="J4082" s="78" t="s">
        <v>69</v>
      </c>
      <c r="K4082" s="58">
        <f t="shared" si="3"/>
        <v>1</v>
      </c>
      <c r="L4082" s="91" t="str">
        <f t="shared" si="8"/>
        <v>Sun</v>
      </c>
      <c r="M4082" s="78" t="str">
        <f>IFERROR(VLOOKUP(A4082, Entries!A:B,2,false),"")</f>
        <v>SCKR Games</v>
      </c>
      <c r="N4082" s="23" t="str">
        <f>IFERROR(VLOOKUP(A4082, Entries!A:K,11,false),"")</f>
        <v/>
      </c>
    </row>
    <row r="4083">
      <c r="A4083" s="78" t="s">
        <v>4466</v>
      </c>
      <c r="B4083" s="78" t="s">
        <v>22</v>
      </c>
      <c r="C4083" s="85">
        <v>45164.0</v>
      </c>
      <c r="D4083" s="85">
        <v>45167.0</v>
      </c>
      <c r="E4083" s="86">
        <v>4.31</v>
      </c>
      <c r="F4083" s="87">
        <v>4.91</v>
      </c>
      <c r="G4083" s="88">
        <f t="shared" si="1"/>
        <v>0.6</v>
      </c>
      <c r="H4083" s="89">
        <f t="shared" si="10"/>
        <v>0.1221995927</v>
      </c>
      <c r="I4083" s="78" t="s">
        <v>4837</v>
      </c>
      <c r="J4083" s="78" t="s">
        <v>69</v>
      </c>
      <c r="K4083" s="58">
        <f t="shared" si="3"/>
        <v>3</v>
      </c>
      <c r="L4083" s="91" t="str">
        <f t="shared" si="8"/>
        <v>Tue</v>
      </c>
      <c r="M4083" s="78" t="str">
        <f>IFERROR(VLOOKUP(A4083, Entries!A:B,2,false),"")</f>
        <v>SCKR Games</v>
      </c>
      <c r="N4083" s="23" t="str">
        <f>IFERROR(VLOOKUP(A4083, Entries!A:K,11,false),"")</f>
        <v/>
      </c>
    </row>
    <row r="4084">
      <c r="A4084" s="78" t="s">
        <v>4466</v>
      </c>
      <c r="B4084" s="78" t="s">
        <v>22</v>
      </c>
      <c r="C4084" s="85">
        <v>45164.0</v>
      </c>
      <c r="D4084" s="85">
        <v>45167.0</v>
      </c>
      <c r="E4084" s="86">
        <v>4.31</v>
      </c>
      <c r="F4084" s="87">
        <v>4.91</v>
      </c>
      <c r="G4084" s="88">
        <f t="shared" si="1"/>
        <v>0.6</v>
      </c>
      <c r="H4084" s="89">
        <f t="shared" si="10"/>
        <v>0.1221995927</v>
      </c>
      <c r="I4084" s="78" t="s">
        <v>4838</v>
      </c>
      <c r="J4084" s="78" t="s">
        <v>69</v>
      </c>
      <c r="K4084" s="58">
        <f t="shared" si="3"/>
        <v>3</v>
      </c>
      <c r="L4084" s="91" t="str">
        <f t="shared" si="8"/>
        <v>Tue</v>
      </c>
      <c r="M4084" s="78" t="str">
        <f>IFERROR(VLOOKUP(A4084, Entries!A:B,2,false),"")</f>
        <v>SCKR Games</v>
      </c>
      <c r="N4084" s="23" t="str">
        <f>IFERROR(VLOOKUP(A4084, Entries!A:K,11,false),"")</f>
        <v/>
      </c>
    </row>
    <row r="4085">
      <c r="A4085" s="78" t="s">
        <v>4466</v>
      </c>
      <c r="B4085" s="78" t="s">
        <v>22</v>
      </c>
      <c r="C4085" s="85">
        <v>45164.0</v>
      </c>
      <c r="D4085" s="85">
        <v>45177.0</v>
      </c>
      <c r="E4085" s="86">
        <v>4.31</v>
      </c>
      <c r="F4085" s="87">
        <v>4.94</v>
      </c>
      <c r="G4085" s="88">
        <f t="shared" si="1"/>
        <v>0.63</v>
      </c>
      <c r="H4085" s="89">
        <f t="shared" si="10"/>
        <v>0.1275303644</v>
      </c>
      <c r="I4085" s="78" t="s">
        <v>4839</v>
      </c>
      <c r="J4085" s="78" t="s">
        <v>69</v>
      </c>
      <c r="K4085" s="58">
        <f t="shared" si="3"/>
        <v>13</v>
      </c>
      <c r="L4085" s="91" t="str">
        <f t="shared" si="8"/>
        <v>Fri</v>
      </c>
      <c r="M4085" s="78" t="str">
        <f>IFERROR(VLOOKUP(A4085, Entries!A:B,2,false),"")</f>
        <v>SCKR Games</v>
      </c>
      <c r="N4085" s="23" t="str">
        <f>IFERROR(VLOOKUP(A4085, Entries!A:K,11,false),"")</f>
        <v/>
      </c>
      <c r="O4085" s="23" t="b">
        <f>IFERROR(VLOOKUP(A4085, Entries!A:I,8,false),"")</f>
        <v>0</v>
      </c>
    </row>
    <row r="4086">
      <c r="A4086" s="78" t="s">
        <v>4466</v>
      </c>
      <c r="B4086" s="78" t="s">
        <v>22</v>
      </c>
      <c r="C4086" s="85">
        <v>45164.0</v>
      </c>
      <c r="D4086" s="85">
        <v>45177.0</v>
      </c>
      <c r="E4086" s="86">
        <v>4.31</v>
      </c>
      <c r="F4086" s="87">
        <v>4.94</v>
      </c>
      <c r="G4086" s="88">
        <f t="shared" si="1"/>
        <v>0.63</v>
      </c>
      <c r="H4086" s="89">
        <f t="shared" si="10"/>
        <v>0.1275303644</v>
      </c>
      <c r="I4086" s="78" t="s">
        <v>4840</v>
      </c>
      <c r="J4086" s="78" t="s">
        <v>69</v>
      </c>
      <c r="K4086" s="58">
        <f t="shared" si="3"/>
        <v>13</v>
      </c>
      <c r="L4086" s="91" t="str">
        <f t="shared" si="8"/>
        <v>Fri</v>
      </c>
      <c r="M4086" s="78" t="str">
        <f>IFERROR(VLOOKUP(A4086, Entries!A:B,2,false),"")</f>
        <v>SCKR Games</v>
      </c>
      <c r="N4086" s="23" t="str">
        <f>IFERROR(VLOOKUP(A4086, Entries!A:K,11,false),"")</f>
        <v/>
      </c>
      <c r="O4086" s="23" t="b">
        <f>IFERROR(VLOOKUP(A4086, Entries!A:I,8,false),"")</f>
        <v>0</v>
      </c>
    </row>
    <row r="4087">
      <c r="A4087" s="78" t="s">
        <v>4466</v>
      </c>
      <c r="B4087" s="78" t="s">
        <v>22</v>
      </c>
      <c r="C4087" s="85">
        <v>45164.0</v>
      </c>
      <c r="D4087" s="85">
        <v>45177.0</v>
      </c>
      <c r="E4087" s="86">
        <v>4.31</v>
      </c>
      <c r="F4087" s="87">
        <v>4.94</v>
      </c>
      <c r="G4087" s="88">
        <f t="shared" si="1"/>
        <v>0.63</v>
      </c>
      <c r="H4087" s="89">
        <f t="shared" si="10"/>
        <v>0.1275303644</v>
      </c>
      <c r="I4087" s="78" t="s">
        <v>4841</v>
      </c>
      <c r="J4087" s="78" t="s">
        <v>69</v>
      </c>
      <c r="K4087" s="58">
        <f t="shared" si="3"/>
        <v>13</v>
      </c>
      <c r="L4087" s="91" t="str">
        <f t="shared" si="8"/>
        <v>Fri</v>
      </c>
      <c r="M4087" s="78" t="str">
        <f>IFERROR(VLOOKUP(A4087, Entries!A:B,2,false),"")</f>
        <v>SCKR Games</v>
      </c>
      <c r="N4087" s="23" t="str">
        <f>IFERROR(VLOOKUP(A4087, Entries!A:K,11,false),"")</f>
        <v/>
      </c>
      <c r="O4087" s="23" t="b">
        <f>IFERROR(VLOOKUP(A4087, Entries!A:I,8,false),"")</f>
        <v>0</v>
      </c>
    </row>
    <row r="4088">
      <c r="A4088" s="78" t="s">
        <v>4466</v>
      </c>
      <c r="B4088" s="78" t="s">
        <v>22</v>
      </c>
      <c r="C4088" s="85">
        <v>45164.0</v>
      </c>
      <c r="D4088" s="85">
        <v>45177.0</v>
      </c>
      <c r="E4088" s="86">
        <v>4.31</v>
      </c>
      <c r="F4088" s="87">
        <v>4.94</v>
      </c>
      <c r="G4088" s="88">
        <f t="shared" si="1"/>
        <v>0.63</v>
      </c>
      <c r="H4088" s="89">
        <f t="shared" si="10"/>
        <v>0.1275303644</v>
      </c>
      <c r="I4088" s="78" t="s">
        <v>4842</v>
      </c>
      <c r="J4088" s="78" t="s">
        <v>69</v>
      </c>
      <c r="K4088" s="58">
        <f t="shared" si="3"/>
        <v>13</v>
      </c>
      <c r="L4088" s="91" t="str">
        <f t="shared" si="8"/>
        <v>Fri</v>
      </c>
      <c r="M4088" s="78" t="str">
        <f>IFERROR(VLOOKUP(A4088, Entries!A:B,2,false),"")</f>
        <v>SCKR Games</v>
      </c>
      <c r="N4088" s="23" t="str">
        <f>IFERROR(VLOOKUP(A4088, Entries!A:K,11,false),"")</f>
        <v/>
      </c>
      <c r="O4088" s="23" t="b">
        <f>IFERROR(VLOOKUP(A4088, Entries!A:I,8,false),"")</f>
        <v>0</v>
      </c>
    </row>
    <row r="4089">
      <c r="A4089" s="78" t="s">
        <v>2180</v>
      </c>
      <c r="B4089" s="78" t="s">
        <v>25</v>
      </c>
      <c r="C4089" s="85">
        <v>45164.0</v>
      </c>
      <c r="D4089" s="85">
        <v>45175.0</v>
      </c>
      <c r="E4089" s="86">
        <v>4.37</v>
      </c>
      <c r="F4089" s="87">
        <v>4.69</v>
      </c>
      <c r="G4089" s="88">
        <f t="shared" si="1"/>
        <v>0.32</v>
      </c>
      <c r="H4089" s="89">
        <f t="shared" si="10"/>
        <v>0.06823027719</v>
      </c>
      <c r="I4089" s="78" t="s">
        <v>4843</v>
      </c>
      <c r="J4089" s="78" t="s">
        <v>69</v>
      </c>
      <c r="K4089" s="58">
        <f t="shared" si="3"/>
        <v>11</v>
      </c>
      <c r="L4089" s="91" t="str">
        <f t="shared" si="8"/>
        <v>Wed</v>
      </c>
      <c r="M4089" s="78" t="str">
        <f>IFERROR(VLOOKUP(A4089, Entries!A:B,2,false),"")</f>
        <v>Konami</v>
      </c>
      <c r="N4089" s="23" t="str">
        <f>IFERROR(VLOOKUP(A4089, Entries!A:K,11,false),"")</f>
        <v/>
      </c>
    </row>
    <row r="4090">
      <c r="A4090" s="78" t="s">
        <v>2180</v>
      </c>
      <c r="B4090" s="78" t="s">
        <v>25</v>
      </c>
      <c r="C4090" s="85">
        <v>45164.0</v>
      </c>
      <c r="D4090" s="85">
        <v>45188.0</v>
      </c>
      <c r="E4090" s="86">
        <v>4.37</v>
      </c>
      <c r="F4090" s="87">
        <v>6.06</v>
      </c>
      <c r="G4090" s="88">
        <f t="shared" si="1"/>
        <v>1.69</v>
      </c>
      <c r="H4090" s="89">
        <f t="shared" si="10"/>
        <v>0.2788778878</v>
      </c>
      <c r="I4090" s="78" t="s">
        <v>4844</v>
      </c>
      <c r="J4090" s="78" t="s">
        <v>69</v>
      </c>
      <c r="K4090" s="58">
        <f t="shared" si="3"/>
        <v>24</v>
      </c>
      <c r="L4090" s="91" t="str">
        <f t="shared" si="8"/>
        <v>Tue</v>
      </c>
      <c r="M4090" s="78" t="str">
        <f>IFERROR(VLOOKUP(A4090, Entries!A:B,2,false),"")</f>
        <v>Konami</v>
      </c>
      <c r="N4090" s="23" t="str">
        <f>IFERROR(VLOOKUP(A4090, Entries!A:K,11,false),"")</f>
        <v/>
      </c>
      <c r="O4090" s="23" t="b">
        <f>IFERROR(VLOOKUP(A4090, Entries!A:I,8,false),"")</f>
        <v>1</v>
      </c>
    </row>
    <row r="4091">
      <c r="A4091" s="78" t="s">
        <v>2180</v>
      </c>
      <c r="B4091" s="78" t="s">
        <v>25</v>
      </c>
      <c r="C4091" s="85">
        <v>45164.0</v>
      </c>
      <c r="D4091" s="85">
        <v>45228.0</v>
      </c>
      <c r="E4091" s="86">
        <v>4.37</v>
      </c>
      <c r="F4091" s="87">
        <v>4.87</v>
      </c>
      <c r="G4091" s="88">
        <f t="shared" si="1"/>
        <v>0.5</v>
      </c>
      <c r="H4091" s="89">
        <f t="shared" si="10"/>
        <v>0.1026694045</v>
      </c>
      <c r="I4091" s="78" t="s">
        <v>4845</v>
      </c>
      <c r="J4091" s="78" t="s">
        <v>69</v>
      </c>
      <c r="K4091" s="58">
        <f t="shared" si="3"/>
        <v>64</v>
      </c>
      <c r="L4091" s="91" t="str">
        <f t="shared" si="8"/>
        <v>Sun</v>
      </c>
      <c r="M4091" s="78" t="str">
        <f>IFERROR(VLOOKUP(A4091, Entries!A:B,2,false),"")</f>
        <v>Konami</v>
      </c>
      <c r="N4091" s="23" t="str">
        <f>IFERROR(VLOOKUP(A4091, Entries!A:K,11,false),"")</f>
        <v/>
      </c>
      <c r="O4091" s="23" t="b">
        <f>IFERROR(VLOOKUP(A4091, Entries!A:I,8,false),"")</f>
        <v>1</v>
      </c>
    </row>
    <row r="4092">
      <c r="A4092" s="78" t="s">
        <v>4814</v>
      </c>
      <c r="B4092" s="78" t="s">
        <v>27</v>
      </c>
      <c r="C4092" s="85">
        <v>45164.0</v>
      </c>
      <c r="D4092" s="85">
        <v>45164.0</v>
      </c>
      <c r="E4092" s="86">
        <v>18.12</v>
      </c>
      <c r="F4092" s="87">
        <v>20.28</v>
      </c>
      <c r="G4092" s="88">
        <f t="shared" si="1"/>
        <v>2.16</v>
      </c>
      <c r="H4092" s="89">
        <f t="shared" si="10"/>
        <v>0.1065088757</v>
      </c>
      <c r="I4092" s="78" t="s">
        <v>4846</v>
      </c>
      <c r="J4092" s="78" t="s">
        <v>69</v>
      </c>
      <c r="K4092" s="58">
        <f t="shared" si="3"/>
        <v>0</v>
      </c>
      <c r="L4092" s="91" t="str">
        <f t="shared" si="8"/>
        <v>Sat</v>
      </c>
      <c r="M4092" s="78" t="str">
        <f>IFERROR(VLOOKUP(A4092, Entries!A:B,2,false),"")</f>
        <v>PlayStation</v>
      </c>
      <c r="N4092" s="23" t="str">
        <f>IFERROR(VLOOKUP(A4092, Entries!A:K,11,false),"")</f>
        <v/>
      </c>
    </row>
    <row r="4093">
      <c r="A4093" s="78" t="s">
        <v>4814</v>
      </c>
      <c r="B4093" s="78" t="s">
        <v>27</v>
      </c>
      <c r="C4093" s="85">
        <v>45165.0</v>
      </c>
      <c r="D4093" s="85">
        <v>45173.0</v>
      </c>
      <c r="E4093" s="86">
        <v>18.69</v>
      </c>
      <c r="F4093" s="87">
        <v>20.12</v>
      </c>
      <c r="G4093" s="88">
        <f t="shared" si="1"/>
        <v>1.43</v>
      </c>
      <c r="H4093" s="89">
        <f t="shared" si="10"/>
        <v>0.07107355865</v>
      </c>
      <c r="I4093" s="78" t="s">
        <v>4847</v>
      </c>
      <c r="J4093" s="78" t="s">
        <v>69</v>
      </c>
      <c r="K4093" s="58">
        <f t="shared" si="3"/>
        <v>8</v>
      </c>
      <c r="L4093" s="91" t="str">
        <f t="shared" si="8"/>
        <v>Mon</v>
      </c>
      <c r="M4093" s="78" t="str">
        <f>IFERROR(VLOOKUP(A4093, Entries!A:B,2,false),"")</f>
        <v>PlayStation</v>
      </c>
      <c r="N4093" s="23" t="str">
        <f>IFERROR(VLOOKUP(A4093, Entries!A:K,11,false),"")</f>
        <v/>
      </c>
    </row>
    <row r="4094">
      <c r="A4094" s="78" t="s">
        <v>4517</v>
      </c>
      <c r="B4094" s="78" t="s">
        <v>22</v>
      </c>
      <c r="C4094" s="85">
        <v>45165.0</v>
      </c>
      <c r="D4094" s="85">
        <v>45166.0</v>
      </c>
      <c r="E4094" s="86">
        <v>4.64</v>
      </c>
      <c r="F4094" s="87">
        <v>6.13</v>
      </c>
      <c r="G4094" s="88">
        <f t="shared" si="1"/>
        <v>1.49</v>
      </c>
      <c r="H4094" s="89">
        <f t="shared" si="10"/>
        <v>0.2430668842</v>
      </c>
      <c r="I4094" s="78" t="s">
        <v>4848</v>
      </c>
      <c r="J4094" s="78" t="s">
        <v>69</v>
      </c>
      <c r="K4094" s="58">
        <f t="shared" si="3"/>
        <v>1</v>
      </c>
      <c r="L4094" s="91" t="str">
        <f t="shared" si="8"/>
        <v>Mon</v>
      </c>
      <c r="M4094" s="78" t="str">
        <f>IFERROR(VLOOKUP(A4094, Entries!A:B,2,false),"")</f>
        <v>Crystal Dynamics</v>
      </c>
      <c r="N4094" s="23" t="str">
        <f>IFERROR(VLOOKUP(A4094, Entries!A:K,11,false),"")</f>
        <v/>
      </c>
      <c r="P4094" s="78" t="s">
        <v>4849</v>
      </c>
    </row>
    <row r="4095">
      <c r="A4095" s="78" t="s">
        <v>4517</v>
      </c>
      <c r="B4095" s="78" t="s">
        <v>22</v>
      </c>
      <c r="C4095" s="85">
        <v>45165.0</v>
      </c>
      <c r="D4095" s="85">
        <v>45172.0</v>
      </c>
      <c r="E4095" s="86">
        <v>4.65</v>
      </c>
      <c r="F4095" s="87">
        <v>5.55</v>
      </c>
      <c r="G4095" s="88">
        <f t="shared" si="1"/>
        <v>0.9</v>
      </c>
      <c r="H4095" s="89">
        <f t="shared" si="10"/>
        <v>0.1621621622</v>
      </c>
      <c r="I4095" s="78" t="s">
        <v>4850</v>
      </c>
      <c r="J4095" s="78" t="s">
        <v>69</v>
      </c>
      <c r="K4095" s="58">
        <f t="shared" si="3"/>
        <v>7</v>
      </c>
      <c r="L4095" s="91" t="str">
        <f t="shared" si="8"/>
        <v>Sun</v>
      </c>
      <c r="M4095" s="78" t="str">
        <f>IFERROR(VLOOKUP(A4095, Entries!A:B,2,false),"")</f>
        <v>Crystal Dynamics</v>
      </c>
      <c r="N4095" s="23" t="str">
        <f>IFERROR(VLOOKUP(A4095, Entries!A:K,11,false),"")</f>
        <v/>
      </c>
      <c r="P4095" s="78" t="s">
        <v>4849</v>
      </c>
    </row>
    <row r="4096">
      <c r="A4096" s="78" t="s">
        <v>840</v>
      </c>
      <c r="B4096" s="78" t="s">
        <v>22</v>
      </c>
      <c r="C4096" s="85">
        <v>45165.0</v>
      </c>
      <c r="D4096" s="85">
        <v>45303.0</v>
      </c>
      <c r="E4096" s="86">
        <v>3.1</v>
      </c>
      <c r="F4096" s="87">
        <v>3.69</v>
      </c>
      <c r="G4096" s="88">
        <f t="shared" si="1"/>
        <v>0.59</v>
      </c>
      <c r="H4096" s="89">
        <f t="shared" si="10"/>
        <v>0.1598915989</v>
      </c>
      <c r="I4096" s="78" t="s">
        <v>4851</v>
      </c>
      <c r="J4096" s="78" t="s">
        <v>69</v>
      </c>
      <c r="K4096" s="58">
        <f t="shared" si="3"/>
        <v>138</v>
      </c>
      <c r="L4096" s="91" t="str">
        <f t="shared" si="8"/>
        <v>Fri</v>
      </c>
      <c r="M4096" s="78" t="str">
        <f>IFERROR(VLOOKUP(A4096, Entries!A:B,2,false),"")</f>
        <v>Square Enix</v>
      </c>
      <c r="N4096" s="23" t="str">
        <f>IFERROR(VLOOKUP(A4096, Entries!A:K,11,false),"")</f>
        <v/>
      </c>
      <c r="O4096" s="23" t="b">
        <f>IFERROR(VLOOKUP(A4096, Entries!A:I,8,false),"")</f>
        <v>0</v>
      </c>
    </row>
    <row r="4097">
      <c r="A4097" s="78" t="s">
        <v>272</v>
      </c>
      <c r="B4097" s="78" t="s">
        <v>19</v>
      </c>
      <c r="C4097" s="85">
        <v>45165.0</v>
      </c>
      <c r="D4097" s="85">
        <v>45165.0</v>
      </c>
      <c r="E4097" s="86">
        <v>0.94</v>
      </c>
      <c r="F4097" s="87">
        <v>1.22</v>
      </c>
      <c r="G4097" s="88">
        <f t="shared" si="1"/>
        <v>0.28</v>
      </c>
      <c r="H4097" s="89">
        <f t="shared" si="10"/>
        <v>0.2295081967</v>
      </c>
      <c r="I4097" s="78" t="s">
        <v>4852</v>
      </c>
      <c r="J4097" s="78" t="s">
        <v>69</v>
      </c>
      <c r="K4097" s="58">
        <f t="shared" si="3"/>
        <v>0</v>
      </c>
      <c r="L4097" s="91" t="str">
        <f t="shared" si="8"/>
        <v>Sun</v>
      </c>
      <c r="M4097" s="78" t="str">
        <f>IFERROR(VLOOKUP(A4097, Entries!A:B,2,false),"")</f>
        <v>Starbreeze Publishing</v>
      </c>
      <c r="N4097" s="23" t="str">
        <f>IFERROR(VLOOKUP(A4097, Entries!A:K,11,false),"")</f>
        <v/>
      </c>
    </row>
    <row r="4098">
      <c r="A4098" s="78" t="s">
        <v>272</v>
      </c>
      <c r="B4098" s="78" t="s">
        <v>19</v>
      </c>
      <c r="C4098" s="85">
        <v>45165.0</v>
      </c>
      <c r="D4098" s="85">
        <v>45165.0</v>
      </c>
      <c r="E4098" s="86">
        <v>0.94</v>
      </c>
      <c r="F4098" s="87">
        <v>1.22</v>
      </c>
      <c r="G4098" s="88">
        <f t="shared" si="1"/>
        <v>0.28</v>
      </c>
      <c r="H4098" s="89">
        <f t="shared" si="10"/>
        <v>0.2295081967</v>
      </c>
      <c r="I4098" s="78" t="s">
        <v>4853</v>
      </c>
      <c r="J4098" s="78" t="s">
        <v>69</v>
      </c>
      <c r="K4098" s="58">
        <f t="shared" si="3"/>
        <v>0</v>
      </c>
      <c r="L4098" s="91" t="str">
        <f t="shared" si="8"/>
        <v>Sun</v>
      </c>
      <c r="M4098" s="78" t="str">
        <f>IFERROR(VLOOKUP(A4098, Entries!A:B,2,false),"")</f>
        <v>Starbreeze Publishing</v>
      </c>
      <c r="N4098" s="23" t="str">
        <f>IFERROR(VLOOKUP(A4098, Entries!A:K,11,false),"")</f>
        <v/>
      </c>
    </row>
    <row r="4099">
      <c r="A4099" s="78" t="s">
        <v>272</v>
      </c>
      <c r="B4099" s="78" t="s">
        <v>19</v>
      </c>
      <c r="C4099" s="85">
        <v>45165.0</v>
      </c>
      <c r="D4099" s="85">
        <v>45165.0</v>
      </c>
      <c r="E4099" s="86">
        <v>0.94</v>
      </c>
      <c r="F4099" s="87">
        <v>1.22</v>
      </c>
      <c r="G4099" s="88">
        <f t="shared" si="1"/>
        <v>0.28</v>
      </c>
      <c r="H4099" s="89">
        <f t="shared" si="10"/>
        <v>0.2295081967</v>
      </c>
      <c r="I4099" s="78" t="s">
        <v>4854</v>
      </c>
      <c r="J4099" s="78" t="s">
        <v>69</v>
      </c>
      <c r="K4099" s="58">
        <f t="shared" si="3"/>
        <v>0</v>
      </c>
      <c r="L4099" s="91" t="str">
        <f t="shared" si="8"/>
        <v>Sun</v>
      </c>
      <c r="M4099" s="78" t="str">
        <f>IFERROR(VLOOKUP(A4099, Entries!A:B,2,false),"")</f>
        <v>Starbreeze Publishing</v>
      </c>
      <c r="N4099" s="23" t="str">
        <f>IFERROR(VLOOKUP(A4099, Entries!A:K,11,false),"")</f>
        <v/>
      </c>
    </row>
    <row r="4100">
      <c r="A4100" s="78" t="s">
        <v>272</v>
      </c>
      <c r="B4100" s="78" t="s">
        <v>19</v>
      </c>
      <c r="C4100" s="85">
        <v>45165.0</v>
      </c>
      <c r="D4100" s="85">
        <v>45165.0</v>
      </c>
      <c r="E4100" s="86">
        <v>0.94</v>
      </c>
      <c r="F4100" s="87">
        <v>1.22</v>
      </c>
      <c r="G4100" s="88">
        <f t="shared" si="1"/>
        <v>0.28</v>
      </c>
      <c r="H4100" s="89">
        <f t="shared" si="10"/>
        <v>0.2295081967</v>
      </c>
      <c r="I4100" s="78" t="s">
        <v>4855</v>
      </c>
      <c r="J4100" s="78" t="s">
        <v>69</v>
      </c>
      <c r="K4100" s="58">
        <f t="shared" si="3"/>
        <v>0</v>
      </c>
      <c r="L4100" s="91" t="str">
        <f t="shared" si="8"/>
        <v>Sun</v>
      </c>
      <c r="M4100" s="78" t="str">
        <f>IFERROR(VLOOKUP(A4100, Entries!A:B,2,false),"")</f>
        <v>Starbreeze Publishing</v>
      </c>
      <c r="N4100" s="23" t="str">
        <f>IFERROR(VLOOKUP(A4100, Entries!A:K,11,false),"")</f>
        <v/>
      </c>
    </row>
    <row r="4101">
      <c r="A4101" s="78" t="s">
        <v>272</v>
      </c>
      <c r="B4101" s="78" t="s">
        <v>19</v>
      </c>
      <c r="C4101" s="85">
        <v>45165.0</v>
      </c>
      <c r="D4101" s="85">
        <v>45165.0</v>
      </c>
      <c r="E4101" s="86">
        <v>0.94</v>
      </c>
      <c r="F4101" s="87">
        <v>1.22</v>
      </c>
      <c r="G4101" s="88">
        <f t="shared" si="1"/>
        <v>0.28</v>
      </c>
      <c r="H4101" s="89">
        <f t="shared" si="10"/>
        <v>0.2295081967</v>
      </c>
      <c r="I4101" s="78" t="s">
        <v>4856</v>
      </c>
      <c r="J4101" s="78" t="s">
        <v>69</v>
      </c>
      <c r="K4101" s="58">
        <f t="shared" si="3"/>
        <v>0</v>
      </c>
      <c r="L4101" s="91" t="str">
        <f t="shared" si="8"/>
        <v>Sun</v>
      </c>
      <c r="M4101" s="78" t="str">
        <f>IFERROR(VLOOKUP(A4101, Entries!A:B,2,false),"")</f>
        <v>Starbreeze Publishing</v>
      </c>
      <c r="N4101" s="23" t="str">
        <f>IFERROR(VLOOKUP(A4101, Entries!A:K,11,false),"")</f>
        <v/>
      </c>
    </row>
    <row r="4102">
      <c r="A4102" s="78" t="s">
        <v>272</v>
      </c>
      <c r="B4102" s="78" t="s">
        <v>19</v>
      </c>
      <c r="C4102" s="85">
        <v>45165.0</v>
      </c>
      <c r="D4102" s="85">
        <v>45165.0</v>
      </c>
      <c r="E4102" s="86">
        <v>0.94</v>
      </c>
      <c r="F4102" s="87">
        <v>1.22</v>
      </c>
      <c r="G4102" s="88">
        <f t="shared" si="1"/>
        <v>0.28</v>
      </c>
      <c r="H4102" s="89">
        <f t="shared" si="10"/>
        <v>0.2295081967</v>
      </c>
      <c r="I4102" s="78" t="s">
        <v>4857</v>
      </c>
      <c r="J4102" s="78" t="s">
        <v>69</v>
      </c>
      <c r="K4102" s="58">
        <f t="shared" si="3"/>
        <v>0</v>
      </c>
      <c r="L4102" s="91" t="str">
        <f t="shared" si="8"/>
        <v>Sun</v>
      </c>
      <c r="M4102" s="78" t="str">
        <f>IFERROR(VLOOKUP(A4102, Entries!A:B,2,false),"")</f>
        <v>Starbreeze Publishing</v>
      </c>
      <c r="N4102" s="23" t="str">
        <f>IFERROR(VLOOKUP(A4102, Entries!A:K,11,false),"")</f>
        <v/>
      </c>
    </row>
    <row r="4103">
      <c r="A4103" s="78" t="s">
        <v>272</v>
      </c>
      <c r="B4103" s="78" t="s">
        <v>19</v>
      </c>
      <c r="C4103" s="85">
        <v>45165.0</v>
      </c>
      <c r="D4103" s="85">
        <v>45165.0</v>
      </c>
      <c r="E4103" s="86">
        <v>0.94</v>
      </c>
      <c r="F4103" s="87">
        <v>1.22</v>
      </c>
      <c r="G4103" s="88">
        <f t="shared" si="1"/>
        <v>0.28</v>
      </c>
      <c r="H4103" s="89">
        <f t="shared" si="10"/>
        <v>0.2295081967</v>
      </c>
      <c r="I4103" s="78" t="s">
        <v>4858</v>
      </c>
      <c r="J4103" s="78" t="s">
        <v>69</v>
      </c>
      <c r="K4103" s="58">
        <f t="shared" si="3"/>
        <v>0</v>
      </c>
      <c r="L4103" s="91" t="str">
        <f t="shared" si="8"/>
        <v>Sun</v>
      </c>
      <c r="M4103" s="78" t="str">
        <f>IFERROR(VLOOKUP(A4103, Entries!A:B,2,false),"")</f>
        <v>Starbreeze Publishing</v>
      </c>
      <c r="N4103" s="23" t="str">
        <f>IFERROR(VLOOKUP(A4103, Entries!A:K,11,false),"")</f>
        <v/>
      </c>
    </row>
    <row r="4104">
      <c r="A4104" s="78" t="s">
        <v>272</v>
      </c>
      <c r="B4104" s="78" t="s">
        <v>19</v>
      </c>
      <c r="C4104" s="85">
        <v>45165.0</v>
      </c>
      <c r="D4104" s="85">
        <v>45165.0</v>
      </c>
      <c r="E4104" s="86">
        <v>0.94</v>
      </c>
      <c r="F4104" s="87">
        <v>1.22</v>
      </c>
      <c r="G4104" s="88">
        <f t="shared" si="1"/>
        <v>0.28</v>
      </c>
      <c r="H4104" s="89">
        <f t="shared" si="10"/>
        <v>0.2295081967</v>
      </c>
      <c r="I4104" s="78" t="s">
        <v>4859</v>
      </c>
      <c r="J4104" s="78" t="s">
        <v>69</v>
      </c>
      <c r="K4104" s="58">
        <f t="shared" si="3"/>
        <v>0</v>
      </c>
      <c r="L4104" s="91" t="str">
        <f t="shared" si="8"/>
        <v>Sun</v>
      </c>
      <c r="M4104" s="78" t="str">
        <f>IFERROR(VLOOKUP(A4104, Entries!A:B,2,false),"")</f>
        <v>Starbreeze Publishing</v>
      </c>
      <c r="N4104" s="23" t="str">
        <f>IFERROR(VLOOKUP(A4104, Entries!A:K,11,false),"")</f>
        <v/>
      </c>
    </row>
    <row r="4105">
      <c r="A4105" s="78" t="s">
        <v>272</v>
      </c>
      <c r="B4105" s="78" t="s">
        <v>19</v>
      </c>
      <c r="C4105" s="85">
        <v>45165.0</v>
      </c>
      <c r="D4105" s="85">
        <v>45165.0</v>
      </c>
      <c r="E4105" s="86">
        <v>0.94</v>
      </c>
      <c r="F4105" s="87">
        <v>1.22</v>
      </c>
      <c r="G4105" s="88">
        <f t="shared" si="1"/>
        <v>0.28</v>
      </c>
      <c r="H4105" s="89">
        <f t="shared" si="10"/>
        <v>0.2295081967</v>
      </c>
      <c r="I4105" s="78" t="s">
        <v>4860</v>
      </c>
      <c r="J4105" s="78" t="s">
        <v>69</v>
      </c>
      <c r="K4105" s="58">
        <f t="shared" si="3"/>
        <v>0</v>
      </c>
      <c r="L4105" s="91" t="str">
        <f t="shared" si="8"/>
        <v>Sun</v>
      </c>
      <c r="M4105" s="78" t="str">
        <f>IFERROR(VLOOKUP(A4105, Entries!A:B,2,false),"")</f>
        <v>Starbreeze Publishing</v>
      </c>
      <c r="N4105" s="23" t="str">
        <f>IFERROR(VLOOKUP(A4105, Entries!A:K,11,false),"")</f>
        <v/>
      </c>
    </row>
    <row r="4106">
      <c r="A4106" s="78" t="s">
        <v>272</v>
      </c>
      <c r="B4106" s="78" t="s">
        <v>19</v>
      </c>
      <c r="C4106" s="85">
        <v>45165.0</v>
      </c>
      <c r="D4106" s="85">
        <v>45165.0</v>
      </c>
      <c r="E4106" s="86">
        <v>0.94</v>
      </c>
      <c r="F4106" s="87">
        <v>1.22</v>
      </c>
      <c r="G4106" s="88">
        <f t="shared" si="1"/>
        <v>0.28</v>
      </c>
      <c r="H4106" s="89">
        <f t="shared" si="10"/>
        <v>0.2295081967</v>
      </c>
      <c r="I4106" s="78" t="s">
        <v>4861</v>
      </c>
      <c r="J4106" s="78" t="s">
        <v>69</v>
      </c>
      <c r="K4106" s="58">
        <f t="shared" si="3"/>
        <v>0</v>
      </c>
      <c r="L4106" s="91" t="str">
        <f t="shared" si="8"/>
        <v>Sun</v>
      </c>
      <c r="M4106" s="78" t="str">
        <f>IFERROR(VLOOKUP(A4106, Entries!A:B,2,false),"")</f>
        <v>Starbreeze Publishing</v>
      </c>
      <c r="N4106" s="23" t="str">
        <f>IFERROR(VLOOKUP(A4106, Entries!A:K,11,false),"")</f>
        <v/>
      </c>
    </row>
    <row r="4107">
      <c r="A4107" s="78" t="s">
        <v>4862</v>
      </c>
      <c r="B4107" s="78" t="s">
        <v>27</v>
      </c>
      <c r="C4107" s="85">
        <v>45166.0</v>
      </c>
      <c r="D4107" s="85">
        <v>45166.0</v>
      </c>
      <c r="E4107" s="86">
        <v>19.89</v>
      </c>
      <c r="F4107" s="87">
        <v>22.37</v>
      </c>
      <c r="G4107" s="88">
        <f t="shared" si="1"/>
        <v>2.48</v>
      </c>
      <c r="H4107" s="89">
        <f t="shared" si="10"/>
        <v>0.1108627626</v>
      </c>
      <c r="I4107" s="78" t="s">
        <v>561</v>
      </c>
      <c r="J4107" s="78" t="s">
        <v>69</v>
      </c>
      <c r="K4107" s="58">
        <f t="shared" si="3"/>
        <v>0</v>
      </c>
      <c r="L4107" s="91" t="str">
        <f t="shared" si="8"/>
        <v>Mon</v>
      </c>
      <c r="M4107" s="78" t="str">
        <f>IFERROR(VLOOKUP(A4107, Entries!A:B,2,false),"")</f>
        <v>SEGA</v>
      </c>
      <c r="N4107" s="23" t="str">
        <f>IFERROR(VLOOKUP(A4107, Entries!A:K,11,false),"")</f>
        <v/>
      </c>
    </row>
    <row r="4108">
      <c r="A4108" s="78" t="s">
        <v>3691</v>
      </c>
      <c r="B4108" s="78" t="s">
        <v>27</v>
      </c>
      <c r="C4108" s="85">
        <v>45166.0</v>
      </c>
      <c r="D4108" s="85">
        <v>45167.0</v>
      </c>
      <c r="E4108" s="86">
        <v>5.79</v>
      </c>
      <c r="F4108" s="87">
        <v>7.73</v>
      </c>
      <c r="G4108" s="88">
        <f t="shared" si="1"/>
        <v>1.94</v>
      </c>
      <c r="H4108" s="89">
        <f t="shared" si="10"/>
        <v>0.2509702458</v>
      </c>
      <c r="I4108" s="78" t="s">
        <v>4863</v>
      </c>
      <c r="J4108" s="78" t="s">
        <v>69</v>
      </c>
      <c r="K4108" s="58">
        <f t="shared" si="3"/>
        <v>1</v>
      </c>
      <c r="L4108" s="91" t="str">
        <f t="shared" si="8"/>
        <v>Tue</v>
      </c>
      <c r="M4108" s="78" t="str">
        <f>IFERROR(VLOOKUP(A4108, Entries!A:B,2,false),"")</f>
        <v>Klei Entertainment</v>
      </c>
      <c r="N4108" s="23" t="str">
        <f>IFERROR(VLOOKUP(A4108, Entries!A:K,11,false),"")</f>
        <v/>
      </c>
    </row>
    <row r="4109">
      <c r="A4109" s="78" t="s">
        <v>4862</v>
      </c>
      <c r="B4109" s="78" t="s">
        <v>27</v>
      </c>
      <c r="C4109" s="85">
        <v>45166.0</v>
      </c>
      <c r="D4109" s="85">
        <v>45166.0</v>
      </c>
      <c r="E4109" s="86">
        <v>19.89</v>
      </c>
      <c r="F4109" s="87">
        <v>23.99</v>
      </c>
      <c r="G4109" s="88">
        <f t="shared" si="1"/>
        <v>4.1</v>
      </c>
      <c r="H4109" s="89">
        <f t="shared" si="10"/>
        <v>0.1709045436</v>
      </c>
      <c r="I4109" s="78" t="s">
        <v>4864</v>
      </c>
      <c r="J4109" s="78" t="s">
        <v>69</v>
      </c>
      <c r="K4109" s="58">
        <f t="shared" si="3"/>
        <v>0</v>
      </c>
      <c r="L4109" s="91" t="str">
        <f t="shared" si="8"/>
        <v>Mon</v>
      </c>
      <c r="M4109" s="78" t="str">
        <f>IFERROR(VLOOKUP(A4109, Entries!A:B,2,false),"")</f>
        <v>SEGA</v>
      </c>
      <c r="N4109" s="23" t="str">
        <f>IFERROR(VLOOKUP(A4109, Entries!A:K,11,false),"")</f>
        <v/>
      </c>
    </row>
    <row r="4110">
      <c r="A4110" s="78" t="s">
        <v>4862</v>
      </c>
      <c r="B4110" s="78" t="s">
        <v>27</v>
      </c>
      <c r="C4110" s="85">
        <v>45166.0</v>
      </c>
      <c r="D4110" s="85">
        <v>45166.0</v>
      </c>
      <c r="E4110" s="86">
        <v>19.89</v>
      </c>
      <c r="F4110" s="87">
        <v>23.99</v>
      </c>
      <c r="G4110" s="88">
        <f t="shared" si="1"/>
        <v>4.1</v>
      </c>
      <c r="H4110" s="89">
        <f t="shared" si="10"/>
        <v>0.1709045436</v>
      </c>
      <c r="I4110" s="78" t="s">
        <v>4865</v>
      </c>
      <c r="J4110" s="78" t="s">
        <v>69</v>
      </c>
      <c r="K4110" s="58">
        <f t="shared" si="3"/>
        <v>0</v>
      </c>
      <c r="L4110" s="91" t="str">
        <f t="shared" si="8"/>
        <v>Mon</v>
      </c>
      <c r="M4110" s="78" t="str">
        <f>IFERROR(VLOOKUP(A4110, Entries!A:B,2,false),"")</f>
        <v>SEGA</v>
      </c>
      <c r="N4110" s="23" t="str">
        <f>IFERROR(VLOOKUP(A4110, Entries!A:K,11,false),"")</f>
        <v/>
      </c>
    </row>
    <row r="4111">
      <c r="A4111" s="78" t="s">
        <v>4862</v>
      </c>
      <c r="B4111" s="78" t="s">
        <v>27</v>
      </c>
      <c r="C4111" s="85">
        <v>45166.0</v>
      </c>
      <c r="D4111" s="85">
        <v>45167.0</v>
      </c>
      <c r="E4111" s="86">
        <v>19.89</v>
      </c>
      <c r="F4111" s="87">
        <v>23.09</v>
      </c>
      <c r="G4111" s="88">
        <f t="shared" si="1"/>
        <v>3.2</v>
      </c>
      <c r="H4111" s="89">
        <f t="shared" si="10"/>
        <v>0.1385881334</v>
      </c>
      <c r="I4111" s="78" t="s">
        <v>4866</v>
      </c>
      <c r="J4111" s="78" t="s">
        <v>69</v>
      </c>
      <c r="K4111" s="58">
        <f t="shared" si="3"/>
        <v>1</v>
      </c>
      <c r="L4111" s="91" t="str">
        <f t="shared" si="8"/>
        <v>Tue</v>
      </c>
      <c r="M4111" s="78" t="str">
        <f>IFERROR(VLOOKUP(A4111, Entries!A:B,2,false),"")</f>
        <v>SEGA</v>
      </c>
      <c r="N4111" s="23" t="str">
        <f>IFERROR(VLOOKUP(A4111, Entries!A:K,11,false),"")</f>
        <v/>
      </c>
    </row>
    <row r="4112">
      <c r="A4112" s="78" t="s">
        <v>2031</v>
      </c>
      <c r="B4112" s="78" t="s">
        <v>18</v>
      </c>
      <c r="C4112" s="85">
        <v>45166.0</v>
      </c>
      <c r="D4112" s="85">
        <v>45181.0</v>
      </c>
      <c r="E4112" s="86">
        <v>26.56</v>
      </c>
      <c r="F4112" s="87">
        <v>42.1</v>
      </c>
      <c r="G4112" s="88">
        <f t="shared" si="1"/>
        <v>15.54</v>
      </c>
      <c r="H4112" s="89">
        <f t="shared" si="10"/>
        <v>0.3691211401</v>
      </c>
      <c r="I4112" s="78" t="s">
        <v>4867</v>
      </c>
      <c r="J4112" s="78" t="s">
        <v>69</v>
      </c>
      <c r="K4112" s="58">
        <f t="shared" si="3"/>
        <v>15</v>
      </c>
      <c r="L4112" s="91" t="str">
        <f t="shared" si="8"/>
        <v>Tue</v>
      </c>
      <c r="M4112" s="78" t="str">
        <f>IFERROR(VLOOKUP(A4112, Entries!A:B,2,false),"")</f>
        <v>KOEI TECMO GAMES</v>
      </c>
      <c r="N4112" s="23" t="str">
        <f>IFERROR(VLOOKUP(A4112, Entries!A:K,11,false),"")</f>
        <v/>
      </c>
      <c r="O4112" s="23" t="b">
        <f>IFERROR(VLOOKUP(A4112, Entries!A:I,8,false),"")</f>
        <v>0</v>
      </c>
    </row>
    <row r="4113">
      <c r="A4113" s="78" t="s">
        <v>4862</v>
      </c>
      <c r="B4113" s="78" t="s">
        <v>27</v>
      </c>
      <c r="C4113" s="85">
        <v>45167.0</v>
      </c>
      <c r="D4113" s="85">
        <v>45168.0</v>
      </c>
      <c r="E4113" s="86">
        <v>19.89</v>
      </c>
      <c r="F4113" s="87">
        <v>23.09</v>
      </c>
      <c r="G4113" s="88">
        <f t="shared" si="1"/>
        <v>3.2</v>
      </c>
      <c r="H4113" s="89">
        <f t="shared" si="10"/>
        <v>0.1385881334</v>
      </c>
      <c r="I4113" s="78" t="s">
        <v>4866</v>
      </c>
      <c r="J4113" s="78" t="s">
        <v>69</v>
      </c>
      <c r="K4113" s="58">
        <f>IFERROR(DATEDIF(C4112,D4113,"D"), "")</f>
        <v>2</v>
      </c>
      <c r="L4113" s="91" t="str">
        <f t="shared" si="8"/>
        <v>Wed</v>
      </c>
      <c r="M4113" s="78" t="str">
        <f>IFERROR(VLOOKUP(A4113, Entries!A:B,2,false),"")</f>
        <v>SEGA</v>
      </c>
      <c r="N4113" s="23" t="str">
        <f>IFERROR(VLOOKUP(A4113, Entries!A:K,11,false),"")</f>
        <v/>
      </c>
    </row>
    <row r="4114">
      <c r="A4114" s="78" t="s">
        <v>3691</v>
      </c>
      <c r="B4114" s="78" t="s">
        <v>27</v>
      </c>
      <c r="C4114" s="85">
        <v>45167.0</v>
      </c>
      <c r="D4114" s="85">
        <v>45168.0</v>
      </c>
      <c r="E4114" s="86">
        <v>5.79</v>
      </c>
      <c r="F4114" s="87">
        <v>7.73</v>
      </c>
      <c r="G4114" s="88">
        <f t="shared" si="1"/>
        <v>1.94</v>
      </c>
      <c r="H4114" s="89">
        <f t="shared" si="10"/>
        <v>0.2509702458</v>
      </c>
      <c r="I4114" s="78" t="s">
        <v>4868</v>
      </c>
      <c r="J4114" s="78" t="s">
        <v>69</v>
      </c>
      <c r="K4114" s="58">
        <f t="shared" ref="K4114:K5658" si="14">IFERROR(DATEDIF(C4114,D4114,"D"), "")</f>
        <v>1</v>
      </c>
      <c r="L4114" s="91" t="str">
        <f t="shared" si="8"/>
        <v>Wed</v>
      </c>
      <c r="M4114" s="78" t="str">
        <f>IFERROR(VLOOKUP(A4114, Entries!A:B,2,false),"")</f>
        <v>Klei Entertainment</v>
      </c>
      <c r="N4114" s="23" t="str">
        <f>IFERROR(VLOOKUP(A4114, Entries!A:K,11,false),"")</f>
        <v/>
      </c>
    </row>
    <row r="4115">
      <c r="A4115" s="78" t="s">
        <v>3691</v>
      </c>
      <c r="B4115" s="78" t="s">
        <v>27</v>
      </c>
      <c r="C4115" s="85">
        <v>45168.0</v>
      </c>
      <c r="D4115" s="85">
        <v>45169.0</v>
      </c>
      <c r="E4115" s="86">
        <v>5.79</v>
      </c>
      <c r="F4115" s="87">
        <v>7.8</v>
      </c>
      <c r="G4115" s="88">
        <f t="shared" si="1"/>
        <v>2.01</v>
      </c>
      <c r="H4115" s="89">
        <f t="shared" si="10"/>
        <v>0.2576923077</v>
      </c>
      <c r="I4115" s="78" t="s">
        <v>4869</v>
      </c>
      <c r="J4115" s="78" t="s">
        <v>69</v>
      </c>
      <c r="K4115" s="58">
        <f t="shared" si="14"/>
        <v>1</v>
      </c>
      <c r="L4115" s="91" t="str">
        <f t="shared" si="8"/>
        <v>Thu</v>
      </c>
      <c r="M4115" s="78" t="str">
        <f>IFERROR(VLOOKUP(A4115, Entries!A:B,2,false),"")</f>
        <v>Klei Entertainment</v>
      </c>
      <c r="N4115" s="23" t="str">
        <f>IFERROR(VLOOKUP(A4115, Entries!A:K,11,false),"")</f>
        <v/>
      </c>
    </row>
    <row r="4116">
      <c r="A4116" s="78" t="s">
        <v>4870</v>
      </c>
      <c r="B4116" s="78" t="s">
        <v>25</v>
      </c>
      <c r="C4116" s="85">
        <v>45168.0</v>
      </c>
      <c r="D4116" s="85">
        <v>45169.0</v>
      </c>
      <c r="E4116" s="86">
        <v>37.55</v>
      </c>
      <c r="F4116" s="87">
        <v>40.0</v>
      </c>
      <c r="G4116" s="88">
        <f t="shared" si="1"/>
        <v>2.45</v>
      </c>
      <c r="H4116" s="89">
        <f t="shared" si="10"/>
        <v>0.06125</v>
      </c>
      <c r="I4116" s="78" t="s">
        <v>4871</v>
      </c>
      <c r="J4116" s="78" t="s">
        <v>69</v>
      </c>
      <c r="K4116" s="58">
        <f t="shared" si="14"/>
        <v>1</v>
      </c>
      <c r="L4116" s="91" t="str">
        <f t="shared" si="8"/>
        <v>Thu</v>
      </c>
      <c r="M4116" s="78" t="str">
        <f>IFERROR(VLOOKUP(A4116, Entries!A:B,2,false),"")</f>
        <v>CAPCOM</v>
      </c>
      <c r="N4116" s="23" t="str">
        <f>IFERROR(VLOOKUP(A4116, Entries!A:K,11,false),"")</f>
        <v/>
      </c>
    </row>
    <row r="4117">
      <c r="A4117" s="78" t="s">
        <v>4872</v>
      </c>
      <c r="B4117" s="78" t="s">
        <v>25</v>
      </c>
      <c r="C4117" s="85">
        <v>45168.0</v>
      </c>
      <c r="D4117" s="85">
        <v>45205.0</v>
      </c>
      <c r="E4117" s="86">
        <v>31.9</v>
      </c>
      <c r="F4117" s="87">
        <v>33.85</v>
      </c>
      <c r="G4117" s="88">
        <f t="shared" si="1"/>
        <v>1.95</v>
      </c>
      <c r="H4117" s="89">
        <f t="shared" si="10"/>
        <v>0.0576070901</v>
      </c>
      <c r="I4117" s="78" t="s">
        <v>4873</v>
      </c>
      <c r="J4117" s="78" t="s">
        <v>69</v>
      </c>
      <c r="K4117" s="58">
        <f t="shared" si="14"/>
        <v>37</v>
      </c>
      <c r="L4117" s="91" t="str">
        <f t="shared" si="8"/>
        <v>Fri</v>
      </c>
      <c r="M4117" s="78" t="str">
        <f>IFERROR(VLOOKUP(A4117, Entries!A:B,2,false),"")</f>
        <v>Wube Software</v>
      </c>
      <c r="N4117" s="23" t="str">
        <f>IFERROR(VLOOKUP(A4117, Entries!A:K,11,false),"")</f>
        <v/>
      </c>
      <c r="O4117" s="23" t="b">
        <f>IFERROR(VLOOKUP(A4117, Entries!A:I,8,false),"")</f>
        <v>0</v>
      </c>
    </row>
    <row r="4118">
      <c r="A4118" s="78" t="s">
        <v>2051</v>
      </c>
      <c r="B4118" s="78" t="s">
        <v>27</v>
      </c>
      <c r="C4118" s="85">
        <v>45168.0</v>
      </c>
      <c r="D4118" s="85">
        <v>45168.0</v>
      </c>
      <c r="E4118" s="86">
        <v>6.39</v>
      </c>
      <c r="F4118" s="87">
        <v>11.57</v>
      </c>
      <c r="G4118" s="88">
        <f t="shared" si="1"/>
        <v>5.18</v>
      </c>
      <c r="H4118" s="89">
        <f t="shared" si="10"/>
        <v>0.4477095938</v>
      </c>
      <c r="I4118" s="78" t="s">
        <v>4874</v>
      </c>
      <c r="J4118" s="78" t="s">
        <v>69</v>
      </c>
      <c r="K4118" s="58">
        <f t="shared" si="14"/>
        <v>0</v>
      </c>
      <c r="L4118" s="91" t="str">
        <f t="shared" si="8"/>
        <v>Wed</v>
      </c>
      <c r="M4118" s="78" t="str">
        <f>IFERROR(VLOOKUP(A4118, Entries!A:B,2,false),"")</f>
        <v>Nacon</v>
      </c>
      <c r="N4118" s="23" t="str">
        <f>IFERROR(VLOOKUP(A4118, Entries!A:K,11,false),"")</f>
        <v/>
      </c>
    </row>
    <row r="4119">
      <c r="A4119" s="78" t="s">
        <v>2051</v>
      </c>
      <c r="B4119" s="78" t="s">
        <v>27</v>
      </c>
      <c r="C4119" s="85">
        <v>45168.0</v>
      </c>
      <c r="D4119" s="85">
        <v>45178.0</v>
      </c>
      <c r="E4119" s="86">
        <v>6.39</v>
      </c>
      <c r="F4119" s="87">
        <v>7.88</v>
      </c>
      <c r="G4119" s="88">
        <f t="shared" si="1"/>
        <v>1.49</v>
      </c>
      <c r="H4119" s="89">
        <f t="shared" si="10"/>
        <v>0.1890862944</v>
      </c>
      <c r="I4119" s="78" t="s">
        <v>4875</v>
      </c>
      <c r="J4119" s="78" t="s">
        <v>69</v>
      </c>
      <c r="K4119" s="58">
        <f t="shared" si="14"/>
        <v>10</v>
      </c>
      <c r="L4119" s="91" t="str">
        <f t="shared" si="8"/>
        <v>Sat</v>
      </c>
      <c r="M4119" s="78" t="str">
        <f>IFERROR(VLOOKUP(A4119, Entries!A:B,2,false),"")</f>
        <v>Nacon</v>
      </c>
      <c r="N4119" s="23" t="str">
        <f>IFERROR(VLOOKUP(A4119, Entries!A:K,11,false),"")</f>
        <v/>
      </c>
      <c r="O4119" s="23" t="b">
        <f>IFERROR(VLOOKUP(A4119, Entries!A:I,8,false),"")</f>
        <v>0</v>
      </c>
    </row>
    <row r="4120">
      <c r="A4120" s="78" t="s">
        <v>4252</v>
      </c>
      <c r="B4120" s="78" t="s">
        <v>23</v>
      </c>
      <c r="C4120" s="85">
        <v>45169.0</v>
      </c>
      <c r="D4120" s="85">
        <v>45248.0</v>
      </c>
      <c r="E4120" s="86">
        <v>26.86</v>
      </c>
      <c r="F4120" s="87">
        <v>26.88</v>
      </c>
      <c r="G4120" s="88">
        <f t="shared" si="1"/>
        <v>0.02</v>
      </c>
      <c r="H4120" s="89">
        <f t="shared" si="10"/>
        <v>0.000744047619</v>
      </c>
      <c r="I4120" s="78" t="s">
        <v>4876</v>
      </c>
      <c r="J4120" s="78" t="s">
        <v>69</v>
      </c>
      <c r="K4120" s="58">
        <f t="shared" si="14"/>
        <v>79</v>
      </c>
      <c r="L4120" s="91" t="str">
        <f t="shared" si="8"/>
        <v>Sat</v>
      </c>
      <c r="M4120" s="78" t="str">
        <f>IFERROR(VLOOKUP(A4120, Entries!A:B,2,false),"")</f>
        <v>PlayStation</v>
      </c>
      <c r="N4120" s="23" t="str">
        <f>IFERROR(VLOOKUP(A4120, Entries!A:K,11,false),"")</f>
        <v/>
      </c>
      <c r="O4120" s="23" t="b">
        <f>IFERROR(VLOOKUP(A4120, Entries!A:I,8,false),"")</f>
        <v>0</v>
      </c>
    </row>
    <row r="4121">
      <c r="A4121" s="78" t="s">
        <v>4870</v>
      </c>
      <c r="B4121" s="78" t="s">
        <v>25</v>
      </c>
      <c r="C4121" s="85">
        <v>45169.0</v>
      </c>
      <c r="D4121" s="85">
        <v>45205.0</v>
      </c>
      <c r="E4121" s="86">
        <v>37.2</v>
      </c>
      <c r="F4121" s="87">
        <v>39.77</v>
      </c>
      <c r="G4121" s="88">
        <f t="shared" si="1"/>
        <v>2.57</v>
      </c>
      <c r="H4121" s="89">
        <f t="shared" si="10"/>
        <v>0.06462157405</v>
      </c>
      <c r="I4121" s="78" t="s">
        <v>4877</v>
      </c>
      <c r="J4121" s="78" t="s">
        <v>69</v>
      </c>
      <c r="K4121" s="58">
        <f t="shared" si="14"/>
        <v>36</v>
      </c>
      <c r="L4121" s="91" t="str">
        <f t="shared" si="8"/>
        <v>Fri</v>
      </c>
      <c r="M4121" s="78" t="str">
        <f>IFERROR(VLOOKUP(A4121, Entries!A:B,2,false),"")</f>
        <v>CAPCOM</v>
      </c>
      <c r="N4121" s="23" t="str">
        <f>IFERROR(VLOOKUP(A4121, Entries!A:K,11,false),"")</f>
        <v/>
      </c>
      <c r="O4121" s="23" t="b">
        <f>IFERROR(VLOOKUP(A4121, Entries!A:I,8,false),"")</f>
        <v>0</v>
      </c>
    </row>
    <row r="4122">
      <c r="A4122" s="78" t="s">
        <v>4550</v>
      </c>
      <c r="B4122" s="78" t="s">
        <v>27</v>
      </c>
      <c r="C4122" s="85">
        <v>45169.0</v>
      </c>
      <c r="D4122" s="85">
        <v>45191.0</v>
      </c>
      <c r="E4122" s="86">
        <v>16.39</v>
      </c>
      <c r="F4122" s="87">
        <v>17.59</v>
      </c>
      <c r="G4122" s="88">
        <f t="shared" si="1"/>
        <v>1.2</v>
      </c>
      <c r="H4122" s="89">
        <f t="shared" si="10"/>
        <v>0.06822057987</v>
      </c>
      <c r="I4122" s="78" t="s">
        <v>4878</v>
      </c>
      <c r="J4122" s="78" t="s">
        <v>69</v>
      </c>
      <c r="K4122" s="58">
        <f t="shared" si="14"/>
        <v>22</v>
      </c>
      <c r="L4122" s="91" t="str">
        <f t="shared" si="8"/>
        <v>Fri</v>
      </c>
      <c r="M4122" s="78" t="str">
        <f>IFERROR(VLOOKUP(A4122, Entries!A:B,2,false),"")</f>
        <v>Merge Games</v>
      </c>
      <c r="N4122" s="23" t="str">
        <f>IFERROR(VLOOKUP(A4122, Entries!A:K,11,false),"")</f>
        <v/>
      </c>
      <c r="O4122" s="23" t="b">
        <f>IFERROR(VLOOKUP(A4122, Entries!A:I,8,false),"")</f>
        <v>0</v>
      </c>
    </row>
    <row r="4123">
      <c r="A4123" s="78" t="s">
        <v>3691</v>
      </c>
      <c r="B4123" s="78" t="s">
        <v>27</v>
      </c>
      <c r="C4123" s="85">
        <v>45169.0</v>
      </c>
      <c r="D4123" s="85">
        <v>45170.0</v>
      </c>
      <c r="E4123" s="86">
        <v>5.79</v>
      </c>
      <c r="F4123" s="87">
        <v>7.95</v>
      </c>
      <c r="G4123" s="88">
        <f t="shared" si="1"/>
        <v>2.16</v>
      </c>
      <c r="H4123" s="89">
        <f t="shared" si="10"/>
        <v>0.2716981132</v>
      </c>
      <c r="I4123" s="78" t="s">
        <v>4879</v>
      </c>
      <c r="J4123" s="78" t="s">
        <v>69</v>
      </c>
      <c r="K4123" s="58">
        <f t="shared" si="14"/>
        <v>1</v>
      </c>
      <c r="L4123" s="91" t="str">
        <f t="shared" si="8"/>
        <v>Fri</v>
      </c>
      <c r="M4123" s="78" t="str">
        <f>IFERROR(VLOOKUP(A4123, Entries!A:B,2,false),"")</f>
        <v>Klei Entertainment</v>
      </c>
      <c r="N4123" s="23" t="str">
        <f>IFERROR(VLOOKUP(A4123, Entries!A:K,11,false),"")</f>
        <v/>
      </c>
    </row>
    <row r="4124">
      <c r="A4124" s="78" t="s">
        <v>4880</v>
      </c>
      <c r="B4124" s="78" t="s">
        <v>22</v>
      </c>
      <c r="C4124" s="85">
        <v>45170.0</v>
      </c>
      <c r="D4124" s="85">
        <v>45170.0</v>
      </c>
      <c r="E4124" s="86">
        <v>12.28</v>
      </c>
      <c r="F4124" s="87">
        <v>16.62</v>
      </c>
      <c r="G4124" s="88">
        <f t="shared" si="1"/>
        <v>4.34</v>
      </c>
      <c r="H4124" s="89">
        <f t="shared" si="10"/>
        <v>0.2611311673</v>
      </c>
      <c r="I4124" s="78" t="s">
        <v>4881</v>
      </c>
      <c r="J4124" s="78" t="s">
        <v>69</v>
      </c>
      <c r="K4124" s="58">
        <f t="shared" si="14"/>
        <v>0</v>
      </c>
      <c r="L4124" s="91" t="str">
        <f t="shared" si="8"/>
        <v>Fri</v>
      </c>
      <c r="M4124" s="78" t="str">
        <f>IFERROR(VLOOKUP(A4124, Entries!A:B,2,false),"")</f>
        <v>Vector3 Studio</v>
      </c>
      <c r="N4124" s="23" t="str">
        <f>IFERROR(VLOOKUP(A4124, Entries!A:K,11,false),"")</f>
        <v/>
      </c>
    </row>
    <row r="4125">
      <c r="A4125" s="78" t="s">
        <v>3897</v>
      </c>
      <c r="B4125" s="78" t="s">
        <v>27</v>
      </c>
      <c r="C4125" s="85">
        <v>45170.0</v>
      </c>
      <c r="D4125" s="85">
        <v>45190.0</v>
      </c>
      <c r="E4125" s="86">
        <v>4.69</v>
      </c>
      <c r="F4125" s="87">
        <v>5.25</v>
      </c>
      <c r="G4125" s="88">
        <f t="shared" si="1"/>
        <v>0.56</v>
      </c>
      <c r="H4125" s="89">
        <f t="shared" si="10"/>
        <v>0.1066666667</v>
      </c>
      <c r="I4125" s="78" t="s">
        <v>4882</v>
      </c>
      <c r="J4125" s="78" t="s">
        <v>69</v>
      </c>
      <c r="K4125" s="58">
        <f t="shared" si="14"/>
        <v>20</v>
      </c>
      <c r="L4125" s="91" t="str">
        <f t="shared" si="8"/>
        <v>Thu</v>
      </c>
      <c r="M4125" s="78" t="str">
        <f>IFERROR(VLOOKUP(A4125, Entries!A:B,2,false),"")</f>
        <v>Bethesda Softworks</v>
      </c>
      <c r="N4125" s="23" t="str">
        <f>IFERROR(VLOOKUP(A4125, Entries!A:K,11,false),"")</f>
        <v/>
      </c>
      <c r="O4125" s="23" t="b">
        <f>IFERROR(VLOOKUP(A4125, Entries!A:I,8,false),"")</f>
        <v>0</v>
      </c>
    </row>
    <row r="4126">
      <c r="A4126" s="78" t="s">
        <v>4883</v>
      </c>
      <c r="B4126" s="78" t="s">
        <v>21</v>
      </c>
      <c r="C4126" s="85">
        <v>45170.0</v>
      </c>
      <c r="D4126" s="85">
        <v>45170.0</v>
      </c>
      <c r="E4126" s="86">
        <v>28.78</v>
      </c>
      <c r="F4126" s="87">
        <v>32.97</v>
      </c>
      <c r="G4126" s="88">
        <f t="shared" si="1"/>
        <v>4.19</v>
      </c>
      <c r="H4126" s="89">
        <f t="shared" si="10"/>
        <v>0.127085229</v>
      </c>
      <c r="I4126" s="78" t="s">
        <v>4884</v>
      </c>
      <c r="J4126" s="78" t="s">
        <v>69</v>
      </c>
      <c r="K4126" s="58">
        <f t="shared" si="14"/>
        <v>0</v>
      </c>
      <c r="L4126" s="91" t="str">
        <f t="shared" si="8"/>
        <v>Fri</v>
      </c>
      <c r="M4126" s="78" t="str">
        <f>IFERROR(VLOOKUP(A4126, Entries!A:B,2,false),"")</f>
        <v>Gearbox Publishing</v>
      </c>
      <c r="N4126" s="23" t="str">
        <f>IFERROR(VLOOKUP(A4126, Entries!A:K,11,false),"")</f>
        <v/>
      </c>
    </row>
    <row r="4127">
      <c r="A4127" s="78" t="s">
        <v>4883</v>
      </c>
      <c r="B4127" s="78" t="s">
        <v>21</v>
      </c>
      <c r="C4127" s="85">
        <v>45170.0</v>
      </c>
      <c r="D4127" s="85">
        <v>45170.0</v>
      </c>
      <c r="E4127" s="86">
        <v>30.79</v>
      </c>
      <c r="F4127" s="87">
        <v>32.99</v>
      </c>
      <c r="G4127" s="88">
        <f t="shared" si="1"/>
        <v>2.2</v>
      </c>
      <c r="H4127" s="89">
        <f t="shared" si="10"/>
        <v>0.06668687481</v>
      </c>
      <c r="I4127" s="78" t="s">
        <v>4885</v>
      </c>
      <c r="J4127" s="78" t="s">
        <v>69</v>
      </c>
      <c r="K4127" s="58">
        <f t="shared" si="14"/>
        <v>0</v>
      </c>
      <c r="L4127" s="91" t="str">
        <f t="shared" si="8"/>
        <v>Fri</v>
      </c>
      <c r="M4127" s="78" t="str">
        <f>IFERROR(VLOOKUP(A4127, Entries!A:B,2,false),"")</f>
        <v>Gearbox Publishing</v>
      </c>
      <c r="N4127" s="23" t="str">
        <f>IFERROR(VLOOKUP(A4127, Entries!A:K,11,false),"")</f>
        <v/>
      </c>
    </row>
    <row r="4128">
      <c r="A4128" s="78" t="s">
        <v>4883</v>
      </c>
      <c r="B4128" s="78" t="s">
        <v>21</v>
      </c>
      <c r="C4128" s="85">
        <v>45170.0</v>
      </c>
      <c r="D4128" s="85">
        <v>45174.0</v>
      </c>
      <c r="E4128" s="86">
        <v>30.79</v>
      </c>
      <c r="F4128" s="87">
        <v>31.47</v>
      </c>
      <c r="G4128" s="88">
        <f t="shared" si="1"/>
        <v>0.68</v>
      </c>
      <c r="H4128" s="89">
        <f t="shared" si="10"/>
        <v>0.02160788052</v>
      </c>
      <c r="I4128" s="78" t="s">
        <v>4886</v>
      </c>
      <c r="J4128" s="78" t="s">
        <v>69</v>
      </c>
      <c r="K4128" s="58">
        <f t="shared" si="14"/>
        <v>4</v>
      </c>
      <c r="L4128" s="91" t="str">
        <f t="shared" si="8"/>
        <v>Tue</v>
      </c>
      <c r="M4128" s="78" t="str">
        <f>IFERROR(VLOOKUP(A4128, Entries!A:B,2,false),"")</f>
        <v>Gearbox Publishing</v>
      </c>
      <c r="N4128" s="23" t="str">
        <f>IFERROR(VLOOKUP(A4128, Entries!A:K,11,false),"")</f>
        <v/>
      </c>
    </row>
    <row r="4129">
      <c r="A4129" s="78" t="s">
        <v>4285</v>
      </c>
      <c r="B4129" s="78" t="s">
        <v>23</v>
      </c>
      <c r="C4129" s="85">
        <v>45170.0</v>
      </c>
      <c r="D4129" s="85">
        <v>45170.0</v>
      </c>
      <c r="E4129" s="86">
        <v>26.91</v>
      </c>
      <c r="F4129" s="87">
        <v>28.49</v>
      </c>
      <c r="G4129" s="88">
        <f t="shared" si="1"/>
        <v>1.58</v>
      </c>
      <c r="H4129" s="89">
        <f t="shared" si="10"/>
        <v>0.05545805546</v>
      </c>
      <c r="I4129" s="78" t="s">
        <v>4887</v>
      </c>
      <c r="J4129" s="78" t="s">
        <v>69</v>
      </c>
      <c r="K4129" s="58">
        <f t="shared" si="14"/>
        <v>0</v>
      </c>
      <c r="L4129" s="91" t="str">
        <f t="shared" si="8"/>
        <v>Fri</v>
      </c>
      <c r="M4129" s="78" t="str">
        <f>IFERROR(VLOOKUP(A4129, Entries!A:B,2,false),"")</f>
        <v>BANDAI NAMCO</v>
      </c>
      <c r="N4129" s="23" t="str">
        <f>IFERROR(VLOOKUP(A4129, Entries!A:K,11,false),"")</f>
        <v/>
      </c>
    </row>
    <row r="4130">
      <c r="A4130" s="78" t="s">
        <v>4285</v>
      </c>
      <c r="B4130" s="78" t="s">
        <v>27</v>
      </c>
      <c r="C4130" s="85">
        <v>45170.0</v>
      </c>
      <c r="D4130" s="85">
        <v>45172.0</v>
      </c>
      <c r="E4130" s="86">
        <v>26.89</v>
      </c>
      <c r="F4130" s="87">
        <v>28.49</v>
      </c>
      <c r="G4130" s="88">
        <f t="shared" si="1"/>
        <v>1.6</v>
      </c>
      <c r="H4130" s="89">
        <f t="shared" si="10"/>
        <v>0.05616005616</v>
      </c>
      <c r="I4130" s="78" t="s">
        <v>561</v>
      </c>
      <c r="J4130" s="78" t="s">
        <v>69</v>
      </c>
      <c r="K4130" s="58">
        <f t="shared" si="14"/>
        <v>2</v>
      </c>
      <c r="L4130" s="91" t="str">
        <f t="shared" si="8"/>
        <v>Sun</v>
      </c>
      <c r="M4130" s="78" t="str">
        <f>IFERROR(VLOOKUP(A4130, Entries!A:B,2,false),"")</f>
        <v>BANDAI NAMCO</v>
      </c>
      <c r="N4130" s="23" t="str">
        <f>IFERROR(VLOOKUP(A4130, Entries!A:K,11,false),"")</f>
        <v/>
      </c>
    </row>
    <row r="4131">
      <c r="A4131" s="78" t="s">
        <v>4880</v>
      </c>
      <c r="B4131" s="78" t="s">
        <v>25</v>
      </c>
      <c r="C4131" s="85">
        <v>45170.0</v>
      </c>
      <c r="D4131" s="85">
        <v>45171.0</v>
      </c>
      <c r="E4131" s="86">
        <v>14.57</v>
      </c>
      <c r="F4131" s="87">
        <v>16.59</v>
      </c>
      <c r="G4131" s="88">
        <f t="shared" si="1"/>
        <v>2.02</v>
      </c>
      <c r="H4131" s="89">
        <f t="shared" si="10"/>
        <v>0.1217600964</v>
      </c>
      <c r="I4131" s="78" t="s">
        <v>4888</v>
      </c>
      <c r="J4131" s="78" t="s">
        <v>69</v>
      </c>
      <c r="K4131" s="58">
        <f t="shared" si="14"/>
        <v>1</v>
      </c>
      <c r="L4131" s="91" t="str">
        <f t="shared" si="8"/>
        <v>Sat</v>
      </c>
      <c r="M4131" s="78" t="str">
        <f>IFERROR(VLOOKUP(A4131, Entries!A:B,2,false),"")</f>
        <v>Vector3 Studio</v>
      </c>
      <c r="N4131" s="23" t="str">
        <f>IFERROR(VLOOKUP(A4131, Entries!A:K,11,false),"")</f>
        <v/>
      </c>
    </row>
    <row r="4132">
      <c r="A4132" s="78" t="s">
        <v>4085</v>
      </c>
      <c r="B4132" s="78" t="s">
        <v>27</v>
      </c>
      <c r="C4132" s="85">
        <v>45170.0</v>
      </c>
      <c r="D4132" s="85">
        <v>45172.0</v>
      </c>
      <c r="E4132" s="86">
        <v>6.99</v>
      </c>
      <c r="F4132" s="87">
        <v>8.14</v>
      </c>
      <c r="G4132" s="88">
        <f t="shared" si="1"/>
        <v>1.15</v>
      </c>
      <c r="H4132" s="89">
        <f t="shared" si="10"/>
        <v>0.1412776413</v>
      </c>
      <c r="I4132" s="78" t="s">
        <v>4889</v>
      </c>
      <c r="J4132" s="78" t="s">
        <v>69</v>
      </c>
      <c r="K4132" s="58">
        <f t="shared" si="14"/>
        <v>2</v>
      </c>
      <c r="L4132" s="91" t="str">
        <f t="shared" si="8"/>
        <v>Sun</v>
      </c>
      <c r="M4132" s="78" t="str">
        <f>IFERROR(VLOOKUP(A4132, Entries!A:B,2,false),"")</f>
        <v>Bethesda Softworks</v>
      </c>
      <c r="N4132" s="23" t="str">
        <f>IFERROR(VLOOKUP(A4132, Entries!A:K,11,false),"")</f>
        <v/>
      </c>
    </row>
    <row r="4133">
      <c r="A4133" s="78" t="s">
        <v>2789</v>
      </c>
      <c r="B4133" s="78" t="s">
        <v>19</v>
      </c>
      <c r="C4133" s="85">
        <v>45170.0</v>
      </c>
      <c r="D4133" s="85">
        <v>45173.0</v>
      </c>
      <c r="E4133" s="86">
        <v>3.33</v>
      </c>
      <c r="F4133" s="87">
        <v>8.29</v>
      </c>
      <c r="G4133" s="88">
        <f t="shared" si="1"/>
        <v>4.96</v>
      </c>
      <c r="H4133" s="89">
        <f t="shared" si="10"/>
        <v>0.5983112183</v>
      </c>
      <c r="I4133" s="78" t="s">
        <v>4890</v>
      </c>
      <c r="J4133" s="78" t="s">
        <v>69</v>
      </c>
      <c r="K4133" s="58">
        <f t="shared" si="14"/>
        <v>3</v>
      </c>
      <c r="L4133" s="91" t="str">
        <f t="shared" si="8"/>
        <v>Mon</v>
      </c>
      <c r="M4133" s="78" t="str">
        <f>IFERROR(VLOOKUP(A4133, Entries!A:B,2,false),"")</f>
        <v>Evil Tortilla Games</v>
      </c>
      <c r="N4133" s="23" t="str">
        <f>IFERROR(VLOOKUP(A4133, Entries!A:K,11,false),"")</f>
        <v/>
      </c>
    </row>
    <row r="4134">
      <c r="A4134" s="78" t="s">
        <v>2789</v>
      </c>
      <c r="B4134" s="78" t="s">
        <v>19</v>
      </c>
      <c r="C4134" s="85">
        <v>45171.0</v>
      </c>
      <c r="D4134" s="85">
        <v>45178.0</v>
      </c>
      <c r="E4134" s="86">
        <v>3.33</v>
      </c>
      <c r="F4134" s="87">
        <v>7.4</v>
      </c>
      <c r="G4134" s="88">
        <f t="shared" si="1"/>
        <v>4.07</v>
      </c>
      <c r="H4134" s="89">
        <f t="shared" si="10"/>
        <v>0.55</v>
      </c>
      <c r="I4134" s="78" t="s">
        <v>4891</v>
      </c>
      <c r="J4134" s="78" t="s">
        <v>69</v>
      </c>
      <c r="K4134" s="58">
        <f t="shared" si="14"/>
        <v>7</v>
      </c>
      <c r="L4134" s="91" t="str">
        <f t="shared" si="8"/>
        <v>Sat</v>
      </c>
      <c r="M4134" s="78" t="str">
        <f>IFERROR(VLOOKUP(A4134, Entries!A:B,2,false),"")</f>
        <v>Evil Tortilla Games</v>
      </c>
      <c r="N4134" s="23" t="str">
        <f>IFERROR(VLOOKUP(A4134, Entries!A:K,11,false),"")</f>
        <v/>
      </c>
      <c r="O4134" s="23" t="b">
        <f>IFERROR(VLOOKUP(A4134, Entries!A:I,8,false),"")</f>
        <v>1</v>
      </c>
    </row>
    <row r="4135">
      <c r="A4135" s="78" t="s">
        <v>2789</v>
      </c>
      <c r="B4135" s="78" t="s">
        <v>19</v>
      </c>
      <c r="C4135" s="85">
        <v>45170.0</v>
      </c>
      <c r="D4135" s="85">
        <v>45183.0</v>
      </c>
      <c r="E4135" s="86">
        <v>3.33</v>
      </c>
      <c r="F4135" s="87">
        <v>7.39</v>
      </c>
      <c r="G4135" s="88">
        <f t="shared" si="1"/>
        <v>4.06</v>
      </c>
      <c r="H4135" s="89">
        <f t="shared" si="10"/>
        <v>0.549391069</v>
      </c>
      <c r="I4135" s="78" t="s">
        <v>4892</v>
      </c>
      <c r="J4135" s="78" t="s">
        <v>69</v>
      </c>
      <c r="K4135" s="58">
        <f t="shared" si="14"/>
        <v>13</v>
      </c>
      <c r="L4135" s="91" t="str">
        <f t="shared" si="8"/>
        <v>Thu</v>
      </c>
      <c r="M4135" s="78" t="str">
        <f>IFERROR(VLOOKUP(A4135, Entries!A:B,2,false),"")</f>
        <v>Evil Tortilla Games</v>
      </c>
      <c r="N4135" s="23" t="str">
        <f>IFERROR(VLOOKUP(A4135, Entries!A:K,11,false),"")</f>
        <v/>
      </c>
      <c r="O4135" s="23" t="b">
        <f>IFERROR(VLOOKUP(A4135, Entries!A:I,8,false),"")</f>
        <v>1</v>
      </c>
    </row>
    <row r="4136">
      <c r="A4136" s="78" t="s">
        <v>4893</v>
      </c>
      <c r="B4136" s="78" t="s">
        <v>25</v>
      </c>
      <c r="C4136" s="85">
        <v>45171.0</v>
      </c>
      <c r="D4136" s="25"/>
      <c r="E4136" s="86">
        <v>17.91</v>
      </c>
      <c r="F4136" s="88"/>
      <c r="G4136" s="88">
        <f t="shared" si="1"/>
        <v>-17.91</v>
      </c>
      <c r="H4136" s="89" t="str">
        <f t="shared" si="10"/>
        <v/>
      </c>
      <c r="I4136" s="103" t="s">
        <v>4894</v>
      </c>
      <c r="J4136" s="78" t="s">
        <v>1129</v>
      </c>
      <c r="K4136" s="58" t="str">
        <f t="shared" si="14"/>
        <v/>
      </c>
      <c r="L4136" s="91" t="str">
        <f t="shared" si="8"/>
        <v/>
      </c>
      <c r="M4136" s="78" t="str">
        <f>IFERROR(VLOOKUP(A4136, Entries!A:B,2,false),"")</f>
        <v>SEGA</v>
      </c>
      <c r="N4136" s="23" t="str">
        <f>IFERROR(VLOOKUP(A4136, Entries!A:K,11,false),"")</f>
        <v/>
      </c>
      <c r="O4136" s="23" t="b">
        <f>IFERROR(VLOOKUP(A4136, Entries!A:I,8,false),"")</f>
        <v>0</v>
      </c>
    </row>
    <row r="4137">
      <c r="A4137" s="78" t="s">
        <v>3687</v>
      </c>
      <c r="B4137" s="78" t="s">
        <v>18</v>
      </c>
      <c r="C4137" s="85">
        <v>45171.0</v>
      </c>
      <c r="D4137" s="85">
        <v>45179.0</v>
      </c>
      <c r="E4137" s="86">
        <v>23.91</v>
      </c>
      <c r="F4137" s="87">
        <v>28.68</v>
      </c>
      <c r="G4137" s="88">
        <f t="shared" si="1"/>
        <v>4.77</v>
      </c>
      <c r="H4137" s="89">
        <f t="shared" si="10"/>
        <v>0.1663179916</v>
      </c>
      <c r="I4137" s="78" t="s">
        <v>4895</v>
      </c>
      <c r="J4137" s="78" t="s">
        <v>69</v>
      </c>
      <c r="K4137" s="58">
        <f t="shared" si="14"/>
        <v>8</v>
      </c>
      <c r="L4137" s="91" t="str">
        <f t="shared" si="8"/>
        <v>Sun</v>
      </c>
      <c r="M4137" s="78" t="str">
        <f>IFERROR(VLOOKUP(A4137, Entries!A:B,2,false),"")</f>
        <v>KOEI TECMO GAMES</v>
      </c>
      <c r="N4137" s="23" t="str">
        <f>IFERROR(VLOOKUP(A4137, Entries!A:K,11,false),"")</f>
        <v/>
      </c>
      <c r="O4137" s="23" t="b">
        <f>IFERROR(VLOOKUP(A4137, Entries!A:I,8,false),"")</f>
        <v>0</v>
      </c>
    </row>
    <row r="4138">
      <c r="A4138" s="78" t="s">
        <v>4880</v>
      </c>
      <c r="B4138" s="78" t="s">
        <v>22</v>
      </c>
      <c r="C4138" s="85">
        <v>45171.0</v>
      </c>
      <c r="D4138" s="85">
        <v>45171.0</v>
      </c>
      <c r="E4138" s="86">
        <v>12.37</v>
      </c>
      <c r="F4138" s="87">
        <v>17.24</v>
      </c>
      <c r="G4138" s="88">
        <f t="shared" si="1"/>
        <v>4.87</v>
      </c>
      <c r="H4138" s="89">
        <f t="shared" si="10"/>
        <v>0.2824825986</v>
      </c>
      <c r="I4138" s="78" t="s">
        <v>4896</v>
      </c>
      <c r="J4138" s="78" t="s">
        <v>69</v>
      </c>
      <c r="K4138" s="58">
        <f t="shared" si="14"/>
        <v>0</v>
      </c>
      <c r="L4138" s="91" t="str">
        <f t="shared" si="8"/>
        <v>Sat</v>
      </c>
      <c r="M4138" s="78" t="str">
        <f>IFERROR(VLOOKUP(A4138, Entries!A:B,2,false),"")</f>
        <v>Vector3 Studio</v>
      </c>
      <c r="N4138" s="23" t="str">
        <f>IFERROR(VLOOKUP(A4138, Entries!A:K,11,false),"")</f>
        <v/>
      </c>
    </row>
    <row r="4139">
      <c r="A4139" s="78" t="s">
        <v>4880</v>
      </c>
      <c r="B4139" s="78" t="s">
        <v>22</v>
      </c>
      <c r="C4139" s="85">
        <v>45171.0</v>
      </c>
      <c r="D4139" s="85">
        <v>45171.0</v>
      </c>
      <c r="E4139" s="86">
        <v>12.37</v>
      </c>
      <c r="F4139" s="87">
        <v>17.24</v>
      </c>
      <c r="G4139" s="88">
        <f t="shared" si="1"/>
        <v>4.87</v>
      </c>
      <c r="H4139" s="89">
        <f t="shared" si="10"/>
        <v>0.2824825986</v>
      </c>
      <c r="I4139" s="78" t="s">
        <v>4897</v>
      </c>
      <c r="J4139" s="78" t="s">
        <v>69</v>
      </c>
      <c r="K4139" s="58">
        <f t="shared" si="14"/>
        <v>0</v>
      </c>
      <c r="L4139" s="91" t="str">
        <f t="shared" si="8"/>
        <v>Sat</v>
      </c>
      <c r="M4139" s="78" t="str">
        <f>IFERROR(VLOOKUP(A4139, Entries!A:B,2,false),"")</f>
        <v>Vector3 Studio</v>
      </c>
      <c r="N4139" s="23" t="str">
        <f>IFERROR(VLOOKUP(A4139, Entries!A:K,11,false),"")</f>
        <v/>
      </c>
    </row>
    <row r="4140">
      <c r="A4140" s="78" t="s">
        <v>4880</v>
      </c>
      <c r="B4140" s="78" t="s">
        <v>22</v>
      </c>
      <c r="C4140" s="85">
        <v>45171.0</v>
      </c>
      <c r="D4140" s="85">
        <v>45172.0</v>
      </c>
      <c r="E4140" s="86">
        <v>12.37</v>
      </c>
      <c r="F4140" s="87">
        <v>17.24</v>
      </c>
      <c r="G4140" s="88">
        <f t="shared" si="1"/>
        <v>4.87</v>
      </c>
      <c r="H4140" s="89">
        <f t="shared" si="10"/>
        <v>0.2824825986</v>
      </c>
      <c r="I4140" s="78" t="s">
        <v>4898</v>
      </c>
      <c r="J4140" s="78" t="s">
        <v>69</v>
      </c>
      <c r="K4140" s="58">
        <f t="shared" si="14"/>
        <v>1</v>
      </c>
      <c r="L4140" s="91" t="str">
        <f t="shared" si="8"/>
        <v>Sun</v>
      </c>
      <c r="M4140" s="78" t="str">
        <f>IFERROR(VLOOKUP(A4140, Entries!A:B,2,false),"")</f>
        <v>Vector3 Studio</v>
      </c>
      <c r="N4140" s="23" t="str">
        <f>IFERROR(VLOOKUP(A4140, Entries!A:K,11,false),"")</f>
        <v/>
      </c>
    </row>
    <row r="4141">
      <c r="A4141" s="78" t="s">
        <v>4880</v>
      </c>
      <c r="B4141" s="78" t="s">
        <v>22</v>
      </c>
      <c r="C4141" s="85">
        <v>45171.0</v>
      </c>
      <c r="D4141" s="85">
        <v>45172.0</v>
      </c>
      <c r="E4141" s="86">
        <v>12.37</v>
      </c>
      <c r="F4141" s="87">
        <v>17.24</v>
      </c>
      <c r="G4141" s="88">
        <f t="shared" si="1"/>
        <v>4.87</v>
      </c>
      <c r="H4141" s="89">
        <f t="shared" si="10"/>
        <v>0.2824825986</v>
      </c>
      <c r="I4141" s="78" t="s">
        <v>4899</v>
      </c>
      <c r="J4141" s="78" t="s">
        <v>69</v>
      </c>
      <c r="K4141" s="58">
        <f t="shared" si="14"/>
        <v>1</v>
      </c>
      <c r="L4141" s="91" t="str">
        <f t="shared" si="8"/>
        <v>Sun</v>
      </c>
      <c r="M4141" s="78" t="str">
        <f>IFERROR(VLOOKUP(A4141, Entries!A:B,2,false),"")</f>
        <v>Vector3 Studio</v>
      </c>
      <c r="N4141" s="23" t="str">
        <f>IFERROR(VLOOKUP(A4141, Entries!A:K,11,false),"")</f>
        <v/>
      </c>
    </row>
    <row r="4142">
      <c r="A4142" s="78" t="s">
        <v>4880</v>
      </c>
      <c r="B4142" s="78" t="s">
        <v>22</v>
      </c>
      <c r="C4142" s="85">
        <v>45171.0</v>
      </c>
      <c r="D4142" s="85">
        <v>45172.0</v>
      </c>
      <c r="E4142" s="86">
        <v>12.38</v>
      </c>
      <c r="F4142" s="87">
        <v>17.24</v>
      </c>
      <c r="G4142" s="88">
        <f t="shared" si="1"/>
        <v>4.86</v>
      </c>
      <c r="H4142" s="89">
        <f t="shared" si="10"/>
        <v>0.2819025522</v>
      </c>
      <c r="I4142" s="78" t="s">
        <v>4900</v>
      </c>
      <c r="J4142" s="78" t="s">
        <v>69</v>
      </c>
      <c r="K4142" s="58">
        <f t="shared" si="14"/>
        <v>1</v>
      </c>
      <c r="L4142" s="91" t="str">
        <f t="shared" si="8"/>
        <v>Sun</v>
      </c>
      <c r="M4142" s="78" t="str">
        <f>IFERROR(VLOOKUP(A4142, Entries!A:B,2,false),"")</f>
        <v>Vector3 Studio</v>
      </c>
      <c r="N4142" s="23" t="str">
        <f>IFERROR(VLOOKUP(A4142, Entries!A:K,11,false),"")</f>
        <v/>
      </c>
    </row>
    <row r="4143">
      <c r="A4143" s="78" t="s">
        <v>4880</v>
      </c>
      <c r="B4143" s="78" t="s">
        <v>22</v>
      </c>
      <c r="C4143" s="85">
        <v>45171.0</v>
      </c>
      <c r="D4143" s="85">
        <v>45172.0</v>
      </c>
      <c r="E4143" s="86">
        <v>12.37</v>
      </c>
      <c r="F4143" s="87">
        <v>17.24</v>
      </c>
      <c r="G4143" s="88">
        <f t="shared" si="1"/>
        <v>4.87</v>
      </c>
      <c r="H4143" s="89">
        <f t="shared" si="10"/>
        <v>0.2824825986</v>
      </c>
      <c r="I4143" s="78" t="s">
        <v>4901</v>
      </c>
      <c r="J4143" s="78" t="s">
        <v>69</v>
      </c>
      <c r="K4143" s="58">
        <f t="shared" si="14"/>
        <v>1</v>
      </c>
      <c r="L4143" s="91" t="str">
        <f t="shared" si="8"/>
        <v>Sun</v>
      </c>
      <c r="M4143" s="78" t="str">
        <f>IFERROR(VLOOKUP(A4143, Entries!A:B,2,false),"")</f>
        <v>Vector3 Studio</v>
      </c>
      <c r="N4143" s="23" t="str">
        <f>IFERROR(VLOOKUP(A4143, Entries!A:K,11,false),"")</f>
        <v/>
      </c>
    </row>
    <row r="4144">
      <c r="A4144" s="78" t="s">
        <v>4880</v>
      </c>
      <c r="B4144" s="78" t="s">
        <v>22</v>
      </c>
      <c r="C4144" s="85">
        <v>45171.0</v>
      </c>
      <c r="D4144" s="85">
        <v>45172.0</v>
      </c>
      <c r="E4144" s="86">
        <v>12.37</v>
      </c>
      <c r="F4144" s="87">
        <v>17.24</v>
      </c>
      <c r="G4144" s="88">
        <f t="shared" si="1"/>
        <v>4.87</v>
      </c>
      <c r="H4144" s="89">
        <f t="shared" si="10"/>
        <v>0.2824825986</v>
      </c>
      <c r="I4144" s="78" t="s">
        <v>4902</v>
      </c>
      <c r="J4144" s="78" t="s">
        <v>69</v>
      </c>
      <c r="K4144" s="58">
        <f t="shared" si="14"/>
        <v>1</v>
      </c>
      <c r="L4144" s="91" t="str">
        <f t="shared" si="8"/>
        <v>Sun</v>
      </c>
      <c r="M4144" s="78" t="str">
        <f>IFERROR(VLOOKUP(A4144, Entries!A:B,2,false),"")</f>
        <v>Vector3 Studio</v>
      </c>
      <c r="N4144" s="23" t="str">
        <f>IFERROR(VLOOKUP(A4144, Entries!A:K,11,false),"")</f>
        <v/>
      </c>
    </row>
    <row r="4145">
      <c r="A4145" s="78" t="s">
        <v>4880</v>
      </c>
      <c r="B4145" s="78" t="s">
        <v>22</v>
      </c>
      <c r="C4145" s="85">
        <v>45171.0</v>
      </c>
      <c r="D4145" s="85">
        <v>45172.0</v>
      </c>
      <c r="E4145" s="86">
        <v>12.37</v>
      </c>
      <c r="F4145" s="87">
        <v>17.24</v>
      </c>
      <c r="G4145" s="88">
        <f t="shared" si="1"/>
        <v>4.87</v>
      </c>
      <c r="H4145" s="89">
        <f t="shared" si="10"/>
        <v>0.2824825986</v>
      </c>
      <c r="I4145" s="78" t="s">
        <v>4903</v>
      </c>
      <c r="J4145" s="78" t="s">
        <v>69</v>
      </c>
      <c r="K4145" s="58">
        <f t="shared" si="14"/>
        <v>1</v>
      </c>
      <c r="L4145" s="91" t="str">
        <f t="shared" si="8"/>
        <v>Sun</v>
      </c>
      <c r="M4145" s="78" t="str">
        <f>IFERROR(VLOOKUP(A4145, Entries!A:B,2,false),"")</f>
        <v>Vector3 Studio</v>
      </c>
      <c r="N4145" s="23" t="str">
        <f>IFERROR(VLOOKUP(A4145, Entries!A:K,11,false),"")</f>
        <v/>
      </c>
    </row>
    <row r="4146">
      <c r="A4146" s="78" t="s">
        <v>4880</v>
      </c>
      <c r="B4146" s="78" t="s">
        <v>22</v>
      </c>
      <c r="C4146" s="85">
        <v>45171.0</v>
      </c>
      <c r="D4146" s="85">
        <v>45172.0</v>
      </c>
      <c r="E4146" s="86">
        <v>12.37</v>
      </c>
      <c r="F4146" s="87">
        <v>17.24</v>
      </c>
      <c r="G4146" s="88">
        <f t="shared" si="1"/>
        <v>4.87</v>
      </c>
      <c r="H4146" s="89">
        <f t="shared" si="10"/>
        <v>0.2824825986</v>
      </c>
      <c r="I4146" s="78" t="s">
        <v>4904</v>
      </c>
      <c r="J4146" s="78" t="s">
        <v>69</v>
      </c>
      <c r="K4146" s="58">
        <f t="shared" si="14"/>
        <v>1</v>
      </c>
      <c r="L4146" s="91" t="str">
        <f t="shared" si="8"/>
        <v>Sun</v>
      </c>
      <c r="M4146" s="78" t="str">
        <f>IFERROR(VLOOKUP(A4146, Entries!A:B,2,false),"")</f>
        <v>Vector3 Studio</v>
      </c>
      <c r="N4146" s="23" t="str">
        <f>IFERROR(VLOOKUP(A4146, Entries!A:K,11,false),"")</f>
        <v/>
      </c>
    </row>
    <row r="4147">
      <c r="A4147" s="78" t="s">
        <v>4880</v>
      </c>
      <c r="B4147" s="78" t="s">
        <v>22</v>
      </c>
      <c r="C4147" s="85">
        <v>45171.0</v>
      </c>
      <c r="D4147" s="85">
        <v>45172.0</v>
      </c>
      <c r="E4147" s="86">
        <v>12.38</v>
      </c>
      <c r="F4147" s="87">
        <v>17.24</v>
      </c>
      <c r="G4147" s="88">
        <f t="shared" si="1"/>
        <v>4.86</v>
      </c>
      <c r="H4147" s="89">
        <f t="shared" si="10"/>
        <v>0.2819025522</v>
      </c>
      <c r="I4147" s="78" t="s">
        <v>4905</v>
      </c>
      <c r="J4147" s="78" t="s">
        <v>69</v>
      </c>
      <c r="K4147" s="58">
        <f t="shared" si="14"/>
        <v>1</v>
      </c>
      <c r="L4147" s="91" t="str">
        <f t="shared" si="8"/>
        <v>Sun</v>
      </c>
      <c r="M4147" s="78" t="str">
        <f>IFERROR(VLOOKUP(A4147, Entries!A:B,2,false),"")</f>
        <v>Vector3 Studio</v>
      </c>
      <c r="N4147" s="23" t="str">
        <f>IFERROR(VLOOKUP(A4147, Entries!A:K,11,false),"")</f>
        <v/>
      </c>
    </row>
    <row r="4148">
      <c r="A4148" s="78" t="s">
        <v>4285</v>
      </c>
      <c r="B4148" s="78" t="s">
        <v>27</v>
      </c>
      <c r="C4148" s="85">
        <v>45172.0</v>
      </c>
      <c r="D4148" s="85">
        <v>45172.0</v>
      </c>
      <c r="E4148" s="86">
        <v>26.89</v>
      </c>
      <c r="F4148" s="87">
        <v>28.49</v>
      </c>
      <c r="G4148" s="88">
        <f t="shared" si="1"/>
        <v>1.6</v>
      </c>
      <c r="H4148" s="89">
        <f t="shared" si="10"/>
        <v>0.05616005616</v>
      </c>
      <c r="I4148" s="78" t="s">
        <v>4864</v>
      </c>
      <c r="J4148" s="78" t="s">
        <v>69</v>
      </c>
      <c r="K4148" s="58">
        <f t="shared" si="14"/>
        <v>0</v>
      </c>
      <c r="L4148" s="91" t="str">
        <f t="shared" si="8"/>
        <v>Sun</v>
      </c>
      <c r="M4148" s="78" t="str">
        <f>IFERROR(VLOOKUP(A4148, Entries!A:B,2,false),"")</f>
        <v>BANDAI NAMCO</v>
      </c>
      <c r="N4148" s="23" t="str">
        <f>IFERROR(VLOOKUP(A4148, Entries!A:K,11,false),"")</f>
        <v/>
      </c>
    </row>
    <row r="4149">
      <c r="A4149" s="78" t="s">
        <v>4880</v>
      </c>
      <c r="B4149" s="78" t="s">
        <v>22</v>
      </c>
      <c r="C4149" s="85">
        <v>45172.0</v>
      </c>
      <c r="D4149" s="85">
        <v>45172.0</v>
      </c>
      <c r="E4149" s="86">
        <v>12.37</v>
      </c>
      <c r="F4149" s="87">
        <v>17.24</v>
      </c>
      <c r="G4149" s="88">
        <f t="shared" si="1"/>
        <v>4.87</v>
      </c>
      <c r="H4149" s="89">
        <f t="shared" si="10"/>
        <v>0.2824825986</v>
      </c>
      <c r="I4149" s="78" t="s">
        <v>4906</v>
      </c>
      <c r="J4149" s="78" t="s">
        <v>69</v>
      </c>
      <c r="K4149" s="58">
        <f t="shared" si="14"/>
        <v>0</v>
      </c>
      <c r="L4149" s="91" t="str">
        <f t="shared" si="8"/>
        <v>Sun</v>
      </c>
      <c r="M4149" s="78" t="str">
        <f>IFERROR(VLOOKUP(A4149, Entries!A:B,2,false),"")</f>
        <v>Vector3 Studio</v>
      </c>
      <c r="N4149" s="23" t="str">
        <f>IFERROR(VLOOKUP(A4149, Entries!A:K,11,false),"")</f>
        <v/>
      </c>
    </row>
    <row r="4150">
      <c r="A4150" s="78" t="s">
        <v>4880</v>
      </c>
      <c r="B4150" s="78" t="s">
        <v>22</v>
      </c>
      <c r="C4150" s="85">
        <v>45172.0</v>
      </c>
      <c r="D4150" s="85">
        <v>45172.0</v>
      </c>
      <c r="E4150" s="86">
        <v>12.37</v>
      </c>
      <c r="F4150" s="87">
        <v>17.24</v>
      </c>
      <c r="G4150" s="88">
        <f t="shared" si="1"/>
        <v>4.87</v>
      </c>
      <c r="H4150" s="89">
        <f t="shared" si="10"/>
        <v>0.2824825986</v>
      </c>
      <c r="I4150" s="78" t="s">
        <v>4907</v>
      </c>
      <c r="J4150" s="78" t="s">
        <v>69</v>
      </c>
      <c r="K4150" s="58">
        <f t="shared" si="14"/>
        <v>0</v>
      </c>
      <c r="L4150" s="91" t="str">
        <f t="shared" si="8"/>
        <v>Sun</v>
      </c>
      <c r="M4150" s="78" t="str">
        <f>IFERROR(VLOOKUP(A4150, Entries!A:B,2,false),"")</f>
        <v>Vector3 Studio</v>
      </c>
      <c r="N4150" s="23" t="str">
        <f>IFERROR(VLOOKUP(A4150, Entries!A:K,11,false),"")</f>
        <v/>
      </c>
    </row>
    <row r="4151">
      <c r="A4151" s="78" t="s">
        <v>4880</v>
      </c>
      <c r="B4151" s="78" t="s">
        <v>22</v>
      </c>
      <c r="C4151" s="85">
        <v>45172.0</v>
      </c>
      <c r="D4151" s="85">
        <v>45172.0</v>
      </c>
      <c r="E4151" s="86">
        <v>12.37</v>
      </c>
      <c r="F4151" s="87">
        <v>17.24</v>
      </c>
      <c r="G4151" s="88">
        <f t="shared" si="1"/>
        <v>4.87</v>
      </c>
      <c r="H4151" s="89">
        <f t="shared" si="10"/>
        <v>0.2824825986</v>
      </c>
      <c r="I4151" s="78" t="s">
        <v>4908</v>
      </c>
      <c r="J4151" s="78" t="s">
        <v>69</v>
      </c>
      <c r="K4151" s="58">
        <f t="shared" si="14"/>
        <v>0</v>
      </c>
      <c r="L4151" s="91" t="str">
        <f t="shared" si="8"/>
        <v>Sun</v>
      </c>
      <c r="M4151" s="78" t="str">
        <f>IFERROR(VLOOKUP(A4151, Entries!A:B,2,false),"")</f>
        <v>Vector3 Studio</v>
      </c>
      <c r="N4151" s="23" t="str">
        <f>IFERROR(VLOOKUP(A4151, Entries!A:K,11,false),"")</f>
        <v/>
      </c>
    </row>
    <row r="4152">
      <c r="A4152" s="78" t="s">
        <v>4880</v>
      </c>
      <c r="B4152" s="78" t="s">
        <v>22</v>
      </c>
      <c r="C4152" s="85">
        <v>45172.0</v>
      </c>
      <c r="D4152" s="85">
        <v>45180.0</v>
      </c>
      <c r="E4152" s="86">
        <v>12.38</v>
      </c>
      <c r="F4152" s="87">
        <v>19.97</v>
      </c>
      <c r="G4152" s="88">
        <f t="shared" si="1"/>
        <v>7.59</v>
      </c>
      <c r="H4152" s="89">
        <f t="shared" si="10"/>
        <v>0.3800701052</v>
      </c>
      <c r="I4152" s="78" t="s">
        <v>4909</v>
      </c>
      <c r="J4152" s="78" t="s">
        <v>69</v>
      </c>
      <c r="K4152" s="58">
        <f t="shared" si="14"/>
        <v>8</v>
      </c>
      <c r="L4152" s="91" t="str">
        <f t="shared" si="8"/>
        <v>Mon</v>
      </c>
      <c r="M4152" s="78" t="str">
        <f>IFERROR(VLOOKUP(A4152, Entries!A:B,2,false),"")</f>
        <v>Vector3 Studio</v>
      </c>
      <c r="N4152" s="23" t="str">
        <f>IFERROR(VLOOKUP(A4152, Entries!A:K,11,false),"")</f>
        <v/>
      </c>
      <c r="O4152" s="23" t="b">
        <f>IFERROR(VLOOKUP(A4152, Entries!A:I,8,false),"")</f>
        <v>0</v>
      </c>
    </row>
    <row r="4153">
      <c r="A4153" s="78" t="s">
        <v>4880</v>
      </c>
      <c r="B4153" s="78" t="s">
        <v>22</v>
      </c>
      <c r="C4153" s="85">
        <v>45172.0</v>
      </c>
      <c r="D4153" s="85">
        <v>45180.0</v>
      </c>
      <c r="E4153" s="86">
        <v>12.37</v>
      </c>
      <c r="F4153" s="87">
        <v>19.98</v>
      </c>
      <c r="G4153" s="88">
        <f t="shared" si="1"/>
        <v>7.61</v>
      </c>
      <c r="H4153" s="89">
        <f t="shared" si="10"/>
        <v>0.3808808809</v>
      </c>
      <c r="I4153" s="78" t="s">
        <v>4910</v>
      </c>
      <c r="J4153" s="78" t="s">
        <v>69</v>
      </c>
      <c r="K4153" s="58">
        <f t="shared" si="14"/>
        <v>8</v>
      </c>
      <c r="L4153" s="91" t="str">
        <f t="shared" si="8"/>
        <v>Mon</v>
      </c>
      <c r="M4153" s="78" t="str">
        <f>IFERROR(VLOOKUP(A4153, Entries!A:B,2,false),"")</f>
        <v>Vector3 Studio</v>
      </c>
      <c r="N4153" s="23" t="str">
        <f>IFERROR(VLOOKUP(A4153, Entries!A:K,11,false),"")</f>
        <v/>
      </c>
      <c r="O4153" s="23" t="b">
        <f>IFERROR(VLOOKUP(A4153, Entries!A:I,8,false),"")</f>
        <v>0</v>
      </c>
    </row>
    <row r="4154">
      <c r="A4154" s="78" t="s">
        <v>4285</v>
      </c>
      <c r="B4154" s="78" t="s">
        <v>27</v>
      </c>
      <c r="C4154" s="85">
        <v>45172.0</v>
      </c>
      <c r="D4154" s="85">
        <v>45172.0</v>
      </c>
      <c r="E4154" s="86">
        <v>26.89</v>
      </c>
      <c r="F4154" s="87">
        <v>28.49</v>
      </c>
      <c r="G4154" s="88">
        <f t="shared" si="1"/>
        <v>1.6</v>
      </c>
      <c r="H4154" s="89">
        <f t="shared" si="10"/>
        <v>0.05616005616</v>
      </c>
      <c r="I4154" s="78" t="s">
        <v>4865</v>
      </c>
      <c r="J4154" s="78" t="s">
        <v>69</v>
      </c>
      <c r="K4154" s="58">
        <f t="shared" si="14"/>
        <v>0</v>
      </c>
      <c r="L4154" s="91" t="str">
        <f t="shared" si="8"/>
        <v>Sun</v>
      </c>
      <c r="M4154" s="78" t="str">
        <f>IFERROR(VLOOKUP(A4154, Entries!A:B,2,false),"")</f>
        <v>BANDAI NAMCO</v>
      </c>
      <c r="N4154" s="23" t="str">
        <f>IFERROR(VLOOKUP(A4154, Entries!A:K,11,false),"")</f>
        <v/>
      </c>
    </row>
    <row r="4155">
      <c r="A4155" s="78" t="s">
        <v>4085</v>
      </c>
      <c r="B4155" s="78" t="s">
        <v>27</v>
      </c>
      <c r="C4155" s="85">
        <v>45172.0</v>
      </c>
      <c r="D4155" s="85">
        <v>45175.0</v>
      </c>
      <c r="E4155" s="86">
        <v>6.99</v>
      </c>
      <c r="F4155" s="87">
        <v>8.17</v>
      </c>
      <c r="G4155" s="88">
        <f t="shared" si="1"/>
        <v>1.18</v>
      </c>
      <c r="H4155" s="89">
        <f t="shared" si="10"/>
        <v>0.1444308446</v>
      </c>
      <c r="I4155" s="78" t="s">
        <v>4911</v>
      </c>
      <c r="J4155" s="78" t="s">
        <v>69</v>
      </c>
      <c r="K4155" s="58">
        <f t="shared" si="14"/>
        <v>3</v>
      </c>
      <c r="L4155" s="91" t="str">
        <f t="shared" si="8"/>
        <v>Wed</v>
      </c>
      <c r="M4155" s="78" t="str">
        <f>IFERROR(VLOOKUP(A4155, Entries!A:B,2,false),"")</f>
        <v>Bethesda Softworks</v>
      </c>
      <c r="N4155" s="23" t="str">
        <f>IFERROR(VLOOKUP(A4155, Entries!A:K,11,false),"")</f>
        <v/>
      </c>
    </row>
    <row r="4156">
      <c r="A4156" s="78" t="s">
        <v>4285</v>
      </c>
      <c r="B4156" s="78" t="s">
        <v>27</v>
      </c>
      <c r="C4156" s="85">
        <v>45172.0</v>
      </c>
      <c r="D4156" s="85">
        <v>45177.0</v>
      </c>
      <c r="E4156" s="86">
        <v>26.89</v>
      </c>
      <c r="F4156" s="87">
        <v>28.5</v>
      </c>
      <c r="G4156" s="88">
        <f t="shared" si="1"/>
        <v>1.61</v>
      </c>
      <c r="H4156" s="89">
        <f t="shared" si="10"/>
        <v>0.05649122807</v>
      </c>
      <c r="I4156" s="78" t="s">
        <v>4865</v>
      </c>
      <c r="J4156" s="78" t="s">
        <v>69</v>
      </c>
      <c r="K4156" s="58">
        <f t="shared" si="14"/>
        <v>5</v>
      </c>
      <c r="L4156" s="91" t="str">
        <f t="shared" si="8"/>
        <v>Fri</v>
      </c>
      <c r="M4156" s="78" t="str">
        <f>IFERROR(VLOOKUP(A4156, Entries!A:B,2,false),"")</f>
        <v>BANDAI NAMCO</v>
      </c>
      <c r="N4156" s="23" t="str">
        <f>IFERROR(VLOOKUP(A4156, Entries!A:K,11,false),"")</f>
        <v/>
      </c>
      <c r="O4156" s="23" t="b">
        <f>IFERROR(VLOOKUP(A4156, Entries!A:I,8,false),"")</f>
        <v>0</v>
      </c>
    </row>
    <row r="4157">
      <c r="A4157" s="94" t="s">
        <v>3925</v>
      </c>
      <c r="B4157" s="78" t="s">
        <v>35</v>
      </c>
      <c r="C4157" s="85">
        <v>45396.0</v>
      </c>
      <c r="D4157" s="85">
        <v>45629.0</v>
      </c>
      <c r="E4157" s="86">
        <v>5.09</v>
      </c>
      <c r="F4157" s="87">
        <v>4.7</v>
      </c>
      <c r="G4157" s="88">
        <f t="shared" si="1"/>
        <v>-0.39</v>
      </c>
      <c r="H4157" s="89">
        <f t="shared" si="10"/>
        <v>-0.0829787234</v>
      </c>
      <c r="I4157" s="78" t="s">
        <v>4912</v>
      </c>
      <c r="J4157" s="78" t="s">
        <v>69</v>
      </c>
      <c r="K4157" s="58">
        <f t="shared" si="14"/>
        <v>233</v>
      </c>
      <c r="L4157" s="91" t="str">
        <f t="shared" si="8"/>
        <v>Tue</v>
      </c>
      <c r="M4157" s="78" t="str">
        <f>IFERROR(VLOOKUP(A4157, Entries!A:B,2,false),"")</f>
        <v>Crystal Dynamics</v>
      </c>
      <c r="N4157" s="23" t="str">
        <f>IFERROR(VLOOKUP(A4157, Entries!A:K,11,false),"")</f>
        <v/>
      </c>
      <c r="O4157" s="23" t="b">
        <f>IFERROR(VLOOKUP(A4157, Entries!A:I,8,false),"")</f>
        <v>0</v>
      </c>
      <c r="Q4157" s="78" t="s">
        <v>4913</v>
      </c>
    </row>
    <row r="4158">
      <c r="A4158" s="78" t="s">
        <v>4914</v>
      </c>
      <c r="B4158" s="78" t="s">
        <v>27</v>
      </c>
      <c r="C4158" s="85">
        <v>45173.0</v>
      </c>
      <c r="D4158" s="85">
        <v>45173.0</v>
      </c>
      <c r="E4158" s="86">
        <v>15.19</v>
      </c>
      <c r="F4158" s="87">
        <v>16.93</v>
      </c>
      <c r="G4158" s="88">
        <f t="shared" si="1"/>
        <v>1.74</v>
      </c>
      <c r="H4158" s="89">
        <f t="shared" si="10"/>
        <v>0.102776137</v>
      </c>
      <c r="I4158" s="78" t="s">
        <v>4915</v>
      </c>
      <c r="J4158" s="78" t="s">
        <v>69</v>
      </c>
      <c r="K4158" s="58">
        <f t="shared" si="14"/>
        <v>0</v>
      </c>
      <c r="L4158" s="91" t="str">
        <f t="shared" si="8"/>
        <v>Mon</v>
      </c>
      <c r="M4158" s="78" t="str">
        <f>IFERROR(VLOOKUP(A4158, Entries!A:B,2,false),"")</f>
        <v>Deep Silver</v>
      </c>
      <c r="N4158" s="23" t="str">
        <f>IFERROR(VLOOKUP(A4158, Entries!A:K,11,false),"")</f>
        <v/>
      </c>
    </row>
    <row r="4159">
      <c r="A4159" s="78" t="s">
        <v>1596</v>
      </c>
      <c r="B4159" s="78" t="s">
        <v>18</v>
      </c>
      <c r="C4159" s="85">
        <v>45173.0</v>
      </c>
      <c r="D4159" s="85">
        <v>45183.0</v>
      </c>
      <c r="E4159" s="86">
        <v>27.91</v>
      </c>
      <c r="F4159" s="87">
        <v>35.86</v>
      </c>
      <c r="G4159" s="88">
        <f t="shared" si="1"/>
        <v>7.95</v>
      </c>
      <c r="H4159" s="89">
        <f t="shared" si="10"/>
        <v>0.2216954824</v>
      </c>
      <c r="I4159" s="78" t="s">
        <v>4916</v>
      </c>
      <c r="J4159" s="78" t="s">
        <v>69</v>
      </c>
      <c r="K4159" s="58">
        <f t="shared" si="14"/>
        <v>10</v>
      </c>
      <c r="L4159" s="91" t="str">
        <f t="shared" si="8"/>
        <v>Thu</v>
      </c>
      <c r="M4159" s="78" t="str">
        <f>IFERROR(VLOOKUP(A4159, Entries!A:B,2,false),"")</f>
        <v>505 Games</v>
      </c>
      <c r="N4159" s="23" t="str">
        <f>IFERROR(VLOOKUP(A4159, Entries!A:K,11,false),"")</f>
        <v/>
      </c>
      <c r="O4159" s="23" t="b">
        <f>IFERROR(VLOOKUP(A4159, Entries!A:I,8,false),"")</f>
        <v>1</v>
      </c>
    </row>
    <row r="4160">
      <c r="A4160" s="78" t="s">
        <v>4914</v>
      </c>
      <c r="B4160" s="78" t="s">
        <v>27</v>
      </c>
      <c r="C4160" s="85">
        <v>45173.0</v>
      </c>
      <c r="D4160" s="85">
        <v>45173.0</v>
      </c>
      <c r="E4160" s="86">
        <v>15.19</v>
      </c>
      <c r="F4160" s="87">
        <v>16.93</v>
      </c>
      <c r="G4160" s="88">
        <f t="shared" si="1"/>
        <v>1.74</v>
      </c>
      <c r="H4160" s="89">
        <f t="shared" si="10"/>
        <v>0.102776137</v>
      </c>
      <c r="I4160" s="78" t="s">
        <v>4917</v>
      </c>
      <c r="J4160" s="78" t="s">
        <v>69</v>
      </c>
      <c r="K4160" s="58">
        <f t="shared" si="14"/>
        <v>0</v>
      </c>
      <c r="L4160" s="91" t="str">
        <f t="shared" si="8"/>
        <v>Mon</v>
      </c>
      <c r="M4160" s="78" t="str">
        <f>IFERROR(VLOOKUP(A4160, Entries!A:B,2,false),"")</f>
        <v>Deep Silver</v>
      </c>
      <c r="N4160" s="23" t="str">
        <f>IFERROR(VLOOKUP(A4160, Entries!A:K,11,false),"")</f>
        <v/>
      </c>
    </row>
    <row r="4161">
      <c r="A4161" s="78" t="s">
        <v>4914</v>
      </c>
      <c r="B4161" s="78" t="s">
        <v>27</v>
      </c>
      <c r="C4161" s="85">
        <v>45174.0</v>
      </c>
      <c r="D4161" s="85">
        <v>45174.0</v>
      </c>
      <c r="E4161" s="86">
        <v>15.19</v>
      </c>
      <c r="F4161" s="87">
        <v>16.93</v>
      </c>
      <c r="G4161" s="88">
        <f t="shared" si="1"/>
        <v>1.74</v>
      </c>
      <c r="H4161" s="89">
        <f t="shared" si="10"/>
        <v>0.102776137</v>
      </c>
      <c r="I4161" s="78" t="s">
        <v>4918</v>
      </c>
      <c r="J4161" s="78" t="s">
        <v>69</v>
      </c>
      <c r="K4161" s="58">
        <f t="shared" si="14"/>
        <v>0</v>
      </c>
      <c r="L4161" s="91" t="str">
        <f t="shared" si="8"/>
        <v>Tue</v>
      </c>
      <c r="M4161" s="78" t="str">
        <f>IFERROR(VLOOKUP(A4161, Entries!A:B,2,false),"")</f>
        <v>Deep Silver</v>
      </c>
      <c r="N4161" s="23" t="str">
        <f>IFERROR(VLOOKUP(A4161, Entries!A:K,11,false),"")</f>
        <v/>
      </c>
    </row>
    <row r="4162">
      <c r="A4162" s="78" t="s">
        <v>4085</v>
      </c>
      <c r="B4162" s="78" t="s">
        <v>27</v>
      </c>
      <c r="C4162" s="85">
        <v>45176.0</v>
      </c>
      <c r="D4162" s="85">
        <v>45176.0</v>
      </c>
      <c r="E4162" s="86">
        <v>6.19</v>
      </c>
      <c r="F4162" s="87">
        <v>8.14</v>
      </c>
      <c r="G4162" s="88">
        <f t="shared" si="1"/>
        <v>1.95</v>
      </c>
      <c r="H4162" s="89">
        <f t="shared" si="10"/>
        <v>0.2395577396</v>
      </c>
      <c r="I4162" s="78" t="s">
        <v>4919</v>
      </c>
      <c r="J4162" s="78" t="s">
        <v>69</v>
      </c>
      <c r="K4162" s="58">
        <f t="shared" si="14"/>
        <v>0</v>
      </c>
      <c r="L4162" s="91" t="str">
        <f t="shared" si="8"/>
        <v>Thu</v>
      </c>
      <c r="M4162" s="78" t="str">
        <f>IFERROR(VLOOKUP(A4162, Entries!A:B,2,false),"")</f>
        <v>Bethesda Softworks</v>
      </c>
      <c r="N4162" s="23" t="str">
        <f>IFERROR(VLOOKUP(A4162, Entries!A:K,11,false),"")</f>
        <v/>
      </c>
      <c r="O4162" s="23" t="b">
        <f>IFERROR(VLOOKUP(A4162, Entries!A:I,8,false),"")</f>
        <v>0</v>
      </c>
    </row>
    <row r="4163">
      <c r="A4163" s="78" t="s">
        <v>4914</v>
      </c>
      <c r="B4163" s="78" t="s">
        <v>27</v>
      </c>
      <c r="C4163" s="85">
        <v>45176.0</v>
      </c>
      <c r="D4163" s="85">
        <v>45176.0</v>
      </c>
      <c r="E4163" s="86">
        <v>14.99</v>
      </c>
      <c r="F4163" s="87">
        <v>16.93</v>
      </c>
      <c r="G4163" s="88">
        <f t="shared" si="1"/>
        <v>1.94</v>
      </c>
      <c r="H4163" s="89">
        <f t="shared" si="10"/>
        <v>0.1145894861</v>
      </c>
      <c r="I4163" s="78" t="s">
        <v>4920</v>
      </c>
      <c r="J4163" s="78" t="s">
        <v>69</v>
      </c>
      <c r="K4163" s="58">
        <f t="shared" si="14"/>
        <v>0</v>
      </c>
      <c r="L4163" s="91" t="str">
        <f t="shared" si="8"/>
        <v>Thu</v>
      </c>
      <c r="M4163" s="78" t="str">
        <f>IFERROR(VLOOKUP(A4163, Entries!A:B,2,false),"")</f>
        <v>Deep Silver</v>
      </c>
      <c r="N4163" s="23" t="str">
        <f>IFERROR(VLOOKUP(A4163, Entries!A:K,11,false),"")</f>
        <v/>
      </c>
    </row>
    <row r="4164">
      <c r="A4164" s="78" t="s">
        <v>3654</v>
      </c>
      <c r="B4164" s="78" t="s">
        <v>25</v>
      </c>
      <c r="C4164" s="85">
        <v>45176.0</v>
      </c>
      <c r="D4164" s="25"/>
      <c r="E4164" s="86">
        <v>20.37</v>
      </c>
      <c r="F4164" s="88"/>
      <c r="G4164" s="88">
        <f t="shared" si="1"/>
        <v>-20.37</v>
      </c>
      <c r="H4164" s="89" t="str">
        <f t="shared" si="10"/>
        <v/>
      </c>
      <c r="I4164" s="78" t="s">
        <v>4921</v>
      </c>
      <c r="J4164" s="78" t="s">
        <v>1129</v>
      </c>
      <c r="K4164" s="58" t="str">
        <f t="shared" si="14"/>
        <v/>
      </c>
      <c r="L4164" s="91" t="str">
        <f t="shared" si="8"/>
        <v/>
      </c>
      <c r="M4164" s="78" t="str">
        <f>IFERROR(VLOOKUP(A4164, Entries!A:B,2,false),"")</f>
        <v>astragon Entertainment</v>
      </c>
      <c r="N4164" s="23" t="str">
        <f>IFERROR(VLOOKUP(A4164, Entries!A:K,11,false),"")</f>
        <v/>
      </c>
      <c r="O4164" s="23" t="b">
        <f>IFERROR(VLOOKUP(A4164, Entries!A:I,8,false),"")</f>
        <v>0</v>
      </c>
    </row>
    <row r="4165">
      <c r="A4165" s="78" t="s">
        <v>4914</v>
      </c>
      <c r="B4165" s="78" t="s">
        <v>27</v>
      </c>
      <c r="C4165" s="85">
        <v>45176.0</v>
      </c>
      <c r="D4165" s="85">
        <v>45176.0</v>
      </c>
      <c r="E4165" s="86">
        <v>14.93</v>
      </c>
      <c r="F4165" s="87">
        <v>16.93</v>
      </c>
      <c r="G4165" s="88">
        <f t="shared" si="1"/>
        <v>2</v>
      </c>
      <c r="H4165" s="89">
        <f t="shared" si="10"/>
        <v>0.1181334908</v>
      </c>
      <c r="I4165" s="78" t="s">
        <v>4922</v>
      </c>
      <c r="J4165" s="78" t="s">
        <v>69</v>
      </c>
      <c r="K4165" s="58">
        <f t="shared" si="14"/>
        <v>0</v>
      </c>
      <c r="L4165" s="91" t="str">
        <f t="shared" si="8"/>
        <v>Thu</v>
      </c>
      <c r="M4165" s="78" t="str">
        <f>IFERROR(VLOOKUP(A4165, Entries!A:B,2,false),"")</f>
        <v>Deep Silver</v>
      </c>
      <c r="N4165" s="23" t="str">
        <f>IFERROR(VLOOKUP(A4165, Entries!A:K,11,false),"")</f>
        <v/>
      </c>
      <c r="O4165" s="23" t="b">
        <f>IFERROR(VLOOKUP(A4165, Entries!A:I,8,false),"")</f>
        <v>0</v>
      </c>
    </row>
    <row r="4166">
      <c r="A4166" s="78" t="s">
        <v>4914</v>
      </c>
      <c r="B4166" s="78" t="s">
        <v>27</v>
      </c>
      <c r="C4166" s="85">
        <v>45176.0</v>
      </c>
      <c r="D4166" s="85">
        <v>45176.0</v>
      </c>
      <c r="E4166" s="86">
        <v>15.19</v>
      </c>
      <c r="F4166" s="87">
        <v>16.93</v>
      </c>
      <c r="G4166" s="88">
        <f t="shared" si="1"/>
        <v>1.74</v>
      </c>
      <c r="H4166" s="89">
        <f t="shared" si="10"/>
        <v>0.102776137</v>
      </c>
      <c r="I4166" s="78" t="s">
        <v>4923</v>
      </c>
      <c r="J4166" s="78" t="s">
        <v>69</v>
      </c>
      <c r="K4166" s="58">
        <f t="shared" si="14"/>
        <v>0</v>
      </c>
      <c r="L4166" s="91" t="str">
        <f t="shared" si="8"/>
        <v>Thu</v>
      </c>
      <c r="M4166" s="78" t="str">
        <f>IFERROR(VLOOKUP(A4166, Entries!A:B,2,false),"")</f>
        <v>Deep Silver</v>
      </c>
      <c r="N4166" s="23" t="str">
        <f>IFERROR(VLOOKUP(A4166, Entries!A:K,11,false),"")</f>
        <v/>
      </c>
    </row>
    <row r="4167">
      <c r="A4167" s="78" t="s">
        <v>4914</v>
      </c>
      <c r="B4167" s="78" t="s">
        <v>27</v>
      </c>
      <c r="C4167" s="85">
        <v>45176.0</v>
      </c>
      <c r="D4167" s="85">
        <v>45177.0</v>
      </c>
      <c r="E4167" s="86">
        <v>14.93</v>
      </c>
      <c r="F4167" s="87">
        <v>16.96</v>
      </c>
      <c r="G4167" s="88">
        <f t="shared" si="1"/>
        <v>2.03</v>
      </c>
      <c r="H4167" s="89">
        <f t="shared" si="10"/>
        <v>0.1196933962</v>
      </c>
      <c r="I4167" s="78" t="s">
        <v>4924</v>
      </c>
      <c r="J4167" s="78" t="s">
        <v>69</v>
      </c>
      <c r="K4167" s="58">
        <f t="shared" si="14"/>
        <v>1</v>
      </c>
      <c r="L4167" s="91" t="str">
        <f t="shared" si="8"/>
        <v>Fri</v>
      </c>
      <c r="M4167" s="78" t="str">
        <f>IFERROR(VLOOKUP(A4167, Entries!A:B,2,false),"")</f>
        <v>Deep Silver</v>
      </c>
      <c r="N4167" s="23" t="str">
        <f>IFERROR(VLOOKUP(A4167, Entries!A:K,11,false),"")</f>
        <v/>
      </c>
      <c r="O4167" s="23" t="b">
        <f>IFERROR(VLOOKUP(A4167, Entries!A:I,8,false),"")</f>
        <v>0</v>
      </c>
    </row>
    <row r="4168">
      <c r="A4168" s="78" t="s">
        <v>4466</v>
      </c>
      <c r="B4168" s="78" t="s">
        <v>22</v>
      </c>
      <c r="C4168" s="85">
        <v>45177.0</v>
      </c>
      <c r="D4168" s="85">
        <v>45177.0</v>
      </c>
      <c r="E4168" s="86">
        <v>6.23</v>
      </c>
      <c r="F4168" s="87">
        <v>7.29</v>
      </c>
      <c r="G4168" s="88">
        <f t="shared" si="1"/>
        <v>1.06</v>
      </c>
      <c r="H4168" s="89">
        <f t="shared" si="10"/>
        <v>0.1454046639</v>
      </c>
      <c r="I4168" s="78" t="s">
        <v>4925</v>
      </c>
      <c r="J4168" s="78" t="s">
        <v>69</v>
      </c>
      <c r="K4168" s="58">
        <f t="shared" si="14"/>
        <v>0</v>
      </c>
      <c r="L4168" s="91" t="str">
        <f t="shared" si="8"/>
        <v>Fri</v>
      </c>
      <c r="M4168" s="78" t="str">
        <f>IFERROR(VLOOKUP(A4168, Entries!A:B,2,false),"")</f>
        <v>SCKR Games</v>
      </c>
      <c r="N4168" s="23" t="str">
        <f>IFERROR(VLOOKUP(A4168, Entries!A:K,11,false),"")</f>
        <v/>
      </c>
      <c r="O4168" s="23" t="b">
        <f>IFERROR(VLOOKUP(A4168, Entries!A:I,8,false),"")</f>
        <v>0</v>
      </c>
    </row>
    <row r="4169">
      <c r="A4169" s="78" t="s">
        <v>4926</v>
      </c>
      <c r="B4169" s="78" t="s">
        <v>23</v>
      </c>
      <c r="C4169" s="85">
        <v>45177.0</v>
      </c>
      <c r="D4169" s="85">
        <v>45178.0</v>
      </c>
      <c r="E4169" s="86">
        <v>7.79</v>
      </c>
      <c r="F4169" s="87">
        <v>8.58</v>
      </c>
      <c r="G4169" s="88">
        <f t="shared" si="1"/>
        <v>0.79</v>
      </c>
      <c r="H4169" s="89">
        <f t="shared" si="10"/>
        <v>0.09207459207</v>
      </c>
      <c r="I4169" s="78" t="s">
        <v>4927</v>
      </c>
      <c r="J4169" s="78" t="s">
        <v>69</v>
      </c>
      <c r="K4169" s="58">
        <f t="shared" si="14"/>
        <v>1</v>
      </c>
      <c r="L4169" s="91" t="str">
        <f t="shared" si="8"/>
        <v>Sat</v>
      </c>
      <c r="M4169" s="78" t="str">
        <f>IFERROR(VLOOKUP(A4169, Entries!A:B,2,false),"")</f>
        <v>Bethesda Softworks</v>
      </c>
      <c r="N4169" s="23" t="str">
        <f>IFERROR(VLOOKUP(A4169, Entries!A:K,11,false),"")</f>
        <v/>
      </c>
      <c r="O4169" s="23" t="b">
        <f>IFERROR(VLOOKUP(A4169, Entries!A:I,8,false),"")</f>
        <v>0</v>
      </c>
    </row>
    <row r="4170">
      <c r="A4170" s="78" t="s">
        <v>4928</v>
      </c>
      <c r="B4170" s="78" t="s">
        <v>19</v>
      </c>
      <c r="C4170" s="85">
        <v>45177.0</v>
      </c>
      <c r="D4170" s="85">
        <v>45177.0</v>
      </c>
      <c r="E4170" s="86">
        <v>28.21</v>
      </c>
      <c r="F4170" s="87">
        <v>35.85</v>
      </c>
      <c r="G4170" s="88">
        <f t="shared" si="1"/>
        <v>7.64</v>
      </c>
      <c r="H4170" s="89">
        <f t="shared" si="10"/>
        <v>0.2131101813</v>
      </c>
      <c r="I4170" s="78" t="s">
        <v>4929</v>
      </c>
      <c r="J4170" s="78" t="s">
        <v>69</v>
      </c>
      <c r="K4170" s="58">
        <f t="shared" si="14"/>
        <v>0</v>
      </c>
      <c r="L4170" s="91" t="str">
        <f t="shared" si="8"/>
        <v>Fri</v>
      </c>
      <c r="M4170" s="78" t="str">
        <f>IFERROR(VLOOKUP(A4170, Entries!A:B,2,false),"")</f>
        <v>Eleventh Hour Games</v>
      </c>
      <c r="N4170" s="23" t="str">
        <f>IFERROR(VLOOKUP(A4170, Entries!A:K,11,false),"")</f>
        <v/>
      </c>
      <c r="O4170" s="23" t="b">
        <f>IFERROR(VLOOKUP(A4170, Entries!A:I,8,false),"")</f>
        <v>0</v>
      </c>
    </row>
    <row r="4171">
      <c r="A4171" s="78" t="s">
        <v>4285</v>
      </c>
      <c r="B4171" s="78" t="s">
        <v>27</v>
      </c>
      <c r="C4171" s="85">
        <v>45177.0</v>
      </c>
      <c r="D4171" s="25"/>
      <c r="E4171" s="86">
        <v>26.49</v>
      </c>
      <c r="F4171" s="88"/>
      <c r="G4171" s="88">
        <f t="shared" si="1"/>
        <v>-26.49</v>
      </c>
      <c r="H4171" s="89" t="str">
        <f t="shared" si="10"/>
        <v/>
      </c>
      <c r="I4171" s="103" t="s">
        <v>4866</v>
      </c>
      <c r="J4171" s="78" t="s">
        <v>1129</v>
      </c>
      <c r="K4171" s="58" t="str">
        <f t="shared" si="14"/>
        <v/>
      </c>
      <c r="L4171" s="91" t="str">
        <f t="shared" si="8"/>
        <v/>
      </c>
      <c r="M4171" s="78" t="str">
        <f>IFERROR(VLOOKUP(A4171, Entries!A:B,2,false),"")</f>
        <v>BANDAI NAMCO</v>
      </c>
      <c r="N4171" s="23" t="str">
        <f>IFERROR(VLOOKUP(A4171, Entries!A:K,11,false),"")</f>
        <v/>
      </c>
      <c r="O4171" s="23" t="b">
        <f>IFERROR(VLOOKUP(A4171, Entries!A:I,8,false),"")</f>
        <v>0</v>
      </c>
    </row>
    <row r="4172">
      <c r="A4172" s="78" t="s">
        <v>4914</v>
      </c>
      <c r="B4172" s="78" t="s">
        <v>27</v>
      </c>
      <c r="C4172" s="85">
        <v>45177.0</v>
      </c>
      <c r="D4172" s="85">
        <v>45177.0</v>
      </c>
      <c r="E4172" s="86">
        <v>15.19</v>
      </c>
      <c r="F4172" s="87">
        <v>16.96</v>
      </c>
      <c r="G4172" s="88">
        <f t="shared" si="1"/>
        <v>1.77</v>
      </c>
      <c r="H4172" s="89">
        <f t="shared" si="10"/>
        <v>0.1043632075</v>
      </c>
      <c r="I4172" s="78" t="s">
        <v>4930</v>
      </c>
      <c r="J4172" s="78" t="s">
        <v>69</v>
      </c>
      <c r="K4172" s="58">
        <f t="shared" si="14"/>
        <v>0</v>
      </c>
      <c r="L4172" s="91" t="str">
        <f t="shared" si="8"/>
        <v>Fri</v>
      </c>
      <c r="M4172" s="78" t="str">
        <f>IFERROR(VLOOKUP(A4172, Entries!A:B,2,false),"")</f>
        <v>Deep Silver</v>
      </c>
      <c r="N4172" s="23" t="str">
        <f>IFERROR(VLOOKUP(A4172, Entries!A:K,11,false),"")</f>
        <v/>
      </c>
      <c r="O4172" s="23" t="b">
        <f>IFERROR(VLOOKUP(A4172, Entries!A:I,8,false),"")</f>
        <v>0</v>
      </c>
    </row>
    <row r="4173">
      <c r="A4173" s="78" t="s">
        <v>4914</v>
      </c>
      <c r="B4173" s="78" t="s">
        <v>27</v>
      </c>
      <c r="C4173" s="85">
        <v>45177.0</v>
      </c>
      <c r="D4173" s="85">
        <v>45179.0</v>
      </c>
      <c r="E4173" s="86">
        <v>15.19</v>
      </c>
      <c r="F4173" s="87">
        <v>16.93</v>
      </c>
      <c r="G4173" s="88">
        <f t="shared" si="1"/>
        <v>1.74</v>
      </c>
      <c r="H4173" s="89">
        <f t="shared" si="10"/>
        <v>0.102776137</v>
      </c>
      <c r="I4173" s="78" t="s">
        <v>4931</v>
      </c>
      <c r="J4173" s="78" t="s">
        <v>69</v>
      </c>
      <c r="K4173" s="58">
        <f t="shared" si="14"/>
        <v>2</v>
      </c>
      <c r="L4173" s="91" t="str">
        <f t="shared" si="8"/>
        <v>Sun</v>
      </c>
      <c r="M4173" s="78" t="str">
        <f>IFERROR(VLOOKUP(A4173, Entries!A:B,2,false),"")</f>
        <v>Deep Silver</v>
      </c>
      <c r="N4173" s="23" t="str">
        <f>IFERROR(VLOOKUP(A4173, Entries!A:K,11,false),"")</f>
        <v/>
      </c>
      <c r="O4173" s="23" t="b">
        <f>IFERROR(VLOOKUP(A4173, Entries!A:I,8,false),"")</f>
        <v>0</v>
      </c>
    </row>
    <row r="4174">
      <c r="A4174" s="78" t="s">
        <v>4914</v>
      </c>
      <c r="B4174" s="78" t="s">
        <v>27</v>
      </c>
      <c r="C4174" s="85">
        <v>45177.0</v>
      </c>
      <c r="D4174" s="85">
        <v>45182.0</v>
      </c>
      <c r="E4174" s="86">
        <v>15.13</v>
      </c>
      <c r="F4174" s="87">
        <v>16.75</v>
      </c>
      <c r="G4174" s="88">
        <f t="shared" si="1"/>
        <v>1.62</v>
      </c>
      <c r="H4174" s="89">
        <f t="shared" si="10"/>
        <v>0.09671641791</v>
      </c>
      <c r="I4174" s="78" t="s">
        <v>4932</v>
      </c>
      <c r="J4174" s="78" t="s">
        <v>69</v>
      </c>
      <c r="K4174" s="58">
        <f t="shared" si="14"/>
        <v>5</v>
      </c>
      <c r="L4174" s="91" t="str">
        <f t="shared" si="8"/>
        <v>Wed</v>
      </c>
      <c r="M4174" s="78" t="str">
        <f>IFERROR(VLOOKUP(A4174, Entries!A:B,2,false),"")</f>
        <v>Deep Silver</v>
      </c>
      <c r="N4174" s="23" t="str">
        <f>IFERROR(VLOOKUP(A4174, Entries!A:K,11,false),"")</f>
        <v/>
      </c>
      <c r="O4174" s="23" t="b">
        <f>IFERROR(VLOOKUP(A4174, Entries!A:I,8,false),"")</f>
        <v>0</v>
      </c>
    </row>
    <row r="4175">
      <c r="A4175" s="78" t="s">
        <v>4928</v>
      </c>
      <c r="B4175" s="78" t="s">
        <v>19</v>
      </c>
      <c r="C4175" s="85">
        <v>45177.0</v>
      </c>
      <c r="D4175" s="85">
        <v>45193.0</v>
      </c>
      <c r="E4175" s="86">
        <v>28.21</v>
      </c>
      <c r="F4175" s="87">
        <v>31.0</v>
      </c>
      <c r="G4175" s="88">
        <f t="shared" si="1"/>
        <v>2.79</v>
      </c>
      <c r="H4175" s="89">
        <f t="shared" si="10"/>
        <v>0.09</v>
      </c>
      <c r="I4175" s="78" t="s">
        <v>4933</v>
      </c>
      <c r="J4175" s="78" t="s">
        <v>69</v>
      </c>
      <c r="K4175" s="58">
        <f t="shared" si="14"/>
        <v>16</v>
      </c>
      <c r="L4175" s="91" t="str">
        <f t="shared" si="8"/>
        <v>Sun</v>
      </c>
      <c r="M4175" s="78" t="str">
        <f>IFERROR(VLOOKUP(A4175, Entries!A:B,2,false),"")</f>
        <v>Eleventh Hour Games</v>
      </c>
      <c r="N4175" s="23" t="str">
        <f>IFERROR(VLOOKUP(A4175, Entries!A:K,11,false),"")</f>
        <v/>
      </c>
      <c r="O4175" s="23" t="b">
        <f>IFERROR(VLOOKUP(A4175, Entries!A:I,8,false),"")</f>
        <v>0</v>
      </c>
    </row>
    <row r="4176">
      <c r="A4176" s="78" t="s">
        <v>4926</v>
      </c>
      <c r="B4176" s="78" t="s">
        <v>23</v>
      </c>
      <c r="C4176" s="85">
        <v>45178.0</v>
      </c>
      <c r="D4176" s="85">
        <v>45178.0</v>
      </c>
      <c r="E4176" s="86">
        <v>7.78</v>
      </c>
      <c r="F4176" s="87">
        <v>8.58</v>
      </c>
      <c r="G4176" s="88">
        <f t="shared" si="1"/>
        <v>0.8</v>
      </c>
      <c r="H4176" s="89">
        <f t="shared" si="10"/>
        <v>0.09324009324</v>
      </c>
      <c r="I4176" s="78" t="s">
        <v>4934</v>
      </c>
      <c r="J4176" s="78" t="s">
        <v>69</v>
      </c>
      <c r="K4176" s="58">
        <f t="shared" si="14"/>
        <v>0</v>
      </c>
      <c r="L4176" s="91" t="str">
        <f t="shared" si="8"/>
        <v>Sat</v>
      </c>
      <c r="M4176" s="78" t="str">
        <f>IFERROR(VLOOKUP(A4176, Entries!A:B,2,false),"")</f>
        <v>Bethesda Softworks</v>
      </c>
      <c r="N4176" s="23" t="str">
        <f>IFERROR(VLOOKUP(A4176, Entries!A:K,11,false),"")</f>
        <v/>
      </c>
      <c r="O4176" s="23" t="b">
        <f>IFERROR(VLOOKUP(A4176, Entries!A:I,8,false),"")</f>
        <v>0</v>
      </c>
    </row>
    <row r="4177">
      <c r="A4177" s="78" t="s">
        <v>4064</v>
      </c>
      <c r="B4177" s="78" t="s">
        <v>21</v>
      </c>
      <c r="C4177" s="85">
        <v>45178.0</v>
      </c>
      <c r="D4177" s="85">
        <v>45193.0</v>
      </c>
      <c r="E4177" s="86">
        <v>10.23</v>
      </c>
      <c r="F4177" s="87">
        <v>12.11</v>
      </c>
      <c r="G4177" s="88">
        <f t="shared" si="1"/>
        <v>1.88</v>
      </c>
      <c r="H4177" s="89">
        <f t="shared" si="10"/>
        <v>0.1552436003</v>
      </c>
      <c r="I4177" s="78" t="s">
        <v>4935</v>
      </c>
      <c r="J4177" s="78" t="s">
        <v>69</v>
      </c>
      <c r="K4177" s="58">
        <f t="shared" si="14"/>
        <v>15</v>
      </c>
      <c r="L4177" s="91" t="str">
        <f t="shared" si="8"/>
        <v>Sun</v>
      </c>
      <c r="M4177" s="78" t="str">
        <f>IFERROR(VLOOKUP(A4177, Entries!A:B,2,false),"")</f>
        <v>WanadevStudio</v>
      </c>
      <c r="N4177" s="23" t="str">
        <f>IFERROR(VLOOKUP(A4177, Entries!A:K,11,false),"")</f>
        <v/>
      </c>
      <c r="O4177" s="23" t="b">
        <f>IFERROR(VLOOKUP(A4177, Entries!A:I,8,false),"")</f>
        <v>0</v>
      </c>
    </row>
    <row r="4178">
      <c r="A4178" s="78" t="s">
        <v>4926</v>
      </c>
      <c r="B4178" s="78" t="s">
        <v>23</v>
      </c>
      <c r="C4178" s="85">
        <v>45178.0</v>
      </c>
      <c r="D4178" s="85">
        <v>45178.0</v>
      </c>
      <c r="E4178" s="86">
        <v>7.78</v>
      </c>
      <c r="F4178" s="87">
        <v>8.58</v>
      </c>
      <c r="G4178" s="88">
        <f t="shared" si="1"/>
        <v>0.8</v>
      </c>
      <c r="H4178" s="89">
        <f t="shared" si="10"/>
        <v>0.09324009324</v>
      </c>
      <c r="I4178" s="78" t="s">
        <v>4936</v>
      </c>
      <c r="J4178" s="78" t="s">
        <v>69</v>
      </c>
      <c r="K4178" s="58">
        <f t="shared" si="14"/>
        <v>0</v>
      </c>
      <c r="L4178" s="91" t="str">
        <f t="shared" si="8"/>
        <v>Sat</v>
      </c>
      <c r="M4178" s="78" t="str">
        <f>IFERROR(VLOOKUP(A4178, Entries!A:B,2,false),"")</f>
        <v>Bethesda Softworks</v>
      </c>
      <c r="N4178" s="23" t="str">
        <f>IFERROR(VLOOKUP(A4178, Entries!A:K,11,false),"")</f>
        <v/>
      </c>
      <c r="O4178" s="23" t="b">
        <f>IFERROR(VLOOKUP(A4178, Entries!A:I,8,false),"")</f>
        <v>0</v>
      </c>
    </row>
    <row r="4179">
      <c r="A4179" s="78" t="s">
        <v>4926</v>
      </c>
      <c r="B4179" s="78" t="s">
        <v>23</v>
      </c>
      <c r="C4179" s="85">
        <v>45178.0</v>
      </c>
      <c r="D4179" s="85">
        <v>45178.0</v>
      </c>
      <c r="E4179" s="86">
        <v>7.78</v>
      </c>
      <c r="F4179" s="87">
        <v>8.58</v>
      </c>
      <c r="G4179" s="88">
        <f t="shared" si="1"/>
        <v>0.8</v>
      </c>
      <c r="H4179" s="89">
        <f t="shared" si="10"/>
        <v>0.09324009324</v>
      </c>
      <c r="I4179" s="78" t="s">
        <v>4937</v>
      </c>
      <c r="J4179" s="78" t="s">
        <v>69</v>
      </c>
      <c r="K4179" s="58">
        <f t="shared" si="14"/>
        <v>0</v>
      </c>
      <c r="L4179" s="91" t="str">
        <f t="shared" si="8"/>
        <v>Sat</v>
      </c>
      <c r="M4179" s="78" t="str">
        <f>IFERROR(VLOOKUP(A4179, Entries!A:B,2,false),"")</f>
        <v>Bethesda Softworks</v>
      </c>
      <c r="N4179" s="23" t="str">
        <f>IFERROR(VLOOKUP(A4179, Entries!A:K,11,false),"")</f>
        <v/>
      </c>
      <c r="O4179" s="23" t="b">
        <f>IFERROR(VLOOKUP(A4179, Entries!A:I,8,false),"")</f>
        <v>0</v>
      </c>
    </row>
    <row r="4180">
      <c r="A4180" s="78" t="s">
        <v>4926</v>
      </c>
      <c r="B4180" s="78" t="s">
        <v>23</v>
      </c>
      <c r="C4180" s="85">
        <v>45178.0</v>
      </c>
      <c r="D4180" s="85">
        <v>45178.0</v>
      </c>
      <c r="E4180" s="86">
        <v>7.78</v>
      </c>
      <c r="F4180" s="87">
        <v>8.58</v>
      </c>
      <c r="G4180" s="88">
        <f t="shared" si="1"/>
        <v>0.8</v>
      </c>
      <c r="H4180" s="89">
        <f t="shared" si="10"/>
        <v>0.09324009324</v>
      </c>
      <c r="I4180" s="78" t="s">
        <v>4938</v>
      </c>
      <c r="J4180" s="78" t="s">
        <v>69</v>
      </c>
      <c r="K4180" s="58">
        <f t="shared" si="14"/>
        <v>0</v>
      </c>
      <c r="L4180" s="91" t="str">
        <f t="shared" si="8"/>
        <v>Sat</v>
      </c>
      <c r="M4180" s="78" t="str">
        <f>IFERROR(VLOOKUP(A4180, Entries!A:B,2,false),"")</f>
        <v>Bethesda Softworks</v>
      </c>
      <c r="N4180" s="23" t="str">
        <f>IFERROR(VLOOKUP(A4180, Entries!A:K,11,false),"")</f>
        <v/>
      </c>
      <c r="O4180" s="23" t="b">
        <f>IFERROR(VLOOKUP(A4180, Entries!A:I,8,false),"")</f>
        <v>0</v>
      </c>
    </row>
    <row r="4181">
      <c r="A4181" s="78" t="s">
        <v>4926</v>
      </c>
      <c r="B4181" s="78" t="s">
        <v>23</v>
      </c>
      <c r="C4181" s="85">
        <v>45178.0</v>
      </c>
      <c r="D4181" s="85">
        <v>45178.0</v>
      </c>
      <c r="E4181" s="86">
        <v>7.78</v>
      </c>
      <c r="F4181" s="87">
        <v>8.58</v>
      </c>
      <c r="G4181" s="88">
        <f t="shared" si="1"/>
        <v>0.8</v>
      </c>
      <c r="H4181" s="89">
        <f t="shared" si="10"/>
        <v>0.09324009324</v>
      </c>
      <c r="I4181" s="78" t="s">
        <v>4939</v>
      </c>
      <c r="J4181" s="78" t="s">
        <v>69</v>
      </c>
      <c r="K4181" s="58">
        <f t="shared" si="14"/>
        <v>0</v>
      </c>
      <c r="L4181" s="91" t="str">
        <f t="shared" si="8"/>
        <v>Sat</v>
      </c>
      <c r="M4181" s="78" t="str">
        <f>IFERROR(VLOOKUP(A4181, Entries!A:B,2,false),"")</f>
        <v>Bethesda Softworks</v>
      </c>
      <c r="N4181" s="23" t="str">
        <f>IFERROR(VLOOKUP(A4181, Entries!A:K,11,false),"")</f>
        <v/>
      </c>
      <c r="O4181" s="23" t="b">
        <f>IFERROR(VLOOKUP(A4181, Entries!A:I,8,false),"")</f>
        <v>0</v>
      </c>
    </row>
    <row r="4182">
      <c r="A4182" s="78" t="s">
        <v>4926</v>
      </c>
      <c r="B4182" s="78" t="s">
        <v>23</v>
      </c>
      <c r="C4182" s="85">
        <v>45178.0</v>
      </c>
      <c r="D4182" s="85">
        <v>45179.0</v>
      </c>
      <c r="E4182" s="86">
        <v>7.78</v>
      </c>
      <c r="F4182" s="87">
        <v>8.49</v>
      </c>
      <c r="G4182" s="88">
        <f t="shared" si="1"/>
        <v>0.71</v>
      </c>
      <c r="H4182" s="89">
        <f t="shared" si="10"/>
        <v>0.08362779741</v>
      </c>
      <c r="I4182" s="78" t="s">
        <v>4940</v>
      </c>
      <c r="J4182" s="78" t="s">
        <v>69</v>
      </c>
      <c r="K4182" s="58">
        <f t="shared" si="14"/>
        <v>1</v>
      </c>
      <c r="L4182" s="91" t="str">
        <f t="shared" si="8"/>
        <v>Sun</v>
      </c>
      <c r="M4182" s="78" t="str">
        <f>IFERROR(VLOOKUP(A4182, Entries!A:B,2,false),"")</f>
        <v>Bethesda Softworks</v>
      </c>
      <c r="N4182" s="23" t="str">
        <f>IFERROR(VLOOKUP(A4182, Entries!A:K,11,false),"")</f>
        <v/>
      </c>
      <c r="O4182" s="23" t="b">
        <f>IFERROR(VLOOKUP(A4182, Entries!A:I,8,false),"")</f>
        <v>0</v>
      </c>
    </row>
    <row r="4183">
      <c r="A4183" s="78" t="s">
        <v>2051</v>
      </c>
      <c r="B4183" s="78" t="s">
        <v>27</v>
      </c>
      <c r="C4183" s="85">
        <v>45178.0</v>
      </c>
      <c r="D4183" s="85">
        <v>45180.0</v>
      </c>
      <c r="E4183" s="86">
        <v>6.27</v>
      </c>
      <c r="F4183" s="87">
        <v>7.8</v>
      </c>
      <c r="G4183" s="88">
        <f t="shared" si="1"/>
        <v>1.53</v>
      </c>
      <c r="H4183" s="89">
        <f t="shared" si="10"/>
        <v>0.1961538462</v>
      </c>
      <c r="I4183" s="78" t="s">
        <v>4941</v>
      </c>
      <c r="J4183" s="78" t="s">
        <v>69</v>
      </c>
      <c r="K4183" s="58">
        <f t="shared" si="14"/>
        <v>2</v>
      </c>
      <c r="L4183" s="91" t="str">
        <f t="shared" si="8"/>
        <v>Mon</v>
      </c>
      <c r="M4183" s="78" t="str">
        <f>IFERROR(VLOOKUP(A4183, Entries!A:B,2,false),"")</f>
        <v>Nacon</v>
      </c>
      <c r="N4183" s="23" t="str">
        <f>IFERROR(VLOOKUP(A4183, Entries!A:K,11,false),"")</f>
        <v/>
      </c>
      <c r="O4183" s="23" t="b">
        <f>IFERROR(VLOOKUP(A4183, Entries!A:I,8,false),"")</f>
        <v>0</v>
      </c>
    </row>
    <row r="4184">
      <c r="A4184" s="78" t="s">
        <v>4926</v>
      </c>
      <c r="B4184" s="78" t="s">
        <v>23</v>
      </c>
      <c r="C4184" s="85">
        <v>45179.0</v>
      </c>
      <c r="D4184" s="85">
        <v>45179.0</v>
      </c>
      <c r="E4184" s="86">
        <v>7.78</v>
      </c>
      <c r="F4184" s="87">
        <v>8.49</v>
      </c>
      <c r="G4184" s="88">
        <f t="shared" si="1"/>
        <v>0.71</v>
      </c>
      <c r="H4184" s="89">
        <f t="shared" si="10"/>
        <v>0.08362779741</v>
      </c>
      <c r="I4184" s="78" t="s">
        <v>4942</v>
      </c>
      <c r="J4184" s="78" t="s">
        <v>69</v>
      </c>
      <c r="K4184" s="58">
        <f t="shared" si="14"/>
        <v>0</v>
      </c>
      <c r="L4184" s="91" t="str">
        <f t="shared" si="8"/>
        <v>Sun</v>
      </c>
      <c r="M4184" s="78" t="str">
        <f>IFERROR(VLOOKUP(A4184, Entries!A:B,2,false),"")</f>
        <v>Bethesda Softworks</v>
      </c>
      <c r="N4184" s="23" t="str">
        <f>IFERROR(VLOOKUP(A4184, Entries!A:K,11,false),"")</f>
        <v/>
      </c>
      <c r="O4184" s="23" t="b">
        <f>IFERROR(VLOOKUP(A4184, Entries!A:I,8,false),"")</f>
        <v>0</v>
      </c>
    </row>
    <row r="4185">
      <c r="A4185" s="78" t="s">
        <v>4926</v>
      </c>
      <c r="B4185" s="78" t="s">
        <v>23</v>
      </c>
      <c r="C4185" s="85">
        <v>45179.0</v>
      </c>
      <c r="D4185" s="85">
        <v>45179.0</v>
      </c>
      <c r="E4185" s="86">
        <v>7.78</v>
      </c>
      <c r="F4185" s="87">
        <v>8.48</v>
      </c>
      <c r="G4185" s="88">
        <f t="shared" si="1"/>
        <v>0.7</v>
      </c>
      <c r="H4185" s="89">
        <f t="shared" si="10"/>
        <v>0.08254716981</v>
      </c>
      <c r="I4185" s="78" t="s">
        <v>4943</v>
      </c>
      <c r="J4185" s="78" t="s">
        <v>69</v>
      </c>
      <c r="K4185" s="58">
        <f t="shared" si="14"/>
        <v>0</v>
      </c>
      <c r="L4185" s="91" t="str">
        <f t="shared" si="8"/>
        <v>Sun</v>
      </c>
      <c r="M4185" s="78" t="str">
        <f>IFERROR(VLOOKUP(A4185, Entries!A:B,2,false),"")</f>
        <v>Bethesda Softworks</v>
      </c>
      <c r="N4185" s="23" t="str">
        <f>IFERROR(VLOOKUP(A4185, Entries!A:K,11,false),"")</f>
        <v/>
      </c>
      <c r="O4185" s="23" t="b">
        <f>IFERROR(VLOOKUP(A4185, Entries!A:I,8,false),"")</f>
        <v>0</v>
      </c>
    </row>
    <row r="4186">
      <c r="A4186" s="78" t="s">
        <v>4944</v>
      </c>
      <c r="B4186" s="78" t="s">
        <v>21</v>
      </c>
      <c r="C4186" s="85">
        <v>45179.0</v>
      </c>
      <c r="D4186" s="85">
        <v>45216.0</v>
      </c>
      <c r="E4186" s="86">
        <v>34.6</v>
      </c>
      <c r="F4186" s="87">
        <v>45.13</v>
      </c>
      <c r="G4186" s="88">
        <f t="shared" si="1"/>
        <v>10.53</v>
      </c>
      <c r="H4186" s="89">
        <f t="shared" si="10"/>
        <v>0.2333259473</v>
      </c>
      <c r="I4186" s="78" t="s">
        <v>4945</v>
      </c>
      <c r="J4186" s="78" t="s">
        <v>69</v>
      </c>
      <c r="K4186" s="58">
        <f t="shared" si="14"/>
        <v>37</v>
      </c>
      <c r="L4186" s="91" t="str">
        <f t="shared" si="8"/>
        <v>Tue</v>
      </c>
      <c r="M4186" s="78" t="str">
        <f>IFERROR(VLOOKUP(A4186, Entries!A:B,2,false),"")</f>
        <v>Focus Home Interactive</v>
      </c>
      <c r="N4186" s="23" t="str">
        <f>IFERROR(VLOOKUP(A4186, Entries!A:K,11,false),"")</f>
        <v/>
      </c>
      <c r="O4186" s="23" t="b">
        <f>IFERROR(VLOOKUP(A4186, Entries!A:I,8,false),"")</f>
        <v>0</v>
      </c>
    </row>
    <row r="4187">
      <c r="A4187" s="78" t="s">
        <v>4926</v>
      </c>
      <c r="B4187" s="78" t="s">
        <v>23</v>
      </c>
      <c r="C4187" s="85">
        <v>45179.0</v>
      </c>
      <c r="D4187" s="85">
        <v>45179.0</v>
      </c>
      <c r="E4187" s="86">
        <v>7.78</v>
      </c>
      <c r="F4187" s="87">
        <v>8.46</v>
      </c>
      <c r="G4187" s="88">
        <f t="shared" si="1"/>
        <v>0.68</v>
      </c>
      <c r="H4187" s="89">
        <f t="shared" si="10"/>
        <v>0.08037825059</v>
      </c>
      <c r="I4187" s="78" t="s">
        <v>4946</v>
      </c>
      <c r="J4187" s="78" t="s">
        <v>69</v>
      </c>
      <c r="K4187" s="58">
        <f t="shared" si="14"/>
        <v>0</v>
      </c>
      <c r="L4187" s="91" t="str">
        <f t="shared" si="8"/>
        <v>Sun</v>
      </c>
      <c r="M4187" s="78" t="str">
        <f>IFERROR(VLOOKUP(A4187, Entries!A:B,2,false),"")</f>
        <v>Bethesda Softworks</v>
      </c>
      <c r="N4187" s="23" t="str">
        <f>IFERROR(VLOOKUP(A4187, Entries!A:K,11,false),"")</f>
        <v/>
      </c>
      <c r="O4187" s="23" t="b">
        <f>IFERROR(VLOOKUP(A4187, Entries!A:I,8,false),"")</f>
        <v>0</v>
      </c>
    </row>
    <row r="4188">
      <c r="A4188" s="78" t="s">
        <v>4926</v>
      </c>
      <c r="B4188" s="78" t="s">
        <v>23</v>
      </c>
      <c r="C4188" s="85">
        <v>45179.0</v>
      </c>
      <c r="D4188" s="85">
        <v>45180.0</v>
      </c>
      <c r="E4188" s="86">
        <v>7.78</v>
      </c>
      <c r="F4188" s="87">
        <v>8.37</v>
      </c>
      <c r="G4188" s="88">
        <f t="shared" si="1"/>
        <v>0.59</v>
      </c>
      <c r="H4188" s="89">
        <f t="shared" si="10"/>
        <v>0.07048984468</v>
      </c>
      <c r="I4188" s="78" t="s">
        <v>4947</v>
      </c>
      <c r="J4188" s="78" t="s">
        <v>69</v>
      </c>
      <c r="K4188" s="58">
        <f t="shared" si="14"/>
        <v>1</v>
      </c>
      <c r="L4188" s="91" t="str">
        <f t="shared" si="8"/>
        <v>Mon</v>
      </c>
      <c r="M4188" s="78" t="str">
        <f>IFERROR(VLOOKUP(A4188, Entries!A:B,2,false),"")</f>
        <v>Bethesda Softworks</v>
      </c>
      <c r="N4188" s="23" t="str">
        <f>IFERROR(VLOOKUP(A4188, Entries!A:K,11,false),"")</f>
        <v/>
      </c>
      <c r="O4188" s="23" t="b">
        <f>IFERROR(VLOOKUP(A4188, Entries!A:I,8,false),"")</f>
        <v>0</v>
      </c>
    </row>
    <row r="4189">
      <c r="A4189" s="78" t="s">
        <v>3771</v>
      </c>
      <c r="B4189" s="78" t="s">
        <v>27</v>
      </c>
      <c r="C4189" s="85">
        <v>45179.0</v>
      </c>
      <c r="D4189" s="85">
        <v>45189.0</v>
      </c>
      <c r="E4189" s="86">
        <v>9.61</v>
      </c>
      <c r="F4189" s="87">
        <v>11.64</v>
      </c>
      <c r="G4189" s="88">
        <f t="shared" si="1"/>
        <v>2.03</v>
      </c>
      <c r="H4189" s="89">
        <f t="shared" si="10"/>
        <v>0.1743986254</v>
      </c>
      <c r="I4189" s="78" t="s">
        <v>4948</v>
      </c>
      <c r="J4189" s="78" t="s">
        <v>69</v>
      </c>
      <c r="K4189" s="58">
        <f t="shared" si="14"/>
        <v>10</v>
      </c>
      <c r="L4189" s="91" t="str">
        <f t="shared" si="8"/>
        <v>Wed</v>
      </c>
      <c r="M4189" s="78" t="str">
        <f>IFERROR(VLOOKUP(A4189, Entries!A:B,2,false),"")</f>
        <v>Good Shepherd Entertainment</v>
      </c>
      <c r="N4189" s="23" t="str">
        <f>IFERROR(VLOOKUP(A4189, Entries!A:K,11,false),"")</f>
        <v/>
      </c>
      <c r="O4189" s="23" t="b">
        <f>IFERROR(VLOOKUP(A4189, Entries!A:I,8,false),"")</f>
        <v>0</v>
      </c>
    </row>
    <row r="4190">
      <c r="A4190" s="78" t="s">
        <v>2051</v>
      </c>
      <c r="B4190" s="78" t="s">
        <v>27</v>
      </c>
      <c r="C4190" s="85">
        <v>45180.0</v>
      </c>
      <c r="D4190" s="85">
        <v>45192.0</v>
      </c>
      <c r="E4190" s="86">
        <v>6.07</v>
      </c>
      <c r="F4190" s="87">
        <v>7.29</v>
      </c>
      <c r="G4190" s="88">
        <f t="shared" si="1"/>
        <v>1.22</v>
      </c>
      <c r="H4190" s="89">
        <f t="shared" si="10"/>
        <v>0.1673525377</v>
      </c>
      <c r="I4190" s="78" t="s">
        <v>4949</v>
      </c>
      <c r="J4190" s="78" t="s">
        <v>69</v>
      </c>
      <c r="K4190" s="58">
        <f t="shared" si="14"/>
        <v>12</v>
      </c>
      <c r="L4190" s="91" t="str">
        <f t="shared" si="8"/>
        <v>Sat</v>
      </c>
      <c r="M4190" s="78" t="str">
        <f>IFERROR(VLOOKUP(A4190, Entries!A:B,2,false),"")</f>
        <v>Nacon</v>
      </c>
      <c r="N4190" s="23" t="str">
        <f>IFERROR(VLOOKUP(A4190, Entries!A:K,11,false),"")</f>
        <v/>
      </c>
      <c r="O4190" s="23" t="b">
        <f>IFERROR(VLOOKUP(A4190, Entries!A:I,8,false),"")</f>
        <v>0</v>
      </c>
    </row>
    <row r="4191">
      <c r="A4191" s="78" t="s">
        <v>4950</v>
      </c>
      <c r="B4191" s="78" t="s">
        <v>27</v>
      </c>
      <c r="C4191" s="85">
        <v>45180.0</v>
      </c>
      <c r="D4191" s="85">
        <v>45239.0</v>
      </c>
      <c r="E4191" s="86">
        <v>8.29</v>
      </c>
      <c r="F4191" s="87">
        <v>8.8</v>
      </c>
      <c r="G4191" s="88">
        <f t="shared" si="1"/>
        <v>0.51</v>
      </c>
      <c r="H4191" s="89">
        <f t="shared" si="10"/>
        <v>0.05795454545</v>
      </c>
      <c r="I4191" s="78" t="s">
        <v>4951</v>
      </c>
      <c r="J4191" s="78" t="s">
        <v>69</v>
      </c>
      <c r="K4191" s="58">
        <f t="shared" si="14"/>
        <v>59</v>
      </c>
      <c r="L4191" s="91" t="str">
        <f t="shared" si="8"/>
        <v>Thu</v>
      </c>
      <c r="M4191" s="78" t="str">
        <f>IFERROR(VLOOKUP(A4191, Entries!A:B,2,false),"")</f>
        <v>SEGA</v>
      </c>
      <c r="N4191" s="23" t="str">
        <f>IFERROR(VLOOKUP(A4191, Entries!A:K,11,false),"")</f>
        <v/>
      </c>
      <c r="O4191" s="23" t="b">
        <f>IFERROR(VLOOKUP(A4191, Entries!A:I,8,false),"")</f>
        <v>0</v>
      </c>
    </row>
    <row r="4192">
      <c r="A4192" s="78" t="s">
        <v>4883</v>
      </c>
      <c r="B4192" s="78" t="s">
        <v>27</v>
      </c>
      <c r="C4192" s="85">
        <v>45180.0</v>
      </c>
      <c r="D4192" s="85">
        <v>45180.0</v>
      </c>
      <c r="E4192" s="86">
        <v>31.59</v>
      </c>
      <c r="F4192" s="87">
        <v>36.21</v>
      </c>
      <c r="G4192" s="88">
        <f t="shared" si="1"/>
        <v>4.62</v>
      </c>
      <c r="H4192" s="89">
        <f t="shared" si="10"/>
        <v>0.1275890638</v>
      </c>
      <c r="I4192" s="78" t="s">
        <v>4952</v>
      </c>
      <c r="J4192" s="78" t="s">
        <v>69</v>
      </c>
      <c r="K4192" s="58">
        <f t="shared" si="14"/>
        <v>0</v>
      </c>
      <c r="L4192" s="91" t="str">
        <f t="shared" si="8"/>
        <v>Mon</v>
      </c>
      <c r="M4192" s="78" t="str">
        <f>IFERROR(VLOOKUP(A4192, Entries!A:B,2,false),"")</f>
        <v>Gearbox Publishing</v>
      </c>
      <c r="N4192" s="23" t="str">
        <f>IFERROR(VLOOKUP(A4192, Entries!A:K,11,false),"")</f>
        <v/>
      </c>
      <c r="O4192" s="23" t="b">
        <f>IFERROR(VLOOKUP(A4192, Entries!A:I,8,false),"")</f>
        <v>0</v>
      </c>
    </row>
    <row r="4193">
      <c r="A4193" s="78" t="s">
        <v>4953</v>
      </c>
      <c r="B4193" s="78" t="s">
        <v>27</v>
      </c>
      <c r="C4193" s="85">
        <v>45180.0</v>
      </c>
      <c r="D4193" s="85">
        <v>45192.0</v>
      </c>
      <c r="E4193" s="86">
        <v>11.69</v>
      </c>
      <c r="F4193" s="87">
        <v>12.98</v>
      </c>
      <c r="G4193" s="88">
        <f t="shared" si="1"/>
        <v>1.29</v>
      </c>
      <c r="H4193" s="89">
        <f t="shared" si="10"/>
        <v>0.09938366718</v>
      </c>
      <c r="I4193" s="78" t="s">
        <v>4954</v>
      </c>
      <c r="J4193" s="78" t="s">
        <v>69</v>
      </c>
      <c r="K4193" s="58">
        <f t="shared" si="14"/>
        <v>12</v>
      </c>
      <c r="L4193" s="91" t="str">
        <f t="shared" si="8"/>
        <v>Sat</v>
      </c>
      <c r="M4193" s="78" t="str">
        <f>IFERROR(VLOOKUP(A4193, Entries!A:B,2,false),"")</f>
        <v>Focus Home Interactive</v>
      </c>
      <c r="N4193" s="23" t="str">
        <f>IFERROR(VLOOKUP(A4193, Entries!A:K,11,false),"")</f>
        <v/>
      </c>
      <c r="O4193" s="23" t="b">
        <f>IFERROR(VLOOKUP(A4193, Entries!A:I,8,false),"")</f>
        <v>0</v>
      </c>
    </row>
    <row r="4194">
      <c r="A4194" s="78" t="s">
        <v>4955</v>
      </c>
      <c r="B4194" s="78" t="s">
        <v>21</v>
      </c>
      <c r="C4194" s="85">
        <v>45180.0</v>
      </c>
      <c r="D4194" s="25"/>
      <c r="E4194" s="86">
        <v>12.91</v>
      </c>
      <c r="F4194" s="88"/>
      <c r="G4194" s="88">
        <f t="shared" si="1"/>
        <v>-12.91</v>
      </c>
      <c r="H4194" s="89" t="str">
        <f t="shared" si="10"/>
        <v/>
      </c>
      <c r="I4194" s="103" t="s">
        <v>4956</v>
      </c>
      <c r="J4194" s="78" t="s">
        <v>1129</v>
      </c>
      <c r="K4194" s="58" t="str">
        <f t="shared" si="14"/>
        <v/>
      </c>
      <c r="L4194" s="91" t="str">
        <f t="shared" si="8"/>
        <v/>
      </c>
      <c r="M4194" s="78" t="str">
        <f>IFERROR(VLOOKUP(A4194, Entries!A:B,2,false),"")</f>
        <v>astragon Entertainment</v>
      </c>
      <c r="N4194" s="23" t="str">
        <f>IFERROR(VLOOKUP(A4194, Entries!A:K,11,false),"")</f>
        <v/>
      </c>
      <c r="O4194" s="23" t="b">
        <f>IFERROR(VLOOKUP(A4194, Entries!A:I,8,false),"")</f>
        <v>0</v>
      </c>
    </row>
    <row r="4195">
      <c r="A4195" s="78" t="s">
        <v>4957</v>
      </c>
      <c r="B4195" s="78" t="s">
        <v>25</v>
      </c>
      <c r="C4195" s="85">
        <v>45180.0</v>
      </c>
      <c r="D4195" s="85">
        <v>45251.0</v>
      </c>
      <c r="E4195" s="86">
        <v>14.63</v>
      </c>
      <c r="F4195" s="87">
        <v>14.7</v>
      </c>
      <c r="G4195" s="88">
        <f t="shared" si="1"/>
        <v>0.07</v>
      </c>
      <c r="H4195" s="89">
        <f t="shared" si="10"/>
        <v>0.004761904762</v>
      </c>
      <c r="I4195" s="78" t="s">
        <v>4958</v>
      </c>
      <c r="J4195" s="78" t="s">
        <v>69</v>
      </c>
      <c r="K4195" s="58">
        <f t="shared" si="14"/>
        <v>71</v>
      </c>
      <c r="L4195" s="91" t="str">
        <f t="shared" si="8"/>
        <v>Tue</v>
      </c>
      <c r="M4195" s="78" t="str">
        <f>IFERROR(VLOOKUP(A4195, Entries!A:B,2,false),"")</f>
        <v>Focus Home Interactive</v>
      </c>
      <c r="N4195" s="23" t="str">
        <f>IFERROR(VLOOKUP(A4195, Entries!A:K,11,false),"")</f>
        <v/>
      </c>
      <c r="O4195" s="23" t="b">
        <f>IFERROR(VLOOKUP(A4195, Entries!A:I,8,false),"")</f>
        <v>0</v>
      </c>
    </row>
    <row r="4196">
      <c r="A4196" s="78" t="s">
        <v>4883</v>
      </c>
      <c r="B4196" s="78" t="s">
        <v>25</v>
      </c>
      <c r="C4196" s="85">
        <v>45180.0</v>
      </c>
      <c r="D4196" s="25"/>
      <c r="E4196" s="86">
        <v>31.0</v>
      </c>
      <c r="F4196" s="88"/>
      <c r="G4196" s="88">
        <f t="shared" si="1"/>
        <v>-31</v>
      </c>
      <c r="H4196" s="89" t="str">
        <f t="shared" si="10"/>
        <v/>
      </c>
      <c r="I4196" s="103" t="s">
        <v>4959</v>
      </c>
      <c r="J4196" s="78" t="s">
        <v>1129</v>
      </c>
      <c r="K4196" s="58" t="str">
        <f t="shared" si="14"/>
        <v/>
      </c>
      <c r="L4196" s="91" t="str">
        <f t="shared" si="8"/>
        <v/>
      </c>
      <c r="M4196" s="78" t="str">
        <f>IFERROR(VLOOKUP(A4196, Entries!A:B,2,false),"")</f>
        <v>Gearbox Publishing</v>
      </c>
      <c r="N4196" s="23" t="str">
        <f>IFERROR(VLOOKUP(A4196, Entries!A:K,11,false),"")</f>
        <v/>
      </c>
      <c r="O4196" s="23" t="b">
        <f>IFERROR(VLOOKUP(A4196, Entries!A:I,8,false),"")</f>
        <v>0</v>
      </c>
    </row>
    <row r="4197">
      <c r="A4197" s="78" t="s">
        <v>4880</v>
      </c>
      <c r="B4197" s="78" t="s">
        <v>22</v>
      </c>
      <c r="C4197" s="85">
        <v>45181.0</v>
      </c>
      <c r="D4197" s="85">
        <v>45183.0</v>
      </c>
      <c r="E4197" s="86">
        <v>15.55</v>
      </c>
      <c r="F4197" s="87">
        <v>17.86</v>
      </c>
      <c r="G4197" s="88">
        <f t="shared" si="1"/>
        <v>2.31</v>
      </c>
      <c r="H4197" s="89">
        <f t="shared" si="10"/>
        <v>0.1293393057</v>
      </c>
      <c r="I4197" s="78" t="s">
        <v>4960</v>
      </c>
      <c r="J4197" s="78" t="s">
        <v>69</v>
      </c>
      <c r="K4197" s="58">
        <f t="shared" si="14"/>
        <v>2</v>
      </c>
      <c r="L4197" s="91" t="str">
        <f t="shared" si="8"/>
        <v>Thu</v>
      </c>
      <c r="M4197" s="78" t="str">
        <f>IFERROR(VLOOKUP(A4197, Entries!A:B,2,false),"")</f>
        <v>Vector3 Studio</v>
      </c>
      <c r="N4197" s="23" t="str">
        <f>IFERROR(VLOOKUP(A4197, Entries!A:K,11,false),"")</f>
        <v/>
      </c>
      <c r="O4197" s="23" t="b">
        <f>IFERROR(VLOOKUP(A4197, Entries!A:I,8,false),"")</f>
        <v>0</v>
      </c>
    </row>
    <row r="4198">
      <c r="A4198" s="78" t="s">
        <v>4880</v>
      </c>
      <c r="B4198" s="78" t="s">
        <v>22</v>
      </c>
      <c r="C4198" s="85">
        <v>45181.0</v>
      </c>
      <c r="D4198" s="85">
        <v>45183.0</v>
      </c>
      <c r="E4198" s="86">
        <v>15.56</v>
      </c>
      <c r="F4198" s="87">
        <v>17.86</v>
      </c>
      <c r="G4198" s="88">
        <f t="shared" si="1"/>
        <v>2.3</v>
      </c>
      <c r="H4198" s="89">
        <f t="shared" si="10"/>
        <v>0.1287793953</v>
      </c>
      <c r="I4198" s="78" t="s">
        <v>4961</v>
      </c>
      <c r="J4198" s="78" t="s">
        <v>69</v>
      </c>
      <c r="K4198" s="58">
        <f t="shared" si="14"/>
        <v>2</v>
      </c>
      <c r="L4198" s="91" t="str">
        <f t="shared" si="8"/>
        <v>Thu</v>
      </c>
      <c r="M4198" s="78" t="str">
        <f>IFERROR(VLOOKUP(A4198, Entries!A:B,2,false),"")</f>
        <v>Vector3 Studio</v>
      </c>
      <c r="N4198" s="23" t="str">
        <f>IFERROR(VLOOKUP(A4198, Entries!A:K,11,false),"")</f>
        <v/>
      </c>
      <c r="O4198" s="23" t="b">
        <f>IFERROR(VLOOKUP(A4198, Entries!A:I,8,false),"")</f>
        <v>0</v>
      </c>
    </row>
    <row r="4199">
      <c r="A4199" s="78" t="s">
        <v>326</v>
      </c>
      <c r="B4199" s="78" t="s">
        <v>27</v>
      </c>
      <c r="C4199" s="85">
        <v>45181.0</v>
      </c>
      <c r="D4199" s="85">
        <v>45830.0</v>
      </c>
      <c r="E4199" s="86">
        <v>7.42</v>
      </c>
      <c r="F4199" s="87">
        <v>6.25</v>
      </c>
      <c r="G4199" s="88">
        <f t="shared" si="1"/>
        <v>-1.17</v>
      </c>
      <c r="H4199" s="89">
        <f t="shared" si="10"/>
        <v>-0.1872</v>
      </c>
      <c r="I4199" s="103" t="s">
        <v>4962</v>
      </c>
      <c r="J4199" s="78" t="s">
        <v>69</v>
      </c>
      <c r="K4199" s="58">
        <f t="shared" si="14"/>
        <v>649</v>
      </c>
      <c r="L4199" s="91" t="str">
        <f t="shared" si="8"/>
        <v>Sun</v>
      </c>
      <c r="M4199" s="78" t="str">
        <f>IFERROR(VLOOKUP(A4199, Entries!A:B,2,false),"")</f>
        <v>Aerosoft</v>
      </c>
      <c r="N4199" s="23" t="str">
        <f>IFERROR(VLOOKUP(A4199, Entries!A:K,11,false),"")</f>
        <v/>
      </c>
      <c r="O4199" s="23" t="b">
        <f>IFERROR(VLOOKUP(A4199, Entries!A:I,8,false),"")</f>
        <v>1</v>
      </c>
    </row>
    <row r="4200">
      <c r="A4200" s="78" t="s">
        <v>84</v>
      </c>
      <c r="B4200" s="78" t="s">
        <v>25</v>
      </c>
      <c r="C4200" s="85">
        <v>45181.0</v>
      </c>
      <c r="D4200" s="85">
        <v>45203.0</v>
      </c>
      <c r="E4200" s="86">
        <v>22.49</v>
      </c>
      <c r="F4200" s="87">
        <v>24.71</v>
      </c>
      <c r="G4200" s="88">
        <f t="shared" si="1"/>
        <v>2.22</v>
      </c>
      <c r="H4200" s="89">
        <f t="shared" si="10"/>
        <v>0.08984216916</v>
      </c>
      <c r="I4200" s="78" t="s">
        <v>4963</v>
      </c>
      <c r="J4200" s="78" t="s">
        <v>69</v>
      </c>
      <c r="K4200" s="58">
        <f t="shared" si="14"/>
        <v>22</v>
      </c>
      <c r="L4200" s="91" t="str">
        <f t="shared" si="8"/>
        <v>Wed</v>
      </c>
      <c r="M4200" s="78" t="str">
        <f>IFERROR(VLOOKUP(A4200, Entries!A:B,2,false),"")</f>
        <v>Siege Camp</v>
      </c>
      <c r="N4200" s="23" t="str">
        <f>IFERROR(VLOOKUP(A4200, Entries!A:K,11,false),"")</f>
        <v/>
      </c>
      <c r="O4200" s="23" t="b">
        <f>IFERROR(VLOOKUP(A4200, Entries!A:I,8,false),"")</f>
        <v>1</v>
      </c>
    </row>
    <row r="4201">
      <c r="A4201" s="78" t="s">
        <v>4880</v>
      </c>
      <c r="B4201" s="78" t="s">
        <v>29</v>
      </c>
      <c r="C4201" s="85">
        <v>45182.0</v>
      </c>
      <c r="D4201" s="85">
        <v>45183.0</v>
      </c>
      <c r="E4201" s="86">
        <v>12.06</v>
      </c>
      <c r="F4201" s="87">
        <v>17.86</v>
      </c>
      <c r="G4201" s="88">
        <f t="shared" si="1"/>
        <v>5.8</v>
      </c>
      <c r="H4201" s="89">
        <f t="shared" si="10"/>
        <v>0.3247480403</v>
      </c>
      <c r="I4201" s="78" t="s">
        <v>4964</v>
      </c>
      <c r="J4201" s="78" t="s">
        <v>69</v>
      </c>
      <c r="K4201" s="58">
        <f t="shared" si="14"/>
        <v>1</v>
      </c>
      <c r="L4201" s="91" t="str">
        <f t="shared" si="8"/>
        <v>Thu</v>
      </c>
      <c r="M4201" s="78" t="str">
        <f>IFERROR(VLOOKUP(A4201, Entries!A:B,2,false),"")</f>
        <v>Vector3 Studio</v>
      </c>
      <c r="N4201" s="23" t="str">
        <f>IFERROR(VLOOKUP(A4201, Entries!A:K,11,false),"")</f>
        <v/>
      </c>
      <c r="O4201" s="23" t="b">
        <f>IFERROR(VLOOKUP(A4201, Entries!A:I,8,false),"")</f>
        <v>0</v>
      </c>
    </row>
    <row r="4202">
      <c r="A4202" s="78" t="s">
        <v>4880</v>
      </c>
      <c r="B4202" s="78" t="s">
        <v>29</v>
      </c>
      <c r="C4202" s="85">
        <v>45182.0</v>
      </c>
      <c r="D4202" s="85">
        <v>45183.0</v>
      </c>
      <c r="E4202" s="86">
        <v>12.06</v>
      </c>
      <c r="F4202" s="87">
        <v>17.86</v>
      </c>
      <c r="G4202" s="88">
        <f t="shared" si="1"/>
        <v>5.8</v>
      </c>
      <c r="H4202" s="89">
        <f t="shared" si="10"/>
        <v>0.3247480403</v>
      </c>
      <c r="I4202" s="78" t="s">
        <v>4965</v>
      </c>
      <c r="J4202" s="78" t="s">
        <v>69</v>
      </c>
      <c r="K4202" s="58">
        <f t="shared" si="14"/>
        <v>1</v>
      </c>
      <c r="L4202" s="91" t="str">
        <f t="shared" si="8"/>
        <v>Thu</v>
      </c>
      <c r="M4202" s="78" t="str">
        <f>IFERROR(VLOOKUP(A4202, Entries!A:B,2,false),"")</f>
        <v>Vector3 Studio</v>
      </c>
      <c r="N4202" s="23" t="str">
        <f>IFERROR(VLOOKUP(A4202, Entries!A:K,11,false),"")</f>
        <v/>
      </c>
      <c r="O4202" s="23" t="b">
        <f>IFERROR(VLOOKUP(A4202, Entries!A:I,8,false),"")</f>
        <v>0</v>
      </c>
    </row>
    <row r="4203">
      <c r="A4203" s="78" t="s">
        <v>4966</v>
      </c>
      <c r="B4203" s="78" t="s">
        <v>21</v>
      </c>
      <c r="C4203" s="85">
        <v>45182.0</v>
      </c>
      <c r="D4203" s="85">
        <v>45182.0</v>
      </c>
      <c r="E4203" s="86">
        <v>23.71</v>
      </c>
      <c r="F4203" s="87">
        <v>27.05</v>
      </c>
      <c r="G4203" s="88">
        <f t="shared" si="1"/>
        <v>3.34</v>
      </c>
      <c r="H4203" s="89">
        <f t="shared" si="10"/>
        <v>0.1234750462</v>
      </c>
      <c r="I4203" s="78" t="s">
        <v>4967</v>
      </c>
      <c r="J4203" s="78" t="s">
        <v>69</v>
      </c>
      <c r="K4203" s="58">
        <f t="shared" si="14"/>
        <v>0</v>
      </c>
      <c r="L4203" s="91" t="str">
        <f t="shared" si="8"/>
        <v>Wed</v>
      </c>
      <c r="M4203" s="78" t="str">
        <f>IFERROR(VLOOKUP(A4203, Entries!A:B,2,false),"")</f>
        <v>Hello Games</v>
      </c>
      <c r="N4203" s="23" t="str">
        <f>IFERROR(VLOOKUP(A4203, Entries!A:K,11,false),"")</f>
        <v/>
      </c>
      <c r="O4203" s="23" t="b">
        <f>IFERROR(VLOOKUP(A4203, Entries!A:I,8,false),"")</f>
        <v>0</v>
      </c>
    </row>
    <row r="4204">
      <c r="A4204" s="78" t="s">
        <v>4966</v>
      </c>
      <c r="B4204" s="78" t="s">
        <v>21</v>
      </c>
      <c r="C4204" s="85">
        <v>45182.0</v>
      </c>
      <c r="D4204" s="85">
        <v>45182.0</v>
      </c>
      <c r="E4204" s="86">
        <v>23.71</v>
      </c>
      <c r="F4204" s="87">
        <v>27.05</v>
      </c>
      <c r="G4204" s="88">
        <f t="shared" si="1"/>
        <v>3.34</v>
      </c>
      <c r="H4204" s="89">
        <f t="shared" si="10"/>
        <v>0.1234750462</v>
      </c>
      <c r="I4204" s="78" t="s">
        <v>4968</v>
      </c>
      <c r="J4204" s="78" t="s">
        <v>69</v>
      </c>
      <c r="K4204" s="58">
        <f t="shared" si="14"/>
        <v>0</v>
      </c>
      <c r="L4204" s="91" t="str">
        <f t="shared" si="8"/>
        <v>Wed</v>
      </c>
      <c r="M4204" s="78" t="str">
        <f>IFERROR(VLOOKUP(A4204, Entries!A:B,2,false),"")</f>
        <v>Hello Games</v>
      </c>
      <c r="N4204" s="23" t="str">
        <f>IFERROR(VLOOKUP(A4204, Entries!A:K,11,false),"")</f>
        <v/>
      </c>
      <c r="O4204" s="23" t="b">
        <f>IFERROR(VLOOKUP(A4204, Entries!A:I,8,false),"")</f>
        <v>0</v>
      </c>
    </row>
    <row r="4205">
      <c r="A4205" s="78" t="s">
        <v>4914</v>
      </c>
      <c r="B4205" s="78" t="s">
        <v>27</v>
      </c>
      <c r="C4205" s="85">
        <v>45182.0</v>
      </c>
      <c r="D4205" s="85">
        <v>45182.0</v>
      </c>
      <c r="E4205" s="86">
        <v>14.2</v>
      </c>
      <c r="F4205" s="87">
        <v>16.76</v>
      </c>
      <c r="G4205" s="88">
        <f t="shared" si="1"/>
        <v>2.56</v>
      </c>
      <c r="H4205" s="89">
        <f t="shared" si="10"/>
        <v>0.1527446301</v>
      </c>
      <c r="I4205" s="78" t="s">
        <v>4969</v>
      </c>
      <c r="J4205" s="78" t="s">
        <v>69</v>
      </c>
      <c r="K4205" s="58">
        <f t="shared" si="14"/>
        <v>0</v>
      </c>
      <c r="L4205" s="91" t="str">
        <f t="shared" si="8"/>
        <v>Wed</v>
      </c>
      <c r="M4205" s="78" t="str">
        <f>IFERROR(VLOOKUP(A4205, Entries!A:B,2,false),"")</f>
        <v>Deep Silver</v>
      </c>
      <c r="N4205" s="23" t="str">
        <f>IFERROR(VLOOKUP(A4205, Entries!A:K,11,false),"")</f>
        <v/>
      </c>
      <c r="O4205" s="23" t="b">
        <f>IFERROR(VLOOKUP(A4205, Entries!A:I,8,false),"")</f>
        <v>0</v>
      </c>
    </row>
    <row r="4206">
      <c r="A4206" s="78" t="s">
        <v>4970</v>
      </c>
      <c r="B4206" s="78" t="s">
        <v>22</v>
      </c>
      <c r="C4206" s="85">
        <v>45182.0</v>
      </c>
      <c r="D4206" s="85">
        <v>45182.0</v>
      </c>
      <c r="E4206" s="86">
        <v>23.36</v>
      </c>
      <c r="F4206" s="87">
        <v>27.04</v>
      </c>
      <c r="G4206" s="88">
        <f t="shared" si="1"/>
        <v>3.68</v>
      </c>
      <c r="H4206" s="89">
        <f t="shared" si="10"/>
        <v>0.1360946746</v>
      </c>
      <c r="I4206" s="78" t="s">
        <v>4971</v>
      </c>
      <c r="J4206" s="78" t="s">
        <v>69</v>
      </c>
      <c r="K4206" s="58">
        <f t="shared" si="14"/>
        <v>0</v>
      </c>
      <c r="L4206" s="91" t="str">
        <f t="shared" si="8"/>
        <v>Wed</v>
      </c>
      <c r="M4206" s="78" t="str">
        <f>IFERROR(VLOOKUP(A4206, Entries!A:B,2,false),"")</f>
        <v>Hello Games</v>
      </c>
      <c r="N4206" s="23" t="str">
        <f>IFERROR(VLOOKUP(A4206, Entries!A:K,11,false),"")</f>
        <v/>
      </c>
      <c r="O4206" s="23" t="b">
        <f>IFERROR(VLOOKUP(A4206, Entries!A:I,8,false),"")</f>
        <v>0</v>
      </c>
    </row>
    <row r="4207">
      <c r="A4207" s="78" t="s">
        <v>4914</v>
      </c>
      <c r="B4207" s="78" t="s">
        <v>27</v>
      </c>
      <c r="C4207" s="85">
        <v>45182.0</v>
      </c>
      <c r="D4207" s="85">
        <v>45183.0</v>
      </c>
      <c r="E4207" s="86">
        <v>15.19</v>
      </c>
      <c r="F4207" s="87">
        <v>16.57</v>
      </c>
      <c r="G4207" s="88">
        <f t="shared" si="1"/>
        <v>1.38</v>
      </c>
      <c r="H4207" s="89">
        <f t="shared" si="10"/>
        <v>0.08328304164</v>
      </c>
      <c r="I4207" s="78" t="s">
        <v>4972</v>
      </c>
      <c r="J4207" s="78" t="s">
        <v>69</v>
      </c>
      <c r="K4207" s="58">
        <f t="shared" si="14"/>
        <v>1</v>
      </c>
      <c r="L4207" s="91" t="str">
        <f t="shared" si="8"/>
        <v>Thu</v>
      </c>
      <c r="M4207" s="78" t="str">
        <f>IFERROR(VLOOKUP(A4207, Entries!A:B,2,false),"")</f>
        <v>Deep Silver</v>
      </c>
      <c r="N4207" s="23" t="str">
        <f>IFERROR(VLOOKUP(A4207, Entries!A:K,11,false),"")</f>
        <v/>
      </c>
      <c r="O4207" s="23" t="b">
        <f>IFERROR(VLOOKUP(A4207, Entries!A:I,8,false),"")</f>
        <v>0</v>
      </c>
    </row>
    <row r="4208">
      <c r="A4208" s="78" t="s">
        <v>4970</v>
      </c>
      <c r="B4208" s="78" t="s">
        <v>22</v>
      </c>
      <c r="C4208" s="85">
        <v>45182.0</v>
      </c>
      <c r="D4208" s="85">
        <v>45182.0</v>
      </c>
      <c r="E4208" s="86">
        <v>23.36</v>
      </c>
      <c r="F4208" s="87">
        <v>27.02</v>
      </c>
      <c r="G4208" s="88">
        <f t="shared" si="1"/>
        <v>3.66</v>
      </c>
      <c r="H4208" s="89">
        <f t="shared" si="10"/>
        <v>0.1354552184</v>
      </c>
      <c r="I4208" s="78" t="s">
        <v>4973</v>
      </c>
      <c r="J4208" s="78" t="s">
        <v>69</v>
      </c>
      <c r="K4208" s="58">
        <f t="shared" si="14"/>
        <v>0</v>
      </c>
      <c r="L4208" s="91" t="str">
        <f t="shared" si="8"/>
        <v>Wed</v>
      </c>
      <c r="M4208" s="78" t="str">
        <f>IFERROR(VLOOKUP(A4208, Entries!A:B,2,false),"")</f>
        <v>Hello Games</v>
      </c>
      <c r="N4208" s="23" t="str">
        <f>IFERROR(VLOOKUP(A4208, Entries!A:K,11,false),"")</f>
        <v/>
      </c>
      <c r="O4208" s="23" t="b">
        <f>IFERROR(VLOOKUP(A4208, Entries!A:I,8,false),"")</f>
        <v>0</v>
      </c>
    </row>
    <row r="4209">
      <c r="A4209" s="78" t="s">
        <v>4970</v>
      </c>
      <c r="B4209" s="78" t="s">
        <v>22</v>
      </c>
      <c r="C4209" s="85">
        <v>45182.0</v>
      </c>
      <c r="D4209" s="85">
        <v>45182.0</v>
      </c>
      <c r="E4209" s="86">
        <v>23.36</v>
      </c>
      <c r="F4209" s="87">
        <v>27.02</v>
      </c>
      <c r="G4209" s="88">
        <f t="shared" si="1"/>
        <v>3.66</v>
      </c>
      <c r="H4209" s="89">
        <f t="shared" si="10"/>
        <v>0.1354552184</v>
      </c>
      <c r="I4209" s="78" t="s">
        <v>4974</v>
      </c>
      <c r="J4209" s="78" t="s">
        <v>69</v>
      </c>
      <c r="K4209" s="58">
        <f t="shared" si="14"/>
        <v>0</v>
      </c>
      <c r="L4209" s="91" t="str">
        <f t="shared" si="8"/>
        <v>Wed</v>
      </c>
      <c r="M4209" s="78" t="str">
        <f>IFERROR(VLOOKUP(A4209, Entries!A:B,2,false),"")</f>
        <v>Hello Games</v>
      </c>
      <c r="N4209" s="23" t="str">
        <f>IFERROR(VLOOKUP(A4209, Entries!A:K,11,false),"")</f>
        <v/>
      </c>
      <c r="O4209" s="23" t="b">
        <f>IFERROR(VLOOKUP(A4209, Entries!A:I,8,false),"")</f>
        <v>0</v>
      </c>
    </row>
    <row r="4210">
      <c r="A4210" s="78" t="s">
        <v>4970</v>
      </c>
      <c r="B4210" s="78" t="s">
        <v>22</v>
      </c>
      <c r="C4210" s="85">
        <v>45182.0</v>
      </c>
      <c r="D4210" s="85">
        <v>45182.0</v>
      </c>
      <c r="E4210" s="86">
        <v>23.36</v>
      </c>
      <c r="F4210" s="87">
        <v>27.02</v>
      </c>
      <c r="G4210" s="88">
        <f t="shared" si="1"/>
        <v>3.66</v>
      </c>
      <c r="H4210" s="89">
        <f t="shared" si="10"/>
        <v>0.1354552184</v>
      </c>
      <c r="I4210" s="78" t="s">
        <v>4975</v>
      </c>
      <c r="J4210" s="78" t="s">
        <v>69</v>
      </c>
      <c r="K4210" s="58">
        <f t="shared" si="14"/>
        <v>0</v>
      </c>
      <c r="L4210" s="91" t="str">
        <f t="shared" si="8"/>
        <v>Wed</v>
      </c>
      <c r="M4210" s="78" t="str">
        <f>IFERROR(VLOOKUP(A4210, Entries!A:B,2,false),"")</f>
        <v>Hello Games</v>
      </c>
      <c r="N4210" s="23" t="str">
        <f>IFERROR(VLOOKUP(A4210, Entries!A:K,11,false),"")</f>
        <v/>
      </c>
      <c r="O4210" s="23" t="b">
        <f>IFERROR(VLOOKUP(A4210, Entries!A:I,8,false),"")</f>
        <v>0</v>
      </c>
    </row>
    <row r="4211">
      <c r="A4211" s="78" t="s">
        <v>4970</v>
      </c>
      <c r="B4211" s="78" t="s">
        <v>22</v>
      </c>
      <c r="C4211" s="85">
        <v>45182.0</v>
      </c>
      <c r="D4211" s="85">
        <v>45182.0</v>
      </c>
      <c r="E4211" s="86">
        <v>23.35</v>
      </c>
      <c r="F4211" s="87">
        <v>27.01</v>
      </c>
      <c r="G4211" s="88">
        <f t="shared" si="1"/>
        <v>3.66</v>
      </c>
      <c r="H4211" s="89">
        <f t="shared" si="10"/>
        <v>0.1355053684</v>
      </c>
      <c r="I4211" s="78" t="s">
        <v>4976</v>
      </c>
      <c r="J4211" s="78" t="s">
        <v>69</v>
      </c>
      <c r="K4211" s="58">
        <f t="shared" si="14"/>
        <v>0</v>
      </c>
      <c r="L4211" s="91" t="str">
        <f t="shared" si="8"/>
        <v>Wed</v>
      </c>
      <c r="M4211" s="78" t="str">
        <f>IFERROR(VLOOKUP(A4211, Entries!A:B,2,false),"")</f>
        <v>Hello Games</v>
      </c>
      <c r="N4211" s="23" t="str">
        <f>IFERROR(VLOOKUP(A4211, Entries!A:K,11,false),"")</f>
        <v/>
      </c>
      <c r="O4211" s="23" t="b">
        <f>IFERROR(VLOOKUP(A4211, Entries!A:I,8,false),"")</f>
        <v>0</v>
      </c>
    </row>
    <row r="4212">
      <c r="A4212" s="78" t="s">
        <v>4970</v>
      </c>
      <c r="B4212" s="78" t="s">
        <v>22</v>
      </c>
      <c r="C4212" s="85">
        <v>45182.0</v>
      </c>
      <c r="D4212" s="85">
        <v>45186.0</v>
      </c>
      <c r="E4212" s="86">
        <v>23.36</v>
      </c>
      <c r="F4212" s="87">
        <v>26.87</v>
      </c>
      <c r="G4212" s="88">
        <f t="shared" si="1"/>
        <v>3.51</v>
      </c>
      <c r="H4212" s="89">
        <f t="shared" si="10"/>
        <v>0.1306289542</v>
      </c>
      <c r="I4212" s="78" t="s">
        <v>4977</v>
      </c>
      <c r="J4212" s="78" t="s">
        <v>69</v>
      </c>
      <c r="K4212" s="58">
        <f t="shared" si="14"/>
        <v>4</v>
      </c>
      <c r="L4212" s="91" t="str">
        <f t="shared" si="8"/>
        <v>Sun</v>
      </c>
      <c r="M4212" s="78" t="str">
        <f>IFERROR(VLOOKUP(A4212, Entries!A:B,2,false),"")</f>
        <v>Hello Games</v>
      </c>
      <c r="N4212" s="23" t="str">
        <f>IFERROR(VLOOKUP(A4212, Entries!A:K,11,false),"")</f>
        <v/>
      </c>
      <c r="O4212" s="23" t="b">
        <f>IFERROR(VLOOKUP(A4212, Entries!A:I,8,false),"")</f>
        <v>0</v>
      </c>
    </row>
    <row r="4213">
      <c r="A4213" s="78" t="s">
        <v>4970</v>
      </c>
      <c r="B4213" s="78" t="s">
        <v>22</v>
      </c>
      <c r="C4213" s="85">
        <v>45183.0</v>
      </c>
      <c r="D4213" s="85">
        <v>45186.0</v>
      </c>
      <c r="E4213" s="86">
        <v>23.35</v>
      </c>
      <c r="F4213" s="87">
        <v>26.87</v>
      </c>
      <c r="G4213" s="88">
        <f t="shared" si="1"/>
        <v>3.52</v>
      </c>
      <c r="H4213" s="89">
        <f t="shared" si="10"/>
        <v>0.1310011165</v>
      </c>
      <c r="I4213" s="78" t="s">
        <v>4978</v>
      </c>
      <c r="J4213" s="78" t="s">
        <v>69</v>
      </c>
      <c r="K4213" s="58">
        <f t="shared" si="14"/>
        <v>3</v>
      </c>
      <c r="L4213" s="91" t="str">
        <f t="shared" si="8"/>
        <v>Sun</v>
      </c>
      <c r="M4213" s="78" t="str">
        <f>IFERROR(VLOOKUP(A4213, Entries!A:B,2,false),"")</f>
        <v>Hello Games</v>
      </c>
      <c r="N4213" s="23" t="str">
        <f>IFERROR(VLOOKUP(A4213, Entries!A:K,11,false),"")</f>
        <v/>
      </c>
      <c r="O4213" s="23" t="b">
        <f>IFERROR(VLOOKUP(A4213, Entries!A:I,8,false),"")</f>
        <v>0</v>
      </c>
    </row>
    <row r="4214">
      <c r="A4214" s="78" t="s">
        <v>4970</v>
      </c>
      <c r="B4214" s="78" t="s">
        <v>22</v>
      </c>
      <c r="C4214" s="85">
        <v>45183.0</v>
      </c>
      <c r="D4214" s="85">
        <v>45187.0</v>
      </c>
      <c r="E4214" s="86">
        <v>23.36</v>
      </c>
      <c r="F4214" s="87">
        <v>28.53</v>
      </c>
      <c r="G4214" s="88">
        <f t="shared" si="1"/>
        <v>5.17</v>
      </c>
      <c r="H4214" s="89">
        <f t="shared" si="10"/>
        <v>0.1812127585</v>
      </c>
      <c r="I4214" s="78" t="s">
        <v>4979</v>
      </c>
      <c r="J4214" s="78" t="s">
        <v>69</v>
      </c>
      <c r="K4214" s="58">
        <f t="shared" si="14"/>
        <v>4</v>
      </c>
      <c r="L4214" s="91" t="str">
        <f t="shared" si="8"/>
        <v>Mon</v>
      </c>
      <c r="M4214" s="78" t="str">
        <f>IFERROR(VLOOKUP(A4214, Entries!A:B,2,false),"")</f>
        <v>Hello Games</v>
      </c>
      <c r="N4214" s="23" t="str">
        <f>IFERROR(VLOOKUP(A4214, Entries!A:K,11,false),"")</f>
        <v/>
      </c>
      <c r="O4214" s="23" t="b">
        <f>IFERROR(VLOOKUP(A4214, Entries!A:I,8,false),"")</f>
        <v>0</v>
      </c>
    </row>
    <row r="4215">
      <c r="A4215" s="78" t="s">
        <v>4914</v>
      </c>
      <c r="B4215" s="78" t="s">
        <v>27</v>
      </c>
      <c r="C4215" s="85">
        <v>45183.0</v>
      </c>
      <c r="D4215" s="85">
        <v>45186.0</v>
      </c>
      <c r="E4215" s="86">
        <v>15.04</v>
      </c>
      <c r="F4215" s="87">
        <v>16.76</v>
      </c>
      <c r="G4215" s="88">
        <f t="shared" si="1"/>
        <v>1.72</v>
      </c>
      <c r="H4215" s="89">
        <f t="shared" si="10"/>
        <v>0.1026252983</v>
      </c>
      <c r="I4215" s="78" t="s">
        <v>4980</v>
      </c>
      <c r="J4215" s="78" t="s">
        <v>69</v>
      </c>
      <c r="K4215" s="58">
        <f t="shared" si="14"/>
        <v>3</v>
      </c>
      <c r="L4215" s="91" t="str">
        <f t="shared" si="8"/>
        <v>Sun</v>
      </c>
      <c r="M4215" s="78" t="str">
        <f>IFERROR(VLOOKUP(A4215, Entries!A:B,2,false),"")</f>
        <v>Deep Silver</v>
      </c>
      <c r="N4215" s="23" t="str">
        <f>IFERROR(VLOOKUP(A4215, Entries!A:K,11,false),"")</f>
        <v/>
      </c>
      <c r="O4215" s="23" t="b">
        <f>IFERROR(VLOOKUP(A4215, Entries!A:I,8,false),"")</f>
        <v>0</v>
      </c>
    </row>
    <row r="4216">
      <c r="A4216" s="78" t="s">
        <v>4880</v>
      </c>
      <c r="B4216" s="78" t="s">
        <v>22</v>
      </c>
      <c r="C4216" s="85">
        <v>45183.0</v>
      </c>
      <c r="D4216" s="85">
        <v>45183.0</v>
      </c>
      <c r="E4216" s="86">
        <v>15.24</v>
      </c>
      <c r="F4216" s="87">
        <v>17.86</v>
      </c>
      <c r="G4216" s="88">
        <f t="shared" si="1"/>
        <v>2.62</v>
      </c>
      <c r="H4216" s="89">
        <f t="shared" si="10"/>
        <v>0.1466965286</v>
      </c>
      <c r="I4216" s="78" t="s">
        <v>4981</v>
      </c>
      <c r="J4216" s="78" t="s">
        <v>69</v>
      </c>
      <c r="K4216" s="58">
        <f t="shared" si="14"/>
        <v>0</v>
      </c>
      <c r="L4216" s="91" t="str">
        <f t="shared" si="8"/>
        <v>Thu</v>
      </c>
      <c r="M4216" s="78" t="str">
        <f>IFERROR(VLOOKUP(A4216, Entries!A:B,2,false),"")</f>
        <v>Vector3 Studio</v>
      </c>
      <c r="N4216" s="23" t="str">
        <f>IFERROR(VLOOKUP(A4216, Entries!A:K,11,false),"")</f>
        <v/>
      </c>
      <c r="O4216" s="23" t="b">
        <f>IFERROR(VLOOKUP(A4216, Entries!A:I,8,false),"")</f>
        <v>0</v>
      </c>
    </row>
    <row r="4217">
      <c r="A4217" s="78" t="s">
        <v>4880</v>
      </c>
      <c r="B4217" s="78" t="s">
        <v>22</v>
      </c>
      <c r="C4217" s="85">
        <v>45183.0</v>
      </c>
      <c r="D4217" s="85">
        <v>45183.0</v>
      </c>
      <c r="E4217" s="86">
        <v>15.24</v>
      </c>
      <c r="F4217" s="87">
        <v>17.86</v>
      </c>
      <c r="G4217" s="88">
        <f t="shared" si="1"/>
        <v>2.62</v>
      </c>
      <c r="H4217" s="89">
        <f t="shared" si="10"/>
        <v>0.1466965286</v>
      </c>
      <c r="I4217" s="78" t="s">
        <v>4982</v>
      </c>
      <c r="J4217" s="78" t="s">
        <v>69</v>
      </c>
      <c r="K4217" s="58">
        <f t="shared" si="14"/>
        <v>0</v>
      </c>
      <c r="L4217" s="91" t="str">
        <f t="shared" si="8"/>
        <v>Thu</v>
      </c>
      <c r="M4217" s="78" t="str">
        <f>IFERROR(VLOOKUP(A4217, Entries!A:B,2,false),"")</f>
        <v>Vector3 Studio</v>
      </c>
      <c r="N4217" s="23" t="str">
        <f>IFERROR(VLOOKUP(A4217, Entries!A:K,11,false),"")</f>
        <v/>
      </c>
      <c r="O4217" s="23" t="b">
        <f>IFERROR(VLOOKUP(A4217, Entries!A:I,8,false),"")</f>
        <v>0</v>
      </c>
    </row>
    <row r="4218">
      <c r="A4218" s="78" t="s">
        <v>4983</v>
      </c>
      <c r="B4218" s="78" t="s">
        <v>27</v>
      </c>
      <c r="C4218" s="85">
        <v>45183.0</v>
      </c>
      <c r="D4218" s="85">
        <v>45243.0</v>
      </c>
      <c r="E4218" s="86">
        <v>31.44</v>
      </c>
      <c r="F4218" s="87">
        <v>31.79</v>
      </c>
      <c r="G4218" s="88">
        <f t="shared" si="1"/>
        <v>0.35</v>
      </c>
      <c r="H4218" s="89">
        <f t="shared" si="10"/>
        <v>0.01100975149</v>
      </c>
      <c r="I4218" s="78" t="s">
        <v>4984</v>
      </c>
      <c r="J4218" s="78" t="s">
        <v>69</v>
      </c>
      <c r="K4218" s="58">
        <f t="shared" si="14"/>
        <v>60</v>
      </c>
      <c r="L4218" s="91" t="str">
        <f t="shared" si="8"/>
        <v>Mon</v>
      </c>
      <c r="M4218" s="78" t="str">
        <f>IFERROR(VLOOKUP(A4218, Entries!A:B,2,false),"")</f>
        <v>Frontier Foundry</v>
      </c>
      <c r="N4218" s="23" t="str">
        <f>IFERROR(VLOOKUP(A4218, Entries!A:K,11,false),"")</f>
        <v/>
      </c>
      <c r="O4218" s="23" t="b">
        <f>IFERROR(VLOOKUP(A4218, Entries!A:I,8,false),"")</f>
        <v>0</v>
      </c>
    </row>
    <row r="4219">
      <c r="A4219" s="78" t="s">
        <v>4880</v>
      </c>
      <c r="B4219" s="78" t="s">
        <v>22</v>
      </c>
      <c r="C4219" s="85">
        <v>45183.0</v>
      </c>
      <c r="D4219" s="85">
        <v>45184.0</v>
      </c>
      <c r="E4219" s="86">
        <v>15.55</v>
      </c>
      <c r="F4219" s="87">
        <v>17.86</v>
      </c>
      <c r="G4219" s="88">
        <f t="shared" si="1"/>
        <v>2.31</v>
      </c>
      <c r="H4219" s="89">
        <f t="shared" si="10"/>
        <v>0.1293393057</v>
      </c>
      <c r="I4219" s="78" t="s">
        <v>4985</v>
      </c>
      <c r="J4219" s="78" t="s">
        <v>69</v>
      </c>
      <c r="K4219" s="58">
        <f t="shared" si="14"/>
        <v>1</v>
      </c>
      <c r="L4219" s="91" t="str">
        <f t="shared" si="8"/>
        <v>Fri</v>
      </c>
      <c r="M4219" s="78" t="str">
        <f>IFERROR(VLOOKUP(A4219, Entries!A:B,2,false),"")</f>
        <v>Vector3 Studio</v>
      </c>
      <c r="N4219" s="23" t="str">
        <f>IFERROR(VLOOKUP(A4219, Entries!A:K,11,false),"")</f>
        <v/>
      </c>
      <c r="O4219" s="23" t="b">
        <f>IFERROR(VLOOKUP(A4219, Entries!A:I,8,false),"")</f>
        <v>0</v>
      </c>
      <c r="P4219" s="78" t="s">
        <v>4986</v>
      </c>
    </row>
    <row r="4220">
      <c r="A4220" s="78" t="s">
        <v>4880</v>
      </c>
      <c r="B4220" s="78" t="s">
        <v>22</v>
      </c>
      <c r="C4220" s="85">
        <v>45183.0</v>
      </c>
      <c r="D4220" s="85">
        <v>45184.0</v>
      </c>
      <c r="E4220" s="86">
        <v>15.55</v>
      </c>
      <c r="F4220" s="87">
        <v>18.95</v>
      </c>
      <c r="G4220" s="88">
        <f t="shared" si="1"/>
        <v>3.4</v>
      </c>
      <c r="H4220" s="89">
        <f t="shared" si="10"/>
        <v>0.1794195251</v>
      </c>
      <c r="I4220" s="78" t="s">
        <v>4987</v>
      </c>
      <c r="J4220" s="78" t="s">
        <v>69</v>
      </c>
      <c r="K4220" s="58">
        <f t="shared" si="14"/>
        <v>1</v>
      </c>
      <c r="L4220" s="91" t="str">
        <f t="shared" si="8"/>
        <v>Fri</v>
      </c>
      <c r="M4220" s="78" t="str">
        <f>IFERROR(VLOOKUP(A4220, Entries!A:B,2,false),"")</f>
        <v>Vector3 Studio</v>
      </c>
      <c r="N4220" s="23" t="str">
        <f>IFERROR(VLOOKUP(A4220, Entries!A:K,11,false),"")</f>
        <v/>
      </c>
      <c r="O4220" s="23" t="b">
        <f>IFERROR(VLOOKUP(A4220, Entries!A:I,8,false),"")</f>
        <v>0</v>
      </c>
      <c r="P4220" s="78" t="s">
        <v>4986</v>
      </c>
    </row>
    <row r="4221">
      <c r="A4221" s="78" t="s">
        <v>4880</v>
      </c>
      <c r="B4221" s="78" t="s">
        <v>22</v>
      </c>
      <c r="C4221" s="85">
        <v>45183.0</v>
      </c>
      <c r="D4221" s="85">
        <v>45185.0</v>
      </c>
      <c r="E4221" s="86">
        <v>15.55</v>
      </c>
      <c r="F4221" s="87">
        <v>16.72</v>
      </c>
      <c r="G4221" s="88">
        <f t="shared" si="1"/>
        <v>1.17</v>
      </c>
      <c r="H4221" s="89">
        <f t="shared" si="10"/>
        <v>0.06997607656</v>
      </c>
      <c r="I4221" s="78" t="s">
        <v>4988</v>
      </c>
      <c r="J4221" s="78" t="s">
        <v>69</v>
      </c>
      <c r="K4221" s="58">
        <f t="shared" si="14"/>
        <v>2</v>
      </c>
      <c r="L4221" s="91" t="str">
        <f t="shared" si="8"/>
        <v>Sat</v>
      </c>
      <c r="M4221" s="78" t="str">
        <f>IFERROR(VLOOKUP(A4221, Entries!A:B,2,false),"")</f>
        <v>Vector3 Studio</v>
      </c>
      <c r="N4221" s="23" t="str">
        <f>IFERROR(VLOOKUP(A4221, Entries!A:K,11,false),"")</f>
        <v/>
      </c>
      <c r="O4221" s="23" t="b">
        <f>IFERROR(VLOOKUP(A4221, Entries!A:I,8,false),"")</f>
        <v>0</v>
      </c>
      <c r="P4221" s="78" t="s">
        <v>4986</v>
      </c>
    </row>
    <row r="4222">
      <c r="A4222" s="78" t="s">
        <v>4880</v>
      </c>
      <c r="B4222" s="78" t="s">
        <v>22</v>
      </c>
      <c r="C4222" s="85">
        <v>45183.0</v>
      </c>
      <c r="D4222" s="85">
        <v>45185.0</v>
      </c>
      <c r="E4222" s="86">
        <v>15.56</v>
      </c>
      <c r="F4222" s="87">
        <v>18.96</v>
      </c>
      <c r="G4222" s="88">
        <f t="shared" si="1"/>
        <v>3.4</v>
      </c>
      <c r="H4222" s="89">
        <f t="shared" si="10"/>
        <v>0.1793248945</v>
      </c>
      <c r="I4222" s="78" t="s">
        <v>4989</v>
      </c>
      <c r="J4222" s="78" t="s">
        <v>69</v>
      </c>
      <c r="K4222" s="58">
        <f t="shared" si="14"/>
        <v>2</v>
      </c>
      <c r="L4222" s="91" t="str">
        <f t="shared" si="8"/>
        <v>Sat</v>
      </c>
      <c r="M4222" s="78" t="str">
        <f>IFERROR(VLOOKUP(A4222, Entries!A:B,2,false),"")</f>
        <v>Vector3 Studio</v>
      </c>
      <c r="N4222" s="23" t="str">
        <f>IFERROR(VLOOKUP(A4222, Entries!A:K,11,false),"")</f>
        <v/>
      </c>
      <c r="O4222" s="23" t="b">
        <f>IFERROR(VLOOKUP(A4222, Entries!A:I,8,false),"")</f>
        <v>0</v>
      </c>
      <c r="P4222" s="78" t="s">
        <v>4986</v>
      </c>
    </row>
    <row r="4223">
      <c r="A4223" s="78" t="s">
        <v>2818</v>
      </c>
      <c r="B4223" s="78" t="s">
        <v>27</v>
      </c>
      <c r="C4223" s="85">
        <v>45184.0</v>
      </c>
      <c r="D4223" s="85">
        <v>45186.0</v>
      </c>
      <c r="E4223" s="86">
        <v>6.99</v>
      </c>
      <c r="F4223" s="87">
        <v>8.82</v>
      </c>
      <c r="G4223" s="88">
        <f t="shared" si="1"/>
        <v>1.83</v>
      </c>
      <c r="H4223" s="89">
        <f t="shared" si="10"/>
        <v>0.2074829932</v>
      </c>
      <c r="I4223" s="78" t="s">
        <v>4990</v>
      </c>
      <c r="J4223" s="78" t="s">
        <v>69</v>
      </c>
      <c r="K4223" s="58">
        <f t="shared" si="14"/>
        <v>2</v>
      </c>
      <c r="L4223" s="91" t="str">
        <f t="shared" si="8"/>
        <v>Sun</v>
      </c>
      <c r="M4223" s="78" t="str">
        <f>IFERROR(VLOOKUP(A4223, Entries!A:B,2,false),"")</f>
        <v>Daedalic Entertainment</v>
      </c>
      <c r="N4223" s="23" t="str">
        <f>IFERROR(VLOOKUP(A4223, Entries!A:K,11,false),"")</f>
        <v/>
      </c>
      <c r="O4223" s="23" t="b">
        <f>IFERROR(VLOOKUP(A4223, Entries!A:I,8,false),"")</f>
        <v>1</v>
      </c>
    </row>
    <row r="4224">
      <c r="A4224" s="78" t="s">
        <v>4991</v>
      </c>
      <c r="B4224" s="78" t="s">
        <v>22</v>
      </c>
      <c r="C4224" s="85">
        <v>45184.0</v>
      </c>
      <c r="D4224" s="85">
        <v>45191.0</v>
      </c>
      <c r="E4224" s="86">
        <v>21.98</v>
      </c>
      <c r="F4224" s="87">
        <v>26.82</v>
      </c>
      <c r="G4224" s="88">
        <f t="shared" si="1"/>
        <v>4.84</v>
      </c>
      <c r="H4224" s="89">
        <f t="shared" si="10"/>
        <v>0.1804623415</v>
      </c>
      <c r="I4224" s="78" t="s">
        <v>4992</v>
      </c>
      <c r="J4224" s="78" t="s">
        <v>69</v>
      </c>
      <c r="K4224" s="58">
        <f t="shared" si="14"/>
        <v>7</v>
      </c>
      <c r="L4224" s="91" t="str">
        <f t="shared" si="8"/>
        <v>Fri</v>
      </c>
      <c r="M4224" s="78" t="str">
        <f>IFERROR(VLOOKUP(A4224, Entries!A:B,2,false),"")</f>
        <v>Red Barrels</v>
      </c>
      <c r="N4224" s="23" t="str">
        <f>IFERROR(VLOOKUP(A4224, Entries!A:K,11,false),"")</f>
        <v/>
      </c>
      <c r="O4224" s="23" t="b">
        <f>IFERROR(VLOOKUP(A4224, Entries!A:I,8,false),"")</f>
        <v>0</v>
      </c>
    </row>
    <row r="4225">
      <c r="A4225" s="78" t="s">
        <v>4880</v>
      </c>
      <c r="B4225" s="78" t="s">
        <v>29</v>
      </c>
      <c r="C4225" s="85">
        <v>45184.0</v>
      </c>
      <c r="D4225" s="85">
        <v>45188.0</v>
      </c>
      <c r="E4225" s="86">
        <v>9.97</v>
      </c>
      <c r="F4225" s="87">
        <v>14.81</v>
      </c>
      <c r="G4225" s="88">
        <f t="shared" si="1"/>
        <v>4.84</v>
      </c>
      <c r="H4225" s="89">
        <f t="shared" si="10"/>
        <v>0.326806212</v>
      </c>
      <c r="I4225" s="78" t="s">
        <v>4993</v>
      </c>
      <c r="J4225" s="78" t="s">
        <v>69</v>
      </c>
      <c r="K4225" s="58">
        <f t="shared" si="14"/>
        <v>4</v>
      </c>
      <c r="L4225" s="91" t="str">
        <f t="shared" si="8"/>
        <v>Tue</v>
      </c>
      <c r="M4225" s="78" t="str">
        <f>IFERROR(VLOOKUP(A4225, Entries!A:B,2,false),"")</f>
        <v>Vector3 Studio</v>
      </c>
      <c r="N4225" s="23" t="str">
        <f>IFERROR(VLOOKUP(A4225, Entries!A:K,11,false),"")</f>
        <v/>
      </c>
      <c r="O4225" s="23" t="b">
        <f>IFERROR(VLOOKUP(A4225, Entries!A:I,8,false),"")</f>
        <v>0</v>
      </c>
    </row>
    <row r="4226">
      <c r="A4226" s="78" t="s">
        <v>4880</v>
      </c>
      <c r="B4226" s="78" t="s">
        <v>29</v>
      </c>
      <c r="C4226" s="85">
        <v>45184.0</v>
      </c>
      <c r="D4226" s="85">
        <v>45188.0</v>
      </c>
      <c r="E4226" s="86">
        <v>9.98</v>
      </c>
      <c r="F4226" s="87">
        <v>14.83</v>
      </c>
      <c r="G4226" s="88">
        <f t="shared" si="1"/>
        <v>4.85</v>
      </c>
      <c r="H4226" s="89">
        <f t="shared" si="10"/>
        <v>0.3270397842</v>
      </c>
      <c r="I4226" s="78" t="s">
        <v>4994</v>
      </c>
      <c r="J4226" s="78" t="s">
        <v>69</v>
      </c>
      <c r="K4226" s="58">
        <f t="shared" si="14"/>
        <v>4</v>
      </c>
      <c r="L4226" s="91" t="str">
        <f t="shared" si="8"/>
        <v>Tue</v>
      </c>
      <c r="M4226" s="78" t="str">
        <f>IFERROR(VLOOKUP(A4226, Entries!A:B,2,false),"")</f>
        <v>Vector3 Studio</v>
      </c>
      <c r="N4226" s="23" t="str">
        <f>IFERROR(VLOOKUP(A4226, Entries!A:K,11,false),"")</f>
        <v/>
      </c>
      <c r="O4226" s="23" t="b">
        <f>IFERROR(VLOOKUP(A4226, Entries!A:I,8,false),"")</f>
        <v>0</v>
      </c>
    </row>
    <row r="4227">
      <c r="A4227" s="78" t="s">
        <v>4880</v>
      </c>
      <c r="B4227" s="78" t="s">
        <v>29</v>
      </c>
      <c r="C4227" s="85">
        <v>45184.0</v>
      </c>
      <c r="D4227" s="85">
        <v>45188.0</v>
      </c>
      <c r="E4227" s="86">
        <v>9.98</v>
      </c>
      <c r="F4227" s="87">
        <v>14.95</v>
      </c>
      <c r="G4227" s="88">
        <f t="shared" si="1"/>
        <v>4.97</v>
      </c>
      <c r="H4227" s="89">
        <f t="shared" si="10"/>
        <v>0.3324414716</v>
      </c>
      <c r="I4227" s="78" t="s">
        <v>4995</v>
      </c>
      <c r="J4227" s="78" t="s">
        <v>69</v>
      </c>
      <c r="K4227" s="58">
        <f t="shared" si="14"/>
        <v>4</v>
      </c>
      <c r="L4227" s="91" t="str">
        <f t="shared" si="8"/>
        <v>Tue</v>
      </c>
      <c r="M4227" s="78" t="str">
        <f>IFERROR(VLOOKUP(A4227, Entries!A:B,2,false),"")</f>
        <v>Vector3 Studio</v>
      </c>
      <c r="N4227" s="23" t="str">
        <f>IFERROR(VLOOKUP(A4227, Entries!A:K,11,false),"")</f>
        <v/>
      </c>
      <c r="O4227" s="23" t="b">
        <f>IFERROR(VLOOKUP(A4227, Entries!A:I,8,false),"")</f>
        <v>0</v>
      </c>
    </row>
    <row r="4228">
      <c r="A4228" s="78" t="s">
        <v>4880</v>
      </c>
      <c r="B4228" s="78" t="s">
        <v>29</v>
      </c>
      <c r="C4228" s="85">
        <v>45184.0</v>
      </c>
      <c r="D4228" s="85">
        <v>45189.0</v>
      </c>
      <c r="E4228" s="86">
        <v>9.98</v>
      </c>
      <c r="F4228" s="87">
        <v>14.95</v>
      </c>
      <c r="G4228" s="88">
        <f t="shared" si="1"/>
        <v>4.97</v>
      </c>
      <c r="H4228" s="89">
        <f t="shared" si="10"/>
        <v>0.3324414716</v>
      </c>
      <c r="I4228" s="78" t="s">
        <v>4996</v>
      </c>
      <c r="J4228" s="78" t="s">
        <v>69</v>
      </c>
      <c r="K4228" s="58">
        <f t="shared" si="14"/>
        <v>5</v>
      </c>
      <c r="L4228" s="91" t="str">
        <f t="shared" si="8"/>
        <v>Wed</v>
      </c>
      <c r="M4228" s="78" t="str">
        <f>IFERROR(VLOOKUP(A4228, Entries!A:B,2,false),"")</f>
        <v>Vector3 Studio</v>
      </c>
      <c r="N4228" s="23" t="str">
        <f>IFERROR(VLOOKUP(A4228, Entries!A:K,11,false),"")</f>
        <v/>
      </c>
      <c r="O4228" s="23" t="b">
        <f>IFERROR(VLOOKUP(A4228, Entries!A:I,8,false),"")</f>
        <v>0</v>
      </c>
    </row>
    <row r="4229">
      <c r="A4229" s="78" t="s">
        <v>4880</v>
      </c>
      <c r="B4229" s="78" t="s">
        <v>29</v>
      </c>
      <c r="C4229" s="85">
        <v>45184.0</v>
      </c>
      <c r="D4229" s="85">
        <v>45189.0</v>
      </c>
      <c r="E4229" s="86">
        <v>9.98</v>
      </c>
      <c r="F4229" s="87">
        <v>14.95</v>
      </c>
      <c r="G4229" s="88">
        <f t="shared" si="1"/>
        <v>4.97</v>
      </c>
      <c r="H4229" s="89">
        <f t="shared" si="10"/>
        <v>0.3324414716</v>
      </c>
      <c r="I4229" s="78" t="s">
        <v>4997</v>
      </c>
      <c r="J4229" s="78" t="s">
        <v>69</v>
      </c>
      <c r="K4229" s="58">
        <f t="shared" si="14"/>
        <v>5</v>
      </c>
      <c r="L4229" s="91" t="str">
        <f t="shared" si="8"/>
        <v>Wed</v>
      </c>
      <c r="M4229" s="78" t="str">
        <f>IFERROR(VLOOKUP(A4229, Entries!A:B,2,false),"")</f>
        <v>Vector3 Studio</v>
      </c>
      <c r="N4229" s="23" t="str">
        <f>IFERROR(VLOOKUP(A4229, Entries!A:K,11,false),"")</f>
        <v/>
      </c>
      <c r="O4229" s="23" t="b">
        <f>IFERROR(VLOOKUP(A4229, Entries!A:I,8,false),"")</f>
        <v>0</v>
      </c>
    </row>
    <row r="4230">
      <c r="A4230" s="78" t="s">
        <v>4880</v>
      </c>
      <c r="B4230" s="78" t="s">
        <v>29</v>
      </c>
      <c r="C4230" s="85">
        <v>45184.0</v>
      </c>
      <c r="D4230" s="85">
        <v>45189.0</v>
      </c>
      <c r="E4230" s="86">
        <v>9.98</v>
      </c>
      <c r="F4230" s="87">
        <v>15.0</v>
      </c>
      <c r="G4230" s="88">
        <f t="shared" si="1"/>
        <v>5.02</v>
      </c>
      <c r="H4230" s="89">
        <f t="shared" si="10"/>
        <v>0.3346666667</v>
      </c>
      <c r="I4230" s="78" t="s">
        <v>4998</v>
      </c>
      <c r="J4230" s="78" t="s">
        <v>69</v>
      </c>
      <c r="K4230" s="58">
        <f t="shared" si="14"/>
        <v>5</v>
      </c>
      <c r="L4230" s="91" t="str">
        <f t="shared" si="8"/>
        <v>Wed</v>
      </c>
      <c r="M4230" s="78" t="str">
        <f>IFERROR(VLOOKUP(A4230, Entries!A:B,2,false),"")</f>
        <v>Vector3 Studio</v>
      </c>
      <c r="N4230" s="23" t="str">
        <f>IFERROR(VLOOKUP(A4230, Entries!A:K,11,false),"")</f>
        <v/>
      </c>
      <c r="O4230" s="23" t="b">
        <f>IFERROR(VLOOKUP(A4230, Entries!A:I,8,false),"")</f>
        <v>0</v>
      </c>
    </row>
    <row r="4231">
      <c r="A4231" s="78" t="s">
        <v>4880</v>
      </c>
      <c r="B4231" s="78" t="s">
        <v>29</v>
      </c>
      <c r="C4231" s="85">
        <v>45184.0</v>
      </c>
      <c r="D4231" s="85">
        <v>45189.0</v>
      </c>
      <c r="E4231" s="86">
        <v>9.98</v>
      </c>
      <c r="F4231" s="87">
        <v>15.17</v>
      </c>
      <c r="G4231" s="88">
        <f t="shared" si="1"/>
        <v>5.19</v>
      </c>
      <c r="H4231" s="89">
        <f t="shared" si="10"/>
        <v>0.3421226104</v>
      </c>
      <c r="I4231" s="78" t="s">
        <v>4999</v>
      </c>
      <c r="J4231" s="78" t="s">
        <v>69</v>
      </c>
      <c r="K4231" s="58">
        <f t="shared" si="14"/>
        <v>5</v>
      </c>
      <c r="L4231" s="91" t="str">
        <f t="shared" si="8"/>
        <v>Wed</v>
      </c>
      <c r="M4231" s="78" t="str">
        <f>IFERROR(VLOOKUP(A4231, Entries!A:B,2,false),"")</f>
        <v>Vector3 Studio</v>
      </c>
      <c r="N4231" s="23" t="str">
        <f>IFERROR(VLOOKUP(A4231, Entries!A:K,11,false),"")</f>
        <v/>
      </c>
      <c r="O4231" s="23" t="b">
        <f>IFERROR(VLOOKUP(A4231, Entries!A:I,8,false),"")</f>
        <v>0</v>
      </c>
    </row>
    <row r="4232">
      <c r="A4232" s="78" t="s">
        <v>4880</v>
      </c>
      <c r="B4232" s="78" t="s">
        <v>29</v>
      </c>
      <c r="C4232" s="85">
        <v>45184.0</v>
      </c>
      <c r="D4232" s="85">
        <v>45189.0</v>
      </c>
      <c r="E4232" s="86">
        <v>9.98</v>
      </c>
      <c r="F4232" s="87">
        <v>15.17</v>
      </c>
      <c r="G4232" s="88">
        <f t="shared" si="1"/>
        <v>5.19</v>
      </c>
      <c r="H4232" s="89">
        <f t="shared" si="10"/>
        <v>0.3421226104</v>
      </c>
      <c r="I4232" s="78" t="s">
        <v>5000</v>
      </c>
      <c r="J4232" s="78" t="s">
        <v>69</v>
      </c>
      <c r="K4232" s="58">
        <f t="shared" si="14"/>
        <v>5</v>
      </c>
      <c r="L4232" s="91" t="str">
        <f t="shared" si="8"/>
        <v>Wed</v>
      </c>
      <c r="M4232" s="78" t="str">
        <f>IFERROR(VLOOKUP(A4232, Entries!A:B,2,false),"")</f>
        <v>Vector3 Studio</v>
      </c>
      <c r="N4232" s="23" t="str">
        <f>IFERROR(VLOOKUP(A4232, Entries!A:K,11,false),"")</f>
        <v/>
      </c>
      <c r="O4232" s="23" t="b">
        <f>IFERROR(VLOOKUP(A4232, Entries!A:I,8,false),"")</f>
        <v>0</v>
      </c>
    </row>
    <row r="4233">
      <c r="A4233" s="78" t="s">
        <v>4880</v>
      </c>
      <c r="B4233" s="78" t="s">
        <v>29</v>
      </c>
      <c r="C4233" s="85">
        <v>45184.0</v>
      </c>
      <c r="D4233" s="85">
        <v>45189.0</v>
      </c>
      <c r="E4233" s="86">
        <v>9.98</v>
      </c>
      <c r="F4233" s="87">
        <v>15.17</v>
      </c>
      <c r="G4233" s="88">
        <f t="shared" si="1"/>
        <v>5.19</v>
      </c>
      <c r="H4233" s="89">
        <f t="shared" si="10"/>
        <v>0.3421226104</v>
      </c>
      <c r="I4233" s="78" t="s">
        <v>5001</v>
      </c>
      <c r="J4233" s="78" t="s">
        <v>69</v>
      </c>
      <c r="K4233" s="58">
        <f t="shared" si="14"/>
        <v>5</v>
      </c>
      <c r="L4233" s="91" t="str">
        <f t="shared" si="8"/>
        <v>Wed</v>
      </c>
      <c r="M4233" s="78" t="str">
        <f>IFERROR(VLOOKUP(A4233, Entries!A:B,2,false),"")</f>
        <v>Vector3 Studio</v>
      </c>
      <c r="N4233" s="23" t="str">
        <f>IFERROR(VLOOKUP(A4233, Entries!A:K,11,false),"")</f>
        <v/>
      </c>
      <c r="O4233" s="23" t="b">
        <f>IFERROR(VLOOKUP(A4233, Entries!A:I,8,false),"")</f>
        <v>0</v>
      </c>
    </row>
    <row r="4234">
      <c r="A4234" s="78" t="s">
        <v>4880</v>
      </c>
      <c r="B4234" s="78" t="s">
        <v>29</v>
      </c>
      <c r="C4234" s="85">
        <v>45184.0</v>
      </c>
      <c r="D4234" s="85">
        <v>45189.0</v>
      </c>
      <c r="E4234" s="86">
        <v>9.98</v>
      </c>
      <c r="F4234" s="87">
        <v>15.17</v>
      </c>
      <c r="G4234" s="88">
        <f t="shared" si="1"/>
        <v>5.19</v>
      </c>
      <c r="H4234" s="89">
        <f t="shared" si="10"/>
        <v>0.3421226104</v>
      </c>
      <c r="I4234" s="78" t="s">
        <v>5002</v>
      </c>
      <c r="J4234" s="78" t="s">
        <v>69</v>
      </c>
      <c r="K4234" s="58">
        <f t="shared" si="14"/>
        <v>5</v>
      </c>
      <c r="L4234" s="91" t="str">
        <f t="shared" si="8"/>
        <v>Wed</v>
      </c>
      <c r="M4234" s="78" t="str">
        <f>IFERROR(VLOOKUP(A4234, Entries!A:B,2,false),"")</f>
        <v>Vector3 Studio</v>
      </c>
      <c r="N4234" s="23" t="str">
        <f>IFERROR(VLOOKUP(A4234, Entries!A:K,11,false),"")</f>
        <v/>
      </c>
      <c r="O4234" s="23" t="b">
        <f>IFERROR(VLOOKUP(A4234, Entries!A:I,8,false),"")</f>
        <v>0</v>
      </c>
    </row>
    <row r="4235">
      <c r="A4235" s="78" t="s">
        <v>5003</v>
      </c>
      <c r="B4235" s="78" t="s">
        <v>21</v>
      </c>
      <c r="C4235" s="85">
        <v>45184.0</v>
      </c>
      <c r="D4235" s="85">
        <v>45200.0</v>
      </c>
      <c r="E4235" s="86">
        <v>28.54</v>
      </c>
      <c r="F4235" s="87">
        <v>32.49</v>
      </c>
      <c r="G4235" s="88">
        <f t="shared" si="1"/>
        <v>3.95</v>
      </c>
      <c r="H4235" s="89">
        <f t="shared" si="10"/>
        <v>0.1215758695</v>
      </c>
      <c r="I4235" s="78" t="s">
        <v>5004</v>
      </c>
      <c r="J4235" s="78" t="s">
        <v>69</v>
      </c>
      <c r="K4235" s="58">
        <f t="shared" si="14"/>
        <v>16</v>
      </c>
      <c r="L4235" s="91" t="str">
        <f t="shared" si="8"/>
        <v>Sun</v>
      </c>
      <c r="M4235" s="78" t="str">
        <f>IFERROR(VLOOKUP(A4235, Entries!A:B,2,false),"")</f>
        <v>Focus Home Interactive</v>
      </c>
      <c r="N4235" s="23" t="str">
        <f>IFERROR(VLOOKUP(A4235, Entries!A:K,11,false),"")</f>
        <v/>
      </c>
      <c r="O4235" s="23" t="b">
        <f>IFERROR(VLOOKUP(A4235, Entries!A:I,8,false),"")</f>
        <v>0</v>
      </c>
    </row>
    <row r="4236">
      <c r="A4236" s="78" t="s">
        <v>4880</v>
      </c>
      <c r="B4236" s="78" t="s">
        <v>29</v>
      </c>
      <c r="C4236" s="85">
        <v>45184.0</v>
      </c>
      <c r="D4236" s="85">
        <v>45189.0</v>
      </c>
      <c r="E4236" s="86">
        <v>9.97</v>
      </c>
      <c r="F4236" s="87">
        <v>15.17</v>
      </c>
      <c r="G4236" s="88">
        <f t="shared" si="1"/>
        <v>5.2</v>
      </c>
      <c r="H4236" s="89">
        <f t="shared" si="10"/>
        <v>0.3427818062</v>
      </c>
      <c r="I4236" s="78" t="s">
        <v>5005</v>
      </c>
      <c r="J4236" s="78" t="s">
        <v>69</v>
      </c>
      <c r="K4236" s="58">
        <f t="shared" si="14"/>
        <v>5</v>
      </c>
      <c r="L4236" s="91" t="str">
        <f t="shared" si="8"/>
        <v>Wed</v>
      </c>
      <c r="M4236" s="78" t="str">
        <f>IFERROR(VLOOKUP(A4236, Entries!A:B,2,false),"")</f>
        <v>Vector3 Studio</v>
      </c>
      <c r="N4236" s="23" t="str">
        <f>IFERROR(VLOOKUP(A4236, Entries!A:K,11,false),"")</f>
        <v/>
      </c>
      <c r="O4236" s="23" t="b">
        <f>IFERROR(VLOOKUP(A4236, Entries!A:I,8,false),"")</f>
        <v>0</v>
      </c>
    </row>
    <row r="4237">
      <c r="A4237" s="78" t="s">
        <v>4880</v>
      </c>
      <c r="B4237" s="78" t="s">
        <v>29</v>
      </c>
      <c r="C4237" s="85">
        <v>45184.0</v>
      </c>
      <c r="D4237" s="85">
        <v>45189.0</v>
      </c>
      <c r="E4237" s="86">
        <v>9.98</v>
      </c>
      <c r="F4237" s="87">
        <v>15.17</v>
      </c>
      <c r="G4237" s="88">
        <f t="shared" si="1"/>
        <v>5.19</v>
      </c>
      <c r="H4237" s="89">
        <f t="shared" si="10"/>
        <v>0.3421226104</v>
      </c>
      <c r="I4237" s="78" t="s">
        <v>5006</v>
      </c>
      <c r="J4237" s="78" t="s">
        <v>69</v>
      </c>
      <c r="K4237" s="58">
        <f t="shared" si="14"/>
        <v>5</v>
      </c>
      <c r="L4237" s="91" t="str">
        <f t="shared" si="8"/>
        <v>Wed</v>
      </c>
      <c r="M4237" s="78" t="str">
        <f>IFERROR(VLOOKUP(A4237, Entries!A:B,2,false),"")</f>
        <v>Vector3 Studio</v>
      </c>
      <c r="N4237" s="23" t="str">
        <f>IFERROR(VLOOKUP(A4237, Entries!A:K,11,false),"")</f>
        <v/>
      </c>
      <c r="O4237" s="23" t="b">
        <f>IFERROR(VLOOKUP(A4237, Entries!A:I,8,false),"")</f>
        <v>0</v>
      </c>
    </row>
    <row r="4238">
      <c r="A4238" s="78" t="s">
        <v>4880</v>
      </c>
      <c r="B4238" s="78" t="s">
        <v>29</v>
      </c>
      <c r="C4238" s="85">
        <v>45184.0</v>
      </c>
      <c r="D4238" s="85">
        <v>45189.0</v>
      </c>
      <c r="E4238" s="86">
        <v>9.98</v>
      </c>
      <c r="F4238" s="87">
        <v>15.17</v>
      </c>
      <c r="G4238" s="88">
        <f t="shared" si="1"/>
        <v>5.19</v>
      </c>
      <c r="H4238" s="89">
        <f t="shared" si="10"/>
        <v>0.3421226104</v>
      </c>
      <c r="I4238" s="78" t="s">
        <v>5007</v>
      </c>
      <c r="J4238" s="78" t="s">
        <v>69</v>
      </c>
      <c r="K4238" s="58">
        <f t="shared" si="14"/>
        <v>5</v>
      </c>
      <c r="L4238" s="91" t="str">
        <f t="shared" si="8"/>
        <v>Wed</v>
      </c>
      <c r="M4238" s="78" t="str">
        <f>IFERROR(VLOOKUP(A4238, Entries!A:B,2,false),"")</f>
        <v>Vector3 Studio</v>
      </c>
      <c r="N4238" s="23" t="str">
        <f>IFERROR(VLOOKUP(A4238, Entries!A:K,11,false),"")</f>
        <v/>
      </c>
      <c r="O4238" s="23" t="b">
        <f>IFERROR(VLOOKUP(A4238, Entries!A:I,8,false),"")</f>
        <v>0</v>
      </c>
    </row>
    <row r="4239">
      <c r="A4239" s="78" t="s">
        <v>4880</v>
      </c>
      <c r="B4239" s="78" t="s">
        <v>29</v>
      </c>
      <c r="C4239" s="85">
        <v>45184.0</v>
      </c>
      <c r="D4239" s="85">
        <v>45189.0</v>
      </c>
      <c r="E4239" s="86">
        <v>9.98</v>
      </c>
      <c r="F4239" s="87">
        <v>15.17</v>
      </c>
      <c r="G4239" s="88">
        <f t="shared" si="1"/>
        <v>5.19</v>
      </c>
      <c r="H4239" s="89">
        <f t="shared" si="10"/>
        <v>0.3421226104</v>
      </c>
      <c r="I4239" s="78" t="s">
        <v>5008</v>
      </c>
      <c r="J4239" s="78" t="s">
        <v>69</v>
      </c>
      <c r="K4239" s="58">
        <f t="shared" si="14"/>
        <v>5</v>
      </c>
      <c r="L4239" s="91" t="str">
        <f t="shared" si="8"/>
        <v>Wed</v>
      </c>
      <c r="M4239" s="78" t="str">
        <f>IFERROR(VLOOKUP(A4239, Entries!A:B,2,false),"")</f>
        <v>Vector3 Studio</v>
      </c>
      <c r="N4239" s="23" t="str">
        <f>IFERROR(VLOOKUP(A4239, Entries!A:K,11,false),"")</f>
        <v/>
      </c>
      <c r="O4239" s="23" t="b">
        <f>IFERROR(VLOOKUP(A4239, Entries!A:I,8,false),"")</f>
        <v>0</v>
      </c>
    </row>
    <row r="4240">
      <c r="A4240" s="78" t="s">
        <v>4880</v>
      </c>
      <c r="B4240" s="78" t="s">
        <v>29</v>
      </c>
      <c r="C4240" s="85">
        <v>45184.0</v>
      </c>
      <c r="D4240" s="85">
        <v>45189.0</v>
      </c>
      <c r="E4240" s="86">
        <v>9.98</v>
      </c>
      <c r="F4240" s="87">
        <v>15.17</v>
      </c>
      <c r="G4240" s="88">
        <f t="shared" si="1"/>
        <v>5.19</v>
      </c>
      <c r="H4240" s="89">
        <f t="shared" si="10"/>
        <v>0.3421226104</v>
      </c>
      <c r="I4240" s="78" t="s">
        <v>5009</v>
      </c>
      <c r="J4240" s="78" t="s">
        <v>69</v>
      </c>
      <c r="K4240" s="58">
        <f t="shared" si="14"/>
        <v>5</v>
      </c>
      <c r="L4240" s="91" t="str">
        <f t="shared" si="8"/>
        <v>Wed</v>
      </c>
      <c r="M4240" s="78" t="str">
        <f>IFERROR(VLOOKUP(A4240, Entries!A:B,2,false),"")</f>
        <v>Vector3 Studio</v>
      </c>
      <c r="N4240" s="23" t="str">
        <f>IFERROR(VLOOKUP(A4240, Entries!A:K,11,false),"")</f>
        <v/>
      </c>
      <c r="O4240" s="23" t="b">
        <f>IFERROR(VLOOKUP(A4240, Entries!A:I,8,false),"")</f>
        <v>0</v>
      </c>
    </row>
    <row r="4241">
      <c r="A4241" s="78" t="s">
        <v>4880</v>
      </c>
      <c r="B4241" s="78" t="s">
        <v>29</v>
      </c>
      <c r="C4241" s="85">
        <v>45184.0</v>
      </c>
      <c r="D4241" s="85">
        <v>45189.0</v>
      </c>
      <c r="E4241" s="86">
        <v>9.98</v>
      </c>
      <c r="F4241" s="87">
        <v>15.17</v>
      </c>
      <c r="G4241" s="88">
        <f t="shared" si="1"/>
        <v>5.19</v>
      </c>
      <c r="H4241" s="89">
        <f t="shared" si="10"/>
        <v>0.3421226104</v>
      </c>
      <c r="I4241" s="78" t="s">
        <v>5010</v>
      </c>
      <c r="J4241" s="78" t="s">
        <v>69</v>
      </c>
      <c r="K4241" s="58">
        <f t="shared" si="14"/>
        <v>5</v>
      </c>
      <c r="L4241" s="91" t="str">
        <f t="shared" si="8"/>
        <v>Wed</v>
      </c>
      <c r="M4241" s="78" t="str">
        <f>IFERROR(VLOOKUP(A4241, Entries!A:B,2,false),"")</f>
        <v>Vector3 Studio</v>
      </c>
      <c r="N4241" s="23" t="str">
        <f>IFERROR(VLOOKUP(A4241, Entries!A:K,11,false),"")</f>
        <v/>
      </c>
      <c r="O4241" s="23" t="b">
        <f>IFERROR(VLOOKUP(A4241, Entries!A:I,8,false),"")</f>
        <v>0</v>
      </c>
    </row>
    <row r="4242">
      <c r="A4242" s="78" t="s">
        <v>4880</v>
      </c>
      <c r="B4242" s="78" t="s">
        <v>29</v>
      </c>
      <c r="C4242" s="85">
        <v>45184.0</v>
      </c>
      <c r="D4242" s="85">
        <v>45189.0</v>
      </c>
      <c r="E4242" s="86">
        <v>9.98</v>
      </c>
      <c r="F4242" s="87">
        <v>15.17</v>
      </c>
      <c r="G4242" s="88">
        <f t="shared" si="1"/>
        <v>5.19</v>
      </c>
      <c r="H4242" s="89">
        <f t="shared" si="10"/>
        <v>0.3421226104</v>
      </c>
      <c r="I4242" s="78" t="s">
        <v>5011</v>
      </c>
      <c r="J4242" s="78" t="s">
        <v>69</v>
      </c>
      <c r="K4242" s="58">
        <f t="shared" si="14"/>
        <v>5</v>
      </c>
      <c r="L4242" s="91" t="str">
        <f t="shared" si="8"/>
        <v>Wed</v>
      </c>
      <c r="M4242" s="78" t="str">
        <f>IFERROR(VLOOKUP(A4242, Entries!A:B,2,false),"")</f>
        <v>Vector3 Studio</v>
      </c>
      <c r="N4242" s="23" t="str">
        <f>IFERROR(VLOOKUP(A4242, Entries!A:K,11,false),"")</f>
        <v/>
      </c>
      <c r="O4242" s="23" t="b">
        <f>IFERROR(VLOOKUP(A4242, Entries!A:I,8,false),"")</f>
        <v>0</v>
      </c>
    </row>
    <row r="4243">
      <c r="A4243" s="78" t="s">
        <v>4880</v>
      </c>
      <c r="B4243" s="78" t="s">
        <v>29</v>
      </c>
      <c r="C4243" s="85">
        <v>45184.0</v>
      </c>
      <c r="D4243" s="85">
        <v>45189.0</v>
      </c>
      <c r="E4243" s="86">
        <v>9.98</v>
      </c>
      <c r="F4243" s="87">
        <v>15.71</v>
      </c>
      <c r="G4243" s="88">
        <f t="shared" si="1"/>
        <v>5.73</v>
      </c>
      <c r="H4243" s="89">
        <f t="shared" si="10"/>
        <v>0.364735837</v>
      </c>
      <c r="I4243" s="78" t="s">
        <v>5012</v>
      </c>
      <c r="J4243" s="78" t="s">
        <v>69</v>
      </c>
      <c r="K4243" s="58">
        <f t="shared" si="14"/>
        <v>5</v>
      </c>
      <c r="L4243" s="91" t="str">
        <f t="shared" si="8"/>
        <v>Wed</v>
      </c>
      <c r="M4243" s="78" t="str">
        <f>IFERROR(VLOOKUP(A4243, Entries!A:B,2,false),"")</f>
        <v>Vector3 Studio</v>
      </c>
      <c r="N4243" s="23" t="str">
        <f>IFERROR(VLOOKUP(A4243, Entries!A:K,11,false),"")</f>
        <v/>
      </c>
      <c r="O4243" s="23" t="b">
        <f>IFERROR(VLOOKUP(A4243, Entries!A:I,8,false),"")</f>
        <v>0</v>
      </c>
    </row>
    <row r="4244">
      <c r="A4244" s="78" t="s">
        <v>4880</v>
      </c>
      <c r="B4244" s="78" t="s">
        <v>29</v>
      </c>
      <c r="C4244" s="85">
        <v>45184.0</v>
      </c>
      <c r="D4244" s="85">
        <v>45190.0</v>
      </c>
      <c r="E4244" s="86">
        <v>9.98</v>
      </c>
      <c r="F4244" s="87">
        <v>16.0</v>
      </c>
      <c r="G4244" s="88">
        <f t="shared" si="1"/>
        <v>6.02</v>
      </c>
      <c r="H4244" s="89">
        <f t="shared" si="10"/>
        <v>0.37625</v>
      </c>
      <c r="I4244" s="78" t="s">
        <v>5013</v>
      </c>
      <c r="J4244" s="78" t="s">
        <v>69</v>
      </c>
      <c r="K4244" s="58">
        <f t="shared" si="14"/>
        <v>6</v>
      </c>
      <c r="L4244" s="91" t="str">
        <f t="shared" si="8"/>
        <v>Thu</v>
      </c>
      <c r="M4244" s="78" t="str">
        <f>IFERROR(VLOOKUP(A4244, Entries!A:B,2,false),"")</f>
        <v>Vector3 Studio</v>
      </c>
      <c r="N4244" s="23" t="str">
        <f>IFERROR(VLOOKUP(A4244, Entries!A:K,11,false),"")</f>
        <v/>
      </c>
      <c r="O4244" s="23" t="b">
        <f>IFERROR(VLOOKUP(A4244, Entries!A:I,8,false),"")</f>
        <v>0</v>
      </c>
    </row>
    <row r="4245">
      <c r="A4245" s="78" t="s">
        <v>4880</v>
      </c>
      <c r="B4245" s="78" t="s">
        <v>29</v>
      </c>
      <c r="C4245" s="85">
        <v>45184.0</v>
      </c>
      <c r="D4245" s="85">
        <v>45190.0</v>
      </c>
      <c r="E4245" s="86">
        <v>9.98</v>
      </c>
      <c r="F4245" s="87">
        <v>18.99</v>
      </c>
      <c r="G4245" s="88">
        <f t="shared" si="1"/>
        <v>9.01</v>
      </c>
      <c r="H4245" s="89">
        <f t="shared" si="10"/>
        <v>0.4744602422</v>
      </c>
      <c r="I4245" s="78" t="s">
        <v>5014</v>
      </c>
      <c r="J4245" s="78" t="s">
        <v>69</v>
      </c>
      <c r="K4245" s="58">
        <f t="shared" si="14"/>
        <v>6</v>
      </c>
      <c r="L4245" s="91" t="str">
        <f t="shared" si="8"/>
        <v>Thu</v>
      </c>
      <c r="M4245" s="78" t="str">
        <f>IFERROR(VLOOKUP(A4245, Entries!A:B,2,false),"")</f>
        <v>Vector3 Studio</v>
      </c>
      <c r="N4245" s="23" t="str">
        <f>IFERROR(VLOOKUP(A4245, Entries!A:K,11,false),"")</f>
        <v/>
      </c>
      <c r="O4245" s="23" t="b">
        <f>IFERROR(VLOOKUP(A4245, Entries!A:I,8,false),"")</f>
        <v>0</v>
      </c>
    </row>
    <row r="4246">
      <c r="A4246" s="78" t="s">
        <v>4096</v>
      </c>
      <c r="B4246" s="78" t="s">
        <v>25</v>
      </c>
      <c r="C4246" s="85">
        <v>45185.0</v>
      </c>
      <c r="D4246" s="85">
        <v>45246.0</v>
      </c>
      <c r="E4246" s="86">
        <v>26.5</v>
      </c>
      <c r="F4246" s="87">
        <v>30.86</v>
      </c>
      <c r="G4246" s="88">
        <f t="shared" si="1"/>
        <v>4.36</v>
      </c>
      <c r="H4246" s="89">
        <f t="shared" si="10"/>
        <v>0.1412832145</v>
      </c>
      <c r="I4246" s="78" t="s">
        <v>5015</v>
      </c>
      <c r="J4246" s="78" t="s">
        <v>69</v>
      </c>
      <c r="K4246" s="58">
        <f t="shared" si="14"/>
        <v>61</v>
      </c>
      <c r="L4246" s="91" t="str">
        <f t="shared" si="8"/>
        <v>Thu</v>
      </c>
      <c r="M4246" s="78" t="str">
        <f>IFERROR(VLOOKUP(A4246, Entries!A:B,2,false),"")</f>
        <v>Crate Entertainment</v>
      </c>
      <c r="N4246" s="23" t="str">
        <f>IFERROR(VLOOKUP(A4246, Entries!A:K,11,false),"")</f>
        <v/>
      </c>
      <c r="O4246" s="23" t="b">
        <f>IFERROR(VLOOKUP(A4246, Entries!A:I,8,false),"")</f>
        <v>0</v>
      </c>
    </row>
    <row r="4247">
      <c r="A4247" s="78" t="s">
        <v>4926</v>
      </c>
      <c r="B4247" s="78" t="s">
        <v>27</v>
      </c>
      <c r="C4247" s="85">
        <v>45185.0</v>
      </c>
      <c r="D4247" s="85">
        <v>45186.0</v>
      </c>
      <c r="E4247" s="86">
        <v>8.14</v>
      </c>
      <c r="F4247" s="87">
        <v>9.01</v>
      </c>
      <c r="G4247" s="88">
        <f t="shared" si="1"/>
        <v>0.87</v>
      </c>
      <c r="H4247" s="89">
        <f t="shared" si="10"/>
        <v>0.09655937847</v>
      </c>
      <c r="I4247" s="78" t="s">
        <v>5016</v>
      </c>
      <c r="J4247" s="78" t="s">
        <v>69</v>
      </c>
      <c r="K4247" s="58">
        <f t="shared" si="14"/>
        <v>1</v>
      </c>
      <c r="L4247" s="91" t="str">
        <f t="shared" si="8"/>
        <v>Sun</v>
      </c>
      <c r="M4247" s="78" t="str">
        <f>IFERROR(VLOOKUP(A4247, Entries!A:B,2,false),"")</f>
        <v>Bethesda Softworks</v>
      </c>
      <c r="N4247" s="23" t="str">
        <f>IFERROR(VLOOKUP(A4247, Entries!A:K,11,false),"")</f>
        <v/>
      </c>
      <c r="O4247" s="23" t="b">
        <f>IFERROR(VLOOKUP(A4247, Entries!A:I,8,false),"")</f>
        <v>0</v>
      </c>
    </row>
    <row r="4248">
      <c r="A4248" s="78" t="s">
        <v>4926</v>
      </c>
      <c r="B4248" s="78" t="s">
        <v>27</v>
      </c>
      <c r="C4248" s="85">
        <v>45186.0</v>
      </c>
      <c r="D4248" s="85">
        <v>45188.0</v>
      </c>
      <c r="E4248" s="86">
        <v>8.29</v>
      </c>
      <c r="F4248" s="87">
        <v>8.91</v>
      </c>
      <c r="G4248" s="88">
        <f t="shared" si="1"/>
        <v>0.62</v>
      </c>
      <c r="H4248" s="89">
        <f t="shared" si="10"/>
        <v>0.06958473625</v>
      </c>
      <c r="I4248" s="78" t="s">
        <v>5017</v>
      </c>
      <c r="J4248" s="78" t="s">
        <v>69</v>
      </c>
      <c r="K4248" s="58">
        <f t="shared" si="14"/>
        <v>2</v>
      </c>
      <c r="L4248" s="91" t="str">
        <f t="shared" si="8"/>
        <v>Tue</v>
      </c>
      <c r="M4248" s="78" t="str">
        <f>IFERROR(VLOOKUP(A4248, Entries!A:B,2,false),"")</f>
        <v>Bethesda Softworks</v>
      </c>
      <c r="N4248" s="23" t="str">
        <f>IFERROR(VLOOKUP(A4248, Entries!A:K,11,false),"")</f>
        <v/>
      </c>
      <c r="O4248" s="23" t="b">
        <f>IFERROR(VLOOKUP(A4248, Entries!A:I,8,false),"")</f>
        <v>0</v>
      </c>
    </row>
    <row r="4249">
      <c r="A4249" s="78" t="s">
        <v>272</v>
      </c>
      <c r="B4249" s="78" t="s">
        <v>19</v>
      </c>
      <c r="C4249" s="85">
        <v>45186.0</v>
      </c>
      <c r="D4249" s="85">
        <v>45186.0</v>
      </c>
      <c r="E4249" s="86">
        <v>0.94</v>
      </c>
      <c r="F4249" s="87">
        <v>1.19</v>
      </c>
      <c r="G4249" s="88">
        <f t="shared" si="1"/>
        <v>0.25</v>
      </c>
      <c r="H4249" s="89">
        <f t="shared" si="10"/>
        <v>0.2100840336</v>
      </c>
      <c r="I4249" s="78" t="s">
        <v>5018</v>
      </c>
      <c r="J4249" s="78" t="s">
        <v>69</v>
      </c>
      <c r="K4249" s="58">
        <f t="shared" si="14"/>
        <v>0</v>
      </c>
      <c r="L4249" s="91" t="str">
        <f t="shared" si="8"/>
        <v>Sun</v>
      </c>
      <c r="M4249" s="78" t="str">
        <f>IFERROR(VLOOKUP(A4249, Entries!A:B,2,false),"")</f>
        <v>Starbreeze Publishing</v>
      </c>
      <c r="N4249" s="23" t="str">
        <f>IFERROR(VLOOKUP(A4249, Entries!A:K,11,false),"")</f>
        <v/>
      </c>
      <c r="O4249" s="23" t="b">
        <f>IFERROR(VLOOKUP(A4249, Entries!A:I,8,false),"")</f>
        <v>1</v>
      </c>
    </row>
    <row r="4250">
      <c r="A4250" s="78" t="s">
        <v>272</v>
      </c>
      <c r="B4250" s="78" t="s">
        <v>19</v>
      </c>
      <c r="C4250" s="85">
        <v>45186.0</v>
      </c>
      <c r="D4250" s="85">
        <v>45187.0</v>
      </c>
      <c r="E4250" s="86">
        <v>0.94</v>
      </c>
      <c r="F4250" s="87">
        <v>1.2</v>
      </c>
      <c r="G4250" s="88">
        <f t="shared" si="1"/>
        <v>0.26</v>
      </c>
      <c r="H4250" s="89">
        <f t="shared" si="10"/>
        <v>0.2166666667</v>
      </c>
      <c r="I4250" s="78" t="s">
        <v>5019</v>
      </c>
      <c r="J4250" s="78" t="s">
        <v>69</v>
      </c>
      <c r="K4250" s="58">
        <f t="shared" si="14"/>
        <v>1</v>
      </c>
      <c r="L4250" s="91" t="str">
        <f t="shared" si="8"/>
        <v>Mon</v>
      </c>
      <c r="M4250" s="78" t="str">
        <f>IFERROR(VLOOKUP(A4250, Entries!A:B,2,false),"")</f>
        <v>Starbreeze Publishing</v>
      </c>
      <c r="N4250" s="23" t="str">
        <f>IFERROR(VLOOKUP(A4250, Entries!A:K,11,false),"")</f>
        <v/>
      </c>
      <c r="O4250" s="23" t="b">
        <f>IFERROR(VLOOKUP(A4250, Entries!A:I,8,false),"")</f>
        <v>1</v>
      </c>
    </row>
    <row r="4251">
      <c r="A4251" s="78" t="s">
        <v>272</v>
      </c>
      <c r="B4251" s="78" t="s">
        <v>19</v>
      </c>
      <c r="C4251" s="85">
        <v>45186.0</v>
      </c>
      <c r="D4251" s="85">
        <v>45187.0</v>
      </c>
      <c r="E4251" s="86">
        <v>0.94</v>
      </c>
      <c r="F4251" s="87">
        <v>1.2</v>
      </c>
      <c r="G4251" s="88">
        <f t="shared" si="1"/>
        <v>0.26</v>
      </c>
      <c r="H4251" s="89">
        <f t="shared" si="10"/>
        <v>0.2166666667</v>
      </c>
      <c r="I4251" s="78" t="s">
        <v>5020</v>
      </c>
      <c r="J4251" s="78" t="s">
        <v>69</v>
      </c>
      <c r="K4251" s="58">
        <f t="shared" si="14"/>
        <v>1</v>
      </c>
      <c r="L4251" s="91" t="str">
        <f t="shared" si="8"/>
        <v>Mon</v>
      </c>
      <c r="M4251" s="78" t="str">
        <f>IFERROR(VLOOKUP(A4251, Entries!A:B,2,false),"")</f>
        <v>Starbreeze Publishing</v>
      </c>
      <c r="N4251" s="23" t="str">
        <f>IFERROR(VLOOKUP(A4251, Entries!A:K,11,false),"")</f>
        <v/>
      </c>
      <c r="O4251" s="23" t="b">
        <f>IFERROR(VLOOKUP(A4251, Entries!A:I,8,false),"")</f>
        <v>1</v>
      </c>
    </row>
    <row r="4252">
      <c r="A4252" s="78" t="s">
        <v>272</v>
      </c>
      <c r="B4252" s="78" t="s">
        <v>19</v>
      </c>
      <c r="C4252" s="85">
        <v>45186.0</v>
      </c>
      <c r="D4252" s="85">
        <v>45192.0</v>
      </c>
      <c r="E4252" s="86">
        <v>0.94</v>
      </c>
      <c r="F4252" s="87">
        <v>1.17</v>
      </c>
      <c r="G4252" s="88">
        <f t="shared" si="1"/>
        <v>0.23</v>
      </c>
      <c r="H4252" s="89">
        <f t="shared" si="10"/>
        <v>0.1965811966</v>
      </c>
      <c r="I4252" s="78" t="s">
        <v>5021</v>
      </c>
      <c r="J4252" s="78" t="s">
        <v>69</v>
      </c>
      <c r="K4252" s="58">
        <f t="shared" si="14"/>
        <v>6</v>
      </c>
      <c r="L4252" s="91" t="str">
        <f t="shared" si="8"/>
        <v>Sat</v>
      </c>
      <c r="M4252" s="78" t="str">
        <f>IFERROR(VLOOKUP(A4252, Entries!A:B,2,false),"")</f>
        <v>Starbreeze Publishing</v>
      </c>
      <c r="N4252" s="23" t="str">
        <f>IFERROR(VLOOKUP(A4252, Entries!A:K,11,false),"")</f>
        <v/>
      </c>
      <c r="O4252" s="23" t="b">
        <f>IFERROR(VLOOKUP(A4252, Entries!A:I,8,false),"")</f>
        <v>1</v>
      </c>
    </row>
    <row r="4253">
      <c r="A4253" s="78" t="s">
        <v>272</v>
      </c>
      <c r="B4253" s="78" t="s">
        <v>19</v>
      </c>
      <c r="C4253" s="85">
        <v>45186.0</v>
      </c>
      <c r="D4253" s="85">
        <v>45192.0</v>
      </c>
      <c r="E4253" s="86">
        <v>0.94</v>
      </c>
      <c r="F4253" s="87">
        <v>1.17</v>
      </c>
      <c r="G4253" s="88">
        <f t="shared" si="1"/>
        <v>0.23</v>
      </c>
      <c r="H4253" s="89">
        <f t="shared" si="10"/>
        <v>0.1965811966</v>
      </c>
      <c r="I4253" s="78" t="s">
        <v>5022</v>
      </c>
      <c r="J4253" s="78" t="s">
        <v>69</v>
      </c>
      <c r="K4253" s="58">
        <f t="shared" si="14"/>
        <v>6</v>
      </c>
      <c r="L4253" s="91" t="str">
        <f t="shared" si="8"/>
        <v>Sat</v>
      </c>
      <c r="M4253" s="78" t="str">
        <f>IFERROR(VLOOKUP(A4253, Entries!A:B,2,false),"")</f>
        <v>Starbreeze Publishing</v>
      </c>
      <c r="N4253" s="23" t="str">
        <f>IFERROR(VLOOKUP(A4253, Entries!A:K,11,false),"")</f>
        <v/>
      </c>
      <c r="O4253" s="23" t="b">
        <f>IFERROR(VLOOKUP(A4253, Entries!A:I,8,false),"")</f>
        <v>1</v>
      </c>
    </row>
    <row r="4254">
      <c r="A4254" s="78" t="s">
        <v>2818</v>
      </c>
      <c r="B4254" s="78" t="s">
        <v>27</v>
      </c>
      <c r="C4254" s="85">
        <v>45188.0</v>
      </c>
      <c r="D4254" s="85">
        <v>45190.0</v>
      </c>
      <c r="E4254" s="86">
        <v>6.99</v>
      </c>
      <c r="F4254" s="87">
        <v>8.89</v>
      </c>
      <c r="G4254" s="88">
        <f t="shared" si="1"/>
        <v>1.9</v>
      </c>
      <c r="H4254" s="89">
        <f t="shared" si="10"/>
        <v>0.2137232846</v>
      </c>
      <c r="I4254" s="78" t="s">
        <v>5023</v>
      </c>
      <c r="J4254" s="78" t="s">
        <v>69</v>
      </c>
      <c r="K4254" s="58">
        <f t="shared" si="14"/>
        <v>2</v>
      </c>
      <c r="L4254" s="91" t="str">
        <f t="shared" si="8"/>
        <v>Thu</v>
      </c>
      <c r="M4254" s="78" t="str">
        <f>IFERROR(VLOOKUP(A4254, Entries!A:B,2,false),"")</f>
        <v>Daedalic Entertainment</v>
      </c>
      <c r="N4254" s="23" t="str">
        <f>IFERROR(VLOOKUP(A4254, Entries!A:K,11,false),"")</f>
        <v/>
      </c>
      <c r="O4254" s="23" t="b">
        <f>IFERROR(VLOOKUP(A4254, Entries!A:I,8,false),"")</f>
        <v>1</v>
      </c>
    </row>
    <row r="4255">
      <c r="A4255" s="78" t="s">
        <v>4914</v>
      </c>
      <c r="B4255" s="78" t="s">
        <v>27</v>
      </c>
      <c r="C4255" s="85">
        <v>45188.0</v>
      </c>
      <c r="D4255" s="85">
        <v>45191.0</v>
      </c>
      <c r="E4255" s="86">
        <v>14.39</v>
      </c>
      <c r="F4255" s="87">
        <v>16.76</v>
      </c>
      <c r="G4255" s="88">
        <f t="shared" si="1"/>
        <v>2.37</v>
      </c>
      <c r="H4255" s="89">
        <f t="shared" si="10"/>
        <v>0.1414081146</v>
      </c>
      <c r="I4255" s="78" t="s">
        <v>5024</v>
      </c>
      <c r="J4255" s="78" t="s">
        <v>69</v>
      </c>
      <c r="K4255" s="58">
        <f t="shared" si="14"/>
        <v>3</v>
      </c>
      <c r="L4255" s="91" t="str">
        <f t="shared" si="8"/>
        <v>Fri</v>
      </c>
      <c r="M4255" s="78" t="str">
        <f>IFERROR(VLOOKUP(A4255, Entries!A:B,2,false),"")</f>
        <v>Deep Silver</v>
      </c>
      <c r="N4255" s="23" t="str">
        <f>IFERROR(VLOOKUP(A4255, Entries!A:K,11,false),"")</f>
        <v/>
      </c>
    </row>
    <row r="4256">
      <c r="A4256" s="78" t="s">
        <v>4494</v>
      </c>
      <c r="B4256" s="78" t="s">
        <v>18</v>
      </c>
      <c r="C4256" s="85">
        <v>45188.0</v>
      </c>
      <c r="D4256" s="85">
        <v>45200.0</v>
      </c>
      <c r="E4256" s="86">
        <v>5.19</v>
      </c>
      <c r="F4256" s="87">
        <v>6.4</v>
      </c>
      <c r="G4256" s="88">
        <f t="shared" si="1"/>
        <v>1.21</v>
      </c>
      <c r="H4256" s="89">
        <f t="shared" si="10"/>
        <v>0.1890625</v>
      </c>
      <c r="I4256" s="78" t="s">
        <v>5025</v>
      </c>
      <c r="J4256" s="78" t="s">
        <v>69</v>
      </c>
      <c r="K4256" s="58">
        <f t="shared" si="14"/>
        <v>12</v>
      </c>
      <c r="L4256" s="91" t="str">
        <f t="shared" si="8"/>
        <v>Sun</v>
      </c>
      <c r="M4256" s="78" t="str">
        <f>IFERROR(VLOOKUP(A4256, Entries!A:B,2,false),"")</f>
        <v>Skystone Games</v>
      </c>
      <c r="N4256" s="23" t="str">
        <f>IFERROR(VLOOKUP(A4256, Entries!A:K,11,false),"")</f>
        <v/>
      </c>
    </row>
    <row r="4257">
      <c r="A4257" s="78" t="s">
        <v>4494</v>
      </c>
      <c r="B4257" s="78" t="s">
        <v>18</v>
      </c>
      <c r="C4257" s="85">
        <v>45188.0</v>
      </c>
      <c r="D4257" s="85">
        <v>45201.0</v>
      </c>
      <c r="E4257" s="86">
        <v>5.2</v>
      </c>
      <c r="F4257" s="87">
        <v>6.13</v>
      </c>
      <c r="G4257" s="88">
        <f t="shared" si="1"/>
        <v>0.93</v>
      </c>
      <c r="H4257" s="89">
        <f t="shared" si="10"/>
        <v>0.1517128874</v>
      </c>
      <c r="I4257" s="78" t="s">
        <v>5026</v>
      </c>
      <c r="J4257" s="78" t="s">
        <v>69</v>
      </c>
      <c r="K4257" s="58">
        <f t="shared" si="14"/>
        <v>13</v>
      </c>
      <c r="L4257" s="91" t="str">
        <f t="shared" si="8"/>
        <v>Mon</v>
      </c>
      <c r="M4257" s="78" t="str">
        <f>IFERROR(VLOOKUP(A4257, Entries!A:B,2,false),"")</f>
        <v>Skystone Games</v>
      </c>
      <c r="N4257" s="23" t="str">
        <f>IFERROR(VLOOKUP(A4257, Entries!A:K,11,false),"")</f>
        <v/>
      </c>
    </row>
    <row r="4258">
      <c r="A4258" s="78" t="s">
        <v>4926</v>
      </c>
      <c r="B4258" s="78" t="s">
        <v>27</v>
      </c>
      <c r="C4258" s="85">
        <v>45188.0</v>
      </c>
      <c r="D4258" s="85">
        <v>45191.0</v>
      </c>
      <c r="E4258" s="86">
        <v>8.19</v>
      </c>
      <c r="F4258" s="87">
        <v>8.66</v>
      </c>
      <c r="G4258" s="88">
        <f t="shared" si="1"/>
        <v>0.47</v>
      </c>
      <c r="H4258" s="89">
        <f t="shared" si="10"/>
        <v>0.05427251732</v>
      </c>
      <c r="I4258" s="78" t="s">
        <v>5027</v>
      </c>
      <c r="J4258" s="78" t="s">
        <v>69</v>
      </c>
      <c r="K4258" s="58">
        <f t="shared" si="14"/>
        <v>3</v>
      </c>
      <c r="L4258" s="91" t="str">
        <f t="shared" si="8"/>
        <v>Fri</v>
      </c>
      <c r="M4258" s="78" t="str">
        <f>IFERROR(VLOOKUP(A4258, Entries!A:B,2,false),"")</f>
        <v>Bethesda Softworks</v>
      </c>
      <c r="N4258" s="23" t="str">
        <f>IFERROR(VLOOKUP(A4258, Entries!A:K,11,false),"")</f>
        <v/>
      </c>
    </row>
    <row r="4259">
      <c r="A4259" s="78" t="s">
        <v>3798</v>
      </c>
      <c r="B4259" s="78" t="s">
        <v>19</v>
      </c>
      <c r="C4259" s="85">
        <v>45188.0</v>
      </c>
      <c r="D4259" s="25"/>
      <c r="E4259" s="86">
        <v>9.97</v>
      </c>
      <c r="F4259" s="88"/>
      <c r="G4259" s="88">
        <f t="shared" si="1"/>
        <v>-9.97</v>
      </c>
      <c r="H4259" s="89" t="str">
        <f t="shared" si="10"/>
        <v/>
      </c>
      <c r="I4259" s="103" t="s">
        <v>5028</v>
      </c>
      <c r="J4259" s="78" t="s">
        <v>1129</v>
      </c>
      <c r="K4259" s="58" t="str">
        <f t="shared" si="14"/>
        <v/>
      </c>
      <c r="L4259" s="91" t="str">
        <f t="shared" si="8"/>
        <v/>
      </c>
      <c r="M4259" s="78" t="str">
        <f>IFERROR(VLOOKUP(A4259, Entries!A:B,2,false),"")</f>
        <v>Good Shepherd Entertainment</v>
      </c>
      <c r="N4259" s="23" t="str">
        <f>IFERROR(VLOOKUP(A4259, Entries!A:K,11,false),"")</f>
        <v/>
      </c>
      <c r="O4259" s="23" t="b">
        <f>IFERROR(VLOOKUP(A4259, Entries!A:I,8,false),"")</f>
        <v>0</v>
      </c>
    </row>
    <row r="4260">
      <c r="A4260" s="78" t="s">
        <v>5029</v>
      </c>
      <c r="B4260" s="78" t="s">
        <v>25</v>
      </c>
      <c r="C4260" s="85">
        <v>45188.0</v>
      </c>
      <c r="D4260" s="85">
        <v>45188.0</v>
      </c>
      <c r="E4260" s="86">
        <v>39.79</v>
      </c>
      <c r="F4260" s="87">
        <v>46.74</v>
      </c>
      <c r="G4260" s="88">
        <f t="shared" si="1"/>
        <v>6.95</v>
      </c>
      <c r="H4260" s="89">
        <f t="shared" si="10"/>
        <v>0.148694908</v>
      </c>
      <c r="I4260" s="78" t="s">
        <v>5030</v>
      </c>
      <c r="J4260" s="78" t="s">
        <v>69</v>
      </c>
      <c r="K4260" s="58">
        <f t="shared" si="14"/>
        <v>0</v>
      </c>
      <c r="L4260" s="91" t="str">
        <f t="shared" si="8"/>
        <v>Tue</v>
      </c>
      <c r="M4260" s="78" t="str">
        <f>IFERROR(VLOOKUP(A4260, Entries!A:B,2,false),"")</f>
        <v>NEOWIZ</v>
      </c>
      <c r="N4260" s="23" t="str">
        <f>IFERROR(VLOOKUP(A4260, Entries!A:K,11,false),"")</f>
        <v/>
      </c>
    </row>
    <row r="4261">
      <c r="A4261" s="78" t="s">
        <v>3979</v>
      </c>
      <c r="B4261" s="78" t="s">
        <v>22</v>
      </c>
      <c r="C4261" s="85">
        <v>45189.0</v>
      </c>
      <c r="D4261" s="85">
        <v>45195.0</v>
      </c>
      <c r="E4261" s="86">
        <v>31.15</v>
      </c>
      <c r="F4261" s="87">
        <v>33.93</v>
      </c>
      <c r="G4261" s="88">
        <f t="shared" si="1"/>
        <v>2.78</v>
      </c>
      <c r="H4261" s="89">
        <f t="shared" si="10"/>
        <v>0.08193339228</v>
      </c>
      <c r="I4261" s="78" t="s">
        <v>5031</v>
      </c>
      <c r="J4261" s="78" t="s">
        <v>69</v>
      </c>
      <c r="K4261" s="58">
        <f t="shared" si="14"/>
        <v>6</v>
      </c>
      <c r="L4261" s="91" t="str">
        <f t="shared" si="8"/>
        <v>Tue</v>
      </c>
      <c r="M4261" s="78" t="str">
        <f>IFERROR(VLOOKUP(A4261, Entries!A:B,2,false),"")</f>
        <v>Square Enix</v>
      </c>
      <c r="N4261" s="23" t="str">
        <f>IFERROR(VLOOKUP(A4261, Entries!A:K,11,false),"")</f>
        <v/>
      </c>
    </row>
    <row r="4262">
      <c r="A4262" s="78" t="s">
        <v>4966</v>
      </c>
      <c r="B4262" s="78" t="s">
        <v>21</v>
      </c>
      <c r="C4262" s="85">
        <v>45189.0</v>
      </c>
      <c r="D4262" s="85">
        <v>45190.0</v>
      </c>
      <c r="E4262" s="86">
        <v>16.83</v>
      </c>
      <c r="F4262" s="87">
        <v>17.97</v>
      </c>
      <c r="G4262" s="88">
        <f t="shared" si="1"/>
        <v>1.14</v>
      </c>
      <c r="H4262" s="89">
        <f t="shared" si="10"/>
        <v>0.06343906511</v>
      </c>
      <c r="I4262" s="78" t="s">
        <v>5032</v>
      </c>
      <c r="J4262" s="78" t="s">
        <v>69</v>
      </c>
      <c r="K4262" s="58">
        <f t="shared" si="14"/>
        <v>1</v>
      </c>
      <c r="L4262" s="91" t="str">
        <f t="shared" si="8"/>
        <v>Thu</v>
      </c>
      <c r="M4262" s="78" t="str">
        <f>IFERROR(VLOOKUP(A4262, Entries!A:B,2,false),"")</f>
        <v>Hello Games</v>
      </c>
      <c r="N4262" s="23" t="str">
        <f>IFERROR(VLOOKUP(A4262, Entries!A:K,11,false),"")</f>
        <v/>
      </c>
    </row>
    <row r="4263">
      <c r="A4263" s="78" t="s">
        <v>5033</v>
      </c>
      <c r="B4263" s="78" t="s">
        <v>27</v>
      </c>
      <c r="C4263" s="85">
        <v>45189.0</v>
      </c>
      <c r="D4263" s="85">
        <v>45191.0</v>
      </c>
      <c r="E4263" s="86">
        <v>9.89</v>
      </c>
      <c r="F4263" s="87">
        <v>11.38</v>
      </c>
      <c r="G4263" s="88">
        <f t="shared" si="1"/>
        <v>1.49</v>
      </c>
      <c r="H4263" s="89">
        <f t="shared" si="10"/>
        <v>0.1309314587</v>
      </c>
      <c r="I4263" s="78" t="s">
        <v>5034</v>
      </c>
      <c r="J4263" s="78" t="s">
        <v>69</v>
      </c>
      <c r="K4263" s="58">
        <f t="shared" si="14"/>
        <v>2</v>
      </c>
      <c r="L4263" s="91" t="str">
        <f t="shared" si="8"/>
        <v>Fri</v>
      </c>
      <c r="M4263" s="78" t="str">
        <f>IFERROR(VLOOKUP(A4263, Entries!A:B,2,false),"")</f>
        <v>Freedom Games</v>
      </c>
      <c r="N4263" s="23" t="str">
        <f>IFERROR(VLOOKUP(A4263, Entries!A:K,11,false),"")</f>
        <v/>
      </c>
    </row>
    <row r="4264">
      <c r="A4264" s="78" t="s">
        <v>3771</v>
      </c>
      <c r="B4264" s="78" t="s">
        <v>27</v>
      </c>
      <c r="C4264" s="85">
        <v>45189.0</v>
      </c>
      <c r="D4264" s="85">
        <v>45192.0</v>
      </c>
      <c r="E4264" s="86">
        <v>9.89</v>
      </c>
      <c r="F4264" s="87">
        <v>11.64</v>
      </c>
      <c r="G4264" s="88">
        <f t="shared" si="1"/>
        <v>1.75</v>
      </c>
      <c r="H4264" s="89">
        <f t="shared" si="10"/>
        <v>0.1503436426</v>
      </c>
      <c r="I4264" s="78" t="s">
        <v>5035</v>
      </c>
      <c r="J4264" s="78" t="s">
        <v>69</v>
      </c>
      <c r="K4264" s="58">
        <f t="shared" si="14"/>
        <v>3</v>
      </c>
      <c r="L4264" s="91" t="str">
        <f t="shared" si="8"/>
        <v>Sat</v>
      </c>
      <c r="M4264" s="78" t="str">
        <f>IFERROR(VLOOKUP(A4264, Entries!A:B,2,false),"")</f>
        <v>Good Shepherd Entertainment</v>
      </c>
      <c r="N4264" s="23" t="str">
        <f>IFERROR(VLOOKUP(A4264, Entries!A:K,11,false),"")</f>
        <v/>
      </c>
    </row>
    <row r="4265">
      <c r="A4265" s="78" t="s">
        <v>3738</v>
      </c>
      <c r="B4265" s="78" t="s">
        <v>22</v>
      </c>
      <c r="C4265" s="85">
        <v>45189.0</v>
      </c>
      <c r="D4265" s="85">
        <v>45196.0</v>
      </c>
      <c r="E4265" s="86">
        <v>27.33</v>
      </c>
      <c r="F4265" s="87">
        <v>29.85</v>
      </c>
      <c r="G4265" s="88">
        <f t="shared" si="1"/>
        <v>2.52</v>
      </c>
      <c r="H4265" s="89">
        <f t="shared" si="10"/>
        <v>0.08442211055</v>
      </c>
      <c r="I4265" s="78" t="s">
        <v>5036</v>
      </c>
      <c r="J4265" s="78" t="s">
        <v>69</v>
      </c>
      <c r="K4265" s="58">
        <f t="shared" si="14"/>
        <v>7</v>
      </c>
      <c r="L4265" s="91" t="str">
        <f t="shared" si="8"/>
        <v>Wed</v>
      </c>
      <c r="M4265" s="78" t="str">
        <f>IFERROR(VLOOKUP(A4265, Entries!A:B,2,false),"")</f>
        <v>Square Enix</v>
      </c>
      <c r="N4265" s="23" t="str">
        <f>IFERROR(VLOOKUP(A4265, Entries!A:K,11,false),"")</f>
        <v/>
      </c>
    </row>
    <row r="4266">
      <c r="A4266" s="78" t="s">
        <v>2734</v>
      </c>
      <c r="B4266" s="78" t="s">
        <v>19</v>
      </c>
      <c r="C4266" s="85">
        <v>45189.0</v>
      </c>
      <c r="D4266" s="85">
        <v>45198.0</v>
      </c>
      <c r="E4266" s="86">
        <v>11.87</v>
      </c>
      <c r="F4266" s="87">
        <v>12.5</v>
      </c>
      <c r="G4266" s="88">
        <f t="shared" si="1"/>
        <v>0.63</v>
      </c>
      <c r="H4266" s="89">
        <f t="shared" si="10"/>
        <v>0.0504</v>
      </c>
      <c r="I4266" s="78" t="s">
        <v>5037</v>
      </c>
      <c r="J4266" s="78" t="s">
        <v>69</v>
      </c>
      <c r="K4266" s="58">
        <f t="shared" si="14"/>
        <v>9</v>
      </c>
      <c r="L4266" s="91" t="str">
        <f t="shared" si="8"/>
        <v>Fri</v>
      </c>
      <c r="M4266" s="78" t="str">
        <f>IFERROR(VLOOKUP(A4266, Entries!A:B,2,false),"")</f>
        <v>Dotemu</v>
      </c>
      <c r="N4266" s="23" t="str">
        <f>IFERROR(VLOOKUP(A4266, Entries!A:K,11,false),"")</f>
        <v/>
      </c>
    </row>
    <row r="4267">
      <c r="A4267" s="78" t="s">
        <v>3897</v>
      </c>
      <c r="B4267" s="78" t="s">
        <v>27</v>
      </c>
      <c r="C4267" s="85">
        <v>45190.0</v>
      </c>
      <c r="D4267" s="85">
        <v>45190.0</v>
      </c>
      <c r="E4267" s="86">
        <v>4.59</v>
      </c>
      <c r="F4267" s="87">
        <v>5.87</v>
      </c>
      <c r="G4267" s="88">
        <f t="shared" si="1"/>
        <v>1.28</v>
      </c>
      <c r="H4267" s="89">
        <f t="shared" si="10"/>
        <v>0.2180579216</v>
      </c>
      <c r="I4267" s="78" t="s">
        <v>5038</v>
      </c>
      <c r="J4267" s="78" t="s">
        <v>69</v>
      </c>
      <c r="K4267" s="58">
        <f t="shared" si="14"/>
        <v>0</v>
      </c>
      <c r="L4267" s="91" t="str">
        <f t="shared" si="8"/>
        <v>Thu</v>
      </c>
      <c r="M4267" s="78" t="str">
        <f>IFERROR(VLOOKUP(A4267, Entries!A:B,2,false),"")</f>
        <v>Bethesda Softworks</v>
      </c>
      <c r="N4267" s="23" t="str">
        <f>IFERROR(VLOOKUP(A4267, Entries!A:K,11,false),"")</f>
        <v/>
      </c>
    </row>
    <row r="4268">
      <c r="A4268" s="78" t="s">
        <v>4085</v>
      </c>
      <c r="B4268" s="78" t="s">
        <v>27</v>
      </c>
      <c r="C4268" s="85">
        <v>45190.0</v>
      </c>
      <c r="D4268" s="85">
        <v>45196.0</v>
      </c>
      <c r="E4268" s="86">
        <v>6.99</v>
      </c>
      <c r="F4268" s="87">
        <v>9.22</v>
      </c>
      <c r="G4268" s="88">
        <f t="shared" si="1"/>
        <v>2.23</v>
      </c>
      <c r="H4268" s="89">
        <f t="shared" si="10"/>
        <v>0.2418655098</v>
      </c>
      <c r="I4268" s="78" t="s">
        <v>5039</v>
      </c>
      <c r="J4268" s="78" t="s">
        <v>69</v>
      </c>
      <c r="K4268" s="58">
        <f t="shared" si="14"/>
        <v>6</v>
      </c>
      <c r="L4268" s="91" t="str">
        <f t="shared" si="8"/>
        <v>Wed</v>
      </c>
      <c r="M4268" s="78" t="str">
        <f>IFERROR(VLOOKUP(A4268, Entries!A:B,2,false),"")</f>
        <v>Bethesda Softworks</v>
      </c>
      <c r="N4268" s="23" t="str">
        <f>IFERROR(VLOOKUP(A4268, Entries!A:K,11,false),"")</f>
        <v/>
      </c>
    </row>
    <row r="4269">
      <c r="A4269" s="78" t="s">
        <v>3897</v>
      </c>
      <c r="B4269" s="78" t="s">
        <v>27</v>
      </c>
      <c r="C4269" s="85">
        <v>45190.0</v>
      </c>
      <c r="D4269" s="85">
        <v>45195.0</v>
      </c>
      <c r="E4269" s="86">
        <v>4.59</v>
      </c>
      <c r="F4269" s="87">
        <v>5.75</v>
      </c>
      <c r="G4269" s="88">
        <f t="shared" si="1"/>
        <v>1.16</v>
      </c>
      <c r="H4269" s="89">
        <f t="shared" si="10"/>
        <v>0.2017391304</v>
      </c>
      <c r="I4269" s="78" t="s">
        <v>5040</v>
      </c>
      <c r="J4269" s="78" t="s">
        <v>69</v>
      </c>
      <c r="K4269" s="58">
        <f t="shared" si="14"/>
        <v>5</v>
      </c>
      <c r="L4269" s="91" t="str">
        <f t="shared" si="8"/>
        <v>Tue</v>
      </c>
      <c r="M4269" s="78" t="str">
        <f>IFERROR(VLOOKUP(A4269, Entries!A:B,2,false),"")</f>
        <v>Bethesda Softworks</v>
      </c>
      <c r="N4269" s="23" t="str">
        <f>IFERROR(VLOOKUP(A4269, Entries!A:K,11,false),"")</f>
        <v/>
      </c>
    </row>
    <row r="4270">
      <c r="A4270" s="78" t="s">
        <v>1905</v>
      </c>
      <c r="B4270" s="78" t="s">
        <v>35</v>
      </c>
      <c r="C4270" s="85">
        <v>45190.0</v>
      </c>
      <c r="D4270" s="85">
        <v>45233.0</v>
      </c>
      <c r="E4270" s="86">
        <v>11.06</v>
      </c>
      <c r="F4270" s="87">
        <v>13.01</v>
      </c>
      <c r="G4270" s="88">
        <f t="shared" si="1"/>
        <v>1.95</v>
      </c>
      <c r="H4270" s="89">
        <f t="shared" si="10"/>
        <v>0.1498847041</v>
      </c>
      <c r="I4270" s="78" t="s">
        <v>5041</v>
      </c>
      <c r="J4270" s="78" t="s">
        <v>69</v>
      </c>
      <c r="K4270" s="58">
        <f t="shared" si="14"/>
        <v>43</v>
      </c>
      <c r="L4270" s="91" t="str">
        <f t="shared" si="8"/>
        <v>Fri</v>
      </c>
      <c r="M4270" s="78" t="str">
        <f>IFERROR(VLOOKUP(A4270, Entries!A:B,2,false),"")</f>
        <v>Dovetail Games</v>
      </c>
      <c r="N4270" s="23" t="str">
        <f>IFERROR(VLOOKUP(A4270, Entries!A:K,11,false),"")</f>
        <v/>
      </c>
    </row>
    <row r="4271">
      <c r="A4271" s="78" t="s">
        <v>4880</v>
      </c>
      <c r="B4271" s="78" t="s">
        <v>22</v>
      </c>
      <c r="C4271" s="85">
        <v>45190.0</v>
      </c>
      <c r="D4271" s="85">
        <v>46080.0</v>
      </c>
      <c r="E4271" s="86">
        <v>15.33</v>
      </c>
      <c r="F4271" s="87">
        <v>15.33</v>
      </c>
      <c r="G4271" s="88">
        <f t="shared" si="1"/>
        <v>0</v>
      </c>
      <c r="H4271" s="89">
        <f t="shared" si="10"/>
        <v>0</v>
      </c>
      <c r="I4271" s="103" t="s">
        <v>5042</v>
      </c>
      <c r="J4271" s="78" t="s">
        <v>69</v>
      </c>
      <c r="K4271" s="58">
        <f t="shared" si="14"/>
        <v>890</v>
      </c>
      <c r="L4271" s="91" t="str">
        <f t="shared" si="8"/>
        <v>Fri</v>
      </c>
      <c r="M4271" s="78" t="str">
        <f>IFERROR(VLOOKUP(A4271, Entries!A:B,2,false),"")</f>
        <v>Vector3 Studio</v>
      </c>
      <c r="N4271" s="23" t="str">
        <f>IFERROR(VLOOKUP(A4271, Entries!A:K,11,false),"")</f>
        <v/>
      </c>
      <c r="P4271" s="78" t="s">
        <v>5043</v>
      </c>
    </row>
    <row r="4272">
      <c r="A4272" s="78" t="s">
        <v>4880</v>
      </c>
      <c r="B4272" s="78" t="s">
        <v>22</v>
      </c>
      <c r="C4272" s="85">
        <v>45190.0</v>
      </c>
      <c r="D4272" s="85">
        <v>46088.0</v>
      </c>
      <c r="E4272" s="86">
        <v>15.33</v>
      </c>
      <c r="F4272" s="87">
        <v>15.34</v>
      </c>
      <c r="G4272" s="88">
        <f t="shared" si="1"/>
        <v>0.01</v>
      </c>
      <c r="H4272" s="89">
        <f t="shared" si="10"/>
        <v>0.0006518904824</v>
      </c>
      <c r="I4272" s="103" t="s">
        <v>5044</v>
      </c>
      <c r="J4272" s="78" t="s">
        <v>69</v>
      </c>
      <c r="K4272" s="58">
        <f t="shared" si="14"/>
        <v>898</v>
      </c>
      <c r="L4272" s="91" t="str">
        <f t="shared" si="8"/>
        <v>Sat</v>
      </c>
      <c r="M4272" s="78" t="str">
        <f>IFERROR(VLOOKUP(A4272, Entries!A:B,2,false),"")</f>
        <v>Vector3 Studio</v>
      </c>
      <c r="N4272" s="23" t="str">
        <f>IFERROR(VLOOKUP(A4272, Entries!A:K,11,false),"")</f>
        <v/>
      </c>
      <c r="P4272" s="78" t="s">
        <v>5043</v>
      </c>
    </row>
    <row r="4273">
      <c r="A4273" s="78" t="s">
        <v>1338</v>
      </c>
      <c r="B4273" s="78" t="s">
        <v>25</v>
      </c>
      <c r="C4273" s="85">
        <v>45190.0</v>
      </c>
      <c r="D4273" s="85">
        <v>45193.0</v>
      </c>
      <c r="E4273" s="86">
        <v>4.26</v>
      </c>
      <c r="F4273" s="87">
        <v>4.74</v>
      </c>
      <c r="G4273" s="88">
        <f t="shared" si="1"/>
        <v>0.48</v>
      </c>
      <c r="H4273" s="89">
        <f t="shared" si="10"/>
        <v>0.1012658228</v>
      </c>
      <c r="I4273" s="78" t="s">
        <v>5045</v>
      </c>
      <c r="J4273" s="78" t="s">
        <v>69</v>
      </c>
      <c r="K4273" s="58">
        <f t="shared" si="14"/>
        <v>3</v>
      </c>
      <c r="L4273" s="91" t="str">
        <f t="shared" si="8"/>
        <v>Sun</v>
      </c>
      <c r="M4273" s="78" t="str">
        <f>IFERROR(VLOOKUP(A4273, Entries!A:B,2,false),"")</f>
        <v>SEGA</v>
      </c>
      <c r="N4273" s="23" t="str">
        <f>IFERROR(VLOOKUP(A4273, Entries!A:K,11,false),"")</f>
        <v/>
      </c>
    </row>
    <row r="4274">
      <c r="A4274" s="78" t="s">
        <v>1307</v>
      </c>
      <c r="B4274" s="78" t="s">
        <v>19</v>
      </c>
      <c r="C4274" s="85">
        <v>45190.0</v>
      </c>
      <c r="D4274" s="85">
        <v>45241.0</v>
      </c>
      <c r="E4274" s="86">
        <v>6.26</v>
      </c>
      <c r="F4274" s="87">
        <v>7.78</v>
      </c>
      <c r="G4274" s="88">
        <f t="shared" si="1"/>
        <v>1.52</v>
      </c>
      <c r="H4274" s="89">
        <f t="shared" si="10"/>
        <v>0.1953727506</v>
      </c>
      <c r="I4274" s="78" t="s">
        <v>5046</v>
      </c>
      <c r="J4274" s="78" t="s">
        <v>69</v>
      </c>
      <c r="K4274" s="58">
        <f t="shared" si="14"/>
        <v>51</v>
      </c>
      <c r="L4274" s="91" t="str">
        <f t="shared" si="8"/>
        <v>Sat</v>
      </c>
      <c r="M4274" s="78" t="str">
        <f>IFERROR(VLOOKUP(A4274, Entries!A:B,2,false),"")</f>
        <v>SEGA</v>
      </c>
      <c r="N4274" s="23" t="str">
        <f>IFERROR(VLOOKUP(A4274, Entries!A:K,11,false),"")</f>
        <v/>
      </c>
    </row>
    <row r="4275">
      <c r="A4275" s="78" t="s">
        <v>2148</v>
      </c>
      <c r="B4275" s="78" t="s">
        <v>18</v>
      </c>
      <c r="C4275" s="85">
        <v>45191.0</v>
      </c>
      <c r="D4275" s="85">
        <v>45194.0</v>
      </c>
      <c r="E4275" s="86">
        <v>10.49</v>
      </c>
      <c r="F4275" s="87">
        <v>17.76</v>
      </c>
      <c r="G4275" s="88">
        <f t="shared" si="1"/>
        <v>7.27</v>
      </c>
      <c r="H4275" s="89">
        <f t="shared" si="10"/>
        <v>0.4093468468</v>
      </c>
      <c r="I4275" s="78" t="s">
        <v>5047</v>
      </c>
      <c r="J4275" s="78" t="s">
        <v>69</v>
      </c>
      <c r="K4275" s="58">
        <f t="shared" si="14"/>
        <v>3</v>
      </c>
      <c r="L4275" s="91" t="str">
        <f t="shared" si="8"/>
        <v>Mon</v>
      </c>
      <c r="M4275" s="78" t="str">
        <f>IFERROR(VLOOKUP(A4275, Entries!A:B,2,false),"")</f>
        <v>Wired Productions</v>
      </c>
      <c r="N4275" s="23" t="str">
        <f>IFERROR(VLOOKUP(A4275, Entries!A:K,11,false),"")</f>
        <v/>
      </c>
    </row>
    <row r="4276">
      <c r="A4276" s="78" t="s">
        <v>1596</v>
      </c>
      <c r="B4276" s="78" t="s">
        <v>18</v>
      </c>
      <c r="C4276" s="85">
        <v>45191.0</v>
      </c>
      <c r="D4276" s="85">
        <v>45204.0</v>
      </c>
      <c r="E4276" s="86">
        <v>30.15</v>
      </c>
      <c r="F4276" s="87">
        <v>35.86</v>
      </c>
      <c r="G4276" s="88">
        <f t="shared" si="1"/>
        <v>5.71</v>
      </c>
      <c r="H4276" s="89">
        <f t="shared" si="10"/>
        <v>0.1592303402</v>
      </c>
      <c r="I4276" s="78" t="s">
        <v>5048</v>
      </c>
      <c r="J4276" s="78" t="s">
        <v>69</v>
      </c>
      <c r="K4276" s="58">
        <f t="shared" si="14"/>
        <v>13</v>
      </c>
      <c r="L4276" s="91" t="str">
        <f t="shared" si="8"/>
        <v>Thu</v>
      </c>
      <c r="M4276" s="78" t="str">
        <f>IFERROR(VLOOKUP(A4276, Entries!A:B,2,false),"")</f>
        <v>505 Games</v>
      </c>
      <c r="N4276" s="23" t="str">
        <f>IFERROR(VLOOKUP(A4276, Entries!A:K,11,false),"")</f>
        <v/>
      </c>
    </row>
    <row r="4277">
      <c r="A4277" s="78" t="s">
        <v>5049</v>
      </c>
      <c r="B4277" s="78" t="s">
        <v>27</v>
      </c>
      <c r="C4277" s="85">
        <v>45191.0</v>
      </c>
      <c r="D4277" s="85">
        <v>45191.0</v>
      </c>
      <c r="E4277" s="86">
        <v>4.08</v>
      </c>
      <c r="F4277" s="87">
        <v>6.13</v>
      </c>
      <c r="G4277" s="88">
        <f t="shared" si="1"/>
        <v>2.05</v>
      </c>
      <c r="H4277" s="89">
        <f t="shared" si="10"/>
        <v>0.3344208809</v>
      </c>
      <c r="I4277" s="78" t="s">
        <v>5050</v>
      </c>
      <c r="J4277" s="78" t="s">
        <v>69</v>
      </c>
      <c r="K4277" s="58">
        <f t="shared" si="14"/>
        <v>0</v>
      </c>
      <c r="L4277" s="91" t="str">
        <f t="shared" si="8"/>
        <v>Fri</v>
      </c>
      <c r="M4277" s="78" t="str">
        <f>IFERROR(VLOOKUP(A4277, Entries!A:B,2,false),"")</f>
        <v>Frontier Foundry</v>
      </c>
      <c r="N4277" s="23" t="str">
        <f>IFERROR(VLOOKUP(A4277, Entries!A:K,11,false),"")</f>
        <v/>
      </c>
    </row>
    <row r="4278">
      <c r="A4278" s="78" t="s">
        <v>4862</v>
      </c>
      <c r="B4278" s="78" t="s">
        <v>27</v>
      </c>
      <c r="C4278" s="85">
        <v>45191.0</v>
      </c>
      <c r="D4278" s="85">
        <v>45192.0</v>
      </c>
      <c r="E4278" s="86">
        <v>22.99</v>
      </c>
      <c r="F4278" s="87">
        <v>24.82</v>
      </c>
      <c r="G4278" s="88">
        <f t="shared" si="1"/>
        <v>1.83</v>
      </c>
      <c r="H4278" s="89">
        <f t="shared" si="10"/>
        <v>0.07373086221</v>
      </c>
      <c r="I4278" s="78" t="s">
        <v>561</v>
      </c>
      <c r="J4278" s="78" t="s">
        <v>69</v>
      </c>
      <c r="K4278" s="58">
        <f t="shared" si="14"/>
        <v>1</v>
      </c>
      <c r="L4278" s="91" t="str">
        <f t="shared" si="8"/>
        <v>Sat</v>
      </c>
      <c r="M4278" s="78" t="str">
        <f>IFERROR(VLOOKUP(A4278, Entries!A:B,2,false),"")</f>
        <v>SEGA</v>
      </c>
      <c r="N4278" s="23" t="str">
        <f>IFERROR(VLOOKUP(A4278, Entries!A:K,11,false),"")</f>
        <v/>
      </c>
    </row>
    <row r="4279">
      <c r="A4279" s="78" t="s">
        <v>5033</v>
      </c>
      <c r="B4279" s="78" t="s">
        <v>27</v>
      </c>
      <c r="C4279" s="85">
        <v>45191.0</v>
      </c>
      <c r="D4279" s="85">
        <v>45191.0</v>
      </c>
      <c r="E4279" s="86">
        <v>9.79</v>
      </c>
      <c r="F4279" s="87">
        <v>11.13</v>
      </c>
      <c r="G4279" s="88">
        <f t="shared" si="1"/>
        <v>1.34</v>
      </c>
      <c r="H4279" s="89">
        <f t="shared" si="10"/>
        <v>0.1203953279</v>
      </c>
      <c r="I4279" s="78" t="s">
        <v>5051</v>
      </c>
      <c r="J4279" s="78" t="s">
        <v>69</v>
      </c>
      <c r="K4279" s="58">
        <f t="shared" si="14"/>
        <v>0</v>
      </c>
      <c r="L4279" s="91" t="str">
        <f t="shared" si="8"/>
        <v>Fri</v>
      </c>
      <c r="M4279" s="78" t="str">
        <f>IFERROR(VLOOKUP(A4279, Entries!A:B,2,false),"")</f>
        <v>Freedom Games</v>
      </c>
      <c r="N4279" s="23" t="str">
        <f>IFERROR(VLOOKUP(A4279, Entries!A:K,11,false),"")</f>
        <v/>
      </c>
    </row>
    <row r="4280">
      <c r="A4280" s="78" t="s">
        <v>4914</v>
      </c>
      <c r="B4280" s="78" t="s">
        <v>27</v>
      </c>
      <c r="C4280" s="85">
        <v>45191.0</v>
      </c>
      <c r="D4280" s="85">
        <v>45194.0</v>
      </c>
      <c r="E4280" s="86">
        <v>14.89</v>
      </c>
      <c r="F4280" s="87">
        <v>16.76</v>
      </c>
      <c r="G4280" s="88">
        <f t="shared" si="1"/>
        <v>1.87</v>
      </c>
      <c r="H4280" s="89">
        <f t="shared" si="10"/>
        <v>0.111575179</v>
      </c>
      <c r="I4280" s="78" t="s">
        <v>5052</v>
      </c>
      <c r="J4280" s="78" t="s">
        <v>69</v>
      </c>
      <c r="K4280" s="58">
        <f t="shared" si="14"/>
        <v>3</v>
      </c>
      <c r="L4280" s="91" t="str">
        <f t="shared" si="8"/>
        <v>Mon</v>
      </c>
      <c r="M4280" s="78" t="str">
        <f>IFERROR(VLOOKUP(A4280, Entries!A:B,2,false),"")</f>
        <v>Deep Silver</v>
      </c>
      <c r="N4280" s="23" t="str">
        <f>IFERROR(VLOOKUP(A4280, Entries!A:K,11,false),"")</f>
        <v/>
      </c>
    </row>
    <row r="4281">
      <c r="A4281" s="78" t="s">
        <v>5033</v>
      </c>
      <c r="B4281" s="78" t="s">
        <v>27</v>
      </c>
      <c r="C4281" s="85">
        <v>45191.0</v>
      </c>
      <c r="D4281" s="85">
        <v>45194.0</v>
      </c>
      <c r="E4281" s="86">
        <v>9.79</v>
      </c>
      <c r="F4281" s="87">
        <v>10.64</v>
      </c>
      <c r="G4281" s="88">
        <f t="shared" si="1"/>
        <v>0.85</v>
      </c>
      <c r="H4281" s="89">
        <f t="shared" si="10"/>
        <v>0.07988721805</v>
      </c>
      <c r="I4281" s="78" t="s">
        <v>5053</v>
      </c>
      <c r="J4281" s="78" t="s">
        <v>69</v>
      </c>
      <c r="K4281" s="58">
        <f t="shared" si="14"/>
        <v>3</v>
      </c>
      <c r="L4281" s="91" t="str">
        <f t="shared" si="8"/>
        <v>Mon</v>
      </c>
      <c r="M4281" s="78" t="str">
        <f>IFERROR(VLOOKUP(A4281, Entries!A:B,2,false),"")</f>
        <v>Freedom Games</v>
      </c>
      <c r="N4281" s="23" t="str">
        <f>IFERROR(VLOOKUP(A4281, Entries!A:K,11,false),"")</f>
        <v/>
      </c>
    </row>
    <row r="4282">
      <c r="A4282" s="78" t="s">
        <v>5054</v>
      </c>
      <c r="B4282" s="78" t="s">
        <v>21</v>
      </c>
      <c r="C4282" s="85">
        <v>45191.0</v>
      </c>
      <c r="D4282" s="25"/>
      <c r="E4282" s="86">
        <v>27.13</v>
      </c>
      <c r="F4282" s="88"/>
      <c r="G4282" s="88">
        <f t="shared" si="1"/>
        <v>-27.13</v>
      </c>
      <c r="H4282" s="89" t="str">
        <f t="shared" si="10"/>
        <v/>
      </c>
      <c r="I4282" s="103" t="s">
        <v>5055</v>
      </c>
      <c r="J4282" s="78" t="s">
        <v>1129</v>
      </c>
      <c r="K4282" s="58" t="str">
        <f t="shared" si="14"/>
        <v/>
      </c>
      <c r="L4282" s="91" t="str">
        <f t="shared" si="8"/>
        <v/>
      </c>
      <c r="M4282" s="78" t="str">
        <f>IFERROR(VLOOKUP(A4282, Entries!A:B,2,false),"")</f>
        <v>Gearbox Publishing</v>
      </c>
      <c r="N4282" s="23" t="str">
        <f>IFERROR(VLOOKUP(A4282, Entries!A:K,11,false),"")</f>
        <v/>
      </c>
    </row>
    <row r="4283">
      <c r="A4283" s="78" t="s">
        <v>5054</v>
      </c>
      <c r="B4283" s="78" t="s">
        <v>21</v>
      </c>
      <c r="C4283" s="85">
        <v>45191.0</v>
      </c>
      <c r="D4283" s="25"/>
      <c r="E4283" s="86">
        <v>27.14</v>
      </c>
      <c r="F4283" s="88"/>
      <c r="G4283" s="88">
        <f t="shared" si="1"/>
        <v>-27.14</v>
      </c>
      <c r="H4283" s="89" t="str">
        <f t="shared" si="10"/>
        <v/>
      </c>
      <c r="I4283" s="103" t="s">
        <v>5056</v>
      </c>
      <c r="J4283" s="78" t="s">
        <v>1129</v>
      </c>
      <c r="K4283" s="58" t="str">
        <f t="shared" si="14"/>
        <v/>
      </c>
      <c r="L4283" s="91" t="str">
        <f t="shared" si="8"/>
        <v/>
      </c>
      <c r="M4283" s="78" t="str">
        <f>IFERROR(VLOOKUP(A4283, Entries!A:B,2,false),"")</f>
        <v>Gearbox Publishing</v>
      </c>
      <c r="N4283" s="23" t="str">
        <f>IFERROR(VLOOKUP(A4283, Entries!A:K,11,false),"")</f>
        <v/>
      </c>
    </row>
    <row r="4284">
      <c r="A4284" s="78" t="s">
        <v>5049</v>
      </c>
      <c r="B4284" s="78" t="s">
        <v>27</v>
      </c>
      <c r="C4284" s="85">
        <v>45191.0</v>
      </c>
      <c r="D4284" s="85">
        <v>45192.0</v>
      </c>
      <c r="E4284" s="86">
        <v>4.59</v>
      </c>
      <c r="F4284" s="87">
        <v>6.13</v>
      </c>
      <c r="G4284" s="88">
        <f t="shared" si="1"/>
        <v>1.54</v>
      </c>
      <c r="H4284" s="89">
        <f t="shared" si="10"/>
        <v>0.251223491</v>
      </c>
      <c r="I4284" s="78" t="s">
        <v>5057</v>
      </c>
      <c r="J4284" s="78" t="s">
        <v>69</v>
      </c>
      <c r="K4284" s="58">
        <f t="shared" si="14"/>
        <v>1</v>
      </c>
      <c r="L4284" s="91" t="str">
        <f t="shared" si="8"/>
        <v>Sat</v>
      </c>
      <c r="M4284" s="78" t="str">
        <f>IFERROR(VLOOKUP(A4284, Entries!A:B,2,false),"")</f>
        <v>Frontier Foundry</v>
      </c>
      <c r="N4284" s="23" t="str">
        <f>IFERROR(VLOOKUP(A4284, Entries!A:K,11,false),"")</f>
        <v/>
      </c>
    </row>
    <row r="4285">
      <c r="A4285" s="78" t="s">
        <v>4991</v>
      </c>
      <c r="B4285" s="78" t="s">
        <v>27</v>
      </c>
      <c r="C4285" s="85">
        <v>45191.0</v>
      </c>
      <c r="D4285" s="85">
        <v>45193.0</v>
      </c>
      <c r="E4285" s="86">
        <v>21.79</v>
      </c>
      <c r="F4285" s="87">
        <v>26.83</v>
      </c>
      <c r="G4285" s="88">
        <f t="shared" si="1"/>
        <v>5.04</v>
      </c>
      <c r="H4285" s="89">
        <f t="shared" si="10"/>
        <v>0.1878494223</v>
      </c>
      <c r="I4285" s="78" t="s">
        <v>5058</v>
      </c>
      <c r="J4285" s="78" t="s">
        <v>69</v>
      </c>
      <c r="K4285" s="58">
        <f t="shared" si="14"/>
        <v>2</v>
      </c>
      <c r="L4285" s="91" t="str">
        <f t="shared" si="8"/>
        <v>Sun</v>
      </c>
      <c r="M4285" s="78" t="str">
        <f>IFERROR(VLOOKUP(A4285, Entries!A:B,2,false),"")</f>
        <v>Red Barrels</v>
      </c>
      <c r="N4285" s="23" t="str">
        <f>IFERROR(VLOOKUP(A4285, Entries!A:K,11,false),"")</f>
        <v/>
      </c>
    </row>
    <row r="4286">
      <c r="A4286" s="78" t="s">
        <v>3771</v>
      </c>
      <c r="B4286" s="78" t="s">
        <v>27</v>
      </c>
      <c r="C4286" s="85">
        <v>45192.0</v>
      </c>
      <c r="D4286" s="85">
        <v>45194.0</v>
      </c>
      <c r="E4286" s="86">
        <v>9.79</v>
      </c>
      <c r="F4286" s="87">
        <v>11.64</v>
      </c>
      <c r="G4286" s="88">
        <f t="shared" si="1"/>
        <v>1.85</v>
      </c>
      <c r="H4286" s="89">
        <f t="shared" si="10"/>
        <v>0.1589347079</v>
      </c>
      <c r="I4286" s="78" t="s">
        <v>5059</v>
      </c>
      <c r="J4286" s="78" t="s">
        <v>69</v>
      </c>
      <c r="K4286" s="58">
        <f t="shared" si="14"/>
        <v>2</v>
      </c>
      <c r="L4286" s="91" t="str">
        <f t="shared" si="8"/>
        <v>Mon</v>
      </c>
      <c r="M4286" s="78" t="str">
        <f>IFERROR(VLOOKUP(A4286, Entries!A:B,2,false),"")</f>
        <v>Good Shepherd Entertainment</v>
      </c>
      <c r="N4286" s="23" t="str">
        <f>IFERROR(VLOOKUP(A4286, Entries!A:K,11,false),"")</f>
        <v/>
      </c>
    </row>
    <row r="4287">
      <c r="A4287" s="78" t="s">
        <v>5049</v>
      </c>
      <c r="B4287" s="78" t="s">
        <v>27</v>
      </c>
      <c r="C4287" s="85">
        <v>45192.0</v>
      </c>
      <c r="D4287" s="85">
        <v>45195.0</v>
      </c>
      <c r="E4287" s="86">
        <v>4.59</v>
      </c>
      <c r="F4287" s="87">
        <v>6.13</v>
      </c>
      <c r="G4287" s="88">
        <f t="shared" si="1"/>
        <v>1.54</v>
      </c>
      <c r="H4287" s="89">
        <f t="shared" si="10"/>
        <v>0.251223491</v>
      </c>
      <c r="I4287" s="78" t="s">
        <v>5060</v>
      </c>
      <c r="J4287" s="78" t="s">
        <v>69</v>
      </c>
      <c r="K4287" s="58">
        <f t="shared" si="14"/>
        <v>3</v>
      </c>
      <c r="L4287" s="91" t="str">
        <f t="shared" si="8"/>
        <v>Tue</v>
      </c>
      <c r="M4287" s="78" t="str">
        <f>IFERROR(VLOOKUP(A4287, Entries!A:B,2,false),"")</f>
        <v>Frontier Foundry</v>
      </c>
      <c r="N4287" s="23" t="str">
        <f>IFERROR(VLOOKUP(A4287, Entries!A:K,11,false),"")</f>
        <v/>
      </c>
    </row>
    <row r="4288">
      <c r="A4288" s="78" t="s">
        <v>2051</v>
      </c>
      <c r="B4288" s="78" t="s">
        <v>27</v>
      </c>
      <c r="C4288" s="85">
        <v>45192.0</v>
      </c>
      <c r="D4288" s="85">
        <v>45204.0</v>
      </c>
      <c r="E4288" s="86">
        <v>6.29</v>
      </c>
      <c r="F4288" s="87">
        <v>8.47</v>
      </c>
      <c r="G4288" s="88">
        <f t="shared" si="1"/>
        <v>2.18</v>
      </c>
      <c r="H4288" s="89">
        <f t="shared" si="10"/>
        <v>0.2573789847</v>
      </c>
      <c r="I4288" s="78" t="s">
        <v>5061</v>
      </c>
      <c r="J4288" s="78" t="s">
        <v>69</v>
      </c>
      <c r="K4288" s="58">
        <f t="shared" si="14"/>
        <v>12</v>
      </c>
      <c r="L4288" s="91" t="str">
        <f t="shared" si="8"/>
        <v>Thu</v>
      </c>
      <c r="M4288" s="78" t="str">
        <f>IFERROR(VLOOKUP(A4288, Entries!A:B,2,false),"")</f>
        <v>Nacon</v>
      </c>
      <c r="N4288" s="23" t="str">
        <f>IFERROR(VLOOKUP(A4288, Entries!A:K,11,false),"")</f>
        <v/>
      </c>
    </row>
    <row r="4289">
      <c r="A4289" s="78" t="s">
        <v>4926</v>
      </c>
      <c r="B4289" s="78" t="s">
        <v>19</v>
      </c>
      <c r="C4289" s="85">
        <v>45192.0</v>
      </c>
      <c r="D4289" s="85">
        <v>45193.0</v>
      </c>
      <c r="E4289" s="86">
        <v>8.16</v>
      </c>
      <c r="F4289" s="87">
        <v>8.55</v>
      </c>
      <c r="G4289" s="88">
        <f t="shared" si="1"/>
        <v>0.39</v>
      </c>
      <c r="H4289" s="89">
        <f t="shared" si="10"/>
        <v>0.04561403509</v>
      </c>
      <c r="I4289" s="78" t="s">
        <v>5062</v>
      </c>
      <c r="J4289" s="78" t="s">
        <v>69</v>
      </c>
      <c r="K4289" s="58">
        <f t="shared" si="14"/>
        <v>1</v>
      </c>
      <c r="L4289" s="91" t="str">
        <f t="shared" si="8"/>
        <v>Sun</v>
      </c>
      <c r="M4289" s="78" t="str">
        <f>IFERROR(VLOOKUP(A4289, Entries!A:B,2,false),"")</f>
        <v>Bethesda Softworks</v>
      </c>
      <c r="N4289" s="23" t="str">
        <f>IFERROR(VLOOKUP(A4289, Entries!A:K,11,false),"")</f>
        <v/>
      </c>
    </row>
    <row r="4290">
      <c r="A4290" s="78" t="s">
        <v>4862</v>
      </c>
      <c r="B4290" s="78" t="s">
        <v>27</v>
      </c>
      <c r="C4290" s="85">
        <v>45192.0</v>
      </c>
      <c r="D4290" s="85">
        <v>45193.0</v>
      </c>
      <c r="E4290" s="86">
        <v>22.99</v>
      </c>
      <c r="F4290" s="87">
        <v>25.09</v>
      </c>
      <c r="G4290" s="88">
        <f t="shared" si="1"/>
        <v>2.1</v>
      </c>
      <c r="H4290" s="89">
        <f t="shared" si="10"/>
        <v>0.08369868473</v>
      </c>
      <c r="I4290" s="78" t="s">
        <v>5063</v>
      </c>
      <c r="J4290" s="78" t="s">
        <v>69</v>
      </c>
      <c r="K4290" s="58">
        <f t="shared" si="14"/>
        <v>1</v>
      </c>
      <c r="L4290" s="91" t="str">
        <f t="shared" si="8"/>
        <v>Sun</v>
      </c>
      <c r="M4290" s="78" t="str">
        <f>IFERROR(VLOOKUP(A4290, Entries!A:B,2,false),"")</f>
        <v>SEGA</v>
      </c>
      <c r="N4290" s="23" t="str">
        <f>IFERROR(VLOOKUP(A4290, Entries!A:K,11,false),"")</f>
        <v/>
      </c>
    </row>
    <row r="4291">
      <c r="A4291" s="78" t="s">
        <v>4353</v>
      </c>
      <c r="B4291" s="78" t="s">
        <v>27</v>
      </c>
      <c r="C4291" s="85">
        <v>45193.0</v>
      </c>
      <c r="D4291" s="85">
        <v>45216.0</v>
      </c>
      <c r="E4291" s="86">
        <v>18.24</v>
      </c>
      <c r="F4291" s="87">
        <v>19.93</v>
      </c>
      <c r="G4291" s="88">
        <f t="shared" si="1"/>
        <v>1.69</v>
      </c>
      <c r="H4291" s="89">
        <f t="shared" si="10"/>
        <v>0.08479678876</v>
      </c>
      <c r="I4291" s="78" t="s">
        <v>5064</v>
      </c>
      <c r="J4291" s="78" t="s">
        <v>69</v>
      </c>
      <c r="K4291" s="58">
        <f t="shared" si="14"/>
        <v>23</v>
      </c>
      <c r="L4291" s="91" t="str">
        <f t="shared" si="8"/>
        <v>Tue</v>
      </c>
      <c r="M4291" s="78" t="str">
        <f>IFERROR(VLOOKUP(A4291, Entries!A:B,2,false),"")</f>
        <v>Shiro Games</v>
      </c>
      <c r="N4291" s="23" t="str">
        <f>IFERROR(VLOOKUP(A4291, Entries!A:K,11,false),"")</f>
        <v/>
      </c>
    </row>
    <row r="4292">
      <c r="A4292" s="78" t="s">
        <v>4928</v>
      </c>
      <c r="B4292" s="78" t="s">
        <v>19</v>
      </c>
      <c r="C4292" s="85">
        <v>45193.0</v>
      </c>
      <c r="D4292" s="85">
        <v>45193.0</v>
      </c>
      <c r="E4292" s="86">
        <v>28.21</v>
      </c>
      <c r="F4292" s="87">
        <v>31.0</v>
      </c>
      <c r="G4292" s="88">
        <f t="shared" si="1"/>
        <v>2.79</v>
      </c>
      <c r="H4292" s="89">
        <f t="shared" si="10"/>
        <v>0.09</v>
      </c>
      <c r="I4292" s="78" t="s">
        <v>5065</v>
      </c>
      <c r="J4292" s="78" t="s">
        <v>69</v>
      </c>
      <c r="K4292" s="58">
        <f t="shared" si="14"/>
        <v>0</v>
      </c>
      <c r="L4292" s="91" t="str">
        <f t="shared" si="8"/>
        <v>Sun</v>
      </c>
      <c r="M4292" s="78" t="str">
        <f>IFERROR(VLOOKUP(A4292, Entries!A:B,2,false),"")</f>
        <v>Eleventh Hour Games</v>
      </c>
      <c r="N4292" s="23" t="str">
        <f>IFERROR(VLOOKUP(A4292, Entries!A:K,11,false),"")</f>
        <v/>
      </c>
    </row>
    <row r="4293">
      <c r="A4293" s="78" t="s">
        <v>4604</v>
      </c>
      <c r="B4293" s="78" t="s">
        <v>27</v>
      </c>
      <c r="C4293" s="85">
        <v>45193.0</v>
      </c>
      <c r="D4293" s="85">
        <v>45201.0</v>
      </c>
      <c r="E4293" s="86">
        <v>32.19</v>
      </c>
      <c r="F4293" s="87">
        <v>35.86</v>
      </c>
      <c r="G4293" s="88">
        <f t="shared" si="1"/>
        <v>3.67</v>
      </c>
      <c r="H4293" s="89">
        <f t="shared" si="10"/>
        <v>0.1023424428</v>
      </c>
      <c r="I4293" s="78" t="s">
        <v>5066</v>
      </c>
      <c r="J4293" s="78" t="s">
        <v>69</v>
      </c>
      <c r="K4293" s="58">
        <f t="shared" si="14"/>
        <v>8</v>
      </c>
      <c r="L4293" s="91" t="str">
        <f t="shared" si="8"/>
        <v>Mon</v>
      </c>
      <c r="M4293" s="78" t="str">
        <f>IFERROR(VLOOKUP(A4293, Entries!A:B,2,false),"")</f>
        <v>Warner Bros</v>
      </c>
      <c r="N4293" s="23" t="str">
        <f>IFERROR(VLOOKUP(A4293, Entries!A:K,11,false),"")</f>
        <v/>
      </c>
    </row>
    <row r="4294">
      <c r="A4294" s="78" t="s">
        <v>5067</v>
      </c>
      <c r="B4294" s="78" t="s">
        <v>21</v>
      </c>
      <c r="C4294" s="85">
        <v>45193.0</v>
      </c>
      <c r="D4294" s="85">
        <v>45198.0</v>
      </c>
      <c r="E4294" s="86">
        <v>13.19</v>
      </c>
      <c r="F4294" s="87">
        <v>15.17</v>
      </c>
      <c r="G4294" s="88">
        <f t="shared" si="1"/>
        <v>1.98</v>
      </c>
      <c r="H4294" s="89">
        <f t="shared" si="10"/>
        <v>0.1305207647</v>
      </c>
      <c r="I4294" s="78" t="s">
        <v>5068</v>
      </c>
      <c r="J4294" s="78" t="s">
        <v>69</v>
      </c>
      <c r="K4294" s="58">
        <f t="shared" si="14"/>
        <v>5</v>
      </c>
      <c r="L4294" s="91" t="str">
        <f t="shared" si="8"/>
        <v>Fri</v>
      </c>
      <c r="M4294" s="78" t="str">
        <f>IFERROR(VLOOKUP(A4294, Entries!A:B,2,false),"")</f>
        <v>Humble Games</v>
      </c>
      <c r="N4294" s="23" t="str">
        <f>IFERROR(VLOOKUP(A4294, Entries!A:K,11,false),"")</f>
        <v/>
      </c>
    </row>
    <row r="4295">
      <c r="A4295" s="78" t="s">
        <v>4928</v>
      </c>
      <c r="B4295" s="78" t="s">
        <v>19</v>
      </c>
      <c r="C4295" s="85">
        <v>45193.0</v>
      </c>
      <c r="D4295" s="85">
        <v>45195.0</v>
      </c>
      <c r="E4295" s="86">
        <v>28.21</v>
      </c>
      <c r="F4295" s="87">
        <v>30.95</v>
      </c>
      <c r="G4295" s="88">
        <f t="shared" si="1"/>
        <v>2.74</v>
      </c>
      <c r="H4295" s="89">
        <f t="shared" si="10"/>
        <v>0.08852988691</v>
      </c>
      <c r="I4295" s="78" t="s">
        <v>5069</v>
      </c>
      <c r="J4295" s="78" t="s">
        <v>69</v>
      </c>
      <c r="K4295" s="58">
        <f t="shared" si="14"/>
        <v>2</v>
      </c>
      <c r="L4295" s="91" t="str">
        <f t="shared" si="8"/>
        <v>Tue</v>
      </c>
      <c r="M4295" s="78" t="str">
        <f>IFERROR(VLOOKUP(A4295, Entries!A:B,2,false),"")</f>
        <v>Eleventh Hour Games</v>
      </c>
      <c r="N4295" s="23" t="str">
        <f>IFERROR(VLOOKUP(A4295, Entries!A:K,11,false),"")</f>
        <v/>
      </c>
    </row>
    <row r="4296">
      <c r="A4296" s="78" t="s">
        <v>4991</v>
      </c>
      <c r="B4296" s="78" t="s">
        <v>27</v>
      </c>
      <c r="C4296" s="85">
        <v>45193.0</v>
      </c>
      <c r="D4296" s="85">
        <v>45193.0</v>
      </c>
      <c r="E4296" s="86">
        <v>21.79</v>
      </c>
      <c r="F4296" s="87">
        <v>26.83</v>
      </c>
      <c r="G4296" s="88">
        <f t="shared" si="1"/>
        <v>5.04</v>
      </c>
      <c r="H4296" s="89">
        <f t="shared" si="10"/>
        <v>0.1878494223</v>
      </c>
      <c r="I4296" s="78" t="s">
        <v>5070</v>
      </c>
      <c r="J4296" s="78" t="s">
        <v>69</v>
      </c>
      <c r="K4296" s="58">
        <f t="shared" si="14"/>
        <v>0</v>
      </c>
      <c r="L4296" s="91" t="str">
        <f t="shared" si="8"/>
        <v>Sun</v>
      </c>
      <c r="M4296" s="78" t="str">
        <f>IFERROR(VLOOKUP(A4296, Entries!A:B,2,false),"")</f>
        <v>Red Barrels</v>
      </c>
      <c r="N4296" s="23" t="str">
        <f>IFERROR(VLOOKUP(A4296, Entries!A:K,11,false),"")</f>
        <v/>
      </c>
    </row>
    <row r="4297">
      <c r="A4297" s="78" t="s">
        <v>4991</v>
      </c>
      <c r="B4297" s="78" t="s">
        <v>27</v>
      </c>
      <c r="C4297" s="85">
        <v>45193.0</v>
      </c>
      <c r="D4297" s="85">
        <v>45262.0</v>
      </c>
      <c r="E4297" s="86">
        <v>21.79</v>
      </c>
      <c r="F4297" s="87">
        <v>24.34</v>
      </c>
      <c r="G4297" s="88">
        <f t="shared" si="1"/>
        <v>2.55</v>
      </c>
      <c r="H4297" s="89">
        <f t="shared" si="10"/>
        <v>0.1047658176</v>
      </c>
      <c r="I4297" s="78" t="s">
        <v>5071</v>
      </c>
      <c r="J4297" s="78" t="s">
        <v>69</v>
      </c>
      <c r="K4297" s="58">
        <f t="shared" si="14"/>
        <v>69</v>
      </c>
      <c r="L4297" s="91" t="str">
        <f t="shared" si="8"/>
        <v>Sat</v>
      </c>
      <c r="M4297" s="78" t="str">
        <f>IFERROR(VLOOKUP(A4297, Entries!A:B,2,false),"")</f>
        <v>Red Barrels</v>
      </c>
      <c r="N4297" s="23" t="str">
        <f>IFERROR(VLOOKUP(A4297, Entries!A:K,11,false),"")</f>
        <v/>
      </c>
    </row>
    <row r="4298">
      <c r="A4298" s="78" t="s">
        <v>3771</v>
      </c>
      <c r="B4298" s="78" t="s">
        <v>27</v>
      </c>
      <c r="C4298" s="85">
        <v>45194.0</v>
      </c>
      <c r="D4298" s="85">
        <v>45203.0</v>
      </c>
      <c r="E4298" s="86">
        <v>9.79</v>
      </c>
      <c r="F4298" s="87">
        <v>11.64</v>
      </c>
      <c r="G4298" s="88">
        <f t="shared" si="1"/>
        <v>1.85</v>
      </c>
      <c r="H4298" s="89">
        <f t="shared" si="10"/>
        <v>0.1589347079</v>
      </c>
      <c r="I4298" s="78" t="s">
        <v>5072</v>
      </c>
      <c r="J4298" s="78" t="s">
        <v>69</v>
      </c>
      <c r="K4298" s="58">
        <f t="shared" si="14"/>
        <v>9</v>
      </c>
      <c r="L4298" s="91" t="str">
        <f t="shared" si="8"/>
        <v>Wed</v>
      </c>
      <c r="M4298" s="78" t="str">
        <f>IFERROR(VLOOKUP(A4298, Entries!A:B,2,false),"")</f>
        <v>Good Shepherd Entertainment</v>
      </c>
      <c r="N4298" s="23" t="str">
        <f>IFERROR(VLOOKUP(A4298, Entries!A:K,11,false),"")</f>
        <v/>
      </c>
    </row>
    <row r="4299">
      <c r="A4299" s="78" t="s">
        <v>5033</v>
      </c>
      <c r="B4299" s="78" t="s">
        <v>27</v>
      </c>
      <c r="C4299" s="85">
        <v>45194.0</v>
      </c>
      <c r="D4299" s="85">
        <v>45250.0</v>
      </c>
      <c r="E4299" s="86">
        <v>9.72</v>
      </c>
      <c r="F4299" s="87">
        <v>10.65</v>
      </c>
      <c r="G4299" s="88">
        <f t="shared" si="1"/>
        <v>0.93</v>
      </c>
      <c r="H4299" s="89">
        <f t="shared" si="10"/>
        <v>0.08732394366</v>
      </c>
      <c r="I4299" s="78" t="s">
        <v>5073</v>
      </c>
      <c r="J4299" s="78" t="s">
        <v>69</v>
      </c>
      <c r="K4299" s="58">
        <f t="shared" si="14"/>
        <v>56</v>
      </c>
      <c r="L4299" s="91" t="str">
        <f t="shared" si="8"/>
        <v>Mon</v>
      </c>
      <c r="M4299" s="78" t="str">
        <f>IFERROR(VLOOKUP(A4299, Entries!A:B,2,false),"")</f>
        <v>Freedom Games</v>
      </c>
      <c r="N4299" s="23" t="str">
        <f>IFERROR(VLOOKUP(A4299, Entries!A:K,11,false),"")</f>
        <v/>
      </c>
    </row>
    <row r="4300">
      <c r="A4300" s="78" t="s">
        <v>4862</v>
      </c>
      <c r="B4300" s="78" t="s">
        <v>27</v>
      </c>
      <c r="C4300" s="85">
        <v>45194.0</v>
      </c>
      <c r="D4300" s="85">
        <v>45237.0</v>
      </c>
      <c r="E4300" s="86">
        <v>22.99</v>
      </c>
      <c r="F4300" s="87">
        <v>24.71</v>
      </c>
      <c r="G4300" s="88">
        <f t="shared" si="1"/>
        <v>1.72</v>
      </c>
      <c r="H4300" s="89">
        <f t="shared" si="10"/>
        <v>0.06960744638</v>
      </c>
      <c r="I4300" s="78" t="s">
        <v>5074</v>
      </c>
      <c r="J4300" s="78" t="s">
        <v>69</v>
      </c>
      <c r="K4300" s="58">
        <f t="shared" si="14"/>
        <v>43</v>
      </c>
      <c r="L4300" s="91" t="str">
        <f t="shared" si="8"/>
        <v>Tue</v>
      </c>
      <c r="M4300" s="78" t="str">
        <f>IFERROR(VLOOKUP(A4300, Entries!A:B,2,false),"")</f>
        <v>SEGA</v>
      </c>
      <c r="N4300" s="23" t="str">
        <f>IFERROR(VLOOKUP(A4300, Entries!A:K,11,false),"")</f>
        <v/>
      </c>
    </row>
    <row r="4301">
      <c r="A4301" s="78" t="s">
        <v>4914</v>
      </c>
      <c r="B4301" s="78" t="s">
        <v>27</v>
      </c>
      <c r="C4301" s="85">
        <v>45194.0</v>
      </c>
      <c r="D4301" s="85">
        <v>45194.0</v>
      </c>
      <c r="E4301" s="86">
        <v>14.89</v>
      </c>
      <c r="F4301" s="87">
        <v>16.76</v>
      </c>
      <c r="G4301" s="88">
        <f t="shared" si="1"/>
        <v>1.87</v>
      </c>
      <c r="H4301" s="89">
        <f t="shared" si="10"/>
        <v>0.111575179</v>
      </c>
      <c r="I4301" s="78" t="s">
        <v>5075</v>
      </c>
      <c r="J4301" s="78" t="s">
        <v>69</v>
      </c>
      <c r="K4301" s="58">
        <f t="shared" si="14"/>
        <v>0</v>
      </c>
      <c r="L4301" s="91" t="str">
        <f t="shared" si="8"/>
        <v>Mon</v>
      </c>
      <c r="M4301" s="78" t="str">
        <f>IFERROR(VLOOKUP(A4301, Entries!A:B,2,false),"")</f>
        <v>Deep Silver</v>
      </c>
      <c r="N4301" s="23" t="str">
        <f>IFERROR(VLOOKUP(A4301, Entries!A:K,11,false),"")</f>
        <v/>
      </c>
    </row>
    <row r="4302">
      <c r="A4302" s="78" t="s">
        <v>2148</v>
      </c>
      <c r="B4302" s="78" t="s">
        <v>18</v>
      </c>
      <c r="C4302" s="85">
        <v>45194.0</v>
      </c>
      <c r="D4302" s="85">
        <v>45200.0</v>
      </c>
      <c r="E4302" s="86">
        <v>10.66</v>
      </c>
      <c r="F4302" s="87">
        <v>17.71</v>
      </c>
      <c r="G4302" s="88">
        <f t="shared" si="1"/>
        <v>7.05</v>
      </c>
      <c r="H4302" s="89">
        <f t="shared" si="10"/>
        <v>0.3980801807</v>
      </c>
      <c r="I4302" s="78" t="s">
        <v>5076</v>
      </c>
      <c r="J4302" s="78" t="s">
        <v>69</v>
      </c>
      <c r="K4302" s="58">
        <f t="shared" si="14"/>
        <v>6</v>
      </c>
      <c r="L4302" s="91" t="str">
        <f t="shared" si="8"/>
        <v>Sun</v>
      </c>
      <c r="M4302" s="78" t="str">
        <f>IFERROR(VLOOKUP(A4302, Entries!A:B,2,false),"")</f>
        <v>Wired Productions</v>
      </c>
      <c r="N4302" s="23" t="str">
        <f>IFERROR(VLOOKUP(A4302, Entries!A:K,11,false),"")</f>
        <v/>
      </c>
    </row>
    <row r="4303">
      <c r="A4303" s="78" t="s">
        <v>2148</v>
      </c>
      <c r="B4303" s="78" t="s">
        <v>18</v>
      </c>
      <c r="C4303" s="85">
        <v>45194.0</v>
      </c>
      <c r="D4303" s="85">
        <v>45202.0</v>
      </c>
      <c r="E4303" s="86">
        <v>10.67</v>
      </c>
      <c r="F4303" s="87">
        <v>17.68</v>
      </c>
      <c r="G4303" s="88">
        <f t="shared" si="1"/>
        <v>7.01</v>
      </c>
      <c r="H4303" s="89">
        <f t="shared" si="10"/>
        <v>0.3964932127</v>
      </c>
      <c r="I4303" s="78" t="s">
        <v>5077</v>
      </c>
      <c r="J4303" s="78" t="s">
        <v>69</v>
      </c>
      <c r="K4303" s="58">
        <f t="shared" si="14"/>
        <v>8</v>
      </c>
      <c r="L4303" s="91" t="str">
        <f t="shared" si="8"/>
        <v>Tue</v>
      </c>
      <c r="M4303" s="78" t="str">
        <f>IFERROR(VLOOKUP(A4303, Entries!A:B,2,false),"")</f>
        <v>Wired Productions</v>
      </c>
      <c r="N4303" s="23" t="str">
        <f>IFERROR(VLOOKUP(A4303, Entries!A:K,11,false),"")</f>
        <v/>
      </c>
    </row>
    <row r="4304">
      <c r="A4304" s="78" t="s">
        <v>4953</v>
      </c>
      <c r="B4304" s="78" t="s">
        <v>27</v>
      </c>
      <c r="C4304" s="85">
        <v>45194.0</v>
      </c>
      <c r="D4304" s="25"/>
      <c r="E4304" s="86">
        <v>11.49</v>
      </c>
      <c r="F4304" s="88"/>
      <c r="G4304" s="88">
        <f t="shared" si="1"/>
        <v>-11.49</v>
      </c>
      <c r="H4304" s="89" t="str">
        <f t="shared" si="10"/>
        <v/>
      </c>
      <c r="I4304" s="103" t="s">
        <v>5078</v>
      </c>
      <c r="J4304" s="78" t="s">
        <v>1129</v>
      </c>
      <c r="K4304" s="58" t="str">
        <f t="shared" si="14"/>
        <v/>
      </c>
      <c r="L4304" s="91" t="str">
        <f t="shared" si="8"/>
        <v/>
      </c>
      <c r="M4304" s="78" t="str">
        <f>IFERROR(VLOOKUP(A4304, Entries!A:B,2,false),"")</f>
        <v>Focus Home Interactive</v>
      </c>
      <c r="N4304" s="23" t="str">
        <f>IFERROR(VLOOKUP(A4304, Entries!A:K,11,false),"")</f>
        <v/>
      </c>
    </row>
    <row r="4305">
      <c r="A4305" s="78" t="s">
        <v>4914</v>
      </c>
      <c r="B4305" s="78" t="s">
        <v>27</v>
      </c>
      <c r="C4305" s="85">
        <v>45194.0</v>
      </c>
      <c r="D4305" s="85">
        <v>45218.0</v>
      </c>
      <c r="E4305" s="86">
        <v>14.89</v>
      </c>
      <c r="F4305" s="87">
        <v>16.51</v>
      </c>
      <c r="G4305" s="88">
        <f t="shared" si="1"/>
        <v>1.62</v>
      </c>
      <c r="H4305" s="89">
        <f t="shared" si="10"/>
        <v>0.09812235009</v>
      </c>
      <c r="I4305" s="78" t="s">
        <v>5079</v>
      </c>
      <c r="J4305" s="78" t="s">
        <v>69</v>
      </c>
      <c r="K4305" s="58">
        <f t="shared" si="14"/>
        <v>24</v>
      </c>
      <c r="L4305" s="91" t="str">
        <f t="shared" si="8"/>
        <v>Thu</v>
      </c>
      <c r="M4305" s="78" t="str">
        <f>IFERROR(VLOOKUP(A4305, Entries!A:B,2,false),"")</f>
        <v>Deep Silver</v>
      </c>
      <c r="N4305" s="23" t="str">
        <f>IFERROR(VLOOKUP(A4305, Entries!A:K,11,false),"")</f>
        <v/>
      </c>
    </row>
    <row r="4306">
      <c r="A4306" s="78" t="s">
        <v>5080</v>
      </c>
      <c r="B4306" s="78" t="s">
        <v>21</v>
      </c>
      <c r="C4306" s="85">
        <v>45195.0</v>
      </c>
      <c r="D4306" s="85">
        <v>45238.0</v>
      </c>
      <c r="E4306" s="86">
        <v>13.65</v>
      </c>
      <c r="F4306" s="87">
        <v>14.79</v>
      </c>
      <c r="G4306" s="88">
        <f t="shared" si="1"/>
        <v>1.14</v>
      </c>
      <c r="H4306" s="89">
        <f t="shared" si="10"/>
        <v>0.07707910751</v>
      </c>
      <c r="I4306" s="78" t="s">
        <v>5081</v>
      </c>
      <c r="J4306" s="78" t="s">
        <v>69</v>
      </c>
      <c r="K4306" s="58">
        <f t="shared" si="14"/>
        <v>43</v>
      </c>
      <c r="L4306" s="91" t="str">
        <f t="shared" si="8"/>
        <v>Wed</v>
      </c>
      <c r="M4306" s="78" t="str">
        <f>IFERROR(VLOOKUP(A4306, Entries!A:B,2,false),"")</f>
        <v>Bloober Team</v>
      </c>
      <c r="N4306" s="23" t="str">
        <f>IFERROR(VLOOKUP(A4306, Entries!A:K,11,false),"")</f>
        <v/>
      </c>
    </row>
    <row r="4307">
      <c r="A4307" s="78" t="s">
        <v>3979</v>
      </c>
      <c r="B4307" s="78" t="s">
        <v>22</v>
      </c>
      <c r="C4307" s="85">
        <v>45195.0</v>
      </c>
      <c r="D4307" s="85">
        <v>45195.0</v>
      </c>
      <c r="E4307" s="86">
        <v>31.44</v>
      </c>
      <c r="F4307" s="87">
        <v>33.93</v>
      </c>
      <c r="G4307" s="88">
        <f t="shared" si="1"/>
        <v>2.49</v>
      </c>
      <c r="H4307" s="89">
        <f t="shared" si="10"/>
        <v>0.07338638373</v>
      </c>
      <c r="I4307" s="78" t="s">
        <v>5082</v>
      </c>
      <c r="J4307" s="78" t="s">
        <v>69</v>
      </c>
      <c r="K4307" s="58">
        <f t="shared" si="14"/>
        <v>0</v>
      </c>
      <c r="L4307" s="91" t="str">
        <f t="shared" si="8"/>
        <v>Tue</v>
      </c>
      <c r="M4307" s="78" t="str">
        <f>IFERROR(VLOOKUP(A4307, Entries!A:B,2,false),"")</f>
        <v>Square Enix</v>
      </c>
      <c r="N4307" s="23" t="str">
        <f>IFERROR(VLOOKUP(A4307, Entries!A:K,11,false),"")</f>
        <v/>
      </c>
    </row>
    <row r="4308">
      <c r="A4308" s="78" t="s">
        <v>3979</v>
      </c>
      <c r="B4308" s="78" t="s">
        <v>22</v>
      </c>
      <c r="C4308" s="85">
        <v>45195.0</v>
      </c>
      <c r="D4308" s="85">
        <v>45195.0</v>
      </c>
      <c r="E4308" s="86">
        <v>30.81</v>
      </c>
      <c r="F4308" s="87">
        <v>33.93</v>
      </c>
      <c r="G4308" s="88">
        <f t="shared" si="1"/>
        <v>3.12</v>
      </c>
      <c r="H4308" s="89">
        <f t="shared" si="10"/>
        <v>0.09195402299</v>
      </c>
      <c r="I4308" s="78" t="s">
        <v>5083</v>
      </c>
      <c r="J4308" s="78" t="s">
        <v>69</v>
      </c>
      <c r="K4308" s="58">
        <f t="shared" si="14"/>
        <v>0</v>
      </c>
      <c r="L4308" s="91" t="str">
        <f t="shared" si="8"/>
        <v>Tue</v>
      </c>
      <c r="M4308" s="78" t="str">
        <f>IFERROR(VLOOKUP(A4308, Entries!A:B,2,false),"")</f>
        <v>Square Enix</v>
      </c>
      <c r="N4308" s="23" t="str">
        <f>IFERROR(VLOOKUP(A4308, Entries!A:K,11,false),"")</f>
        <v/>
      </c>
    </row>
    <row r="4309">
      <c r="A4309" s="78" t="s">
        <v>5084</v>
      </c>
      <c r="B4309" s="78" t="s">
        <v>18</v>
      </c>
      <c r="C4309" s="85">
        <v>45195.0</v>
      </c>
      <c r="D4309" s="85">
        <v>45202.0</v>
      </c>
      <c r="E4309" s="86">
        <v>17.18</v>
      </c>
      <c r="F4309" s="87">
        <v>18.19</v>
      </c>
      <c r="G4309" s="88">
        <f t="shared" si="1"/>
        <v>1.01</v>
      </c>
      <c r="H4309" s="89">
        <f t="shared" si="10"/>
        <v>0.05552501374</v>
      </c>
      <c r="I4309" s="78" t="s">
        <v>5085</v>
      </c>
      <c r="J4309" s="78" t="s">
        <v>69</v>
      </c>
      <c r="K4309" s="58">
        <f t="shared" si="14"/>
        <v>7</v>
      </c>
      <c r="L4309" s="91" t="str">
        <f t="shared" si="8"/>
        <v>Tue</v>
      </c>
      <c r="M4309" s="78" t="str">
        <f>IFERROR(VLOOKUP(A4309, Entries!A:B,2,false),"")</f>
        <v>Offworld Industries</v>
      </c>
      <c r="N4309" s="23" t="str">
        <f>IFERROR(VLOOKUP(A4309, Entries!A:K,11,false),"")</f>
        <v/>
      </c>
    </row>
    <row r="4310">
      <c r="A4310" s="78" t="s">
        <v>5084</v>
      </c>
      <c r="B4310" s="78" t="s">
        <v>18</v>
      </c>
      <c r="C4310" s="85">
        <v>45195.0</v>
      </c>
      <c r="D4310" s="85">
        <v>45203.0</v>
      </c>
      <c r="E4310" s="86">
        <v>17.18</v>
      </c>
      <c r="F4310" s="87">
        <v>18.19</v>
      </c>
      <c r="G4310" s="88">
        <f t="shared" si="1"/>
        <v>1.01</v>
      </c>
      <c r="H4310" s="89">
        <f t="shared" si="10"/>
        <v>0.05552501374</v>
      </c>
      <c r="I4310" s="78" t="s">
        <v>5086</v>
      </c>
      <c r="J4310" s="78" t="s">
        <v>69</v>
      </c>
      <c r="K4310" s="58">
        <f t="shared" si="14"/>
        <v>8</v>
      </c>
      <c r="L4310" s="91" t="str">
        <f t="shared" si="8"/>
        <v>Wed</v>
      </c>
      <c r="M4310" s="78" t="str">
        <f>IFERROR(VLOOKUP(A4310, Entries!A:B,2,false),"")</f>
        <v>Offworld Industries</v>
      </c>
      <c r="N4310" s="23" t="str">
        <f>IFERROR(VLOOKUP(A4310, Entries!A:K,11,false),"")</f>
        <v/>
      </c>
    </row>
    <row r="4311">
      <c r="A4311" s="78" t="s">
        <v>3897</v>
      </c>
      <c r="B4311" s="78" t="s">
        <v>27</v>
      </c>
      <c r="C4311" s="85">
        <v>45195.0</v>
      </c>
      <c r="D4311" s="85">
        <v>45241.0</v>
      </c>
      <c r="E4311" s="86">
        <v>4.59</v>
      </c>
      <c r="F4311" s="87">
        <v>5.15</v>
      </c>
      <c r="G4311" s="88">
        <f t="shared" si="1"/>
        <v>0.56</v>
      </c>
      <c r="H4311" s="89">
        <f t="shared" si="10"/>
        <v>0.1087378641</v>
      </c>
      <c r="I4311" s="78" t="s">
        <v>5087</v>
      </c>
      <c r="J4311" s="78" t="s">
        <v>69</v>
      </c>
      <c r="K4311" s="58">
        <f t="shared" si="14"/>
        <v>46</v>
      </c>
      <c r="L4311" s="91" t="str">
        <f t="shared" si="8"/>
        <v>Sat</v>
      </c>
      <c r="M4311" s="78" t="str">
        <f>IFERROR(VLOOKUP(A4311, Entries!A:B,2,false),"")</f>
        <v>Bethesda Softworks</v>
      </c>
      <c r="N4311" s="23" t="str">
        <f>IFERROR(VLOOKUP(A4311, Entries!A:K,11,false),"")</f>
        <v/>
      </c>
    </row>
    <row r="4312">
      <c r="A4312" s="94" t="s">
        <v>2624</v>
      </c>
      <c r="B4312" s="78" t="s">
        <v>27</v>
      </c>
      <c r="C4312" s="85">
        <v>45195.0</v>
      </c>
      <c r="D4312" s="85">
        <v>45196.0</v>
      </c>
      <c r="E4312" s="86">
        <v>14.89</v>
      </c>
      <c r="F4312" s="87">
        <v>17.43</v>
      </c>
      <c r="G4312" s="88">
        <f t="shared" si="1"/>
        <v>2.54</v>
      </c>
      <c r="H4312" s="89">
        <f t="shared" si="10"/>
        <v>0.1457257602</v>
      </c>
      <c r="I4312" s="78" t="s">
        <v>5088</v>
      </c>
      <c r="J4312" s="78" t="s">
        <v>69</v>
      </c>
      <c r="K4312" s="58">
        <f t="shared" si="14"/>
        <v>1</v>
      </c>
      <c r="L4312" s="91" t="str">
        <f t="shared" si="8"/>
        <v>Wed</v>
      </c>
      <c r="M4312" s="78" t="str">
        <f>IFERROR(VLOOKUP(A4312, Entries!A:B,2,false),"")</f>
        <v>Daedalic Entertainment</v>
      </c>
      <c r="N4312" s="23" t="str">
        <f>IFERROR(VLOOKUP(A4312, Entries!A:K,11,false),"")</f>
        <v/>
      </c>
    </row>
    <row r="4313">
      <c r="A4313" s="78" t="s">
        <v>5049</v>
      </c>
      <c r="B4313" s="78" t="s">
        <v>27</v>
      </c>
      <c r="C4313" s="85">
        <v>45195.0</v>
      </c>
      <c r="D4313" s="85">
        <v>45196.0</v>
      </c>
      <c r="E4313" s="86">
        <v>4.59</v>
      </c>
      <c r="F4313" s="87">
        <v>6.13</v>
      </c>
      <c r="G4313" s="88">
        <f t="shared" si="1"/>
        <v>1.54</v>
      </c>
      <c r="H4313" s="89">
        <f t="shared" si="10"/>
        <v>0.251223491</v>
      </c>
      <c r="I4313" s="78" t="s">
        <v>5089</v>
      </c>
      <c r="J4313" s="78" t="s">
        <v>69</v>
      </c>
      <c r="K4313" s="58">
        <f t="shared" si="14"/>
        <v>1</v>
      </c>
      <c r="L4313" s="91" t="str">
        <f t="shared" si="8"/>
        <v>Wed</v>
      </c>
      <c r="M4313" s="78" t="str">
        <f>IFERROR(VLOOKUP(A4313, Entries!A:B,2,false),"")</f>
        <v>Frontier Foundry</v>
      </c>
      <c r="N4313" s="23" t="str">
        <f>IFERROR(VLOOKUP(A4313, Entries!A:K,11,false),"")</f>
        <v/>
      </c>
    </row>
    <row r="4314">
      <c r="A4314" s="78" t="s">
        <v>3979</v>
      </c>
      <c r="B4314" s="78" t="s">
        <v>22</v>
      </c>
      <c r="C4314" s="85">
        <v>45196.0</v>
      </c>
      <c r="D4314" s="85">
        <v>45196.0</v>
      </c>
      <c r="E4314" s="86">
        <v>30.81</v>
      </c>
      <c r="F4314" s="87">
        <v>33.93</v>
      </c>
      <c r="G4314" s="88">
        <f t="shared" si="1"/>
        <v>3.12</v>
      </c>
      <c r="H4314" s="89">
        <f t="shared" si="10"/>
        <v>0.09195402299</v>
      </c>
      <c r="I4314" s="78" t="s">
        <v>5090</v>
      </c>
      <c r="J4314" s="78" t="s">
        <v>69</v>
      </c>
      <c r="K4314" s="58">
        <f t="shared" si="14"/>
        <v>0</v>
      </c>
      <c r="L4314" s="91" t="str">
        <f t="shared" si="8"/>
        <v>Wed</v>
      </c>
      <c r="M4314" s="78" t="str">
        <f>IFERROR(VLOOKUP(A4314, Entries!A:B,2,false),"")</f>
        <v>Square Enix</v>
      </c>
      <c r="N4314" s="23" t="str">
        <f>IFERROR(VLOOKUP(A4314, Entries!A:K,11,false),"")</f>
        <v/>
      </c>
    </row>
    <row r="4315">
      <c r="A4315" s="78" t="s">
        <v>3979</v>
      </c>
      <c r="B4315" s="78" t="s">
        <v>22</v>
      </c>
      <c r="C4315" s="85">
        <v>45196.0</v>
      </c>
      <c r="D4315" s="85">
        <v>45196.0</v>
      </c>
      <c r="E4315" s="86">
        <v>30.81</v>
      </c>
      <c r="F4315" s="87">
        <v>33.93</v>
      </c>
      <c r="G4315" s="88">
        <f t="shared" si="1"/>
        <v>3.12</v>
      </c>
      <c r="H4315" s="89">
        <f t="shared" si="10"/>
        <v>0.09195402299</v>
      </c>
      <c r="I4315" s="78" t="s">
        <v>5091</v>
      </c>
      <c r="J4315" s="78" t="s">
        <v>69</v>
      </c>
      <c r="K4315" s="58">
        <f t="shared" si="14"/>
        <v>0</v>
      </c>
      <c r="L4315" s="91" t="str">
        <f t="shared" si="8"/>
        <v>Wed</v>
      </c>
      <c r="M4315" s="78" t="str">
        <f>IFERROR(VLOOKUP(A4315, Entries!A:B,2,false),"")</f>
        <v>Square Enix</v>
      </c>
      <c r="N4315" s="23" t="str">
        <f>IFERROR(VLOOKUP(A4315, Entries!A:K,11,false),"")</f>
        <v/>
      </c>
    </row>
    <row r="4316">
      <c r="A4316" s="78" t="s">
        <v>4085</v>
      </c>
      <c r="B4316" s="78" t="s">
        <v>27</v>
      </c>
      <c r="C4316" s="85">
        <v>45196.0</v>
      </c>
      <c r="D4316" s="85">
        <v>45213.0</v>
      </c>
      <c r="E4316" s="86">
        <v>6.81</v>
      </c>
      <c r="F4316" s="87">
        <v>7.7</v>
      </c>
      <c r="G4316" s="88">
        <f t="shared" si="1"/>
        <v>0.89</v>
      </c>
      <c r="H4316" s="89">
        <f t="shared" si="10"/>
        <v>0.1155844156</v>
      </c>
      <c r="I4316" s="78" t="s">
        <v>5092</v>
      </c>
      <c r="J4316" s="78" t="s">
        <v>69</v>
      </c>
      <c r="K4316" s="58">
        <f t="shared" si="14"/>
        <v>17</v>
      </c>
      <c r="L4316" s="91" t="str">
        <f t="shared" si="8"/>
        <v>Sat</v>
      </c>
      <c r="M4316" s="78" t="str">
        <f>IFERROR(VLOOKUP(A4316, Entries!A:B,2,false),"")</f>
        <v>Bethesda Softworks</v>
      </c>
      <c r="N4316" s="23" t="str">
        <f>IFERROR(VLOOKUP(A4316, Entries!A:K,11,false),"")</f>
        <v/>
      </c>
    </row>
    <row r="4317">
      <c r="A4317" s="78" t="s">
        <v>5049</v>
      </c>
      <c r="B4317" s="78" t="s">
        <v>27</v>
      </c>
      <c r="C4317" s="85">
        <v>45196.0</v>
      </c>
      <c r="D4317" s="85">
        <v>45196.0</v>
      </c>
      <c r="E4317" s="86">
        <v>4.59</v>
      </c>
      <c r="F4317" s="87">
        <v>6.13</v>
      </c>
      <c r="G4317" s="88">
        <f t="shared" si="1"/>
        <v>1.54</v>
      </c>
      <c r="H4317" s="89">
        <f t="shared" si="10"/>
        <v>0.251223491</v>
      </c>
      <c r="I4317" s="78" t="s">
        <v>5093</v>
      </c>
      <c r="J4317" s="78" t="s">
        <v>69</v>
      </c>
      <c r="K4317" s="58">
        <f t="shared" si="14"/>
        <v>0</v>
      </c>
      <c r="L4317" s="91" t="str">
        <f t="shared" si="8"/>
        <v>Wed</v>
      </c>
      <c r="M4317" s="78" t="str">
        <f>IFERROR(VLOOKUP(A4317, Entries!A:B,2,false),"")</f>
        <v>Frontier Foundry</v>
      </c>
      <c r="N4317" s="23" t="str">
        <f>IFERROR(VLOOKUP(A4317, Entries!A:K,11,false),"")</f>
        <v/>
      </c>
    </row>
    <row r="4318">
      <c r="A4318" s="78" t="s">
        <v>2624</v>
      </c>
      <c r="B4318" s="78" t="s">
        <v>27</v>
      </c>
      <c r="C4318" s="85">
        <v>45196.0</v>
      </c>
      <c r="D4318" s="85">
        <v>45241.0</v>
      </c>
      <c r="E4318" s="86">
        <v>14.89</v>
      </c>
      <c r="F4318" s="87">
        <v>15.59</v>
      </c>
      <c r="G4318" s="88">
        <f t="shared" si="1"/>
        <v>0.7</v>
      </c>
      <c r="H4318" s="89">
        <f t="shared" si="10"/>
        <v>0.04490057729</v>
      </c>
      <c r="I4318" s="78" t="s">
        <v>5094</v>
      </c>
      <c r="J4318" s="78" t="s">
        <v>69</v>
      </c>
      <c r="K4318" s="58">
        <f t="shared" si="14"/>
        <v>45</v>
      </c>
      <c r="L4318" s="91" t="str">
        <f t="shared" si="8"/>
        <v>Sat</v>
      </c>
      <c r="M4318" s="78" t="str">
        <f>IFERROR(VLOOKUP(A4318, Entries!A:B,2,false),"")</f>
        <v>Daedalic Entertainment</v>
      </c>
      <c r="N4318" s="23" t="str">
        <f>IFERROR(VLOOKUP(A4318, Entries!A:K,11,false),"")</f>
        <v/>
      </c>
    </row>
    <row r="4319">
      <c r="A4319" s="78" t="s">
        <v>5049</v>
      </c>
      <c r="B4319" s="78" t="s">
        <v>27</v>
      </c>
      <c r="C4319" s="85">
        <v>45196.0</v>
      </c>
      <c r="D4319" s="85">
        <v>45198.0</v>
      </c>
      <c r="E4319" s="86">
        <v>4.59</v>
      </c>
      <c r="F4319" s="87">
        <v>6.13</v>
      </c>
      <c r="G4319" s="88">
        <f t="shared" si="1"/>
        <v>1.54</v>
      </c>
      <c r="H4319" s="89">
        <f t="shared" si="10"/>
        <v>0.251223491</v>
      </c>
      <c r="I4319" s="78" t="s">
        <v>5095</v>
      </c>
      <c r="J4319" s="78" t="s">
        <v>69</v>
      </c>
      <c r="K4319" s="58">
        <f t="shared" si="14"/>
        <v>2</v>
      </c>
      <c r="L4319" s="91" t="str">
        <f t="shared" si="8"/>
        <v>Fri</v>
      </c>
      <c r="M4319" s="78" t="str">
        <f>IFERROR(VLOOKUP(A4319, Entries!A:B,2,false),"")</f>
        <v>Frontier Foundry</v>
      </c>
      <c r="N4319" s="23" t="str">
        <f>IFERROR(VLOOKUP(A4319, Entries!A:K,11,false),"")</f>
        <v/>
      </c>
    </row>
    <row r="4320">
      <c r="A4320" s="78" t="s">
        <v>5096</v>
      </c>
      <c r="B4320" s="78" t="s">
        <v>27</v>
      </c>
      <c r="C4320" s="85">
        <v>45197.0</v>
      </c>
      <c r="D4320" s="85">
        <v>45209.0</v>
      </c>
      <c r="E4320" s="86">
        <v>3.39</v>
      </c>
      <c r="F4320" s="87">
        <v>7.25</v>
      </c>
      <c r="G4320" s="88">
        <f t="shared" si="1"/>
        <v>3.86</v>
      </c>
      <c r="H4320" s="89">
        <f t="shared" si="10"/>
        <v>0.5324137931</v>
      </c>
      <c r="I4320" s="78" t="s">
        <v>5097</v>
      </c>
      <c r="J4320" s="78" t="s">
        <v>69</v>
      </c>
      <c r="K4320" s="58">
        <f t="shared" si="14"/>
        <v>12</v>
      </c>
      <c r="L4320" s="91" t="str">
        <f t="shared" si="8"/>
        <v>Tue</v>
      </c>
      <c r="M4320" s="78" t="str">
        <f>IFERROR(VLOOKUP(A4320, Entries!A:B,2,false),"")</f>
        <v>Next in Game</v>
      </c>
      <c r="N4320" s="23" t="str">
        <f>IFERROR(VLOOKUP(A4320, Entries!A:K,11,false),"")</f>
        <v/>
      </c>
    </row>
    <row r="4321">
      <c r="A4321" s="78" t="s">
        <v>5098</v>
      </c>
      <c r="B4321" s="78" t="s">
        <v>25</v>
      </c>
      <c r="C4321" s="85">
        <v>45198.0</v>
      </c>
      <c r="D4321" s="85">
        <v>45198.0</v>
      </c>
      <c r="E4321" s="86">
        <v>6.58</v>
      </c>
      <c r="F4321" s="87">
        <v>7.86</v>
      </c>
      <c r="G4321" s="88">
        <f t="shared" si="1"/>
        <v>1.28</v>
      </c>
      <c r="H4321" s="89">
        <f t="shared" si="10"/>
        <v>0.1628498728</v>
      </c>
      <c r="I4321" s="78" t="s">
        <v>5099</v>
      </c>
      <c r="J4321" s="78" t="s">
        <v>69</v>
      </c>
      <c r="K4321" s="58">
        <f t="shared" si="14"/>
        <v>0</v>
      </c>
      <c r="L4321" s="91" t="str">
        <f t="shared" si="8"/>
        <v>Fri</v>
      </c>
      <c r="M4321" s="78" t="str">
        <f>IFERROR(VLOOKUP(A4321, Entries!A:B,2,false),"")</f>
        <v>Funcom</v>
      </c>
      <c r="N4321" s="23" t="str">
        <f>IFERROR(VLOOKUP(A4321, Entries!A:K,11,false),"")</f>
        <v/>
      </c>
    </row>
    <row r="4322">
      <c r="A4322" s="78" t="s">
        <v>5100</v>
      </c>
      <c r="B4322" s="78" t="s">
        <v>21</v>
      </c>
      <c r="C4322" s="85">
        <v>45198.0</v>
      </c>
      <c r="D4322" s="85">
        <v>45218.0</v>
      </c>
      <c r="E4322" s="86">
        <v>21.0</v>
      </c>
      <c r="F4322" s="87">
        <v>26.53</v>
      </c>
      <c r="G4322" s="88">
        <f t="shared" si="1"/>
        <v>5.53</v>
      </c>
      <c r="H4322" s="89">
        <f t="shared" si="10"/>
        <v>0.2084432718</v>
      </c>
      <c r="I4322" s="78" t="s">
        <v>5101</v>
      </c>
      <c r="J4322" s="78" t="s">
        <v>69</v>
      </c>
      <c r="K4322" s="58">
        <f t="shared" si="14"/>
        <v>20</v>
      </c>
      <c r="L4322" s="91" t="str">
        <f t="shared" si="8"/>
        <v>Thu</v>
      </c>
      <c r="M4322" s="78" t="str">
        <f>IFERROR(VLOOKUP(A4322, Entries!A:B,2,false),"")</f>
        <v>Activision</v>
      </c>
      <c r="N4322" s="23" t="str">
        <f>IFERROR(VLOOKUP(A4322, Entries!A:K,11,false),"")</f>
        <v/>
      </c>
    </row>
    <row r="4323">
      <c r="A4323" s="78" t="s">
        <v>5098</v>
      </c>
      <c r="B4323" s="78" t="s">
        <v>25</v>
      </c>
      <c r="C4323" s="85">
        <v>45198.0</v>
      </c>
      <c r="D4323" s="85">
        <v>45198.0</v>
      </c>
      <c r="E4323" s="86">
        <v>6.58</v>
      </c>
      <c r="F4323" s="87">
        <v>7.84</v>
      </c>
      <c r="G4323" s="88">
        <f t="shared" si="1"/>
        <v>1.26</v>
      </c>
      <c r="H4323" s="89">
        <f t="shared" si="10"/>
        <v>0.1607142857</v>
      </c>
      <c r="I4323" s="78" t="s">
        <v>5102</v>
      </c>
      <c r="J4323" s="78" t="s">
        <v>69</v>
      </c>
      <c r="K4323" s="58">
        <f t="shared" si="14"/>
        <v>0</v>
      </c>
      <c r="L4323" s="91" t="str">
        <f t="shared" si="8"/>
        <v>Fri</v>
      </c>
      <c r="M4323" s="78" t="str">
        <f>IFERROR(VLOOKUP(A4323, Entries!A:B,2,false),"")</f>
        <v>Funcom</v>
      </c>
      <c r="N4323" s="23" t="str">
        <f>IFERROR(VLOOKUP(A4323, Entries!A:K,11,false),"")</f>
        <v/>
      </c>
    </row>
    <row r="4324">
      <c r="A4324" s="78" t="s">
        <v>5098</v>
      </c>
      <c r="B4324" s="78" t="s">
        <v>25</v>
      </c>
      <c r="C4324" s="85">
        <v>45198.0</v>
      </c>
      <c r="D4324" s="85">
        <v>45198.0</v>
      </c>
      <c r="E4324" s="86">
        <v>6.58</v>
      </c>
      <c r="F4324" s="87">
        <v>7.74</v>
      </c>
      <c r="G4324" s="88">
        <f t="shared" si="1"/>
        <v>1.16</v>
      </c>
      <c r="H4324" s="89">
        <f t="shared" si="10"/>
        <v>0.149870801</v>
      </c>
      <c r="I4324" s="78" t="s">
        <v>5103</v>
      </c>
      <c r="J4324" s="78" t="s">
        <v>69</v>
      </c>
      <c r="K4324" s="58">
        <f t="shared" si="14"/>
        <v>0</v>
      </c>
      <c r="L4324" s="91" t="str">
        <f t="shared" si="8"/>
        <v>Fri</v>
      </c>
      <c r="M4324" s="78" t="str">
        <f>IFERROR(VLOOKUP(A4324, Entries!A:B,2,false),"")</f>
        <v>Funcom</v>
      </c>
      <c r="N4324" s="23" t="str">
        <f>IFERROR(VLOOKUP(A4324, Entries!A:K,11,false),"")</f>
        <v/>
      </c>
    </row>
    <row r="4325">
      <c r="A4325" s="78" t="s">
        <v>5049</v>
      </c>
      <c r="B4325" s="78" t="s">
        <v>27</v>
      </c>
      <c r="C4325" s="85">
        <v>45198.0</v>
      </c>
      <c r="D4325" s="85">
        <v>45198.0</v>
      </c>
      <c r="E4325" s="86">
        <v>4.59</v>
      </c>
      <c r="F4325" s="87">
        <v>6.13</v>
      </c>
      <c r="G4325" s="88">
        <f t="shared" si="1"/>
        <v>1.54</v>
      </c>
      <c r="H4325" s="89">
        <f t="shared" si="10"/>
        <v>0.251223491</v>
      </c>
      <c r="I4325" s="78" t="s">
        <v>5104</v>
      </c>
      <c r="J4325" s="78" t="s">
        <v>69</v>
      </c>
      <c r="K4325" s="58">
        <f t="shared" si="14"/>
        <v>0</v>
      </c>
      <c r="L4325" s="91" t="str">
        <f t="shared" si="8"/>
        <v>Fri</v>
      </c>
      <c r="M4325" s="78" t="str">
        <f>IFERROR(VLOOKUP(A4325, Entries!A:B,2,false),"")</f>
        <v>Frontier Foundry</v>
      </c>
      <c r="N4325" s="23" t="str">
        <f>IFERROR(VLOOKUP(A4325, Entries!A:K,11,false),"")</f>
        <v/>
      </c>
    </row>
    <row r="4326">
      <c r="A4326" s="78" t="s">
        <v>5049</v>
      </c>
      <c r="B4326" s="78" t="s">
        <v>27</v>
      </c>
      <c r="C4326" s="85">
        <v>45198.0</v>
      </c>
      <c r="D4326" s="85">
        <v>45199.0</v>
      </c>
      <c r="E4326" s="86">
        <v>4.59</v>
      </c>
      <c r="F4326" s="87">
        <v>6.13</v>
      </c>
      <c r="G4326" s="88">
        <f t="shared" si="1"/>
        <v>1.54</v>
      </c>
      <c r="H4326" s="89">
        <f t="shared" si="10"/>
        <v>0.251223491</v>
      </c>
      <c r="I4326" s="78" t="s">
        <v>5105</v>
      </c>
      <c r="J4326" s="78" t="s">
        <v>69</v>
      </c>
      <c r="K4326" s="58">
        <f t="shared" si="14"/>
        <v>1</v>
      </c>
      <c r="L4326" s="91" t="str">
        <f t="shared" si="8"/>
        <v>Sat</v>
      </c>
      <c r="M4326" s="78" t="str">
        <f>IFERROR(VLOOKUP(A4326, Entries!A:B,2,false),"")</f>
        <v>Frontier Foundry</v>
      </c>
      <c r="N4326" s="23" t="str">
        <f>IFERROR(VLOOKUP(A4326, Entries!A:K,11,false),"")</f>
        <v/>
      </c>
    </row>
    <row r="4327">
      <c r="A4327" s="78" t="s">
        <v>5106</v>
      </c>
      <c r="B4327" s="78" t="s">
        <v>27</v>
      </c>
      <c r="C4327" s="85">
        <v>45198.0</v>
      </c>
      <c r="D4327" s="85">
        <v>45198.0</v>
      </c>
      <c r="E4327" s="86">
        <v>5.69</v>
      </c>
      <c r="F4327" s="87">
        <v>6.52</v>
      </c>
      <c r="G4327" s="88">
        <f t="shared" si="1"/>
        <v>0.83</v>
      </c>
      <c r="H4327" s="89">
        <f t="shared" si="10"/>
        <v>0.1273006135</v>
      </c>
      <c r="I4327" s="78" t="s">
        <v>5107</v>
      </c>
      <c r="J4327" s="78" t="s">
        <v>69</v>
      </c>
      <c r="K4327" s="58">
        <f t="shared" si="14"/>
        <v>0</v>
      </c>
      <c r="L4327" s="91" t="str">
        <f t="shared" si="8"/>
        <v>Fri</v>
      </c>
      <c r="M4327" s="78" t="str">
        <f>IFERROR(VLOOKUP(A4327, Entries!A:B,2,false),"")</f>
        <v>Triternion</v>
      </c>
      <c r="N4327" s="23" t="str">
        <f>IFERROR(VLOOKUP(A4327, Entries!A:K,11,false),"")</f>
        <v/>
      </c>
    </row>
    <row r="4328">
      <c r="A4328" s="78" t="s">
        <v>2665</v>
      </c>
      <c r="B4328" s="78" t="s">
        <v>27</v>
      </c>
      <c r="C4328" s="85">
        <v>45198.0</v>
      </c>
      <c r="D4328" s="85">
        <v>45214.0</v>
      </c>
      <c r="E4328" s="86">
        <v>3.39</v>
      </c>
      <c r="F4328" s="87">
        <v>4.18</v>
      </c>
      <c r="G4328" s="88">
        <f t="shared" si="1"/>
        <v>0.79</v>
      </c>
      <c r="H4328" s="89">
        <f t="shared" si="10"/>
        <v>0.1889952153</v>
      </c>
      <c r="I4328" s="78" t="s">
        <v>5108</v>
      </c>
      <c r="J4328" s="78" t="s">
        <v>69</v>
      </c>
      <c r="K4328" s="58">
        <f t="shared" si="14"/>
        <v>16</v>
      </c>
      <c r="L4328" s="91" t="str">
        <f t="shared" si="8"/>
        <v>Sun</v>
      </c>
      <c r="M4328" s="78" t="str">
        <f>IFERROR(VLOOKUP(A4328, Entries!A:B,2,false),"")</f>
        <v>Maximum Entertainment</v>
      </c>
      <c r="N4328" s="23" t="str">
        <f>IFERROR(VLOOKUP(A4328, Entries!A:K,11,false),"")</f>
        <v/>
      </c>
    </row>
    <row r="4329">
      <c r="A4329" s="78" t="s">
        <v>272</v>
      </c>
      <c r="B4329" s="78" t="s">
        <v>19</v>
      </c>
      <c r="C4329" s="85">
        <v>45198.0</v>
      </c>
      <c r="D4329" s="85">
        <v>45198.0</v>
      </c>
      <c r="E4329" s="86">
        <v>0.94</v>
      </c>
      <c r="F4329" s="87">
        <v>1.18</v>
      </c>
      <c r="G4329" s="88">
        <f t="shared" si="1"/>
        <v>0.24</v>
      </c>
      <c r="H4329" s="89">
        <f t="shared" si="10"/>
        <v>0.2033898305</v>
      </c>
      <c r="I4329" s="78" t="s">
        <v>5109</v>
      </c>
      <c r="J4329" s="78" t="s">
        <v>69</v>
      </c>
      <c r="K4329" s="58">
        <f t="shared" si="14"/>
        <v>0</v>
      </c>
      <c r="L4329" s="91" t="str">
        <f t="shared" si="8"/>
        <v>Fri</v>
      </c>
      <c r="M4329" s="78" t="str">
        <f>IFERROR(VLOOKUP(A4329, Entries!A:B,2,false),"")</f>
        <v>Starbreeze Publishing</v>
      </c>
      <c r="N4329" s="23" t="str">
        <f>IFERROR(VLOOKUP(A4329, Entries!A:K,11,false),"")</f>
        <v/>
      </c>
    </row>
    <row r="4330">
      <c r="A4330" s="78" t="s">
        <v>272</v>
      </c>
      <c r="B4330" s="78" t="s">
        <v>19</v>
      </c>
      <c r="C4330" s="85">
        <v>45198.0</v>
      </c>
      <c r="D4330" s="85">
        <v>45198.0</v>
      </c>
      <c r="E4330" s="86">
        <v>0.94</v>
      </c>
      <c r="F4330" s="87">
        <v>1.18</v>
      </c>
      <c r="G4330" s="88">
        <f t="shared" si="1"/>
        <v>0.24</v>
      </c>
      <c r="H4330" s="89">
        <f t="shared" si="10"/>
        <v>0.2033898305</v>
      </c>
      <c r="I4330" s="78" t="s">
        <v>5110</v>
      </c>
      <c r="J4330" s="78" t="s">
        <v>69</v>
      </c>
      <c r="K4330" s="58">
        <f t="shared" si="14"/>
        <v>0</v>
      </c>
      <c r="L4330" s="91" t="str">
        <f t="shared" si="8"/>
        <v>Fri</v>
      </c>
      <c r="M4330" s="78" t="str">
        <f>IFERROR(VLOOKUP(A4330, Entries!A:B,2,false),"")</f>
        <v>Starbreeze Publishing</v>
      </c>
      <c r="N4330" s="23" t="str">
        <f>IFERROR(VLOOKUP(A4330, Entries!A:K,11,false),"")</f>
        <v/>
      </c>
    </row>
    <row r="4331">
      <c r="A4331" s="78" t="s">
        <v>272</v>
      </c>
      <c r="B4331" s="78" t="s">
        <v>19</v>
      </c>
      <c r="C4331" s="85">
        <v>45198.0</v>
      </c>
      <c r="D4331" s="85">
        <v>45198.0</v>
      </c>
      <c r="E4331" s="86">
        <v>0.94</v>
      </c>
      <c r="F4331" s="87">
        <v>1.18</v>
      </c>
      <c r="G4331" s="88">
        <f t="shared" si="1"/>
        <v>0.24</v>
      </c>
      <c r="H4331" s="89">
        <f t="shared" si="10"/>
        <v>0.2033898305</v>
      </c>
      <c r="I4331" s="78" t="s">
        <v>5111</v>
      </c>
      <c r="J4331" s="78" t="s">
        <v>69</v>
      </c>
      <c r="K4331" s="58">
        <f t="shared" si="14"/>
        <v>0</v>
      </c>
      <c r="L4331" s="91" t="str">
        <f t="shared" si="8"/>
        <v>Fri</v>
      </c>
      <c r="M4331" s="78" t="str">
        <f>IFERROR(VLOOKUP(A4331, Entries!A:B,2,false),"")</f>
        <v>Starbreeze Publishing</v>
      </c>
      <c r="N4331" s="23" t="str">
        <f>IFERROR(VLOOKUP(A4331, Entries!A:K,11,false),"")</f>
        <v/>
      </c>
    </row>
    <row r="4332">
      <c r="A4332" s="78" t="s">
        <v>272</v>
      </c>
      <c r="B4332" s="78" t="s">
        <v>19</v>
      </c>
      <c r="C4332" s="85">
        <v>45198.0</v>
      </c>
      <c r="D4332" s="85">
        <v>45198.0</v>
      </c>
      <c r="E4332" s="86">
        <v>0.94</v>
      </c>
      <c r="F4332" s="87">
        <v>1.18</v>
      </c>
      <c r="G4332" s="88">
        <f t="shared" si="1"/>
        <v>0.24</v>
      </c>
      <c r="H4332" s="89">
        <f t="shared" si="10"/>
        <v>0.2033898305</v>
      </c>
      <c r="I4332" s="78" t="s">
        <v>5112</v>
      </c>
      <c r="J4332" s="78" t="s">
        <v>69</v>
      </c>
      <c r="K4332" s="58">
        <f t="shared" si="14"/>
        <v>0</v>
      </c>
      <c r="L4332" s="91" t="str">
        <f t="shared" si="8"/>
        <v>Fri</v>
      </c>
      <c r="M4332" s="78" t="str">
        <f>IFERROR(VLOOKUP(A4332, Entries!A:B,2,false),"")</f>
        <v>Starbreeze Publishing</v>
      </c>
      <c r="N4332" s="23" t="str">
        <f>IFERROR(VLOOKUP(A4332, Entries!A:K,11,false),"")</f>
        <v/>
      </c>
    </row>
    <row r="4333">
      <c r="A4333" s="78" t="s">
        <v>272</v>
      </c>
      <c r="B4333" s="78" t="s">
        <v>19</v>
      </c>
      <c r="C4333" s="85">
        <v>45198.0</v>
      </c>
      <c r="D4333" s="85">
        <v>45198.0</v>
      </c>
      <c r="E4333" s="86">
        <v>0.94</v>
      </c>
      <c r="F4333" s="87">
        <v>1.18</v>
      </c>
      <c r="G4333" s="88">
        <f t="shared" si="1"/>
        <v>0.24</v>
      </c>
      <c r="H4333" s="89">
        <f t="shared" si="10"/>
        <v>0.2033898305</v>
      </c>
      <c r="I4333" s="78" t="s">
        <v>5113</v>
      </c>
      <c r="J4333" s="78" t="s">
        <v>69</v>
      </c>
      <c r="K4333" s="58">
        <f t="shared" si="14"/>
        <v>0</v>
      </c>
      <c r="L4333" s="91" t="str">
        <f t="shared" si="8"/>
        <v>Fri</v>
      </c>
      <c r="M4333" s="78" t="str">
        <f>IFERROR(VLOOKUP(A4333, Entries!A:B,2,false),"")</f>
        <v>Starbreeze Publishing</v>
      </c>
      <c r="N4333" s="23" t="str">
        <f>IFERROR(VLOOKUP(A4333, Entries!A:K,11,false),"")</f>
        <v/>
      </c>
    </row>
    <row r="4334">
      <c r="A4334" s="78" t="s">
        <v>5106</v>
      </c>
      <c r="B4334" s="78" t="s">
        <v>27</v>
      </c>
      <c r="C4334" s="85">
        <v>45198.0</v>
      </c>
      <c r="D4334" s="85">
        <v>45207.0</v>
      </c>
      <c r="E4334" s="86">
        <v>5.54</v>
      </c>
      <c r="F4334" s="87">
        <v>6.22</v>
      </c>
      <c r="G4334" s="88">
        <f t="shared" si="1"/>
        <v>0.68</v>
      </c>
      <c r="H4334" s="89">
        <f t="shared" si="10"/>
        <v>0.1093247588</v>
      </c>
      <c r="I4334" s="78" t="s">
        <v>5114</v>
      </c>
      <c r="J4334" s="78" t="s">
        <v>69</v>
      </c>
      <c r="K4334" s="58">
        <f t="shared" si="14"/>
        <v>9</v>
      </c>
      <c r="L4334" s="91" t="str">
        <f t="shared" si="8"/>
        <v>Sun</v>
      </c>
      <c r="M4334" s="78" t="str">
        <f>IFERROR(VLOOKUP(A4334, Entries!A:B,2,false),"")</f>
        <v>Triternion</v>
      </c>
      <c r="N4334" s="23" t="str">
        <f>IFERROR(VLOOKUP(A4334, Entries!A:K,11,false),"")</f>
        <v/>
      </c>
    </row>
    <row r="4335">
      <c r="A4335" s="78" t="s">
        <v>272</v>
      </c>
      <c r="B4335" s="78" t="s">
        <v>19</v>
      </c>
      <c r="C4335" s="85">
        <v>45198.0</v>
      </c>
      <c r="D4335" s="85">
        <v>45198.0</v>
      </c>
      <c r="E4335" s="86">
        <v>0.99</v>
      </c>
      <c r="F4335" s="87">
        <v>1.18</v>
      </c>
      <c r="G4335" s="88">
        <f t="shared" si="1"/>
        <v>0.19</v>
      </c>
      <c r="H4335" s="89">
        <f t="shared" si="10"/>
        <v>0.1610169492</v>
      </c>
      <c r="I4335" s="78" t="s">
        <v>5115</v>
      </c>
      <c r="J4335" s="78" t="s">
        <v>69</v>
      </c>
      <c r="K4335" s="58">
        <f t="shared" si="14"/>
        <v>0</v>
      </c>
      <c r="L4335" s="91" t="str">
        <f t="shared" si="8"/>
        <v>Fri</v>
      </c>
      <c r="M4335" s="78" t="str">
        <f>IFERROR(VLOOKUP(A4335, Entries!A:B,2,false),"")</f>
        <v>Starbreeze Publishing</v>
      </c>
      <c r="N4335" s="23" t="str">
        <f>IFERROR(VLOOKUP(A4335, Entries!A:K,11,false),"")</f>
        <v/>
      </c>
    </row>
    <row r="4336">
      <c r="A4336" s="78" t="s">
        <v>5098</v>
      </c>
      <c r="B4336" s="78" t="s">
        <v>25</v>
      </c>
      <c r="C4336" s="85">
        <v>45198.0</v>
      </c>
      <c r="D4336" s="85">
        <v>45199.0</v>
      </c>
      <c r="E4336" s="86">
        <v>6.58</v>
      </c>
      <c r="F4336" s="87">
        <v>7.76</v>
      </c>
      <c r="G4336" s="88">
        <f t="shared" si="1"/>
        <v>1.18</v>
      </c>
      <c r="H4336" s="89">
        <f t="shared" si="10"/>
        <v>0.1520618557</v>
      </c>
      <c r="I4336" s="78" t="s">
        <v>5116</v>
      </c>
      <c r="J4336" s="78" t="s">
        <v>69</v>
      </c>
      <c r="K4336" s="58">
        <f t="shared" si="14"/>
        <v>1</v>
      </c>
      <c r="L4336" s="91" t="str">
        <f t="shared" si="8"/>
        <v>Sat</v>
      </c>
      <c r="M4336" s="78" t="str">
        <f>IFERROR(VLOOKUP(A4336, Entries!A:B,2,false),"")</f>
        <v>Funcom</v>
      </c>
      <c r="N4336" s="23" t="str">
        <f>IFERROR(VLOOKUP(A4336, Entries!A:K,11,false),"")</f>
        <v/>
      </c>
    </row>
    <row r="4337">
      <c r="A4337" s="78" t="s">
        <v>272</v>
      </c>
      <c r="B4337" s="78" t="s">
        <v>19</v>
      </c>
      <c r="C4337" s="85">
        <v>45198.0</v>
      </c>
      <c r="D4337" s="85">
        <v>45198.0</v>
      </c>
      <c r="E4337" s="86">
        <v>0.94</v>
      </c>
      <c r="F4337" s="87">
        <v>1.18</v>
      </c>
      <c r="G4337" s="88">
        <f t="shared" si="1"/>
        <v>0.24</v>
      </c>
      <c r="H4337" s="89">
        <f t="shared" si="10"/>
        <v>0.2033898305</v>
      </c>
      <c r="I4337" s="78" t="s">
        <v>5117</v>
      </c>
      <c r="J4337" s="78" t="s">
        <v>69</v>
      </c>
      <c r="K4337" s="58">
        <f t="shared" si="14"/>
        <v>0</v>
      </c>
      <c r="L4337" s="91" t="str">
        <f t="shared" si="8"/>
        <v>Fri</v>
      </c>
      <c r="M4337" s="78" t="str">
        <f>IFERROR(VLOOKUP(A4337, Entries!A:B,2,false),"")</f>
        <v>Starbreeze Publishing</v>
      </c>
      <c r="N4337" s="23" t="str">
        <f>IFERROR(VLOOKUP(A4337, Entries!A:K,11,false),"")</f>
        <v/>
      </c>
    </row>
    <row r="4338">
      <c r="A4338" s="78" t="s">
        <v>272</v>
      </c>
      <c r="B4338" s="78" t="s">
        <v>19</v>
      </c>
      <c r="C4338" s="85">
        <v>45198.0</v>
      </c>
      <c r="D4338" s="85">
        <v>45198.0</v>
      </c>
      <c r="E4338" s="86">
        <v>0.94</v>
      </c>
      <c r="F4338" s="87">
        <v>1.18</v>
      </c>
      <c r="G4338" s="88">
        <f t="shared" si="1"/>
        <v>0.24</v>
      </c>
      <c r="H4338" s="89">
        <f t="shared" si="10"/>
        <v>0.2033898305</v>
      </c>
      <c r="I4338" s="78" t="s">
        <v>5118</v>
      </c>
      <c r="J4338" s="78" t="s">
        <v>69</v>
      </c>
      <c r="K4338" s="58">
        <f t="shared" si="14"/>
        <v>0</v>
      </c>
      <c r="L4338" s="91" t="str">
        <f t="shared" si="8"/>
        <v>Fri</v>
      </c>
      <c r="M4338" s="78" t="str">
        <f>IFERROR(VLOOKUP(A4338, Entries!A:B,2,false),"")</f>
        <v>Starbreeze Publishing</v>
      </c>
      <c r="N4338" s="23" t="str">
        <f>IFERROR(VLOOKUP(A4338, Entries!A:K,11,false),"")</f>
        <v/>
      </c>
    </row>
    <row r="4339">
      <c r="A4339" s="78" t="s">
        <v>272</v>
      </c>
      <c r="B4339" s="78" t="s">
        <v>19</v>
      </c>
      <c r="C4339" s="85">
        <v>45198.0</v>
      </c>
      <c r="D4339" s="85">
        <v>45199.0</v>
      </c>
      <c r="E4339" s="86">
        <v>0.94</v>
      </c>
      <c r="F4339" s="87">
        <v>1.18</v>
      </c>
      <c r="G4339" s="88">
        <f t="shared" si="1"/>
        <v>0.24</v>
      </c>
      <c r="H4339" s="89">
        <f t="shared" si="10"/>
        <v>0.2033898305</v>
      </c>
      <c r="I4339" s="78" t="s">
        <v>5119</v>
      </c>
      <c r="J4339" s="78" t="s">
        <v>69</v>
      </c>
      <c r="K4339" s="58">
        <f t="shared" si="14"/>
        <v>1</v>
      </c>
      <c r="L4339" s="91" t="str">
        <f t="shared" si="8"/>
        <v>Sat</v>
      </c>
      <c r="M4339" s="78" t="str">
        <f>IFERROR(VLOOKUP(A4339, Entries!A:B,2,false),"")</f>
        <v>Starbreeze Publishing</v>
      </c>
      <c r="N4339" s="23" t="str">
        <f>IFERROR(VLOOKUP(A4339, Entries!A:K,11,false),"")</f>
        <v/>
      </c>
    </row>
    <row r="4340">
      <c r="A4340" s="78" t="s">
        <v>272</v>
      </c>
      <c r="B4340" s="78" t="s">
        <v>19</v>
      </c>
      <c r="C4340" s="85">
        <v>45198.0</v>
      </c>
      <c r="D4340" s="85">
        <v>45199.0</v>
      </c>
      <c r="E4340" s="86">
        <v>0.94</v>
      </c>
      <c r="F4340" s="87">
        <v>1.18</v>
      </c>
      <c r="G4340" s="88">
        <f t="shared" si="1"/>
        <v>0.24</v>
      </c>
      <c r="H4340" s="89">
        <f t="shared" si="10"/>
        <v>0.2033898305</v>
      </c>
      <c r="I4340" s="78" t="s">
        <v>5120</v>
      </c>
      <c r="J4340" s="78" t="s">
        <v>69</v>
      </c>
      <c r="K4340" s="58">
        <f t="shared" si="14"/>
        <v>1</v>
      </c>
      <c r="L4340" s="91" t="str">
        <f t="shared" si="8"/>
        <v>Sat</v>
      </c>
      <c r="M4340" s="78" t="str">
        <f>IFERROR(VLOOKUP(A4340, Entries!A:B,2,false),"")</f>
        <v>Starbreeze Publishing</v>
      </c>
      <c r="N4340" s="23" t="str">
        <f>IFERROR(VLOOKUP(A4340, Entries!A:K,11,false),"")</f>
        <v/>
      </c>
    </row>
    <row r="4341">
      <c r="A4341" s="78" t="s">
        <v>272</v>
      </c>
      <c r="B4341" s="78" t="s">
        <v>19</v>
      </c>
      <c r="C4341" s="85">
        <v>45199.0</v>
      </c>
      <c r="D4341" s="85">
        <v>45199.0</v>
      </c>
      <c r="E4341" s="86">
        <v>0.99</v>
      </c>
      <c r="F4341" s="87">
        <v>1.18</v>
      </c>
      <c r="G4341" s="88">
        <f t="shared" si="1"/>
        <v>0.19</v>
      </c>
      <c r="H4341" s="89">
        <f t="shared" si="10"/>
        <v>0.1610169492</v>
      </c>
      <c r="I4341" s="78" t="s">
        <v>5121</v>
      </c>
      <c r="J4341" s="78" t="s">
        <v>69</v>
      </c>
      <c r="K4341" s="58">
        <f t="shared" si="14"/>
        <v>0</v>
      </c>
      <c r="L4341" s="91" t="str">
        <f t="shared" si="8"/>
        <v>Sat</v>
      </c>
      <c r="M4341" s="78" t="str">
        <f>IFERROR(VLOOKUP(A4341, Entries!A:B,2,false),"")</f>
        <v>Starbreeze Publishing</v>
      </c>
      <c r="N4341" s="23" t="str">
        <f>IFERROR(VLOOKUP(A4341, Entries!A:K,11,false),"")</f>
        <v/>
      </c>
    </row>
    <row r="4342">
      <c r="A4342" s="78" t="s">
        <v>272</v>
      </c>
      <c r="B4342" s="78" t="s">
        <v>19</v>
      </c>
      <c r="C4342" s="85">
        <v>45199.0</v>
      </c>
      <c r="D4342" s="85">
        <v>45199.0</v>
      </c>
      <c r="E4342" s="86">
        <v>0.94</v>
      </c>
      <c r="F4342" s="87">
        <v>1.18</v>
      </c>
      <c r="G4342" s="88">
        <f t="shared" si="1"/>
        <v>0.24</v>
      </c>
      <c r="H4342" s="89">
        <f t="shared" si="10"/>
        <v>0.2033898305</v>
      </c>
      <c r="I4342" s="78" t="s">
        <v>5122</v>
      </c>
      <c r="J4342" s="78" t="s">
        <v>69</v>
      </c>
      <c r="K4342" s="58">
        <f t="shared" si="14"/>
        <v>0</v>
      </c>
      <c r="L4342" s="91" t="str">
        <f t="shared" si="8"/>
        <v>Sat</v>
      </c>
      <c r="M4342" s="78" t="str">
        <f>IFERROR(VLOOKUP(A4342, Entries!A:B,2,false),"")</f>
        <v>Starbreeze Publishing</v>
      </c>
      <c r="N4342" s="23" t="str">
        <f>IFERROR(VLOOKUP(A4342, Entries!A:K,11,false),"")</f>
        <v/>
      </c>
    </row>
    <row r="4343">
      <c r="A4343" s="78" t="s">
        <v>272</v>
      </c>
      <c r="B4343" s="78" t="s">
        <v>19</v>
      </c>
      <c r="C4343" s="85">
        <v>45199.0</v>
      </c>
      <c r="D4343" s="85">
        <v>45199.0</v>
      </c>
      <c r="E4343" s="86">
        <v>0.94</v>
      </c>
      <c r="F4343" s="87">
        <v>1.18</v>
      </c>
      <c r="G4343" s="88">
        <f t="shared" si="1"/>
        <v>0.24</v>
      </c>
      <c r="H4343" s="89">
        <f t="shared" si="10"/>
        <v>0.2033898305</v>
      </c>
      <c r="I4343" s="78" t="s">
        <v>5123</v>
      </c>
      <c r="J4343" s="78" t="s">
        <v>69</v>
      </c>
      <c r="K4343" s="58">
        <f t="shared" si="14"/>
        <v>0</v>
      </c>
      <c r="L4343" s="91" t="str">
        <f t="shared" si="8"/>
        <v>Sat</v>
      </c>
      <c r="M4343" s="78" t="str">
        <f>IFERROR(VLOOKUP(A4343, Entries!A:B,2,false),"")</f>
        <v>Starbreeze Publishing</v>
      </c>
      <c r="N4343" s="23" t="str">
        <f>IFERROR(VLOOKUP(A4343, Entries!A:K,11,false),"")</f>
        <v/>
      </c>
    </row>
    <row r="4344">
      <c r="A4344" s="78" t="s">
        <v>272</v>
      </c>
      <c r="B4344" s="78" t="s">
        <v>19</v>
      </c>
      <c r="C4344" s="85">
        <v>45199.0</v>
      </c>
      <c r="D4344" s="85">
        <v>45199.0</v>
      </c>
      <c r="E4344" s="86">
        <v>0.94</v>
      </c>
      <c r="F4344" s="87">
        <v>1.18</v>
      </c>
      <c r="G4344" s="88">
        <f t="shared" si="1"/>
        <v>0.24</v>
      </c>
      <c r="H4344" s="89">
        <f t="shared" si="10"/>
        <v>0.2033898305</v>
      </c>
      <c r="I4344" s="78" t="s">
        <v>5124</v>
      </c>
      <c r="J4344" s="78" t="s">
        <v>69</v>
      </c>
      <c r="K4344" s="58">
        <f t="shared" si="14"/>
        <v>0</v>
      </c>
      <c r="L4344" s="91" t="str">
        <f t="shared" si="8"/>
        <v>Sat</v>
      </c>
      <c r="M4344" s="78" t="str">
        <f>IFERROR(VLOOKUP(A4344, Entries!A:B,2,false),"")</f>
        <v>Starbreeze Publishing</v>
      </c>
      <c r="N4344" s="23" t="str">
        <f>IFERROR(VLOOKUP(A4344, Entries!A:K,11,false),"")</f>
        <v/>
      </c>
    </row>
    <row r="4345">
      <c r="A4345" s="78" t="s">
        <v>272</v>
      </c>
      <c r="B4345" s="78" t="s">
        <v>19</v>
      </c>
      <c r="C4345" s="85">
        <v>45199.0</v>
      </c>
      <c r="D4345" s="85">
        <v>45199.0</v>
      </c>
      <c r="E4345" s="86">
        <v>0.94</v>
      </c>
      <c r="F4345" s="87">
        <v>1.18</v>
      </c>
      <c r="G4345" s="88">
        <f t="shared" si="1"/>
        <v>0.24</v>
      </c>
      <c r="H4345" s="89">
        <f t="shared" si="10"/>
        <v>0.2033898305</v>
      </c>
      <c r="I4345" s="78" t="s">
        <v>5125</v>
      </c>
      <c r="J4345" s="78" t="s">
        <v>69</v>
      </c>
      <c r="K4345" s="58">
        <f t="shared" si="14"/>
        <v>0</v>
      </c>
      <c r="L4345" s="91" t="str">
        <f t="shared" si="8"/>
        <v>Sat</v>
      </c>
      <c r="M4345" s="78" t="str">
        <f>IFERROR(VLOOKUP(A4345, Entries!A:B,2,false),"")</f>
        <v>Starbreeze Publishing</v>
      </c>
      <c r="N4345" s="23" t="str">
        <f>IFERROR(VLOOKUP(A4345, Entries!A:K,11,false),"")</f>
        <v/>
      </c>
    </row>
    <row r="4346">
      <c r="A4346" s="78" t="s">
        <v>5098</v>
      </c>
      <c r="B4346" s="78" t="s">
        <v>25</v>
      </c>
      <c r="C4346" s="85">
        <v>45199.0</v>
      </c>
      <c r="D4346" s="85">
        <v>45199.0</v>
      </c>
      <c r="E4346" s="86">
        <v>6.22</v>
      </c>
      <c r="F4346" s="87">
        <v>7.76</v>
      </c>
      <c r="G4346" s="88">
        <f t="shared" si="1"/>
        <v>1.54</v>
      </c>
      <c r="H4346" s="89">
        <f t="shared" si="10"/>
        <v>0.1984536082</v>
      </c>
      <c r="I4346" s="78" t="s">
        <v>5126</v>
      </c>
      <c r="J4346" s="78" t="s">
        <v>69</v>
      </c>
      <c r="K4346" s="58">
        <f t="shared" si="14"/>
        <v>0</v>
      </c>
      <c r="L4346" s="91" t="str">
        <f t="shared" si="8"/>
        <v>Sat</v>
      </c>
      <c r="M4346" s="78" t="str">
        <f>IFERROR(VLOOKUP(A4346, Entries!A:B,2,false),"")</f>
        <v>Funcom</v>
      </c>
      <c r="N4346" s="23" t="str">
        <f>IFERROR(VLOOKUP(A4346, Entries!A:K,11,false),"")</f>
        <v/>
      </c>
    </row>
    <row r="4347">
      <c r="A4347" s="78" t="s">
        <v>5098</v>
      </c>
      <c r="B4347" s="78" t="s">
        <v>25</v>
      </c>
      <c r="C4347" s="85">
        <v>45199.0</v>
      </c>
      <c r="D4347" s="85">
        <v>45199.0</v>
      </c>
      <c r="E4347" s="86">
        <v>6.22</v>
      </c>
      <c r="F4347" s="87">
        <v>7.76</v>
      </c>
      <c r="G4347" s="88">
        <f t="shared" si="1"/>
        <v>1.54</v>
      </c>
      <c r="H4347" s="89">
        <f t="shared" si="10"/>
        <v>0.1984536082</v>
      </c>
      <c r="I4347" s="78" t="s">
        <v>5127</v>
      </c>
      <c r="J4347" s="78" t="s">
        <v>69</v>
      </c>
      <c r="K4347" s="58">
        <f t="shared" si="14"/>
        <v>0</v>
      </c>
      <c r="L4347" s="91" t="str">
        <f t="shared" si="8"/>
        <v>Sat</v>
      </c>
      <c r="M4347" s="78" t="str">
        <f>IFERROR(VLOOKUP(A4347, Entries!A:B,2,false),"")</f>
        <v>Funcom</v>
      </c>
      <c r="N4347" s="23" t="str">
        <f>IFERROR(VLOOKUP(A4347, Entries!A:K,11,false),"")</f>
        <v/>
      </c>
    </row>
    <row r="4348">
      <c r="A4348" s="78" t="s">
        <v>5098</v>
      </c>
      <c r="B4348" s="78" t="s">
        <v>25</v>
      </c>
      <c r="C4348" s="85">
        <v>45199.0</v>
      </c>
      <c r="D4348" s="85">
        <v>45199.0</v>
      </c>
      <c r="E4348" s="86">
        <v>6.22</v>
      </c>
      <c r="F4348" s="87">
        <v>7.76</v>
      </c>
      <c r="G4348" s="88">
        <f t="shared" si="1"/>
        <v>1.54</v>
      </c>
      <c r="H4348" s="89">
        <f t="shared" si="10"/>
        <v>0.1984536082</v>
      </c>
      <c r="I4348" s="78" t="s">
        <v>5128</v>
      </c>
      <c r="J4348" s="78" t="s">
        <v>69</v>
      </c>
      <c r="K4348" s="58">
        <f t="shared" si="14"/>
        <v>0</v>
      </c>
      <c r="L4348" s="91" t="str">
        <f t="shared" si="8"/>
        <v>Sat</v>
      </c>
      <c r="M4348" s="78" t="str">
        <f>IFERROR(VLOOKUP(A4348, Entries!A:B,2,false),"")</f>
        <v>Funcom</v>
      </c>
      <c r="N4348" s="23" t="str">
        <f>IFERROR(VLOOKUP(A4348, Entries!A:K,11,false),"")</f>
        <v/>
      </c>
    </row>
    <row r="4349">
      <c r="A4349" s="78" t="s">
        <v>5049</v>
      </c>
      <c r="B4349" s="78" t="s">
        <v>27</v>
      </c>
      <c r="C4349" s="85">
        <v>45199.0</v>
      </c>
      <c r="D4349" s="85">
        <v>45199.0</v>
      </c>
      <c r="E4349" s="86">
        <v>4.59</v>
      </c>
      <c r="F4349" s="87">
        <v>6.13</v>
      </c>
      <c r="G4349" s="88">
        <f t="shared" si="1"/>
        <v>1.54</v>
      </c>
      <c r="H4349" s="89">
        <f t="shared" si="10"/>
        <v>0.251223491</v>
      </c>
      <c r="I4349" s="78" t="s">
        <v>5129</v>
      </c>
      <c r="J4349" s="78" t="s">
        <v>69</v>
      </c>
      <c r="K4349" s="58">
        <f t="shared" si="14"/>
        <v>0</v>
      </c>
      <c r="L4349" s="91" t="str">
        <f t="shared" si="8"/>
        <v>Sat</v>
      </c>
      <c r="M4349" s="78" t="str">
        <f>IFERROR(VLOOKUP(A4349, Entries!A:B,2,false),"")</f>
        <v>Frontier Foundry</v>
      </c>
      <c r="N4349" s="23" t="str">
        <f>IFERROR(VLOOKUP(A4349, Entries!A:K,11,false),"")</f>
        <v/>
      </c>
    </row>
    <row r="4350">
      <c r="A4350" s="78" t="s">
        <v>5067</v>
      </c>
      <c r="B4350" s="78" t="s">
        <v>21</v>
      </c>
      <c r="C4350" s="85">
        <v>45199.0</v>
      </c>
      <c r="D4350" s="85">
        <v>45200.0</v>
      </c>
      <c r="E4350" s="86">
        <v>15.5</v>
      </c>
      <c r="F4350" s="87">
        <v>17.75</v>
      </c>
      <c r="G4350" s="88">
        <f t="shared" si="1"/>
        <v>2.25</v>
      </c>
      <c r="H4350" s="89">
        <f t="shared" si="10"/>
        <v>0.1267605634</v>
      </c>
      <c r="I4350" s="78" t="s">
        <v>5130</v>
      </c>
      <c r="J4350" s="78" t="s">
        <v>69</v>
      </c>
      <c r="K4350" s="58">
        <f t="shared" si="14"/>
        <v>1</v>
      </c>
      <c r="L4350" s="91" t="str">
        <f t="shared" si="8"/>
        <v>Sun</v>
      </c>
      <c r="M4350" s="78" t="str">
        <f>IFERROR(VLOOKUP(A4350, Entries!A:B,2,false),"")</f>
        <v>Humble Games</v>
      </c>
      <c r="N4350" s="23" t="str">
        <f>IFERROR(VLOOKUP(A4350, Entries!A:K,11,false),"")</f>
        <v/>
      </c>
    </row>
    <row r="4351">
      <c r="A4351" s="78" t="s">
        <v>272</v>
      </c>
      <c r="B4351" s="78" t="s">
        <v>19</v>
      </c>
      <c r="C4351" s="85">
        <v>45199.0</v>
      </c>
      <c r="D4351" s="85">
        <v>45199.0</v>
      </c>
      <c r="E4351" s="86">
        <v>0.99</v>
      </c>
      <c r="F4351" s="87">
        <v>1.18</v>
      </c>
      <c r="G4351" s="88">
        <f t="shared" si="1"/>
        <v>0.19</v>
      </c>
      <c r="H4351" s="89">
        <f t="shared" si="10"/>
        <v>0.1610169492</v>
      </c>
      <c r="I4351" s="78" t="s">
        <v>5131</v>
      </c>
      <c r="J4351" s="78" t="s">
        <v>69</v>
      </c>
      <c r="K4351" s="58">
        <f t="shared" si="14"/>
        <v>0</v>
      </c>
      <c r="L4351" s="91" t="str">
        <f t="shared" si="8"/>
        <v>Sat</v>
      </c>
      <c r="M4351" s="78" t="str">
        <f>IFERROR(VLOOKUP(A4351, Entries!A:B,2,false),"")</f>
        <v>Starbreeze Publishing</v>
      </c>
      <c r="N4351" s="23" t="str">
        <f>IFERROR(VLOOKUP(A4351, Entries!A:K,11,false),"")</f>
        <v/>
      </c>
    </row>
    <row r="4352">
      <c r="A4352" s="78" t="s">
        <v>272</v>
      </c>
      <c r="B4352" s="78" t="s">
        <v>19</v>
      </c>
      <c r="C4352" s="85">
        <v>45199.0</v>
      </c>
      <c r="D4352" s="85">
        <v>45199.0</v>
      </c>
      <c r="E4352" s="86">
        <v>0.94</v>
      </c>
      <c r="F4352" s="87">
        <v>1.18</v>
      </c>
      <c r="G4352" s="88">
        <f t="shared" si="1"/>
        <v>0.24</v>
      </c>
      <c r="H4352" s="89">
        <f t="shared" si="10"/>
        <v>0.2033898305</v>
      </c>
      <c r="I4352" s="78" t="s">
        <v>5132</v>
      </c>
      <c r="J4352" s="78" t="s">
        <v>69</v>
      </c>
      <c r="K4352" s="58">
        <f t="shared" si="14"/>
        <v>0</v>
      </c>
      <c r="L4352" s="91" t="str">
        <f t="shared" si="8"/>
        <v>Sat</v>
      </c>
      <c r="M4352" s="78" t="str">
        <f>IFERROR(VLOOKUP(A4352, Entries!A:B,2,false),"")</f>
        <v>Starbreeze Publishing</v>
      </c>
      <c r="N4352" s="23" t="str">
        <f>IFERROR(VLOOKUP(A4352, Entries!A:K,11,false),"")</f>
        <v/>
      </c>
    </row>
    <row r="4353">
      <c r="A4353" s="78" t="s">
        <v>272</v>
      </c>
      <c r="B4353" s="78" t="s">
        <v>19</v>
      </c>
      <c r="C4353" s="85">
        <v>45199.0</v>
      </c>
      <c r="D4353" s="85">
        <v>45229.0</v>
      </c>
      <c r="E4353" s="86">
        <v>0.94</v>
      </c>
      <c r="F4353" s="87">
        <v>1.06</v>
      </c>
      <c r="G4353" s="88">
        <f t="shared" si="1"/>
        <v>0.12</v>
      </c>
      <c r="H4353" s="89">
        <f t="shared" si="10"/>
        <v>0.1132075472</v>
      </c>
      <c r="I4353" s="78" t="s">
        <v>5133</v>
      </c>
      <c r="J4353" s="78" t="s">
        <v>69</v>
      </c>
      <c r="K4353" s="58">
        <f t="shared" si="14"/>
        <v>30</v>
      </c>
      <c r="L4353" s="91" t="str">
        <f t="shared" si="8"/>
        <v>Mon</v>
      </c>
      <c r="M4353" s="78" t="str">
        <f>IFERROR(VLOOKUP(A4353, Entries!A:B,2,false),"")</f>
        <v>Starbreeze Publishing</v>
      </c>
      <c r="N4353" s="23" t="str">
        <f>IFERROR(VLOOKUP(A4353, Entries!A:K,11,false),"")</f>
        <v/>
      </c>
    </row>
    <row r="4354">
      <c r="A4354" s="78" t="s">
        <v>272</v>
      </c>
      <c r="B4354" s="78" t="s">
        <v>19</v>
      </c>
      <c r="C4354" s="85">
        <v>45199.0</v>
      </c>
      <c r="D4354" s="85">
        <v>45199.0</v>
      </c>
      <c r="E4354" s="86">
        <v>0.94</v>
      </c>
      <c r="F4354" s="87">
        <v>1.18</v>
      </c>
      <c r="G4354" s="88">
        <f t="shared" si="1"/>
        <v>0.24</v>
      </c>
      <c r="H4354" s="89">
        <f t="shared" si="10"/>
        <v>0.2033898305</v>
      </c>
      <c r="I4354" s="78" t="s">
        <v>5134</v>
      </c>
      <c r="J4354" s="78" t="s">
        <v>69</v>
      </c>
      <c r="K4354" s="58">
        <f t="shared" si="14"/>
        <v>0</v>
      </c>
      <c r="L4354" s="91" t="str">
        <f t="shared" si="8"/>
        <v>Sat</v>
      </c>
      <c r="M4354" s="78" t="str">
        <f>IFERROR(VLOOKUP(A4354, Entries!A:B,2,false),"")</f>
        <v>Starbreeze Publishing</v>
      </c>
      <c r="N4354" s="23" t="str">
        <f>IFERROR(VLOOKUP(A4354, Entries!A:K,11,false),"")</f>
        <v/>
      </c>
    </row>
    <row r="4355">
      <c r="A4355" s="78" t="s">
        <v>2148</v>
      </c>
      <c r="B4355" s="78" t="s">
        <v>18</v>
      </c>
      <c r="C4355" s="85">
        <v>45203.0</v>
      </c>
      <c r="D4355" s="85">
        <v>45204.0</v>
      </c>
      <c r="E4355" s="86">
        <v>10.75</v>
      </c>
      <c r="F4355" s="87">
        <v>11.99</v>
      </c>
      <c r="G4355" s="88">
        <f t="shared" si="1"/>
        <v>1.24</v>
      </c>
      <c r="H4355" s="89">
        <f t="shared" si="10"/>
        <v>0.1034195163</v>
      </c>
      <c r="I4355" s="78" t="s">
        <v>5135</v>
      </c>
      <c r="J4355" s="78" t="s">
        <v>69</v>
      </c>
      <c r="K4355" s="58">
        <f t="shared" si="14"/>
        <v>1</v>
      </c>
      <c r="L4355" s="91" t="str">
        <f t="shared" si="8"/>
        <v>Thu</v>
      </c>
      <c r="M4355" s="78" t="str">
        <f>IFERROR(VLOOKUP(A4355, Entries!A:B,2,false),"")</f>
        <v>Wired Productions</v>
      </c>
      <c r="N4355" s="23" t="str">
        <f>IFERROR(VLOOKUP(A4355, Entries!A:K,11,false),"")</f>
        <v/>
      </c>
    </row>
    <row r="4356">
      <c r="A4356" s="78" t="s">
        <v>2148</v>
      </c>
      <c r="B4356" s="78" t="s">
        <v>18</v>
      </c>
      <c r="C4356" s="85">
        <v>45203.0</v>
      </c>
      <c r="D4356" s="85">
        <v>45206.0</v>
      </c>
      <c r="E4356" s="86">
        <v>10.75</v>
      </c>
      <c r="F4356" s="87">
        <v>11.98</v>
      </c>
      <c r="G4356" s="88">
        <f t="shared" si="1"/>
        <v>1.23</v>
      </c>
      <c r="H4356" s="89">
        <f t="shared" si="10"/>
        <v>0.1026711185</v>
      </c>
      <c r="I4356" s="78" t="s">
        <v>5136</v>
      </c>
      <c r="J4356" s="78" t="s">
        <v>69</v>
      </c>
      <c r="K4356" s="58">
        <f t="shared" si="14"/>
        <v>3</v>
      </c>
      <c r="L4356" s="91" t="str">
        <f t="shared" si="8"/>
        <v>Sat</v>
      </c>
      <c r="M4356" s="78" t="str">
        <f>IFERROR(VLOOKUP(A4356, Entries!A:B,2,false),"")</f>
        <v>Wired Productions</v>
      </c>
      <c r="N4356" s="23" t="str">
        <f>IFERROR(VLOOKUP(A4356, Entries!A:K,11,false),"")</f>
        <v/>
      </c>
    </row>
    <row r="4357">
      <c r="A4357" s="78" t="s">
        <v>5098</v>
      </c>
      <c r="B4357" s="78" t="s">
        <v>25</v>
      </c>
      <c r="C4357" s="85">
        <v>45203.0</v>
      </c>
      <c r="D4357" s="85">
        <v>45230.0</v>
      </c>
      <c r="E4357" s="86">
        <v>7.31</v>
      </c>
      <c r="F4357" s="87">
        <v>7.68</v>
      </c>
      <c r="G4357" s="88">
        <f t="shared" si="1"/>
        <v>0.37</v>
      </c>
      <c r="H4357" s="89">
        <f t="shared" si="10"/>
        <v>0.04817708333</v>
      </c>
      <c r="I4357" s="78" t="s">
        <v>5137</v>
      </c>
      <c r="J4357" s="78" t="s">
        <v>69</v>
      </c>
      <c r="K4357" s="58">
        <f t="shared" si="14"/>
        <v>27</v>
      </c>
      <c r="L4357" s="91" t="str">
        <f t="shared" si="8"/>
        <v>Tue</v>
      </c>
      <c r="M4357" s="78" t="str">
        <f>IFERROR(VLOOKUP(A4357, Entries!A:B,2,false),"")</f>
        <v>Funcom</v>
      </c>
      <c r="N4357" s="23" t="str">
        <f>IFERROR(VLOOKUP(A4357, Entries!A:K,11,false),"")</f>
        <v/>
      </c>
    </row>
    <row r="4358">
      <c r="A4358" s="78" t="s">
        <v>5098</v>
      </c>
      <c r="B4358" s="78" t="s">
        <v>25</v>
      </c>
      <c r="C4358" s="85">
        <v>45203.0</v>
      </c>
      <c r="D4358" s="85">
        <v>45230.0</v>
      </c>
      <c r="E4358" s="86">
        <v>7.31</v>
      </c>
      <c r="F4358" s="87">
        <v>7.68</v>
      </c>
      <c r="G4358" s="88">
        <f t="shared" si="1"/>
        <v>0.37</v>
      </c>
      <c r="H4358" s="89">
        <f t="shared" si="10"/>
        <v>0.04817708333</v>
      </c>
      <c r="I4358" s="78" t="s">
        <v>5138</v>
      </c>
      <c r="J4358" s="78" t="s">
        <v>69</v>
      </c>
      <c r="K4358" s="58">
        <f t="shared" si="14"/>
        <v>27</v>
      </c>
      <c r="L4358" s="91" t="str">
        <f t="shared" si="8"/>
        <v>Tue</v>
      </c>
      <c r="M4358" s="78" t="str">
        <f>IFERROR(VLOOKUP(A4358, Entries!A:B,2,false),"")</f>
        <v>Funcom</v>
      </c>
      <c r="N4358" s="23" t="str">
        <f>IFERROR(VLOOKUP(A4358, Entries!A:K,11,false),"")</f>
        <v/>
      </c>
    </row>
    <row r="4359">
      <c r="A4359" s="78" t="s">
        <v>4926</v>
      </c>
      <c r="B4359" s="78" t="s">
        <v>27</v>
      </c>
      <c r="C4359" s="85">
        <v>45203.0</v>
      </c>
      <c r="D4359" s="85">
        <v>45205.0</v>
      </c>
      <c r="E4359" s="86">
        <v>6.21</v>
      </c>
      <c r="F4359" s="87">
        <v>8.67</v>
      </c>
      <c r="G4359" s="88">
        <f t="shared" si="1"/>
        <v>2.46</v>
      </c>
      <c r="H4359" s="89">
        <f t="shared" si="10"/>
        <v>0.2837370242</v>
      </c>
      <c r="I4359" s="78" t="s">
        <v>5139</v>
      </c>
      <c r="J4359" s="78" t="s">
        <v>69</v>
      </c>
      <c r="K4359" s="58">
        <f t="shared" si="14"/>
        <v>2</v>
      </c>
      <c r="L4359" s="91" t="str">
        <f t="shared" si="8"/>
        <v>Fri</v>
      </c>
      <c r="M4359" s="78" t="str">
        <f>IFERROR(VLOOKUP(A4359, Entries!A:B,2,false),"")</f>
        <v>Bethesda Softworks</v>
      </c>
      <c r="N4359" s="23" t="str">
        <f>IFERROR(VLOOKUP(A4359, Entries!A:K,11,false),"")</f>
        <v/>
      </c>
    </row>
    <row r="4360">
      <c r="A4360" s="78" t="s">
        <v>272</v>
      </c>
      <c r="B4360" s="78" t="s">
        <v>19</v>
      </c>
      <c r="C4360" s="85">
        <v>45203.0</v>
      </c>
      <c r="D4360" s="85">
        <v>45203.0</v>
      </c>
      <c r="E4360" s="86">
        <v>0.94</v>
      </c>
      <c r="F4360" s="87">
        <v>1.18</v>
      </c>
      <c r="G4360" s="88">
        <f t="shared" si="1"/>
        <v>0.24</v>
      </c>
      <c r="H4360" s="89">
        <f t="shared" si="10"/>
        <v>0.2033898305</v>
      </c>
      <c r="I4360" s="78" t="s">
        <v>5140</v>
      </c>
      <c r="J4360" s="78" t="s">
        <v>69</v>
      </c>
      <c r="K4360" s="58">
        <f t="shared" si="14"/>
        <v>0</v>
      </c>
      <c r="L4360" s="91" t="str">
        <f t="shared" si="8"/>
        <v>Wed</v>
      </c>
      <c r="M4360" s="78" t="str">
        <f>IFERROR(VLOOKUP(A4360, Entries!A:B,2,false),"")</f>
        <v>Starbreeze Publishing</v>
      </c>
      <c r="N4360" s="23" t="str">
        <f>IFERROR(VLOOKUP(A4360, Entries!A:K,11,false),"")</f>
        <v/>
      </c>
    </row>
    <row r="4361">
      <c r="A4361" s="78" t="s">
        <v>272</v>
      </c>
      <c r="B4361" s="78" t="s">
        <v>19</v>
      </c>
      <c r="C4361" s="85">
        <v>45203.0</v>
      </c>
      <c r="D4361" s="85">
        <v>45203.0</v>
      </c>
      <c r="E4361" s="86">
        <v>0.94</v>
      </c>
      <c r="F4361" s="87">
        <v>1.16</v>
      </c>
      <c r="G4361" s="88">
        <f t="shared" si="1"/>
        <v>0.22</v>
      </c>
      <c r="H4361" s="89">
        <f t="shared" si="10"/>
        <v>0.1896551724</v>
      </c>
      <c r="I4361" s="78" t="s">
        <v>5141</v>
      </c>
      <c r="J4361" s="78" t="s">
        <v>69</v>
      </c>
      <c r="K4361" s="58">
        <f t="shared" si="14"/>
        <v>0</v>
      </c>
      <c r="L4361" s="91" t="str">
        <f t="shared" si="8"/>
        <v>Wed</v>
      </c>
      <c r="M4361" s="78" t="str">
        <f>IFERROR(VLOOKUP(A4361, Entries!A:B,2,false),"")</f>
        <v>Starbreeze Publishing</v>
      </c>
      <c r="N4361" s="23" t="str">
        <f>IFERROR(VLOOKUP(A4361, Entries!A:K,11,false),"")</f>
        <v/>
      </c>
    </row>
    <row r="4362">
      <c r="A4362" s="78" t="s">
        <v>272</v>
      </c>
      <c r="B4362" s="78" t="s">
        <v>19</v>
      </c>
      <c r="C4362" s="85">
        <v>45203.0</v>
      </c>
      <c r="D4362" s="85">
        <v>45203.0</v>
      </c>
      <c r="E4362" s="86">
        <v>0.94</v>
      </c>
      <c r="F4362" s="87">
        <v>1.18</v>
      </c>
      <c r="G4362" s="88">
        <f t="shared" si="1"/>
        <v>0.24</v>
      </c>
      <c r="H4362" s="89">
        <f t="shared" si="10"/>
        <v>0.2033898305</v>
      </c>
      <c r="I4362" s="78" t="s">
        <v>5142</v>
      </c>
      <c r="J4362" s="78" t="s">
        <v>69</v>
      </c>
      <c r="K4362" s="58">
        <f t="shared" si="14"/>
        <v>0</v>
      </c>
      <c r="L4362" s="91" t="str">
        <f t="shared" si="8"/>
        <v>Wed</v>
      </c>
      <c r="M4362" s="78" t="str">
        <f>IFERROR(VLOOKUP(A4362, Entries!A:B,2,false),"")</f>
        <v>Starbreeze Publishing</v>
      </c>
      <c r="N4362" s="23" t="str">
        <f>IFERROR(VLOOKUP(A4362, Entries!A:K,11,false),"")</f>
        <v/>
      </c>
    </row>
    <row r="4363">
      <c r="A4363" s="78" t="s">
        <v>272</v>
      </c>
      <c r="B4363" s="78" t="s">
        <v>19</v>
      </c>
      <c r="C4363" s="85">
        <v>45203.0</v>
      </c>
      <c r="D4363" s="85">
        <v>45204.0</v>
      </c>
      <c r="E4363" s="86">
        <v>0.94</v>
      </c>
      <c r="F4363" s="87">
        <v>1.18</v>
      </c>
      <c r="G4363" s="88">
        <f t="shared" si="1"/>
        <v>0.24</v>
      </c>
      <c r="H4363" s="89">
        <f t="shared" si="10"/>
        <v>0.2033898305</v>
      </c>
      <c r="I4363" s="78" t="s">
        <v>5143</v>
      </c>
      <c r="J4363" s="78" t="s">
        <v>69</v>
      </c>
      <c r="K4363" s="58">
        <f t="shared" si="14"/>
        <v>1</v>
      </c>
      <c r="L4363" s="91" t="str">
        <f t="shared" si="8"/>
        <v>Thu</v>
      </c>
      <c r="M4363" s="78" t="str">
        <f>IFERROR(VLOOKUP(A4363, Entries!A:B,2,false),"")</f>
        <v>Starbreeze Publishing</v>
      </c>
      <c r="N4363" s="23" t="str">
        <f>IFERROR(VLOOKUP(A4363, Entries!A:K,11,false),"")</f>
        <v/>
      </c>
    </row>
    <row r="4364">
      <c r="A4364" s="78" t="s">
        <v>272</v>
      </c>
      <c r="B4364" s="78" t="s">
        <v>19</v>
      </c>
      <c r="C4364" s="85">
        <v>45203.0</v>
      </c>
      <c r="D4364" s="85">
        <v>45204.0</v>
      </c>
      <c r="E4364" s="86">
        <v>0.94</v>
      </c>
      <c r="F4364" s="87">
        <v>1.18</v>
      </c>
      <c r="G4364" s="88">
        <f t="shared" si="1"/>
        <v>0.24</v>
      </c>
      <c r="H4364" s="89">
        <f t="shared" si="10"/>
        <v>0.2033898305</v>
      </c>
      <c r="I4364" s="78" t="s">
        <v>5144</v>
      </c>
      <c r="J4364" s="78" t="s">
        <v>69</v>
      </c>
      <c r="K4364" s="58">
        <f t="shared" si="14"/>
        <v>1</v>
      </c>
      <c r="L4364" s="91" t="str">
        <f t="shared" si="8"/>
        <v>Thu</v>
      </c>
      <c r="M4364" s="78" t="str">
        <f>IFERROR(VLOOKUP(A4364, Entries!A:B,2,false),"")</f>
        <v>Starbreeze Publishing</v>
      </c>
      <c r="N4364" s="23" t="str">
        <f>IFERROR(VLOOKUP(A4364, Entries!A:K,11,false),"")</f>
        <v/>
      </c>
    </row>
    <row r="4365">
      <c r="A4365" s="78" t="s">
        <v>4584</v>
      </c>
      <c r="B4365" s="78" t="s">
        <v>18</v>
      </c>
      <c r="C4365" s="85">
        <v>45203.0</v>
      </c>
      <c r="D4365" s="85">
        <v>45271.0</v>
      </c>
      <c r="E4365" s="86">
        <v>11.64</v>
      </c>
      <c r="F4365" s="87">
        <v>11.74</v>
      </c>
      <c r="G4365" s="88">
        <f t="shared" si="1"/>
        <v>0.1</v>
      </c>
      <c r="H4365" s="89">
        <f t="shared" si="10"/>
        <v>0.008517887564</v>
      </c>
      <c r="I4365" s="78" t="s">
        <v>5145</v>
      </c>
      <c r="J4365" s="78" t="s">
        <v>69</v>
      </c>
      <c r="K4365" s="58">
        <f t="shared" si="14"/>
        <v>68</v>
      </c>
      <c r="L4365" s="91" t="str">
        <f t="shared" si="8"/>
        <v>Mon</v>
      </c>
      <c r="M4365" s="78" t="str">
        <f>IFERROR(VLOOKUP(A4365, Entries!A:B,2,false),"")</f>
        <v>Devolver Digital</v>
      </c>
      <c r="N4365" s="23" t="str">
        <f>IFERROR(VLOOKUP(A4365, Entries!A:K,11,false),"")</f>
        <v/>
      </c>
    </row>
    <row r="4366">
      <c r="A4366" s="78" t="s">
        <v>4584</v>
      </c>
      <c r="B4366" s="78" t="s">
        <v>18</v>
      </c>
      <c r="C4366" s="85">
        <v>45203.0</v>
      </c>
      <c r="D4366" s="85">
        <v>45273.0</v>
      </c>
      <c r="E4366" s="86">
        <v>11.65</v>
      </c>
      <c r="F4366" s="87">
        <v>11.76</v>
      </c>
      <c r="G4366" s="88">
        <f t="shared" si="1"/>
        <v>0.11</v>
      </c>
      <c r="H4366" s="89">
        <f t="shared" si="10"/>
        <v>0.009353741497</v>
      </c>
      <c r="I4366" s="78" t="s">
        <v>5146</v>
      </c>
      <c r="J4366" s="78" t="s">
        <v>69</v>
      </c>
      <c r="K4366" s="58">
        <f t="shared" si="14"/>
        <v>70</v>
      </c>
      <c r="L4366" s="91" t="str">
        <f t="shared" si="8"/>
        <v>Wed</v>
      </c>
      <c r="M4366" s="78" t="str">
        <f>IFERROR(VLOOKUP(A4366, Entries!A:B,2,false),"")</f>
        <v>Devolver Digital</v>
      </c>
      <c r="N4366" s="23" t="str">
        <f>IFERROR(VLOOKUP(A4366, Entries!A:K,11,false),"")</f>
        <v/>
      </c>
    </row>
    <row r="4367">
      <c r="A4367" s="78" t="s">
        <v>4494</v>
      </c>
      <c r="B4367" s="78" t="s">
        <v>18</v>
      </c>
      <c r="C4367" s="85">
        <v>45203.0</v>
      </c>
      <c r="D4367" s="85">
        <v>45339.0</v>
      </c>
      <c r="E4367" s="86">
        <v>5.19</v>
      </c>
      <c r="F4367" s="87">
        <v>7.03</v>
      </c>
      <c r="G4367" s="88">
        <f t="shared" si="1"/>
        <v>1.84</v>
      </c>
      <c r="H4367" s="89">
        <f t="shared" si="10"/>
        <v>0.2617354196</v>
      </c>
      <c r="I4367" s="78" t="s">
        <v>5147</v>
      </c>
      <c r="J4367" s="78" t="s">
        <v>69</v>
      </c>
      <c r="K4367" s="58">
        <f t="shared" si="14"/>
        <v>136</v>
      </c>
      <c r="L4367" s="91" t="str">
        <f t="shared" si="8"/>
        <v>Sat</v>
      </c>
      <c r="M4367" s="78" t="str">
        <f>IFERROR(VLOOKUP(A4367, Entries!A:B,2,false),"")</f>
        <v>Skystone Games</v>
      </c>
      <c r="N4367" s="23" t="str">
        <f>IFERROR(VLOOKUP(A4367, Entries!A:K,11,false),"")</f>
        <v/>
      </c>
    </row>
    <row r="4368">
      <c r="A4368" s="78" t="s">
        <v>4494</v>
      </c>
      <c r="B4368" s="78" t="s">
        <v>18</v>
      </c>
      <c r="C4368" s="85">
        <v>45203.0</v>
      </c>
      <c r="D4368" s="85">
        <v>45339.0</v>
      </c>
      <c r="E4368" s="86">
        <v>5.2</v>
      </c>
      <c r="F4368" s="87">
        <v>7.36</v>
      </c>
      <c r="G4368" s="88">
        <f t="shared" si="1"/>
        <v>2.16</v>
      </c>
      <c r="H4368" s="89">
        <f t="shared" si="10"/>
        <v>0.2934782609</v>
      </c>
      <c r="I4368" s="78" t="s">
        <v>5148</v>
      </c>
      <c r="J4368" s="78" t="s">
        <v>69</v>
      </c>
      <c r="K4368" s="58">
        <f t="shared" si="14"/>
        <v>136</v>
      </c>
      <c r="L4368" s="91" t="str">
        <f t="shared" si="8"/>
        <v>Sat</v>
      </c>
      <c r="M4368" s="78" t="str">
        <f>IFERROR(VLOOKUP(A4368, Entries!A:B,2,false),"")</f>
        <v>Skystone Games</v>
      </c>
      <c r="N4368" s="23" t="str">
        <f>IFERROR(VLOOKUP(A4368, Entries!A:K,11,false),"")</f>
        <v/>
      </c>
    </row>
    <row r="4369">
      <c r="A4369" s="78" t="s">
        <v>84</v>
      </c>
      <c r="B4369" s="78" t="s">
        <v>25</v>
      </c>
      <c r="C4369" s="85">
        <v>45203.0</v>
      </c>
      <c r="D4369" s="85">
        <v>45203.0</v>
      </c>
      <c r="E4369" s="86">
        <v>22.0</v>
      </c>
      <c r="F4369" s="87">
        <v>25.38</v>
      </c>
      <c r="G4369" s="88">
        <f t="shared" si="1"/>
        <v>3.38</v>
      </c>
      <c r="H4369" s="89">
        <f t="shared" si="10"/>
        <v>0.1331757289</v>
      </c>
      <c r="I4369" s="78" t="s">
        <v>5149</v>
      </c>
      <c r="J4369" s="78" t="s">
        <v>69</v>
      </c>
      <c r="K4369" s="58">
        <f t="shared" si="14"/>
        <v>0</v>
      </c>
      <c r="L4369" s="91" t="str">
        <f t="shared" si="8"/>
        <v>Wed</v>
      </c>
      <c r="M4369" s="78" t="str">
        <f>IFERROR(VLOOKUP(A4369, Entries!A:B,2,false),"")</f>
        <v>Siege Camp</v>
      </c>
      <c r="N4369" s="23" t="str">
        <f>IFERROR(VLOOKUP(A4369, Entries!A:K,11,false),"")</f>
        <v/>
      </c>
    </row>
    <row r="4370">
      <c r="A4370" s="78" t="s">
        <v>3771</v>
      </c>
      <c r="B4370" s="78" t="s">
        <v>27</v>
      </c>
      <c r="C4370" s="85">
        <v>45203.0</v>
      </c>
      <c r="D4370" s="85">
        <v>45209.0</v>
      </c>
      <c r="E4370" s="86">
        <v>9.57</v>
      </c>
      <c r="F4370" s="87">
        <v>11.64</v>
      </c>
      <c r="G4370" s="88">
        <f t="shared" si="1"/>
        <v>2.07</v>
      </c>
      <c r="H4370" s="89">
        <f t="shared" si="10"/>
        <v>0.1778350515</v>
      </c>
      <c r="I4370" s="78" t="s">
        <v>5150</v>
      </c>
      <c r="J4370" s="78" t="s">
        <v>69</v>
      </c>
      <c r="K4370" s="58">
        <f t="shared" si="14"/>
        <v>6</v>
      </c>
      <c r="L4370" s="91" t="str">
        <f t="shared" si="8"/>
        <v>Tue</v>
      </c>
      <c r="M4370" s="78" t="str">
        <f>IFERROR(VLOOKUP(A4370, Entries!A:B,2,false),"")</f>
        <v>Good Shepherd Entertainment</v>
      </c>
      <c r="N4370" s="23" t="str">
        <f>IFERROR(VLOOKUP(A4370, Entries!A:K,11,false),"")</f>
        <v/>
      </c>
    </row>
    <row r="4371">
      <c r="A4371" s="78" t="s">
        <v>84</v>
      </c>
      <c r="B4371" s="78" t="s">
        <v>25</v>
      </c>
      <c r="C4371" s="85">
        <v>45203.0</v>
      </c>
      <c r="D4371" s="85">
        <v>45204.0</v>
      </c>
      <c r="E4371" s="86">
        <v>22.08</v>
      </c>
      <c r="F4371" s="87">
        <v>25.38</v>
      </c>
      <c r="G4371" s="88">
        <f t="shared" si="1"/>
        <v>3.3</v>
      </c>
      <c r="H4371" s="89">
        <f t="shared" si="10"/>
        <v>0.1300236407</v>
      </c>
      <c r="I4371" s="78" t="s">
        <v>5151</v>
      </c>
      <c r="J4371" s="78" t="s">
        <v>69</v>
      </c>
      <c r="K4371" s="58">
        <f t="shared" si="14"/>
        <v>1</v>
      </c>
      <c r="L4371" s="91" t="str">
        <f t="shared" si="8"/>
        <v>Thu</v>
      </c>
      <c r="M4371" s="78" t="str">
        <f>IFERROR(VLOOKUP(A4371, Entries!A:B,2,false),"")</f>
        <v>Siege Camp</v>
      </c>
      <c r="N4371" s="23" t="str">
        <f>IFERROR(VLOOKUP(A4371, Entries!A:K,11,false),"")</f>
        <v/>
      </c>
    </row>
    <row r="4372">
      <c r="A4372" s="78" t="s">
        <v>5152</v>
      </c>
      <c r="B4372" s="78" t="s">
        <v>27</v>
      </c>
      <c r="C4372" s="85">
        <v>45203.0</v>
      </c>
      <c r="D4372" s="85">
        <v>45205.0</v>
      </c>
      <c r="E4372" s="86">
        <v>10.09</v>
      </c>
      <c r="F4372" s="87">
        <v>11.74</v>
      </c>
      <c r="G4372" s="88">
        <f t="shared" si="1"/>
        <v>1.65</v>
      </c>
      <c r="H4372" s="89">
        <f t="shared" si="10"/>
        <v>0.1405451448</v>
      </c>
      <c r="I4372" s="78" t="s">
        <v>5153</v>
      </c>
      <c r="J4372" s="78" t="s">
        <v>69</v>
      </c>
      <c r="K4372" s="58">
        <f t="shared" si="14"/>
        <v>2</v>
      </c>
      <c r="L4372" s="91" t="str">
        <f t="shared" si="8"/>
        <v>Fri</v>
      </c>
      <c r="M4372" s="78" t="str">
        <f>IFERROR(VLOOKUP(A4372, Entries!A:B,2,false),"")</f>
        <v>Bethesda Softworks</v>
      </c>
      <c r="N4372" s="23" t="str">
        <f>IFERROR(VLOOKUP(A4372, Entries!A:K,11,false),"")</f>
        <v/>
      </c>
    </row>
    <row r="4373">
      <c r="A4373" s="78" t="s">
        <v>5067</v>
      </c>
      <c r="B4373" s="78" t="s">
        <v>25</v>
      </c>
      <c r="C4373" s="85">
        <v>45203.0</v>
      </c>
      <c r="D4373" s="85">
        <v>45205.0</v>
      </c>
      <c r="E4373" s="86">
        <v>14.57</v>
      </c>
      <c r="F4373" s="87">
        <v>16.07</v>
      </c>
      <c r="G4373" s="88">
        <f t="shared" si="1"/>
        <v>1.5</v>
      </c>
      <c r="H4373" s="89">
        <f t="shared" si="10"/>
        <v>0.09334163037</v>
      </c>
      <c r="I4373" s="78" t="s">
        <v>5154</v>
      </c>
      <c r="J4373" s="78" t="s">
        <v>69</v>
      </c>
      <c r="K4373" s="58">
        <f t="shared" si="14"/>
        <v>2</v>
      </c>
      <c r="L4373" s="91" t="str">
        <f t="shared" si="8"/>
        <v>Fri</v>
      </c>
      <c r="M4373" s="78" t="str">
        <f>IFERROR(VLOOKUP(A4373, Entries!A:B,2,false),"")</f>
        <v>Humble Games</v>
      </c>
      <c r="N4373" s="23" t="str">
        <f>IFERROR(VLOOKUP(A4373, Entries!A:K,11,false),"")</f>
        <v/>
      </c>
    </row>
    <row r="4374">
      <c r="A4374" s="78" t="s">
        <v>3804</v>
      </c>
      <c r="B4374" s="78" t="s">
        <v>25</v>
      </c>
      <c r="C4374" s="85">
        <v>45203.0</v>
      </c>
      <c r="D4374" s="85">
        <v>45208.0</v>
      </c>
      <c r="E4374" s="86">
        <v>5.65</v>
      </c>
      <c r="F4374" s="87">
        <v>8.4</v>
      </c>
      <c r="G4374" s="88">
        <f t="shared" si="1"/>
        <v>2.75</v>
      </c>
      <c r="H4374" s="89">
        <f t="shared" si="10"/>
        <v>0.3273809524</v>
      </c>
      <c r="I4374" s="78" t="s">
        <v>5155</v>
      </c>
      <c r="J4374" s="78" t="s">
        <v>69</v>
      </c>
      <c r="K4374" s="58">
        <f t="shared" si="14"/>
        <v>5</v>
      </c>
      <c r="L4374" s="91" t="str">
        <f t="shared" si="8"/>
        <v>Mon</v>
      </c>
      <c r="M4374" s="78" t="str">
        <f>IFERROR(VLOOKUP(A4374, Entries!A:B,2,false),"")</f>
        <v>Ocean Drive Studio</v>
      </c>
      <c r="N4374" s="23" t="str">
        <f>IFERROR(VLOOKUP(A4374, Entries!A:K,11,false),"")</f>
        <v/>
      </c>
    </row>
    <row r="4375">
      <c r="A4375" s="78" t="s">
        <v>5156</v>
      </c>
      <c r="B4375" s="78" t="s">
        <v>25</v>
      </c>
      <c r="C4375" s="85">
        <v>45203.0</v>
      </c>
      <c r="D4375" s="85">
        <v>45205.0</v>
      </c>
      <c r="E4375" s="86">
        <v>31.5</v>
      </c>
      <c r="F4375" s="87">
        <v>40.39</v>
      </c>
      <c r="G4375" s="88">
        <f t="shared" si="1"/>
        <v>8.89</v>
      </c>
      <c r="H4375" s="89">
        <f t="shared" si="10"/>
        <v>0.2201039861</v>
      </c>
      <c r="I4375" s="78" t="s">
        <v>5157</v>
      </c>
      <c r="J4375" s="78" t="s">
        <v>69</v>
      </c>
      <c r="K4375" s="58">
        <f t="shared" si="14"/>
        <v>2</v>
      </c>
      <c r="L4375" s="91" t="str">
        <f t="shared" si="8"/>
        <v>Fri</v>
      </c>
      <c r="M4375" s="78" t="str">
        <f>IFERROR(VLOOKUP(A4375, Entries!A:B,2,false),"")</f>
        <v>SEGA</v>
      </c>
      <c r="N4375" s="23" t="str">
        <f>IFERROR(VLOOKUP(A4375, Entries!A:K,11,false),"")</f>
        <v/>
      </c>
    </row>
    <row r="4376">
      <c r="A4376" s="78" t="s">
        <v>4814</v>
      </c>
      <c r="B4376" s="78" t="s">
        <v>27</v>
      </c>
      <c r="C4376" s="85">
        <v>45204.0</v>
      </c>
      <c r="D4376" s="85">
        <v>45206.0</v>
      </c>
      <c r="E4376" s="86">
        <v>19.12</v>
      </c>
      <c r="F4376" s="87">
        <v>21.32</v>
      </c>
      <c r="G4376" s="88">
        <f t="shared" si="1"/>
        <v>2.2</v>
      </c>
      <c r="H4376" s="89">
        <f t="shared" si="10"/>
        <v>0.1031894934</v>
      </c>
      <c r="I4376" s="78" t="s">
        <v>5158</v>
      </c>
      <c r="J4376" s="78" t="s">
        <v>69</v>
      </c>
      <c r="K4376" s="58">
        <f t="shared" si="14"/>
        <v>2</v>
      </c>
      <c r="L4376" s="91" t="str">
        <f t="shared" si="8"/>
        <v>Sat</v>
      </c>
      <c r="M4376" s="78" t="str">
        <f>IFERROR(VLOOKUP(A4376, Entries!A:B,2,false),"")</f>
        <v>PlayStation</v>
      </c>
      <c r="N4376" s="23" t="str">
        <f>IFERROR(VLOOKUP(A4376, Entries!A:K,11,false),"")</f>
        <v/>
      </c>
    </row>
    <row r="4377">
      <c r="A4377" s="78" t="s">
        <v>5159</v>
      </c>
      <c r="B4377" s="78" t="s">
        <v>27</v>
      </c>
      <c r="C4377" s="85">
        <v>45204.0</v>
      </c>
      <c r="D4377" s="85">
        <v>45204.0</v>
      </c>
      <c r="E4377" s="86">
        <v>32.19</v>
      </c>
      <c r="F4377" s="87">
        <v>37.68</v>
      </c>
      <c r="G4377" s="88">
        <f t="shared" si="1"/>
        <v>5.49</v>
      </c>
      <c r="H4377" s="89">
        <f t="shared" si="10"/>
        <v>0.1457006369</v>
      </c>
      <c r="I4377" s="78" t="s">
        <v>5160</v>
      </c>
      <c r="J4377" s="78" t="s">
        <v>69</v>
      </c>
      <c r="K4377" s="58">
        <f t="shared" si="14"/>
        <v>0</v>
      </c>
      <c r="L4377" s="91" t="str">
        <f t="shared" si="8"/>
        <v>Thu</v>
      </c>
      <c r="M4377" s="78" t="str">
        <f>IFERROR(VLOOKUP(A4377, Entries!A:B,2,false),"")</f>
        <v>IO Interactive</v>
      </c>
      <c r="N4377" s="23" t="str">
        <f>IFERROR(VLOOKUP(A4377, Entries!A:K,11,false),"")</f>
        <v/>
      </c>
    </row>
    <row r="4378">
      <c r="A4378" s="78" t="s">
        <v>5161</v>
      </c>
      <c r="B4378" s="78" t="s">
        <v>22</v>
      </c>
      <c r="C4378" s="85">
        <v>45204.0</v>
      </c>
      <c r="D4378" s="85">
        <v>45207.0</v>
      </c>
      <c r="E4378" s="86">
        <v>4.0</v>
      </c>
      <c r="F4378" s="87">
        <v>12.78</v>
      </c>
      <c r="G4378" s="88">
        <f t="shared" si="1"/>
        <v>8.78</v>
      </c>
      <c r="H4378" s="89">
        <f t="shared" si="10"/>
        <v>0.6870109546</v>
      </c>
      <c r="I4378" s="78" t="s">
        <v>5162</v>
      </c>
      <c r="J4378" s="78" t="s">
        <v>69</v>
      </c>
      <c r="K4378" s="58">
        <f t="shared" si="14"/>
        <v>3</v>
      </c>
      <c r="L4378" s="91" t="str">
        <f t="shared" si="8"/>
        <v>Sun</v>
      </c>
      <c r="M4378" s="78" t="str">
        <f>IFERROR(VLOOKUP(A4378, Entries!A:B,2,false),"")</f>
        <v>Daedalic Entertainment</v>
      </c>
      <c r="N4378" s="23" t="str">
        <f>IFERROR(VLOOKUP(A4378, Entries!A:K,11,false),"")</f>
        <v/>
      </c>
    </row>
    <row r="4379">
      <c r="A4379" s="78" t="s">
        <v>5161</v>
      </c>
      <c r="B4379" s="78" t="s">
        <v>22</v>
      </c>
      <c r="C4379" s="85">
        <v>45204.0</v>
      </c>
      <c r="D4379" s="85">
        <v>45207.0</v>
      </c>
      <c r="E4379" s="86">
        <v>4.0</v>
      </c>
      <c r="F4379" s="87">
        <v>12.78</v>
      </c>
      <c r="G4379" s="88">
        <f t="shared" si="1"/>
        <v>8.78</v>
      </c>
      <c r="H4379" s="89">
        <f t="shared" si="10"/>
        <v>0.6870109546</v>
      </c>
      <c r="I4379" s="78" t="s">
        <v>5163</v>
      </c>
      <c r="J4379" s="78" t="s">
        <v>69</v>
      </c>
      <c r="K4379" s="58">
        <f t="shared" si="14"/>
        <v>3</v>
      </c>
      <c r="L4379" s="91" t="str">
        <f t="shared" si="8"/>
        <v>Sun</v>
      </c>
      <c r="M4379" s="78" t="str">
        <f>IFERROR(VLOOKUP(A4379, Entries!A:B,2,false),"")</f>
        <v>Daedalic Entertainment</v>
      </c>
      <c r="N4379" s="23" t="str">
        <f>IFERROR(VLOOKUP(A4379, Entries!A:K,11,false),"")</f>
        <v/>
      </c>
    </row>
    <row r="4380">
      <c r="A4380" s="78" t="s">
        <v>5161</v>
      </c>
      <c r="B4380" s="78" t="s">
        <v>22</v>
      </c>
      <c r="C4380" s="85">
        <v>45204.0</v>
      </c>
      <c r="D4380" s="85">
        <v>45207.0</v>
      </c>
      <c r="E4380" s="86">
        <v>4.0</v>
      </c>
      <c r="F4380" s="87">
        <v>12.79</v>
      </c>
      <c r="G4380" s="88">
        <f t="shared" si="1"/>
        <v>8.79</v>
      </c>
      <c r="H4380" s="89">
        <f t="shared" si="10"/>
        <v>0.6872556685</v>
      </c>
      <c r="I4380" s="78" t="s">
        <v>5164</v>
      </c>
      <c r="J4380" s="78" t="s">
        <v>69</v>
      </c>
      <c r="K4380" s="58">
        <f t="shared" si="14"/>
        <v>3</v>
      </c>
      <c r="L4380" s="91" t="str">
        <f t="shared" si="8"/>
        <v>Sun</v>
      </c>
      <c r="M4380" s="78" t="str">
        <f>IFERROR(VLOOKUP(A4380, Entries!A:B,2,false),"")</f>
        <v>Daedalic Entertainment</v>
      </c>
      <c r="N4380" s="23" t="str">
        <f>IFERROR(VLOOKUP(A4380, Entries!A:K,11,false),"")</f>
        <v/>
      </c>
    </row>
    <row r="4381">
      <c r="A4381" s="78" t="s">
        <v>5161</v>
      </c>
      <c r="B4381" s="78" t="s">
        <v>22</v>
      </c>
      <c r="C4381" s="85">
        <v>45204.0</v>
      </c>
      <c r="D4381" s="85">
        <v>45214.0</v>
      </c>
      <c r="E4381" s="86">
        <v>4.0</v>
      </c>
      <c r="F4381" s="87">
        <v>12.72</v>
      </c>
      <c r="G4381" s="88">
        <f t="shared" si="1"/>
        <v>8.72</v>
      </c>
      <c r="H4381" s="89">
        <f t="shared" si="10"/>
        <v>0.6855345912</v>
      </c>
      <c r="I4381" s="78" t="s">
        <v>5165</v>
      </c>
      <c r="J4381" s="78" t="s">
        <v>69</v>
      </c>
      <c r="K4381" s="58">
        <f t="shared" si="14"/>
        <v>10</v>
      </c>
      <c r="L4381" s="91" t="str">
        <f t="shared" si="8"/>
        <v>Sun</v>
      </c>
      <c r="M4381" s="78" t="str">
        <f>IFERROR(VLOOKUP(A4381, Entries!A:B,2,false),"")</f>
        <v>Daedalic Entertainment</v>
      </c>
      <c r="N4381" s="23" t="str">
        <f>IFERROR(VLOOKUP(A4381, Entries!A:K,11,false),"")</f>
        <v/>
      </c>
    </row>
    <row r="4382">
      <c r="A4382" s="78" t="s">
        <v>5161</v>
      </c>
      <c r="B4382" s="78" t="s">
        <v>22</v>
      </c>
      <c r="C4382" s="85">
        <v>45204.0</v>
      </c>
      <c r="D4382" s="85">
        <v>45216.0</v>
      </c>
      <c r="E4382" s="86">
        <v>4.0</v>
      </c>
      <c r="F4382" s="87">
        <v>12.69</v>
      </c>
      <c r="G4382" s="88">
        <f t="shared" si="1"/>
        <v>8.69</v>
      </c>
      <c r="H4382" s="89">
        <f t="shared" si="10"/>
        <v>0.6847911742</v>
      </c>
      <c r="I4382" s="78" t="s">
        <v>5166</v>
      </c>
      <c r="J4382" s="78" t="s">
        <v>69</v>
      </c>
      <c r="K4382" s="58">
        <f t="shared" si="14"/>
        <v>12</v>
      </c>
      <c r="L4382" s="91" t="str">
        <f t="shared" si="8"/>
        <v>Tue</v>
      </c>
      <c r="M4382" s="78" t="str">
        <f>IFERROR(VLOOKUP(A4382, Entries!A:B,2,false),"")</f>
        <v>Daedalic Entertainment</v>
      </c>
      <c r="N4382" s="23" t="str">
        <f>IFERROR(VLOOKUP(A4382, Entries!A:K,11,false),"")</f>
        <v/>
      </c>
    </row>
    <row r="4383">
      <c r="A4383" s="78" t="s">
        <v>1596</v>
      </c>
      <c r="B4383" s="78" t="s">
        <v>18</v>
      </c>
      <c r="C4383" s="85">
        <v>45204.0</v>
      </c>
      <c r="D4383" s="85">
        <v>45206.0</v>
      </c>
      <c r="E4383" s="86">
        <v>30.15</v>
      </c>
      <c r="F4383" s="87">
        <v>35.86</v>
      </c>
      <c r="G4383" s="88">
        <f t="shared" si="1"/>
        <v>5.71</v>
      </c>
      <c r="H4383" s="89">
        <f t="shared" si="10"/>
        <v>0.1592303402</v>
      </c>
      <c r="I4383" s="78" t="s">
        <v>5167</v>
      </c>
      <c r="J4383" s="78" t="s">
        <v>69</v>
      </c>
      <c r="K4383" s="58">
        <f t="shared" si="14"/>
        <v>2</v>
      </c>
      <c r="L4383" s="91" t="str">
        <f t="shared" si="8"/>
        <v>Sat</v>
      </c>
      <c r="M4383" s="78" t="str">
        <f>IFERROR(VLOOKUP(A4383, Entries!A:B,2,false),"")</f>
        <v>505 Games</v>
      </c>
      <c r="N4383" s="23" t="str">
        <f>IFERROR(VLOOKUP(A4383, Entries!A:K,11,false),"")</f>
        <v/>
      </c>
    </row>
    <row r="4384">
      <c r="A4384" s="78" t="s">
        <v>2051</v>
      </c>
      <c r="B4384" s="78" t="s">
        <v>27</v>
      </c>
      <c r="C4384" s="85">
        <v>45204.0</v>
      </c>
      <c r="D4384" s="85">
        <v>45205.0</v>
      </c>
      <c r="E4384" s="86">
        <v>6.29</v>
      </c>
      <c r="F4384" s="87">
        <v>8.47</v>
      </c>
      <c r="G4384" s="88">
        <f t="shared" si="1"/>
        <v>2.18</v>
      </c>
      <c r="H4384" s="89">
        <f t="shared" si="10"/>
        <v>0.2573789847</v>
      </c>
      <c r="I4384" s="78" t="s">
        <v>5168</v>
      </c>
      <c r="J4384" s="78" t="s">
        <v>69</v>
      </c>
      <c r="K4384" s="58">
        <f t="shared" si="14"/>
        <v>1</v>
      </c>
      <c r="L4384" s="91" t="str">
        <f t="shared" si="8"/>
        <v>Fri</v>
      </c>
      <c r="M4384" s="78" t="str">
        <f>IFERROR(VLOOKUP(A4384, Entries!A:B,2,false),"")</f>
        <v>Nacon</v>
      </c>
      <c r="N4384" s="23" t="str">
        <f>IFERROR(VLOOKUP(A4384, Entries!A:K,11,false),"")</f>
        <v/>
      </c>
    </row>
    <row r="4385">
      <c r="A4385" s="78" t="s">
        <v>272</v>
      </c>
      <c r="B4385" s="78" t="s">
        <v>19</v>
      </c>
      <c r="C4385" s="85">
        <v>45204.0</v>
      </c>
      <c r="D4385" s="85">
        <v>45204.0</v>
      </c>
      <c r="E4385" s="86">
        <v>0.93</v>
      </c>
      <c r="F4385" s="87">
        <v>1.18</v>
      </c>
      <c r="G4385" s="88">
        <f t="shared" si="1"/>
        <v>0.25</v>
      </c>
      <c r="H4385" s="89">
        <f t="shared" si="10"/>
        <v>0.2118644068</v>
      </c>
      <c r="I4385" s="78" t="s">
        <v>5169</v>
      </c>
      <c r="J4385" s="78" t="s">
        <v>69</v>
      </c>
      <c r="K4385" s="58">
        <f t="shared" si="14"/>
        <v>0</v>
      </c>
      <c r="L4385" s="91" t="str">
        <f t="shared" si="8"/>
        <v>Thu</v>
      </c>
      <c r="M4385" s="78" t="str">
        <f>IFERROR(VLOOKUP(A4385, Entries!A:B,2,false),"")</f>
        <v>Starbreeze Publishing</v>
      </c>
      <c r="N4385" s="23" t="str">
        <f>IFERROR(VLOOKUP(A4385, Entries!A:K,11,false),"")</f>
        <v/>
      </c>
    </row>
    <row r="4386">
      <c r="A4386" s="78" t="s">
        <v>272</v>
      </c>
      <c r="B4386" s="78" t="s">
        <v>19</v>
      </c>
      <c r="C4386" s="85">
        <v>45204.0</v>
      </c>
      <c r="D4386" s="85">
        <v>45205.0</v>
      </c>
      <c r="E4386" s="86">
        <v>0.93</v>
      </c>
      <c r="F4386" s="87">
        <v>1.18</v>
      </c>
      <c r="G4386" s="88">
        <f t="shared" si="1"/>
        <v>0.25</v>
      </c>
      <c r="H4386" s="89">
        <f t="shared" si="10"/>
        <v>0.2118644068</v>
      </c>
      <c r="I4386" s="78" t="s">
        <v>5170</v>
      </c>
      <c r="J4386" s="78" t="s">
        <v>69</v>
      </c>
      <c r="K4386" s="58">
        <f t="shared" si="14"/>
        <v>1</v>
      </c>
      <c r="L4386" s="91" t="str">
        <f t="shared" si="8"/>
        <v>Fri</v>
      </c>
      <c r="M4386" s="78" t="str">
        <f>IFERROR(VLOOKUP(A4386, Entries!A:B,2,false),"")</f>
        <v>Starbreeze Publishing</v>
      </c>
      <c r="N4386" s="23" t="str">
        <f>IFERROR(VLOOKUP(A4386, Entries!A:K,11,false),"")</f>
        <v/>
      </c>
    </row>
    <row r="4387">
      <c r="A4387" s="78" t="s">
        <v>272</v>
      </c>
      <c r="B4387" s="78" t="s">
        <v>19</v>
      </c>
      <c r="C4387" s="85">
        <v>45204.0</v>
      </c>
      <c r="D4387" s="85">
        <v>45205.0</v>
      </c>
      <c r="E4387" s="86">
        <v>0.94</v>
      </c>
      <c r="F4387" s="87">
        <v>1.18</v>
      </c>
      <c r="G4387" s="88">
        <f t="shared" si="1"/>
        <v>0.24</v>
      </c>
      <c r="H4387" s="89">
        <f t="shared" si="10"/>
        <v>0.2033898305</v>
      </c>
      <c r="I4387" s="78" t="s">
        <v>5171</v>
      </c>
      <c r="J4387" s="78" t="s">
        <v>69</v>
      </c>
      <c r="K4387" s="58">
        <f t="shared" si="14"/>
        <v>1</v>
      </c>
      <c r="L4387" s="91" t="str">
        <f t="shared" si="8"/>
        <v>Fri</v>
      </c>
      <c r="M4387" s="78" t="str">
        <f>IFERROR(VLOOKUP(A4387, Entries!A:B,2,false),"")</f>
        <v>Starbreeze Publishing</v>
      </c>
      <c r="N4387" s="23" t="str">
        <f>IFERROR(VLOOKUP(A4387, Entries!A:K,11,false),"")</f>
        <v/>
      </c>
    </row>
    <row r="4388">
      <c r="A4388" s="78" t="s">
        <v>272</v>
      </c>
      <c r="B4388" s="78" t="s">
        <v>19</v>
      </c>
      <c r="C4388" s="85">
        <v>45204.0</v>
      </c>
      <c r="D4388" s="85">
        <v>45205.0</v>
      </c>
      <c r="E4388" s="86">
        <v>0.94</v>
      </c>
      <c r="F4388" s="87">
        <v>1.18</v>
      </c>
      <c r="G4388" s="88">
        <f t="shared" si="1"/>
        <v>0.24</v>
      </c>
      <c r="H4388" s="89">
        <f t="shared" si="10"/>
        <v>0.2033898305</v>
      </c>
      <c r="I4388" s="78" t="s">
        <v>5172</v>
      </c>
      <c r="J4388" s="78" t="s">
        <v>69</v>
      </c>
      <c r="K4388" s="58">
        <f t="shared" si="14"/>
        <v>1</v>
      </c>
      <c r="L4388" s="91" t="str">
        <f t="shared" si="8"/>
        <v>Fri</v>
      </c>
      <c r="M4388" s="78" t="str">
        <f>IFERROR(VLOOKUP(A4388, Entries!A:B,2,false),"")</f>
        <v>Starbreeze Publishing</v>
      </c>
      <c r="N4388" s="23" t="str">
        <f>IFERROR(VLOOKUP(A4388, Entries!A:K,11,false),"")</f>
        <v/>
      </c>
    </row>
    <row r="4389">
      <c r="A4389" s="78" t="s">
        <v>272</v>
      </c>
      <c r="B4389" s="78" t="s">
        <v>19</v>
      </c>
      <c r="C4389" s="85">
        <v>45204.0</v>
      </c>
      <c r="D4389" s="85">
        <v>45205.0</v>
      </c>
      <c r="E4389" s="86">
        <v>0.94</v>
      </c>
      <c r="F4389" s="87">
        <v>1.18</v>
      </c>
      <c r="G4389" s="88">
        <f t="shared" si="1"/>
        <v>0.24</v>
      </c>
      <c r="H4389" s="89">
        <f t="shared" si="10"/>
        <v>0.2033898305</v>
      </c>
      <c r="I4389" s="78" t="s">
        <v>5173</v>
      </c>
      <c r="J4389" s="78" t="s">
        <v>69</v>
      </c>
      <c r="K4389" s="58">
        <f t="shared" si="14"/>
        <v>1</v>
      </c>
      <c r="L4389" s="91" t="str">
        <f t="shared" si="8"/>
        <v>Fri</v>
      </c>
      <c r="M4389" s="78" t="str">
        <f>IFERROR(VLOOKUP(A4389, Entries!A:B,2,false),"")</f>
        <v>Starbreeze Publishing</v>
      </c>
      <c r="N4389" s="23" t="str">
        <f>IFERROR(VLOOKUP(A4389, Entries!A:K,11,false),"")</f>
        <v/>
      </c>
    </row>
    <row r="4390">
      <c r="A4390" s="78" t="s">
        <v>5159</v>
      </c>
      <c r="B4390" s="78" t="s">
        <v>27</v>
      </c>
      <c r="C4390" s="85">
        <v>45204.0</v>
      </c>
      <c r="D4390" s="85">
        <v>45205.0</v>
      </c>
      <c r="E4390" s="86">
        <v>32.19</v>
      </c>
      <c r="F4390" s="87">
        <v>37.67</v>
      </c>
      <c r="G4390" s="88">
        <f t="shared" si="1"/>
        <v>5.48</v>
      </c>
      <c r="H4390" s="89">
        <f t="shared" si="10"/>
        <v>0.1454738519</v>
      </c>
      <c r="I4390" s="78" t="s">
        <v>5174</v>
      </c>
      <c r="J4390" s="78" t="s">
        <v>69</v>
      </c>
      <c r="K4390" s="58">
        <f t="shared" si="14"/>
        <v>1</v>
      </c>
      <c r="L4390" s="91" t="str">
        <f t="shared" si="8"/>
        <v>Fri</v>
      </c>
      <c r="M4390" s="78" t="str">
        <f>IFERROR(VLOOKUP(A4390, Entries!A:B,2,false),"")</f>
        <v>IO Interactive</v>
      </c>
      <c r="N4390" s="23" t="str">
        <f>IFERROR(VLOOKUP(A4390, Entries!A:K,11,false),"")</f>
        <v/>
      </c>
    </row>
    <row r="4391">
      <c r="A4391" s="78" t="s">
        <v>5159</v>
      </c>
      <c r="B4391" s="78" t="s">
        <v>27</v>
      </c>
      <c r="C4391" s="85">
        <v>45205.0</v>
      </c>
      <c r="D4391" s="85">
        <v>45205.0</v>
      </c>
      <c r="E4391" s="86">
        <v>32.04</v>
      </c>
      <c r="F4391" s="87">
        <v>37.67</v>
      </c>
      <c r="G4391" s="88">
        <f t="shared" si="1"/>
        <v>5.63</v>
      </c>
      <c r="H4391" s="89">
        <f t="shared" si="10"/>
        <v>0.1494558004</v>
      </c>
      <c r="I4391" s="78" t="s">
        <v>5175</v>
      </c>
      <c r="J4391" s="78" t="s">
        <v>69</v>
      </c>
      <c r="K4391" s="58">
        <f t="shared" si="14"/>
        <v>0</v>
      </c>
      <c r="L4391" s="91" t="str">
        <f t="shared" si="8"/>
        <v>Fri</v>
      </c>
      <c r="M4391" s="78" t="str">
        <f>IFERROR(VLOOKUP(A4391, Entries!A:B,2,false),"")</f>
        <v>IO Interactive</v>
      </c>
      <c r="N4391" s="23" t="str">
        <f>IFERROR(VLOOKUP(A4391, Entries!A:K,11,false),"")</f>
        <v/>
      </c>
    </row>
    <row r="4392">
      <c r="A4392" s="78" t="s">
        <v>5159</v>
      </c>
      <c r="B4392" s="78" t="s">
        <v>27</v>
      </c>
      <c r="C4392" s="85">
        <v>45205.0</v>
      </c>
      <c r="D4392" s="85">
        <v>45205.0</v>
      </c>
      <c r="E4392" s="86">
        <v>32.19</v>
      </c>
      <c r="F4392" s="87">
        <v>37.67</v>
      </c>
      <c r="G4392" s="88">
        <f t="shared" si="1"/>
        <v>5.48</v>
      </c>
      <c r="H4392" s="89">
        <f t="shared" si="10"/>
        <v>0.1454738519</v>
      </c>
      <c r="I4392" s="78" t="s">
        <v>5176</v>
      </c>
      <c r="J4392" s="78" t="s">
        <v>69</v>
      </c>
      <c r="K4392" s="58">
        <f t="shared" si="14"/>
        <v>0</v>
      </c>
      <c r="L4392" s="91" t="str">
        <f t="shared" si="8"/>
        <v>Fri</v>
      </c>
      <c r="M4392" s="78" t="str">
        <f>IFERROR(VLOOKUP(A4392, Entries!A:B,2,false),"")</f>
        <v>IO Interactive</v>
      </c>
      <c r="N4392" s="23" t="str">
        <f>IFERROR(VLOOKUP(A4392, Entries!A:K,11,false),"")</f>
        <v/>
      </c>
    </row>
    <row r="4393">
      <c r="A4393" s="78" t="s">
        <v>5159</v>
      </c>
      <c r="B4393" s="78" t="s">
        <v>27</v>
      </c>
      <c r="C4393" s="85">
        <v>45205.0</v>
      </c>
      <c r="D4393" s="85">
        <v>45207.0</v>
      </c>
      <c r="E4393" s="86">
        <v>32.19</v>
      </c>
      <c r="F4393" s="87">
        <v>37.58</v>
      </c>
      <c r="G4393" s="88">
        <f t="shared" si="1"/>
        <v>5.39</v>
      </c>
      <c r="H4393" s="89">
        <f t="shared" si="10"/>
        <v>0.143427355</v>
      </c>
      <c r="I4393" s="78" t="s">
        <v>5177</v>
      </c>
      <c r="J4393" s="78" t="s">
        <v>69</v>
      </c>
      <c r="K4393" s="58">
        <f t="shared" si="14"/>
        <v>2</v>
      </c>
      <c r="L4393" s="91" t="str">
        <f t="shared" si="8"/>
        <v>Sun</v>
      </c>
      <c r="M4393" s="78" t="str">
        <f>IFERROR(VLOOKUP(A4393, Entries!A:B,2,false),"")</f>
        <v>IO Interactive</v>
      </c>
      <c r="N4393" s="23" t="str">
        <f>IFERROR(VLOOKUP(A4393, Entries!A:K,11,false),"")</f>
        <v/>
      </c>
    </row>
    <row r="4394">
      <c r="A4394" s="78" t="s">
        <v>5067</v>
      </c>
      <c r="B4394" s="78" t="s">
        <v>25</v>
      </c>
      <c r="C4394" s="85">
        <v>45205.0</v>
      </c>
      <c r="D4394" s="85">
        <v>45205.0</v>
      </c>
      <c r="E4394" s="86">
        <v>14.57</v>
      </c>
      <c r="F4394" s="87">
        <v>15.99</v>
      </c>
      <c r="G4394" s="88">
        <f t="shared" si="1"/>
        <v>1.42</v>
      </c>
      <c r="H4394" s="89">
        <f t="shared" si="10"/>
        <v>0.08880550344</v>
      </c>
      <c r="I4394" s="78" t="s">
        <v>5178</v>
      </c>
      <c r="J4394" s="78" t="s">
        <v>69</v>
      </c>
      <c r="K4394" s="58">
        <f t="shared" si="14"/>
        <v>0</v>
      </c>
      <c r="L4394" s="91" t="str">
        <f t="shared" si="8"/>
        <v>Fri</v>
      </c>
      <c r="M4394" s="78" t="str">
        <f>IFERROR(VLOOKUP(A4394, Entries!A:B,2,false),"")</f>
        <v>Humble Games</v>
      </c>
      <c r="N4394" s="23" t="str">
        <f>IFERROR(VLOOKUP(A4394, Entries!A:K,11,false),"")</f>
        <v/>
      </c>
    </row>
    <row r="4395">
      <c r="A4395" s="78" t="s">
        <v>5159</v>
      </c>
      <c r="B4395" s="78" t="s">
        <v>27</v>
      </c>
      <c r="C4395" s="85">
        <v>45205.0</v>
      </c>
      <c r="D4395" s="85">
        <v>45208.0</v>
      </c>
      <c r="E4395" s="86">
        <v>32.19</v>
      </c>
      <c r="F4395" s="87">
        <v>37.36</v>
      </c>
      <c r="G4395" s="88">
        <f t="shared" si="1"/>
        <v>5.17</v>
      </c>
      <c r="H4395" s="89">
        <f t="shared" si="10"/>
        <v>0.1383832976</v>
      </c>
      <c r="I4395" s="78" t="s">
        <v>5179</v>
      </c>
      <c r="J4395" s="78" t="s">
        <v>69</v>
      </c>
      <c r="K4395" s="58">
        <f t="shared" si="14"/>
        <v>3</v>
      </c>
      <c r="L4395" s="91" t="str">
        <f t="shared" si="8"/>
        <v>Mon</v>
      </c>
      <c r="M4395" s="78" t="str">
        <f>IFERROR(VLOOKUP(A4395, Entries!A:B,2,false),"")</f>
        <v>IO Interactive</v>
      </c>
      <c r="N4395" s="23" t="str">
        <f>IFERROR(VLOOKUP(A4395, Entries!A:K,11,false),"")</f>
        <v/>
      </c>
    </row>
    <row r="4396">
      <c r="A4396" s="78" t="s">
        <v>5152</v>
      </c>
      <c r="B4396" s="78" t="s">
        <v>27</v>
      </c>
      <c r="C4396" s="85">
        <v>45205.0</v>
      </c>
      <c r="D4396" s="85">
        <v>45205.0</v>
      </c>
      <c r="E4396" s="86">
        <v>10.09</v>
      </c>
      <c r="F4396" s="87">
        <v>11.74</v>
      </c>
      <c r="G4396" s="88">
        <f t="shared" si="1"/>
        <v>1.65</v>
      </c>
      <c r="H4396" s="89">
        <f t="shared" si="10"/>
        <v>0.1405451448</v>
      </c>
      <c r="I4396" s="78" t="s">
        <v>5180</v>
      </c>
      <c r="J4396" s="78" t="s">
        <v>69</v>
      </c>
      <c r="K4396" s="58">
        <f t="shared" si="14"/>
        <v>0</v>
      </c>
      <c r="L4396" s="91" t="str">
        <f t="shared" si="8"/>
        <v>Fri</v>
      </c>
      <c r="M4396" s="78" t="str">
        <f>IFERROR(VLOOKUP(A4396, Entries!A:B,2,false),"")</f>
        <v>Bethesda Softworks</v>
      </c>
      <c r="N4396" s="23" t="str">
        <f>IFERROR(VLOOKUP(A4396, Entries!A:K,11,false),"")</f>
        <v/>
      </c>
    </row>
    <row r="4397">
      <c r="A4397" s="78" t="s">
        <v>5156</v>
      </c>
      <c r="B4397" s="78" t="s">
        <v>25</v>
      </c>
      <c r="C4397" s="85">
        <v>45205.0</v>
      </c>
      <c r="D4397" s="85">
        <v>45206.0</v>
      </c>
      <c r="E4397" s="86">
        <v>31.5</v>
      </c>
      <c r="F4397" s="87">
        <v>41.4</v>
      </c>
      <c r="G4397" s="88">
        <f t="shared" si="1"/>
        <v>9.9</v>
      </c>
      <c r="H4397" s="89">
        <f t="shared" si="10"/>
        <v>0.2391304348</v>
      </c>
      <c r="I4397" s="78" t="s">
        <v>5181</v>
      </c>
      <c r="J4397" s="78" t="s">
        <v>69</v>
      </c>
      <c r="K4397" s="58">
        <f t="shared" si="14"/>
        <v>1</v>
      </c>
      <c r="L4397" s="91" t="str">
        <f t="shared" si="8"/>
        <v>Sat</v>
      </c>
      <c r="M4397" s="78" t="str">
        <f>IFERROR(VLOOKUP(A4397, Entries!A:B,2,false),"")</f>
        <v>SEGA</v>
      </c>
      <c r="N4397" s="23" t="str">
        <f>IFERROR(VLOOKUP(A4397, Entries!A:K,11,false),"")</f>
        <v/>
      </c>
    </row>
    <row r="4398">
      <c r="A4398" s="78" t="s">
        <v>5156</v>
      </c>
      <c r="B4398" s="78" t="s">
        <v>25</v>
      </c>
      <c r="C4398" s="85">
        <v>45205.0</v>
      </c>
      <c r="D4398" s="85">
        <v>45208.0</v>
      </c>
      <c r="E4398" s="86">
        <v>31.5</v>
      </c>
      <c r="F4398" s="87">
        <v>42.68</v>
      </c>
      <c r="G4398" s="88">
        <f t="shared" si="1"/>
        <v>11.18</v>
      </c>
      <c r="H4398" s="89">
        <f t="shared" si="10"/>
        <v>0.2619493908</v>
      </c>
      <c r="I4398" s="78" t="s">
        <v>5182</v>
      </c>
      <c r="J4398" s="78" t="s">
        <v>69</v>
      </c>
      <c r="K4398" s="58">
        <f t="shared" si="14"/>
        <v>3</v>
      </c>
      <c r="L4398" s="91" t="str">
        <f t="shared" si="8"/>
        <v>Mon</v>
      </c>
      <c r="M4398" s="78" t="str">
        <f>IFERROR(VLOOKUP(A4398, Entries!A:B,2,false),"")</f>
        <v>SEGA</v>
      </c>
      <c r="N4398" s="23" t="str">
        <f>IFERROR(VLOOKUP(A4398, Entries!A:K,11,false),"")</f>
        <v/>
      </c>
    </row>
    <row r="4399">
      <c r="A4399" s="78" t="s">
        <v>5152</v>
      </c>
      <c r="B4399" s="78" t="s">
        <v>27</v>
      </c>
      <c r="C4399" s="85">
        <v>45205.0</v>
      </c>
      <c r="D4399" s="85">
        <v>45206.0</v>
      </c>
      <c r="E4399" s="86">
        <v>10.09</v>
      </c>
      <c r="F4399" s="87">
        <v>11.47</v>
      </c>
      <c r="G4399" s="88">
        <f t="shared" si="1"/>
        <v>1.38</v>
      </c>
      <c r="H4399" s="89">
        <f t="shared" si="10"/>
        <v>0.1203138622</v>
      </c>
      <c r="I4399" s="78" t="s">
        <v>5183</v>
      </c>
      <c r="J4399" s="78" t="s">
        <v>69</v>
      </c>
      <c r="K4399" s="58">
        <f t="shared" si="14"/>
        <v>1</v>
      </c>
      <c r="L4399" s="91" t="str">
        <f t="shared" si="8"/>
        <v>Sat</v>
      </c>
      <c r="M4399" s="78" t="str">
        <f>IFERROR(VLOOKUP(A4399, Entries!A:B,2,false),"")</f>
        <v>Bethesda Softworks</v>
      </c>
      <c r="N4399" s="23" t="str">
        <f>IFERROR(VLOOKUP(A4399, Entries!A:K,11,false),"")</f>
        <v/>
      </c>
    </row>
    <row r="4400">
      <c r="A4400" s="78" t="s">
        <v>2051</v>
      </c>
      <c r="B4400" s="78" t="s">
        <v>27</v>
      </c>
      <c r="C4400" s="85">
        <v>45206.0</v>
      </c>
      <c r="D4400" s="85">
        <v>45206.0</v>
      </c>
      <c r="E4400" s="86">
        <v>6.05</v>
      </c>
      <c r="F4400" s="87">
        <v>8.47</v>
      </c>
      <c r="G4400" s="88">
        <f t="shared" si="1"/>
        <v>2.42</v>
      </c>
      <c r="H4400" s="89">
        <f t="shared" si="10"/>
        <v>0.2857142857</v>
      </c>
      <c r="I4400" s="78" t="s">
        <v>5184</v>
      </c>
      <c r="J4400" s="78" t="s">
        <v>69</v>
      </c>
      <c r="K4400" s="58">
        <f t="shared" si="14"/>
        <v>0</v>
      </c>
      <c r="L4400" s="91" t="str">
        <f t="shared" si="8"/>
        <v>Sat</v>
      </c>
      <c r="M4400" s="78" t="str">
        <f>IFERROR(VLOOKUP(A4400, Entries!A:B,2,false),"")</f>
        <v>Nacon</v>
      </c>
      <c r="N4400" s="23" t="str">
        <f>IFERROR(VLOOKUP(A4400, Entries!A:K,11,false),"")</f>
        <v/>
      </c>
    </row>
    <row r="4401">
      <c r="A4401" s="78" t="s">
        <v>1596</v>
      </c>
      <c r="B4401" s="78" t="s">
        <v>18</v>
      </c>
      <c r="C4401" s="85">
        <v>45206.0</v>
      </c>
      <c r="D4401" s="85">
        <v>45217.0</v>
      </c>
      <c r="E4401" s="86">
        <v>30.15</v>
      </c>
      <c r="F4401" s="87">
        <v>35.77</v>
      </c>
      <c r="G4401" s="88">
        <f t="shared" si="1"/>
        <v>5.62</v>
      </c>
      <c r="H4401" s="89">
        <f t="shared" si="10"/>
        <v>0.1571149008</v>
      </c>
      <c r="I4401" s="78" t="s">
        <v>5185</v>
      </c>
      <c r="J4401" s="78" t="s">
        <v>69</v>
      </c>
      <c r="K4401" s="58">
        <f t="shared" si="14"/>
        <v>11</v>
      </c>
      <c r="L4401" s="91" t="str">
        <f t="shared" si="8"/>
        <v>Wed</v>
      </c>
      <c r="M4401" s="78" t="str">
        <f>IFERROR(VLOOKUP(A4401, Entries!A:B,2,false),"")</f>
        <v>505 Games</v>
      </c>
      <c r="N4401" s="23" t="str">
        <f>IFERROR(VLOOKUP(A4401, Entries!A:K,11,false),"")</f>
        <v/>
      </c>
    </row>
    <row r="4402">
      <c r="A4402" s="78" t="s">
        <v>5186</v>
      </c>
      <c r="B4402" s="78" t="s">
        <v>21</v>
      </c>
      <c r="C4402" s="85">
        <v>45206.0</v>
      </c>
      <c r="D4402" s="85">
        <v>45206.0</v>
      </c>
      <c r="E4402" s="86">
        <v>7.86</v>
      </c>
      <c r="F4402" s="87">
        <v>8.59</v>
      </c>
      <c r="G4402" s="88">
        <f t="shared" si="1"/>
        <v>0.73</v>
      </c>
      <c r="H4402" s="89">
        <f t="shared" si="10"/>
        <v>0.08498253783</v>
      </c>
      <c r="I4402" s="78" t="s">
        <v>5187</v>
      </c>
      <c r="J4402" s="78" t="s">
        <v>69</v>
      </c>
      <c r="K4402" s="58">
        <f t="shared" si="14"/>
        <v>0</v>
      </c>
      <c r="L4402" s="91" t="str">
        <f t="shared" si="8"/>
        <v>Sat</v>
      </c>
      <c r="M4402" s="78" t="str">
        <f>IFERROR(VLOOKUP(A4402, Entries!A:B,2,false),"")</f>
        <v>Untold Tales</v>
      </c>
      <c r="N4402" s="23" t="str">
        <f>IFERROR(VLOOKUP(A4402, Entries!A:K,11,false),"")</f>
        <v/>
      </c>
    </row>
    <row r="4403">
      <c r="A4403" s="78" t="s">
        <v>5152</v>
      </c>
      <c r="B4403" s="78" t="s">
        <v>27</v>
      </c>
      <c r="C4403" s="85">
        <v>45206.0</v>
      </c>
      <c r="D4403" s="85">
        <v>45206.0</v>
      </c>
      <c r="E4403" s="86">
        <v>9.89</v>
      </c>
      <c r="F4403" s="87">
        <v>10.65</v>
      </c>
      <c r="G4403" s="88">
        <f t="shared" si="1"/>
        <v>0.76</v>
      </c>
      <c r="H4403" s="89">
        <f t="shared" si="10"/>
        <v>0.07136150235</v>
      </c>
      <c r="I4403" s="78" t="s">
        <v>5188</v>
      </c>
      <c r="J4403" s="78" t="s">
        <v>69</v>
      </c>
      <c r="K4403" s="58">
        <f t="shared" si="14"/>
        <v>0</v>
      </c>
      <c r="L4403" s="91" t="str">
        <f t="shared" si="8"/>
        <v>Sat</v>
      </c>
      <c r="M4403" s="78" t="str">
        <f>IFERROR(VLOOKUP(A4403, Entries!A:B,2,false),"")</f>
        <v>Bethesda Softworks</v>
      </c>
      <c r="N4403" s="23" t="str">
        <f>IFERROR(VLOOKUP(A4403, Entries!A:K,11,false),"")</f>
        <v/>
      </c>
    </row>
    <row r="4404">
      <c r="A4404" s="78" t="s">
        <v>4814</v>
      </c>
      <c r="B4404" s="78" t="s">
        <v>27</v>
      </c>
      <c r="C4404" s="85">
        <v>45206.0</v>
      </c>
      <c r="D4404" s="85">
        <v>45210.0</v>
      </c>
      <c r="E4404" s="86">
        <v>20.09</v>
      </c>
      <c r="F4404" s="87">
        <v>23.83</v>
      </c>
      <c r="G4404" s="88">
        <f t="shared" si="1"/>
        <v>3.74</v>
      </c>
      <c r="H4404" s="89">
        <f t="shared" si="10"/>
        <v>0.1569450273</v>
      </c>
      <c r="I4404" s="78" t="s">
        <v>5189</v>
      </c>
      <c r="J4404" s="78" t="s">
        <v>69</v>
      </c>
      <c r="K4404" s="58">
        <f t="shared" si="14"/>
        <v>4</v>
      </c>
      <c r="L4404" s="91" t="str">
        <f t="shared" si="8"/>
        <v>Wed</v>
      </c>
      <c r="M4404" s="78" t="str">
        <f>IFERROR(VLOOKUP(A4404, Entries!A:B,2,false),"")</f>
        <v>PlayStation</v>
      </c>
      <c r="N4404" s="23" t="str">
        <f>IFERROR(VLOOKUP(A4404, Entries!A:K,11,false),"")</f>
        <v/>
      </c>
    </row>
    <row r="4405">
      <c r="A4405" s="78" t="s">
        <v>2051</v>
      </c>
      <c r="B4405" s="78" t="s">
        <v>27</v>
      </c>
      <c r="C4405" s="85">
        <v>45206.0</v>
      </c>
      <c r="D4405" s="85">
        <v>45208.0</v>
      </c>
      <c r="E4405" s="86">
        <v>6.29</v>
      </c>
      <c r="F4405" s="87">
        <v>8.47</v>
      </c>
      <c r="G4405" s="88">
        <f t="shared" si="1"/>
        <v>2.18</v>
      </c>
      <c r="H4405" s="89">
        <f t="shared" si="10"/>
        <v>0.2573789847</v>
      </c>
      <c r="I4405" s="78" t="s">
        <v>5190</v>
      </c>
      <c r="J4405" s="78" t="s">
        <v>69</v>
      </c>
      <c r="K4405" s="58">
        <f t="shared" si="14"/>
        <v>2</v>
      </c>
      <c r="L4405" s="91" t="str">
        <f t="shared" si="8"/>
        <v>Mon</v>
      </c>
      <c r="M4405" s="78" t="str">
        <f>IFERROR(VLOOKUP(A4405, Entries!A:B,2,false),"")</f>
        <v>Nacon</v>
      </c>
      <c r="N4405" s="23" t="str">
        <f>IFERROR(VLOOKUP(A4405, Entries!A:K,11,false),"")</f>
        <v/>
      </c>
    </row>
    <row r="4406">
      <c r="A4406" s="78" t="s">
        <v>5152</v>
      </c>
      <c r="B4406" s="78" t="s">
        <v>27</v>
      </c>
      <c r="C4406" s="85">
        <v>45206.0</v>
      </c>
      <c r="D4406" s="85">
        <v>45207.0</v>
      </c>
      <c r="E4406" s="86">
        <v>10.09</v>
      </c>
      <c r="F4406" s="87">
        <v>10.65</v>
      </c>
      <c r="G4406" s="88">
        <f t="shared" si="1"/>
        <v>0.56</v>
      </c>
      <c r="H4406" s="89">
        <f t="shared" si="10"/>
        <v>0.05258215962</v>
      </c>
      <c r="I4406" s="78" t="s">
        <v>5191</v>
      </c>
      <c r="J4406" s="78" t="s">
        <v>69</v>
      </c>
      <c r="K4406" s="58">
        <f t="shared" si="14"/>
        <v>1</v>
      </c>
      <c r="L4406" s="91" t="str">
        <f t="shared" si="8"/>
        <v>Sun</v>
      </c>
      <c r="M4406" s="78" t="str">
        <f>IFERROR(VLOOKUP(A4406, Entries!A:B,2,false),"")</f>
        <v>Bethesda Softworks</v>
      </c>
      <c r="N4406" s="23" t="str">
        <f>IFERROR(VLOOKUP(A4406, Entries!A:K,11,false),"")</f>
        <v/>
      </c>
    </row>
    <row r="4407">
      <c r="A4407" s="78" t="s">
        <v>5186</v>
      </c>
      <c r="B4407" s="78" t="s">
        <v>21</v>
      </c>
      <c r="C4407" s="85">
        <v>45206.0</v>
      </c>
      <c r="D4407" s="85">
        <v>45206.0</v>
      </c>
      <c r="E4407" s="86">
        <v>7.38</v>
      </c>
      <c r="F4407" s="87">
        <v>8.44</v>
      </c>
      <c r="G4407" s="88">
        <f t="shared" si="1"/>
        <v>1.06</v>
      </c>
      <c r="H4407" s="89">
        <f t="shared" si="10"/>
        <v>0.1255924171</v>
      </c>
      <c r="I4407" s="78" t="s">
        <v>5192</v>
      </c>
      <c r="J4407" s="78" t="s">
        <v>69</v>
      </c>
      <c r="K4407" s="58">
        <f t="shared" si="14"/>
        <v>0</v>
      </c>
      <c r="L4407" s="91" t="str">
        <f t="shared" si="8"/>
        <v>Sat</v>
      </c>
      <c r="M4407" s="78" t="str">
        <f>IFERROR(VLOOKUP(A4407, Entries!A:B,2,false),"")</f>
        <v>Untold Tales</v>
      </c>
      <c r="N4407" s="23" t="str">
        <f>IFERROR(VLOOKUP(A4407, Entries!A:K,11,false),"")</f>
        <v/>
      </c>
    </row>
    <row r="4408">
      <c r="A4408" s="78" t="s">
        <v>5186</v>
      </c>
      <c r="B4408" s="78" t="s">
        <v>21</v>
      </c>
      <c r="C4408" s="85">
        <v>45206.0</v>
      </c>
      <c r="D4408" s="85">
        <v>45206.0</v>
      </c>
      <c r="E4408" s="86">
        <v>7.39</v>
      </c>
      <c r="F4408" s="87">
        <v>8.34</v>
      </c>
      <c r="G4408" s="88">
        <f t="shared" si="1"/>
        <v>0.95</v>
      </c>
      <c r="H4408" s="89">
        <f t="shared" si="10"/>
        <v>0.1139088729</v>
      </c>
      <c r="I4408" s="78" t="s">
        <v>5193</v>
      </c>
      <c r="J4408" s="78" t="s">
        <v>69</v>
      </c>
      <c r="K4408" s="58">
        <f t="shared" si="14"/>
        <v>0</v>
      </c>
      <c r="L4408" s="91" t="str">
        <f t="shared" si="8"/>
        <v>Sat</v>
      </c>
      <c r="M4408" s="78" t="str">
        <f>IFERROR(VLOOKUP(A4408, Entries!A:B,2,false),"")</f>
        <v>Untold Tales</v>
      </c>
      <c r="N4408" s="23" t="str">
        <f>IFERROR(VLOOKUP(A4408, Entries!A:K,11,false),"")</f>
        <v/>
      </c>
    </row>
    <row r="4409">
      <c r="A4409" s="78" t="s">
        <v>5186</v>
      </c>
      <c r="B4409" s="78" t="s">
        <v>21</v>
      </c>
      <c r="C4409" s="85">
        <v>45206.0</v>
      </c>
      <c r="D4409" s="85">
        <v>45206.0</v>
      </c>
      <c r="E4409" s="86">
        <v>7.39</v>
      </c>
      <c r="F4409" s="87">
        <v>8.22</v>
      </c>
      <c r="G4409" s="88">
        <f t="shared" si="1"/>
        <v>0.83</v>
      </c>
      <c r="H4409" s="89">
        <f t="shared" si="10"/>
        <v>0.100973236</v>
      </c>
      <c r="I4409" s="78" t="s">
        <v>5194</v>
      </c>
      <c r="J4409" s="78" t="s">
        <v>69</v>
      </c>
      <c r="K4409" s="58">
        <f t="shared" si="14"/>
        <v>0</v>
      </c>
      <c r="L4409" s="91" t="str">
        <f t="shared" si="8"/>
        <v>Sat</v>
      </c>
      <c r="M4409" s="78" t="str">
        <f>IFERROR(VLOOKUP(A4409, Entries!A:B,2,false),"")</f>
        <v>Untold Tales</v>
      </c>
      <c r="N4409" s="23" t="str">
        <f>IFERROR(VLOOKUP(A4409, Entries!A:K,11,false),"")</f>
        <v/>
      </c>
    </row>
    <row r="4410">
      <c r="A4410" s="78" t="s">
        <v>5186</v>
      </c>
      <c r="B4410" s="78" t="s">
        <v>21</v>
      </c>
      <c r="C4410" s="85">
        <v>45206.0</v>
      </c>
      <c r="D4410" s="85">
        <v>45206.0</v>
      </c>
      <c r="E4410" s="86">
        <v>7.39</v>
      </c>
      <c r="F4410" s="87">
        <v>8.22</v>
      </c>
      <c r="G4410" s="88">
        <f t="shared" si="1"/>
        <v>0.83</v>
      </c>
      <c r="H4410" s="89">
        <f t="shared" si="10"/>
        <v>0.100973236</v>
      </c>
      <c r="I4410" s="78" t="s">
        <v>5195</v>
      </c>
      <c r="J4410" s="78" t="s">
        <v>69</v>
      </c>
      <c r="K4410" s="58">
        <f t="shared" si="14"/>
        <v>0</v>
      </c>
      <c r="L4410" s="91" t="str">
        <f t="shared" si="8"/>
        <v>Sat</v>
      </c>
      <c r="M4410" s="78" t="str">
        <f>IFERROR(VLOOKUP(A4410, Entries!A:B,2,false),"")</f>
        <v>Untold Tales</v>
      </c>
      <c r="N4410" s="23" t="str">
        <f>IFERROR(VLOOKUP(A4410, Entries!A:K,11,false),"")</f>
        <v/>
      </c>
    </row>
    <row r="4411">
      <c r="A4411" s="78" t="s">
        <v>5186</v>
      </c>
      <c r="B4411" s="78" t="s">
        <v>21</v>
      </c>
      <c r="C4411" s="85">
        <v>45206.0</v>
      </c>
      <c r="D4411" s="85">
        <v>45207.0</v>
      </c>
      <c r="E4411" s="86">
        <v>7.39</v>
      </c>
      <c r="F4411" s="87">
        <v>7.95</v>
      </c>
      <c r="G4411" s="88">
        <f t="shared" si="1"/>
        <v>0.56</v>
      </c>
      <c r="H4411" s="89">
        <f t="shared" si="10"/>
        <v>0.07044025157</v>
      </c>
      <c r="I4411" s="78" t="s">
        <v>5196</v>
      </c>
      <c r="J4411" s="78" t="s">
        <v>69</v>
      </c>
      <c r="K4411" s="58">
        <f t="shared" si="14"/>
        <v>1</v>
      </c>
      <c r="L4411" s="91" t="str">
        <f t="shared" si="8"/>
        <v>Sun</v>
      </c>
      <c r="M4411" s="78" t="str">
        <f>IFERROR(VLOOKUP(A4411, Entries!A:B,2,false),"")</f>
        <v>Untold Tales</v>
      </c>
      <c r="N4411" s="23" t="str">
        <f>IFERROR(VLOOKUP(A4411, Entries!A:K,11,false),"")</f>
        <v/>
      </c>
    </row>
    <row r="4412">
      <c r="A4412" s="78" t="s">
        <v>5186</v>
      </c>
      <c r="B4412" s="78" t="s">
        <v>21</v>
      </c>
      <c r="C4412" s="85">
        <v>45206.0</v>
      </c>
      <c r="D4412" s="85">
        <v>45207.0</v>
      </c>
      <c r="E4412" s="86">
        <v>7.3</v>
      </c>
      <c r="F4412" s="87">
        <v>7.95</v>
      </c>
      <c r="G4412" s="88">
        <f t="shared" si="1"/>
        <v>0.65</v>
      </c>
      <c r="H4412" s="89">
        <f t="shared" si="10"/>
        <v>0.08176100629</v>
      </c>
      <c r="I4412" s="78" t="s">
        <v>5197</v>
      </c>
      <c r="J4412" s="78" t="s">
        <v>69</v>
      </c>
      <c r="K4412" s="58">
        <f t="shared" si="14"/>
        <v>1</v>
      </c>
      <c r="L4412" s="91" t="str">
        <f t="shared" si="8"/>
        <v>Sun</v>
      </c>
      <c r="M4412" s="78" t="str">
        <f>IFERROR(VLOOKUP(A4412, Entries!A:B,2,false),"")</f>
        <v>Untold Tales</v>
      </c>
      <c r="N4412" s="23" t="str">
        <f>IFERROR(VLOOKUP(A4412, Entries!A:K,11,false),"")</f>
        <v/>
      </c>
    </row>
    <row r="4413">
      <c r="A4413" s="78" t="s">
        <v>5186</v>
      </c>
      <c r="B4413" s="78" t="s">
        <v>21</v>
      </c>
      <c r="C4413" s="85">
        <v>45206.0</v>
      </c>
      <c r="D4413" s="85">
        <v>45207.0</v>
      </c>
      <c r="E4413" s="86">
        <v>7.3</v>
      </c>
      <c r="F4413" s="87">
        <v>7.95</v>
      </c>
      <c r="G4413" s="88">
        <f t="shared" si="1"/>
        <v>0.65</v>
      </c>
      <c r="H4413" s="89">
        <f t="shared" si="10"/>
        <v>0.08176100629</v>
      </c>
      <c r="I4413" s="78" t="s">
        <v>5198</v>
      </c>
      <c r="J4413" s="78" t="s">
        <v>69</v>
      </c>
      <c r="K4413" s="58">
        <f t="shared" si="14"/>
        <v>1</v>
      </c>
      <c r="L4413" s="91" t="str">
        <f t="shared" si="8"/>
        <v>Sun</v>
      </c>
      <c r="M4413" s="78" t="str">
        <f>IFERROR(VLOOKUP(A4413, Entries!A:B,2,false),"")</f>
        <v>Untold Tales</v>
      </c>
      <c r="N4413" s="23" t="str">
        <f>IFERROR(VLOOKUP(A4413, Entries!A:K,11,false),"")</f>
        <v/>
      </c>
    </row>
    <row r="4414">
      <c r="A4414" s="78" t="s">
        <v>5186</v>
      </c>
      <c r="B4414" s="78" t="s">
        <v>21</v>
      </c>
      <c r="C4414" s="85">
        <v>45206.0</v>
      </c>
      <c r="D4414" s="85">
        <v>45207.0</v>
      </c>
      <c r="E4414" s="86">
        <v>7.3</v>
      </c>
      <c r="F4414" s="87">
        <v>7.92</v>
      </c>
      <c r="G4414" s="88">
        <f t="shared" si="1"/>
        <v>0.62</v>
      </c>
      <c r="H4414" s="89">
        <f t="shared" si="10"/>
        <v>0.07828282828</v>
      </c>
      <c r="I4414" s="78" t="s">
        <v>5199</v>
      </c>
      <c r="J4414" s="78" t="s">
        <v>69</v>
      </c>
      <c r="K4414" s="58">
        <f t="shared" si="14"/>
        <v>1</v>
      </c>
      <c r="L4414" s="91" t="str">
        <f t="shared" si="8"/>
        <v>Sun</v>
      </c>
      <c r="M4414" s="78" t="str">
        <f>IFERROR(VLOOKUP(A4414, Entries!A:B,2,false),"")</f>
        <v>Untold Tales</v>
      </c>
      <c r="N4414" s="23" t="str">
        <f>IFERROR(VLOOKUP(A4414, Entries!A:K,11,false),"")</f>
        <v/>
      </c>
    </row>
    <row r="4415">
      <c r="A4415" s="78" t="s">
        <v>5186</v>
      </c>
      <c r="B4415" s="78" t="s">
        <v>21</v>
      </c>
      <c r="C4415" s="85">
        <v>45206.0</v>
      </c>
      <c r="D4415" s="85">
        <v>45207.0</v>
      </c>
      <c r="E4415" s="86">
        <v>7.3</v>
      </c>
      <c r="F4415" s="87">
        <v>7.92</v>
      </c>
      <c r="G4415" s="88">
        <f t="shared" si="1"/>
        <v>0.62</v>
      </c>
      <c r="H4415" s="89">
        <f t="shared" si="10"/>
        <v>0.07828282828</v>
      </c>
      <c r="I4415" s="78" t="s">
        <v>5200</v>
      </c>
      <c r="J4415" s="78" t="s">
        <v>69</v>
      </c>
      <c r="K4415" s="58">
        <f t="shared" si="14"/>
        <v>1</v>
      </c>
      <c r="L4415" s="91" t="str">
        <f t="shared" si="8"/>
        <v>Sun</v>
      </c>
      <c r="M4415" s="78" t="str">
        <f>IFERROR(VLOOKUP(A4415, Entries!A:B,2,false),"")</f>
        <v>Untold Tales</v>
      </c>
      <c r="N4415" s="23" t="str">
        <f>IFERROR(VLOOKUP(A4415, Entries!A:K,11,false),"")</f>
        <v/>
      </c>
    </row>
    <row r="4416">
      <c r="A4416" s="78" t="s">
        <v>5186</v>
      </c>
      <c r="B4416" s="78" t="s">
        <v>21</v>
      </c>
      <c r="C4416" s="85">
        <v>45206.0</v>
      </c>
      <c r="D4416" s="85">
        <v>45207.0</v>
      </c>
      <c r="E4416" s="86">
        <v>7.3</v>
      </c>
      <c r="F4416" s="87">
        <v>7.92</v>
      </c>
      <c r="G4416" s="88">
        <f t="shared" si="1"/>
        <v>0.62</v>
      </c>
      <c r="H4416" s="89">
        <f t="shared" si="10"/>
        <v>0.07828282828</v>
      </c>
      <c r="I4416" s="78" t="s">
        <v>5201</v>
      </c>
      <c r="J4416" s="78" t="s">
        <v>69</v>
      </c>
      <c r="K4416" s="58">
        <f t="shared" si="14"/>
        <v>1</v>
      </c>
      <c r="L4416" s="91" t="str">
        <f t="shared" si="8"/>
        <v>Sun</v>
      </c>
      <c r="M4416" s="78" t="str">
        <f>IFERROR(VLOOKUP(A4416, Entries!A:B,2,false),"")</f>
        <v>Untold Tales</v>
      </c>
      <c r="N4416" s="23" t="str">
        <f>IFERROR(VLOOKUP(A4416, Entries!A:K,11,false),"")</f>
        <v/>
      </c>
    </row>
    <row r="4417">
      <c r="A4417" s="78" t="s">
        <v>5186</v>
      </c>
      <c r="B4417" s="78" t="s">
        <v>21</v>
      </c>
      <c r="C4417" s="85">
        <v>45206.0</v>
      </c>
      <c r="D4417" s="85">
        <v>45207.0</v>
      </c>
      <c r="E4417" s="86">
        <v>7.3</v>
      </c>
      <c r="F4417" s="87">
        <v>7.92</v>
      </c>
      <c r="G4417" s="88">
        <f t="shared" si="1"/>
        <v>0.62</v>
      </c>
      <c r="H4417" s="89">
        <f t="shared" si="10"/>
        <v>0.07828282828</v>
      </c>
      <c r="I4417" s="78" t="s">
        <v>5202</v>
      </c>
      <c r="J4417" s="78" t="s">
        <v>69</v>
      </c>
      <c r="K4417" s="58">
        <f t="shared" si="14"/>
        <v>1</v>
      </c>
      <c r="L4417" s="91" t="str">
        <f t="shared" si="8"/>
        <v>Sun</v>
      </c>
      <c r="M4417" s="78" t="str">
        <f>IFERROR(VLOOKUP(A4417, Entries!A:B,2,false),"")</f>
        <v>Untold Tales</v>
      </c>
      <c r="N4417" s="23" t="str">
        <f>IFERROR(VLOOKUP(A4417, Entries!A:K,11,false),"")</f>
        <v/>
      </c>
    </row>
    <row r="4418">
      <c r="A4418" s="78" t="s">
        <v>5186</v>
      </c>
      <c r="B4418" s="78" t="s">
        <v>21</v>
      </c>
      <c r="C4418" s="85">
        <v>45206.0</v>
      </c>
      <c r="D4418" s="85">
        <v>45207.0</v>
      </c>
      <c r="E4418" s="86">
        <v>7.3</v>
      </c>
      <c r="F4418" s="87">
        <v>7.92</v>
      </c>
      <c r="G4418" s="88">
        <f t="shared" si="1"/>
        <v>0.62</v>
      </c>
      <c r="H4418" s="89">
        <f t="shared" si="10"/>
        <v>0.07828282828</v>
      </c>
      <c r="I4418" s="78" t="s">
        <v>5203</v>
      </c>
      <c r="J4418" s="78" t="s">
        <v>69</v>
      </c>
      <c r="K4418" s="58">
        <f t="shared" si="14"/>
        <v>1</v>
      </c>
      <c r="L4418" s="91" t="str">
        <f t="shared" si="8"/>
        <v>Sun</v>
      </c>
      <c r="M4418" s="78" t="str">
        <f>IFERROR(VLOOKUP(A4418, Entries!A:B,2,false),"")</f>
        <v>Untold Tales</v>
      </c>
      <c r="N4418" s="23" t="str">
        <f>IFERROR(VLOOKUP(A4418, Entries!A:K,11,false),"")</f>
        <v/>
      </c>
    </row>
    <row r="4419">
      <c r="A4419" s="78" t="s">
        <v>5186</v>
      </c>
      <c r="B4419" s="78" t="s">
        <v>21</v>
      </c>
      <c r="C4419" s="85">
        <v>45206.0</v>
      </c>
      <c r="D4419" s="85">
        <v>45207.0</v>
      </c>
      <c r="E4419" s="86">
        <v>7.3</v>
      </c>
      <c r="F4419" s="87">
        <v>7.92</v>
      </c>
      <c r="G4419" s="88">
        <f t="shared" si="1"/>
        <v>0.62</v>
      </c>
      <c r="H4419" s="89">
        <f t="shared" si="10"/>
        <v>0.07828282828</v>
      </c>
      <c r="I4419" s="78" t="s">
        <v>5204</v>
      </c>
      <c r="J4419" s="78" t="s">
        <v>69</v>
      </c>
      <c r="K4419" s="58">
        <f t="shared" si="14"/>
        <v>1</v>
      </c>
      <c r="L4419" s="91" t="str">
        <f t="shared" si="8"/>
        <v>Sun</v>
      </c>
      <c r="M4419" s="78" t="str">
        <f>IFERROR(VLOOKUP(A4419, Entries!A:B,2,false),"")</f>
        <v>Untold Tales</v>
      </c>
      <c r="N4419" s="23" t="str">
        <f>IFERROR(VLOOKUP(A4419, Entries!A:K,11,false),"")</f>
        <v/>
      </c>
    </row>
    <row r="4420">
      <c r="A4420" s="78" t="s">
        <v>5186</v>
      </c>
      <c r="B4420" s="78" t="s">
        <v>21</v>
      </c>
      <c r="C4420" s="85">
        <v>45206.0</v>
      </c>
      <c r="D4420" s="85">
        <v>45208.0</v>
      </c>
      <c r="E4420" s="86">
        <v>7.3</v>
      </c>
      <c r="F4420" s="87">
        <v>7.92</v>
      </c>
      <c r="G4420" s="88">
        <f t="shared" si="1"/>
        <v>0.62</v>
      </c>
      <c r="H4420" s="89">
        <f t="shared" si="10"/>
        <v>0.07828282828</v>
      </c>
      <c r="I4420" s="78" t="s">
        <v>5205</v>
      </c>
      <c r="J4420" s="78" t="s">
        <v>69</v>
      </c>
      <c r="K4420" s="58">
        <f t="shared" si="14"/>
        <v>2</v>
      </c>
      <c r="L4420" s="91" t="str">
        <f t="shared" si="8"/>
        <v>Mon</v>
      </c>
      <c r="M4420" s="78" t="str">
        <f>IFERROR(VLOOKUP(A4420, Entries!A:B,2,false),"")</f>
        <v>Untold Tales</v>
      </c>
      <c r="N4420" s="23" t="str">
        <f>IFERROR(VLOOKUP(A4420, Entries!A:K,11,false),"")</f>
        <v/>
      </c>
    </row>
    <row r="4421">
      <c r="A4421" s="78" t="s">
        <v>5152</v>
      </c>
      <c r="B4421" s="78" t="s">
        <v>27</v>
      </c>
      <c r="C4421" s="85">
        <v>45207.0</v>
      </c>
      <c r="D4421" s="85">
        <v>45218.0</v>
      </c>
      <c r="E4421" s="86">
        <v>10.01</v>
      </c>
      <c r="F4421" s="87">
        <v>11.76</v>
      </c>
      <c r="G4421" s="88">
        <f t="shared" si="1"/>
        <v>1.75</v>
      </c>
      <c r="H4421" s="89">
        <f t="shared" si="10"/>
        <v>0.1488095238</v>
      </c>
      <c r="I4421" s="78" t="s">
        <v>5206</v>
      </c>
      <c r="J4421" s="78" t="s">
        <v>69</v>
      </c>
      <c r="K4421" s="58">
        <f t="shared" si="14"/>
        <v>11</v>
      </c>
      <c r="L4421" s="91" t="str">
        <f t="shared" si="8"/>
        <v>Thu</v>
      </c>
      <c r="M4421" s="78" t="str">
        <f>IFERROR(VLOOKUP(A4421, Entries!A:B,2,false),"")</f>
        <v>Bethesda Softworks</v>
      </c>
      <c r="N4421" s="23" t="str">
        <f>IFERROR(VLOOKUP(A4421, Entries!A:K,11,false),"")</f>
        <v/>
      </c>
    </row>
    <row r="4422">
      <c r="A4422" s="78" t="s">
        <v>2051</v>
      </c>
      <c r="B4422" s="78" t="s">
        <v>27</v>
      </c>
      <c r="C4422" s="85">
        <v>45208.0</v>
      </c>
      <c r="D4422" s="85">
        <v>45208.0</v>
      </c>
      <c r="E4422" s="86">
        <v>6.29</v>
      </c>
      <c r="F4422" s="87">
        <v>8.47</v>
      </c>
      <c r="G4422" s="88">
        <f t="shared" si="1"/>
        <v>2.18</v>
      </c>
      <c r="H4422" s="89">
        <f t="shared" si="10"/>
        <v>0.2573789847</v>
      </c>
      <c r="I4422" s="78" t="s">
        <v>5207</v>
      </c>
      <c r="J4422" s="78" t="s">
        <v>69</v>
      </c>
      <c r="K4422" s="58">
        <f t="shared" si="14"/>
        <v>0</v>
      </c>
      <c r="L4422" s="91" t="str">
        <f t="shared" si="8"/>
        <v>Mon</v>
      </c>
      <c r="M4422" s="78" t="str">
        <f>IFERROR(VLOOKUP(A4422, Entries!A:B,2,false),"")</f>
        <v>Nacon</v>
      </c>
      <c r="N4422" s="23" t="str">
        <f>IFERROR(VLOOKUP(A4422, Entries!A:K,11,false),"")</f>
        <v/>
      </c>
    </row>
    <row r="4423">
      <c r="A4423" s="78" t="s">
        <v>2611</v>
      </c>
      <c r="B4423" s="78" t="s">
        <v>22</v>
      </c>
      <c r="C4423" s="85">
        <v>45208.0</v>
      </c>
      <c r="D4423" s="85">
        <v>45276.0</v>
      </c>
      <c r="E4423" s="86">
        <v>11.82</v>
      </c>
      <c r="F4423" s="87">
        <v>12.5</v>
      </c>
      <c r="G4423" s="88">
        <f t="shared" si="1"/>
        <v>0.68</v>
      </c>
      <c r="H4423" s="89">
        <f t="shared" si="10"/>
        <v>0.0544</v>
      </c>
      <c r="I4423" s="78" t="s">
        <v>5208</v>
      </c>
      <c r="J4423" s="78" t="s">
        <v>69</v>
      </c>
      <c r="K4423" s="58">
        <f t="shared" si="14"/>
        <v>68</v>
      </c>
      <c r="L4423" s="91" t="str">
        <f t="shared" si="8"/>
        <v>Sat</v>
      </c>
      <c r="M4423" s="78" t="str">
        <f>IFERROR(VLOOKUP(A4423, Entries!A:B,2,false),"")</f>
        <v>Ninja Kiwi</v>
      </c>
      <c r="N4423" s="23" t="str">
        <f>IFERROR(VLOOKUP(A4423, Entries!A:K,11,false),"")</f>
        <v/>
      </c>
    </row>
    <row r="4424">
      <c r="A4424" s="78" t="s">
        <v>5209</v>
      </c>
      <c r="B4424" s="78" t="s">
        <v>35</v>
      </c>
      <c r="C4424" s="85">
        <v>45208.0</v>
      </c>
      <c r="D4424" s="25"/>
      <c r="E4424" s="86">
        <v>12.82</v>
      </c>
      <c r="F4424" s="88"/>
      <c r="G4424" s="88">
        <f t="shared" si="1"/>
        <v>-12.82</v>
      </c>
      <c r="H4424" s="89" t="str">
        <f t="shared" si="10"/>
        <v/>
      </c>
      <c r="I4424" s="103" t="s">
        <v>5210</v>
      </c>
      <c r="J4424" s="78" t="s">
        <v>1129</v>
      </c>
      <c r="K4424" s="58" t="str">
        <f t="shared" si="14"/>
        <v/>
      </c>
      <c r="L4424" s="91" t="str">
        <f t="shared" si="8"/>
        <v/>
      </c>
      <c r="M4424" s="78" t="str">
        <f>IFERROR(VLOOKUP(A4424, Entries!A:B,2,false),"")</f>
        <v>Merge Games</v>
      </c>
      <c r="N4424" s="23" t="str">
        <f>IFERROR(VLOOKUP(A4424, Entries!A:K,11,false),"")</f>
        <v/>
      </c>
    </row>
    <row r="4425">
      <c r="A4425" s="78" t="s">
        <v>5211</v>
      </c>
      <c r="B4425" s="78" t="s">
        <v>27</v>
      </c>
      <c r="C4425" s="85">
        <v>45208.0</v>
      </c>
      <c r="D4425" s="85">
        <v>45211.0</v>
      </c>
      <c r="E4425" s="86">
        <v>16.94</v>
      </c>
      <c r="F4425" s="87">
        <v>20.52</v>
      </c>
      <c r="G4425" s="88">
        <f t="shared" si="1"/>
        <v>3.58</v>
      </c>
      <c r="H4425" s="89">
        <f t="shared" si="10"/>
        <v>0.1744639376</v>
      </c>
      <c r="I4425" s="78" t="s">
        <v>5212</v>
      </c>
      <c r="J4425" s="78" t="s">
        <v>69</v>
      </c>
      <c r="K4425" s="58">
        <f t="shared" si="14"/>
        <v>3</v>
      </c>
      <c r="L4425" s="91" t="str">
        <f t="shared" si="8"/>
        <v>Thu</v>
      </c>
      <c r="M4425" s="78" t="str">
        <f>IFERROR(VLOOKUP(A4425, Entries!A:B,2,false),"")</f>
        <v>IO Interactive</v>
      </c>
      <c r="N4425" s="23" t="str">
        <f>IFERROR(VLOOKUP(A4425, Entries!A:K,11,false),"")</f>
        <v/>
      </c>
    </row>
    <row r="4426">
      <c r="A4426" s="78" t="s">
        <v>5211</v>
      </c>
      <c r="B4426" s="78" t="s">
        <v>27</v>
      </c>
      <c r="C4426" s="85">
        <v>45208.0</v>
      </c>
      <c r="D4426" s="85">
        <v>45208.0</v>
      </c>
      <c r="E4426" s="86">
        <v>16.85</v>
      </c>
      <c r="F4426" s="87">
        <v>20.54</v>
      </c>
      <c r="G4426" s="88">
        <f t="shared" si="1"/>
        <v>3.69</v>
      </c>
      <c r="H4426" s="89">
        <f t="shared" si="10"/>
        <v>0.1796494645</v>
      </c>
      <c r="I4426" s="78" t="s">
        <v>5213</v>
      </c>
      <c r="J4426" s="78" t="s">
        <v>69</v>
      </c>
      <c r="K4426" s="58">
        <f t="shared" si="14"/>
        <v>0</v>
      </c>
      <c r="L4426" s="91" t="str">
        <f t="shared" si="8"/>
        <v>Mon</v>
      </c>
      <c r="M4426" s="78" t="str">
        <f>IFERROR(VLOOKUP(A4426, Entries!A:B,2,false),"")</f>
        <v>IO Interactive</v>
      </c>
      <c r="N4426" s="23" t="str">
        <f>IFERROR(VLOOKUP(A4426, Entries!A:K,11,false),"")</f>
        <v/>
      </c>
    </row>
    <row r="4427">
      <c r="A4427" s="78" t="s">
        <v>2051</v>
      </c>
      <c r="B4427" s="78" t="s">
        <v>27</v>
      </c>
      <c r="C4427" s="85">
        <v>45208.0</v>
      </c>
      <c r="D4427" s="85">
        <v>45209.0</v>
      </c>
      <c r="E4427" s="86">
        <v>6.29</v>
      </c>
      <c r="F4427" s="87">
        <v>8.47</v>
      </c>
      <c r="G4427" s="88">
        <f t="shared" si="1"/>
        <v>2.18</v>
      </c>
      <c r="H4427" s="89">
        <f t="shared" si="10"/>
        <v>0.2573789847</v>
      </c>
      <c r="I4427" s="78" t="s">
        <v>5214</v>
      </c>
      <c r="J4427" s="78" t="s">
        <v>69</v>
      </c>
      <c r="K4427" s="58">
        <f t="shared" si="14"/>
        <v>1</v>
      </c>
      <c r="L4427" s="91" t="str">
        <f t="shared" si="8"/>
        <v>Tue</v>
      </c>
      <c r="M4427" s="78" t="str">
        <f>IFERROR(VLOOKUP(A4427, Entries!A:B,2,false),"")</f>
        <v>Nacon</v>
      </c>
      <c r="N4427" s="23" t="str">
        <f>IFERROR(VLOOKUP(A4427, Entries!A:K,11,false),"")</f>
        <v/>
      </c>
    </row>
    <row r="4428">
      <c r="A4428" s="78" t="s">
        <v>3804</v>
      </c>
      <c r="B4428" s="78" t="s">
        <v>25</v>
      </c>
      <c r="C4428" s="85">
        <v>45208.0</v>
      </c>
      <c r="D4428" s="85">
        <v>45208.0</v>
      </c>
      <c r="E4428" s="86">
        <v>5.65</v>
      </c>
      <c r="F4428" s="87">
        <v>8.4</v>
      </c>
      <c r="G4428" s="88">
        <f t="shared" si="1"/>
        <v>2.75</v>
      </c>
      <c r="H4428" s="89">
        <f t="shared" si="10"/>
        <v>0.3273809524</v>
      </c>
      <c r="I4428" s="78" t="s">
        <v>5215</v>
      </c>
      <c r="J4428" s="78" t="s">
        <v>69</v>
      </c>
      <c r="K4428" s="58">
        <f t="shared" si="14"/>
        <v>0</v>
      </c>
      <c r="L4428" s="91" t="str">
        <f t="shared" si="8"/>
        <v>Mon</v>
      </c>
      <c r="M4428" s="78" t="str">
        <f>IFERROR(VLOOKUP(A4428, Entries!A:B,2,false),"")</f>
        <v>Ocean Drive Studio</v>
      </c>
      <c r="N4428" s="23" t="str">
        <f>IFERROR(VLOOKUP(A4428, Entries!A:K,11,false),"")</f>
        <v/>
      </c>
    </row>
    <row r="4429">
      <c r="A4429" s="78" t="s">
        <v>3804</v>
      </c>
      <c r="B4429" s="78" t="s">
        <v>25</v>
      </c>
      <c r="C4429" s="85">
        <v>45208.0</v>
      </c>
      <c r="D4429" s="85">
        <v>45209.0</v>
      </c>
      <c r="E4429" s="86">
        <v>5.65</v>
      </c>
      <c r="F4429" s="87">
        <v>8.4</v>
      </c>
      <c r="G4429" s="88">
        <f t="shared" si="1"/>
        <v>2.75</v>
      </c>
      <c r="H4429" s="89">
        <f t="shared" si="10"/>
        <v>0.3273809524</v>
      </c>
      <c r="I4429" s="78" t="s">
        <v>5216</v>
      </c>
      <c r="J4429" s="78" t="s">
        <v>69</v>
      </c>
      <c r="K4429" s="58">
        <f t="shared" si="14"/>
        <v>1</v>
      </c>
      <c r="L4429" s="91" t="str">
        <f t="shared" si="8"/>
        <v>Tue</v>
      </c>
      <c r="M4429" s="78" t="str">
        <f>IFERROR(VLOOKUP(A4429, Entries!A:B,2,false),"")</f>
        <v>Ocean Drive Studio</v>
      </c>
      <c r="N4429" s="23" t="str">
        <f>IFERROR(VLOOKUP(A4429, Entries!A:K,11,false),"")</f>
        <v/>
      </c>
    </row>
    <row r="4430">
      <c r="A4430" s="78" t="s">
        <v>5159</v>
      </c>
      <c r="B4430" s="78" t="s">
        <v>27</v>
      </c>
      <c r="C4430" s="85">
        <v>45208.0</v>
      </c>
      <c r="D4430" s="85">
        <v>45209.0</v>
      </c>
      <c r="E4430" s="86">
        <v>32.19</v>
      </c>
      <c r="F4430" s="87">
        <v>37.36</v>
      </c>
      <c r="G4430" s="88">
        <f t="shared" si="1"/>
        <v>5.17</v>
      </c>
      <c r="H4430" s="89">
        <f t="shared" si="10"/>
        <v>0.1383832976</v>
      </c>
      <c r="I4430" s="78" t="s">
        <v>5217</v>
      </c>
      <c r="J4430" s="78" t="s">
        <v>69</v>
      </c>
      <c r="K4430" s="58">
        <f t="shared" si="14"/>
        <v>1</v>
      </c>
      <c r="L4430" s="91" t="str">
        <f t="shared" si="8"/>
        <v>Tue</v>
      </c>
      <c r="M4430" s="78" t="str">
        <f>IFERROR(VLOOKUP(A4430, Entries!A:B,2,false),"")</f>
        <v>IO Interactive</v>
      </c>
      <c r="N4430" s="23" t="str">
        <f>IFERROR(VLOOKUP(A4430, Entries!A:K,11,false),"")</f>
        <v/>
      </c>
    </row>
    <row r="4431">
      <c r="A4431" s="78" t="s">
        <v>5159</v>
      </c>
      <c r="B4431" s="78" t="s">
        <v>27</v>
      </c>
      <c r="C4431" s="85">
        <v>45209.0</v>
      </c>
      <c r="D4431" s="85">
        <v>45209.0</v>
      </c>
      <c r="E4431" s="86">
        <v>32.14</v>
      </c>
      <c r="F4431" s="87">
        <v>37.7</v>
      </c>
      <c r="G4431" s="88">
        <f t="shared" si="1"/>
        <v>5.56</v>
      </c>
      <c r="H4431" s="89">
        <f t="shared" si="10"/>
        <v>0.1474801061</v>
      </c>
      <c r="I4431" s="78" t="s">
        <v>5218</v>
      </c>
      <c r="J4431" s="78" t="s">
        <v>69</v>
      </c>
      <c r="K4431" s="58">
        <f t="shared" si="14"/>
        <v>0</v>
      </c>
      <c r="L4431" s="91" t="str">
        <f t="shared" si="8"/>
        <v>Tue</v>
      </c>
      <c r="M4431" s="78" t="str">
        <f>IFERROR(VLOOKUP(A4431, Entries!A:B,2,false),"")</f>
        <v>IO Interactive</v>
      </c>
      <c r="N4431" s="23" t="str">
        <f>IFERROR(VLOOKUP(A4431, Entries!A:K,11,false),"")</f>
        <v/>
      </c>
    </row>
    <row r="4432">
      <c r="A4432" s="78" t="s">
        <v>5159</v>
      </c>
      <c r="B4432" s="78" t="s">
        <v>27</v>
      </c>
      <c r="C4432" s="85">
        <v>45209.0</v>
      </c>
      <c r="D4432" s="85">
        <v>45209.0</v>
      </c>
      <c r="E4432" s="86">
        <v>32.19</v>
      </c>
      <c r="F4432" s="87">
        <v>38.15</v>
      </c>
      <c r="G4432" s="88">
        <f t="shared" si="1"/>
        <v>5.96</v>
      </c>
      <c r="H4432" s="89">
        <f t="shared" si="10"/>
        <v>0.156225426</v>
      </c>
      <c r="I4432" s="78" t="s">
        <v>5219</v>
      </c>
      <c r="J4432" s="78" t="s">
        <v>69</v>
      </c>
      <c r="K4432" s="58">
        <f t="shared" si="14"/>
        <v>0</v>
      </c>
      <c r="L4432" s="91" t="str">
        <f t="shared" si="8"/>
        <v>Tue</v>
      </c>
      <c r="M4432" s="78" t="str">
        <f>IFERROR(VLOOKUP(A4432, Entries!A:B,2,false),"")</f>
        <v>IO Interactive</v>
      </c>
      <c r="N4432" s="23" t="str">
        <f>IFERROR(VLOOKUP(A4432, Entries!A:K,11,false),"")</f>
        <v/>
      </c>
    </row>
    <row r="4433">
      <c r="A4433" s="78" t="s">
        <v>3771</v>
      </c>
      <c r="B4433" s="78" t="s">
        <v>27</v>
      </c>
      <c r="C4433" s="85">
        <v>45209.0</v>
      </c>
      <c r="D4433" s="85">
        <v>45212.0</v>
      </c>
      <c r="E4433" s="86">
        <v>9.79</v>
      </c>
      <c r="F4433" s="87">
        <v>11.64</v>
      </c>
      <c r="G4433" s="88">
        <f t="shared" si="1"/>
        <v>1.85</v>
      </c>
      <c r="H4433" s="89">
        <f t="shared" si="10"/>
        <v>0.1589347079</v>
      </c>
      <c r="I4433" s="78" t="s">
        <v>5220</v>
      </c>
      <c r="J4433" s="78" t="s">
        <v>69</v>
      </c>
      <c r="K4433" s="58">
        <f t="shared" si="14"/>
        <v>3</v>
      </c>
      <c r="L4433" s="91" t="str">
        <f t="shared" si="8"/>
        <v>Fri</v>
      </c>
      <c r="M4433" s="78" t="str">
        <f>IFERROR(VLOOKUP(A4433, Entries!A:B,2,false),"")</f>
        <v>Good Shepherd Entertainment</v>
      </c>
      <c r="N4433" s="23" t="str">
        <f>IFERROR(VLOOKUP(A4433, Entries!A:K,11,false),"")</f>
        <v/>
      </c>
    </row>
    <row r="4434">
      <c r="A4434" s="78" t="s">
        <v>2051</v>
      </c>
      <c r="B4434" s="78" t="s">
        <v>27</v>
      </c>
      <c r="C4434" s="85">
        <v>45209.0</v>
      </c>
      <c r="D4434" s="85">
        <v>45211.0</v>
      </c>
      <c r="E4434" s="86">
        <v>6.29</v>
      </c>
      <c r="F4434" s="87">
        <v>8.47</v>
      </c>
      <c r="G4434" s="88">
        <f t="shared" si="1"/>
        <v>2.18</v>
      </c>
      <c r="H4434" s="89">
        <f t="shared" si="10"/>
        <v>0.2573789847</v>
      </c>
      <c r="I4434" s="78" t="s">
        <v>5221</v>
      </c>
      <c r="J4434" s="78" t="s">
        <v>69</v>
      </c>
      <c r="K4434" s="58">
        <f t="shared" si="14"/>
        <v>2</v>
      </c>
      <c r="L4434" s="91" t="str">
        <f t="shared" si="8"/>
        <v>Thu</v>
      </c>
      <c r="M4434" s="78" t="str">
        <f>IFERROR(VLOOKUP(A4434, Entries!A:B,2,false),"")</f>
        <v>Nacon</v>
      </c>
      <c r="N4434" s="23" t="str">
        <f>IFERROR(VLOOKUP(A4434, Entries!A:K,11,false),"")</f>
        <v/>
      </c>
    </row>
    <row r="4435">
      <c r="A4435" s="78" t="s">
        <v>5159</v>
      </c>
      <c r="B4435" s="78" t="s">
        <v>27</v>
      </c>
      <c r="C4435" s="85">
        <v>45209.0</v>
      </c>
      <c r="D4435" s="85">
        <v>45209.0</v>
      </c>
      <c r="E4435" s="86">
        <v>32.19</v>
      </c>
      <c r="F4435" s="87">
        <v>38.14</v>
      </c>
      <c r="G4435" s="88">
        <f t="shared" si="1"/>
        <v>5.95</v>
      </c>
      <c r="H4435" s="89">
        <f t="shared" si="10"/>
        <v>0.1560041951</v>
      </c>
      <c r="I4435" s="78" t="s">
        <v>5222</v>
      </c>
      <c r="J4435" s="78" t="s">
        <v>69</v>
      </c>
      <c r="K4435" s="58">
        <f t="shared" si="14"/>
        <v>0</v>
      </c>
      <c r="L4435" s="91" t="str">
        <f t="shared" si="8"/>
        <v>Tue</v>
      </c>
      <c r="M4435" s="78" t="str">
        <f>IFERROR(VLOOKUP(A4435, Entries!A:B,2,false),"")</f>
        <v>IO Interactive</v>
      </c>
      <c r="N4435" s="23" t="str">
        <f>IFERROR(VLOOKUP(A4435, Entries!A:K,11,false),"")</f>
        <v/>
      </c>
    </row>
    <row r="4436">
      <c r="A4436" s="78" t="s">
        <v>5223</v>
      </c>
      <c r="B4436" s="78" t="s">
        <v>25</v>
      </c>
      <c r="C4436" s="85">
        <v>45209.0</v>
      </c>
      <c r="D4436" s="85">
        <v>45210.0</v>
      </c>
      <c r="E4436" s="86">
        <v>1.72</v>
      </c>
      <c r="F4436" s="87">
        <v>2.39</v>
      </c>
      <c r="G4436" s="88">
        <f t="shared" si="1"/>
        <v>0.67</v>
      </c>
      <c r="H4436" s="89">
        <f t="shared" si="10"/>
        <v>0.280334728</v>
      </c>
      <c r="I4436" s="78" t="s">
        <v>5224</v>
      </c>
      <c r="J4436" s="78" t="s">
        <v>69</v>
      </c>
      <c r="K4436" s="58">
        <f t="shared" si="14"/>
        <v>1</v>
      </c>
      <c r="L4436" s="91" t="str">
        <f t="shared" si="8"/>
        <v>Wed</v>
      </c>
      <c r="M4436" s="78" t="str">
        <f>IFERROR(VLOOKUP(A4436, Entries!A:B,2,false),"")</f>
        <v>PQube Limited</v>
      </c>
      <c r="N4436" s="23" t="str">
        <f>IFERROR(VLOOKUP(A4436, Entries!A:K,11,false),"")</f>
        <v/>
      </c>
    </row>
    <row r="4437">
      <c r="A4437" s="78" t="s">
        <v>2972</v>
      </c>
      <c r="B4437" s="78" t="s">
        <v>27</v>
      </c>
      <c r="C4437" s="85">
        <v>45209.0</v>
      </c>
      <c r="D4437" s="85">
        <v>45210.0</v>
      </c>
      <c r="E4437" s="86">
        <v>3.39</v>
      </c>
      <c r="F4437" s="87">
        <v>4.68</v>
      </c>
      <c r="G4437" s="88">
        <f t="shared" si="1"/>
        <v>1.29</v>
      </c>
      <c r="H4437" s="89">
        <f t="shared" si="10"/>
        <v>0.2756410256</v>
      </c>
      <c r="I4437" s="78" t="s">
        <v>5225</v>
      </c>
      <c r="J4437" s="78" t="s">
        <v>69</v>
      </c>
      <c r="K4437" s="58">
        <f t="shared" si="14"/>
        <v>1</v>
      </c>
      <c r="L4437" s="91" t="str">
        <f t="shared" si="8"/>
        <v>Wed</v>
      </c>
      <c r="M4437" s="78" t="str">
        <f>IFERROR(VLOOKUP(A4437, Entries!A:B,2,false),"")</f>
        <v>505 Games</v>
      </c>
      <c r="N4437" s="23" t="str">
        <f>IFERROR(VLOOKUP(A4437, Entries!A:K,11,false),"")</f>
        <v/>
      </c>
    </row>
    <row r="4438">
      <c r="A4438" s="78" t="s">
        <v>5159</v>
      </c>
      <c r="B4438" s="78" t="s">
        <v>27</v>
      </c>
      <c r="C4438" s="85">
        <v>45209.0</v>
      </c>
      <c r="D4438" s="85">
        <v>45210.0</v>
      </c>
      <c r="E4438" s="86">
        <v>32.19</v>
      </c>
      <c r="F4438" s="87">
        <v>37.71</v>
      </c>
      <c r="G4438" s="88">
        <f t="shared" si="1"/>
        <v>5.52</v>
      </c>
      <c r="H4438" s="89">
        <f t="shared" si="10"/>
        <v>0.1463802705</v>
      </c>
      <c r="I4438" s="78" t="s">
        <v>5226</v>
      </c>
      <c r="J4438" s="78" t="s">
        <v>69</v>
      </c>
      <c r="K4438" s="58">
        <f t="shared" si="14"/>
        <v>1</v>
      </c>
      <c r="L4438" s="91" t="str">
        <f t="shared" si="8"/>
        <v>Wed</v>
      </c>
      <c r="M4438" s="78" t="str">
        <f>IFERROR(VLOOKUP(A4438, Entries!A:B,2,false),"")</f>
        <v>IO Interactive</v>
      </c>
      <c r="N4438" s="23" t="str">
        <f>IFERROR(VLOOKUP(A4438, Entries!A:K,11,false),"")</f>
        <v/>
      </c>
    </row>
    <row r="4439">
      <c r="A4439" s="78" t="s">
        <v>5227</v>
      </c>
      <c r="B4439" s="78" t="s">
        <v>35</v>
      </c>
      <c r="C4439" s="85">
        <v>45209.0</v>
      </c>
      <c r="D4439" s="85">
        <v>45252.0</v>
      </c>
      <c r="E4439" s="86">
        <v>17.44</v>
      </c>
      <c r="F4439" s="87">
        <v>18.78</v>
      </c>
      <c r="G4439" s="88">
        <f t="shared" si="1"/>
        <v>1.34</v>
      </c>
      <c r="H4439" s="89">
        <f t="shared" si="10"/>
        <v>0.07135250266</v>
      </c>
      <c r="I4439" s="78" t="s">
        <v>5228</v>
      </c>
      <c r="J4439" s="78" t="s">
        <v>69</v>
      </c>
      <c r="K4439" s="58">
        <f t="shared" si="14"/>
        <v>43</v>
      </c>
      <c r="L4439" s="91" t="str">
        <f t="shared" si="8"/>
        <v>Wed</v>
      </c>
      <c r="M4439" s="78" t="str">
        <f>IFERROR(VLOOKUP(A4439, Entries!A:B,2,false),"")</f>
        <v>Mechanistry</v>
      </c>
      <c r="N4439" s="23" t="str">
        <f>IFERROR(VLOOKUP(A4439, Entries!A:K,11,false),"")</f>
        <v/>
      </c>
    </row>
    <row r="4440">
      <c r="A4440" s="78" t="s">
        <v>4074</v>
      </c>
      <c r="B4440" s="78" t="s">
        <v>27</v>
      </c>
      <c r="C4440" s="85">
        <v>45210.0</v>
      </c>
      <c r="D4440" s="25"/>
      <c r="E4440" s="86">
        <v>18.39</v>
      </c>
      <c r="F4440" s="88"/>
      <c r="G4440" s="88">
        <f t="shared" si="1"/>
        <v>-18.39</v>
      </c>
      <c r="H4440" s="89" t="str">
        <f t="shared" si="10"/>
        <v/>
      </c>
      <c r="I4440" s="78" t="s">
        <v>5229</v>
      </c>
      <c r="J4440" s="78" t="s">
        <v>1129</v>
      </c>
      <c r="K4440" s="58" t="str">
        <f t="shared" si="14"/>
        <v/>
      </c>
      <c r="L4440" s="91" t="str">
        <f t="shared" si="8"/>
        <v/>
      </c>
      <c r="M4440" s="78" t="str">
        <f>IFERROR(VLOOKUP(A4440, Entries!A:B,2,false),"")</f>
        <v>Bungie</v>
      </c>
      <c r="N4440" s="23" t="str">
        <f>IFERROR(VLOOKUP(A4440, Entries!A:K,11,false),"")</f>
        <v/>
      </c>
    </row>
    <row r="4441">
      <c r="A4441" s="78" t="s">
        <v>5230</v>
      </c>
      <c r="B4441" s="78" t="s">
        <v>21</v>
      </c>
      <c r="C4441" s="85">
        <v>45210.0</v>
      </c>
      <c r="D4441" s="85">
        <v>45238.0</v>
      </c>
      <c r="E4441" s="86">
        <v>19.74</v>
      </c>
      <c r="F4441" s="87">
        <v>25.69</v>
      </c>
      <c r="G4441" s="88">
        <f t="shared" si="1"/>
        <v>5.95</v>
      </c>
      <c r="H4441" s="89">
        <f t="shared" si="10"/>
        <v>0.2316076294</v>
      </c>
      <c r="I4441" s="78" t="s">
        <v>5231</v>
      </c>
      <c r="J4441" s="78" t="s">
        <v>69</v>
      </c>
      <c r="K4441" s="58">
        <f t="shared" si="14"/>
        <v>28</v>
      </c>
      <c r="L4441" s="91" t="str">
        <f t="shared" si="8"/>
        <v>Wed</v>
      </c>
      <c r="M4441" s="78" t="str">
        <f>IFERROR(VLOOKUP(A4441, Entries!A:B,2,false),"")</f>
        <v/>
      </c>
      <c r="N4441" s="23" t="str">
        <f>IFERROR(VLOOKUP(A4441, Entries!A:K,11,false),"")</f>
        <v/>
      </c>
    </row>
    <row r="4442">
      <c r="A4442" s="78" t="s">
        <v>4226</v>
      </c>
      <c r="B4442" s="78" t="s">
        <v>27</v>
      </c>
      <c r="C4442" s="85">
        <v>45210.0</v>
      </c>
      <c r="D4442" s="85">
        <v>45217.0</v>
      </c>
      <c r="E4442" s="86">
        <v>17.39</v>
      </c>
      <c r="F4442" s="87">
        <v>27.84</v>
      </c>
      <c r="G4442" s="88">
        <f t="shared" si="1"/>
        <v>10.45</v>
      </c>
      <c r="H4442" s="89">
        <f t="shared" si="10"/>
        <v>0.3753591954</v>
      </c>
      <c r="I4442" s="78" t="s">
        <v>5232</v>
      </c>
      <c r="J4442" s="78" t="s">
        <v>69</v>
      </c>
      <c r="K4442" s="58">
        <f t="shared" si="14"/>
        <v>7</v>
      </c>
      <c r="L4442" s="91" t="str">
        <f t="shared" si="8"/>
        <v>Wed</v>
      </c>
      <c r="M4442" s="78" t="str">
        <f>IFERROR(VLOOKUP(A4442, Entries!A:B,2,false),"")</f>
        <v>BANDAI NAMCO</v>
      </c>
      <c r="N4442" s="23" t="str">
        <f>IFERROR(VLOOKUP(A4442, Entries!A:K,11,false),"")</f>
        <v/>
      </c>
    </row>
    <row r="4443">
      <c r="A4443" s="78" t="s">
        <v>5233</v>
      </c>
      <c r="B4443" s="78" t="s">
        <v>27</v>
      </c>
      <c r="C4443" s="85">
        <v>45210.0</v>
      </c>
      <c r="D4443" s="85">
        <v>45211.0</v>
      </c>
      <c r="E4443" s="86">
        <v>17.99</v>
      </c>
      <c r="F4443" s="87">
        <v>19.58</v>
      </c>
      <c r="G4443" s="88">
        <f t="shared" si="1"/>
        <v>1.59</v>
      </c>
      <c r="H4443" s="89">
        <f t="shared" si="10"/>
        <v>0.08120531154</v>
      </c>
      <c r="I4443" s="78" t="s">
        <v>5234</v>
      </c>
      <c r="J4443" s="78" t="s">
        <v>69</v>
      </c>
      <c r="K4443" s="58">
        <f t="shared" si="14"/>
        <v>1</v>
      </c>
      <c r="L4443" s="91" t="str">
        <f t="shared" si="8"/>
        <v>Thu</v>
      </c>
      <c r="M4443" s="78" t="str">
        <f>IFERROR(VLOOKUP(A4443, Entries!A:B,2,false),"")</f>
        <v/>
      </c>
      <c r="N4443" s="23" t="str">
        <f>IFERROR(VLOOKUP(A4443, Entries!A:K,11,false),"")</f>
        <v/>
      </c>
    </row>
    <row r="4444">
      <c r="A4444" s="78" t="s">
        <v>4814</v>
      </c>
      <c r="B4444" s="78" t="s">
        <v>27</v>
      </c>
      <c r="C4444" s="85">
        <v>45210.0</v>
      </c>
      <c r="D4444" s="85">
        <v>45211.0</v>
      </c>
      <c r="E4444" s="86">
        <v>20.29</v>
      </c>
      <c r="F4444" s="87">
        <v>23.84</v>
      </c>
      <c r="G4444" s="88">
        <f t="shared" si="1"/>
        <v>3.55</v>
      </c>
      <c r="H4444" s="89">
        <f t="shared" si="10"/>
        <v>0.148909396</v>
      </c>
      <c r="I4444" s="78" t="s">
        <v>5235</v>
      </c>
      <c r="J4444" s="78" t="s">
        <v>69</v>
      </c>
      <c r="K4444" s="58">
        <f t="shared" si="14"/>
        <v>1</v>
      </c>
      <c r="L4444" s="91" t="str">
        <f t="shared" si="8"/>
        <v>Thu</v>
      </c>
      <c r="M4444" s="78" t="str">
        <f>IFERROR(VLOOKUP(A4444, Entries!A:B,2,false),"")</f>
        <v>PlayStation</v>
      </c>
      <c r="N4444" s="23" t="str">
        <f>IFERROR(VLOOKUP(A4444, Entries!A:K,11,false),"")</f>
        <v/>
      </c>
    </row>
    <row r="4445">
      <c r="A4445" s="78" t="s">
        <v>4188</v>
      </c>
      <c r="B4445" s="78" t="s">
        <v>21</v>
      </c>
      <c r="C4445" s="85">
        <v>45210.0</v>
      </c>
      <c r="D4445" s="85">
        <v>45212.0</v>
      </c>
      <c r="E4445" s="86">
        <v>17.1</v>
      </c>
      <c r="F4445" s="87">
        <v>20.98</v>
      </c>
      <c r="G4445" s="88">
        <f t="shared" si="1"/>
        <v>3.88</v>
      </c>
      <c r="H4445" s="89">
        <f t="shared" si="10"/>
        <v>0.1849380362</v>
      </c>
      <c r="I4445" s="78" t="s">
        <v>5236</v>
      </c>
      <c r="J4445" s="78" t="s">
        <v>69</v>
      </c>
      <c r="K4445" s="58">
        <f t="shared" si="14"/>
        <v>2</v>
      </c>
      <c r="L4445" s="91" t="str">
        <f t="shared" si="8"/>
        <v>Fri</v>
      </c>
      <c r="M4445" s="78" t="str">
        <f>IFERROR(VLOOKUP(A4445, Entries!A:B,2,false),"")</f>
        <v>PlayStation</v>
      </c>
      <c r="N4445" s="23" t="str">
        <f>IFERROR(VLOOKUP(A4445, Entries!A:K,11,false),"")</f>
        <v/>
      </c>
    </row>
    <row r="4446">
      <c r="A4446" s="78" t="s">
        <v>4188</v>
      </c>
      <c r="B4446" s="78" t="s">
        <v>21</v>
      </c>
      <c r="C4446" s="85">
        <v>45210.0</v>
      </c>
      <c r="D4446" s="85">
        <v>45213.0</v>
      </c>
      <c r="E4446" s="86">
        <v>17.1</v>
      </c>
      <c r="F4446" s="87">
        <v>20.92</v>
      </c>
      <c r="G4446" s="88">
        <f t="shared" si="1"/>
        <v>3.82</v>
      </c>
      <c r="H4446" s="89">
        <f t="shared" si="10"/>
        <v>0.1826003824</v>
      </c>
      <c r="I4446" s="78" t="s">
        <v>5237</v>
      </c>
      <c r="J4446" s="78" t="s">
        <v>69</v>
      </c>
      <c r="K4446" s="58">
        <f t="shared" si="14"/>
        <v>3</v>
      </c>
      <c r="L4446" s="91" t="str">
        <f t="shared" si="8"/>
        <v>Sat</v>
      </c>
      <c r="M4446" s="78" t="str">
        <f>IFERROR(VLOOKUP(A4446, Entries!A:B,2,false),"")</f>
        <v>PlayStation</v>
      </c>
      <c r="N4446" s="23" t="str">
        <f>IFERROR(VLOOKUP(A4446, Entries!A:K,11,false),"")</f>
        <v/>
      </c>
    </row>
    <row r="4447">
      <c r="A4447" s="78" t="s">
        <v>4188</v>
      </c>
      <c r="B4447" s="78" t="s">
        <v>21</v>
      </c>
      <c r="C4447" s="85">
        <v>45210.0</v>
      </c>
      <c r="D4447" s="85">
        <v>45213.0</v>
      </c>
      <c r="E4447" s="86">
        <v>17.1</v>
      </c>
      <c r="F4447" s="87">
        <v>21.24</v>
      </c>
      <c r="G4447" s="88">
        <f t="shared" si="1"/>
        <v>4.14</v>
      </c>
      <c r="H4447" s="89">
        <f t="shared" si="10"/>
        <v>0.1949152542</v>
      </c>
      <c r="I4447" s="78" t="s">
        <v>5238</v>
      </c>
      <c r="J4447" s="78" t="s">
        <v>69</v>
      </c>
      <c r="K4447" s="58">
        <f t="shared" si="14"/>
        <v>3</v>
      </c>
      <c r="L4447" s="91" t="str">
        <f t="shared" si="8"/>
        <v>Sat</v>
      </c>
      <c r="M4447" s="78" t="str">
        <f>IFERROR(VLOOKUP(A4447, Entries!A:B,2,false),"")</f>
        <v>PlayStation</v>
      </c>
      <c r="N4447" s="23" t="str">
        <f>IFERROR(VLOOKUP(A4447, Entries!A:K,11,false),"")</f>
        <v/>
      </c>
    </row>
    <row r="4448">
      <c r="A4448" s="78" t="s">
        <v>5223</v>
      </c>
      <c r="B4448" s="78" t="s">
        <v>25</v>
      </c>
      <c r="C4448" s="85">
        <v>45210.0</v>
      </c>
      <c r="D4448" s="85">
        <v>45212.0</v>
      </c>
      <c r="E4448" s="86">
        <v>1.73</v>
      </c>
      <c r="F4448" s="87">
        <v>2.37</v>
      </c>
      <c r="G4448" s="88">
        <f t="shared" si="1"/>
        <v>0.64</v>
      </c>
      <c r="H4448" s="89">
        <f t="shared" si="10"/>
        <v>0.2700421941</v>
      </c>
      <c r="I4448" s="78" t="s">
        <v>5239</v>
      </c>
      <c r="J4448" s="78" t="s">
        <v>69</v>
      </c>
      <c r="K4448" s="58">
        <f t="shared" si="14"/>
        <v>2</v>
      </c>
      <c r="L4448" s="91" t="str">
        <f t="shared" si="8"/>
        <v>Fri</v>
      </c>
      <c r="M4448" s="78" t="str">
        <f>IFERROR(VLOOKUP(A4448, Entries!A:B,2,false),"")</f>
        <v>PQube Limited</v>
      </c>
      <c r="N4448" s="23" t="str">
        <f>IFERROR(VLOOKUP(A4448, Entries!A:K,11,false),"")</f>
        <v/>
      </c>
    </row>
    <row r="4449">
      <c r="A4449" s="78" t="s">
        <v>2972</v>
      </c>
      <c r="B4449" s="78" t="s">
        <v>27</v>
      </c>
      <c r="C4449" s="85">
        <v>45210.0</v>
      </c>
      <c r="D4449" s="85">
        <v>45211.0</v>
      </c>
      <c r="E4449" s="86">
        <v>3.49</v>
      </c>
      <c r="F4449" s="87">
        <v>4.68</v>
      </c>
      <c r="G4449" s="88">
        <f t="shared" si="1"/>
        <v>1.19</v>
      </c>
      <c r="H4449" s="89">
        <f t="shared" si="10"/>
        <v>0.2542735043</v>
      </c>
      <c r="I4449" s="78" t="s">
        <v>5240</v>
      </c>
      <c r="J4449" s="78" t="s">
        <v>69</v>
      </c>
      <c r="K4449" s="58">
        <f t="shared" si="14"/>
        <v>1</v>
      </c>
      <c r="L4449" s="91" t="str">
        <f t="shared" si="8"/>
        <v>Thu</v>
      </c>
      <c r="M4449" s="78" t="str">
        <f>IFERROR(VLOOKUP(A4449, Entries!A:B,2,false),"")</f>
        <v>505 Games</v>
      </c>
      <c r="N4449" s="23" t="str">
        <f>IFERROR(VLOOKUP(A4449, Entries!A:K,11,false),"")</f>
        <v/>
      </c>
    </row>
    <row r="4450">
      <c r="A4450" s="78" t="s">
        <v>5067</v>
      </c>
      <c r="B4450" s="78" t="s">
        <v>25</v>
      </c>
      <c r="C4450" s="85">
        <v>45210.0</v>
      </c>
      <c r="D4450" s="25"/>
      <c r="E4450" s="86">
        <v>14.57</v>
      </c>
      <c r="F4450" s="88"/>
      <c r="G4450" s="88">
        <f t="shared" si="1"/>
        <v>-14.57</v>
      </c>
      <c r="H4450" s="89" t="str">
        <f t="shared" si="10"/>
        <v/>
      </c>
      <c r="I4450" s="103" t="s">
        <v>5241</v>
      </c>
      <c r="J4450" s="78" t="s">
        <v>1129</v>
      </c>
      <c r="K4450" s="58" t="str">
        <f t="shared" si="14"/>
        <v/>
      </c>
      <c r="L4450" s="91" t="str">
        <f t="shared" si="8"/>
        <v/>
      </c>
      <c r="M4450" s="78" t="str">
        <f>IFERROR(VLOOKUP(A4450, Entries!A:B,2,false),"")</f>
        <v>Humble Games</v>
      </c>
      <c r="N4450" s="23" t="str">
        <f>IFERROR(VLOOKUP(A4450, Entries!A:K,11,false),"")</f>
        <v/>
      </c>
    </row>
    <row r="4451">
      <c r="A4451" s="78" t="s">
        <v>4928</v>
      </c>
      <c r="B4451" s="78" t="s">
        <v>19</v>
      </c>
      <c r="C4451" s="85">
        <v>45210.0</v>
      </c>
      <c r="D4451" s="85">
        <v>45224.0</v>
      </c>
      <c r="E4451" s="86">
        <v>31.08</v>
      </c>
      <c r="F4451" s="87">
        <v>39.19</v>
      </c>
      <c r="G4451" s="88">
        <f t="shared" si="1"/>
        <v>8.11</v>
      </c>
      <c r="H4451" s="89">
        <f t="shared" si="10"/>
        <v>0.2069405461</v>
      </c>
      <c r="I4451" s="78" t="s">
        <v>5242</v>
      </c>
      <c r="J4451" s="78" t="s">
        <v>69</v>
      </c>
      <c r="K4451" s="58">
        <f t="shared" si="14"/>
        <v>14</v>
      </c>
      <c r="L4451" s="91" t="str">
        <f t="shared" si="8"/>
        <v>Wed</v>
      </c>
      <c r="M4451" s="78" t="str">
        <f>IFERROR(VLOOKUP(A4451, Entries!A:B,2,false),"")</f>
        <v>Eleventh Hour Games</v>
      </c>
      <c r="N4451" s="23" t="str">
        <f>IFERROR(VLOOKUP(A4451, Entries!A:K,11,false),"")</f>
        <v/>
      </c>
    </row>
    <row r="4452">
      <c r="A4452" s="78" t="s">
        <v>5159</v>
      </c>
      <c r="B4452" s="78" t="s">
        <v>27</v>
      </c>
      <c r="C4452" s="85">
        <v>45210.0</v>
      </c>
      <c r="D4452" s="85">
        <v>45211.0</v>
      </c>
      <c r="E4452" s="86">
        <v>32.49</v>
      </c>
      <c r="F4452" s="87">
        <v>37.71</v>
      </c>
      <c r="G4452" s="88">
        <f t="shared" si="1"/>
        <v>5.22</v>
      </c>
      <c r="H4452" s="89">
        <f t="shared" si="10"/>
        <v>0.138424821</v>
      </c>
      <c r="I4452" s="78" t="s">
        <v>5243</v>
      </c>
      <c r="J4452" s="78" t="s">
        <v>69</v>
      </c>
      <c r="K4452" s="58">
        <f t="shared" si="14"/>
        <v>1</v>
      </c>
      <c r="L4452" s="91" t="str">
        <f t="shared" si="8"/>
        <v>Thu</v>
      </c>
      <c r="M4452" s="78" t="str">
        <f>IFERROR(VLOOKUP(A4452, Entries!A:B,2,false),"")</f>
        <v>IO Interactive</v>
      </c>
      <c r="N4452" s="23" t="str">
        <f>IFERROR(VLOOKUP(A4452, Entries!A:K,11,false),"")</f>
        <v/>
      </c>
    </row>
    <row r="4453">
      <c r="A4453" s="78" t="s">
        <v>5159</v>
      </c>
      <c r="B4453" s="78" t="s">
        <v>27</v>
      </c>
      <c r="C4453" s="85">
        <v>45211.0</v>
      </c>
      <c r="D4453" s="85">
        <v>45811.0</v>
      </c>
      <c r="E4453" s="86">
        <v>32.49</v>
      </c>
      <c r="F4453" s="87">
        <v>32.5</v>
      </c>
      <c r="G4453" s="88">
        <f t="shared" si="1"/>
        <v>0.01</v>
      </c>
      <c r="H4453" s="89">
        <f t="shared" si="10"/>
        <v>0.0003076923077</v>
      </c>
      <c r="I4453" s="103" t="s">
        <v>5244</v>
      </c>
      <c r="J4453" s="78" t="s">
        <v>69</v>
      </c>
      <c r="K4453" s="58">
        <f t="shared" si="14"/>
        <v>600</v>
      </c>
      <c r="L4453" s="91" t="str">
        <f t="shared" si="8"/>
        <v>Tue</v>
      </c>
      <c r="M4453" s="78" t="str">
        <f>IFERROR(VLOOKUP(A4453, Entries!A:B,2,false),"")</f>
        <v>IO Interactive</v>
      </c>
      <c r="N4453" s="23" t="str">
        <f>IFERROR(VLOOKUP(A4453, Entries!A:K,11,false),"")</f>
        <v/>
      </c>
    </row>
    <row r="4454">
      <c r="A4454" s="78" t="s">
        <v>2051</v>
      </c>
      <c r="B4454" s="78" t="s">
        <v>27</v>
      </c>
      <c r="C4454" s="85">
        <v>45211.0</v>
      </c>
      <c r="D4454" s="85">
        <v>45212.0</v>
      </c>
      <c r="E4454" s="86">
        <v>6.39</v>
      </c>
      <c r="F4454" s="87">
        <v>8.47</v>
      </c>
      <c r="G4454" s="88">
        <f t="shared" si="1"/>
        <v>2.08</v>
      </c>
      <c r="H4454" s="89">
        <f t="shared" si="10"/>
        <v>0.2455726092</v>
      </c>
      <c r="I4454" s="78" t="s">
        <v>5245</v>
      </c>
      <c r="J4454" s="78" t="s">
        <v>69</v>
      </c>
      <c r="K4454" s="58">
        <f t="shared" si="14"/>
        <v>1</v>
      </c>
      <c r="L4454" s="91" t="str">
        <f t="shared" si="8"/>
        <v>Fri</v>
      </c>
      <c r="M4454" s="78" t="str">
        <f>IFERROR(VLOOKUP(A4454, Entries!A:B,2,false),"")</f>
        <v>Nacon</v>
      </c>
      <c r="N4454" s="23" t="str">
        <f>IFERROR(VLOOKUP(A4454, Entries!A:K,11,false),"")</f>
        <v/>
      </c>
    </row>
    <row r="4455">
      <c r="A4455" s="78" t="s">
        <v>2972</v>
      </c>
      <c r="B4455" s="78" t="s">
        <v>27</v>
      </c>
      <c r="C4455" s="85">
        <v>45211.0</v>
      </c>
      <c r="D4455" s="85">
        <v>45212.0</v>
      </c>
      <c r="E4455" s="86">
        <v>3.49</v>
      </c>
      <c r="F4455" s="87">
        <v>4.66</v>
      </c>
      <c r="G4455" s="88">
        <f t="shared" si="1"/>
        <v>1.17</v>
      </c>
      <c r="H4455" s="89">
        <f t="shared" si="10"/>
        <v>0.2510729614</v>
      </c>
      <c r="I4455" s="78" t="s">
        <v>5246</v>
      </c>
      <c r="J4455" s="78" t="s">
        <v>69</v>
      </c>
      <c r="K4455" s="58">
        <f t="shared" si="14"/>
        <v>1</v>
      </c>
      <c r="L4455" s="91" t="str">
        <f t="shared" si="8"/>
        <v>Fri</v>
      </c>
      <c r="M4455" s="78" t="str">
        <f>IFERROR(VLOOKUP(A4455, Entries!A:B,2,false),"")</f>
        <v>505 Games</v>
      </c>
      <c r="N4455" s="23" t="str">
        <f>IFERROR(VLOOKUP(A4455, Entries!A:K,11,false),"")</f>
        <v/>
      </c>
    </row>
    <row r="4456">
      <c r="A4456" s="78" t="s">
        <v>4814</v>
      </c>
      <c r="B4456" s="78" t="s">
        <v>27</v>
      </c>
      <c r="C4456" s="85">
        <v>45211.0</v>
      </c>
      <c r="D4456" s="85">
        <v>45211.0</v>
      </c>
      <c r="E4456" s="86">
        <v>20.29</v>
      </c>
      <c r="F4456" s="87">
        <v>23.84</v>
      </c>
      <c r="G4456" s="88">
        <f t="shared" si="1"/>
        <v>3.55</v>
      </c>
      <c r="H4456" s="89">
        <f t="shared" si="10"/>
        <v>0.148909396</v>
      </c>
      <c r="I4456" s="78" t="s">
        <v>5247</v>
      </c>
      <c r="J4456" s="78" t="s">
        <v>69</v>
      </c>
      <c r="K4456" s="58">
        <f t="shared" si="14"/>
        <v>0</v>
      </c>
      <c r="L4456" s="91" t="str">
        <f t="shared" si="8"/>
        <v>Thu</v>
      </c>
      <c r="M4456" s="78" t="str">
        <f>IFERROR(VLOOKUP(A4456, Entries!A:B,2,false),"")</f>
        <v>PlayStation</v>
      </c>
      <c r="N4456" s="23" t="str">
        <f>IFERROR(VLOOKUP(A4456, Entries!A:K,11,false),"")</f>
        <v/>
      </c>
    </row>
    <row r="4457">
      <c r="A4457" s="78" t="s">
        <v>4814</v>
      </c>
      <c r="B4457" s="78" t="s">
        <v>27</v>
      </c>
      <c r="C4457" s="85">
        <v>45211.0</v>
      </c>
      <c r="D4457" s="85">
        <v>45211.0</v>
      </c>
      <c r="E4457" s="86">
        <v>20.29</v>
      </c>
      <c r="F4457" s="87">
        <v>23.84</v>
      </c>
      <c r="G4457" s="88">
        <f t="shared" si="1"/>
        <v>3.55</v>
      </c>
      <c r="H4457" s="89">
        <f t="shared" si="10"/>
        <v>0.148909396</v>
      </c>
      <c r="I4457" s="78" t="s">
        <v>5248</v>
      </c>
      <c r="J4457" s="78" t="s">
        <v>69</v>
      </c>
      <c r="K4457" s="58">
        <f t="shared" si="14"/>
        <v>0</v>
      </c>
      <c r="L4457" s="91" t="str">
        <f t="shared" si="8"/>
        <v>Thu</v>
      </c>
      <c r="M4457" s="78" t="str">
        <f>IFERROR(VLOOKUP(A4457, Entries!A:B,2,false),"")</f>
        <v>PlayStation</v>
      </c>
      <c r="N4457" s="23" t="str">
        <f>IFERROR(VLOOKUP(A4457, Entries!A:K,11,false),"")</f>
        <v/>
      </c>
    </row>
    <row r="4458">
      <c r="A4458" s="78" t="s">
        <v>4814</v>
      </c>
      <c r="B4458" s="78" t="s">
        <v>27</v>
      </c>
      <c r="C4458" s="85">
        <v>45211.0</v>
      </c>
      <c r="D4458" s="85">
        <v>45212.0</v>
      </c>
      <c r="E4458" s="86">
        <v>20.29</v>
      </c>
      <c r="F4458" s="87">
        <v>23.84</v>
      </c>
      <c r="G4458" s="88">
        <f t="shared" si="1"/>
        <v>3.55</v>
      </c>
      <c r="H4458" s="89">
        <f t="shared" si="10"/>
        <v>0.148909396</v>
      </c>
      <c r="I4458" s="78" t="s">
        <v>5249</v>
      </c>
      <c r="J4458" s="78" t="s">
        <v>69</v>
      </c>
      <c r="K4458" s="58">
        <f t="shared" si="14"/>
        <v>1</v>
      </c>
      <c r="L4458" s="91" t="str">
        <f t="shared" si="8"/>
        <v>Fri</v>
      </c>
      <c r="M4458" s="78" t="str">
        <f>IFERROR(VLOOKUP(A4458, Entries!A:B,2,false),"")</f>
        <v>PlayStation</v>
      </c>
      <c r="N4458" s="23" t="str">
        <f>IFERROR(VLOOKUP(A4458, Entries!A:K,11,false),"")</f>
        <v/>
      </c>
    </row>
    <row r="4459">
      <c r="A4459" s="78" t="s">
        <v>5211</v>
      </c>
      <c r="B4459" s="78" t="s">
        <v>27</v>
      </c>
      <c r="C4459" s="85">
        <v>45211.0</v>
      </c>
      <c r="D4459" s="85">
        <v>45214.0</v>
      </c>
      <c r="E4459" s="86">
        <v>17.19</v>
      </c>
      <c r="F4459" s="87">
        <v>20.99</v>
      </c>
      <c r="G4459" s="88">
        <f t="shared" si="1"/>
        <v>3.8</v>
      </c>
      <c r="H4459" s="89">
        <f t="shared" si="10"/>
        <v>0.1810385898</v>
      </c>
      <c r="I4459" s="78" t="s">
        <v>5250</v>
      </c>
      <c r="J4459" s="78" t="s">
        <v>69</v>
      </c>
      <c r="K4459" s="58">
        <f t="shared" si="14"/>
        <v>3</v>
      </c>
      <c r="L4459" s="91" t="str">
        <f t="shared" si="8"/>
        <v>Sun</v>
      </c>
      <c r="M4459" s="78" t="str">
        <f>IFERROR(VLOOKUP(A4459, Entries!A:B,2,false),"")</f>
        <v>IO Interactive</v>
      </c>
      <c r="N4459" s="23" t="str">
        <f>IFERROR(VLOOKUP(A4459, Entries!A:K,11,false),"")</f>
        <v/>
      </c>
    </row>
    <row r="4460">
      <c r="A4460" s="78" t="s">
        <v>2972</v>
      </c>
      <c r="B4460" s="78" t="s">
        <v>27</v>
      </c>
      <c r="C4460" s="85">
        <v>45212.0</v>
      </c>
      <c r="D4460" s="85">
        <v>45213.0</v>
      </c>
      <c r="E4460" s="86">
        <v>3.49</v>
      </c>
      <c r="F4460" s="87">
        <v>4.66</v>
      </c>
      <c r="G4460" s="88">
        <f t="shared" si="1"/>
        <v>1.17</v>
      </c>
      <c r="H4460" s="89">
        <f t="shared" si="10"/>
        <v>0.2510729614</v>
      </c>
      <c r="I4460" s="78" t="s">
        <v>5251</v>
      </c>
      <c r="J4460" s="78" t="s">
        <v>69</v>
      </c>
      <c r="K4460" s="58">
        <f t="shared" si="14"/>
        <v>1</v>
      </c>
      <c r="L4460" s="91" t="str">
        <f t="shared" si="8"/>
        <v>Sat</v>
      </c>
      <c r="M4460" s="78" t="str">
        <f>IFERROR(VLOOKUP(A4460, Entries!A:B,2,false),"")</f>
        <v>505 Games</v>
      </c>
      <c r="N4460" s="23" t="str">
        <f>IFERROR(VLOOKUP(A4460, Entries!A:K,11,false),"")</f>
        <v/>
      </c>
    </row>
    <row r="4461">
      <c r="A4461" s="78" t="s">
        <v>2051</v>
      </c>
      <c r="B4461" s="78" t="s">
        <v>27</v>
      </c>
      <c r="C4461" s="85">
        <v>45212.0</v>
      </c>
      <c r="D4461" s="85">
        <v>45212.0</v>
      </c>
      <c r="E4461" s="86">
        <v>6.39</v>
      </c>
      <c r="F4461" s="87">
        <v>8.47</v>
      </c>
      <c r="G4461" s="88">
        <f t="shared" si="1"/>
        <v>2.08</v>
      </c>
      <c r="H4461" s="89">
        <f t="shared" si="10"/>
        <v>0.2455726092</v>
      </c>
      <c r="I4461" s="78" t="s">
        <v>5252</v>
      </c>
      <c r="J4461" s="78" t="s">
        <v>69</v>
      </c>
      <c r="K4461" s="58">
        <f t="shared" si="14"/>
        <v>0</v>
      </c>
      <c r="L4461" s="91" t="str">
        <f t="shared" si="8"/>
        <v>Fri</v>
      </c>
      <c r="M4461" s="78" t="str">
        <f>IFERROR(VLOOKUP(A4461, Entries!A:B,2,false),"")</f>
        <v>Nacon</v>
      </c>
      <c r="N4461" s="23" t="str">
        <f>IFERROR(VLOOKUP(A4461, Entries!A:K,11,false),"")</f>
        <v/>
      </c>
    </row>
    <row r="4462">
      <c r="A4462" s="78" t="s">
        <v>2051</v>
      </c>
      <c r="B4462" s="78" t="s">
        <v>27</v>
      </c>
      <c r="C4462" s="85">
        <v>45212.0</v>
      </c>
      <c r="D4462" s="85">
        <v>45212.0</v>
      </c>
      <c r="E4462" s="86">
        <v>6.39</v>
      </c>
      <c r="F4462" s="87">
        <v>8.47</v>
      </c>
      <c r="G4462" s="88">
        <f t="shared" si="1"/>
        <v>2.08</v>
      </c>
      <c r="H4462" s="89">
        <f t="shared" si="10"/>
        <v>0.2455726092</v>
      </c>
      <c r="I4462" s="78" t="s">
        <v>5253</v>
      </c>
      <c r="J4462" s="78" t="s">
        <v>69</v>
      </c>
      <c r="K4462" s="58">
        <f t="shared" si="14"/>
        <v>0</v>
      </c>
      <c r="L4462" s="91" t="str">
        <f t="shared" si="8"/>
        <v>Fri</v>
      </c>
      <c r="M4462" s="78" t="str">
        <f>IFERROR(VLOOKUP(A4462, Entries!A:B,2,false),"")</f>
        <v>Nacon</v>
      </c>
      <c r="N4462" s="23" t="str">
        <f>IFERROR(VLOOKUP(A4462, Entries!A:K,11,false),"")</f>
        <v/>
      </c>
    </row>
    <row r="4463">
      <c r="A4463" s="78" t="s">
        <v>2051</v>
      </c>
      <c r="B4463" s="78" t="s">
        <v>27</v>
      </c>
      <c r="C4463" s="85">
        <v>45212.0</v>
      </c>
      <c r="D4463" s="85">
        <v>45787.0</v>
      </c>
      <c r="E4463" s="86">
        <v>6.39</v>
      </c>
      <c r="F4463" s="87">
        <v>3.54</v>
      </c>
      <c r="G4463" s="88">
        <f t="shared" si="1"/>
        <v>-2.85</v>
      </c>
      <c r="H4463" s="89">
        <f t="shared" si="10"/>
        <v>-0.8050847458</v>
      </c>
      <c r="I4463" s="103" t="s">
        <v>561</v>
      </c>
      <c r="J4463" s="78" t="s">
        <v>69</v>
      </c>
      <c r="K4463" s="58">
        <f t="shared" si="14"/>
        <v>575</v>
      </c>
      <c r="L4463" s="91" t="str">
        <f t="shared" si="8"/>
        <v>Sat</v>
      </c>
      <c r="M4463" s="78" t="str">
        <f>IFERROR(VLOOKUP(A4463, Entries!A:B,2,false),"")</f>
        <v>Nacon</v>
      </c>
      <c r="N4463" s="23" t="str">
        <f>IFERROR(VLOOKUP(A4463, Entries!A:K,11,false),"")</f>
        <v/>
      </c>
    </row>
    <row r="4464">
      <c r="A4464" s="94" t="s">
        <v>5223</v>
      </c>
      <c r="B4464" s="78" t="s">
        <v>25</v>
      </c>
      <c r="C4464" s="85">
        <v>45212.0</v>
      </c>
      <c r="D4464" s="85">
        <v>45584.0</v>
      </c>
      <c r="E4464" s="86">
        <v>1.73</v>
      </c>
      <c r="F4464" s="87">
        <v>1.88</v>
      </c>
      <c r="G4464" s="88">
        <f t="shared" si="1"/>
        <v>0.15</v>
      </c>
      <c r="H4464" s="89">
        <f t="shared" si="10"/>
        <v>0.07978723404</v>
      </c>
      <c r="I4464" s="78" t="s">
        <v>5254</v>
      </c>
      <c r="J4464" s="78" t="s">
        <v>69</v>
      </c>
      <c r="K4464" s="58">
        <f t="shared" si="14"/>
        <v>372</v>
      </c>
      <c r="L4464" s="91" t="str">
        <f t="shared" si="8"/>
        <v>Sat</v>
      </c>
      <c r="M4464" s="78" t="str">
        <f>IFERROR(VLOOKUP(A4464, Entries!A:B,2,false),"")</f>
        <v>PQube Limited</v>
      </c>
      <c r="N4464" s="23" t="str">
        <f>IFERROR(VLOOKUP(A4464, Entries!A:K,11,false),"")</f>
        <v/>
      </c>
    </row>
    <row r="4465">
      <c r="A4465" s="78" t="s">
        <v>4814</v>
      </c>
      <c r="B4465" s="78" t="s">
        <v>27</v>
      </c>
      <c r="C4465" s="85">
        <v>45212.0</v>
      </c>
      <c r="D4465" s="85">
        <v>45212.0</v>
      </c>
      <c r="E4465" s="86">
        <v>20.29</v>
      </c>
      <c r="F4465" s="87">
        <v>23.84</v>
      </c>
      <c r="G4465" s="88">
        <f t="shared" si="1"/>
        <v>3.55</v>
      </c>
      <c r="H4465" s="89">
        <f t="shared" si="10"/>
        <v>0.148909396</v>
      </c>
      <c r="I4465" s="78" t="s">
        <v>5255</v>
      </c>
      <c r="J4465" s="78" t="s">
        <v>69</v>
      </c>
      <c r="K4465" s="58">
        <f t="shared" si="14"/>
        <v>0</v>
      </c>
      <c r="L4465" s="91" t="str">
        <f t="shared" si="8"/>
        <v>Fri</v>
      </c>
      <c r="M4465" s="78" t="str">
        <f>IFERROR(VLOOKUP(A4465, Entries!A:B,2,false),"")</f>
        <v>PlayStation</v>
      </c>
      <c r="N4465" s="23" t="str">
        <f>IFERROR(VLOOKUP(A4465, Entries!A:K,11,false),"")</f>
        <v/>
      </c>
    </row>
    <row r="4466">
      <c r="A4466" s="78" t="s">
        <v>84</v>
      </c>
      <c r="B4466" s="78" t="s">
        <v>25</v>
      </c>
      <c r="C4466" s="85">
        <v>45212.0</v>
      </c>
      <c r="D4466" s="85">
        <v>45220.0</v>
      </c>
      <c r="E4466" s="86">
        <v>19.97</v>
      </c>
      <c r="F4466" s="87">
        <v>38.05</v>
      </c>
      <c r="G4466" s="88">
        <f t="shared" si="1"/>
        <v>18.08</v>
      </c>
      <c r="H4466" s="89">
        <f t="shared" si="10"/>
        <v>0.4751642576</v>
      </c>
      <c r="I4466" s="78" t="s">
        <v>5256</v>
      </c>
      <c r="J4466" s="78" t="s">
        <v>69</v>
      </c>
      <c r="K4466" s="58">
        <f t="shared" si="14"/>
        <v>8</v>
      </c>
      <c r="L4466" s="91" t="str">
        <f t="shared" si="8"/>
        <v>Sat</v>
      </c>
      <c r="M4466" s="78" t="str">
        <f>IFERROR(VLOOKUP(A4466, Entries!A:B,2,false),"")</f>
        <v>Siege Camp</v>
      </c>
      <c r="N4466" s="23" t="str">
        <f>IFERROR(VLOOKUP(A4466, Entries!A:K,11,false),"")</f>
        <v/>
      </c>
    </row>
    <row r="4467">
      <c r="A4467" s="78" t="s">
        <v>4718</v>
      </c>
      <c r="B4467" s="78" t="s">
        <v>27</v>
      </c>
      <c r="C4467" s="85">
        <v>45212.0</v>
      </c>
      <c r="D4467" s="85">
        <v>45215.0</v>
      </c>
      <c r="E4467" s="86">
        <v>26.69</v>
      </c>
      <c r="F4467" s="87">
        <v>35.89</v>
      </c>
      <c r="G4467" s="88">
        <f t="shared" si="1"/>
        <v>9.2</v>
      </c>
      <c r="H4467" s="89">
        <f t="shared" si="10"/>
        <v>0.256338813</v>
      </c>
      <c r="I4467" s="78" t="s">
        <v>5257</v>
      </c>
      <c r="J4467" s="78" t="s">
        <v>69</v>
      </c>
      <c r="K4467" s="58">
        <f t="shared" si="14"/>
        <v>3</v>
      </c>
      <c r="L4467" s="91" t="str">
        <f t="shared" si="8"/>
        <v>Mon</v>
      </c>
      <c r="M4467" s="78" t="str">
        <f>IFERROR(VLOOKUP(A4467, Entries!A:B,2,false),"")</f>
        <v>SEGA</v>
      </c>
      <c r="N4467" s="23" t="str">
        <f>IFERROR(VLOOKUP(A4467, Entries!A:K,11,false),"")</f>
        <v/>
      </c>
    </row>
    <row r="4468">
      <c r="A4468" s="78" t="s">
        <v>4814</v>
      </c>
      <c r="B4468" s="78" t="s">
        <v>27</v>
      </c>
      <c r="C4468" s="85">
        <v>45213.0</v>
      </c>
      <c r="D4468" s="85">
        <v>45213.0</v>
      </c>
      <c r="E4468" s="86">
        <v>20.29</v>
      </c>
      <c r="F4468" s="87">
        <v>23.84</v>
      </c>
      <c r="G4468" s="88">
        <f t="shared" si="1"/>
        <v>3.55</v>
      </c>
      <c r="H4468" s="89">
        <f t="shared" si="10"/>
        <v>0.148909396</v>
      </c>
      <c r="I4468" s="78" t="s">
        <v>5258</v>
      </c>
      <c r="J4468" s="78" t="s">
        <v>69</v>
      </c>
      <c r="K4468" s="58">
        <f t="shared" si="14"/>
        <v>0</v>
      </c>
      <c r="L4468" s="91" t="str">
        <f t="shared" si="8"/>
        <v>Sat</v>
      </c>
      <c r="M4468" s="78" t="str">
        <f>IFERROR(VLOOKUP(A4468, Entries!A:B,2,false),"")</f>
        <v>PlayStation</v>
      </c>
      <c r="N4468" s="23" t="str">
        <f>IFERROR(VLOOKUP(A4468, Entries!A:K,11,false),"")</f>
        <v/>
      </c>
    </row>
    <row r="4469">
      <c r="A4469" s="78" t="s">
        <v>3771</v>
      </c>
      <c r="B4469" s="78" t="s">
        <v>27</v>
      </c>
      <c r="C4469" s="85">
        <v>45213.0</v>
      </c>
      <c r="D4469" s="85">
        <v>45245.0</v>
      </c>
      <c r="E4469" s="86">
        <v>9.89</v>
      </c>
      <c r="F4469" s="87">
        <v>11.37</v>
      </c>
      <c r="G4469" s="88">
        <f t="shared" si="1"/>
        <v>1.48</v>
      </c>
      <c r="H4469" s="89">
        <f t="shared" si="10"/>
        <v>0.1301671064</v>
      </c>
      <c r="I4469" s="78" t="s">
        <v>5259</v>
      </c>
      <c r="J4469" s="78" t="s">
        <v>69</v>
      </c>
      <c r="K4469" s="58">
        <f t="shared" si="14"/>
        <v>32</v>
      </c>
      <c r="L4469" s="91" t="str">
        <f t="shared" si="8"/>
        <v>Wed</v>
      </c>
      <c r="M4469" s="78" t="str">
        <f>IFERROR(VLOOKUP(A4469, Entries!A:B,2,false),"")</f>
        <v>Good Shepherd Entertainment</v>
      </c>
      <c r="N4469" s="23" t="str">
        <f>IFERROR(VLOOKUP(A4469, Entries!A:K,11,false),"")</f>
        <v/>
      </c>
    </row>
    <row r="4470">
      <c r="A4470" s="78" t="s">
        <v>2972</v>
      </c>
      <c r="B4470" s="78" t="s">
        <v>27</v>
      </c>
      <c r="C4470" s="85">
        <v>45213.0</v>
      </c>
      <c r="D4470" s="85">
        <v>45220.0</v>
      </c>
      <c r="E4470" s="86">
        <v>3.49</v>
      </c>
      <c r="F4470" s="87">
        <v>4.6</v>
      </c>
      <c r="G4470" s="88">
        <f t="shared" si="1"/>
        <v>1.11</v>
      </c>
      <c r="H4470" s="89">
        <f t="shared" si="10"/>
        <v>0.2413043478</v>
      </c>
      <c r="I4470" s="78" t="s">
        <v>5260</v>
      </c>
      <c r="J4470" s="78" t="s">
        <v>69</v>
      </c>
      <c r="K4470" s="58">
        <f t="shared" si="14"/>
        <v>7</v>
      </c>
      <c r="L4470" s="91" t="str">
        <f t="shared" si="8"/>
        <v>Sat</v>
      </c>
      <c r="M4470" s="78" t="str">
        <f>IFERROR(VLOOKUP(A4470, Entries!A:B,2,false),"")</f>
        <v>505 Games</v>
      </c>
      <c r="N4470" s="23" t="str">
        <f>IFERROR(VLOOKUP(A4470, Entries!A:K,11,false),"")</f>
        <v/>
      </c>
    </row>
    <row r="4471">
      <c r="A4471" s="78" t="s">
        <v>4814</v>
      </c>
      <c r="B4471" s="78" t="s">
        <v>27</v>
      </c>
      <c r="C4471" s="85">
        <v>45213.0</v>
      </c>
      <c r="D4471" s="85">
        <v>45213.0</v>
      </c>
      <c r="E4471" s="86">
        <v>20.29</v>
      </c>
      <c r="F4471" s="87">
        <v>23.85</v>
      </c>
      <c r="G4471" s="88">
        <f t="shared" si="1"/>
        <v>3.56</v>
      </c>
      <c r="H4471" s="89">
        <f t="shared" si="10"/>
        <v>0.1492662474</v>
      </c>
      <c r="I4471" s="78" t="s">
        <v>5261</v>
      </c>
      <c r="J4471" s="78" t="s">
        <v>69</v>
      </c>
      <c r="K4471" s="58">
        <f t="shared" si="14"/>
        <v>0</v>
      </c>
      <c r="L4471" s="91" t="str">
        <f t="shared" si="8"/>
        <v>Sat</v>
      </c>
      <c r="M4471" s="78" t="str">
        <f>IFERROR(VLOOKUP(A4471, Entries!A:B,2,false),"")</f>
        <v>PlayStation</v>
      </c>
      <c r="N4471" s="23" t="str">
        <f>IFERROR(VLOOKUP(A4471, Entries!A:K,11,false),"")</f>
        <v/>
      </c>
    </row>
    <row r="4472">
      <c r="A4472" s="78" t="s">
        <v>3804</v>
      </c>
      <c r="B4472" s="78" t="s">
        <v>25</v>
      </c>
      <c r="C4472" s="85">
        <v>45218.0</v>
      </c>
      <c r="D4472" s="85">
        <v>45220.0</v>
      </c>
      <c r="E4472" s="86">
        <v>5.65</v>
      </c>
      <c r="F4472" s="87">
        <v>10.65</v>
      </c>
      <c r="G4472" s="88">
        <f t="shared" si="1"/>
        <v>5</v>
      </c>
      <c r="H4472" s="89">
        <f t="shared" si="10"/>
        <v>0.4694835681</v>
      </c>
      <c r="I4472" s="78" t="s">
        <v>5262</v>
      </c>
      <c r="J4472" s="78" t="s">
        <v>69</v>
      </c>
      <c r="K4472" s="58">
        <f t="shared" si="14"/>
        <v>2</v>
      </c>
      <c r="L4472" s="91" t="str">
        <f t="shared" si="8"/>
        <v>Sat</v>
      </c>
      <c r="M4472" s="78" t="str">
        <f>IFERROR(VLOOKUP(A4472, Entries!A:B,2,false),"")</f>
        <v>Ocean Drive Studio</v>
      </c>
      <c r="N4472" s="23" t="str">
        <f>IFERROR(VLOOKUP(A4472, Entries!A:K,11,false),"")</f>
        <v/>
      </c>
    </row>
    <row r="4473">
      <c r="A4473" s="78" t="s">
        <v>5152</v>
      </c>
      <c r="B4473" s="78" t="s">
        <v>27</v>
      </c>
      <c r="C4473" s="85">
        <v>45218.0</v>
      </c>
      <c r="D4473" s="85">
        <v>45240.0</v>
      </c>
      <c r="E4473" s="86">
        <v>10.19</v>
      </c>
      <c r="F4473" s="87">
        <v>10.63</v>
      </c>
      <c r="G4473" s="88">
        <f t="shared" si="1"/>
        <v>0.44</v>
      </c>
      <c r="H4473" s="89">
        <f t="shared" si="10"/>
        <v>0.04139228598</v>
      </c>
      <c r="I4473" s="78" t="s">
        <v>5263</v>
      </c>
      <c r="J4473" s="78" t="s">
        <v>69</v>
      </c>
      <c r="K4473" s="58">
        <f t="shared" si="14"/>
        <v>22</v>
      </c>
      <c r="L4473" s="91" t="str">
        <f t="shared" si="8"/>
        <v>Fri</v>
      </c>
      <c r="M4473" s="78" t="str">
        <f>IFERROR(VLOOKUP(A4473, Entries!A:B,2,false),"")</f>
        <v>Bethesda Softworks</v>
      </c>
      <c r="N4473" s="23" t="str">
        <f>IFERROR(VLOOKUP(A4473, Entries!A:K,11,false),"")</f>
        <v/>
      </c>
    </row>
    <row r="4474">
      <c r="A4474" s="78" t="s">
        <v>5211</v>
      </c>
      <c r="B4474" s="78" t="s">
        <v>27</v>
      </c>
      <c r="C4474" s="85">
        <v>45218.0</v>
      </c>
      <c r="D4474" s="85">
        <v>45220.0</v>
      </c>
      <c r="E4474" s="86">
        <v>17.19</v>
      </c>
      <c r="F4474" s="87">
        <v>20.99</v>
      </c>
      <c r="G4474" s="88">
        <f t="shared" si="1"/>
        <v>3.8</v>
      </c>
      <c r="H4474" s="89">
        <f t="shared" si="10"/>
        <v>0.1810385898</v>
      </c>
      <c r="I4474" s="78" t="s">
        <v>5264</v>
      </c>
      <c r="J4474" s="78" t="s">
        <v>69</v>
      </c>
      <c r="K4474" s="58">
        <f t="shared" si="14"/>
        <v>2</v>
      </c>
      <c r="L4474" s="91" t="str">
        <f t="shared" si="8"/>
        <v>Sat</v>
      </c>
      <c r="M4474" s="78" t="str">
        <f>IFERROR(VLOOKUP(A4474, Entries!A:B,2,false),"")</f>
        <v>IO Interactive</v>
      </c>
      <c r="N4474" s="23" t="str">
        <f>IFERROR(VLOOKUP(A4474, Entries!A:K,11,false),"")</f>
        <v/>
      </c>
    </row>
    <row r="4475">
      <c r="A4475" s="78" t="s">
        <v>4914</v>
      </c>
      <c r="B4475" s="78" t="s">
        <v>27</v>
      </c>
      <c r="C4475" s="85">
        <v>45218.0</v>
      </c>
      <c r="D4475" s="85">
        <v>45219.0</v>
      </c>
      <c r="E4475" s="86">
        <v>15.09</v>
      </c>
      <c r="F4475" s="87">
        <v>16.51</v>
      </c>
      <c r="G4475" s="88">
        <f t="shared" si="1"/>
        <v>1.42</v>
      </c>
      <c r="H4475" s="89">
        <f t="shared" si="10"/>
        <v>0.08600847971</v>
      </c>
      <c r="I4475" s="78" t="s">
        <v>5265</v>
      </c>
      <c r="J4475" s="78" t="s">
        <v>69</v>
      </c>
      <c r="K4475" s="58">
        <f t="shared" si="14"/>
        <v>1</v>
      </c>
      <c r="L4475" s="91" t="str">
        <f t="shared" si="8"/>
        <v>Fri</v>
      </c>
      <c r="M4475" s="78" t="str">
        <f>IFERROR(VLOOKUP(A4475, Entries!A:B,2,false),"")</f>
        <v>Deep Silver</v>
      </c>
      <c r="N4475" s="23" t="str">
        <f>IFERROR(VLOOKUP(A4475, Entries!A:K,11,false),"")</f>
        <v/>
      </c>
    </row>
    <row r="4476">
      <c r="A4476" s="78" t="s">
        <v>5100</v>
      </c>
      <c r="B4476" s="78" t="s">
        <v>25</v>
      </c>
      <c r="C4476" s="85">
        <v>45218.0</v>
      </c>
      <c r="D4476" s="85">
        <v>45219.0</v>
      </c>
      <c r="E4476" s="86">
        <v>22.0</v>
      </c>
      <c r="F4476" s="87">
        <v>26.75</v>
      </c>
      <c r="G4476" s="88">
        <f t="shared" si="1"/>
        <v>4.75</v>
      </c>
      <c r="H4476" s="89">
        <f t="shared" si="10"/>
        <v>0.1775700935</v>
      </c>
      <c r="I4476" s="78" t="s">
        <v>5266</v>
      </c>
      <c r="J4476" s="78" t="s">
        <v>69</v>
      </c>
      <c r="K4476" s="58">
        <f t="shared" si="14"/>
        <v>1</v>
      </c>
      <c r="L4476" s="91" t="str">
        <f t="shared" si="8"/>
        <v>Fri</v>
      </c>
      <c r="M4476" s="78" t="str">
        <f>IFERROR(VLOOKUP(A4476, Entries!A:B,2,false),"")</f>
        <v>Activision</v>
      </c>
      <c r="N4476" s="23" t="str">
        <f>IFERROR(VLOOKUP(A4476, Entries!A:K,11,false),"")</f>
        <v/>
      </c>
    </row>
    <row r="4477">
      <c r="A4477" s="78" t="s">
        <v>4926</v>
      </c>
      <c r="B4477" s="78" t="s">
        <v>27</v>
      </c>
      <c r="C4477" s="85">
        <v>45218.0</v>
      </c>
      <c r="D4477" s="85">
        <v>45220.0</v>
      </c>
      <c r="E4477" s="86">
        <v>8.19</v>
      </c>
      <c r="F4477" s="87">
        <v>9.35</v>
      </c>
      <c r="G4477" s="88">
        <f t="shared" si="1"/>
        <v>1.16</v>
      </c>
      <c r="H4477" s="89">
        <f t="shared" si="10"/>
        <v>0.1240641711</v>
      </c>
      <c r="I4477" s="78" t="s">
        <v>5267</v>
      </c>
      <c r="J4477" s="78" t="s">
        <v>69</v>
      </c>
      <c r="K4477" s="58">
        <f t="shared" si="14"/>
        <v>2</v>
      </c>
      <c r="L4477" s="91" t="str">
        <f t="shared" si="8"/>
        <v>Sat</v>
      </c>
      <c r="M4477" s="78" t="str">
        <f>IFERROR(VLOOKUP(A4477, Entries!A:B,2,false),"")</f>
        <v>Bethesda Softworks</v>
      </c>
      <c r="N4477" s="23" t="str">
        <f>IFERROR(VLOOKUP(A4477, Entries!A:K,11,false),"")</f>
        <v/>
      </c>
    </row>
    <row r="4478">
      <c r="A4478" s="78" t="s">
        <v>4814</v>
      </c>
      <c r="B4478" s="78" t="s">
        <v>27</v>
      </c>
      <c r="C4478" s="85">
        <v>45218.0</v>
      </c>
      <c r="D4478" s="85">
        <v>45218.0</v>
      </c>
      <c r="E4478" s="86">
        <v>21.49</v>
      </c>
      <c r="F4478" s="87">
        <v>24.75</v>
      </c>
      <c r="G4478" s="88">
        <f t="shared" si="1"/>
        <v>3.26</v>
      </c>
      <c r="H4478" s="89">
        <f t="shared" si="10"/>
        <v>0.1317171717</v>
      </c>
      <c r="I4478" s="78" t="s">
        <v>5268</v>
      </c>
      <c r="J4478" s="78" t="s">
        <v>69</v>
      </c>
      <c r="K4478" s="58">
        <f t="shared" si="14"/>
        <v>0</v>
      </c>
      <c r="L4478" s="91" t="str">
        <f t="shared" si="8"/>
        <v>Thu</v>
      </c>
      <c r="M4478" s="78" t="str">
        <f>IFERROR(VLOOKUP(A4478, Entries!A:B,2,false),"")</f>
        <v>PlayStation</v>
      </c>
      <c r="N4478" s="23" t="str">
        <f>IFERROR(VLOOKUP(A4478, Entries!A:K,11,false),"")</f>
        <v/>
      </c>
    </row>
    <row r="4479">
      <c r="A4479" s="78" t="s">
        <v>4085</v>
      </c>
      <c r="B4479" s="78" t="s">
        <v>27</v>
      </c>
      <c r="C4479" s="85">
        <v>45218.0</v>
      </c>
      <c r="D4479" s="85">
        <v>45219.0</v>
      </c>
      <c r="E4479" s="86">
        <v>6.99</v>
      </c>
      <c r="F4479" s="87">
        <v>8.13</v>
      </c>
      <c r="G4479" s="88">
        <f t="shared" si="1"/>
        <v>1.14</v>
      </c>
      <c r="H4479" s="89">
        <f t="shared" si="10"/>
        <v>0.1402214022</v>
      </c>
      <c r="I4479" s="78" t="s">
        <v>5269</v>
      </c>
      <c r="J4479" s="78" t="s">
        <v>69</v>
      </c>
      <c r="K4479" s="58">
        <f t="shared" si="14"/>
        <v>1</v>
      </c>
      <c r="L4479" s="91" t="str">
        <f t="shared" si="8"/>
        <v>Fri</v>
      </c>
      <c r="M4479" s="78" t="str">
        <f>IFERROR(VLOOKUP(A4479, Entries!A:B,2,false),"")</f>
        <v>Bethesda Softworks</v>
      </c>
      <c r="N4479" s="23" t="str">
        <f>IFERROR(VLOOKUP(A4479, Entries!A:K,11,false),"")</f>
        <v/>
      </c>
    </row>
    <row r="4480">
      <c r="A4480" s="94" t="s">
        <v>2789</v>
      </c>
      <c r="B4480" s="78" t="s">
        <v>19</v>
      </c>
      <c r="C4480" s="85">
        <v>45218.0</v>
      </c>
      <c r="D4480" s="85">
        <v>45663.0</v>
      </c>
      <c r="E4480" s="86">
        <v>6.9</v>
      </c>
      <c r="F4480" s="87">
        <v>8.29</v>
      </c>
      <c r="G4480" s="88">
        <f t="shared" si="1"/>
        <v>1.39</v>
      </c>
      <c r="H4480" s="89">
        <f t="shared" si="10"/>
        <v>0.1676718938</v>
      </c>
      <c r="I4480" s="78" t="s">
        <v>5270</v>
      </c>
      <c r="J4480" s="78" t="s">
        <v>69</v>
      </c>
      <c r="K4480" s="58">
        <f t="shared" si="14"/>
        <v>445</v>
      </c>
      <c r="L4480" s="91" t="str">
        <f t="shared" si="8"/>
        <v>Mon</v>
      </c>
      <c r="M4480" s="78" t="str">
        <f>IFERROR(VLOOKUP(A4480, Entries!A:B,2,false),"")</f>
        <v>Evil Tortilla Games</v>
      </c>
      <c r="N4480" s="23" t="str">
        <f>IFERROR(VLOOKUP(A4480, Entries!A:K,11,false),"")</f>
        <v/>
      </c>
    </row>
    <row r="4481">
      <c r="A4481" s="78" t="s">
        <v>4814</v>
      </c>
      <c r="B4481" s="78" t="s">
        <v>27</v>
      </c>
      <c r="C4481" s="85">
        <v>45218.0</v>
      </c>
      <c r="D4481" s="85">
        <v>45219.0</v>
      </c>
      <c r="E4481" s="86">
        <v>21.49</v>
      </c>
      <c r="F4481" s="87">
        <v>24.75</v>
      </c>
      <c r="G4481" s="88">
        <f t="shared" si="1"/>
        <v>3.26</v>
      </c>
      <c r="H4481" s="89">
        <f t="shared" si="10"/>
        <v>0.1317171717</v>
      </c>
      <c r="I4481" s="78" t="s">
        <v>5271</v>
      </c>
      <c r="J4481" s="78" t="s">
        <v>69</v>
      </c>
      <c r="K4481" s="58">
        <f t="shared" si="14"/>
        <v>1</v>
      </c>
      <c r="L4481" s="91" t="str">
        <f t="shared" si="8"/>
        <v>Fri</v>
      </c>
      <c r="M4481" s="78" t="str">
        <f>IFERROR(VLOOKUP(A4481, Entries!A:B,2,false),"")</f>
        <v>PlayStation</v>
      </c>
      <c r="N4481" s="23" t="str">
        <f>IFERROR(VLOOKUP(A4481, Entries!A:K,11,false),"")</f>
        <v/>
      </c>
    </row>
    <row r="4482">
      <c r="A4482" s="78" t="s">
        <v>4615</v>
      </c>
      <c r="B4482" s="78" t="s">
        <v>30</v>
      </c>
      <c r="C4482" s="85">
        <v>45219.0</v>
      </c>
      <c r="D4482" s="85">
        <v>45225.0</v>
      </c>
      <c r="E4482" s="86">
        <v>9.89</v>
      </c>
      <c r="F4482" s="87">
        <v>11.88</v>
      </c>
      <c r="G4482" s="88">
        <f t="shared" si="1"/>
        <v>1.99</v>
      </c>
      <c r="H4482" s="89">
        <f t="shared" si="10"/>
        <v>0.1675084175</v>
      </c>
      <c r="I4482" s="78" t="s">
        <v>5272</v>
      </c>
      <c r="J4482" s="78" t="s">
        <v>69</v>
      </c>
      <c r="K4482" s="58">
        <f t="shared" si="14"/>
        <v>6</v>
      </c>
      <c r="L4482" s="91" t="str">
        <f t="shared" si="8"/>
        <v>Thu</v>
      </c>
      <c r="M4482" s="78" t="str">
        <f>IFERROR(VLOOKUP(A4482, Entries!A:B,2,false),"")</f>
        <v>Fellow Traveller</v>
      </c>
      <c r="N4482" s="23" t="str">
        <f>IFERROR(VLOOKUP(A4482, Entries!A:K,11,false),"")</f>
        <v/>
      </c>
    </row>
    <row r="4483">
      <c r="A4483" s="78" t="s">
        <v>5273</v>
      </c>
      <c r="B4483" s="78" t="s">
        <v>27</v>
      </c>
      <c r="C4483" s="85">
        <v>45219.0</v>
      </c>
      <c r="D4483" s="85">
        <v>45219.0</v>
      </c>
      <c r="E4483" s="86">
        <v>30.19</v>
      </c>
      <c r="F4483" s="87">
        <v>34.39</v>
      </c>
      <c r="G4483" s="88">
        <f t="shared" si="1"/>
        <v>4.2</v>
      </c>
      <c r="H4483" s="89">
        <f t="shared" si="10"/>
        <v>0.1221285257</v>
      </c>
      <c r="I4483" s="78" t="s">
        <v>5274</v>
      </c>
      <c r="J4483" s="78" t="s">
        <v>69</v>
      </c>
      <c r="K4483" s="58">
        <f t="shared" si="14"/>
        <v>0</v>
      </c>
      <c r="L4483" s="91" t="str">
        <f t="shared" si="8"/>
        <v>Fri</v>
      </c>
      <c r="M4483" s="78" t="str">
        <f>IFERROR(VLOOKUP(A4483, Entries!A:B,2,false),"")</f>
        <v>PlayStation</v>
      </c>
      <c r="N4483" s="23" t="str">
        <f>IFERROR(VLOOKUP(A4483, Entries!A:K,11,false),"")</f>
        <v/>
      </c>
    </row>
    <row r="4484">
      <c r="A4484" s="78" t="s">
        <v>1786</v>
      </c>
      <c r="B4484" s="78" t="s">
        <v>27</v>
      </c>
      <c r="C4484" s="85">
        <v>45219.0</v>
      </c>
      <c r="D4484" s="85">
        <v>45220.0</v>
      </c>
      <c r="E4484" s="86">
        <v>14.49</v>
      </c>
      <c r="F4484" s="87">
        <v>17.85</v>
      </c>
      <c r="G4484" s="88">
        <f t="shared" si="1"/>
        <v>3.36</v>
      </c>
      <c r="H4484" s="89">
        <f t="shared" si="10"/>
        <v>0.1882352941</v>
      </c>
      <c r="I4484" s="78" t="s">
        <v>5275</v>
      </c>
      <c r="J4484" s="78" t="s">
        <v>69</v>
      </c>
      <c r="K4484" s="58">
        <f t="shared" si="14"/>
        <v>1</v>
      </c>
      <c r="L4484" s="91" t="str">
        <f t="shared" si="8"/>
        <v>Sat</v>
      </c>
      <c r="M4484" s="78" t="str">
        <f>IFERROR(VLOOKUP(A4484, Entries!A:B,2,false),"")</f>
        <v>Bethesda Softworks</v>
      </c>
      <c r="N4484" s="23" t="str">
        <f>IFERROR(VLOOKUP(A4484, Entries!A:K,11,false),"")</f>
        <v/>
      </c>
    </row>
    <row r="4485">
      <c r="A4485" s="78" t="s">
        <v>5273</v>
      </c>
      <c r="B4485" s="78" t="s">
        <v>27</v>
      </c>
      <c r="C4485" s="85">
        <v>45219.0</v>
      </c>
      <c r="D4485" s="85">
        <v>45219.0</v>
      </c>
      <c r="E4485" s="86">
        <v>30.19</v>
      </c>
      <c r="F4485" s="87">
        <v>34.39</v>
      </c>
      <c r="G4485" s="88">
        <f t="shared" si="1"/>
        <v>4.2</v>
      </c>
      <c r="H4485" s="89">
        <f t="shared" si="10"/>
        <v>0.1221285257</v>
      </c>
      <c r="I4485" s="78" t="s">
        <v>5276</v>
      </c>
      <c r="J4485" s="78" t="s">
        <v>69</v>
      </c>
      <c r="K4485" s="58">
        <f t="shared" si="14"/>
        <v>0</v>
      </c>
      <c r="L4485" s="91" t="str">
        <f t="shared" si="8"/>
        <v>Fri</v>
      </c>
      <c r="M4485" s="78" t="str">
        <f>IFERROR(VLOOKUP(A4485, Entries!A:B,2,false),"")</f>
        <v>PlayStation</v>
      </c>
      <c r="N4485" s="23" t="str">
        <f>IFERROR(VLOOKUP(A4485, Entries!A:K,11,false),"")</f>
        <v/>
      </c>
    </row>
    <row r="4486">
      <c r="A4486" s="78" t="s">
        <v>4914</v>
      </c>
      <c r="B4486" s="78" t="s">
        <v>27</v>
      </c>
      <c r="C4486" s="85">
        <v>45219.0</v>
      </c>
      <c r="D4486" s="85">
        <v>45219.0</v>
      </c>
      <c r="E4486" s="86">
        <v>15.09</v>
      </c>
      <c r="F4486" s="87">
        <v>16.51</v>
      </c>
      <c r="G4486" s="88">
        <f t="shared" si="1"/>
        <v>1.42</v>
      </c>
      <c r="H4486" s="89">
        <f t="shared" si="10"/>
        <v>0.08600847971</v>
      </c>
      <c r="I4486" s="78" t="s">
        <v>5277</v>
      </c>
      <c r="J4486" s="78" t="s">
        <v>69</v>
      </c>
      <c r="K4486" s="58">
        <f t="shared" si="14"/>
        <v>0</v>
      </c>
      <c r="L4486" s="91" t="str">
        <f t="shared" si="8"/>
        <v>Fri</v>
      </c>
      <c r="M4486" s="78" t="str">
        <f>IFERROR(VLOOKUP(A4486, Entries!A:B,2,false),"")</f>
        <v>Deep Silver</v>
      </c>
      <c r="N4486" s="23" t="str">
        <f>IFERROR(VLOOKUP(A4486, Entries!A:K,11,false),"")</f>
        <v/>
      </c>
    </row>
    <row r="4487">
      <c r="A4487" s="78" t="s">
        <v>5278</v>
      </c>
      <c r="B4487" s="78" t="s">
        <v>18</v>
      </c>
      <c r="C4487" s="85">
        <v>45219.0</v>
      </c>
      <c r="D4487" s="85">
        <v>45219.0</v>
      </c>
      <c r="E4487" s="86">
        <v>6.47</v>
      </c>
      <c r="F4487" s="87">
        <v>7.26</v>
      </c>
      <c r="G4487" s="88">
        <f t="shared" si="1"/>
        <v>0.79</v>
      </c>
      <c r="H4487" s="89">
        <f t="shared" si="10"/>
        <v>0.108815427</v>
      </c>
      <c r="I4487" s="78" t="s">
        <v>5279</v>
      </c>
      <c r="J4487" s="78" t="s">
        <v>69</v>
      </c>
      <c r="K4487" s="58">
        <f t="shared" si="14"/>
        <v>0</v>
      </c>
      <c r="L4487" s="91" t="str">
        <f t="shared" si="8"/>
        <v>Fri</v>
      </c>
      <c r="M4487" s="78" t="str">
        <f>IFERROR(VLOOKUP(A4487, Entries!A:B,2,false),"")</f>
        <v>2K</v>
      </c>
      <c r="N4487" s="23" t="str">
        <f>IFERROR(VLOOKUP(A4487, Entries!A:K,11,false),"")</f>
        <v/>
      </c>
    </row>
    <row r="4488">
      <c r="A4488" s="78" t="s">
        <v>5278</v>
      </c>
      <c r="B4488" s="78" t="s">
        <v>18</v>
      </c>
      <c r="C4488" s="85">
        <v>45219.0</v>
      </c>
      <c r="D4488" s="85">
        <v>45219.0</v>
      </c>
      <c r="E4488" s="86">
        <v>6.47</v>
      </c>
      <c r="F4488" s="87">
        <v>6.26</v>
      </c>
      <c r="G4488" s="88">
        <f t="shared" si="1"/>
        <v>-0.21</v>
      </c>
      <c r="H4488" s="89">
        <f t="shared" si="10"/>
        <v>-0.03354632588</v>
      </c>
      <c r="I4488" s="78" t="s">
        <v>5280</v>
      </c>
      <c r="J4488" s="78" t="s">
        <v>69</v>
      </c>
      <c r="K4488" s="58">
        <f t="shared" si="14"/>
        <v>0</v>
      </c>
      <c r="L4488" s="91" t="str">
        <f t="shared" si="8"/>
        <v>Fri</v>
      </c>
      <c r="M4488" s="78" t="str">
        <f>IFERROR(VLOOKUP(A4488, Entries!A:B,2,false),"")</f>
        <v>2K</v>
      </c>
      <c r="N4488" s="23" t="str">
        <f>IFERROR(VLOOKUP(A4488, Entries!A:K,11,false),"")</f>
        <v/>
      </c>
    </row>
    <row r="4489">
      <c r="A4489" s="78" t="s">
        <v>5278</v>
      </c>
      <c r="B4489" s="78" t="s">
        <v>18</v>
      </c>
      <c r="C4489" s="85">
        <v>45219.0</v>
      </c>
      <c r="D4489" s="85">
        <v>45219.0</v>
      </c>
      <c r="E4489" s="86">
        <v>6.48</v>
      </c>
      <c r="F4489" s="87">
        <v>6.99</v>
      </c>
      <c r="G4489" s="88">
        <f t="shared" si="1"/>
        <v>0.51</v>
      </c>
      <c r="H4489" s="89">
        <f t="shared" si="10"/>
        <v>0.07296137339</v>
      </c>
      <c r="I4489" s="78" t="s">
        <v>5281</v>
      </c>
      <c r="J4489" s="78" t="s">
        <v>69</v>
      </c>
      <c r="K4489" s="58">
        <f t="shared" si="14"/>
        <v>0</v>
      </c>
      <c r="L4489" s="91" t="str">
        <f t="shared" si="8"/>
        <v>Fri</v>
      </c>
      <c r="M4489" s="78" t="str">
        <f>IFERROR(VLOOKUP(A4489, Entries!A:B,2,false),"")</f>
        <v>2K</v>
      </c>
      <c r="N4489" s="23" t="str">
        <f>IFERROR(VLOOKUP(A4489, Entries!A:K,11,false),"")</f>
        <v/>
      </c>
    </row>
    <row r="4490">
      <c r="A4490" s="78" t="s">
        <v>5278</v>
      </c>
      <c r="B4490" s="78" t="s">
        <v>18</v>
      </c>
      <c r="C4490" s="85">
        <v>45219.0</v>
      </c>
      <c r="D4490" s="85">
        <v>45224.0</v>
      </c>
      <c r="E4490" s="86">
        <v>6.48</v>
      </c>
      <c r="F4490" s="87">
        <v>6.68</v>
      </c>
      <c r="G4490" s="88">
        <f t="shared" si="1"/>
        <v>0.2</v>
      </c>
      <c r="H4490" s="89">
        <f t="shared" si="10"/>
        <v>0.02994011976</v>
      </c>
      <c r="I4490" s="78" t="s">
        <v>5282</v>
      </c>
      <c r="J4490" s="78" t="s">
        <v>69</v>
      </c>
      <c r="K4490" s="58">
        <f t="shared" si="14"/>
        <v>5</v>
      </c>
      <c r="L4490" s="91" t="str">
        <f t="shared" si="8"/>
        <v>Wed</v>
      </c>
      <c r="M4490" s="78" t="str">
        <f>IFERROR(VLOOKUP(A4490, Entries!A:B,2,false),"")</f>
        <v>2K</v>
      </c>
      <c r="N4490" s="23" t="str">
        <f>IFERROR(VLOOKUP(A4490, Entries!A:K,11,false),"")</f>
        <v/>
      </c>
    </row>
    <row r="4491">
      <c r="A4491" s="78" t="s">
        <v>5278</v>
      </c>
      <c r="B4491" s="78" t="s">
        <v>18</v>
      </c>
      <c r="C4491" s="85">
        <v>45219.0</v>
      </c>
      <c r="D4491" s="85">
        <v>45224.0</v>
      </c>
      <c r="E4491" s="86">
        <v>6.48</v>
      </c>
      <c r="F4491" s="87">
        <v>6.95</v>
      </c>
      <c r="G4491" s="88">
        <f t="shared" si="1"/>
        <v>0.47</v>
      </c>
      <c r="H4491" s="89">
        <f t="shared" si="10"/>
        <v>0.06762589928</v>
      </c>
      <c r="I4491" s="78" t="s">
        <v>5283</v>
      </c>
      <c r="J4491" s="78" t="s">
        <v>69</v>
      </c>
      <c r="K4491" s="58">
        <f t="shared" si="14"/>
        <v>5</v>
      </c>
      <c r="L4491" s="91" t="str">
        <f t="shared" si="8"/>
        <v>Wed</v>
      </c>
      <c r="M4491" s="78" t="str">
        <f>IFERROR(VLOOKUP(A4491, Entries!A:B,2,false),"")</f>
        <v>2K</v>
      </c>
      <c r="N4491" s="23" t="str">
        <f>IFERROR(VLOOKUP(A4491, Entries!A:K,11,false),"")</f>
        <v/>
      </c>
    </row>
    <row r="4492">
      <c r="A4492" s="78" t="s">
        <v>4814</v>
      </c>
      <c r="B4492" s="78" t="s">
        <v>27</v>
      </c>
      <c r="C4492" s="85">
        <v>45219.0</v>
      </c>
      <c r="D4492" s="85">
        <v>45219.0</v>
      </c>
      <c r="E4492" s="86">
        <v>21.49</v>
      </c>
      <c r="F4492" s="87">
        <v>24.75</v>
      </c>
      <c r="G4492" s="88">
        <f t="shared" si="1"/>
        <v>3.26</v>
      </c>
      <c r="H4492" s="89">
        <f t="shared" si="10"/>
        <v>0.1317171717</v>
      </c>
      <c r="I4492" s="78" t="s">
        <v>5284</v>
      </c>
      <c r="J4492" s="78" t="s">
        <v>69</v>
      </c>
      <c r="K4492" s="58">
        <f t="shared" si="14"/>
        <v>0</v>
      </c>
      <c r="L4492" s="91" t="str">
        <f t="shared" si="8"/>
        <v>Fri</v>
      </c>
      <c r="M4492" s="78" t="str">
        <f>IFERROR(VLOOKUP(A4492, Entries!A:B,2,false),"")</f>
        <v>PlayStation</v>
      </c>
      <c r="N4492" s="23" t="str">
        <f>IFERROR(VLOOKUP(A4492, Entries!A:K,11,false),"")</f>
        <v/>
      </c>
    </row>
    <row r="4493">
      <c r="A4493" s="78" t="s">
        <v>5273</v>
      </c>
      <c r="B4493" s="78" t="s">
        <v>27</v>
      </c>
      <c r="C4493" s="85">
        <v>45219.0</v>
      </c>
      <c r="D4493" s="85">
        <v>45220.0</v>
      </c>
      <c r="E4493" s="86">
        <v>30.19</v>
      </c>
      <c r="F4493" s="87">
        <v>34.39</v>
      </c>
      <c r="G4493" s="88">
        <f t="shared" si="1"/>
        <v>4.2</v>
      </c>
      <c r="H4493" s="89">
        <f t="shared" si="10"/>
        <v>0.1221285257</v>
      </c>
      <c r="I4493" s="78" t="s">
        <v>5285</v>
      </c>
      <c r="J4493" s="78" t="s">
        <v>69</v>
      </c>
      <c r="K4493" s="58">
        <f t="shared" si="14"/>
        <v>1</v>
      </c>
      <c r="L4493" s="91" t="str">
        <f t="shared" si="8"/>
        <v>Sat</v>
      </c>
      <c r="M4493" s="78" t="str">
        <f>IFERROR(VLOOKUP(A4493, Entries!A:B,2,false),"")</f>
        <v>PlayStation</v>
      </c>
      <c r="N4493" s="23" t="str">
        <f>IFERROR(VLOOKUP(A4493, Entries!A:K,11,false),"")</f>
        <v/>
      </c>
    </row>
    <row r="4494">
      <c r="A4494" s="78" t="s">
        <v>5273</v>
      </c>
      <c r="B4494" s="78" t="s">
        <v>27</v>
      </c>
      <c r="C4494" s="85">
        <v>45219.0</v>
      </c>
      <c r="D4494" s="85">
        <v>45222.0</v>
      </c>
      <c r="E4494" s="86">
        <v>29.89</v>
      </c>
      <c r="F4494" s="87">
        <v>32.3</v>
      </c>
      <c r="G4494" s="88">
        <f t="shared" si="1"/>
        <v>2.41</v>
      </c>
      <c r="H4494" s="89">
        <f t="shared" si="10"/>
        <v>0.0746130031</v>
      </c>
      <c r="I4494" s="78" t="s">
        <v>5286</v>
      </c>
      <c r="J4494" s="78" t="s">
        <v>69</v>
      </c>
      <c r="K4494" s="58">
        <f t="shared" si="14"/>
        <v>3</v>
      </c>
      <c r="L4494" s="91" t="str">
        <f t="shared" si="8"/>
        <v>Mon</v>
      </c>
      <c r="M4494" s="78" t="str">
        <f>IFERROR(VLOOKUP(A4494, Entries!A:B,2,false),"")</f>
        <v>PlayStation</v>
      </c>
      <c r="N4494" s="23" t="str">
        <f>IFERROR(VLOOKUP(A4494, Entries!A:K,11,false),"")</f>
        <v/>
      </c>
    </row>
    <row r="4495">
      <c r="A4495" s="78" t="s">
        <v>5287</v>
      </c>
      <c r="B4495" s="78" t="s">
        <v>23</v>
      </c>
      <c r="C4495" s="85">
        <v>45219.0</v>
      </c>
      <c r="D4495" s="85">
        <v>45224.0</v>
      </c>
      <c r="E4495" s="86">
        <v>25.72</v>
      </c>
      <c r="F4495" s="87">
        <v>28.68</v>
      </c>
      <c r="G4495" s="88">
        <f t="shared" si="1"/>
        <v>2.96</v>
      </c>
      <c r="H4495" s="89">
        <f t="shared" si="10"/>
        <v>0.1032078103</v>
      </c>
      <c r="I4495" s="78" t="s">
        <v>5288</v>
      </c>
      <c r="J4495" s="78" t="s">
        <v>69</v>
      </c>
      <c r="K4495" s="58">
        <f t="shared" si="14"/>
        <v>5</v>
      </c>
      <c r="L4495" s="91" t="str">
        <f t="shared" si="8"/>
        <v>Wed</v>
      </c>
      <c r="M4495" s="78" t="str">
        <f>IFERROR(VLOOKUP(A4495, Entries!A:B,2,false),"")</f>
        <v>Hooded Horse</v>
      </c>
      <c r="N4495" s="23" t="str">
        <f>IFERROR(VLOOKUP(A4495, Entries!A:K,11,false),"")</f>
        <v/>
      </c>
    </row>
    <row r="4496">
      <c r="A4496" s="78" t="s">
        <v>4085</v>
      </c>
      <c r="B4496" s="78" t="s">
        <v>27</v>
      </c>
      <c r="C4496" s="85">
        <v>45219.0</v>
      </c>
      <c r="D4496" s="85">
        <v>45220.0</v>
      </c>
      <c r="E4496" s="86">
        <v>6.89</v>
      </c>
      <c r="F4496" s="87">
        <v>8.13</v>
      </c>
      <c r="G4496" s="88">
        <f t="shared" si="1"/>
        <v>1.24</v>
      </c>
      <c r="H4496" s="89">
        <f t="shared" si="10"/>
        <v>0.1525215252</v>
      </c>
      <c r="I4496" s="78" t="s">
        <v>5289</v>
      </c>
      <c r="J4496" s="78" t="s">
        <v>69</v>
      </c>
      <c r="K4496" s="58">
        <f t="shared" si="14"/>
        <v>1</v>
      </c>
      <c r="L4496" s="91" t="str">
        <f t="shared" si="8"/>
        <v>Sat</v>
      </c>
      <c r="M4496" s="78" t="str">
        <f>IFERROR(VLOOKUP(A4496, Entries!A:B,2,false),"")</f>
        <v>Bethesda Softworks</v>
      </c>
      <c r="N4496" s="23" t="str">
        <f>IFERROR(VLOOKUP(A4496, Entries!A:K,11,false),"")</f>
        <v/>
      </c>
    </row>
    <row r="4497">
      <c r="A4497" s="78" t="s">
        <v>4914</v>
      </c>
      <c r="B4497" s="78" t="s">
        <v>27</v>
      </c>
      <c r="C4497" s="85">
        <v>45219.0</v>
      </c>
      <c r="D4497" s="85">
        <v>45220.0</v>
      </c>
      <c r="E4497" s="86">
        <v>14.89</v>
      </c>
      <c r="F4497" s="87">
        <v>16.51</v>
      </c>
      <c r="G4497" s="88">
        <f t="shared" si="1"/>
        <v>1.62</v>
      </c>
      <c r="H4497" s="89">
        <f t="shared" si="10"/>
        <v>0.09812235009</v>
      </c>
      <c r="I4497" s="78" t="s">
        <v>5290</v>
      </c>
      <c r="J4497" s="78" t="s">
        <v>69</v>
      </c>
      <c r="K4497" s="58">
        <f t="shared" si="14"/>
        <v>1</v>
      </c>
      <c r="L4497" s="91" t="str">
        <f t="shared" si="8"/>
        <v>Sat</v>
      </c>
      <c r="M4497" s="78" t="str">
        <f>IFERROR(VLOOKUP(A4497, Entries!A:B,2,false),"")</f>
        <v>Deep Silver</v>
      </c>
      <c r="N4497" s="23" t="str">
        <f>IFERROR(VLOOKUP(A4497, Entries!A:K,11,false),"")</f>
        <v/>
      </c>
    </row>
    <row r="4498">
      <c r="A4498" s="78" t="s">
        <v>5278</v>
      </c>
      <c r="B4498" s="78" t="s">
        <v>18</v>
      </c>
      <c r="C4498" s="85">
        <v>45219.0</v>
      </c>
      <c r="D4498" s="85">
        <v>45224.0</v>
      </c>
      <c r="E4498" s="86">
        <v>5.99</v>
      </c>
      <c r="F4498" s="87">
        <v>6.95</v>
      </c>
      <c r="G4498" s="88">
        <f t="shared" si="1"/>
        <v>0.96</v>
      </c>
      <c r="H4498" s="89">
        <f t="shared" si="10"/>
        <v>0.1381294964</v>
      </c>
      <c r="I4498" s="78" t="s">
        <v>5291</v>
      </c>
      <c r="J4498" s="78" t="s">
        <v>69</v>
      </c>
      <c r="K4498" s="58">
        <f t="shared" si="14"/>
        <v>5</v>
      </c>
      <c r="L4498" s="91" t="str">
        <f t="shared" si="8"/>
        <v>Wed</v>
      </c>
      <c r="M4498" s="78" t="str">
        <f>IFERROR(VLOOKUP(A4498, Entries!A:B,2,false),"")</f>
        <v>2K</v>
      </c>
      <c r="N4498" s="23" t="str">
        <f>IFERROR(VLOOKUP(A4498, Entries!A:K,11,false),"")</f>
        <v/>
      </c>
    </row>
    <row r="4499">
      <c r="A4499" s="78" t="s">
        <v>5278</v>
      </c>
      <c r="B4499" s="78" t="s">
        <v>18</v>
      </c>
      <c r="C4499" s="85">
        <v>45219.0</v>
      </c>
      <c r="D4499" s="85">
        <v>45224.0</v>
      </c>
      <c r="E4499" s="86">
        <v>5.99</v>
      </c>
      <c r="F4499" s="87">
        <v>6.95</v>
      </c>
      <c r="G4499" s="88">
        <f t="shared" si="1"/>
        <v>0.96</v>
      </c>
      <c r="H4499" s="89">
        <f t="shared" si="10"/>
        <v>0.1381294964</v>
      </c>
      <c r="I4499" s="78" t="s">
        <v>5292</v>
      </c>
      <c r="J4499" s="78" t="s">
        <v>69</v>
      </c>
      <c r="K4499" s="58">
        <f t="shared" si="14"/>
        <v>5</v>
      </c>
      <c r="L4499" s="91" t="str">
        <f t="shared" si="8"/>
        <v>Wed</v>
      </c>
      <c r="M4499" s="78" t="str">
        <f>IFERROR(VLOOKUP(A4499, Entries!A:B,2,false),"")</f>
        <v>2K</v>
      </c>
      <c r="N4499" s="23" t="str">
        <f>IFERROR(VLOOKUP(A4499, Entries!A:K,11,false),"")</f>
        <v/>
      </c>
    </row>
    <row r="4500">
      <c r="A4500" s="78" t="s">
        <v>5278</v>
      </c>
      <c r="B4500" s="78" t="s">
        <v>18</v>
      </c>
      <c r="C4500" s="85">
        <v>45219.0</v>
      </c>
      <c r="D4500" s="85">
        <v>45224.0</v>
      </c>
      <c r="E4500" s="86">
        <v>5.99</v>
      </c>
      <c r="F4500" s="87">
        <v>6.95</v>
      </c>
      <c r="G4500" s="88">
        <f t="shared" si="1"/>
        <v>0.96</v>
      </c>
      <c r="H4500" s="89">
        <f t="shared" si="10"/>
        <v>0.1381294964</v>
      </c>
      <c r="I4500" s="78" t="s">
        <v>5293</v>
      </c>
      <c r="J4500" s="78" t="s">
        <v>69</v>
      </c>
      <c r="K4500" s="58">
        <f t="shared" si="14"/>
        <v>5</v>
      </c>
      <c r="L4500" s="91" t="str">
        <f t="shared" si="8"/>
        <v>Wed</v>
      </c>
      <c r="M4500" s="78" t="str">
        <f>IFERROR(VLOOKUP(A4500, Entries!A:B,2,false),"")</f>
        <v>2K</v>
      </c>
      <c r="N4500" s="23" t="str">
        <f>IFERROR(VLOOKUP(A4500, Entries!A:K,11,false),"")</f>
        <v/>
      </c>
    </row>
    <row r="4501">
      <c r="A4501" s="78" t="s">
        <v>5278</v>
      </c>
      <c r="B4501" s="78" t="s">
        <v>18</v>
      </c>
      <c r="C4501" s="85">
        <v>45219.0</v>
      </c>
      <c r="D4501" s="85">
        <v>45224.0</v>
      </c>
      <c r="E4501" s="86">
        <v>6.0</v>
      </c>
      <c r="F4501" s="87">
        <v>6.95</v>
      </c>
      <c r="G4501" s="88">
        <f t="shared" si="1"/>
        <v>0.95</v>
      </c>
      <c r="H4501" s="89">
        <f t="shared" si="10"/>
        <v>0.1366906475</v>
      </c>
      <c r="I4501" s="78" t="s">
        <v>5294</v>
      </c>
      <c r="J4501" s="78" t="s">
        <v>69</v>
      </c>
      <c r="K4501" s="58">
        <f t="shared" si="14"/>
        <v>5</v>
      </c>
      <c r="L4501" s="91" t="str">
        <f t="shared" si="8"/>
        <v>Wed</v>
      </c>
      <c r="M4501" s="78" t="str">
        <f>IFERROR(VLOOKUP(A4501, Entries!A:B,2,false),"")</f>
        <v>2K</v>
      </c>
      <c r="N4501" s="23" t="str">
        <f>IFERROR(VLOOKUP(A4501, Entries!A:K,11,false),"")</f>
        <v/>
      </c>
    </row>
    <row r="4502">
      <c r="A4502" s="78" t="s">
        <v>5278</v>
      </c>
      <c r="B4502" s="78" t="s">
        <v>18</v>
      </c>
      <c r="C4502" s="85">
        <v>45219.0</v>
      </c>
      <c r="D4502" s="85">
        <v>45224.0</v>
      </c>
      <c r="E4502" s="86">
        <v>6.0</v>
      </c>
      <c r="F4502" s="87">
        <v>6.95</v>
      </c>
      <c r="G4502" s="88">
        <f t="shared" si="1"/>
        <v>0.95</v>
      </c>
      <c r="H4502" s="89">
        <f t="shared" si="10"/>
        <v>0.1366906475</v>
      </c>
      <c r="I4502" s="78" t="s">
        <v>5295</v>
      </c>
      <c r="J4502" s="78" t="s">
        <v>69</v>
      </c>
      <c r="K4502" s="58">
        <f t="shared" si="14"/>
        <v>5</v>
      </c>
      <c r="L4502" s="91" t="str">
        <f t="shared" si="8"/>
        <v>Wed</v>
      </c>
      <c r="M4502" s="78" t="str">
        <f>IFERROR(VLOOKUP(A4502, Entries!A:B,2,false),"")</f>
        <v>2K</v>
      </c>
      <c r="N4502" s="23" t="str">
        <f>IFERROR(VLOOKUP(A4502, Entries!A:K,11,false),"")</f>
        <v/>
      </c>
    </row>
    <row r="4503">
      <c r="A4503" s="78" t="s">
        <v>4814</v>
      </c>
      <c r="B4503" s="78" t="s">
        <v>27</v>
      </c>
      <c r="C4503" s="85">
        <v>45219.0</v>
      </c>
      <c r="D4503" s="85">
        <v>45220.0</v>
      </c>
      <c r="E4503" s="86">
        <v>21.29</v>
      </c>
      <c r="F4503" s="87">
        <v>24.75</v>
      </c>
      <c r="G4503" s="88">
        <f t="shared" si="1"/>
        <v>3.46</v>
      </c>
      <c r="H4503" s="89">
        <f t="shared" si="10"/>
        <v>0.1397979798</v>
      </c>
      <c r="I4503" s="78" t="s">
        <v>5296</v>
      </c>
      <c r="J4503" s="78" t="s">
        <v>69</v>
      </c>
      <c r="K4503" s="58">
        <f t="shared" si="14"/>
        <v>1</v>
      </c>
      <c r="L4503" s="91" t="str">
        <f t="shared" si="8"/>
        <v>Sat</v>
      </c>
      <c r="M4503" s="78" t="str">
        <f>IFERROR(VLOOKUP(A4503, Entries!A:B,2,false),"")</f>
        <v>PlayStation</v>
      </c>
      <c r="N4503" s="23" t="str">
        <f>IFERROR(VLOOKUP(A4503, Entries!A:K,11,false),"")</f>
        <v/>
      </c>
    </row>
    <row r="4504">
      <c r="A4504" s="78" t="s">
        <v>5186</v>
      </c>
      <c r="B4504" s="78" t="s">
        <v>25</v>
      </c>
      <c r="C4504" s="85">
        <v>45220.0</v>
      </c>
      <c r="D4504" s="85">
        <v>45220.0</v>
      </c>
      <c r="E4504" s="86">
        <v>10.88</v>
      </c>
      <c r="F4504" s="87">
        <v>12.19</v>
      </c>
      <c r="G4504" s="88">
        <f t="shared" si="1"/>
        <v>1.31</v>
      </c>
      <c r="H4504" s="89">
        <f t="shared" si="10"/>
        <v>0.1074651354</v>
      </c>
      <c r="I4504" s="78" t="s">
        <v>5297</v>
      </c>
      <c r="J4504" s="78" t="s">
        <v>69</v>
      </c>
      <c r="K4504" s="58">
        <f t="shared" si="14"/>
        <v>0</v>
      </c>
      <c r="L4504" s="91" t="str">
        <f t="shared" si="8"/>
        <v>Sat</v>
      </c>
      <c r="M4504" s="78" t="str">
        <f>IFERROR(VLOOKUP(A4504, Entries!A:B,2,false),"")</f>
        <v>Untold Tales</v>
      </c>
      <c r="N4504" s="23" t="str">
        <f>IFERROR(VLOOKUP(A4504, Entries!A:K,11,false),"")</f>
        <v/>
      </c>
    </row>
    <row r="4505">
      <c r="A4505" s="78" t="s">
        <v>5156</v>
      </c>
      <c r="B4505" s="78" t="s">
        <v>21</v>
      </c>
      <c r="C4505" s="85">
        <v>45220.0</v>
      </c>
      <c r="D4505" s="85">
        <v>45277.0</v>
      </c>
      <c r="E4505" s="86">
        <v>34.55</v>
      </c>
      <c r="F4505" s="87">
        <v>39.22</v>
      </c>
      <c r="G4505" s="88">
        <f t="shared" si="1"/>
        <v>4.67</v>
      </c>
      <c r="H4505" s="89">
        <f t="shared" si="10"/>
        <v>0.1190719021</v>
      </c>
      <c r="I4505" s="78" t="s">
        <v>5298</v>
      </c>
      <c r="J4505" s="78" t="s">
        <v>69</v>
      </c>
      <c r="K4505" s="58">
        <f t="shared" si="14"/>
        <v>57</v>
      </c>
      <c r="L4505" s="91" t="str">
        <f t="shared" si="8"/>
        <v>Sun</v>
      </c>
      <c r="M4505" s="78" t="str">
        <f>IFERROR(VLOOKUP(A4505, Entries!A:B,2,false),"")</f>
        <v>SEGA</v>
      </c>
      <c r="N4505" s="23" t="str">
        <f>IFERROR(VLOOKUP(A4505, Entries!A:K,11,false),"")</f>
        <v/>
      </c>
    </row>
    <row r="4506">
      <c r="A4506" s="78" t="s">
        <v>5156</v>
      </c>
      <c r="B4506" s="78" t="s">
        <v>21</v>
      </c>
      <c r="C4506" s="85">
        <v>45220.0</v>
      </c>
      <c r="D4506" s="85">
        <v>45385.0</v>
      </c>
      <c r="E4506" s="86">
        <v>34.55</v>
      </c>
      <c r="F4506" s="87">
        <v>35.85</v>
      </c>
      <c r="G4506" s="88">
        <f t="shared" si="1"/>
        <v>1.3</v>
      </c>
      <c r="H4506" s="89">
        <f t="shared" si="10"/>
        <v>0.03626220363</v>
      </c>
      <c r="I4506" s="78" t="s">
        <v>5299</v>
      </c>
      <c r="J4506" s="78" t="s">
        <v>69</v>
      </c>
      <c r="K4506" s="58">
        <f t="shared" si="14"/>
        <v>165</v>
      </c>
      <c r="L4506" s="91" t="str">
        <f t="shared" si="8"/>
        <v>Wed</v>
      </c>
      <c r="M4506" s="78" t="str">
        <f>IFERROR(VLOOKUP(A4506, Entries!A:B,2,false),"")</f>
        <v>SEGA</v>
      </c>
      <c r="N4506" s="23" t="str">
        <f>IFERROR(VLOOKUP(A4506, Entries!A:K,11,false),"")</f>
        <v/>
      </c>
    </row>
    <row r="4507">
      <c r="A4507" s="78" t="s">
        <v>4550</v>
      </c>
      <c r="B4507" s="78" t="s">
        <v>21</v>
      </c>
      <c r="C4507" s="85">
        <v>45220.0</v>
      </c>
      <c r="D4507" s="85">
        <v>45225.0</v>
      </c>
      <c r="E4507" s="86">
        <v>14.69</v>
      </c>
      <c r="F4507" s="87">
        <v>17.33</v>
      </c>
      <c r="G4507" s="88">
        <f t="shared" si="1"/>
        <v>2.64</v>
      </c>
      <c r="H4507" s="89">
        <f t="shared" si="10"/>
        <v>0.1523369879</v>
      </c>
      <c r="I4507" s="78" t="s">
        <v>5300</v>
      </c>
      <c r="J4507" s="78" t="s">
        <v>69</v>
      </c>
      <c r="K4507" s="58">
        <f t="shared" si="14"/>
        <v>5</v>
      </c>
      <c r="L4507" s="91" t="str">
        <f t="shared" si="8"/>
        <v>Thu</v>
      </c>
      <c r="M4507" s="78" t="str">
        <f>IFERROR(VLOOKUP(A4507, Entries!A:B,2,false),"")</f>
        <v>Merge Games</v>
      </c>
      <c r="N4507" s="23" t="str">
        <f>IFERROR(VLOOKUP(A4507, Entries!A:K,11,false),"")</f>
        <v/>
      </c>
    </row>
    <row r="4508">
      <c r="A4508" s="78" t="s">
        <v>4550</v>
      </c>
      <c r="B4508" s="78" t="s">
        <v>21</v>
      </c>
      <c r="C4508" s="85">
        <v>45220.0</v>
      </c>
      <c r="D4508" s="85">
        <v>45225.0</v>
      </c>
      <c r="E4508" s="86">
        <v>14.7</v>
      </c>
      <c r="F4508" s="87">
        <v>17.33</v>
      </c>
      <c r="G4508" s="88">
        <f t="shared" si="1"/>
        <v>2.63</v>
      </c>
      <c r="H4508" s="89">
        <f t="shared" si="10"/>
        <v>0.1517599538</v>
      </c>
      <c r="I4508" s="78" t="s">
        <v>5301</v>
      </c>
      <c r="J4508" s="78" t="s">
        <v>69</v>
      </c>
      <c r="K4508" s="58">
        <f t="shared" si="14"/>
        <v>5</v>
      </c>
      <c r="L4508" s="91" t="str">
        <f t="shared" si="8"/>
        <v>Thu</v>
      </c>
      <c r="M4508" s="78" t="str">
        <f>IFERROR(VLOOKUP(A4508, Entries!A:B,2,false),"")</f>
        <v>Merge Games</v>
      </c>
      <c r="N4508" s="23" t="str">
        <f>IFERROR(VLOOKUP(A4508, Entries!A:K,11,false),"")</f>
        <v/>
      </c>
    </row>
    <row r="4509">
      <c r="A4509" s="78" t="s">
        <v>4814</v>
      </c>
      <c r="B4509" s="78" t="s">
        <v>27</v>
      </c>
      <c r="C4509" s="85">
        <v>45220.0</v>
      </c>
      <c r="D4509" s="85">
        <v>45220.0</v>
      </c>
      <c r="E4509" s="86">
        <v>21.29</v>
      </c>
      <c r="F4509" s="87">
        <v>24.75</v>
      </c>
      <c r="G4509" s="88">
        <f t="shared" si="1"/>
        <v>3.46</v>
      </c>
      <c r="H4509" s="89">
        <f t="shared" si="10"/>
        <v>0.1397979798</v>
      </c>
      <c r="I4509" s="78" t="s">
        <v>5302</v>
      </c>
      <c r="J4509" s="78" t="s">
        <v>69</v>
      </c>
      <c r="K4509" s="58">
        <f t="shared" si="14"/>
        <v>0</v>
      </c>
      <c r="L4509" s="91" t="str">
        <f t="shared" si="8"/>
        <v>Sat</v>
      </c>
      <c r="M4509" s="78" t="str">
        <f>IFERROR(VLOOKUP(A4509, Entries!A:B,2,false),"")</f>
        <v>PlayStation</v>
      </c>
      <c r="N4509" s="23" t="str">
        <f>IFERROR(VLOOKUP(A4509, Entries!A:K,11,false),"")</f>
        <v/>
      </c>
    </row>
    <row r="4510">
      <c r="A4510" s="78" t="s">
        <v>84</v>
      </c>
      <c r="B4510" s="78" t="s">
        <v>25</v>
      </c>
      <c r="C4510" s="85">
        <v>45220.0</v>
      </c>
      <c r="D4510" s="85">
        <v>45225.0</v>
      </c>
      <c r="E4510" s="86">
        <v>22.49</v>
      </c>
      <c r="F4510" s="87">
        <v>38.05</v>
      </c>
      <c r="G4510" s="88">
        <f t="shared" si="1"/>
        <v>15.56</v>
      </c>
      <c r="H4510" s="89">
        <f t="shared" si="10"/>
        <v>0.408935611</v>
      </c>
      <c r="I4510" s="78" t="s">
        <v>5303</v>
      </c>
      <c r="J4510" s="78" t="s">
        <v>69</v>
      </c>
      <c r="K4510" s="58">
        <f t="shared" si="14"/>
        <v>5</v>
      </c>
      <c r="L4510" s="91" t="str">
        <f t="shared" si="8"/>
        <v>Thu</v>
      </c>
      <c r="M4510" s="78" t="str">
        <f>IFERROR(VLOOKUP(A4510, Entries!A:B,2,false),"")</f>
        <v>Siege Camp</v>
      </c>
      <c r="N4510" s="23" t="str">
        <f>IFERROR(VLOOKUP(A4510, Entries!A:K,11,false),"")</f>
        <v/>
      </c>
    </row>
    <row r="4511">
      <c r="A4511" s="78" t="s">
        <v>4814</v>
      </c>
      <c r="B4511" s="78" t="s">
        <v>27</v>
      </c>
      <c r="C4511" s="85">
        <v>45220.0</v>
      </c>
      <c r="D4511" s="85">
        <v>45220.0</v>
      </c>
      <c r="E4511" s="86">
        <v>21.29</v>
      </c>
      <c r="F4511" s="87">
        <v>24.75</v>
      </c>
      <c r="G4511" s="88">
        <f t="shared" si="1"/>
        <v>3.46</v>
      </c>
      <c r="H4511" s="89">
        <f t="shared" si="10"/>
        <v>0.1397979798</v>
      </c>
      <c r="I4511" s="78" t="s">
        <v>5304</v>
      </c>
      <c r="J4511" s="78" t="s">
        <v>69</v>
      </c>
      <c r="K4511" s="58">
        <f t="shared" si="14"/>
        <v>0</v>
      </c>
      <c r="L4511" s="91" t="str">
        <f t="shared" si="8"/>
        <v>Sat</v>
      </c>
      <c r="M4511" s="78" t="str">
        <f>IFERROR(VLOOKUP(A4511, Entries!A:B,2,false),"")</f>
        <v>PlayStation</v>
      </c>
      <c r="N4511" s="23" t="str">
        <f>IFERROR(VLOOKUP(A4511, Entries!A:K,11,false),"")</f>
        <v/>
      </c>
    </row>
    <row r="4512">
      <c r="A4512" s="78" t="s">
        <v>2972</v>
      </c>
      <c r="B4512" s="78" t="s">
        <v>27</v>
      </c>
      <c r="C4512" s="85">
        <v>45220.0</v>
      </c>
      <c r="D4512" s="85">
        <v>45223.0</v>
      </c>
      <c r="E4512" s="86">
        <v>3.39</v>
      </c>
      <c r="F4512" s="87">
        <v>7.78</v>
      </c>
      <c r="G4512" s="88">
        <f t="shared" si="1"/>
        <v>4.39</v>
      </c>
      <c r="H4512" s="89">
        <f t="shared" si="10"/>
        <v>0.5642673522</v>
      </c>
      <c r="I4512" s="78" t="s">
        <v>5305</v>
      </c>
      <c r="J4512" s="78" t="s">
        <v>69</v>
      </c>
      <c r="K4512" s="58">
        <f t="shared" si="14"/>
        <v>3</v>
      </c>
      <c r="L4512" s="91" t="str">
        <f t="shared" si="8"/>
        <v>Tue</v>
      </c>
      <c r="M4512" s="78" t="str">
        <f>IFERROR(VLOOKUP(A4512, Entries!A:B,2,false),"")</f>
        <v>505 Games</v>
      </c>
      <c r="N4512" s="23" t="str">
        <f>IFERROR(VLOOKUP(A4512, Entries!A:K,11,false),"")</f>
        <v/>
      </c>
    </row>
    <row r="4513">
      <c r="A4513" s="78" t="s">
        <v>1786</v>
      </c>
      <c r="B4513" s="78" t="s">
        <v>23</v>
      </c>
      <c r="C4513" s="85">
        <v>45220.0</v>
      </c>
      <c r="D4513" s="85">
        <v>45220.0</v>
      </c>
      <c r="E4513" s="86">
        <v>13.76</v>
      </c>
      <c r="F4513" s="87">
        <v>17.85</v>
      </c>
      <c r="G4513" s="88">
        <f t="shared" si="1"/>
        <v>4.09</v>
      </c>
      <c r="H4513" s="89">
        <f t="shared" si="10"/>
        <v>0.2291316527</v>
      </c>
      <c r="I4513" s="78" t="s">
        <v>5306</v>
      </c>
      <c r="J4513" s="78" t="s">
        <v>69</v>
      </c>
      <c r="K4513" s="58">
        <f t="shared" si="14"/>
        <v>0</v>
      </c>
      <c r="L4513" s="91" t="str">
        <f t="shared" si="8"/>
        <v>Sat</v>
      </c>
      <c r="M4513" s="78" t="str">
        <f>IFERROR(VLOOKUP(A4513, Entries!A:B,2,false),"")</f>
        <v>Bethesda Softworks</v>
      </c>
      <c r="N4513" s="23" t="str">
        <f>IFERROR(VLOOKUP(A4513, Entries!A:K,11,false),"")</f>
        <v/>
      </c>
    </row>
    <row r="4514">
      <c r="A4514" s="78" t="s">
        <v>4814</v>
      </c>
      <c r="B4514" s="78" t="s">
        <v>27</v>
      </c>
      <c r="C4514" s="85">
        <v>45220.0</v>
      </c>
      <c r="D4514" s="85">
        <v>45220.0</v>
      </c>
      <c r="E4514" s="86">
        <v>21.29</v>
      </c>
      <c r="F4514" s="87">
        <v>24.75</v>
      </c>
      <c r="G4514" s="88">
        <f t="shared" si="1"/>
        <v>3.46</v>
      </c>
      <c r="H4514" s="89">
        <f t="shared" si="10"/>
        <v>0.1397979798</v>
      </c>
      <c r="I4514" s="78" t="s">
        <v>5307</v>
      </c>
      <c r="J4514" s="78" t="s">
        <v>69</v>
      </c>
      <c r="K4514" s="58">
        <f t="shared" si="14"/>
        <v>0</v>
      </c>
      <c r="L4514" s="91" t="str">
        <f t="shared" si="8"/>
        <v>Sat</v>
      </c>
      <c r="M4514" s="78" t="str">
        <f>IFERROR(VLOOKUP(A4514, Entries!A:B,2,false),"")</f>
        <v>PlayStation</v>
      </c>
      <c r="N4514" s="23" t="str">
        <f>IFERROR(VLOOKUP(A4514, Entries!A:K,11,false),"")</f>
        <v/>
      </c>
    </row>
    <row r="4515">
      <c r="A4515" s="78" t="s">
        <v>1786</v>
      </c>
      <c r="B4515" s="78" t="s">
        <v>23</v>
      </c>
      <c r="C4515" s="85">
        <v>45220.0</v>
      </c>
      <c r="D4515" s="85">
        <v>45221.0</v>
      </c>
      <c r="E4515" s="86">
        <v>13.76</v>
      </c>
      <c r="F4515" s="87">
        <v>17.2</v>
      </c>
      <c r="G4515" s="88">
        <f t="shared" si="1"/>
        <v>3.44</v>
      </c>
      <c r="H4515" s="89">
        <f t="shared" si="10"/>
        <v>0.2</v>
      </c>
      <c r="I4515" s="78" t="s">
        <v>5308</v>
      </c>
      <c r="J4515" s="78" t="s">
        <v>69</v>
      </c>
      <c r="K4515" s="58">
        <f t="shared" si="14"/>
        <v>1</v>
      </c>
      <c r="L4515" s="91" t="str">
        <f t="shared" si="8"/>
        <v>Sun</v>
      </c>
      <c r="M4515" s="78" t="str">
        <f>IFERROR(VLOOKUP(A4515, Entries!A:B,2,false),"")</f>
        <v>Bethesda Softworks</v>
      </c>
      <c r="N4515" s="23" t="str">
        <f>IFERROR(VLOOKUP(A4515, Entries!A:K,11,false),"")</f>
        <v/>
      </c>
    </row>
    <row r="4516">
      <c r="A4516" s="78" t="s">
        <v>4814</v>
      </c>
      <c r="B4516" s="78" t="s">
        <v>27</v>
      </c>
      <c r="C4516" s="85">
        <v>45220.0</v>
      </c>
      <c r="D4516" s="85">
        <v>45220.0</v>
      </c>
      <c r="E4516" s="86">
        <v>21.29</v>
      </c>
      <c r="F4516" s="87">
        <v>24.75</v>
      </c>
      <c r="G4516" s="88">
        <f t="shared" si="1"/>
        <v>3.46</v>
      </c>
      <c r="H4516" s="89">
        <f t="shared" si="10"/>
        <v>0.1397979798</v>
      </c>
      <c r="I4516" s="78" t="s">
        <v>5309</v>
      </c>
      <c r="J4516" s="78" t="s">
        <v>69</v>
      </c>
      <c r="K4516" s="58">
        <f t="shared" si="14"/>
        <v>0</v>
      </c>
      <c r="L4516" s="91" t="str">
        <f t="shared" si="8"/>
        <v>Sat</v>
      </c>
      <c r="M4516" s="78" t="str">
        <f>IFERROR(VLOOKUP(A4516, Entries!A:B,2,false),"")</f>
        <v>PlayStation</v>
      </c>
      <c r="N4516" s="23" t="str">
        <f>IFERROR(VLOOKUP(A4516, Entries!A:K,11,false),"")</f>
        <v/>
      </c>
    </row>
    <row r="4517">
      <c r="A4517" s="78" t="s">
        <v>4085</v>
      </c>
      <c r="B4517" s="78" t="s">
        <v>27</v>
      </c>
      <c r="C4517" s="85">
        <v>45220.0</v>
      </c>
      <c r="D4517" s="85">
        <v>45220.0</v>
      </c>
      <c r="E4517" s="86">
        <v>6.89</v>
      </c>
      <c r="F4517" s="87">
        <v>8.13</v>
      </c>
      <c r="G4517" s="88">
        <f t="shared" si="1"/>
        <v>1.24</v>
      </c>
      <c r="H4517" s="89">
        <f t="shared" si="10"/>
        <v>0.1525215252</v>
      </c>
      <c r="I4517" s="78" t="s">
        <v>5310</v>
      </c>
      <c r="J4517" s="78" t="s">
        <v>69</v>
      </c>
      <c r="K4517" s="58">
        <f t="shared" si="14"/>
        <v>0</v>
      </c>
      <c r="L4517" s="91" t="str">
        <f t="shared" si="8"/>
        <v>Sat</v>
      </c>
      <c r="M4517" s="78" t="str">
        <f>IFERROR(VLOOKUP(A4517, Entries!A:B,2,false),"")</f>
        <v>Bethesda Softworks</v>
      </c>
      <c r="N4517" s="23" t="str">
        <f>IFERROR(VLOOKUP(A4517, Entries!A:K,11,false),"")</f>
        <v/>
      </c>
    </row>
    <row r="4518">
      <c r="A4518" s="78" t="s">
        <v>5186</v>
      </c>
      <c r="B4518" s="78" t="s">
        <v>25</v>
      </c>
      <c r="C4518" s="85">
        <v>45220.0</v>
      </c>
      <c r="D4518" s="85">
        <v>45221.0</v>
      </c>
      <c r="E4518" s="86">
        <v>10.88</v>
      </c>
      <c r="F4518" s="87">
        <v>12.05</v>
      </c>
      <c r="G4518" s="88">
        <f t="shared" si="1"/>
        <v>1.17</v>
      </c>
      <c r="H4518" s="89">
        <f t="shared" si="10"/>
        <v>0.09709543568</v>
      </c>
      <c r="I4518" s="78" t="s">
        <v>5311</v>
      </c>
      <c r="J4518" s="78" t="s">
        <v>69</v>
      </c>
      <c r="K4518" s="58">
        <f t="shared" si="14"/>
        <v>1</v>
      </c>
      <c r="L4518" s="91" t="str">
        <f t="shared" si="8"/>
        <v>Sun</v>
      </c>
      <c r="M4518" s="78" t="str">
        <f>IFERROR(VLOOKUP(A4518, Entries!A:B,2,false),"")</f>
        <v>Untold Tales</v>
      </c>
      <c r="N4518" s="23" t="str">
        <f>IFERROR(VLOOKUP(A4518, Entries!A:K,11,false),"")</f>
        <v/>
      </c>
    </row>
    <row r="4519">
      <c r="A4519" s="78" t="s">
        <v>4926</v>
      </c>
      <c r="B4519" s="78" t="s">
        <v>27</v>
      </c>
      <c r="C4519" s="85">
        <v>45220.0</v>
      </c>
      <c r="D4519" s="85">
        <v>45220.0</v>
      </c>
      <c r="E4519" s="86">
        <v>8.19</v>
      </c>
      <c r="F4519" s="87">
        <v>9.44</v>
      </c>
      <c r="G4519" s="88">
        <f t="shared" si="1"/>
        <v>1.25</v>
      </c>
      <c r="H4519" s="89">
        <f t="shared" si="10"/>
        <v>0.1324152542</v>
      </c>
      <c r="I4519" s="78" t="s">
        <v>5312</v>
      </c>
      <c r="J4519" s="78" t="s">
        <v>69</v>
      </c>
      <c r="K4519" s="58">
        <f t="shared" si="14"/>
        <v>0</v>
      </c>
      <c r="L4519" s="91" t="str">
        <f t="shared" si="8"/>
        <v>Sat</v>
      </c>
      <c r="M4519" s="78" t="str">
        <f>IFERROR(VLOOKUP(A4519, Entries!A:B,2,false),"")</f>
        <v>Bethesda Softworks</v>
      </c>
      <c r="N4519" s="23" t="str">
        <f>IFERROR(VLOOKUP(A4519, Entries!A:K,11,false),"")</f>
        <v/>
      </c>
    </row>
    <row r="4520">
      <c r="A4520" s="78" t="s">
        <v>4168</v>
      </c>
      <c r="B4520" s="78" t="s">
        <v>25</v>
      </c>
      <c r="C4520" s="85">
        <v>45220.0</v>
      </c>
      <c r="D4520" s="85">
        <v>45318.0</v>
      </c>
      <c r="E4520" s="86">
        <v>5.38</v>
      </c>
      <c r="F4520" s="87">
        <v>8.85</v>
      </c>
      <c r="G4520" s="88">
        <f t="shared" si="1"/>
        <v>3.47</v>
      </c>
      <c r="H4520" s="89">
        <f t="shared" si="10"/>
        <v>0.3920903955</v>
      </c>
      <c r="I4520" s="78" t="s">
        <v>5313</v>
      </c>
      <c r="J4520" s="78" t="s">
        <v>69</v>
      </c>
      <c r="K4520" s="58">
        <f t="shared" si="14"/>
        <v>98</v>
      </c>
      <c r="L4520" s="91" t="str">
        <f t="shared" si="8"/>
        <v>Sat</v>
      </c>
      <c r="M4520" s="78" t="str">
        <f>IFERROR(VLOOKUP(A4520, Entries!A:B,2,false),"")</f>
        <v>DANGEN Entertainment</v>
      </c>
      <c r="N4520" s="23" t="str">
        <f>IFERROR(VLOOKUP(A4520, Entries!A:K,11,false),"")</f>
        <v/>
      </c>
    </row>
    <row r="4521">
      <c r="A4521" s="78" t="s">
        <v>5211</v>
      </c>
      <c r="B4521" s="78" t="s">
        <v>27</v>
      </c>
      <c r="C4521" s="85">
        <v>45220.0</v>
      </c>
      <c r="D4521" s="85">
        <v>45220.0</v>
      </c>
      <c r="E4521" s="86">
        <v>16.99</v>
      </c>
      <c r="F4521" s="87">
        <v>20.99</v>
      </c>
      <c r="G4521" s="88">
        <f t="shared" si="1"/>
        <v>4</v>
      </c>
      <c r="H4521" s="89">
        <f t="shared" si="10"/>
        <v>0.1905669366</v>
      </c>
      <c r="I4521" s="78" t="s">
        <v>5314</v>
      </c>
      <c r="J4521" s="78" t="s">
        <v>69</v>
      </c>
      <c r="K4521" s="58">
        <f t="shared" si="14"/>
        <v>0</v>
      </c>
      <c r="L4521" s="91" t="str">
        <f t="shared" si="8"/>
        <v>Sat</v>
      </c>
      <c r="M4521" s="78" t="str">
        <f>IFERROR(VLOOKUP(A4521, Entries!A:B,2,false),"")</f>
        <v>IO Interactive</v>
      </c>
      <c r="N4521" s="23" t="str">
        <f>IFERROR(VLOOKUP(A4521, Entries!A:K,11,false),"")</f>
        <v/>
      </c>
    </row>
    <row r="4522">
      <c r="A4522" s="78" t="s">
        <v>4188</v>
      </c>
      <c r="B4522" s="78" t="s">
        <v>21</v>
      </c>
      <c r="C4522" s="85">
        <v>45220.0</v>
      </c>
      <c r="D4522" s="85">
        <v>45220.0</v>
      </c>
      <c r="E4522" s="86">
        <v>25.24</v>
      </c>
      <c r="F4522" s="87">
        <v>29.73</v>
      </c>
      <c r="G4522" s="88">
        <f t="shared" si="1"/>
        <v>4.49</v>
      </c>
      <c r="H4522" s="89">
        <f t="shared" si="10"/>
        <v>0.1510258998</v>
      </c>
      <c r="I4522" s="78" t="s">
        <v>5315</v>
      </c>
      <c r="J4522" s="78" t="s">
        <v>69</v>
      </c>
      <c r="K4522" s="58">
        <f t="shared" si="14"/>
        <v>0</v>
      </c>
      <c r="L4522" s="91" t="str">
        <f t="shared" si="8"/>
        <v>Sat</v>
      </c>
      <c r="M4522" s="78" t="str">
        <f>IFERROR(VLOOKUP(A4522, Entries!A:B,2,false),"")</f>
        <v>PlayStation</v>
      </c>
      <c r="N4522" s="23" t="str">
        <f>IFERROR(VLOOKUP(A4522, Entries!A:K,11,false),"")</f>
        <v/>
      </c>
    </row>
    <row r="4523">
      <c r="A4523" s="78" t="s">
        <v>4188</v>
      </c>
      <c r="B4523" s="78" t="s">
        <v>21</v>
      </c>
      <c r="C4523" s="85">
        <v>45220.0</v>
      </c>
      <c r="D4523" s="85">
        <v>45221.0</v>
      </c>
      <c r="E4523" s="86">
        <v>25.24</v>
      </c>
      <c r="F4523" s="87">
        <v>29.68</v>
      </c>
      <c r="G4523" s="88">
        <f t="shared" si="1"/>
        <v>4.44</v>
      </c>
      <c r="H4523" s="89">
        <f t="shared" si="10"/>
        <v>0.1495956873</v>
      </c>
      <c r="I4523" s="78" t="s">
        <v>5316</v>
      </c>
      <c r="J4523" s="78" t="s">
        <v>69</v>
      </c>
      <c r="K4523" s="58">
        <f t="shared" si="14"/>
        <v>1</v>
      </c>
      <c r="L4523" s="91" t="str">
        <f t="shared" si="8"/>
        <v>Sun</v>
      </c>
      <c r="M4523" s="78" t="str">
        <f>IFERROR(VLOOKUP(A4523, Entries!A:B,2,false),"")</f>
        <v>PlayStation</v>
      </c>
      <c r="N4523" s="23" t="str">
        <f>IFERROR(VLOOKUP(A4523, Entries!A:K,11,false),"")</f>
        <v/>
      </c>
    </row>
    <row r="4524">
      <c r="A4524" s="78" t="s">
        <v>4814</v>
      </c>
      <c r="B4524" s="78" t="s">
        <v>27</v>
      </c>
      <c r="C4524" s="85">
        <v>45220.0</v>
      </c>
      <c r="D4524" s="85">
        <v>45220.0</v>
      </c>
      <c r="E4524" s="86">
        <v>21.29</v>
      </c>
      <c r="F4524" s="87">
        <v>24.75</v>
      </c>
      <c r="G4524" s="88">
        <f t="shared" si="1"/>
        <v>3.46</v>
      </c>
      <c r="H4524" s="89">
        <f t="shared" si="10"/>
        <v>0.1397979798</v>
      </c>
      <c r="I4524" s="78" t="s">
        <v>5317</v>
      </c>
      <c r="J4524" s="78" t="s">
        <v>69</v>
      </c>
      <c r="K4524" s="58">
        <f t="shared" si="14"/>
        <v>0</v>
      </c>
      <c r="L4524" s="91" t="str">
        <f t="shared" si="8"/>
        <v>Sat</v>
      </c>
      <c r="M4524" s="78" t="str">
        <f>IFERROR(VLOOKUP(A4524, Entries!A:B,2,false),"")</f>
        <v>PlayStation</v>
      </c>
      <c r="N4524" s="23" t="str">
        <f>IFERROR(VLOOKUP(A4524, Entries!A:K,11,false),"")</f>
        <v/>
      </c>
    </row>
    <row r="4525">
      <c r="A4525" s="78" t="s">
        <v>4085</v>
      </c>
      <c r="B4525" s="78" t="s">
        <v>27</v>
      </c>
      <c r="C4525" s="85">
        <v>45220.0</v>
      </c>
      <c r="D4525" s="85">
        <v>45221.0</v>
      </c>
      <c r="E4525" s="86">
        <v>6.89</v>
      </c>
      <c r="F4525" s="87">
        <v>8.13</v>
      </c>
      <c r="G4525" s="88">
        <f t="shared" si="1"/>
        <v>1.24</v>
      </c>
      <c r="H4525" s="89">
        <f t="shared" si="10"/>
        <v>0.1525215252</v>
      </c>
      <c r="I4525" s="78" t="s">
        <v>5318</v>
      </c>
      <c r="J4525" s="78" t="s">
        <v>69</v>
      </c>
      <c r="K4525" s="58">
        <f t="shared" si="14"/>
        <v>1</v>
      </c>
      <c r="L4525" s="91" t="str">
        <f t="shared" si="8"/>
        <v>Sun</v>
      </c>
      <c r="M4525" s="78" t="str">
        <f>IFERROR(VLOOKUP(A4525, Entries!A:B,2,false),"")</f>
        <v>Bethesda Softworks</v>
      </c>
      <c r="N4525" s="23" t="str">
        <f>IFERROR(VLOOKUP(A4525, Entries!A:K,11,false),"")</f>
        <v/>
      </c>
    </row>
    <row r="4526">
      <c r="A4526" s="78" t="s">
        <v>5211</v>
      </c>
      <c r="B4526" s="78" t="s">
        <v>27</v>
      </c>
      <c r="C4526" s="85">
        <v>45220.0</v>
      </c>
      <c r="D4526" s="85">
        <v>45339.0</v>
      </c>
      <c r="E4526" s="86">
        <v>16.99</v>
      </c>
      <c r="F4526" s="87">
        <v>19.5</v>
      </c>
      <c r="G4526" s="88">
        <f t="shared" si="1"/>
        <v>2.51</v>
      </c>
      <c r="H4526" s="89">
        <f t="shared" si="10"/>
        <v>0.1287179487</v>
      </c>
      <c r="I4526" s="78" t="s">
        <v>5319</v>
      </c>
      <c r="J4526" s="78" t="s">
        <v>69</v>
      </c>
      <c r="K4526" s="58">
        <f t="shared" si="14"/>
        <v>119</v>
      </c>
      <c r="L4526" s="91" t="str">
        <f t="shared" si="8"/>
        <v>Sat</v>
      </c>
      <c r="M4526" s="78" t="str">
        <f>IFERROR(VLOOKUP(A4526, Entries!A:B,2,false),"")</f>
        <v>IO Interactive</v>
      </c>
      <c r="N4526" s="23" t="str">
        <f>IFERROR(VLOOKUP(A4526, Entries!A:K,11,false),"")</f>
        <v/>
      </c>
    </row>
    <row r="4527">
      <c r="A4527" s="78" t="s">
        <v>4926</v>
      </c>
      <c r="B4527" s="78" t="s">
        <v>27</v>
      </c>
      <c r="C4527" s="85">
        <v>45220.0</v>
      </c>
      <c r="D4527" s="85">
        <v>45221.0</v>
      </c>
      <c r="E4527" s="86">
        <v>8.19</v>
      </c>
      <c r="F4527" s="87">
        <v>9.44</v>
      </c>
      <c r="G4527" s="88">
        <f t="shared" si="1"/>
        <v>1.25</v>
      </c>
      <c r="H4527" s="89">
        <f t="shared" si="10"/>
        <v>0.1324152542</v>
      </c>
      <c r="I4527" s="78" t="s">
        <v>5320</v>
      </c>
      <c r="J4527" s="78" t="s">
        <v>69</v>
      </c>
      <c r="K4527" s="58">
        <f t="shared" si="14"/>
        <v>1</v>
      </c>
      <c r="L4527" s="91" t="str">
        <f t="shared" si="8"/>
        <v>Sun</v>
      </c>
      <c r="M4527" s="78" t="str">
        <f>IFERROR(VLOOKUP(A4527, Entries!A:B,2,false),"")</f>
        <v>Bethesda Softworks</v>
      </c>
      <c r="N4527" s="23" t="str">
        <f>IFERROR(VLOOKUP(A4527, Entries!A:K,11,false),"")</f>
        <v/>
      </c>
    </row>
    <row r="4528">
      <c r="A4528" s="78" t="s">
        <v>4814</v>
      </c>
      <c r="B4528" s="78" t="s">
        <v>27</v>
      </c>
      <c r="C4528" s="85">
        <v>45220.0</v>
      </c>
      <c r="D4528" s="85">
        <v>45221.0</v>
      </c>
      <c r="E4528" s="86">
        <v>21.29</v>
      </c>
      <c r="F4528" s="87">
        <v>24.69</v>
      </c>
      <c r="G4528" s="88">
        <f t="shared" si="1"/>
        <v>3.4</v>
      </c>
      <c r="H4528" s="89">
        <f t="shared" si="10"/>
        <v>0.1377075739</v>
      </c>
      <c r="I4528" s="78" t="s">
        <v>5321</v>
      </c>
      <c r="J4528" s="78" t="s">
        <v>69</v>
      </c>
      <c r="K4528" s="58">
        <f t="shared" si="14"/>
        <v>1</v>
      </c>
      <c r="L4528" s="91" t="str">
        <f t="shared" si="8"/>
        <v>Sun</v>
      </c>
      <c r="M4528" s="78" t="str">
        <f>IFERROR(VLOOKUP(A4528, Entries!A:B,2,false),"")</f>
        <v>PlayStation</v>
      </c>
      <c r="N4528" s="23" t="str">
        <f>IFERROR(VLOOKUP(A4528, Entries!A:K,11,false),"")</f>
        <v/>
      </c>
    </row>
    <row r="4529">
      <c r="A4529" s="78" t="s">
        <v>4914</v>
      </c>
      <c r="B4529" s="78" t="s">
        <v>27</v>
      </c>
      <c r="C4529" s="85">
        <v>45220.0</v>
      </c>
      <c r="D4529" s="85">
        <v>45225.0</v>
      </c>
      <c r="E4529" s="86">
        <v>14.89</v>
      </c>
      <c r="F4529" s="87">
        <v>16.51</v>
      </c>
      <c r="G4529" s="88">
        <f t="shared" si="1"/>
        <v>1.62</v>
      </c>
      <c r="H4529" s="89">
        <f t="shared" si="10"/>
        <v>0.09812235009</v>
      </c>
      <c r="I4529" s="78" t="s">
        <v>5322</v>
      </c>
      <c r="J4529" s="78" t="s">
        <v>69</v>
      </c>
      <c r="K4529" s="58">
        <f t="shared" si="14"/>
        <v>5</v>
      </c>
      <c r="L4529" s="91" t="str">
        <f t="shared" si="8"/>
        <v>Thu</v>
      </c>
      <c r="M4529" s="78" t="str">
        <f>IFERROR(VLOOKUP(A4529, Entries!A:B,2,false),"")</f>
        <v>Deep Silver</v>
      </c>
      <c r="N4529" s="23" t="str">
        <f>IFERROR(VLOOKUP(A4529, Entries!A:K,11,false),"")</f>
        <v/>
      </c>
    </row>
    <row r="4530">
      <c r="A4530" s="78" t="s">
        <v>1786</v>
      </c>
      <c r="B4530" s="78" t="s">
        <v>23</v>
      </c>
      <c r="C4530" s="85">
        <v>45221.0</v>
      </c>
      <c r="D4530" s="85">
        <v>45221.0</v>
      </c>
      <c r="E4530" s="86">
        <v>13.76</v>
      </c>
      <c r="F4530" s="87">
        <v>17.2</v>
      </c>
      <c r="G4530" s="88">
        <f t="shared" si="1"/>
        <v>3.44</v>
      </c>
      <c r="H4530" s="89">
        <f t="shared" si="10"/>
        <v>0.2</v>
      </c>
      <c r="I4530" s="78" t="s">
        <v>5323</v>
      </c>
      <c r="J4530" s="78" t="s">
        <v>69</v>
      </c>
      <c r="K4530" s="58">
        <f t="shared" si="14"/>
        <v>0</v>
      </c>
      <c r="L4530" s="91" t="str">
        <f t="shared" si="8"/>
        <v>Sun</v>
      </c>
      <c r="M4530" s="78" t="str">
        <f>IFERROR(VLOOKUP(A4530, Entries!A:B,2,false),"")</f>
        <v>Bethesda Softworks</v>
      </c>
      <c r="N4530" s="23" t="str">
        <f>IFERROR(VLOOKUP(A4530, Entries!A:K,11,false),"")</f>
        <v/>
      </c>
    </row>
    <row r="4531">
      <c r="A4531" s="78" t="s">
        <v>4814</v>
      </c>
      <c r="B4531" s="78" t="s">
        <v>27</v>
      </c>
      <c r="C4531" s="85">
        <v>45221.0</v>
      </c>
      <c r="D4531" s="85">
        <v>45221.0</v>
      </c>
      <c r="E4531" s="86">
        <v>21.29</v>
      </c>
      <c r="F4531" s="87">
        <v>24.76</v>
      </c>
      <c r="G4531" s="88">
        <f t="shared" si="1"/>
        <v>3.47</v>
      </c>
      <c r="H4531" s="89">
        <f t="shared" si="10"/>
        <v>0.1401453958</v>
      </c>
      <c r="I4531" s="78" t="s">
        <v>5324</v>
      </c>
      <c r="J4531" s="78" t="s">
        <v>69</v>
      </c>
      <c r="K4531" s="58">
        <f t="shared" si="14"/>
        <v>0</v>
      </c>
      <c r="L4531" s="91" t="str">
        <f t="shared" si="8"/>
        <v>Sun</v>
      </c>
      <c r="M4531" s="78" t="str">
        <f>IFERROR(VLOOKUP(A4531, Entries!A:B,2,false),"")</f>
        <v>PlayStation</v>
      </c>
      <c r="N4531" s="23" t="str">
        <f>IFERROR(VLOOKUP(A4531, Entries!A:K,11,false),"")</f>
        <v/>
      </c>
    </row>
    <row r="4532">
      <c r="A4532" s="78" t="s">
        <v>4926</v>
      </c>
      <c r="B4532" s="78" t="s">
        <v>27</v>
      </c>
      <c r="C4532" s="85">
        <v>45221.0</v>
      </c>
      <c r="D4532" s="85">
        <v>45221.0</v>
      </c>
      <c r="E4532" s="86">
        <v>8.19</v>
      </c>
      <c r="F4532" s="87">
        <v>9.58</v>
      </c>
      <c r="G4532" s="88">
        <f t="shared" si="1"/>
        <v>1.39</v>
      </c>
      <c r="H4532" s="89">
        <f t="shared" si="10"/>
        <v>0.1450939457</v>
      </c>
      <c r="I4532" s="78" t="s">
        <v>5325</v>
      </c>
      <c r="J4532" s="78" t="s">
        <v>69</v>
      </c>
      <c r="K4532" s="58">
        <f t="shared" si="14"/>
        <v>0</v>
      </c>
      <c r="L4532" s="91" t="str">
        <f t="shared" si="8"/>
        <v>Sun</v>
      </c>
      <c r="M4532" s="78" t="str">
        <f>IFERROR(VLOOKUP(A4532, Entries!A:B,2,false),"")</f>
        <v>Bethesda Softworks</v>
      </c>
      <c r="N4532" s="23" t="str">
        <f>IFERROR(VLOOKUP(A4532, Entries!A:K,11,false),"")</f>
        <v/>
      </c>
    </row>
    <row r="4533">
      <c r="A4533" s="78" t="s">
        <v>1786</v>
      </c>
      <c r="B4533" s="78" t="s">
        <v>23</v>
      </c>
      <c r="C4533" s="85">
        <v>45221.0</v>
      </c>
      <c r="D4533" s="85">
        <v>45221.0</v>
      </c>
      <c r="E4533" s="86">
        <v>13.76</v>
      </c>
      <c r="F4533" s="87">
        <v>17.2</v>
      </c>
      <c r="G4533" s="88">
        <f t="shared" si="1"/>
        <v>3.44</v>
      </c>
      <c r="H4533" s="89">
        <f t="shared" si="10"/>
        <v>0.2</v>
      </c>
      <c r="I4533" s="78" t="s">
        <v>5326</v>
      </c>
      <c r="J4533" s="78" t="s">
        <v>69</v>
      </c>
      <c r="K4533" s="58">
        <f t="shared" si="14"/>
        <v>0</v>
      </c>
      <c r="L4533" s="91" t="str">
        <f t="shared" si="8"/>
        <v>Sun</v>
      </c>
      <c r="M4533" s="78" t="str">
        <f>IFERROR(VLOOKUP(A4533, Entries!A:B,2,false),"")</f>
        <v>Bethesda Softworks</v>
      </c>
      <c r="N4533" s="23" t="str">
        <f>IFERROR(VLOOKUP(A4533, Entries!A:K,11,false),"")</f>
        <v/>
      </c>
    </row>
    <row r="4534">
      <c r="A4534" s="78" t="s">
        <v>4926</v>
      </c>
      <c r="B4534" s="78" t="s">
        <v>27</v>
      </c>
      <c r="C4534" s="85">
        <v>45221.0</v>
      </c>
      <c r="D4534" s="85">
        <v>45221.0</v>
      </c>
      <c r="E4534" s="86">
        <v>8.19</v>
      </c>
      <c r="F4534" s="87">
        <v>9.58</v>
      </c>
      <c r="G4534" s="88">
        <f t="shared" si="1"/>
        <v>1.39</v>
      </c>
      <c r="H4534" s="89">
        <f t="shared" si="10"/>
        <v>0.1450939457</v>
      </c>
      <c r="I4534" s="78" t="s">
        <v>5327</v>
      </c>
      <c r="J4534" s="78" t="s">
        <v>69</v>
      </c>
      <c r="K4534" s="58">
        <f t="shared" si="14"/>
        <v>0</v>
      </c>
      <c r="L4534" s="91" t="str">
        <f t="shared" si="8"/>
        <v>Sun</v>
      </c>
      <c r="M4534" s="78" t="str">
        <f>IFERROR(VLOOKUP(A4534, Entries!A:B,2,false),"")</f>
        <v>Bethesda Softworks</v>
      </c>
      <c r="N4534" s="23" t="str">
        <f>IFERROR(VLOOKUP(A4534, Entries!A:K,11,false),"")</f>
        <v/>
      </c>
    </row>
    <row r="4535">
      <c r="A4535" s="78" t="s">
        <v>5328</v>
      </c>
      <c r="B4535" s="78" t="s">
        <v>27</v>
      </c>
      <c r="C4535" s="85">
        <v>45221.0</v>
      </c>
      <c r="D4535" s="25"/>
      <c r="E4535" s="86">
        <v>24.79</v>
      </c>
      <c r="F4535" s="88"/>
      <c r="G4535" s="88">
        <f t="shared" si="1"/>
        <v>-24.79</v>
      </c>
      <c r="H4535" s="89" t="str">
        <f t="shared" si="10"/>
        <v/>
      </c>
      <c r="I4535" s="103" t="s">
        <v>5329</v>
      </c>
      <c r="J4535" s="78" t="s">
        <v>1129</v>
      </c>
      <c r="K4535" s="58" t="str">
        <f t="shared" si="14"/>
        <v/>
      </c>
      <c r="L4535" s="91" t="str">
        <f t="shared" si="8"/>
        <v/>
      </c>
      <c r="M4535" s="78" t="str">
        <f>IFERROR(VLOOKUP(A4535, Entries!A:B,2,false),"")</f>
        <v>SEGA</v>
      </c>
      <c r="N4535" s="23" t="str">
        <f>IFERROR(VLOOKUP(A4535, Entries!A:K,11,false),"")</f>
        <v/>
      </c>
    </row>
    <row r="4536">
      <c r="A4536" s="78" t="s">
        <v>4814</v>
      </c>
      <c r="B4536" s="78" t="s">
        <v>27</v>
      </c>
      <c r="C4536" s="85">
        <v>45221.0</v>
      </c>
      <c r="D4536" s="85">
        <v>45221.0</v>
      </c>
      <c r="E4536" s="86">
        <v>21.29</v>
      </c>
      <c r="F4536" s="87">
        <v>24.76</v>
      </c>
      <c r="G4536" s="88">
        <f t="shared" si="1"/>
        <v>3.47</v>
      </c>
      <c r="H4536" s="89">
        <f t="shared" si="10"/>
        <v>0.1401453958</v>
      </c>
      <c r="I4536" s="78" t="s">
        <v>5330</v>
      </c>
      <c r="J4536" s="78" t="s">
        <v>69</v>
      </c>
      <c r="K4536" s="58">
        <f t="shared" si="14"/>
        <v>0</v>
      </c>
      <c r="L4536" s="91" t="str">
        <f t="shared" si="8"/>
        <v>Sun</v>
      </c>
      <c r="M4536" s="78" t="str">
        <f>IFERROR(VLOOKUP(A4536, Entries!A:B,2,false),"")</f>
        <v>PlayStation</v>
      </c>
      <c r="N4536" s="23" t="str">
        <f>IFERROR(VLOOKUP(A4536, Entries!A:K,11,false),"")</f>
        <v/>
      </c>
    </row>
    <row r="4537">
      <c r="A4537" s="78" t="s">
        <v>1786</v>
      </c>
      <c r="B4537" s="78" t="s">
        <v>23</v>
      </c>
      <c r="C4537" s="85">
        <v>45221.0</v>
      </c>
      <c r="D4537" s="85">
        <v>45221.0</v>
      </c>
      <c r="E4537" s="86">
        <v>13.76</v>
      </c>
      <c r="F4537" s="87">
        <v>17.2</v>
      </c>
      <c r="G4537" s="88">
        <f t="shared" si="1"/>
        <v>3.44</v>
      </c>
      <c r="H4537" s="89">
        <f t="shared" si="10"/>
        <v>0.2</v>
      </c>
      <c r="I4537" s="78" t="s">
        <v>5331</v>
      </c>
      <c r="J4537" s="78" t="s">
        <v>69</v>
      </c>
      <c r="K4537" s="58">
        <f t="shared" si="14"/>
        <v>0</v>
      </c>
      <c r="L4537" s="91" t="str">
        <f t="shared" si="8"/>
        <v>Sun</v>
      </c>
      <c r="M4537" s="78" t="str">
        <f>IFERROR(VLOOKUP(A4537, Entries!A:B,2,false),"")</f>
        <v>Bethesda Softworks</v>
      </c>
      <c r="N4537" s="23" t="str">
        <f>IFERROR(VLOOKUP(A4537, Entries!A:K,11,false),"")</f>
        <v/>
      </c>
    </row>
    <row r="4538">
      <c r="A4538" s="78" t="s">
        <v>4926</v>
      </c>
      <c r="B4538" s="78" t="s">
        <v>27</v>
      </c>
      <c r="C4538" s="85">
        <v>45221.0</v>
      </c>
      <c r="D4538" s="85">
        <v>45221.0</v>
      </c>
      <c r="E4538" s="86">
        <v>8.19</v>
      </c>
      <c r="F4538" s="87">
        <v>10.21</v>
      </c>
      <c r="G4538" s="88">
        <f t="shared" si="1"/>
        <v>2.02</v>
      </c>
      <c r="H4538" s="89">
        <f t="shared" si="10"/>
        <v>0.1978452498</v>
      </c>
      <c r="I4538" s="78" t="s">
        <v>5332</v>
      </c>
      <c r="J4538" s="78" t="s">
        <v>69</v>
      </c>
      <c r="K4538" s="58">
        <f t="shared" si="14"/>
        <v>0</v>
      </c>
      <c r="L4538" s="91" t="str">
        <f t="shared" si="8"/>
        <v>Sun</v>
      </c>
      <c r="M4538" s="78" t="str">
        <f>IFERROR(VLOOKUP(A4538, Entries!A:B,2,false),"")</f>
        <v>Bethesda Softworks</v>
      </c>
      <c r="N4538" s="23" t="str">
        <f>IFERROR(VLOOKUP(A4538, Entries!A:K,11,false),"")</f>
        <v/>
      </c>
    </row>
    <row r="4539">
      <c r="A4539" s="78" t="s">
        <v>4814</v>
      </c>
      <c r="B4539" s="78" t="s">
        <v>27</v>
      </c>
      <c r="C4539" s="85">
        <v>45221.0</v>
      </c>
      <c r="D4539" s="85">
        <v>45222.0</v>
      </c>
      <c r="E4539" s="86">
        <v>21.29</v>
      </c>
      <c r="F4539" s="87">
        <v>24.76</v>
      </c>
      <c r="G4539" s="88">
        <f t="shared" si="1"/>
        <v>3.47</v>
      </c>
      <c r="H4539" s="89">
        <f t="shared" si="10"/>
        <v>0.1401453958</v>
      </c>
      <c r="I4539" s="78" t="s">
        <v>5333</v>
      </c>
      <c r="J4539" s="78" t="s">
        <v>69</v>
      </c>
      <c r="K4539" s="58">
        <f t="shared" si="14"/>
        <v>1</v>
      </c>
      <c r="L4539" s="91" t="str">
        <f t="shared" si="8"/>
        <v>Mon</v>
      </c>
      <c r="M4539" s="78" t="str">
        <f>IFERROR(VLOOKUP(A4539, Entries!A:B,2,false),"")</f>
        <v>PlayStation</v>
      </c>
      <c r="N4539" s="23" t="str">
        <f>IFERROR(VLOOKUP(A4539, Entries!A:K,11,false),"")</f>
        <v/>
      </c>
    </row>
    <row r="4540">
      <c r="A4540" s="78" t="s">
        <v>4085</v>
      </c>
      <c r="B4540" s="78" t="s">
        <v>27</v>
      </c>
      <c r="C4540" s="85">
        <v>45221.0</v>
      </c>
      <c r="D4540" s="85">
        <v>45221.0</v>
      </c>
      <c r="E4540" s="86">
        <v>6.89</v>
      </c>
      <c r="F4540" s="87">
        <v>8.13</v>
      </c>
      <c r="G4540" s="88">
        <f t="shared" si="1"/>
        <v>1.24</v>
      </c>
      <c r="H4540" s="89">
        <f t="shared" si="10"/>
        <v>0.1525215252</v>
      </c>
      <c r="I4540" s="78" t="s">
        <v>5334</v>
      </c>
      <c r="J4540" s="78" t="s">
        <v>69</v>
      </c>
      <c r="K4540" s="58">
        <f t="shared" si="14"/>
        <v>0</v>
      </c>
      <c r="L4540" s="91" t="str">
        <f t="shared" si="8"/>
        <v>Sun</v>
      </c>
      <c r="M4540" s="78" t="str">
        <f>IFERROR(VLOOKUP(A4540, Entries!A:B,2,false),"")</f>
        <v>Bethesda Softworks</v>
      </c>
      <c r="N4540" s="23" t="str">
        <f>IFERROR(VLOOKUP(A4540, Entries!A:K,11,false),"")</f>
        <v/>
      </c>
    </row>
    <row r="4541">
      <c r="A4541" s="78" t="s">
        <v>4926</v>
      </c>
      <c r="B4541" s="78" t="s">
        <v>27</v>
      </c>
      <c r="C4541" s="85">
        <v>45221.0</v>
      </c>
      <c r="D4541" s="85">
        <v>45222.0</v>
      </c>
      <c r="E4541" s="86">
        <v>8.19</v>
      </c>
      <c r="F4541" s="87">
        <v>10.21</v>
      </c>
      <c r="G4541" s="88">
        <f t="shared" si="1"/>
        <v>2.02</v>
      </c>
      <c r="H4541" s="89">
        <f t="shared" si="10"/>
        <v>0.1978452498</v>
      </c>
      <c r="I4541" s="78" t="s">
        <v>5335</v>
      </c>
      <c r="J4541" s="78" t="s">
        <v>69</v>
      </c>
      <c r="K4541" s="58">
        <f t="shared" si="14"/>
        <v>1</v>
      </c>
      <c r="L4541" s="91" t="str">
        <f t="shared" si="8"/>
        <v>Mon</v>
      </c>
      <c r="M4541" s="78" t="str">
        <f>IFERROR(VLOOKUP(A4541, Entries!A:B,2,false),"")</f>
        <v>Bethesda Softworks</v>
      </c>
      <c r="N4541" s="23" t="str">
        <f>IFERROR(VLOOKUP(A4541, Entries!A:K,11,false),"")</f>
        <v/>
      </c>
    </row>
    <row r="4542">
      <c r="A4542" s="78" t="s">
        <v>1786</v>
      </c>
      <c r="B4542" s="78" t="s">
        <v>23</v>
      </c>
      <c r="C4542" s="85">
        <v>45221.0</v>
      </c>
      <c r="D4542" s="85">
        <v>45222.0</v>
      </c>
      <c r="E4542" s="86">
        <v>13.76</v>
      </c>
      <c r="F4542" s="87">
        <v>17.2</v>
      </c>
      <c r="G4542" s="88">
        <f t="shared" si="1"/>
        <v>3.44</v>
      </c>
      <c r="H4542" s="89">
        <f t="shared" si="10"/>
        <v>0.2</v>
      </c>
      <c r="I4542" s="78" t="s">
        <v>5336</v>
      </c>
      <c r="J4542" s="78" t="s">
        <v>69</v>
      </c>
      <c r="K4542" s="58">
        <f t="shared" si="14"/>
        <v>1</v>
      </c>
      <c r="L4542" s="91" t="str">
        <f t="shared" si="8"/>
        <v>Mon</v>
      </c>
      <c r="M4542" s="78" t="str">
        <f>IFERROR(VLOOKUP(A4542, Entries!A:B,2,false),"")</f>
        <v>Bethesda Softworks</v>
      </c>
      <c r="N4542" s="23" t="str">
        <f>IFERROR(VLOOKUP(A4542, Entries!A:K,11,false),"")</f>
        <v/>
      </c>
    </row>
    <row r="4543">
      <c r="A4543" s="78" t="s">
        <v>4085</v>
      </c>
      <c r="B4543" s="78" t="s">
        <v>27</v>
      </c>
      <c r="C4543" s="85">
        <v>45221.0</v>
      </c>
      <c r="D4543" s="85">
        <v>45222.0</v>
      </c>
      <c r="E4543" s="86">
        <v>6.89</v>
      </c>
      <c r="F4543" s="87">
        <v>8.13</v>
      </c>
      <c r="G4543" s="88">
        <f t="shared" si="1"/>
        <v>1.24</v>
      </c>
      <c r="H4543" s="89">
        <f t="shared" si="10"/>
        <v>0.1525215252</v>
      </c>
      <c r="I4543" s="78" t="s">
        <v>5337</v>
      </c>
      <c r="J4543" s="78" t="s">
        <v>69</v>
      </c>
      <c r="K4543" s="58">
        <f t="shared" si="14"/>
        <v>1</v>
      </c>
      <c r="L4543" s="91" t="str">
        <f t="shared" si="8"/>
        <v>Mon</v>
      </c>
      <c r="M4543" s="78" t="str">
        <f>IFERROR(VLOOKUP(A4543, Entries!A:B,2,false),"")</f>
        <v>Bethesda Softworks</v>
      </c>
      <c r="N4543" s="23" t="str">
        <f>IFERROR(VLOOKUP(A4543, Entries!A:K,11,false),"")</f>
        <v/>
      </c>
    </row>
    <row r="4544">
      <c r="A4544" s="78" t="s">
        <v>4926</v>
      </c>
      <c r="B4544" s="78" t="s">
        <v>27</v>
      </c>
      <c r="C4544" s="85">
        <v>45222.0</v>
      </c>
      <c r="D4544" s="85">
        <v>45222.0</v>
      </c>
      <c r="E4544" s="86">
        <v>8.19</v>
      </c>
      <c r="F4544" s="87">
        <v>11.85</v>
      </c>
      <c r="G4544" s="88">
        <f t="shared" si="1"/>
        <v>3.66</v>
      </c>
      <c r="H4544" s="89">
        <f t="shared" si="10"/>
        <v>0.3088607595</v>
      </c>
      <c r="I4544" s="78" t="s">
        <v>5338</v>
      </c>
      <c r="J4544" s="78" t="s">
        <v>69</v>
      </c>
      <c r="K4544" s="58">
        <f t="shared" si="14"/>
        <v>0</v>
      </c>
      <c r="L4544" s="91" t="str">
        <f t="shared" si="8"/>
        <v>Mon</v>
      </c>
      <c r="M4544" s="78" t="str">
        <f>IFERROR(VLOOKUP(A4544, Entries!A:B,2,false),"")</f>
        <v>Bethesda Softworks</v>
      </c>
      <c r="N4544" s="23" t="str">
        <f>IFERROR(VLOOKUP(A4544, Entries!A:K,11,false),"")</f>
        <v/>
      </c>
    </row>
    <row r="4545">
      <c r="A4545" s="78" t="s">
        <v>1786</v>
      </c>
      <c r="B4545" s="78" t="s">
        <v>23</v>
      </c>
      <c r="C4545" s="85">
        <v>45222.0</v>
      </c>
      <c r="D4545" s="85">
        <v>45222.0</v>
      </c>
      <c r="E4545" s="86">
        <v>13.76</v>
      </c>
      <c r="F4545" s="87">
        <v>17.2</v>
      </c>
      <c r="G4545" s="88">
        <f t="shared" si="1"/>
        <v>3.44</v>
      </c>
      <c r="H4545" s="89">
        <f t="shared" si="10"/>
        <v>0.2</v>
      </c>
      <c r="I4545" s="78" t="s">
        <v>5339</v>
      </c>
      <c r="J4545" s="78" t="s">
        <v>69</v>
      </c>
      <c r="K4545" s="58">
        <f t="shared" si="14"/>
        <v>0</v>
      </c>
      <c r="L4545" s="91" t="str">
        <f t="shared" si="8"/>
        <v>Mon</v>
      </c>
      <c r="M4545" s="78" t="str">
        <f>IFERROR(VLOOKUP(A4545, Entries!A:B,2,false),"")</f>
        <v>Bethesda Softworks</v>
      </c>
      <c r="N4545" s="23" t="str">
        <f>IFERROR(VLOOKUP(A4545, Entries!A:K,11,false),"")</f>
        <v/>
      </c>
    </row>
    <row r="4546">
      <c r="A4546" s="78" t="s">
        <v>1786</v>
      </c>
      <c r="B4546" s="78" t="s">
        <v>23</v>
      </c>
      <c r="C4546" s="85">
        <v>45222.0</v>
      </c>
      <c r="D4546" s="85">
        <v>45222.0</v>
      </c>
      <c r="E4546" s="86">
        <v>13.76</v>
      </c>
      <c r="F4546" s="87">
        <v>17.2</v>
      </c>
      <c r="G4546" s="88">
        <f t="shared" si="1"/>
        <v>3.44</v>
      </c>
      <c r="H4546" s="89">
        <f t="shared" si="10"/>
        <v>0.2</v>
      </c>
      <c r="I4546" s="78" t="s">
        <v>5340</v>
      </c>
      <c r="J4546" s="78" t="s">
        <v>69</v>
      </c>
      <c r="K4546" s="58">
        <f t="shared" si="14"/>
        <v>0</v>
      </c>
      <c r="L4546" s="91" t="str">
        <f t="shared" si="8"/>
        <v>Mon</v>
      </c>
      <c r="M4546" s="78" t="str">
        <f>IFERROR(VLOOKUP(A4546, Entries!A:B,2,false),"")</f>
        <v>Bethesda Softworks</v>
      </c>
      <c r="N4546" s="23" t="str">
        <f>IFERROR(VLOOKUP(A4546, Entries!A:K,11,false),"")</f>
        <v/>
      </c>
    </row>
    <row r="4547">
      <c r="A4547" s="78" t="s">
        <v>1786</v>
      </c>
      <c r="B4547" s="78" t="s">
        <v>23</v>
      </c>
      <c r="C4547" s="85">
        <v>45222.0</v>
      </c>
      <c r="D4547" s="85">
        <v>45222.0</v>
      </c>
      <c r="E4547" s="86">
        <v>13.76</v>
      </c>
      <c r="F4547" s="87">
        <v>17.15</v>
      </c>
      <c r="G4547" s="88">
        <f t="shared" si="1"/>
        <v>3.39</v>
      </c>
      <c r="H4547" s="89">
        <f t="shared" si="10"/>
        <v>0.1976676385</v>
      </c>
      <c r="I4547" s="78" t="s">
        <v>5341</v>
      </c>
      <c r="J4547" s="78" t="s">
        <v>69</v>
      </c>
      <c r="K4547" s="58">
        <f t="shared" si="14"/>
        <v>0</v>
      </c>
      <c r="L4547" s="91" t="str">
        <f t="shared" si="8"/>
        <v>Mon</v>
      </c>
      <c r="M4547" s="78" t="str">
        <f>IFERROR(VLOOKUP(A4547, Entries!A:B,2,false),"")</f>
        <v>Bethesda Softworks</v>
      </c>
      <c r="N4547" s="23" t="str">
        <f>IFERROR(VLOOKUP(A4547, Entries!A:K,11,false),"")</f>
        <v/>
      </c>
    </row>
    <row r="4548">
      <c r="A4548" s="78" t="s">
        <v>5273</v>
      </c>
      <c r="B4548" s="78" t="s">
        <v>27</v>
      </c>
      <c r="C4548" s="85">
        <v>45222.0</v>
      </c>
      <c r="D4548" s="85">
        <v>45222.0</v>
      </c>
      <c r="E4548" s="86">
        <v>29.89</v>
      </c>
      <c r="F4548" s="87">
        <v>34.39</v>
      </c>
      <c r="G4548" s="88">
        <f t="shared" si="1"/>
        <v>4.5</v>
      </c>
      <c r="H4548" s="89">
        <f t="shared" si="10"/>
        <v>0.1308519919</v>
      </c>
      <c r="I4548" s="78" t="s">
        <v>5342</v>
      </c>
      <c r="J4548" s="78" t="s">
        <v>69</v>
      </c>
      <c r="K4548" s="58">
        <f t="shared" si="14"/>
        <v>0</v>
      </c>
      <c r="L4548" s="91" t="str">
        <f t="shared" si="8"/>
        <v>Mon</v>
      </c>
      <c r="M4548" s="78" t="str">
        <f>IFERROR(VLOOKUP(A4548, Entries!A:B,2,false),"")</f>
        <v>PlayStation</v>
      </c>
      <c r="N4548" s="23" t="str">
        <f>IFERROR(VLOOKUP(A4548, Entries!A:K,11,false),"")</f>
        <v/>
      </c>
    </row>
    <row r="4549">
      <c r="A4549" s="78" t="s">
        <v>5343</v>
      </c>
      <c r="B4549" s="78" t="s">
        <v>23</v>
      </c>
      <c r="C4549" s="85">
        <v>45222.0</v>
      </c>
      <c r="D4549" s="85">
        <v>45233.0</v>
      </c>
      <c r="E4549" s="86">
        <v>6.89</v>
      </c>
      <c r="F4549" s="87">
        <v>7.84</v>
      </c>
      <c r="G4549" s="88">
        <f t="shared" si="1"/>
        <v>0.95</v>
      </c>
      <c r="H4549" s="89">
        <f t="shared" si="10"/>
        <v>0.1211734694</v>
      </c>
      <c r="I4549" s="78" t="s">
        <v>5344</v>
      </c>
      <c r="J4549" s="78" t="s">
        <v>69</v>
      </c>
      <c r="K4549" s="58">
        <f t="shared" si="14"/>
        <v>11</v>
      </c>
      <c r="L4549" s="91" t="str">
        <f t="shared" si="8"/>
        <v>Fri</v>
      </c>
      <c r="M4549" s="78" t="str">
        <f>IFERROR(VLOOKUP(A4549, Entries!A:B,2,false),"")</f>
        <v>Focus Home Interactive</v>
      </c>
      <c r="N4549" s="23" t="str">
        <f>IFERROR(VLOOKUP(A4549, Entries!A:K,11,false),"")</f>
        <v/>
      </c>
    </row>
    <row r="4550">
      <c r="A4550" s="78" t="s">
        <v>1786</v>
      </c>
      <c r="B4550" s="78" t="s">
        <v>23</v>
      </c>
      <c r="C4550" s="85">
        <v>45222.0</v>
      </c>
      <c r="D4550" s="85">
        <v>45222.0</v>
      </c>
      <c r="E4550" s="86">
        <v>11.76</v>
      </c>
      <c r="F4550" s="87">
        <v>17.15</v>
      </c>
      <c r="G4550" s="88">
        <f t="shared" si="1"/>
        <v>5.39</v>
      </c>
      <c r="H4550" s="89">
        <f t="shared" si="10"/>
        <v>0.3142857143</v>
      </c>
      <c r="I4550" s="78" t="s">
        <v>5345</v>
      </c>
      <c r="J4550" s="78" t="s">
        <v>69</v>
      </c>
      <c r="K4550" s="58">
        <f t="shared" si="14"/>
        <v>0</v>
      </c>
      <c r="L4550" s="91" t="str">
        <f t="shared" si="8"/>
        <v>Mon</v>
      </c>
      <c r="M4550" s="78" t="str">
        <f>IFERROR(VLOOKUP(A4550, Entries!A:B,2,false),"")</f>
        <v>Bethesda Softworks</v>
      </c>
      <c r="N4550" s="23" t="str">
        <f>IFERROR(VLOOKUP(A4550, Entries!A:K,11,false),"")</f>
        <v/>
      </c>
    </row>
    <row r="4551">
      <c r="A4551" s="78" t="s">
        <v>1786</v>
      </c>
      <c r="B4551" s="78" t="s">
        <v>23</v>
      </c>
      <c r="C4551" s="85">
        <v>45222.0</v>
      </c>
      <c r="D4551" s="85">
        <v>45223.0</v>
      </c>
      <c r="E4551" s="86">
        <v>11.76</v>
      </c>
      <c r="F4551" s="87">
        <v>17.13</v>
      </c>
      <c r="G4551" s="88">
        <f t="shared" si="1"/>
        <v>5.37</v>
      </c>
      <c r="H4551" s="89">
        <f t="shared" si="10"/>
        <v>0.3134851138</v>
      </c>
      <c r="I4551" s="78" t="s">
        <v>5346</v>
      </c>
      <c r="J4551" s="78" t="s">
        <v>69</v>
      </c>
      <c r="K4551" s="58">
        <f t="shared" si="14"/>
        <v>1</v>
      </c>
      <c r="L4551" s="91" t="str">
        <f t="shared" si="8"/>
        <v>Tue</v>
      </c>
      <c r="M4551" s="78" t="str">
        <f>IFERROR(VLOOKUP(A4551, Entries!A:B,2,false),"")</f>
        <v>Bethesda Softworks</v>
      </c>
      <c r="N4551" s="23" t="str">
        <f>IFERROR(VLOOKUP(A4551, Entries!A:K,11,false),"")</f>
        <v/>
      </c>
    </row>
    <row r="4552">
      <c r="A4552" s="78" t="s">
        <v>1786</v>
      </c>
      <c r="B4552" s="78" t="s">
        <v>23</v>
      </c>
      <c r="C4552" s="85">
        <v>45222.0</v>
      </c>
      <c r="D4552" s="85">
        <v>45223.0</v>
      </c>
      <c r="E4552" s="86">
        <v>11.76</v>
      </c>
      <c r="F4552" s="87">
        <v>17.13</v>
      </c>
      <c r="G4552" s="88">
        <f t="shared" si="1"/>
        <v>5.37</v>
      </c>
      <c r="H4552" s="89">
        <f t="shared" si="10"/>
        <v>0.3134851138</v>
      </c>
      <c r="I4552" s="78" t="s">
        <v>5347</v>
      </c>
      <c r="J4552" s="78" t="s">
        <v>69</v>
      </c>
      <c r="K4552" s="58">
        <f t="shared" si="14"/>
        <v>1</v>
      </c>
      <c r="L4552" s="91" t="str">
        <f t="shared" si="8"/>
        <v>Tue</v>
      </c>
      <c r="M4552" s="78" t="str">
        <f>IFERROR(VLOOKUP(A4552, Entries!A:B,2,false),"")</f>
        <v>Bethesda Softworks</v>
      </c>
      <c r="N4552" s="23" t="str">
        <f>IFERROR(VLOOKUP(A4552, Entries!A:K,11,false),"")</f>
        <v/>
      </c>
    </row>
    <row r="4553">
      <c r="A4553" s="78" t="s">
        <v>4926</v>
      </c>
      <c r="B4553" s="78" t="s">
        <v>22</v>
      </c>
      <c r="C4553" s="85">
        <v>45222.0</v>
      </c>
      <c r="D4553" s="85">
        <v>45222.0</v>
      </c>
      <c r="E4553" s="86">
        <v>6.71</v>
      </c>
      <c r="F4553" s="87">
        <v>8.6</v>
      </c>
      <c r="G4553" s="88">
        <f t="shared" si="1"/>
        <v>1.89</v>
      </c>
      <c r="H4553" s="89">
        <f t="shared" si="10"/>
        <v>0.2197674419</v>
      </c>
      <c r="I4553" s="78" t="s">
        <v>5348</v>
      </c>
      <c r="J4553" s="78" t="s">
        <v>69</v>
      </c>
      <c r="K4553" s="58">
        <f t="shared" si="14"/>
        <v>0</v>
      </c>
      <c r="L4553" s="91" t="str">
        <f t="shared" si="8"/>
        <v>Mon</v>
      </c>
      <c r="M4553" s="107"/>
      <c r="N4553" s="23" t="str">
        <f>IFERROR(VLOOKUP(A4553, Entries!A:K,11,false),"")</f>
        <v/>
      </c>
    </row>
    <row r="4554">
      <c r="A4554" s="78" t="s">
        <v>4085</v>
      </c>
      <c r="B4554" s="78" t="s">
        <v>27</v>
      </c>
      <c r="C4554" s="85">
        <v>45222.0</v>
      </c>
      <c r="D4554" s="85">
        <v>45223.0</v>
      </c>
      <c r="E4554" s="86">
        <v>6.89</v>
      </c>
      <c r="F4554" s="87">
        <v>8.11</v>
      </c>
      <c r="G4554" s="88">
        <f t="shared" si="1"/>
        <v>1.22</v>
      </c>
      <c r="H4554" s="89">
        <f t="shared" si="10"/>
        <v>0.150431566</v>
      </c>
      <c r="I4554" s="78" t="s">
        <v>5349</v>
      </c>
      <c r="J4554" s="78" t="s">
        <v>69</v>
      </c>
      <c r="K4554" s="58">
        <f t="shared" si="14"/>
        <v>1</v>
      </c>
      <c r="L4554" s="91" t="str">
        <f t="shared" si="8"/>
        <v>Tue</v>
      </c>
      <c r="M4554" s="78" t="str">
        <f>IFERROR(VLOOKUP(A4554, Entries!A:B,2,false),"")</f>
        <v>Bethesda Softworks</v>
      </c>
      <c r="N4554" s="23" t="str">
        <f>IFERROR(VLOOKUP(A4554, Entries!A:K,11,false),"")</f>
        <v/>
      </c>
    </row>
    <row r="4555">
      <c r="A4555" s="78" t="s">
        <v>4926</v>
      </c>
      <c r="B4555" s="78" t="s">
        <v>22</v>
      </c>
      <c r="C4555" s="85">
        <v>45222.0</v>
      </c>
      <c r="D4555" s="85">
        <v>45242.0</v>
      </c>
      <c r="E4555" s="86">
        <v>6.71</v>
      </c>
      <c r="F4555" s="87">
        <v>7.77</v>
      </c>
      <c r="G4555" s="88">
        <f t="shared" si="1"/>
        <v>1.06</v>
      </c>
      <c r="H4555" s="89">
        <f t="shared" si="10"/>
        <v>0.1364221364</v>
      </c>
      <c r="I4555" s="78" t="s">
        <v>5350</v>
      </c>
      <c r="J4555" s="78" t="s">
        <v>69</v>
      </c>
      <c r="K4555" s="58">
        <f t="shared" si="14"/>
        <v>20</v>
      </c>
      <c r="L4555" s="91" t="str">
        <f t="shared" si="8"/>
        <v>Sun</v>
      </c>
      <c r="M4555" s="78" t="str">
        <f>IFERROR(VLOOKUP(A4555, Entries!A:B,2,false),"")</f>
        <v>Bethesda Softworks</v>
      </c>
      <c r="N4555" s="23" t="str">
        <f>IFERROR(VLOOKUP(A4555, Entries!A:K,11,false),"")</f>
        <v/>
      </c>
    </row>
    <row r="4556">
      <c r="A4556" s="78" t="s">
        <v>4814</v>
      </c>
      <c r="B4556" s="78" t="s">
        <v>27</v>
      </c>
      <c r="C4556" s="85">
        <v>45222.0</v>
      </c>
      <c r="D4556" s="85">
        <v>45222.0</v>
      </c>
      <c r="E4556" s="86">
        <v>21.29</v>
      </c>
      <c r="F4556" s="87">
        <v>24.76</v>
      </c>
      <c r="G4556" s="88">
        <f t="shared" si="1"/>
        <v>3.47</v>
      </c>
      <c r="H4556" s="89">
        <f t="shared" si="10"/>
        <v>0.1401453958</v>
      </c>
      <c r="I4556" s="78" t="s">
        <v>5351</v>
      </c>
      <c r="J4556" s="78" t="s">
        <v>69</v>
      </c>
      <c r="K4556" s="58">
        <f t="shared" si="14"/>
        <v>0</v>
      </c>
      <c r="L4556" s="91" t="str">
        <f t="shared" si="8"/>
        <v>Mon</v>
      </c>
      <c r="M4556" s="78" t="str">
        <f>IFERROR(VLOOKUP(A4556, Entries!A:B,2,false),"")</f>
        <v>PlayStation</v>
      </c>
      <c r="N4556" s="23" t="str">
        <f>IFERROR(VLOOKUP(A4556, Entries!A:K,11,false),"")</f>
        <v/>
      </c>
    </row>
    <row r="4557">
      <c r="A4557" s="78" t="s">
        <v>5273</v>
      </c>
      <c r="B4557" s="78" t="s">
        <v>27</v>
      </c>
      <c r="C4557" s="85">
        <v>45222.0</v>
      </c>
      <c r="D4557" s="85">
        <v>45222.0</v>
      </c>
      <c r="E4557" s="86">
        <v>29.89</v>
      </c>
      <c r="F4557" s="87">
        <v>34.39</v>
      </c>
      <c r="G4557" s="88">
        <f t="shared" si="1"/>
        <v>4.5</v>
      </c>
      <c r="H4557" s="89">
        <f t="shared" si="10"/>
        <v>0.1308519919</v>
      </c>
      <c r="I4557" s="78" t="s">
        <v>5352</v>
      </c>
      <c r="J4557" s="78" t="s">
        <v>69</v>
      </c>
      <c r="K4557" s="58">
        <f t="shared" si="14"/>
        <v>0</v>
      </c>
      <c r="L4557" s="91" t="str">
        <f t="shared" si="8"/>
        <v>Mon</v>
      </c>
      <c r="M4557" s="78" t="str">
        <f>IFERROR(VLOOKUP(A4557, Entries!A:B,2,false),"")</f>
        <v>PlayStation</v>
      </c>
      <c r="N4557" s="23" t="str">
        <f>IFERROR(VLOOKUP(A4557, Entries!A:K,11,false),"")</f>
        <v/>
      </c>
    </row>
    <row r="4558">
      <c r="A4558" s="78" t="s">
        <v>4814</v>
      </c>
      <c r="B4558" s="78" t="s">
        <v>27</v>
      </c>
      <c r="C4558" s="85">
        <v>45222.0</v>
      </c>
      <c r="D4558" s="85">
        <v>45224.0</v>
      </c>
      <c r="E4558" s="86">
        <v>21.29</v>
      </c>
      <c r="F4558" s="87">
        <v>24.76</v>
      </c>
      <c r="G4558" s="88">
        <f t="shared" si="1"/>
        <v>3.47</v>
      </c>
      <c r="H4558" s="89">
        <f t="shared" si="10"/>
        <v>0.1401453958</v>
      </c>
      <c r="I4558" s="78" t="s">
        <v>5353</v>
      </c>
      <c r="J4558" s="78" t="s">
        <v>69</v>
      </c>
      <c r="K4558" s="58">
        <f t="shared" si="14"/>
        <v>2</v>
      </c>
      <c r="L4558" s="91" t="str">
        <f t="shared" si="8"/>
        <v>Wed</v>
      </c>
      <c r="M4558" s="78" t="str">
        <f>IFERROR(VLOOKUP(A4558, Entries!A:B,2,false),"")</f>
        <v>PlayStation</v>
      </c>
      <c r="N4558" s="23" t="str">
        <f>IFERROR(VLOOKUP(A4558, Entries!A:K,11,false),"")</f>
        <v/>
      </c>
    </row>
    <row r="4559">
      <c r="A4559" s="78" t="s">
        <v>5273</v>
      </c>
      <c r="B4559" s="78" t="s">
        <v>27</v>
      </c>
      <c r="C4559" s="85">
        <v>45222.0</v>
      </c>
      <c r="D4559" s="85">
        <v>45223.0</v>
      </c>
      <c r="E4559" s="86">
        <v>29.89</v>
      </c>
      <c r="F4559" s="87">
        <v>34.39</v>
      </c>
      <c r="G4559" s="88">
        <f t="shared" si="1"/>
        <v>4.5</v>
      </c>
      <c r="H4559" s="89">
        <f t="shared" si="10"/>
        <v>0.1308519919</v>
      </c>
      <c r="I4559" s="78" t="s">
        <v>5354</v>
      </c>
      <c r="J4559" s="78" t="s">
        <v>69</v>
      </c>
      <c r="K4559" s="58">
        <f t="shared" si="14"/>
        <v>1</v>
      </c>
      <c r="L4559" s="91" t="str">
        <f t="shared" si="8"/>
        <v>Tue</v>
      </c>
      <c r="M4559" s="78" t="str">
        <f>IFERROR(VLOOKUP(A4559, Entries!A:B,2,false),"")</f>
        <v>PlayStation</v>
      </c>
      <c r="N4559" s="23" t="str">
        <f>IFERROR(VLOOKUP(A4559, Entries!A:K,11,false),"")</f>
        <v/>
      </c>
    </row>
    <row r="4560">
      <c r="A4560" s="78" t="s">
        <v>5273</v>
      </c>
      <c r="B4560" s="78" t="s">
        <v>27</v>
      </c>
      <c r="C4560" s="85">
        <v>45223.0</v>
      </c>
      <c r="D4560" s="85">
        <v>45223.0</v>
      </c>
      <c r="E4560" s="86">
        <v>29.89</v>
      </c>
      <c r="F4560" s="87">
        <v>34.39</v>
      </c>
      <c r="G4560" s="88">
        <f t="shared" si="1"/>
        <v>4.5</v>
      </c>
      <c r="H4560" s="89">
        <f t="shared" si="10"/>
        <v>0.1308519919</v>
      </c>
      <c r="I4560" s="78" t="s">
        <v>5355</v>
      </c>
      <c r="J4560" s="78" t="s">
        <v>69</v>
      </c>
      <c r="K4560" s="58">
        <f t="shared" si="14"/>
        <v>0</v>
      </c>
      <c r="L4560" s="91" t="str">
        <f t="shared" si="8"/>
        <v>Tue</v>
      </c>
      <c r="M4560" s="78" t="str">
        <f>IFERROR(VLOOKUP(A4560, Entries!A:B,2,false),"")</f>
        <v>PlayStation</v>
      </c>
      <c r="N4560" s="23" t="str">
        <f>IFERROR(VLOOKUP(A4560, Entries!A:K,11,false),"")</f>
        <v/>
      </c>
    </row>
    <row r="4561">
      <c r="A4561" s="78" t="s">
        <v>5273</v>
      </c>
      <c r="B4561" s="78" t="s">
        <v>27</v>
      </c>
      <c r="C4561" s="85">
        <v>45223.0</v>
      </c>
      <c r="D4561" s="85">
        <v>45223.0</v>
      </c>
      <c r="E4561" s="86">
        <v>29.89</v>
      </c>
      <c r="F4561" s="87">
        <v>34.39</v>
      </c>
      <c r="G4561" s="88">
        <f t="shared" si="1"/>
        <v>4.5</v>
      </c>
      <c r="H4561" s="89">
        <f t="shared" si="10"/>
        <v>0.1308519919</v>
      </c>
      <c r="I4561" s="78" t="s">
        <v>5356</v>
      </c>
      <c r="J4561" s="78" t="s">
        <v>69</v>
      </c>
      <c r="K4561" s="58">
        <f t="shared" si="14"/>
        <v>0</v>
      </c>
      <c r="L4561" s="91" t="str">
        <f t="shared" si="8"/>
        <v>Tue</v>
      </c>
      <c r="M4561" s="78" t="str">
        <f>IFERROR(VLOOKUP(A4561, Entries!A:B,2,false),"")</f>
        <v>PlayStation</v>
      </c>
      <c r="N4561" s="23" t="str">
        <f>IFERROR(VLOOKUP(A4561, Entries!A:K,11,false),"")</f>
        <v/>
      </c>
    </row>
    <row r="4562">
      <c r="A4562" s="78" t="s">
        <v>5357</v>
      </c>
      <c r="B4562" s="78" t="s">
        <v>19</v>
      </c>
      <c r="C4562" s="85">
        <v>45223.0</v>
      </c>
      <c r="D4562" s="25"/>
      <c r="E4562" s="86">
        <v>12.86</v>
      </c>
      <c r="F4562" s="88"/>
      <c r="G4562" s="88">
        <f t="shared" si="1"/>
        <v>-12.86</v>
      </c>
      <c r="H4562" s="89" t="str">
        <f t="shared" si="10"/>
        <v/>
      </c>
      <c r="I4562" s="103" t="s">
        <v>5358</v>
      </c>
      <c r="J4562" s="78" t="s">
        <v>1129</v>
      </c>
      <c r="K4562" s="58" t="str">
        <f t="shared" si="14"/>
        <v/>
      </c>
      <c r="L4562" s="91" t="str">
        <f t="shared" si="8"/>
        <v/>
      </c>
      <c r="M4562" s="78" t="str">
        <f>IFERROR(VLOOKUP(A4562, Entries!A:B,2,false),"")</f>
        <v>Goblinz Publishing</v>
      </c>
      <c r="N4562" s="23" t="str">
        <f>IFERROR(VLOOKUP(A4562, Entries!A:K,11,false),"")</f>
        <v/>
      </c>
    </row>
    <row r="4563">
      <c r="A4563" s="78" t="s">
        <v>550</v>
      </c>
      <c r="B4563" s="78" t="s">
        <v>25</v>
      </c>
      <c r="C4563" s="85">
        <v>45223.0</v>
      </c>
      <c r="D4563" s="85">
        <v>45232.0</v>
      </c>
      <c r="E4563" s="86">
        <v>5.27</v>
      </c>
      <c r="F4563" s="87">
        <v>8.17</v>
      </c>
      <c r="G4563" s="88">
        <f t="shared" si="1"/>
        <v>2.9</v>
      </c>
      <c r="H4563" s="89">
        <f t="shared" si="10"/>
        <v>0.3549571603</v>
      </c>
      <c r="I4563" s="78" t="s">
        <v>5359</v>
      </c>
      <c r="J4563" s="78" t="s">
        <v>69</v>
      </c>
      <c r="K4563" s="58">
        <f t="shared" si="14"/>
        <v>9</v>
      </c>
      <c r="L4563" s="91" t="str">
        <f t="shared" si="8"/>
        <v>Thu</v>
      </c>
      <c r="M4563" s="78" t="str">
        <f>IFERROR(VLOOKUP(A4563, Entries!A:B,2,false),"")</f>
        <v>Codemasters</v>
      </c>
      <c r="N4563" s="23" t="str">
        <f>IFERROR(VLOOKUP(A4563, Entries!A:K,11,false),"")</f>
        <v/>
      </c>
    </row>
    <row r="4564">
      <c r="A4564" s="78" t="s">
        <v>4085</v>
      </c>
      <c r="B4564" s="78" t="s">
        <v>27</v>
      </c>
      <c r="C4564" s="85">
        <v>45223.0</v>
      </c>
      <c r="D4564" s="85">
        <v>45233.0</v>
      </c>
      <c r="E4564" s="86">
        <v>6.89</v>
      </c>
      <c r="F4564" s="87">
        <v>7.82</v>
      </c>
      <c r="G4564" s="88">
        <f t="shared" si="1"/>
        <v>0.93</v>
      </c>
      <c r="H4564" s="89">
        <f t="shared" si="10"/>
        <v>0.1189258312</v>
      </c>
      <c r="I4564" s="78" t="s">
        <v>5360</v>
      </c>
      <c r="J4564" s="78" t="s">
        <v>69</v>
      </c>
      <c r="K4564" s="58">
        <f t="shared" si="14"/>
        <v>10</v>
      </c>
      <c r="L4564" s="91" t="str">
        <f t="shared" si="8"/>
        <v>Fri</v>
      </c>
      <c r="M4564" s="78" t="str">
        <f>IFERROR(VLOOKUP(A4564, Entries!A:B,2,false),"")</f>
        <v>Bethesda Softworks</v>
      </c>
      <c r="N4564" s="23" t="str">
        <f>IFERROR(VLOOKUP(A4564, Entries!A:K,11,false),"")</f>
        <v/>
      </c>
    </row>
    <row r="4565">
      <c r="A4565" s="78" t="s">
        <v>2972</v>
      </c>
      <c r="B4565" s="78" t="s">
        <v>27</v>
      </c>
      <c r="C4565" s="85">
        <v>45223.0</v>
      </c>
      <c r="D4565" s="85">
        <v>45223.0</v>
      </c>
      <c r="E4565" s="86">
        <v>3.39</v>
      </c>
      <c r="F4565" s="87">
        <v>8.81</v>
      </c>
      <c r="G4565" s="88">
        <f t="shared" si="1"/>
        <v>5.42</v>
      </c>
      <c r="H4565" s="89">
        <f t="shared" si="10"/>
        <v>0.6152099886</v>
      </c>
      <c r="I4565" s="78" t="s">
        <v>5361</v>
      </c>
      <c r="J4565" s="78" t="s">
        <v>69</v>
      </c>
      <c r="K4565" s="58">
        <f t="shared" si="14"/>
        <v>0</v>
      </c>
      <c r="L4565" s="91" t="str">
        <f t="shared" si="8"/>
        <v>Tue</v>
      </c>
      <c r="M4565" s="78" t="str">
        <f>IFERROR(VLOOKUP(A4565, Entries!A:B,2,false),"")</f>
        <v>505 Games</v>
      </c>
      <c r="N4565" s="23" t="str">
        <f>IFERROR(VLOOKUP(A4565, Entries!A:K,11,false),"")</f>
        <v/>
      </c>
    </row>
    <row r="4566">
      <c r="A4566" s="78" t="s">
        <v>2972</v>
      </c>
      <c r="B4566" s="78" t="s">
        <v>27</v>
      </c>
      <c r="C4566" s="85">
        <v>45223.0</v>
      </c>
      <c r="D4566" s="85">
        <v>45224.0</v>
      </c>
      <c r="E4566" s="86">
        <v>3.39</v>
      </c>
      <c r="F4566" s="87">
        <v>8.8</v>
      </c>
      <c r="G4566" s="88">
        <f t="shared" si="1"/>
        <v>5.41</v>
      </c>
      <c r="H4566" s="89">
        <f t="shared" si="10"/>
        <v>0.6147727273</v>
      </c>
      <c r="I4566" s="78" t="s">
        <v>5362</v>
      </c>
      <c r="J4566" s="78" t="s">
        <v>69</v>
      </c>
      <c r="K4566" s="58">
        <f t="shared" si="14"/>
        <v>1</v>
      </c>
      <c r="L4566" s="91" t="str">
        <f t="shared" si="8"/>
        <v>Wed</v>
      </c>
      <c r="M4566" s="78" t="str">
        <f>IFERROR(VLOOKUP(A4566, Entries!A:B,2,false),"")</f>
        <v>505 Games</v>
      </c>
      <c r="N4566" s="23" t="str">
        <f>IFERROR(VLOOKUP(A4566, Entries!A:K,11,false),"")</f>
        <v/>
      </c>
    </row>
    <row r="4567">
      <c r="A4567" s="78" t="s">
        <v>5273</v>
      </c>
      <c r="B4567" s="78" t="s">
        <v>27</v>
      </c>
      <c r="C4567" s="85">
        <v>45223.0</v>
      </c>
      <c r="D4567" s="85">
        <v>45223.0</v>
      </c>
      <c r="E4567" s="86">
        <v>29.89</v>
      </c>
      <c r="F4567" s="87">
        <v>33.2</v>
      </c>
      <c r="G4567" s="88">
        <f t="shared" si="1"/>
        <v>3.31</v>
      </c>
      <c r="H4567" s="89">
        <f t="shared" si="10"/>
        <v>0.09969879518</v>
      </c>
      <c r="I4567" s="78" t="s">
        <v>5363</v>
      </c>
      <c r="J4567" s="78" t="s">
        <v>69</v>
      </c>
      <c r="K4567" s="58">
        <f t="shared" si="14"/>
        <v>0</v>
      </c>
      <c r="L4567" s="91" t="str">
        <f t="shared" si="8"/>
        <v>Tue</v>
      </c>
      <c r="M4567" s="78" t="str">
        <f>IFERROR(VLOOKUP(A4567, Entries!A:B,2,false),"")</f>
        <v>PlayStation</v>
      </c>
      <c r="N4567" s="23" t="str">
        <f>IFERROR(VLOOKUP(A4567, Entries!A:K,11,false),"")</f>
        <v/>
      </c>
    </row>
    <row r="4568">
      <c r="A4568" s="78" t="s">
        <v>4928</v>
      </c>
      <c r="B4568" s="78" t="s">
        <v>19</v>
      </c>
      <c r="C4568" s="85">
        <v>45224.0</v>
      </c>
      <c r="D4568" s="85">
        <v>45253.0</v>
      </c>
      <c r="E4568" s="86">
        <v>31.0</v>
      </c>
      <c r="F4568" s="87">
        <v>31.65</v>
      </c>
      <c r="G4568" s="88">
        <f t="shared" si="1"/>
        <v>0.65</v>
      </c>
      <c r="H4568" s="89">
        <f t="shared" si="10"/>
        <v>0.0205371248</v>
      </c>
      <c r="I4568" s="78" t="s">
        <v>5364</v>
      </c>
      <c r="J4568" s="78" t="s">
        <v>69</v>
      </c>
      <c r="K4568" s="58">
        <f t="shared" si="14"/>
        <v>29</v>
      </c>
      <c r="L4568" s="91" t="str">
        <f t="shared" si="8"/>
        <v>Thu</v>
      </c>
      <c r="M4568" s="78" t="str">
        <f>IFERROR(VLOOKUP(A4568, Entries!A:B,2,false),"")</f>
        <v>Eleventh Hour Games</v>
      </c>
      <c r="N4568" s="23" t="str">
        <f>IFERROR(VLOOKUP(A4568, Entries!A:K,11,false),"")</f>
        <v/>
      </c>
    </row>
    <row r="4569">
      <c r="A4569" s="78" t="s">
        <v>2972</v>
      </c>
      <c r="B4569" s="78" t="s">
        <v>27</v>
      </c>
      <c r="C4569" s="85">
        <v>45224.0</v>
      </c>
      <c r="D4569" s="85">
        <v>45236.0</v>
      </c>
      <c r="E4569" s="86">
        <v>3.39</v>
      </c>
      <c r="F4569" s="87">
        <v>8.44</v>
      </c>
      <c r="G4569" s="88">
        <f t="shared" si="1"/>
        <v>5.05</v>
      </c>
      <c r="H4569" s="89">
        <f t="shared" si="10"/>
        <v>0.5983412322</v>
      </c>
      <c r="I4569" s="78" t="s">
        <v>5365</v>
      </c>
      <c r="J4569" s="78" t="s">
        <v>69</v>
      </c>
      <c r="K4569" s="58">
        <f t="shared" si="14"/>
        <v>12</v>
      </c>
      <c r="L4569" s="91" t="str">
        <f t="shared" si="8"/>
        <v>Mon</v>
      </c>
      <c r="M4569" s="78" t="str">
        <f>IFERROR(VLOOKUP(A4569, Entries!A:B,2,false),"")</f>
        <v>505 Games</v>
      </c>
      <c r="N4569" s="23" t="str">
        <f>IFERROR(VLOOKUP(A4569, Entries!A:K,11,false),"")</f>
        <v/>
      </c>
    </row>
    <row r="4570">
      <c r="A4570" s="78" t="s">
        <v>84</v>
      </c>
      <c r="B4570" s="78" t="s">
        <v>25</v>
      </c>
      <c r="C4570" s="85">
        <v>45225.0</v>
      </c>
      <c r="D4570" s="85">
        <v>45229.0</v>
      </c>
      <c r="E4570" s="86">
        <v>22.49</v>
      </c>
      <c r="F4570" s="87">
        <v>17.77</v>
      </c>
      <c r="G4570" s="88">
        <f t="shared" si="1"/>
        <v>-4.72</v>
      </c>
      <c r="H4570" s="89">
        <f t="shared" si="10"/>
        <v>-0.2656162071</v>
      </c>
      <c r="I4570" s="78" t="s">
        <v>5366</v>
      </c>
      <c r="J4570" s="78" t="s">
        <v>69</v>
      </c>
      <c r="K4570" s="58">
        <f t="shared" si="14"/>
        <v>4</v>
      </c>
      <c r="L4570" s="91" t="str">
        <f t="shared" si="8"/>
        <v>Mon</v>
      </c>
      <c r="M4570" s="78" t="str">
        <f>IFERROR(VLOOKUP(A4570, Entries!A:B,2,false),"")</f>
        <v>Siege Camp</v>
      </c>
      <c r="N4570" s="23" t="str">
        <f>IFERROR(VLOOKUP(A4570, Entries!A:K,11,false),"")</f>
        <v/>
      </c>
    </row>
    <row r="4571">
      <c r="A4571" s="78" t="s">
        <v>2818</v>
      </c>
      <c r="B4571" s="78" t="s">
        <v>35</v>
      </c>
      <c r="C4571" s="85">
        <v>45226.0</v>
      </c>
      <c r="D4571" s="85">
        <v>45242.0</v>
      </c>
      <c r="E4571" s="86">
        <v>4.44</v>
      </c>
      <c r="F4571" s="87">
        <v>4.64</v>
      </c>
      <c r="G4571" s="88">
        <f t="shared" si="1"/>
        <v>0.2</v>
      </c>
      <c r="H4571" s="89">
        <f t="shared" si="10"/>
        <v>0.04310344828</v>
      </c>
      <c r="I4571" s="78" t="s">
        <v>5367</v>
      </c>
      <c r="J4571" s="78" t="s">
        <v>69</v>
      </c>
      <c r="K4571" s="58">
        <f t="shared" si="14"/>
        <v>16</v>
      </c>
      <c r="L4571" s="91" t="str">
        <f t="shared" si="8"/>
        <v>Sun</v>
      </c>
      <c r="M4571" s="78" t="str">
        <f>IFERROR(VLOOKUP(A4571, Entries!A:B,2,false),"")</f>
        <v>Daedalic Entertainment</v>
      </c>
      <c r="N4571" s="23" t="str">
        <f>IFERROR(VLOOKUP(A4571, Entries!A:K,11,false),"")</f>
        <v/>
      </c>
    </row>
    <row r="4572">
      <c r="A4572" s="78" t="s">
        <v>163</v>
      </c>
      <c r="B4572" s="78" t="s">
        <v>22</v>
      </c>
      <c r="C4572" s="85">
        <v>45226.0</v>
      </c>
      <c r="D4572" s="85">
        <v>45226.0</v>
      </c>
      <c r="E4572" s="86">
        <v>2.38</v>
      </c>
      <c r="F4572" s="87">
        <v>5.53</v>
      </c>
      <c r="G4572" s="88">
        <f t="shared" si="1"/>
        <v>3.15</v>
      </c>
      <c r="H4572" s="89">
        <f t="shared" si="10"/>
        <v>0.5696202532</v>
      </c>
      <c r="I4572" s="78" t="s">
        <v>5368</v>
      </c>
      <c r="J4572" s="78" t="s">
        <v>69</v>
      </c>
      <c r="K4572" s="58">
        <f t="shared" si="14"/>
        <v>0</v>
      </c>
      <c r="L4572" s="91" t="str">
        <f t="shared" si="8"/>
        <v>Fri</v>
      </c>
      <c r="M4572" s="78" t="str">
        <f>IFERROR(VLOOKUP(A4572, Entries!A:B,2,false),"")</f>
        <v>Square Enix</v>
      </c>
      <c r="N4572" s="23" t="str">
        <f>IFERROR(VLOOKUP(A4572, Entries!A:K,11,false),"")</f>
        <v/>
      </c>
    </row>
    <row r="4573">
      <c r="A4573" s="78" t="s">
        <v>163</v>
      </c>
      <c r="B4573" s="78" t="s">
        <v>22</v>
      </c>
      <c r="C4573" s="85">
        <v>45226.0</v>
      </c>
      <c r="D4573" s="85">
        <v>45257.0</v>
      </c>
      <c r="E4573" s="86">
        <v>2.38</v>
      </c>
      <c r="F4573" s="87">
        <v>3.41</v>
      </c>
      <c r="G4573" s="88">
        <f t="shared" si="1"/>
        <v>1.03</v>
      </c>
      <c r="H4573" s="89">
        <f t="shared" si="10"/>
        <v>0.3020527859</v>
      </c>
      <c r="I4573" s="78" t="s">
        <v>5369</v>
      </c>
      <c r="J4573" s="78" t="s">
        <v>69</v>
      </c>
      <c r="K4573" s="58">
        <f t="shared" si="14"/>
        <v>31</v>
      </c>
      <c r="L4573" s="91" t="str">
        <f t="shared" si="8"/>
        <v>Mon</v>
      </c>
      <c r="M4573" s="78" t="str">
        <f>IFERROR(VLOOKUP(A4573, Entries!A:B,2,false),"")</f>
        <v>Square Enix</v>
      </c>
      <c r="N4573" s="23" t="str">
        <f>IFERROR(VLOOKUP(A4573, Entries!A:K,11,false),"")</f>
        <v/>
      </c>
    </row>
    <row r="4574">
      <c r="A4574" s="78" t="s">
        <v>2701</v>
      </c>
      <c r="B4574" s="78" t="s">
        <v>25</v>
      </c>
      <c r="C4574" s="85">
        <v>45227.0</v>
      </c>
      <c r="D4574" s="85">
        <v>45242.0</v>
      </c>
      <c r="E4574" s="86">
        <v>0.0</v>
      </c>
      <c r="F4574" s="87">
        <v>1.29</v>
      </c>
      <c r="G4574" s="88">
        <f t="shared" si="1"/>
        <v>1.29</v>
      </c>
      <c r="H4574" s="89">
        <f t="shared" si="10"/>
        <v>1</v>
      </c>
      <c r="I4574" s="78" t="s">
        <v>5370</v>
      </c>
      <c r="J4574" s="78" t="s">
        <v>69</v>
      </c>
      <c r="K4574" s="58">
        <f t="shared" si="14"/>
        <v>15</v>
      </c>
      <c r="L4574" s="91" t="str">
        <f t="shared" si="8"/>
        <v>Sun</v>
      </c>
      <c r="M4574" s="78" t="str">
        <f>IFERROR(VLOOKUP(A4574, Entries!A:B,2,false),"")</f>
        <v>Codemasters</v>
      </c>
      <c r="N4574" s="23" t="str">
        <f>IFERROR(VLOOKUP(A4574, Entries!A:K,11,false),"")</f>
        <v/>
      </c>
    </row>
    <row r="4575">
      <c r="A4575" s="78" t="s">
        <v>2180</v>
      </c>
      <c r="B4575" s="78" t="s">
        <v>25</v>
      </c>
      <c r="C4575" s="85">
        <v>45228.0</v>
      </c>
      <c r="D4575" s="85">
        <v>45229.0</v>
      </c>
      <c r="E4575" s="86">
        <v>4.14</v>
      </c>
      <c r="F4575" s="87">
        <v>4.87</v>
      </c>
      <c r="G4575" s="88">
        <f t="shared" si="1"/>
        <v>0.73</v>
      </c>
      <c r="H4575" s="89">
        <f t="shared" si="10"/>
        <v>0.1498973306</v>
      </c>
      <c r="I4575" s="78" t="s">
        <v>5371</v>
      </c>
      <c r="J4575" s="78" t="s">
        <v>69</v>
      </c>
      <c r="K4575" s="58">
        <f t="shared" si="14"/>
        <v>1</v>
      </c>
      <c r="L4575" s="91" t="str">
        <f t="shared" si="8"/>
        <v>Mon</v>
      </c>
      <c r="M4575" s="78" t="str">
        <f>IFERROR(VLOOKUP(A4575, Entries!A:B,2,false),"")</f>
        <v>Konami</v>
      </c>
      <c r="N4575" s="23" t="str">
        <f>IFERROR(VLOOKUP(A4575, Entries!A:K,11,false),"")</f>
        <v/>
      </c>
    </row>
    <row r="4576">
      <c r="A4576" s="78" t="s">
        <v>4814</v>
      </c>
      <c r="B4576" s="78" t="s">
        <v>27</v>
      </c>
      <c r="C4576" s="85">
        <v>45229.0</v>
      </c>
      <c r="D4576" s="85">
        <v>45229.0</v>
      </c>
      <c r="E4576" s="86">
        <v>22.02</v>
      </c>
      <c r="F4576" s="87">
        <v>25.04</v>
      </c>
      <c r="G4576" s="88">
        <f t="shared" si="1"/>
        <v>3.02</v>
      </c>
      <c r="H4576" s="89">
        <f t="shared" si="10"/>
        <v>0.1206070288</v>
      </c>
      <c r="I4576" s="78" t="s">
        <v>5372</v>
      </c>
      <c r="J4576" s="78" t="s">
        <v>69</v>
      </c>
      <c r="K4576" s="58">
        <f t="shared" si="14"/>
        <v>0</v>
      </c>
      <c r="L4576" s="91" t="str">
        <f t="shared" si="8"/>
        <v>Mon</v>
      </c>
      <c r="M4576" s="78" t="str">
        <f>IFERROR(VLOOKUP(A4576, Entries!A:B,2,false),"")</f>
        <v>PlayStation</v>
      </c>
      <c r="N4576" s="23" t="str">
        <f>IFERROR(VLOOKUP(A4576, Entries!A:K,11,false),"")</f>
        <v/>
      </c>
    </row>
    <row r="4577">
      <c r="A4577" s="78" t="s">
        <v>2180</v>
      </c>
      <c r="B4577" s="78" t="s">
        <v>25</v>
      </c>
      <c r="C4577" s="85">
        <v>45229.0</v>
      </c>
      <c r="D4577" s="85">
        <v>45229.0</v>
      </c>
      <c r="E4577" s="86">
        <v>4.14</v>
      </c>
      <c r="F4577" s="87">
        <v>4.47</v>
      </c>
      <c r="G4577" s="88">
        <f t="shared" si="1"/>
        <v>0.33</v>
      </c>
      <c r="H4577" s="89">
        <f t="shared" si="10"/>
        <v>0.07382550336</v>
      </c>
      <c r="I4577" s="78" t="s">
        <v>5373</v>
      </c>
      <c r="J4577" s="78" t="s">
        <v>69</v>
      </c>
      <c r="K4577" s="58">
        <f t="shared" si="14"/>
        <v>0</v>
      </c>
      <c r="L4577" s="91" t="str">
        <f t="shared" si="8"/>
        <v>Mon</v>
      </c>
      <c r="M4577" s="78" t="str">
        <f>IFERROR(VLOOKUP(A4577, Entries!A:B,2,false),"")</f>
        <v>Konami</v>
      </c>
      <c r="N4577" s="23" t="str">
        <f>IFERROR(VLOOKUP(A4577, Entries!A:K,11,false),"")</f>
        <v/>
      </c>
    </row>
    <row r="4578">
      <c r="A4578" s="78" t="s">
        <v>2180</v>
      </c>
      <c r="B4578" s="78" t="s">
        <v>25</v>
      </c>
      <c r="C4578" s="85">
        <v>45229.0</v>
      </c>
      <c r="D4578" s="85">
        <v>45229.0</v>
      </c>
      <c r="E4578" s="86">
        <v>4.14</v>
      </c>
      <c r="F4578" s="87">
        <v>4.46</v>
      </c>
      <c r="G4578" s="88">
        <f t="shared" si="1"/>
        <v>0.32</v>
      </c>
      <c r="H4578" s="89">
        <f t="shared" si="10"/>
        <v>0.07174887892</v>
      </c>
      <c r="I4578" s="78" t="s">
        <v>5374</v>
      </c>
      <c r="J4578" s="78" t="s">
        <v>69</v>
      </c>
      <c r="K4578" s="58">
        <f t="shared" si="14"/>
        <v>0</v>
      </c>
      <c r="L4578" s="91" t="str">
        <f t="shared" si="8"/>
        <v>Mon</v>
      </c>
      <c r="M4578" s="78" t="str">
        <f>IFERROR(VLOOKUP(A4578, Entries!A:B,2,false),"")</f>
        <v>Konami</v>
      </c>
      <c r="N4578" s="23" t="str">
        <f>IFERROR(VLOOKUP(A4578, Entries!A:K,11,false),"")</f>
        <v/>
      </c>
    </row>
    <row r="4579">
      <c r="A4579" s="78" t="s">
        <v>2180</v>
      </c>
      <c r="B4579" s="78" t="s">
        <v>25</v>
      </c>
      <c r="C4579" s="85">
        <v>45229.0</v>
      </c>
      <c r="D4579" s="85">
        <v>45229.0</v>
      </c>
      <c r="E4579" s="86">
        <v>4.14</v>
      </c>
      <c r="F4579" s="87">
        <v>4.46</v>
      </c>
      <c r="G4579" s="88">
        <f t="shared" si="1"/>
        <v>0.32</v>
      </c>
      <c r="H4579" s="89">
        <f t="shared" si="10"/>
        <v>0.07174887892</v>
      </c>
      <c r="I4579" s="78" t="s">
        <v>5375</v>
      </c>
      <c r="J4579" s="78" t="s">
        <v>69</v>
      </c>
      <c r="K4579" s="58">
        <f t="shared" si="14"/>
        <v>0</v>
      </c>
      <c r="L4579" s="91" t="str">
        <f t="shared" si="8"/>
        <v>Mon</v>
      </c>
      <c r="M4579" s="78" t="str">
        <f>IFERROR(VLOOKUP(A4579, Entries!A:B,2,false),"")</f>
        <v>Konami</v>
      </c>
      <c r="N4579" s="23" t="str">
        <f>IFERROR(VLOOKUP(A4579, Entries!A:K,11,false),"")</f>
        <v/>
      </c>
    </row>
    <row r="4580">
      <c r="A4580" s="78" t="s">
        <v>2180</v>
      </c>
      <c r="B4580" s="78" t="s">
        <v>25</v>
      </c>
      <c r="C4580" s="85">
        <v>45229.0</v>
      </c>
      <c r="D4580" s="85">
        <v>45256.0</v>
      </c>
      <c r="E4580" s="86">
        <v>4.14</v>
      </c>
      <c r="F4580" s="87">
        <v>5.25</v>
      </c>
      <c r="G4580" s="88">
        <f t="shared" si="1"/>
        <v>1.11</v>
      </c>
      <c r="H4580" s="89">
        <f t="shared" si="10"/>
        <v>0.2114285714</v>
      </c>
      <c r="I4580" s="78" t="s">
        <v>5376</v>
      </c>
      <c r="J4580" s="78" t="s">
        <v>69</v>
      </c>
      <c r="K4580" s="58">
        <f t="shared" si="14"/>
        <v>27</v>
      </c>
      <c r="L4580" s="91" t="str">
        <f t="shared" si="8"/>
        <v>Sun</v>
      </c>
      <c r="M4580" s="78" t="str">
        <f>IFERROR(VLOOKUP(A4580, Entries!A:B,2,false),"")</f>
        <v>Konami</v>
      </c>
      <c r="N4580" s="23" t="str">
        <f>IFERROR(VLOOKUP(A4580, Entries!A:K,11,false),"")</f>
        <v/>
      </c>
    </row>
    <row r="4581">
      <c r="A4581" s="78" t="s">
        <v>4914</v>
      </c>
      <c r="B4581" s="78" t="s">
        <v>27</v>
      </c>
      <c r="C4581" s="85">
        <v>45229.0</v>
      </c>
      <c r="D4581" s="85">
        <v>45230.0</v>
      </c>
      <c r="E4581" s="86">
        <v>14.37</v>
      </c>
      <c r="F4581" s="87">
        <v>16.51</v>
      </c>
      <c r="G4581" s="88">
        <f t="shared" si="1"/>
        <v>2.14</v>
      </c>
      <c r="H4581" s="89">
        <f t="shared" si="10"/>
        <v>0.1296184131</v>
      </c>
      <c r="I4581" s="78" t="s">
        <v>5377</v>
      </c>
      <c r="J4581" s="78" t="s">
        <v>69</v>
      </c>
      <c r="K4581" s="58">
        <f t="shared" si="14"/>
        <v>1</v>
      </c>
      <c r="L4581" s="91" t="str">
        <f t="shared" si="8"/>
        <v>Tue</v>
      </c>
      <c r="M4581" s="78" t="str">
        <f>IFERROR(VLOOKUP(A4581, Entries!A:B,2,false),"")</f>
        <v>Deep Silver</v>
      </c>
      <c r="N4581" s="23" t="str">
        <f>IFERROR(VLOOKUP(A4581, Entries!A:K,11,false),"")</f>
        <v/>
      </c>
    </row>
    <row r="4582">
      <c r="A4582" s="78" t="s">
        <v>5378</v>
      </c>
      <c r="B4582" s="78" t="s">
        <v>22</v>
      </c>
      <c r="C4582" s="85">
        <v>45229.0</v>
      </c>
      <c r="D4582" s="85">
        <v>45234.0</v>
      </c>
      <c r="E4582" s="86">
        <v>12.59</v>
      </c>
      <c r="F4582" s="87">
        <v>16.99</v>
      </c>
      <c r="G4582" s="88">
        <f t="shared" si="1"/>
        <v>4.4</v>
      </c>
      <c r="H4582" s="89">
        <f t="shared" si="10"/>
        <v>0.2589758682</v>
      </c>
      <c r="I4582" s="78" t="s">
        <v>5379</v>
      </c>
      <c r="J4582" s="78" t="s">
        <v>69</v>
      </c>
      <c r="K4582" s="58">
        <f t="shared" si="14"/>
        <v>5</v>
      </c>
      <c r="L4582" s="91" t="str">
        <f t="shared" si="8"/>
        <v>Sat</v>
      </c>
      <c r="M4582" s="78" t="str">
        <f>IFERROR(VLOOKUP(A4582, Entries!A:B,2,false),"")</f>
        <v>BANDAI NAMCO</v>
      </c>
      <c r="N4582" s="23" t="str">
        <f>IFERROR(VLOOKUP(A4582, Entries!A:K,11,false),"")</f>
        <v/>
      </c>
      <c r="Q4582" s="78" t="s">
        <v>5380</v>
      </c>
    </row>
    <row r="4583">
      <c r="A4583" s="78" t="s">
        <v>4615</v>
      </c>
      <c r="B4583" s="78" t="s">
        <v>30</v>
      </c>
      <c r="C4583" s="85">
        <v>45229.0</v>
      </c>
      <c r="D4583" s="85">
        <v>45234.0</v>
      </c>
      <c r="E4583" s="86">
        <v>9.88</v>
      </c>
      <c r="F4583" s="87">
        <v>11.12</v>
      </c>
      <c r="G4583" s="88">
        <f t="shared" si="1"/>
        <v>1.24</v>
      </c>
      <c r="H4583" s="89">
        <f t="shared" si="10"/>
        <v>0.1115107914</v>
      </c>
      <c r="I4583" s="78" t="s">
        <v>5381</v>
      </c>
      <c r="J4583" s="78" t="s">
        <v>69</v>
      </c>
      <c r="K4583" s="58">
        <f t="shared" si="14"/>
        <v>5</v>
      </c>
      <c r="L4583" s="91" t="str">
        <f t="shared" si="8"/>
        <v>Sat</v>
      </c>
      <c r="M4583" s="78" t="str">
        <f>IFERROR(VLOOKUP(A4583, Entries!A:B,2,false),"")</f>
        <v>Fellow Traveller</v>
      </c>
      <c r="N4583" s="23" t="str">
        <f>IFERROR(VLOOKUP(A4583, Entries!A:K,11,false),"")</f>
        <v/>
      </c>
    </row>
    <row r="4584">
      <c r="A4584" s="78" t="s">
        <v>5273</v>
      </c>
      <c r="B4584" s="78" t="s">
        <v>25</v>
      </c>
      <c r="C4584" s="85">
        <v>45229.0</v>
      </c>
      <c r="D4584" s="85">
        <v>45275.0</v>
      </c>
      <c r="E4584" s="86">
        <v>31.98</v>
      </c>
      <c r="F4584" s="87">
        <v>34.39</v>
      </c>
      <c r="G4584" s="88">
        <f t="shared" si="1"/>
        <v>2.41</v>
      </c>
      <c r="H4584" s="89">
        <f t="shared" si="10"/>
        <v>0.0700785112</v>
      </c>
      <c r="I4584" s="78" t="s">
        <v>5382</v>
      </c>
      <c r="J4584" s="78" t="s">
        <v>69</v>
      </c>
      <c r="K4584" s="58">
        <f t="shared" si="14"/>
        <v>46</v>
      </c>
      <c r="L4584" s="91" t="str">
        <f t="shared" si="8"/>
        <v>Fri</v>
      </c>
      <c r="M4584" s="78" t="str">
        <f>IFERROR(VLOOKUP(A4584, Entries!A:B,2,false),"")</f>
        <v>PlayStation</v>
      </c>
      <c r="N4584" s="23" t="str">
        <f>IFERROR(VLOOKUP(A4584, Entries!A:K,11,false),"")</f>
        <v/>
      </c>
    </row>
    <row r="4585">
      <c r="A4585" s="78" t="s">
        <v>719</v>
      </c>
      <c r="B4585" s="78" t="s">
        <v>19</v>
      </c>
      <c r="C4585" s="85">
        <v>45229.0</v>
      </c>
      <c r="D4585" s="85">
        <v>45232.0</v>
      </c>
      <c r="E4585" s="86">
        <v>12.41</v>
      </c>
      <c r="F4585" s="87">
        <v>15.56</v>
      </c>
      <c r="G4585" s="88">
        <f t="shared" si="1"/>
        <v>3.15</v>
      </c>
      <c r="H4585" s="89">
        <f t="shared" si="10"/>
        <v>0.2024421594</v>
      </c>
      <c r="I4585" s="78" t="s">
        <v>5383</v>
      </c>
      <c r="J4585" s="78" t="s">
        <v>69</v>
      </c>
      <c r="K4585" s="58">
        <f t="shared" si="14"/>
        <v>3</v>
      </c>
      <c r="L4585" s="91" t="str">
        <f t="shared" si="8"/>
        <v>Thu</v>
      </c>
      <c r="M4585" s="78" t="str">
        <f>IFERROR(VLOOKUP(A4585, Entries!A:B,2,false),"")</f>
        <v>Lukas Rustemeyer</v>
      </c>
      <c r="N4585" s="23" t="str">
        <f>IFERROR(VLOOKUP(A4585, Entries!A:K,11,false),"")</f>
        <v/>
      </c>
    </row>
    <row r="4586">
      <c r="A4586" s="78" t="s">
        <v>3915</v>
      </c>
      <c r="B4586" s="78" t="s">
        <v>27</v>
      </c>
      <c r="C4586" s="85">
        <v>45229.0</v>
      </c>
      <c r="D4586" s="85">
        <v>45230.0</v>
      </c>
      <c r="E4586" s="86">
        <v>8.82</v>
      </c>
      <c r="F4586" s="87">
        <v>17.3</v>
      </c>
      <c r="G4586" s="88">
        <f t="shared" si="1"/>
        <v>8.48</v>
      </c>
      <c r="H4586" s="89">
        <f t="shared" si="10"/>
        <v>0.4901734104</v>
      </c>
      <c r="I4586" s="78" t="s">
        <v>5384</v>
      </c>
      <c r="J4586" s="78" t="s">
        <v>69</v>
      </c>
      <c r="K4586" s="58">
        <f t="shared" si="14"/>
        <v>1</v>
      </c>
      <c r="L4586" s="91" t="str">
        <f t="shared" si="8"/>
        <v>Tue</v>
      </c>
      <c r="M4586" s="78" t="str">
        <f>IFERROR(VLOOKUP(A4586, Entries!A:B,2,false),"")</f>
        <v>HandyGames</v>
      </c>
      <c r="N4586" s="23" t="str">
        <f>IFERROR(VLOOKUP(A4586, Entries!A:K,11,false),"")</f>
        <v/>
      </c>
    </row>
    <row r="4587">
      <c r="A4587" s="78" t="s">
        <v>2180</v>
      </c>
      <c r="B4587" s="78" t="s">
        <v>25</v>
      </c>
      <c r="C4587" s="85">
        <v>45230.0</v>
      </c>
      <c r="D4587" s="85">
        <v>45257.0</v>
      </c>
      <c r="E4587" s="86">
        <v>4.14</v>
      </c>
      <c r="F4587" s="87">
        <v>5.49</v>
      </c>
      <c r="G4587" s="88">
        <f t="shared" si="1"/>
        <v>1.35</v>
      </c>
      <c r="H4587" s="89">
        <f t="shared" si="10"/>
        <v>0.2459016393</v>
      </c>
      <c r="I4587" s="78" t="s">
        <v>5385</v>
      </c>
      <c r="J4587" s="78" t="s">
        <v>69</v>
      </c>
      <c r="K4587" s="58">
        <f t="shared" si="14"/>
        <v>27</v>
      </c>
      <c r="L4587" s="91" t="str">
        <f t="shared" si="8"/>
        <v>Mon</v>
      </c>
      <c r="M4587" s="78" t="str">
        <f>IFERROR(VLOOKUP(A4587, Entries!A:B,2,false),"")</f>
        <v>Konami</v>
      </c>
      <c r="N4587" s="23" t="str">
        <f>IFERROR(VLOOKUP(A4587, Entries!A:K,11,false),"")</f>
        <v/>
      </c>
    </row>
    <row r="4588">
      <c r="A4588" s="78" t="s">
        <v>2180</v>
      </c>
      <c r="B4588" s="78" t="s">
        <v>25</v>
      </c>
      <c r="C4588" s="85">
        <v>45230.0</v>
      </c>
      <c r="D4588" s="85">
        <v>45258.0</v>
      </c>
      <c r="E4588" s="86">
        <v>4.14</v>
      </c>
      <c r="F4588" s="87">
        <v>5.86</v>
      </c>
      <c r="G4588" s="88">
        <f t="shared" si="1"/>
        <v>1.72</v>
      </c>
      <c r="H4588" s="89">
        <f t="shared" si="10"/>
        <v>0.2935153584</v>
      </c>
      <c r="I4588" s="78" t="s">
        <v>5386</v>
      </c>
      <c r="J4588" s="78" t="s">
        <v>69</v>
      </c>
      <c r="K4588" s="58">
        <f t="shared" si="14"/>
        <v>28</v>
      </c>
      <c r="L4588" s="91" t="str">
        <f t="shared" si="8"/>
        <v>Tue</v>
      </c>
      <c r="M4588" s="78" t="str">
        <f>IFERROR(VLOOKUP(A4588, Entries!A:B,2,false),"")</f>
        <v>Konami</v>
      </c>
      <c r="N4588" s="23" t="str">
        <f>IFERROR(VLOOKUP(A4588, Entries!A:K,11,false),"")</f>
        <v/>
      </c>
    </row>
    <row r="4589">
      <c r="A4589" s="78" t="s">
        <v>2180</v>
      </c>
      <c r="B4589" s="78" t="s">
        <v>25</v>
      </c>
      <c r="C4589" s="85">
        <v>45230.0</v>
      </c>
      <c r="D4589" s="85">
        <v>45258.0</v>
      </c>
      <c r="E4589" s="86">
        <v>4.14</v>
      </c>
      <c r="F4589" s="87">
        <v>5.86</v>
      </c>
      <c r="G4589" s="88">
        <f t="shared" si="1"/>
        <v>1.72</v>
      </c>
      <c r="H4589" s="89">
        <f t="shared" si="10"/>
        <v>0.2935153584</v>
      </c>
      <c r="I4589" s="78" t="s">
        <v>5387</v>
      </c>
      <c r="J4589" s="78" t="s">
        <v>69</v>
      </c>
      <c r="K4589" s="58">
        <f t="shared" si="14"/>
        <v>28</v>
      </c>
      <c r="L4589" s="91" t="str">
        <f t="shared" si="8"/>
        <v>Tue</v>
      </c>
      <c r="M4589" s="78" t="str">
        <f>IFERROR(VLOOKUP(A4589, Entries!A:B,2,false),"")</f>
        <v>Konami</v>
      </c>
      <c r="N4589" s="23" t="str">
        <f>IFERROR(VLOOKUP(A4589, Entries!A:K,11,false),"")</f>
        <v/>
      </c>
    </row>
    <row r="4590">
      <c r="A4590" s="78" t="s">
        <v>2180</v>
      </c>
      <c r="B4590" s="78" t="s">
        <v>25</v>
      </c>
      <c r="C4590" s="85">
        <v>45230.0</v>
      </c>
      <c r="D4590" s="85">
        <v>45259.0</v>
      </c>
      <c r="E4590" s="86">
        <v>4.14</v>
      </c>
      <c r="F4590" s="87">
        <v>5.86</v>
      </c>
      <c r="G4590" s="88">
        <f t="shared" si="1"/>
        <v>1.72</v>
      </c>
      <c r="H4590" s="89">
        <f t="shared" si="10"/>
        <v>0.2935153584</v>
      </c>
      <c r="I4590" s="78" t="s">
        <v>5388</v>
      </c>
      <c r="J4590" s="78" t="s">
        <v>69</v>
      </c>
      <c r="K4590" s="58">
        <f t="shared" si="14"/>
        <v>29</v>
      </c>
      <c r="L4590" s="91" t="str">
        <f t="shared" si="8"/>
        <v>Wed</v>
      </c>
      <c r="M4590" s="78" t="str">
        <f>IFERROR(VLOOKUP(A4590, Entries!A:B,2,false),"")</f>
        <v>Konami</v>
      </c>
      <c r="N4590" s="23" t="str">
        <f>IFERROR(VLOOKUP(A4590, Entries!A:K,11,false),"")</f>
        <v/>
      </c>
    </row>
    <row r="4591">
      <c r="A4591" s="78" t="s">
        <v>2180</v>
      </c>
      <c r="B4591" s="78" t="s">
        <v>25</v>
      </c>
      <c r="C4591" s="85">
        <v>45230.0</v>
      </c>
      <c r="D4591" s="85">
        <v>45259.0</v>
      </c>
      <c r="E4591" s="86">
        <v>4.14</v>
      </c>
      <c r="F4591" s="87">
        <v>5.86</v>
      </c>
      <c r="G4591" s="88">
        <f t="shared" si="1"/>
        <v>1.72</v>
      </c>
      <c r="H4591" s="89">
        <f t="shared" si="10"/>
        <v>0.2935153584</v>
      </c>
      <c r="I4591" s="78" t="s">
        <v>5389</v>
      </c>
      <c r="J4591" s="78" t="s">
        <v>69</v>
      </c>
      <c r="K4591" s="58">
        <f t="shared" si="14"/>
        <v>29</v>
      </c>
      <c r="L4591" s="91" t="str">
        <f t="shared" si="8"/>
        <v>Wed</v>
      </c>
      <c r="M4591" s="78" t="str">
        <f>IFERROR(VLOOKUP(A4591, Entries!A:B,2,false),"")</f>
        <v>Konami</v>
      </c>
      <c r="N4591" s="23" t="str">
        <f>IFERROR(VLOOKUP(A4591, Entries!A:K,11,false),"")</f>
        <v/>
      </c>
    </row>
    <row r="4592">
      <c r="A4592" s="78" t="s">
        <v>2180</v>
      </c>
      <c r="B4592" s="78" t="s">
        <v>25</v>
      </c>
      <c r="C4592" s="85">
        <v>45230.0</v>
      </c>
      <c r="D4592" s="85">
        <v>45261.0</v>
      </c>
      <c r="E4592" s="86">
        <v>4.14</v>
      </c>
      <c r="F4592" s="87">
        <v>6.36</v>
      </c>
      <c r="G4592" s="88">
        <f t="shared" si="1"/>
        <v>2.22</v>
      </c>
      <c r="H4592" s="89">
        <f t="shared" si="10"/>
        <v>0.3490566038</v>
      </c>
      <c r="I4592" s="78" t="s">
        <v>5390</v>
      </c>
      <c r="J4592" s="78" t="s">
        <v>69</v>
      </c>
      <c r="K4592" s="58">
        <f t="shared" si="14"/>
        <v>31</v>
      </c>
      <c r="L4592" s="91" t="str">
        <f t="shared" si="8"/>
        <v>Fri</v>
      </c>
      <c r="M4592" s="78" t="str">
        <f>IFERROR(VLOOKUP(A4592, Entries!A:B,2,false),"")</f>
        <v>Konami</v>
      </c>
      <c r="N4592" s="23" t="str">
        <f>IFERROR(VLOOKUP(A4592, Entries!A:K,11,false),"")</f>
        <v/>
      </c>
    </row>
    <row r="4593">
      <c r="A4593" s="78" t="s">
        <v>4914</v>
      </c>
      <c r="B4593" s="78" t="s">
        <v>27</v>
      </c>
      <c r="C4593" s="85">
        <v>45230.0</v>
      </c>
      <c r="D4593" s="85">
        <v>45230.0</v>
      </c>
      <c r="E4593" s="86">
        <v>14.3</v>
      </c>
      <c r="F4593" s="87">
        <v>16.51</v>
      </c>
      <c r="G4593" s="88">
        <f t="shared" si="1"/>
        <v>2.21</v>
      </c>
      <c r="H4593" s="89">
        <f t="shared" si="10"/>
        <v>0.1338582677</v>
      </c>
      <c r="I4593" s="78" t="s">
        <v>5391</v>
      </c>
      <c r="J4593" s="78" t="s">
        <v>69</v>
      </c>
      <c r="K4593" s="58">
        <f t="shared" si="14"/>
        <v>0</v>
      </c>
      <c r="L4593" s="91" t="str">
        <f t="shared" si="8"/>
        <v>Tue</v>
      </c>
      <c r="M4593" s="78" t="str">
        <f>IFERROR(VLOOKUP(A4593, Entries!A:B,2,false),"")</f>
        <v>Deep Silver</v>
      </c>
      <c r="N4593" s="23" t="str">
        <f>IFERROR(VLOOKUP(A4593, Entries!A:K,11,false),"")</f>
        <v/>
      </c>
    </row>
    <row r="4594">
      <c r="A4594" s="78" t="s">
        <v>5098</v>
      </c>
      <c r="B4594" s="78" t="s">
        <v>27</v>
      </c>
      <c r="C4594" s="85">
        <v>45230.0</v>
      </c>
      <c r="D4594" s="85">
        <v>45376.0</v>
      </c>
      <c r="E4594" s="86">
        <v>7.09</v>
      </c>
      <c r="F4594" s="87">
        <v>7.24</v>
      </c>
      <c r="G4594" s="88">
        <f t="shared" si="1"/>
        <v>0.15</v>
      </c>
      <c r="H4594" s="89">
        <f t="shared" si="10"/>
        <v>0.02071823204</v>
      </c>
      <c r="I4594" s="78" t="s">
        <v>5392</v>
      </c>
      <c r="J4594" s="78" t="s">
        <v>69</v>
      </c>
      <c r="K4594" s="58">
        <f t="shared" si="14"/>
        <v>146</v>
      </c>
      <c r="L4594" s="91" t="str">
        <f t="shared" si="8"/>
        <v>Mon</v>
      </c>
      <c r="M4594" s="78" t="str">
        <f>IFERROR(VLOOKUP(A4594, Entries!A:B,2,false),"")</f>
        <v>Funcom</v>
      </c>
      <c r="N4594" s="23" t="str">
        <f>IFERROR(VLOOKUP(A4594, Entries!A:K,11,false),"")</f>
        <v/>
      </c>
    </row>
    <row r="4595">
      <c r="A4595" s="78" t="s">
        <v>3915</v>
      </c>
      <c r="B4595" s="78" t="s">
        <v>27</v>
      </c>
      <c r="C4595" s="85">
        <v>45230.0</v>
      </c>
      <c r="D4595" s="85">
        <v>45247.0</v>
      </c>
      <c r="E4595" s="86">
        <v>8.01</v>
      </c>
      <c r="F4595" s="87">
        <v>13.31</v>
      </c>
      <c r="G4595" s="88">
        <f t="shared" si="1"/>
        <v>5.3</v>
      </c>
      <c r="H4595" s="89">
        <f t="shared" si="10"/>
        <v>0.3981968445</v>
      </c>
      <c r="I4595" s="78" t="s">
        <v>5393</v>
      </c>
      <c r="J4595" s="78" t="s">
        <v>69</v>
      </c>
      <c r="K4595" s="58">
        <f t="shared" si="14"/>
        <v>17</v>
      </c>
      <c r="L4595" s="91" t="str">
        <f t="shared" si="8"/>
        <v>Fri</v>
      </c>
      <c r="M4595" s="78" t="str">
        <f>IFERROR(VLOOKUP(A4595, Entries!A:B,2,false),"")</f>
        <v>HandyGames</v>
      </c>
      <c r="N4595" s="23" t="str">
        <f>IFERROR(VLOOKUP(A4595, Entries!A:K,11,false),"")</f>
        <v/>
      </c>
    </row>
    <row r="4596">
      <c r="A4596" s="78" t="s">
        <v>5394</v>
      </c>
      <c r="B4596" s="78" t="s">
        <v>27</v>
      </c>
      <c r="C4596" s="85">
        <v>45230.0</v>
      </c>
      <c r="D4596" s="25"/>
      <c r="E4596" s="86">
        <v>29.89</v>
      </c>
      <c r="F4596" s="88"/>
      <c r="G4596" s="88">
        <f t="shared" si="1"/>
        <v>-29.89</v>
      </c>
      <c r="H4596" s="89" t="str">
        <f t="shared" si="10"/>
        <v/>
      </c>
      <c r="I4596" s="103" t="s">
        <v>5212</v>
      </c>
      <c r="J4596" s="78" t="s">
        <v>1129</v>
      </c>
      <c r="K4596" s="58" t="str">
        <f t="shared" si="14"/>
        <v/>
      </c>
      <c r="L4596" s="91" t="str">
        <f t="shared" si="8"/>
        <v/>
      </c>
      <c r="M4596" s="78" t="str">
        <f>IFERROR(VLOOKUP(A4596, Entries!A:B,2,false),"")</f>
        <v>SEGA</v>
      </c>
      <c r="N4596" s="23" t="str">
        <f>IFERROR(VLOOKUP(A4596, Entries!A:K,11,false),"")</f>
        <v/>
      </c>
    </row>
    <row r="4597">
      <c r="A4597" s="78" t="s">
        <v>4914</v>
      </c>
      <c r="B4597" s="78" t="s">
        <v>27</v>
      </c>
      <c r="C4597" s="85">
        <v>45230.0</v>
      </c>
      <c r="D4597" s="85">
        <v>45230.0</v>
      </c>
      <c r="E4597" s="86">
        <v>14.6</v>
      </c>
      <c r="F4597" s="87">
        <v>16.51</v>
      </c>
      <c r="G4597" s="88">
        <f t="shared" si="1"/>
        <v>1.91</v>
      </c>
      <c r="H4597" s="89">
        <f t="shared" si="10"/>
        <v>0.1156874621</v>
      </c>
      <c r="I4597" s="78" t="s">
        <v>5395</v>
      </c>
      <c r="J4597" s="78" t="s">
        <v>69</v>
      </c>
      <c r="K4597" s="58">
        <f t="shared" si="14"/>
        <v>0</v>
      </c>
      <c r="L4597" s="91" t="str">
        <f t="shared" si="8"/>
        <v>Tue</v>
      </c>
      <c r="M4597" s="78" t="str">
        <f>IFERROR(VLOOKUP(A4597, Entries!A:B,2,false),"")</f>
        <v>Deep Silver</v>
      </c>
      <c r="N4597" s="23" t="str">
        <f>IFERROR(VLOOKUP(A4597, Entries!A:K,11,false),"")</f>
        <v/>
      </c>
    </row>
    <row r="4598">
      <c r="A4598" s="78" t="s">
        <v>4914</v>
      </c>
      <c r="B4598" s="78" t="s">
        <v>27</v>
      </c>
      <c r="C4598" s="85">
        <v>45230.0</v>
      </c>
      <c r="D4598" s="85">
        <v>45231.0</v>
      </c>
      <c r="E4598" s="86">
        <v>14.42</v>
      </c>
      <c r="F4598" s="87">
        <v>16.51</v>
      </c>
      <c r="G4598" s="88">
        <f t="shared" si="1"/>
        <v>2.09</v>
      </c>
      <c r="H4598" s="89">
        <f t="shared" si="10"/>
        <v>0.1265899455</v>
      </c>
      <c r="I4598" s="78" t="s">
        <v>5396</v>
      </c>
      <c r="J4598" s="78" t="s">
        <v>69</v>
      </c>
      <c r="K4598" s="58">
        <f t="shared" si="14"/>
        <v>1</v>
      </c>
      <c r="L4598" s="91" t="str">
        <f t="shared" si="8"/>
        <v>Wed</v>
      </c>
      <c r="M4598" s="78" t="str">
        <f>IFERROR(VLOOKUP(A4598, Entries!A:B,2,false),"")</f>
        <v>Deep Silver</v>
      </c>
      <c r="N4598" s="23" t="str">
        <f>IFERROR(VLOOKUP(A4598, Entries!A:K,11,false),"")</f>
        <v/>
      </c>
    </row>
    <row r="4599">
      <c r="A4599" s="78" t="s">
        <v>4914</v>
      </c>
      <c r="B4599" s="78" t="s">
        <v>27</v>
      </c>
      <c r="C4599" s="85">
        <v>45231.0</v>
      </c>
      <c r="D4599" s="85">
        <v>45231.0</v>
      </c>
      <c r="E4599" s="86">
        <v>14.74</v>
      </c>
      <c r="F4599" s="87">
        <v>16.51</v>
      </c>
      <c r="G4599" s="88">
        <f t="shared" si="1"/>
        <v>1.77</v>
      </c>
      <c r="H4599" s="89">
        <f t="shared" si="10"/>
        <v>0.1072077529</v>
      </c>
      <c r="I4599" s="78" t="s">
        <v>5397</v>
      </c>
      <c r="J4599" s="78" t="s">
        <v>69</v>
      </c>
      <c r="K4599" s="58">
        <f t="shared" si="14"/>
        <v>0</v>
      </c>
      <c r="L4599" s="91" t="str">
        <f t="shared" si="8"/>
        <v>Wed</v>
      </c>
      <c r="M4599" s="78" t="str">
        <f>IFERROR(VLOOKUP(A4599, Entries!A:B,2,false),"")</f>
        <v>Deep Silver</v>
      </c>
      <c r="N4599" s="23" t="str">
        <f>IFERROR(VLOOKUP(A4599, Entries!A:K,11,false),"")</f>
        <v/>
      </c>
    </row>
    <row r="4600">
      <c r="A4600" s="78" t="s">
        <v>4814</v>
      </c>
      <c r="B4600" s="78" t="s">
        <v>27</v>
      </c>
      <c r="C4600" s="85">
        <v>45231.0</v>
      </c>
      <c r="D4600" s="85">
        <v>45232.0</v>
      </c>
      <c r="E4600" s="86">
        <v>24.09</v>
      </c>
      <c r="F4600" s="87">
        <v>26.05</v>
      </c>
      <c r="G4600" s="88">
        <f t="shared" si="1"/>
        <v>1.96</v>
      </c>
      <c r="H4600" s="89">
        <f t="shared" si="10"/>
        <v>0.07523992322</v>
      </c>
      <c r="I4600" s="78" t="s">
        <v>5398</v>
      </c>
      <c r="J4600" s="78" t="s">
        <v>69</v>
      </c>
      <c r="K4600" s="58">
        <f t="shared" si="14"/>
        <v>1</v>
      </c>
      <c r="L4600" s="91" t="str">
        <f t="shared" si="8"/>
        <v>Thu</v>
      </c>
      <c r="M4600" s="78" t="str">
        <f>IFERROR(VLOOKUP(A4600, Entries!A:B,2,false),"")</f>
        <v>PlayStation</v>
      </c>
      <c r="N4600" s="23" t="str">
        <f>IFERROR(VLOOKUP(A4600, Entries!A:K,11,false),"")</f>
        <v/>
      </c>
    </row>
    <row r="4601">
      <c r="A4601" s="78" t="s">
        <v>3876</v>
      </c>
      <c r="B4601" s="78" t="s">
        <v>21</v>
      </c>
      <c r="C4601" s="85">
        <v>45231.0</v>
      </c>
      <c r="D4601" s="85">
        <v>45241.0</v>
      </c>
      <c r="E4601" s="86">
        <v>13.82</v>
      </c>
      <c r="F4601" s="87">
        <v>17.01</v>
      </c>
      <c r="G4601" s="88">
        <f t="shared" si="1"/>
        <v>3.19</v>
      </c>
      <c r="H4601" s="89">
        <f t="shared" si="10"/>
        <v>0.1875367431</v>
      </c>
      <c r="I4601" s="78" t="s">
        <v>5399</v>
      </c>
      <c r="J4601" s="78" t="s">
        <v>69</v>
      </c>
      <c r="K4601" s="58">
        <f t="shared" si="14"/>
        <v>10</v>
      </c>
      <c r="L4601" s="91" t="str">
        <f t="shared" si="8"/>
        <v>Sat</v>
      </c>
      <c r="M4601" s="78" t="str">
        <f>IFERROR(VLOOKUP(A4601, Entries!A:B,2,false),"")</f>
        <v>Systemic Reaction</v>
      </c>
      <c r="N4601" s="23" t="str">
        <f>IFERROR(VLOOKUP(A4601, Entries!A:K,11,false),"")</f>
        <v/>
      </c>
    </row>
    <row r="4602">
      <c r="A4602" s="78" t="s">
        <v>3876</v>
      </c>
      <c r="B4602" s="78" t="s">
        <v>21</v>
      </c>
      <c r="C4602" s="85">
        <v>45231.0</v>
      </c>
      <c r="D4602" s="85">
        <v>45241.0</v>
      </c>
      <c r="E4602" s="86">
        <v>13.82</v>
      </c>
      <c r="F4602" s="87">
        <v>16.98</v>
      </c>
      <c r="G4602" s="88">
        <f t="shared" si="1"/>
        <v>3.16</v>
      </c>
      <c r="H4602" s="89">
        <f t="shared" si="10"/>
        <v>0.1861012956</v>
      </c>
      <c r="I4602" s="78" t="s">
        <v>5400</v>
      </c>
      <c r="J4602" s="78" t="s">
        <v>69</v>
      </c>
      <c r="K4602" s="58">
        <f t="shared" si="14"/>
        <v>10</v>
      </c>
      <c r="L4602" s="91" t="str">
        <f t="shared" si="8"/>
        <v>Sat</v>
      </c>
      <c r="M4602" s="78" t="str">
        <f>IFERROR(VLOOKUP(A4602, Entries!A:B,2,false),"")</f>
        <v>Systemic Reaction</v>
      </c>
      <c r="N4602" s="23" t="str">
        <f>IFERROR(VLOOKUP(A4602, Entries!A:K,11,false),"")</f>
        <v/>
      </c>
    </row>
    <row r="4603">
      <c r="A4603" s="78" t="s">
        <v>1167</v>
      </c>
      <c r="B4603" s="78" t="s">
        <v>27</v>
      </c>
      <c r="C4603" s="85">
        <v>45231.0</v>
      </c>
      <c r="D4603" s="85">
        <v>45231.0</v>
      </c>
      <c r="E4603" s="86">
        <v>26.39</v>
      </c>
      <c r="F4603" s="87">
        <v>27.77</v>
      </c>
      <c r="G4603" s="88">
        <f t="shared" si="1"/>
        <v>1.38</v>
      </c>
      <c r="H4603" s="89">
        <f t="shared" si="10"/>
        <v>0.0496939143</v>
      </c>
      <c r="I4603" s="78" t="s">
        <v>5401</v>
      </c>
      <c r="J4603" s="78" t="s">
        <v>69</v>
      </c>
      <c r="K4603" s="58">
        <f t="shared" si="14"/>
        <v>0</v>
      </c>
      <c r="L4603" s="91" t="str">
        <f t="shared" si="8"/>
        <v>Wed</v>
      </c>
      <c r="M4603" s="78" t="str">
        <f>IFERROR(VLOOKUP(A4603, Entries!A:B,2,false),"")</f>
        <v>BANDAI NAMCO</v>
      </c>
      <c r="N4603" s="23" t="str">
        <f>IFERROR(VLOOKUP(A4603, Entries!A:K,11,false),"")</f>
        <v/>
      </c>
    </row>
    <row r="4604">
      <c r="A4604" s="78" t="s">
        <v>3796</v>
      </c>
      <c r="B4604" s="78" t="s">
        <v>21</v>
      </c>
      <c r="C4604" s="85">
        <v>45231.0</v>
      </c>
      <c r="D4604" s="25"/>
      <c r="E4604" s="86">
        <v>8.78</v>
      </c>
      <c r="F4604" s="88"/>
      <c r="G4604" s="88">
        <f t="shared" si="1"/>
        <v>-8.78</v>
      </c>
      <c r="H4604" s="89" t="str">
        <f t="shared" si="10"/>
        <v/>
      </c>
      <c r="I4604" s="103" t="s">
        <v>5402</v>
      </c>
      <c r="J4604" s="78" t="s">
        <v>1129</v>
      </c>
      <c r="K4604" s="58" t="str">
        <f t="shared" si="14"/>
        <v/>
      </c>
      <c r="L4604" s="91" t="str">
        <f t="shared" si="8"/>
        <v/>
      </c>
      <c r="M4604" s="78" t="str">
        <f>IFERROR(VLOOKUP(A4604, Entries!A:B,2,false),"")</f>
        <v>Fellow Traveller</v>
      </c>
      <c r="N4604" s="23" t="str">
        <f>IFERROR(VLOOKUP(A4604, Entries!A:K,11,false),"")</f>
        <v/>
      </c>
    </row>
    <row r="4605">
      <c r="A4605" s="78" t="s">
        <v>3796</v>
      </c>
      <c r="B4605" s="78" t="s">
        <v>21</v>
      </c>
      <c r="C4605" s="85">
        <v>45231.0</v>
      </c>
      <c r="D4605" s="25"/>
      <c r="E4605" s="86">
        <v>8.78</v>
      </c>
      <c r="F4605" s="88"/>
      <c r="G4605" s="88">
        <f t="shared" si="1"/>
        <v>-8.78</v>
      </c>
      <c r="H4605" s="89" t="str">
        <f t="shared" si="10"/>
        <v/>
      </c>
      <c r="I4605" s="103" t="s">
        <v>5403</v>
      </c>
      <c r="J4605" s="78" t="s">
        <v>1129</v>
      </c>
      <c r="K4605" s="58" t="str">
        <f t="shared" si="14"/>
        <v/>
      </c>
      <c r="L4605" s="91" t="str">
        <f t="shared" si="8"/>
        <v/>
      </c>
      <c r="M4605" s="78" t="str">
        <f>IFERROR(VLOOKUP(A4605, Entries!A:B,2,false),"")</f>
        <v>Fellow Traveller</v>
      </c>
      <c r="N4605" s="23" t="str">
        <f>IFERROR(VLOOKUP(A4605, Entries!A:K,11,false),"")</f>
        <v/>
      </c>
    </row>
    <row r="4606">
      <c r="A4606" s="78" t="s">
        <v>1596</v>
      </c>
      <c r="B4606" s="78" t="s">
        <v>32</v>
      </c>
      <c r="C4606" s="85">
        <v>45231.0</v>
      </c>
      <c r="D4606" s="85">
        <v>45257.0</v>
      </c>
      <c r="E4606" s="86">
        <v>35.57</v>
      </c>
      <c r="F4606" s="87">
        <v>38.68</v>
      </c>
      <c r="G4606" s="88">
        <f t="shared" si="1"/>
        <v>3.11</v>
      </c>
      <c r="H4606" s="89">
        <f t="shared" si="10"/>
        <v>0.0804033092</v>
      </c>
      <c r="I4606" s="78" t="s">
        <v>5404</v>
      </c>
      <c r="J4606" s="78" t="s">
        <v>69</v>
      </c>
      <c r="K4606" s="58">
        <f t="shared" si="14"/>
        <v>26</v>
      </c>
      <c r="L4606" s="91" t="str">
        <f t="shared" si="8"/>
        <v>Mon</v>
      </c>
      <c r="M4606" s="78" t="str">
        <f>IFERROR(VLOOKUP(A4606, Entries!A:B,2,false),"")</f>
        <v>505 Games</v>
      </c>
      <c r="N4606" s="23" t="str">
        <f>IFERROR(VLOOKUP(A4606, Entries!A:K,11,false),"")</f>
        <v/>
      </c>
    </row>
    <row r="4607">
      <c r="A4607" s="78" t="s">
        <v>1167</v>
      </c>
      <c r="B4607" s="78" t="s">
        <v>27</v>
      </c>
      <c r="C4607" s="85">
        <v>45231.0</v>
      </c>
      <c r="D4607" s="85">
        <v>45232.0</v>
      </c>
      <c r="E4607" s="86">
        <v>26.39</v>
      </c>
      <c r="F4607" s="87">
        <v>27.73</v>
      </c>
      <c r="G4607" s="88">
        <f t="shared" si="1"/>
        <v>1.34</v>
      </c>
      <c r="H4607" s="89">
        <f t="shared" si="10"/>
        <v>0.04832311576</v>
      </c>
      <c r="I4607" s="78" t="s">
        <v>5405</v>
      </c>
      <c r="J4607" s="78" t="s">
        <v>69</v>
      </c>
      <c r="K4607" s="58">
        <f t="shared" si="14"/>
        <v>1</v>
      </c>
      <c r="L4607" s="91" t="str">
        <f t="shared" si="8"/>
        <v>Thu</v>
      </c>
      <c r="M4607" s="78" t="str">
        <f>IFERROR(VLOOKUP(A4607, Entries!A:B,2,false),"")</f>
        <v>BANDAI NAMCO</v>
      </c>
      <c r="N4607" s="23" t="str">
        <f>IFERROR(VLOOKUP(A4607, Entries!A:K,11,false),"")</f>
        <v/>
      </c>
    </row>
    <row r="4608">
      <c r="A4608" s="78" t="s">
        <v>1849</v>
      </c>
      <c r="B4608" s="78" t="s">
        <v>19</v>
      </c>
      <c r="C4608" s="85">
        <v>45231.0</v>
      </c>
      <c r="D4608" s="85">
        <v>45242.0</v>
      </c>
      <c r="E4608" s="86">
        <v>5.62</v>
      </c>
      <c r="F4608" s="87">
        <v>5.86</v>
      </c>
      <c r="G4608" s="88">
        <f t="shared" si="1"/>
        <v>0.24</v>
      </c>
      <c r="H4608" s="89">
        <f t="shared" si="10"/>
        <v>0.0409556314</v>
      </c>
      <c r="I4608" s="78" t="s">
        <v>5406</v>
      </c>
      <c r="J4608" s="78" t="s">
        <v>69</v>
      </c>
      <c r="K4608" s="58">
        <f t="shared" si="14"/>
        <v>11</v>
      </c>
      <c r="L4608" s="91" t="str">
        <f t="shared" si="8"/>
        <v>Sun</v>
      </c>
      <c r="M4608" s="78" t="str">
        <f>IFERROR(VLOOKUP(A4608, Entries!A:B,2,false),"")</f>
        <v>Marmalade Game Studio</v>
      </c>
      <c r="N4608" s="23" t="str">
        <f>IFERROR(VLOOKUP(A4608, Entries!A:K,11,false),"")</f>
        <v/>
      </c>
    </row>
    <row r="4609">
      <c r="A4609" s="78" t="s">
        <v>2395</v>
      </c>
      <c r="B4609" s="78" t="s">
        <v>19</v>
      </c>
      <c r="C4609" s="85">
        <v>45231.0</v>
      </c>
      <c r="D4609" s="85">
        <v>45362.0</v>
      </c>
      <c r="E4609" s="86">
        <v>7.49</v>
      </c>
      <c r="F4609" s="87">
        <v>8.32</v>
      </c>
      <c r="G4609" s="88">
        <f t="shared" si="1"/>
        <v>0.83</v>
      </c>
      <c r="H4609" s="89">
        <f t="shared" si="10"/>
        <v>0.09975961538</v>
      </c>
      <c r="I4609" s="78" t="s">
        <v>5407</v>
      </c>
      <c r="J4609" s="78" t="s">
        <v>69</v>
      </c>
      <c r="K4609" s="58">
        <f t="shared" si="14"/>
        <v>131</v>
      </c>
      <c r="L4609" s="91" t="str">
        <f t="shared" si="8"/>
        <v>Mon</v>
      </c>
      <c r="M4609" s="78" t="str">
        <f>IFERROR(VLOOKUP(A4609, Entries!A:B,2,false),"")</f>
        <v>Blue Brain Games</v>
      </c>
      <c r="N4609" s="23" t="str">
        <f>IFERROR(VLOOKUP(A4609, Entries!A:K,11,false),"")</f>
        <v/>
      </c>
    </row>
    <row r="4610">
      <c r="A4610" s="78" t="s">
        <v>5408</v>
      </c>
      <c r="B4610" s="78" t="s">
        <v>27</v>
      </c>
      <c r="C4610" s="85">
        <v>45231.0</v>
      </c>
      <c r="D4610" s="85">
        <v>45231.0</v>
      </c>
      <c r="E4610" s="86">
        <v>1.69</v>
      </c>
      <c r="F4610" s="87">
        <v>4.18</v>
      </c>
      <c r="G4610" s="88">
        <f t="shared" si="1"/>
        <v>2.49</v>
      </c>
      <c r="H4610" s="89">
        <f t="shared" si="10"/>
        <v>0.5956937799</v>
      </c>
      <c r="I4610" s="78" t="s">
        <v>5409</v>
      </c>
      <c r="J4610" s="78" t="s">
        <v>69</v>
      </c>
      <c r="K4610" s="58">
        <f t="shared" si="14"/>
        <v>0</v>
      </c>
      <c r="L4610" s="91" t="str">
        <f t="shared" si="8"/>
        <v>Wed</v>
      </c>
      <c r="M4610" s="78" t="str">
        <f>IFERROR(VLOOKUP(A4610, Entries!A:B,2,false),"")</f>
        <v>Joey Drew Studios</v>
      </c>
      <c r="N4610" s="23" t="str">
        <f>IFERROR(VLOOKUP(A4610, Entries!A:K,11,false),"")</f>
        <v/>
      </c>
    </row>
    <row r="4611">
      <c r="A4611" s="78" t="s">
        <v>5408</v>
      </c>
      <c r="B4611" s="78" t="s">
        <v>27</v>
      </c>
      <c r="C4611" s="85">
        <v>45231.0</v>
      </c>
      <c r="D4611" s="85">
        <v>45232.0</v>
      </c>
      <c r="E4611" s="86">
        <v>1.28</v>
      </c>
      <c r="F4611" s="87">
        <v>4.13</v>
      </c>
      <c r="G4611" s="88">
        <f t="shared" si="1"/>
        <v>2.85</v>
      </c>
      <c r="H4611" s="89">
        <f t="shared" si="10"/>
        <v>0.6900726392</v>
      </c>
      <c r="I4611" s="78" t="s">
        <v>5410</v>
      </c>
      <c r="J4611" s="78" t="s">
        <v>69</v>
      </c>
      <c r="K4611" s="58">
        <f t="shared" si="14"/>
        <v>1</v>
      </c>
      <c r="L4611" s="91" t="str">
        <f t="shared" si="8"/>
        <v>Thu</v>
      </c>
      <c r="M4611" s="78" t="str">
        <f>IFERROR(VLOOKUP(A4611, Entries!A:B,2,false),"")</f>
        <v>Joey Drew Studios</v>
      </c>
      <c r="N4611" s="23" t="str">
        <f>IFERROR(VLOOKUP(A4611, Entries!A:K,11,false),"")</f>
        <v/>
      </c>
    </row>
    <row r="4612">
      <c r="A4612" s="78" t="s">
        <v>5408</v>
      </c>
      <c r="B4612" s="78" t="s">
        <v>27</v>
      </c>
      <c r="C4612" s="85">
        <v>45231.0</v>
      </c>
      <c r="D4612" s="85">
        <v>45232.0</v>
      </c>
      <c r="E4612" s="86">
        <v>1.28</v>
      </c>
      <c r="F4612" s="87">
        <v>3.91</v>
      </c>
      <c r="G4612" s="88">
        <f t="shared" si="1"/>
        <v>2.63</v>
      </c>
      <c r="H4612" s="89">
        <f t="shared" si="10"/>
        <v>0.6726342711</v>
      </c>
      <c r="I4612" s="78" t="s">
        <v>5411</v>
      </c>
      <c r="J4612" s="78" t="s">
        <v>69</v>
      </c>
      <c r="K4612" s="58">
        <f t="shared" si="14"/>
        <v>1</v>
      </c>
      <c r="L4612" s="91" t="str">
        <f t="shared" si="8"/>
        <v>Thu</v>
      </c>
      <c r="M4612" s="78" t="str">
        <f>IFERROR(VLOOKUP(A4612, Entries!A:B,2,false),"")</f>
        <v>Joey Drew Studios</v>
      </c>
      <c r="N4612" s="23" t="str">
        <f>IFERROR(VLOOKUP(A4612, Entries!A:K,11,false),"")</f>
        <v/>
      </c>
    </row>
    <row r="4613">
      <c r="A4613" s="78" t="s">
        <v>5408</v>
      </c>
      <c r="B4613" s="78" t="s">
        <v>27</v>
      </c>
      <c r="C4613" s="85">
        <v>45231.0</v>
      </c>
      <c r="D4613" s="85">
        <v>45233.0</v>
      </c>
      <c r="E4613" s="86">
        <v>1.29</v>
      </c>
      <c r="F4613" s="87">
        <v>3.91</v>
      </c>
      <c r="G4613" s="88">
        <f t="shared" si="1"/>
        <v>2.62</v>
      </c>
      <c r="H4613" s="89">
        <f t="shared" si="10"/>
        <v>0.6700767263</v>
      </c>
      <c r="I4613" s="78" t="s">
        <v>5412</v>
      </c>
      <c r="J4613" s="78" t="s">
        <v>69</v>
      </c>
      <c r="K4613" s="58">
        <f t="shared" si="14"/>
        <v>2</v>
      </c>
      <c r="L4613" s="91" t="str">
        <f t="shared" si="8"/>
        <v>Fri</v>
      </c>
      <c r="M4613" s="78" t="str">
        <f>IFERROR(VLOOKUP(A4613, Entries!A:B,2,false),"")</f>
        <v>Joey Drew Studios</v>
      </c>
      <c r="N4613" s="23" t="str">
        <f>IFERROR(VLOOKUP(A4613, Entries!A:K,11,false),"")</f>
        <v/>
      </c>
    </row>
    <row r="4614">
      <c r="A4614" s="78" t="s">
        <v>4767</v>
      </c>
      <c r="B4614" s="78" t="s">
        <v>19</v>
      </c>
      <c r="C4614" s="85">
        <v>45231.0</v>
      </c>
      <c r="D4614" s="85">
        <v>45233.0</v>
      </c>
      <c r="E4614" s="86">
        <v>11.72</v>
      </c>
      <c r="F4614" s="87">
        <v>13.49</v>
      </c>
      <c r="G4614" s="88">
        <f t="shared" si="1"/>
        <v>1.77</v>
      </c>
      <c r="H4614" s="89">
        <f t="shared" si="10"/>
        <v>0.1312083024</v>
      </c>
      <c r="I4614" s="78" t="s">
        <v>5413</v>
      </c>
      <c r="J4614" s="78" t="s">
        <v>69</v>
      </c>
      <c r="K4614" s="58">
        <f t="shared" si="14"/>
        <v>2</v>
      </c>
      <c r="L4614" s="91" t="str">
        <f t="shared" si="8"/>
        <v>Fri</v>
      </c>
      <c r="M4614" s="78" t="str">
        <f>IFERROR(VLOOKUP(A4614, Entries!A:B,2,false),"")</f>
        <v/>
      </c>
      <c r="N4614" s="23" t="str">
        <f>IFERROR(VLOOKUP(A4614, Entries!A:K,11,false),"")</f>
        <v/>
      </c>
    </row>
    <row r="4615">
      <c r="A4615" s="78" t="s">
        <v>1786</v>
      </c>
      <c r="B4615" s="78" t="s">
        <v>27</v>
      </c>
      <c r="C4615" s="85">
        <v>45231.0</v>
      </c>
      <c r="D4615" s="85">
        <v>45232.0</v>
      </c>
      <c r="E4615" s="86">
        <v>14.31</v>
      </c>
      <c r="F4615" s="87">
        <v>20.56</v>
      </c>
      <c r="G4615" s="88">
        <f t="shared" si="1"/>
        <v>6.25</v>
      </c>
      <c r="H4615" s="89">
        <f t="shared" si="10"/>
        <v>0.3039883268</v>
      </c>
      <c r="I4615" s="78" t="s">
        <v>5414</v>
      </c>
      <c r="J4615" s="78" t="s">
        <v>69</v>
      </c>
      <c r="K4615" s="58">
        <f t="shared" si="14"/>
        <v>1</v>
      </c>
      <c r="L4615" s="91" t="str">
        <f t="shared" si="8"/>
        <v>Thu</v>
      </c>
      <c r="M4615" s="78" t="str">
        <f>IFERROR(VLOOKUP(A4615, Entries!A:B,2,false),"")</f>
        <v>Bethesda Softworks</v>
      </c>
      <c r="N4615" s="23" t="str">
        <f>IFERROR(VLOOKUP(A4615, Entries!A:K,11,false),"")</f>
        <v/>
      </c>
    </row>
    <row r="4616">
      <c r="A4616" s="78" t="s">
        <v>4914</v>
      </c>
      <c r="B4616" s="78" t="s">
        <v>27</v>
      </c>
      <c r="C4616" s="85">
        <v>45231.0</v>
      </c>
      <c r="D4616" s="85">
        <v>45232.0</v>
      </c>
      <c r="E4616" s="86">
        <v>14.89</v>
      </c>
      <c r="F4616" s="87">
        <v>16.51</v>
      </c>
      <c r="G4616" s="88">
        <f t="shared" si="1"/>
        <v>1.62</v>
      </c>
      <c r="H4616" s="89">
        <f t="shared" si="10"/>
        <v>0.09812235009</v>
      </c>
      <c r="I4616" s="78" t="s">
        <v>5415</v>
      </c>
      <c r="J4616" s="78" t="s">
        <v>69</v>
      </c>
      <c r="K4616" s="58">
        <f t="shared" si="14"/>
        <v>1</v>
      </c>
      <c r="L4616" s="91" t="str">
        <f t="shared" si="8"/>
        <v>Thu</v>
      </c>
      <c r="M4616" s="78" t="str">
        <f>IFERROR(VLOOKUP(A4616, Entries!A:B,2,false),"")</f>
        <v>Deep Silver</v>
      </c>
      <c r="N4616" s="23" t="str">
        <f>IFERROR(VLOOKUP(A4616, Entries!A:K,11,false),"")</f>
        <v/>
      </c>
    </row>
    <row r="4617">
      <c r="A4617" s="78" t="s">
        <v>1786</v>
      </c>
      <c r="B4617" s="78" t="s">
        <v>27</v>
      </c>
      <c r="C4617" s="85">
        <v>45232.0</v>
      </c>
      <c r="D4617" s="85">
        <v>45232.0</v>
      </c>
      <c r="E4617" s="86">
        <v>14.32</v>
      </c>
      <c r="F4617" s="87">
        <v>31.06</v>
      </c>
      <c r="G4617" s="88">
        <f t="shared" si="1"/>
        <v>16.74</v>
      </c>
      <c r="H4617" s="89">
        <f t="shared" si="10"/>
        <v>0.5389568577</v>
      </c>
      <c r="I4617" s="78" t="s">
        <v>5416</v>
      </c>
      <c r="J4617" s="78" t="s">
        <v>69</v>
      </c>
      <c r="K4617" s="58">
        <f t="shared" si="14"/>
        <v>0</v>
      </c>
      <c r="L4617" s="91" t="str">
        <f t="shared" si="8"/>
        <v>Thu</v>
      </c>
      <c r="M4617" s="78" t="str">
        <f>IFERROR(VLOOKUP(A4617, Entries!A:B,2,false),"")</f>
        <v>Bethesda Softworks</v>
      </c>
      <c r="N4617" s="23" t="str">
        <f>IFERROR(VLOOKUP(A4617, Entries!A:K,11,false),"")</f>
        <v/>
      </c>
    </row>
    <row r="4618">
      <c r="A4618" s="78" t="s">
        <v>550</v>
      </c>
      <c r="B4618" s="78" t="s">
        <v>25</v>
      </c>
      <c r="C4618" s="85">
        <v>45232.0</v>
      </c>
      <c r="D4618" s="85">
        <v>45244.0</v>
      </c>
      <c r="E4618" s="86">
        <v>5.27</v>
      </c>
      <c r="F4618" s="87">
        <v>8.17</v>
      </c>
      <c r="G4618" s="88">
        <f t="shared" si="1"/>
        <v>2.9</v>
      </c>
      <c r="H4618" s="89">
        <f t="shared" si="10"/>
        <v>0.3549571603</v>
      </c>
      <c r="I4618" s="78" t="s">
        <v>5417</v>
      </c>
      <c r="J4618" s="78" t="s">
        <v>69</v>
      </c>
      <c r="K4618" s="58">
        <f t="shared" si="14"/>
        <v>12</v>
      </c>
      <c r="L4618" s="91" t="str">
        <f t="shared" si="8"/>
        <v>Tue</v>
      </c>
      <c r="M4618" s="78" t="str">
        <f>IFERROR(VLOOKUP(A4618, Entries!A:B,2,false),"")</f>
        <v>Codemasters</v>
      </c>
      <c r="N4618" s="23" t="str">
        <f>IFERROR(VLOOKUP(A4618, Entries!A:K,11,false),"")</f>
        <v/>
      </c>
    </row>
    <row r="4619">
      <c r="A4619" s="78" t="s">
        <v>4914</v>
      </c>
      <c r="B4619" s="78" t="s">
        <v>27</v>
      </c>
      <c r="C4619" s="85">
        <v>45232.0</v>
      </c>
      <c r="D4619" s="85">
        <v>45233.0</v>
      </c>
      <c r="E4619" s="86">
        <v>14.89</v>
      </c>
      <c r="F4619" s="87">
        <v>16.51</v>
      </c>
      <c r="G4619" s="88">
        <f t="shared" si="1"/>
        <v>1.62</v>
      </c>
      <c r="H4619" s="89">
        <f t="shared" si="10"/>
        <v>0.09812235009</v>
      </c>
      <c r="I4619" s="78" t="s">
        <v>5418</v>
      </c>
      <c r="J4619" s="78" t="s">
        <v>69</v>
      </c>
      <c r="K4619" s="58">
        <f t="shared" si="14"/>
        <v>1</v>
      </c>
      <c r="L4619" s="91" t="str">
        <f t="shared" si="8"/>
        <v>Fri</v>
      </c>
      <c r="M4619" s="78" t="str">
        <f>IFERROR(VLOOKUP(A4619, Entries!A:B,2,false),"")</f>
        <v>Deep Silver</v>
      </c>
      <c r="N4619" s="23" t="str">
        <f>IFERROR(VLOOKUP(A4619, Entries!A:K,11,false),"")</f>
        <v/>
      </c>
    </row>
    <row r="4620">
      <c r="A4620" s="78" t="s">
        <v>5419</v>
      </c>
      <c r="B4620" s="78" t="s">
        <v>21</v>
      </c>
      <c r="C4620" s="85">
        <v>45232.0</v>
      </c>
      <c r="D4620" s="85">
        <v>45232.0</v>
      </c>
      <c r="E4620" s="86">
        <v>29.71</v>
      </c>
      <c r="F4620" s="87">
        <v>34.22</v>
      </c>
      <c r="G4620" s="88">
        <f t="shared" si="1"/>
        <v>4.51</v>
      </c>
      <c r="H4620" s="89">
        <f t="shared" si="10"/>
        <v>0.1317942724</v>
      </c>
      <c r="I4620" s="78" t="s">
        <v>5420</v>
      </c>
      <c r="J4620" s="78" t="s">
        <v>69</v>
      </c>
      <c r="K4620" s="58">
        <f t="shared" si="14"/>
        <v>0</v>
      </c>
      <c r="L4620" s="91" t="str">
        <f t="shared" si="8"/>
        <v>Thu</v>
      </c>
      <c r="M4620" s="78" t="str">
        <f>IFERROR(VLOOKUP(A4620, Entries!A:B,2,false),"")</f>
        <v>PlayStation</v>
      </c>
      <c r="N4620" s="23" t="str">
        <f>IFERROR(VLOOKUP(A4620, Entries!A:K,11,false),"")</f>
        <v/>
      </c>
    </row>
    <row r="4621">
      <c r="A4621" s="78" t="s">
        <v>5419</v>
      </c>
      <c r="B4621" s="78" t="s">
        <v>21</v>
      </c>
      <c r="C4621" s="85">
        <v>45232.0</v>
      </c>
      <c r="D4621" s="85">
        <v>45232.0</v>
      </c>
      <c r="E4621" s="86">
        <v>29.72</v>
      </c>
      <c r="F4621" s="87">
        <v>34.15</v>
      </c>
      <c r="G4621" s="88">
        <f t="shared" si="1"/>
        <v>4.43</v>
      </c>
      <c r="H4621" s="89">
        <f t="shared" si="10"/>
        <v>0.1297218155</v>
      </c>
      <c r="I4621" s="78" t="s">
        <v>5421</v>
      </c>
      <c r="J4621" s="78" t="s">
        <v>69</v>
      </c>
      <c r="K4621" s="58">
        <f t="shared" si="14"/>
        <v>0</v>
      </c>
      <c r="L4621" s="91" t="str">
        <f t="shared" si="8"/>
        <v>Thu</v>
      </c>
      <c r="M4621" s="78" t="str">
        <f>IFERROR(VLOOKUP(A4621, Entries!A:B,2,false),"")</f>
        <v>PlayStation</v>
      </c>
      <c r="N4621" s="23" t="str">
        <f>IFERROR(VLOOKUP(A4621, Entries!A:K,11,false),"")</f>
        <v/>
      </c>
    </row>
    <row r="4622">
      <c r="A4622" s="78" t="s">
        <v>1167</v>
      </c>
      <c r="B4622" s="78" t="s">
        <v>27</v>
      </c>
      <c r="C4622" s="85">
        <v>45232.0</v>
      </c>
      <c r="D4622" s="85">
        <v>45238.0</v>
      </c>
      <c r="E4622" s="86">
        <v>26.01</v>
      </c>
      <c r="F4622" s="87">
        <v>28.68</v>
      </c>
      <c r="G4622" s="88">
        <f t="shared" si="1"/>
        <v>2.67</v>
      </c>
      <c r="H4622" s="89">
        <f t="shared" si="10"/>
        <v>0.09309623431</v>
      </c>
      <c r="I4622" s="78" t="s">
        <v>5422</v>
      </c>
      <c r="J4622" s="78" t="s">
        <v>69</v>
      </c>
      <c r="K4622" s="58">
        <f t="shared" si="14"/>
        <v>6</v>
      </c>
      <c r="L4622" s="91" t="str">
        <f t="shared" si="8"/>
        <v>Wed</v>
      </c>
      <c r="M4622" s="78" t="str">
        <f>IFERROR(VLOOKUP(A4622, Entries!A:B,2,false),"")</f>
        <v>BANDAI NAMCO</v>
      </c>
      <c r="N4622" s="23" t="str">
        <f>IFERROR(VLOOKUP(A4622, Entries!A:K,11,false),"")</f>
        <v/>
      </c>
    </row>
    <row r="4623">
      <c r="A4623" s="78" t="s">
        <v>1786</v>
      </c>
      <c r="B4623" s="78" t="s">
        <v>27</v>
      </c>
      <c r="C4623" s="85">
        <v>45232.0</v>
      </c>
      <c r="D4623" s="85">
        <v>45232.0</v>
      </c>
      <c r="E4623" s="86">
        <v>14.89</v>
      </c>
      <c r="F4623" s="87">
        <v>18.99</v>
      </c>
      <c r="G4623" s="88">
        <f t="shared" si="1"/>
        <v>4.1</v>
      </c>
      <c r="H4623" s="89">
        <f t="shared" si="10"/>
        <v>0.2159031069</v>
      </c>
      <c r="I4623" s="78" t="s">
        <v>5423</v>
      </c>
      <c r="J4623" s="78" t="s">
        <v>69</v>
      </c>
      <c r="K4623" s="58">
        <f t="shared" si="14"/>
        <v>0</v>
      </c>
      <c r="L4623" s="91" t="str">
        <f t="shared" si="8"/>
        <v>Thu</v>
      </c>
      <c r="M4623" s="78" t="str">
        <f>IFERROR(VLOOKUP(A4623, Entries!A:B,2,false),"")</f>
        <v>Bethesda Softworks</v>
      </c>
      <c r="N4623" s="23" t="str">
        <f>IFERROR(VLOOKUP(A4623, Entries!A:K,11,false),"")</f>
        <v/>
      </c>
    </row>
    <row r="4624">
      <c r="A4624" s="78" t="s">
        <v>1786</v>
      </c>
      <c r="B4624" s="78" t="s">
        <v>27</v>
      </c>
      <c r="C4624" s="85">
        <v>45232.0</v>
      </c>
      <c r="D4624" s="85">
        <v>45232.0</v>
      </c>
      <c r="E4624" s="86">
        <v>14.89</v>
      </c>
      <c r="F4624" s="87">
        <v>18.99</v>
      </c>
      <c r="G4624" s="88">
        <f t="shared" si="1"/>
        <v>4.1</v>
      </c>
      <c r="H4624" s="89">
        <f t="shared" si="10"/>
        <v>0.2159031069</v>
      </c>
      <c r="I4624" s="78" t="s">
        <v>5424</v>
      </c>
      <c r="J4624" s="78" t="s">
        <v>69</v>
      </c>
      <c r="K4624" s="58">
        <f t="shared" si="14"/>
        <v>0</v>
      </c>
      <c r="L4624" s="91" t="str">
        <f t="shared" si="8"/>
        <v>Thu</v>
      </c>
      <c r="M4624" s="78" t="str">
        <f>IFERROR(VLOOKUP(A4624, Entries!A:B,2,false),"")</f>
        <v>Bethesda Softworks</v>
      </c>
      <c r="N4624" s="23" t="str">
        <f>IFERROR(VLOOKUP(A4624, Entries!A:K,11,false),"")</f>
        <v/>
      </c>
    </row>
    <row r="4625">
      <c r="A4625" s="78" t="s">
        <v>4282</v>
      </c>
      <c r="B4625" s="78" t="s">
        <v>27</v>
      </c>
      <c r="C4625" s="85">
        <v>45232.0</v>
      </c>
      <c r="D4625" s="85">
        <v>45232.0</v>
      </c>
      <c r="E4625" s="86">
        <v>22.39</v>
      </c>
      <c r="F4625" s="87">
        <v>33.45</v>
      </c>
      <c r="G4625" s="88">
        <f t="shared" si="1"/>
        <v>11.06</v>
      </c>
      <c r="H4625" s="89">
        <f t="shared" si="10"/>
        <v>0.3306427504</v>
      </c>
      <c r="I4625" s="78" t="s">
        <v>5425</v>
      </c>
      <c r="J4625" s="78" t="s">
        <v>69</v>
      </c>
      <c r="K4625" s="58">
        <f t="shared" si="14"/>
        <v>0</v>
      </c>
      <c r="L4625" s="91" t="str">
        <f t="shared" si="8"/>
        <v>Thu</v>
      </c>
      <c r="M4625" s="78" t="str">
        <f>IFERROR(VLOOKUP(A4625, Entries!A:B,2,false),"")</f>
        <v>PlayStation</v>
      </c>
      <c r="N4625" s="23" t="str">
        <f>IFERROR(VLOOKUP(A4625, Entries!A:K,11,false),"")</f>
        <v/>
      </c>
    </row>
    <row r="4626">
      <c r="A4626" s="78" t="s">
        <v>1786</v>
      </c>
      <c r="B4626" s="78" t="s">
        <v>27</v>
      </c>
      <c r="C4626" s="85">
        <v>45232.0</v>
      </c>
      <c r="D4626" s="85">
        <v>45232.0</v>
      </c>
      <c r="E4626" s="86">
        <v>14.89</v>
      </c>
      <c r="F4626" s="87">
        <v>21.45</v>
      </c>
      <c r="G4626" s="88">
        <f t="shared" si="1"/>
        <v>6.56</v>
      </c>
      <c r="H4626" s="89">
        <f t="shared" si="10"/>
        <v>0.3058275058</v>
      </c>
      <c r="I4626" s="78" t="s">
        <v>5426</v>
      </c>
      <c r="J4626" s="78" t="s">
        <v>69</v>
      </c>
      <c r="K4626" s="58">
        <f t="shared" si="14"/>
        <v>0</v>
      </c>
      <c r="L4626" s="91" t="str">
        <f t="shared" si="8"/>
        <v>Thu</v>
      </c>
      <c r="M4626" s="78" t="str">
        <f>IFERROR(VLOOKUP(A4626, Entries!A:B,2,false),"")</f>
        <v>Bethesda Softworks</v>
      </c>
      <c r="N4626" s="23" t="str">
        <f>IFERROR(VLOOKUP(A4626, Entries!A:K,11,false),"")</f>
        <v/>
      </c>
    </row>
    <row r="4627">
      <c r="A4627" s="78" t="s">
        <v>1786</v>
      </c>
      <c r="B4627" s="78" t="s">
        <v>27</v>
      </c>
      <c r="C4627" s="85">
        <v>45232.0</v>
      </c>
      <c r="D4627" s="85">
        <v>45232.0</v>
      </c>
      <c r="E4627" s="86">
        <v>14.89</v>
      </c>
      <c r="F4627" s="87">
        <v>21.23</v>
      </c>
      <c r="G4627" s="88">
        <f t="shared" si="1"/>
        <v>6.34</v>
      </c>
      <c r="H4627" s="89">
        <f t="shared" si="10"/>
        <v>0.2986340085</v>
      </c>
      <c r="I4627" s="78" t="s">
        <v>5427</v>
      </c>
      <c r="J4627" s="78" t="s">
        <v>69</v>
      </c>
      <c r="K4627" s="58">
        <f t="shared" si="14"/>
        <v>0</v>
      </c>
      <c r="L4627" s="91" t="str">
        <f t="shared" si="8"/>
        <v>Thu</v>
      </c>
      <c r="M4627" s="78" t="str">
        <f>IFERROR(VLOOKUP(A4627, Entries!A:B,2,false),"")</f>
        <v>Bethesda Softworks</v>
      </c>
      <c r="N4627" s="23" t="str">
        <f>IFERROR(VLOOKUP(A4627, Entries!A:K,11,false),"")</f>
        <v/>
      </c>
    </row>
    <row r="4628">
      <c r="A4628" s="78" t="s">
        <v>1786</v>
      </c>
      <c r="B4628" s="78" t="s">
        <v>27</v>
      </c>
      <c r="C4628" s="85">
        <v>45232.0</v>
      </c>
      <c r="D4628" s="85">
        <v>45232.0</v>
      </c>
      <c r="E4628" s="86">
        <v>14.89</v>
      </c>
      <c r="F4628" s="87">
        <v>20.53</v>
      </c>
      <c r="G4628" s="88">
        <f t="shared" si="1"/>
        <v>5.64</v>
      </c>
      <c r="H4628" s="89">
        <f t="shared" si="10"/>
        <v>0.2747199221</v>
      </c>
      <c r="I4628" s="78" t="s">
        <v>5428</v>
      </c>
      <c r="J4628" s="78" t="s">
        <v>69</v>
      </c>
      <c r="K4628" s="58">
        <f t="shared" si="14"/>
        <v>0</v>
      </c>
      <c r="L4628" s="91" t="str">
        <f t="shared" si="8"/>
        <v>Thu</v>
      </c>
      <c r="M4628" s="78" t="str">
        <f>IFERROR(VLOOKUP(A4628, Entries!A:B,2,false),"")</f>
        <v>Bethesda Softworks</v>
      </c>
      <c r="N4628" s="23" t="str">
        <f>IFERROR(VLOOKUP(A4628, Entries!A:K,11,false),"")</f>
        <v/>
      </c>
    </row>
    <row r="4629">
      <c r="A4629" s="78" t="s">
        <v>1786</v>
      </c>
      <c r="B4629" s="78" t="s">
        <v>27</v>
      </c>
      <c r="C4629" s="85">
        <v>45232.0</v>
      </c>
      <c r="D4629" s="85">
        <v>45232.0</v>
      </c>
      <c r="E4629" s="86">
        <v>14.85</v>
      </c>
      <c r="F4629" s="87">
        <v>20.47</v>
      </c>
      <c r="G4629" s="88">
        <f t="shared" si="1"/>
        <v>5.62</v>
      </c>
      <c r="H4629" s="89">
        <f t="shared" si="10"/>
        <v>0.2745481192</v>
      </c>
      <c r="I4629" s="78" t="s">
        <v>5429</v>
      </c>
      <c r="J4629" s="78" t="s">
        <v>69</v>
      </c>
      <c r="K4629" s="58">
        <f t="shared" si="14"/>
        <v>0</v>
      </c>
      <c r="L4629" s="91" t="str">
        <f t="shared" si="8"/>
        <v>Thu</v>
      </c>
      <c r="M4629" s="78" t="str">
        <f>IFERROR(VLOOKUP(A4629, Entries!A:B,2,false),"")</f>
        <v>Bethesda Softworks</v>
      </c>
      <c r="N4629" s="23" t="str">
        <f>IFERROR(VLOOKUP(A4629, Entries!A:K,11,false),"")</f>
        <v/>
      </c>
    </row>
    <row r="4630">
      <c r="A4630" s="78" t="s">
        <v>1786</v>
      </c>
      <c r="B4630" s="78" t="s">
        <v>27</v>
      </c>
      <c r="C4630" s="85">
        <v>45232.0</v>
      </c>
      <c r="D4630" s="85">
        <v>45232.0</v>
      </c>
      <c r="E4630" s="86">
        <v>14.86</v>
      </c>
      <c r="F4630" s="87">
        <v>20.47</v>
      </c>
      <c r="G4630" s="88">
        <f t="shared" si="1"/>
        <v>5.61</v>
      </c>
      <c r="H4630" s="89">
        <f t="shared" si="10"/>
        <v>0.2740595994</v>
      </c>
      <c r="I4630" s="78" t="s">
        <v>5430</v>
      </c>
      <c r="J4630" s="78" t="s">
        <v>69</v>
      </c>
      <c r="K4630" s="58">
        <f t="shared" si="14"/>
        <v>0</v>
      </c>
      <c r="L4630" s="91" t="str">
        <f t="shared" si="8"/>
        <v>Thu</v>
      </c>
      <c r="M4630" s="78" t="str">
        <f>IFERROR(VLOOKUP(A4630, Entries!A:B,2,false),"")</f>
        <v>Bethesda Softworks</v>
      </c>
      <c r="N4630" s="23" t="str">
        <f>IFERROR(VLOOKUP(A4630, Entries!A:K,11,false),"")</f>
        <v/>
      </c>
    </row>
    <row r="4631">
      <c r="A4631" s="78" t="s">
        <v>4282</v>
      </c>
      <c r="B4631" s="78" t="s">
        <v>27</v>
      </c>
      <c r="C4631" s="85">
        <v>45232.0</v>
      </c>
      <c r="D4631" s="85">
        <v>45233.0</v>
      </c>
      <c r="E4631" s="86">
        <v>22.39</v>
      </c>
      <c r="F4631" s="87">
        <v>29.57</v>
      </c>
      <c r="G4631" s="88">
        <f t="shared" si="1"/>
        <v>7.18</v>
      </c>
      <c r="H4631" s="89">
        <f t="shared" si="10"/>
        <v>0.2428136625</v>
      </c>
      <c r="I4631" s="78" t="s">
        <v>5431</v>
      </c>
      <c r="J4631" s="78" t="s">
        <v>69</v>
      </c>
      <c r="K4631" s="58">
        <f t="shared" si="14"/>
        <v>1</v>
      </c>
      <c r="L4631" s="91" t="str">
        <f t="shared" si="8"/>
        <v>Fri</v>
      </c>
      <c r="M4631" s="78" t="str">
        <f>IFERROR(VLOOKUP(A4631, Entries!A:B,2,false),"")</f>
        <v>PlayStation</v>
      </c>
      <c r="N4631" s="23" t="str">
        <f>IFERROR(VLOOKUP(A4631, Entries!A:K,11,false),"")</f>
        <v/>
      </c>
    </row>
    <row r="4632">
      <c r="A4632" s="78" t="s">
        <v>1786</v>
      </c>
      <c r="B4632" s="78" t="s">
        <v>27</v>
      </c>
      <c r="C4632" s="85">
        <v>45232.0</v>
      </c>
      <c r="D4632" s="85">
        <v>45232.0</v>
      </c>
      <c r="E4632" s="86">
        <v>14.63</v>
      </c>
      <c r="F4632" s="87">
        <v>20.47</v>
      </c>
      <c r="G4632" s="88">
        <f t="shared" si="1"/>
        <v>5.84</v>
      </c>
      <c r="H4632" s="89">
        <f t="shared" si="10"/>
        <v>0.2852955545</v>
      </c>
      <c r="I4632" s="78" t="s">
        <v>5432</v>
      </c>
      <c r="J4632" s="78" t="s">
        <v>69</v>
      </c>
      <c r="K4632" s="58">
        <f t="shared" si="14"/>
        <v>0</v>
      </c>
      <c r="L4632" s="91" t="str">
        <f t="shared" si="8"/>
        <v>Thu</v>
      </c>
      <c r="M4632" s="78" t="str">
        <f>IFERROR(VLOOKUP(A4632, Entries!A:B,2,false),"")</f>
        <v>Bethesda Softworks</v>
      </c>
      <c r="N4632" s="23" t="str">
        <f>IFERROR(VLOOKUP(A4632, Entries!A:K,11,false),"")</f>
        <v/>
      </c>
    </row>
    <row r="4633">
      <c r="A4633" s="78" t="s">
        <v>1786</v>
      </c>
      <c r="B4633" s="78" t="s">
        <v>27</v>
      </c>
      <c r="C4633" s="85">
        <v>45232.0</v>
      </c>
      <c r="D4633" s="85">
        <v>45232.0</v>
      </c>
      <c r="E4633" s="86">
        <v>14.63</v>
      </c>
      <c r="F4633" s="87">
        <v>20.47</v>
      </c>
      <c r="G4633" s="88">
        <f t="shared" si="1"/>
        <v>5.84</v>
      </c>
      <c r="H4633" s="89">
        <f t="shared" si="10"/>
        <v>0.2852955545</v>
      </c>
      <c r="I4633" s="78" t="s">
        <v>5433</v>
      </c>
      <c r="J4633" s="78" t="s">
        <v>69</v>
      </c>
      <c r="K4633" s="58">
        <f t="shared" si="14"/>
        <v>0</v>
      </c>
      <c r="L4633" s="91" t="str">
        <f t="shared" si="8"/>
        <v>Thu</v>
      </c>
      <c r="M4633" s="78" t="str">
        <f>IFERROR(VLOOKUP(A4633, Entries!A:B,2,false),"")</f>
        <v>Bethesda Softworks</v>
      </c>
      <c r="N4633" s="23" t="str">
        <f>IFERROR(VLOOKUP(A4633, Entries!A:K,11,false),"")</f>
        <v/>
      </c>
    </row>
    <row r="4634">
      <c r="A4634" s="78" t="s">
        <v>1786</v>
      </c>
      <c r="B4634" s="78" t="s">
        <v>27</v>
      </c>
      <c r="C4634" s="85">
        <v>45232.0</v>
      </c>
      <c r="D4634" s="85">
        <v>45233.0</v>
      </c>
      <c r="E4634" s="86">
        <v>14.78</v>
      </c>
      <c r="F4634" s="87">
        <v>20.47</v>
      </c>
      <c r="G4634" s="88">
        <f t="shared" si="1"/>
        <v>5.69</v>
      </c>
      <c r="H4634" s="89">
        <f t="shared" si="10"/>
        <v>0.2779677577</v>
      </c>
      <c r="I4634" s="78" t="s">
        <v>5434</v>
      </c>
      <c r="J4634" s="78" t="s">
        <v>69</v>
      </c>
      <c r="K4634" s="58">
        <f t="shared" si="14"/>
        <v>1</v>
      </c>
      <c r="L4634" s="91" t="str">
        <f t="shared" si="8"/>
        <v>Fri</v>
      </c>
      <c r="M4634" s="78" t="str">
        <f>IFERROR(VLOOKUP(A4634, Entries!A:B,2,false),"")</f>
        <v>Bethesda Softworks</v>
      </c>
      <c r="N4634" s="23" t="str">
        <f>IFERROR(VLOOKUP(A4634, Entries!A:K,11,false),"")</f>
        <v/>
      </c>
    </row>
    <row r="4635">
      <c r="A4635" s="78" t="s">
        <v>1786</v>
      </c>
      <c r="B4635" s="78" t="s">
        <v>27</v>
      </c>
      <c r="C4635" s="85">
        <v>45232.0</v>
      </c>
      <c r="D4635" s="85">
        <v>45233.0</v>
      </c>
      <c r="E4635" s="86">
        <v>14.78</v>
      </c>
      <c r="F4635" s="87">
        <v>20.47</v>
      </c>
      <c r="G4635" s="88">
        <f t="shared" si="1"/>
        <v>5.69</v>
      </c>
      <c r="H4635" s="89">
        <f t="shared" si="10"/>
        <v>0.2779677577</v>
      </c>
      <c r="I4635" s="78" t="s">
        <v>5435</v>
      </c>
      <c r="J4635" s="78" t="s">
        <v>69</v>
      </c>
      <c r="K4635" s="58">
        <f t="shared" si="14"/>
        <v>1</v>
      </c>
      <c r="L4635" s="91" t="str">
        <f t="shared" si="8"/>
        <v>Fri</v>
      </c>
      <c r="M4635" s="78" t="str">
        <f>IFERROR(VLOOKUP(A4635, Entries!A:B,2,false),"")</f>
        <v>Bethesda Softworks</v>
      </c>
      <c r="N4635" s="23" t="str">
        <f>IFERROR(VLOOKUP(A4635, Entries!A:K,11,false),"")</f>
        <v/>
      </c>
    </row>
    <row r="4636">
      <c r="A4636" s="78" t="s">
        <v>719</v>
      </c>
      <c r="B4636" s="78" t="s">
        <v>19</v>
      </c>
      <c r="C4636" s="85">
        <v>45232.0</v>
      </c>
      <c r="D4636" s="85">
        <v>45233.0</v>
      </c>
      <c r="E4636" s="86">
        <v>12.43</v>
      </c>
      <c r="F4636" s="87">
        <v>15.79</v>
      </c>
      <c r="G4636" s="88">
        <f t="shared" si="1"/>
        <v>3.36</v>
      </c>
      <c r="H4636" s="89">
        <f t="shared" si="10"/>
        <v>0.2127929069</v>
      </c>
      <c r="I4636" s="78" t="s">
        <v>5436</v>
      </c>
      <c r="J4636" s="78" t="s">
        <v>69</v>
      </c>
      <c r="K4636" s="58">
        <f t="shared" si="14"/>
        <v>1</v>
      </c>
      <c r="L4636" s="91" t="str">
        <f t="shared" si="8"/>
        <v>Fri</v>
      </c>
      <c r="M4636" s="78" t="str">
        <f>IFERROR(VLOOKUP(A4636, Entries!A:B,2,false),"")</f>
        <v>Lukas Rustemeyer</v>
      </c>
      <c r="N4636" s="23" t="str">
        <f>IFERROR(VLOOKUP(A4636, Entries!A:K,11,false),"")</f>
        <v/>
      </c>
    </row>
    <row r="4637">
      <c r="A4637" s="78" t="s">
        <v>1786</v>
      </c>
      <c r="B4637" s="78" t="s">
        <v>27</v>
      </c>
      <c r="C4637" s="85">
        <v>45232.0</v>
      </c>
      <c r="D4637" s="85">
        <v>45233.0</v>
      </c>
      <c r="E4637" s="86">
        <v>14.74</v>
      </c>
      <c r="F4637" s="87">
        <v>20.47</v>
      </c>
      <c r="G4637" s="88">
        <f t="shared" si="1"/>
        <v>5.73</v>
      </c>
      <c r="H4637" s="89">
        <f t="shared" si="10"/>
        <v>0.2799218368</v>
      </c>
      <c r="I4637" s="78" t="s">
        <v>5437</v>
      </c>
      <c r="J4637" s="78" t="s">
        <v>69</v>
      </c>
      <c r="K4637" s="58">
        <f t="shared" si="14"/>
        <v>1</v>
      </c>
      <c r="L4637" s="91" t="str">
        <f t="shared" si="8"/>
        <v>Fri</v>
      </c>
      <c r="M4637" s="78" t="str">
        <f>IFERROR(VLOOKUP(A4637, Entries!A:B,2,false),"")</f>
        <v>Bethesda Softworks</v>
      </c>
      <c r="N4637" s="23" t="str">
        <f>IFERROR(VLOOKUP(A4637, Entries!A:K,11,false),"")</f>
        <v/>
      </c>
    </row>
    <row r="4638">
      <c r="A4638" s="78" t="s">
        <v>1786</v>
      </c>
      <c r="B4638" s="78" t="s">
        <v>27</v>
      </c>
      <c r="C4638" s="85">
        <v>45232.0</v>
      </c>
      <c r="D4638" s="85">
        <v>45233.0</v>
      </c>
      <c r="E4638" s="86">
        <v>14.74</v>
      </c>
      <c r="F4638" s="87">
        <v>20.47</v>
      </c>
      <c r="G4638" s="88">
        <f t="shared" si="1"/>
        <v>5.73</v>
      </c>
      <c r="H4638" s="89">
        <f t="shared" si="10"/>
        <v>0.2799218368</v>
      </c>
      <c r="I4638" s="78" t="s">
        <v>5438</v>
      </c>
      <c r="J4638" s="78" t="s">
        <v>69</v>
      </c>
      <c r="K4638" s="58">
        <f t="shared" si="14"/>
        <v>1</v>
      </c>
      <c r="L4638" s="91" t="str">
        <f t="shared" si="8"/>
        <v>Fri</v>
      </c>
      <c r="M4638" s="78" t="str">
        <f>IFERROR(VLOOKUP(A4638, Entries!A:B,2,false),"")</f>
        <v>Bethesda Softworks</v>
      </c>
      <c r="N4638" s="23" t="str">
        <f>IFERROR(VLOOKUP(A4638, Entries!A:K,11,false),"")</f>
        <v/>
      </c>
    </row>
    <row r="4639">
      <c r="A4639" s="78" t="s">
        <v>1786</v>
      </c>
      <c r="B4639" s="78" t="s">
        <v>27</v>
      </c>
      <c r="C4639" s="85">
        <v>45233.0</v>
      </c>
      <c r="D4639" s="85">
        <v>45233.0</v>
      </c>
      <c r="E4639" s="86">
        <v>14.89</v>
      </c>
      <c r="F4639" s="87">
        <v>20.47</v>
      </c>
      <c r="G4639" s="88">
        <f t="shared" si="1"/>
        <v>5.58</v>
      </c>
      <c r="H4639" s="89">
        <f t="shared" si="10"/>
        <v>0.2725940401</v>
      </c>
      <c r="I4639" s="78" t="s">
        <v>5439</v>
      </c>
      <c r="J4639" s="78" t="s">
        <v>69</v>
      </c>
      <c r="K4639" s="58">
        <f t="shared" si="14"/>
        <v>0</v>
      </c>
      <c r="L4639" s="91" t="str">
        <f t="shared" si="8"/>
        <v>Fri</v>
      </c>
      <c r="M4639" s="78" t="str">
        <f>IFERROR(VLOOKUP(A4639, Entries!A:B,2,false),"")</f>
        <v>Bethesda Softworks</v>
      </c>
      <c r="N4639" s="23" t="str">
        <f>IFERROR(VLOOKUP(A4639, Entries!A:K,11,false),"")</f>
        <v/>
      </c>
    </row>
    <row r="4640">
      <c r="A4640" s="78" t="s">
        <v>1786</v>
      </c>
      <c r="B4640" s="78" t="s">
        <v>27</v>
      </c>
      <c r="C4640" s="85">
        <v>45233.0</v>
      </c>
      <c r="D4640" s="85">
        <v>45233.0</v>
      </c>
      <c r="E4640" s="86">
        <v>14.79</v>
      </c>
      <c r="F4640" s="87">
        <v>28.54</v>
      </c>
      <c r="G4640" s="88">
        <f t="shared" si="1"/>
        <v>13.75</v>
      </c>
      <c r="H4640" s="89">
        <f t="shared" si="10"/>
        <v>0.481779958</v>
      </c>
      <c r="I4640" s="78" t="s">
        <v>5440</v>
      </c>
      <c r="J4640" s="78" t="s">
        <v>69</v>
      </c>
      <c r="K4640" s="58">
        <f t="shared" si="14"/>
        <v>0</v>
      </c>
      <c r="L4640" s="91" t="str">
        <f t="shared" si="8"/>
        <v>Fri</v>
      </c>
      <c r="M4640" s="78" t="str">
        <f>IFERROR(VLOOKUP(A4640, Entries!A:B,2,false),"")</f>
        <v>Bethesda Softworks</v>
      </c>
      <c r="N4640" s="23" t="str">
        <f>IFERROR(VLOOKUP(A4640, Entries!A:K,11,false),"")</f>
        <v/>
      </c>
    </row>
    <row r="4641">
      <c r="A4641" s="78" t="s">
        <v>1786</v>
      </c>
      <c r="B4641" s="78" t="s">
        <v>27</v>
      </c>
      <c r="C4641" s="85">
        <v>45233.0</v>
      </c>
      <c r="D4641" s="85">
        <v>45233.0</v>
      </c>
      <c r="E4641" s="86">
        <v>14.79</v>
      </c>
      <c r="F4641" s="87">
        <v>20.47</v>
      </c>
      <c r="G4641" s="88">
        <f t="shared" si="1"/>
        <v>5.68</v>
      </c>
      <c r="H4641" s="89">
        <f t="shared" si="10"/>
        <v>0.2774792379</v>
      </c>
      <c r="I4641" s="78" t="s">
        <v>5441</v>
      </c>
      <c r="J4641" s="78" t="s">
        <v>69</v>
      </c>
      <c r="K4641" s="58">
        <f t="shared" si="14"/>
        <v>0</v>
      </c>
      <c r="L4641" s="91" t="str">
        <f t="shared" si="8"/>
        <v>Fri</v>
      </c>
      <c r="M4641" s="78" t="str">
        <f>IFERROR(VLOOKUP(A4641, Entries!A:B,2,false),"")</f>
        <v>Bethesda Softworks</v>
      </c>
      <c r="N4641" s="23" t="str">
        <f>IFERROR(VLOOKUP(A4641, Entries!A:K,11,false),"")</f>
        <v/>
      </c>
    </row>
    <row r="4642">
      <c r="A4642" s="78" t="s">
        <v>1786</v>
      </c>
      <c r="B4642" s="78" t="s">
        <v>27</v>
      </c>
      <c r="C4642" s="85">
        <v>45233.0</v>
      </c>
      <c r="D4642" s="85">
        <v>45233.0</v>
      </c>
      <c r="E4642" s="86">
        <v>14.79</v>
      </c>
      <c r="F4642" s="87">
        <v>20.47</v>
      </c>
      <c r="G4642" s="88">
        <f t="shared" si="1"/>
        <v>5.68</v>
      </c>
      <c r="H4642" s="89">
        <f t="shared" si="10"/>
        <v>0.2774792379</v>
      </c>
      <c r="I4642" s="78" t="s">
        <v>5442</v>
      </c>
      <c r="J4642" s="78" t="s">
        <v>69</v>
      </c>
      <c r="K4642" s="58">
        <f t="shared" si="14"/>
        <v>0</v>
      </c>
      <c r="L4642" s="91" t="str">
        <f t="shared" si="8"/>
        <v>Fri</v>
      </c>
      <c r="M4642" s="78" t="str">
        <f>IFERROR(VLOOKUP(A4642, Entries!A:B,2,false),"")</f>
        <v>Bethesda Softworks</v>
      </c>
      <c r="N4642" s="23" t="str">
        <f>IFERROR(VLOOKUP(A4642, Entries!A:K,11,false),"")</f>
        <v/>
      </c>
    </row>
    <row r="4643">
      <c r="A4643" s="78" t="s">
        <v>5343</v>
      </c>
      <c r="B4643" s="78" t="s">
        <v>25</v>
      </c>
      <c r="C4643" s="85">
        <v>45233.0</v>
      </c>
      <c r="D4643" s="85">
        <v>45233.0</v>
      </c>
      <c r="E4643" s="86">
        <v>2.46</v>
      </c>
      <c r="F4643" s="87">
        <v>7.84</v>
      </c>
      <c r="G4643" s="88">
        <f t="shared" si="1"/>
        <v>5.38</v>
      </c>
      <c r="H4643" s="89">
        <f t="shared" si="10"/>
        <v>0.6862244898</v>
      </c>
      <c r="I4643" s="78" t="s">
        <v>5443</v>
      </c>
      <c r="J4643" s="78" t="s">
        <v>69</v>
      </c>
      <c r="K4643" s="58">
        <f t="shared" si="14"/>
        <v>0</v>
      </c>
      <c r="L4643" s="91" t="str">
        <f t="shared" si="8"/>
        <v>Fri</v>
      </c>
      <c r="M4643" s="78" t="str">
        <f>IFERROR(VLOOKUP(A4643, Entries!A:B,2,false),"")</f>
        <v>Focus Home Interactive</v>
      </c>
      <c r="N4643" s="23" t="str">
        <f>IFERROR(VLOOKUP(A4643, Entries!A:K,11,false),"")</f>
        <v/>
      </c>
    </row>
    <row r="4644">
      <c r="A4644" s="78" t="s">
        <v>5444</v>
      </c>
      <c r="B4644" s="78" t="s">
        <v>23</v>
      </c>
      <c r="C4644" s="85">
        <v>45233.0</v>
      </c>
      <c r="D4644" s="85">
        <v>45237.0</v>
      </c>
      <c r="E4644" s="86">
        <v>15.77</v>
      </c>
      <c r="F4644" s="87">
        <v>16.19</v>
      </c>
      <c r="G4644" s="88">
        <f t="shared" si="1"/>
        <v>0.42</v>
      </c>
      <c r="H4644" s="89">
        <f t="shared" si="10"/>
        <v>0.02594193947</v>
      </c>
      <c r="I4644" s="78" t="s">
        <v>5445</v>
      </c>
      <c r="J4644" s="78" t="s">
        <v>69</v>
      </c>
      <c r="K4644" s="58">
        <f t="shared" si="14"/>
        <v>4</v>
      </c>
      <c r="L4644" s="91" t="str">
        <f t="shared" si="8"/>
        <v>Tue</v>
      </c>
      <c r="M4644" s="78" t="str">
        <f>IFERROR(VLOOKUP(A4644, Entries!A:B,2,false),"")</f>
        <v>Dear Villagers</v>
      </c>
      <c r="N4644" s="23" t="str">
        <f>IFERROR(VLOOKUP(A4644, Entries!A:K,11,false),"")</f>
        <v/>
      </c>
    </row>
    <row r="4645">
      <c r="A4645" s="78" t="s">
        <v>5446</v>
      </c>
      <c r="B4645" s="78" t="s">
        <v>27</v>
      </c>
      <c r="C4645" s="85">
        <v>45233.0</v>
      </c>
      <c r="D4645" s="85">
        <v>45241.0</v>
      </c>
      <c r="E4645" s="86">
        <v>4.59</v>
      </c>
      <c r="F4645" s="87">
        <v>5.73</v>
      </c>
      <c r="G4645" s="88">
        <f t="shared" si="1"/>
        <v>1.14</v>
      </c>
      <c r="H4645" s="89">
        <f t="shared" si="10"/>
        <v>0.1989528796</v>
      </c>
      <c r="I4645" s="78" t="s">
        <v>5447</v>
      </c>
      <c r="J4645" s="78" t="s">
        <v>69</v>
      </c>
      <c r="K4645" s="58">
        <f t="shared" si="14"/>
        <v>8</v>
      </c>
      <c r="L4645" s="91" t="str">
        <f t="shared" si="8"/>
        <v>Sat</v>
      </c>
      <c r="M4645" s="78" t="str">
        <f>IFERROR(VLOOKUP(A4645, Entries!A:B,2,false),"")</f>
        <v>BANDAI NAMCO</v>
      </c>
      <c r="N4645" s="23" t="str">
        <f>IFERROR(VLOOKUP(A4645, Entries!A:K,11,false),"")</f>
        <v/>
      </c>
    </row>
    <row r="4646">
      <c r="A4646" s="78" t="s">
        <v>731</v>
      </c>
      <c r="B4646" s="78" t="s">
        <v>22</v>
      </c>
      <c r="C4646" s="85">
        <v>45233.0</v>
      </c>
      <c r="D4646" s="85">
        <v>45234.0</v>
      </c>
      <c r="E4646" s="86">
        <v>3.31</v>
      </c>
      <c r="F4646" s="87">
        <v>3.79</v>
      </c>
      <c r="G4646" s="88">
        <f t="shared" si="1"/>
        <v>0.48</v>
      </c>
      <c r="H4646" s="89">
        <f t="shared" si="10"/>
        <v>0.1266490765</v>
      </c>
      <c r="I4646" s="78" t="s">
        <v>5448</v>
      </c>
      <c r="J4646" s="78" t="s">
        <v>69</v>
      </c>
      <c r="K4646" s="58">
        <f t="shared" si="14"/>
        <v>1</v>
      </c>
      <c r="L4646" s="91" t="str">
        <f t="shared" si="8"/>
        <v>Sat</v>
      </c>
      <c r="M4646" s="78" t="str">
        <f>IFERROR(VLOOKUP(A4646, Entries!A:B,2,false),"")</f>
        <v>Square Enix</v>
      </c>
      <c r="N4646" s="23" t="str">
        <f>IFERROR(VLOOKUP(A4646, Entries!A:K,11,false),"")</f>
        <v/>
      </c>
    </row>
    <row r="4647">
      <c r="A4647" s="78" t="s">
        <v>719</v>
      </c>
      <c r="B4647" s="78" t="s">
        <v>19</v>
      </c>
      <c r="C4647" s="85">
        <v>45233.0</v>
      </c>
      <c r="D4647" s="85">
        <v>45237.0</v>
      </c>
      <c r="E4647" s="86">
        <v>12.37</v>
      </c>
      <c r="F4647" s="87">
        <v>12.88</v>
      </c>
      <c r="G4647" s="88">
        <f t="shared" si="1"/>
        <v>0.51</v>
      </c>
      <c r="H4647" s="89">
        <f t="shared" si="10"/>
        <v>0.03959627329</v>
      </c>
      <c r="I4647" s="78" t="s">
        <v>5449</v>
      </c>
      <c r="J4647" s="78" t="s">
        <v>69</v>
      </c>
      <c r="K4647" s="58">
        <f t="shared" si="14"/>
        <v>4</v>
      </c>
      <c r="L4647" s="91" t="str">
        <f t="shared" si="8"/>
        <v>Tue</v>
      </c>
      <c r="M4647" s="78" t="str">
        <f>IFERROR(VLOOKUP(A4647, Entries!A:B,2,false),"")</f>
        <v>Lukas Rustemeyer</v>
      </c>
      <c r="N4647" s="23" t="str">
        <f>IFERROR(VLOOKUP(A4647, Entries!A:K,11,false),"")</f>
        <v/>
      </c>
    </row>
    <row r="4648">
      <c r="A4648" s="78" t="s">
        <v>1786</v>
      </c>
      <c r="B4648" s="78" t="s">
        <v>27</v>
      </c>
      <c r="C4648" s="85">
        <v>45233.0</v>
      </c>
      <c r="D4648" s="85">
        <v>45234.0</v>
      </c>
      <c r="E4648" s="86">
        <v>14.74</v>
      </c>
      <c r="F4648" s="87">
        <v>20.47</v>
      </c>
      <c r="G4648" s="88">
        <f t="shared" si="1"/>
        <v>5.73</v>
      </c>
      <c r="H4648" s="89">
        <f t="shared" si="10"/>
        <v>0.2799218368</v>
      </c>
      <c r="I4648" s="78" t="s">
        <v>5450</v>
      </c>
      <c r="J4648" s="78" t="s">
        <v>69</v>
      </c>
      <c r="K4648" s="58">
        <f t="shared" si="14"/>
        <v>1</v>
      </c>
      <c r="L4648" s="91" t="str">
        <f t="shared" si="8"/>
        <v>Sat</v>
      </c>
      <c r="M4648" s="78" t="str">
        <f>IFERROR(VLOOKUP(A4648, Entries!A:B,2,false),"")</f>
        <v>Bethesda Softworks</v>
      </c>
      <c r="N4648" s="23" t="str">
        <f>IFERROR(VLOOKUP(A4648, Entries!A:K,11,false),"")</f>
        <v/>
      </c>
    </row>
    <row r="4649">
      <c r="A4649" s="78" t="s">
        <v>1786</v>
      </c>
      <c r="B4649" s="78" t="s">
        <v>27</v>
      </c>
      <c r="C4649" s="85">
        <v>45233.0</v>
      </c>
      <c r="D4649" s="85">
        <v>45233.0</v>
      </c>
      <c r="E4649" s="86">
        <v>14.74</v>
      </c>
      <c r="F4649" s="87">
        <v>20.47</v>
      </c>
      <c r="G4649" s="88">
        <f t="shared" si="1"/>
        <v>5.73</v>
      </c>
      <c r="H4649" s="89">
        <f t="shared" si="10"/>
        <v>0.2799218368</v>
      </c>
      <c r="I4649" s="78" t="s">
        <v>5451</v>
      </c>
      <c r="J4649" s="78" t="s">
        <v>69</v>
      </c>
      <c r="K4649" s="58">
        <f t="shared" si="14"/>
        <v>0</v>
      </c>
      <c r="L4649" s="91" t="str">
        <f t="shared" si="8"/>
        <v>Fri</v>
      </c>
      <c r="M4649" s="78" t="str">
        <f>IFERROR(VLOOKUP(A4649, Entries!A:B,2,false),"")</f>
        <v>Bethesda Softworks</v>
      </c>
      <c r="N4649" s="23" t="str">
        <f>IFERROR(VLOOKUP(A4649, Entries!A:K,11,false),"")</f>
        <v/>
      </c>
    </row>
    <row r="4650">
      <c r="A4650" s="78" t="s">
        <v>719</v>
      </c>
      <c r="B4650" s="78" t="s">
        <v>19</v>
      </c>
      <c r="C4650" s="85">
        <v>45233.0</v>
      </c>
      <c r="D4650" s="85">
        <v>45238.0</v>
      </c>
      <c r="E4650" s="86">
        <v>12.37</v>
      </c>
      <c r="F4650" s="87">
        <v>12.89</v>
      </c>
      <c r="G4650" s="88">
        <f t="shared" si="1"/>
        <v>0.52</v>
      </c>
      <c r="H4650" s="89">
        <f t="shared" si="10"/>
        <v>0.04034134988</v>
      </c>
      <c r="I4650" s="78" t="s">
        <v>5452</v>
      </c>
      <c r="J4650" s="78" t="s">
        <v>69</v>
      </c>
      <c r="K4650" s="58">
        <f t="shared" si="14"/>
        <v>5</v>
      </c>
      <c r="L4650" s="91" t="str">
        <f t="shared" si="8"/>
        <v>Wed</v>
      </c>
      <c r="M4650" s="78" t="str">
        <f>IFERROR(VLOOKUP(A4650, Entries!A:B,2,false),"")</f>
        <v>Lukas Rustemeyer</v>
      </c>
      <c r="N4650" s="23" t="str">
        <f>IFERROR(VLOOKUP(A4650, Entries!A:K,11,false),"")</f>
        <v/>
      </c>
    </row>
    <row r="4651">
      <c r="A4651" s="78" t="s">
        <v>4282</v>
      </c>
      <c r="B4651" s="78" t="s">
        <v>27</v>
      </c>
      <c r="C4651" s="85">
        <v>45233.0</v>
      </c>
      <c r="D4651" s="85">
        <v>45235.0</v>
      </c>
      <c r="E4651" s="86">
        <v>23.59</v>
      </c>
      <c r="F4651" s="87">
        <v>30.42</v>
      </c>
      <c r="G4651" s="88">
        <f t="shared" si="1"/>
        <v>6.83</v>
      </c>
      <c r="H4651" s="89">
        <f t="shared" si="10"/>
        <v>0.2245233399</v>
      </c>
      <c r="I4651" s="78" t="s">
        <v>5453</v>
      </c>
      <c r="J4651" s="78" t="s">
        <v>69</v>
      </c>
      <c r="K4651" s="58">
        <f t="shared" si="14"/>
        <v>2</v>
      </c>
      <c r="L4651" s="91" t="str">
        <f t="shared" si="8"/>
        <v>Sun</v>
      </c>
      <c r="M4651" s="78" t="str">
        <f>IFERROR(VLOOKUP(A4651, Entries!A:B,2,false),"")</f>
        <v>PlayStation</v>
      </c>
      <c r="N4651" s="23" t="str">
        <f>IFERROR(VLOOKUP(A4651, Entries!A:K,11,false),"")</f>
        <v/>
      </c>
    </row>
    <row r="4652">
      <c r="A4652" s="78" t="s">
        <v>1786</v>
      </c>
      <c r="B4652" s="78" t="s">
        <v>27</v>
      </c>
      <c r="C4652" s="85">
        <v>45233.0</v>
      </c>
      <c r="D4652" s="85">
        <v>45234.0</v>
      </c>
      <c r="E4652" s="86">
        <v>14.75</v>
      </c>
      <c r="F4652" s="87">
        <v>20.47</v>
      </c>
      <c r="G4652" s="88">
        <f t="shared" si="1"/>
        <v>5.72</v>
      </c>
      <c r="H4652" s="89">
        <f t="shared" si="10"/>
        <v>0.279433317</v>
      </c>
      <c r="I4652" s="78" t="s">
        <v>5454</v>
      </c>
      <c r="J4652" s="78" t="s">
        <v>69</v>
      </c>
      <c r="K4652" s="58">
        <f t="shared" si="14"/>
        <v>1</v>
      </c>
      <c r="L4652" s="91" t="str">
        <f t="shared" si="8"/>
        <v>Sat</v>
      </c>
      <c r="M4652" s="78" t="str">
        <f>IFERROR(VLOOKUP(A4652, Entries!A:B,2,false),"")</f>
        <v>Bethesda Softworks</v>
      </c>
      <c r="N4652" s="23" t="str">
        <f>IFERROR(VLOOKUP(A4652, Entries!A:K,11,false),"")</f>
        <v/>
      </c>
    </row>
    <row r="4653">
      <c r="A4653" s="78" t="s">
        <v>1786</v>
      </c>
      <c r="B4653" s="78" t="s">
        <v>27</v>
      </c>
      <c r="C4653" s="85">
        <v>45234.0</v>
      </c>
      <c r="D4653" s="85">
        <v>45234.0</v>
      </c>
      <c r="E4653" s="86">
        <v>14.79</v>
      </c>
      <c r="F4653" s="87">
        <v>20.47</v>
      </c>
      <c r="G4653" s="88">
        <f t="shared" si="1"/>
        <v>5.68</v>
      </c>
      <c r="H4653" s="89">
        <f t="shared" si="10"/>
        <v>0.2774792379</v>
      </c>
      <c r="I4653" s="78" t="s">
        <v>5455</v>
      </c>
      <c r="J4653" s="78" t="s">
        <v>69</v>
      </c>
      <c r="K4653" s="58">
        <f t="shared" si="14"/>
        <v>0</v>
      </c>
      <c r="L4653" s="91" t="str">
        <f t="shared" si="8"/>
        <v>Sat</v>
      </c>
      <c r="M4653" s="78" t="str">
        <f>IFERROR(VLOOKUP(A4653, Entries!A:B,2,false),"")</f>
        <v>Bethesda Softworks</v>
      </c>
      <c r="N4653" s="23" t="str">
        <f>IFERROR(VLOOKUP(A4653, Entries!A:K,11,false),"")</f>
        <v/>
      </c>
    </row>
    <row r="4654">
      <c r="A4654" s="78" t="s">
        <v>1786</v>
      </c>
      <c r="B4654" s="78" t="s">
        <v>27</v>
      </c>
      <c r="C4654" s="85">
        <v>45234.0</v>
      </c>
      <c r="D4654" s="85">
        <v>45234.0</v>
      </c>
      <c r="E4654" s="86">
        <v>14.79</v>
      </c>
      <c r="F4654" s="87">
        <v>20.47</v>
      </c>
      <c r="G4654" s="88">
        <f t="shared" si="1"/>
        <v>5.68</v>
      </c>
      <c r="H4654" s="89">
        <f t="shared" si="10"/>
        <v>0.2774792379</v>
      </c>
      <c r="I4654" s="78" t="s">
        <v>5456</v>
      </c>
      <c r="J4654" s="78" t="s">
        <v>69</v>
      </c>
      <c r="K4654" s="58">
        <f t="shared" si="14"/>
        <v>0</v>
      </c>
      <c r="L4654" s="91" t="str">
        <f t="shared" si="8"/>
        <v>Sat</v>
      </c>
      <c r="M4654" s="78" t="str">
        <f>IFERROR(VLOOKUP(A4654, Entries!A:B,2,false),"")</f>
        <v>Bethesda Softworks</v>
      </c>
      <c r="N4654" s="23" t="str">
        <f>IFERROR(VLOOKUP(A4654, Entries!A:K,11,false),"")</f>
        <v/>
      </c>
    </row>
    <row r="4655">
      <c r="A4655" s="78" t="s">
        <v>1786</v>
      </c>
      <c r="B4655" s="78" t="s">
        <v>27</v>
      </c>
      <c r="C4655" s="85">
        <v>45234.0</v>
      </c>
      <c r="D4655" s="85">
        <v>45234.0</v>
      </c>
      <c r="E4655" s="86">
        <v>14.79</v>
      </c>
      <c r="F4655" s="87">
        <v>27.66</v>
      </c>
      <c r="G4655" s="88">
        <f t="shared" si="1"/>
        <v>12.87</v>
      </c>
      <c r="H4655" s="89">
        <f t="shared" si="10"/>
        <v>0.4652928416</v>
      </c>
      <c r="I4655" s="78" t="s">
        <v>5457</v>
      </c>
      <c r="J4655" s="78" t="s">
        <v>69</v>
      </c>
      <c r="K4655" s="58">
        <f t="shared" si="14"/>
        <v>0</v>
      </c>
      <c r="L4655" s="91" t="str">
        <f t="shared" si="8"/>
        <v>Sat</v>
      </c>
      <c r="M4655" s="78" t="str">
        <f>IFERROR(VLOOKUP(A4655, Entries!A:B,2,false),"")</f>
        <v>Bethesda Softworks</v>
      </c>
      <c r="N4655" s="23" t="str">
        <f>IFERROR(VLOOKUP(A4655, Entries!A:K,11,false),"")</f>
        <v/>
      </c>
    </row>
    <row r="4656">
      <c r="A4656" s="78" t="s">
        <v>1786</v>
      </c>
      <c r="B4656" s="78" t="s">
        <v>27</v>
      </c>
      <c r="C4656" s="85">
        <v>45234.0</v>
      </c>
      <c r="D4656" s="85">
        <v>45234.0</v>
      </c>
      <c r="E4656" s="86">
        <v>14.89</v>
      </c>
      <c r="F4656" s="87">
        <v>21.38</v>
      </c>
      <c r="G4656" s="88">
        <f t="shared" si="1"/>
        <v>6.49</v>
      </c>
      <c r="H4656" s="89">
        <f t="shared" si="10"/>
        <v>0.303554724</v>
      </c>
      <c r="I4656" s="78" t="s">
        <v>5458</v>
      </c>
      <c r="J4656" s="78" t="s">
        <v>69</v>
      </c>
      <c r="K4656" s="58">
        <f t="shared" si="14"/>
        <v>0</v>
      </c>
      <c r="L4656" s="91" t="str">
        <f t="shared" si="8"/>
        <v>Sat</v>
      </c>
      <c r="M4656" s="78" t="str">
        <f>IFERROR(VLOOKUP(A4656, Entries!A:B,2,false),"")</f>
        <v>Bethesda Softworks</v>
      </c>
      <c r="N4656" s="23" t="str">
        <f>IFERROR(VLOOKUP(A4656, Entries!A:K,11,false),"")</f>
        <v/>
      </c>
    </row>
    <row r="4657">
      <c r="A4657" s="78" t="s">
        <v>1786</v>
      </c>
      <c r="B4657" s="78" t="s">
        <v>27</v>
      </c>
      <c r="C4657" s="85">
        <v>45234.0</v>
      </c>
      <c r="D4657" s="85">
        <v>45234.0</v>
      </c>
      <c r="E4657" s="86">
        <v>14.89</v>
      </c>
      <c r="F4657" s="87">
        <v>21.38</v>
      </c>
      <c r="G4657" s="88">
        <f t="shared" si="1"/>
        <v>6.49</v>
      </c>
      <c r="H4657" s="89">
        <f t="shared" si="10"/>
        <v>0.303554724</v>
      </c>
      <c r="I4657" s="78" t="s">
        <v>5459</v>
      </c>
      <c r="J4657" s="78" t="s">
        <v>69</v>
      </c>
      <c r="K4657" s="58">
        <f t="shared" si="14"/>
        <v>0</v>
      </c>
      <c r="L4657" s="91" t="str">
        <f t="shared" si="8"/>
        <v>Sat</v>
      </c>
      <c r="M4657" s="78" t="str">
        <f>IFERROR(VLOOKUP(A4657, Entries!A:B,2,false),"")</f>
        <v>Bethesda Softworks</v>
      </c>
      <c r="N4657" s="23" t="str">
        <f>IFERROR(VLOOKUP(A4657, Entries!A:K,11,false),"")</f>
        <v/>
      </c>
    </row>
    <row r="4658">
      <c r="A4658" s="78" t="s">
        <v>4615</v>
      </c>
      <c r="B4658" s="78" t="s">
        <v>30</v>
      </c>
      <c r="C4658" s="85">
        <v>45234.0</v>
      </c>
      <c r="D4658" s="85">
        <v>45281.0</v>
      </c>
      <c r="E4658" s="86">
        <v>9.8</v>
      </c>
      <c r="F4658" s="87">
        <v>11.02</v>
      </c>
      <c r="G4658" s="88">
        <f t="shared" si="1"/>
        <v>1.22</v>
      </c>
      <c r="H4658" s="89">
        <f t="shared" si="10"/>
        <v>0.110707804</v>
      </c>
      <c r="I4658" s="78" t="s">
        <v>5460</v>
      </c>
      <c r="J4658" s="78" t="s">
        <v>69</v>
      </c>
      <c r="K4658" s="58">
        <f t="shared" si="14"/>
        <v>47</v>
      </c>
      <c r="L4658" s="91" t="str">
        <f t="shared" si="8"/>
        <v>Thu</v>
      </c>
      <c r="M4658" s="78" t="str">
        <f>IFERROR(VLOOKUP(A4658, Entries!A:B,2,false),"")</f>
        <v>Fellow Traveller</v>
      </c>
      <c r="N4658" s="23" t="str">
        <f>IFERROR(VLOOKUP(A4658, Entries!A:K,11,false),"")</f>
        <v/>
      </c>
    </row>
    <row r="4659">
      <c r="A4659" s="78" t="s">
        <v>1786</v>
      </c>
      <c r="B4659" s="78" t="s">
        <v>27</v>
      </c>
      <c r="C4659" s="85">
        <v>45234.0</v>
      </c>
      <c r="D4659" s="85">
        <v>45234.0</v>
      </c>
      <c r="E4659" s="86">
        <v>14.87</v>
      </c>
      <c r="F4659" s="87">
        <v>21.38</v>
      </c>
      <c r="G4659" s="88">
        <f t="shared" si="1"/>
        <v>6.51</v>
      </c>
      <c r="H4659" s="89">
        <f t="shared" si="10"/>
        <v>0.3044901777</v>
      </c>
      <c r="I4659" s="78" t="s">
        <v>5461</v>
      </c>
      <c r="J4659" s="78" t="s">
        <v>69</v>
      </c>
      <c r="K4659" s="58">
        <f t="shared" si="14"/>
        <v>0</v>
      </c>
      <c r="L4659" s="91" t="str">
        <f t="shared" si="8"/>
        <v>Sat</v>
      </c>
      <c r="M4659" s="78" t="str">
        <f>IFERROR(VLOOKUP(A4659, Entries!A:B,2,false),"")</f>
        <v>Bethesda Softworks</v>
      </c>
      <c r="N4659" s="23" t="str">
        <f>IFERROR(VLOOKUP(A4659, Entries!A:K,11,false),"")</f>
        <v/>
      </c>
    </row>
    <row r="4660">
      <c r="A4660" s="78" t="s">
        <v>1786</v>
      </c>
      <c r="B4660" s="78" t="s">
        <v>27</v>
      </c>
      <c r="C4660" s="85">
        <v>45234.0</v>
      </c>
      <c r="D4660" s="85">
        <v>45234.0</v>
      </c>
      <c r="E4660" s="86">
        <v>14.88</v>
      </c>
      <c r="F4660" s="87">
        <v>21.31</v>
      </c>
      <c r="G4660" s="88">
        <f t="shared" si="1"/>
        <v>6.43</v>
      </c>
      <c r="H4660" s="89">
        <f t="shared" si="10"/>
        <v>0.301736274</v>
      </c>
      <c r="I4660" s="78" t="s">
        <v>5462</v>
      </c>
      <c r="J4660" s="78" t="s">
        <v>69</v>
      </c>
      <c r="K4660" s="58">
        <f t="shared" si="14"/>
        <v>0</v>
      </c>
      <c r="L4660" s="91" t="str">
        <f t="shared" si="8"/>
        <v>Sat</v>
      </c>
      <c r="M4660" s="78" t="str">
        <f>IFERROR(VLOOKUP(A4660, Entries!A:B,2,false),"")</f>
        <v>Bethesda Softworks</v>
      </c>
      <c r="N4660" s="23" t="str">
        <f>IFERROR(VLOOKUP(A4660, Entries!A:K,11,false),"")</f>
        <v/>
      </c>
    </row>
    <row r="4661">
      <c r="A4661" s="78" t="s">
        <v>4226</v>
      </c>
      <c r="B4661" s="78" t="s">
        <v>27</v>
      </c>
      <c r="C4661" s="85">
        <v>45234.0</v>
      </c>
      <c r="D4661" s="85">
        <v>45237.0</v>
      </c>
      <c r="E4661" s="86">
        <v>14.89</v>
      </c>
      <c r="F4661" s="87">
        <v>22.02</v>
      </c>
      <c r="G4661" s="88">
        <f t="shared" si="1"/>
        <v>7.13</v>
      </c>
      <c r="H4661" s="89">
        <f t="shared" si="10"/>
        <v>0.3237965486</v>
      </c>
      <c r="I4661" s="78" t="s">
        <v>5463</v>
      </c>
      <c r="J4661" s="78" t="s">
        <v>69</v>
      </c>
      <c r="K4661" s="58">
        <f t="shared" si="14"/>
        <v>3</v>
      </c>
      <c r="L4661" s="91" t="str">
        <f t="shared" si="8"/>
        <v>Tue</v>
      </c>
      <c r="M4661" s="78" t="str">
        <f>IFERROR(VLOOKUP(A4661, Entries!A:B,2,false),"")</f>
        <v>BANDAI NAMCO</v>
      </c>
      <c r="N4661" s="23" t="str">
        <f>IFERROR(VLOOKUP(A4661, Entries!A:K,11,false),"")</f>
        <v/>
      </c>
    </row>
    <row r="4662">
      <c r="A4662" s="78" t="s">
        <v>5408</v>
      </c>
      <c r="B4662" s="78" t="s">
        <v>27</v>
      </c>
      <c r="C4662" s="85">
        <v>45234.0</v>
      </c>
      <c r="D4662" s="85">
        <v>45234.0</v>
      </c>
      <c r="E4662" s="86">
        <v>1.69</v>
      </c>
      <c r="F4662" s="87">
        <v>3.91</v>
      </c>
      <c r="G4662" s="88">
        <f t="shared" si="1"/>
        <v>2.22</v>
      </c>
      <c r="H4662" s="89">
        <f t="shared" si="10"/>
        <v>0.5677749361</v>
      </c>
      <c r="I4662" s="78" t="s">
        <v>5464</v>
      </c>
      <c r="J4662" s="78" t="s">
        <v>69</v>
      </c>
      <c r="K4662" s="58">
        <f t="shared" si="14"/>
        <v>0</v>
      </c>
      <c r="L4662" s="91" t="str">
        <f t="shared" si="8"/>
        <v>Sat</v>
      </c>
      <c r="M4662" s="78" t="str">
        <f>IFERROR(VLOOKUP(A4662, Entries!A:B,2,false),"")</f>
        <v>Joey Drew Studios</v>
      </c>
      <c r="N4662" s="23" t="str">
        <f>IFERROR(VLOOKUP(A4662, Entries!A:K,11,false),"")</f>
        <v/>
      </c>
    </row>
    <row r="4663">
      <c r="A4663" s="78" t="s">
        <v>1786</v>
      </c>
      <c r="B4663" s="78" t="s">
        <v>27</v>
      </c>
      <c r="C4663" s="85">
        <v>45234.0</v>
      </c>
      <c r="D4663" s="85">
        <v>45234.0</v>
      </c>
      <c r="E4663" s="86">
        <v>14.89</v>
      </c>
      <c r="F4663" s="87">
        <v>21.31</v>
      </c>
      <c r="G4663" s="88">
        <f t="shared" si="1"/>
        <v>6.42</v>
      </c>
      <c r="H4663" s="89">
        <f t="shared" si="10"/>
        <v>0.3012670108</v>
      </c>
      <c r="I4663" s="78" t="s">
        <v>5465</v>
      </c>
      <c r="J4663" s="78" t="s">
        <v>69</v>
      </c>
      <c r="K4663" s="58">
        <f t="shared" si="14"/>
        <v>0</v>
      </c>
      <c r="L4663" s="91" t="str">
        <f t="shared" si="8"/>
        <v>Sat</v>
      </c>
      <c r="M4663" s="78" t="str">
        <f>IFERROR(VLOOKUP(A4663, Entries!A:B,2,false),"")</f>
        <v>Bethesda Softworks</v>
      </c>
      <c r="N4663" s="23" t="str">
        <f>IFERROR(VLOOKUP(A4663, Entries!A:K,11,false),"")</f>
        <v/>
      </c>
    </row>
    <row r="4664">
      <c r="A4664" s="78" t="s">
        <v>1786</v>
      </c>
      <c r="B4664" s="78" t="s">
        <v>27</v>
      </c>
      <c r="C4664" s="85">
        <v>45234.0</v>
      </c>
      <c r="D4664" s="85">
        <v>45237.0</v>
      </c>
      <c r="E4664" s="86">
        <v>14.89</v>
      </c>
      <c r="F4664" s="87">
        <v>21.35</v>
      </c>
      <c r="G4664" s="88">
        <f t="shared" si="1"/>
        <v>6.46</v>
      </c>
      <c r="H4664" s="89">
        <f t="shared" si="10"/>
        <v>0.3025761124</v>
      </c>
      <c r="I4664" s="78" t="s">
        <v>5466</v>
      </c>
      <c r="J4664" s="78" t="s">
        <v>69</v>
      </c>
      <c r="K4664" s="58">
        <f t="shared" si="14"/>
        <v>3</v>
      </c>
      <c r="L4664" s="91" t="str">
        <f t="shared" si="8"/>
        <v>Tue</v>
      </c>
      <c r="M4664" s="78" t="str">
        <f>IFERROR(VLOOKUP(A4664, Entries!A:B,2,false),"")</f>
        <v>Bethesda Softworks</v>
      </c>
      <c r="N4664" s="23" t="str">
        <f>IFERROR(VLOOKUP(A4664, Entries!A:K,11,false),"")</f>
        <v/>
      </c>
    </row>
    <row r="4665">
      <c r="A4665" s="78" t="s">
        <v>1786</v>
      </c>
      <c r="B4665" s="78" t="s">
        <v>27</v>
      </c>
      <c r="C4665" s="85">
        <v>45234.0</v>
      </c>
      <c r="D4665" s="85">
        <v>45237.0</v>
      </c>
      <c r="E4665" s="86">
        <v>14.89</v>
      </c>
      <c r="F4665" s="87">
        <v>21.36</v>
      </c>
      <c r="G4665" s="88">
        <f t="shared" si="1"/>
        <v>6.47</v>
      </c>
      <c r="H4665" s="89">
        <f t="shared" si="10"/>
        <v>0.3029026217</v>
      </c>
      <c r="I4665" s="78" t="s">
        <v>5467</v>
      </c>
      <c r="J4665" s="78" t="s">
        <v>69</v>
      </c>
      <c r="K4665" s="58">
        <f t="shared" si="14"/>
        <v>3</v>
      </c>
      <c r="L4665" s="91" t="str">
        <f t="shared" si="8"/>
        <v>Tue</v>
      </c>
      <c r="M4665" s="78" t="str">
        <f>IFERROR(VLOOKUP(A4665, Entries!A:B,2,false),"")</f>
        <v>Bethesda Softworks</v>
      </c>
      <c r="N4665" s="23" t="str">
        <f>IFERROR(VLOOKUP(A4665, Entries!A:K,11,false),"")</f>
        <v/>
      </c>
    </row>
    <row r="4666">
      <c r="A4666" s="78" t="s">
        <v>4282</v>
      </c>
      <c r="B4666" s="78" t="s">
        <v>27</v>
      </c>
      <c r="C4666" s="85">
        <v>45235.0</v>
      </c>
      <c r="D4666" s="85">
        <v>45240.0</v>
      </c>
      <c r="E4666" s="86">
        <v>23.59</v>
      </c>
      <c r="F4666" s="87">
        <v>28.56</v>
      </c>
      <c r="G4666" s="88">
        <f t="shared" si="1"/>
        <v>4.97</v>
      </c>
      <c r="H4666" s="89">
        <f t="shared" si="10"/>
        <v>0.1740196078</v>
      </c>
      <c r="I4666" s="78" t="s">
        <v>5468</v>
      </c>
      <c r="J4666" s="78" t="s">
        <v>69</v>
      </c>
      <c r="K4666" s="58">
        <f t="shared" si="14"/>
        <v>5</v>
      </c>
      <c r="L4666" s="91" t="str">
        <f t="shared" si="8"/>
        <v>Fri</v>
      </c>
      <c r="M4666" s="78" t="str">
        <f>IFERROR(VLOOKUP(A4666, Entries!A:B,2,false),"")</f>
        <v>PlayStation</v>
      </c>
      <c r="N4666" s="23" t="str">
        <f>IFERROR(VLOOKUP(A4666, Entries!A:K,11,false),"")</f>
        <v/>
      </c>
    </row>
    <row r="4667">
      <c r="A4667" s="78" t="s">
        <v>5469</v>
      </c>
      <c r="B4667" s="78" t="s">
        <v>21</v>
      </c>
      <c r="C4667" s="85">
        <v>45236.0</v>
      </c>
      <c r="D4667" s="85">
        <v>45238.0</v>
      </c>
      <c r="E4667" s="86">
        <v>23.9</v>
      </c>
      <c r="F4667" s="87">
        <v>26.88</v>
      </c>
      <c r="G4667" s="88">
        <f t="shared" si="1"/>
        <v>2.98</v>
      </c>
      <c r="H4667" s="89">
        <f t="shared" si="10"/>
        <v>0.1108630952</v>
      </c>
      <c r="I4667" s="78" t="s">
        <v>5470</v>
      </c>
      <c r="J4667" s="78" t="s">
        <v>69</v>
      </c>
      <c r="K4667" s="58">
        <f t="shared" si="14"/>
        <v>2</v>
      </c>
      <c r="L4667" s="91" t="str">
        <f t="shared" si="8"/>
        <v>Wed</v>
      </c>
      <c r="M4667" s="78" t="str">
        <f>IFERROR(VLOOKUP(A4667, Entries!A:B,2,false),"")</f>
        <v>Gun Interactive</v>
      </c>
      <c r="N4667" s="23" t="str">
        <f>IFERROR(VLOOKUP(A4667, Entries!A:K,11,false),"")</f>
        <v/>
      </c>
    </row>
    <row r="4668">
      <c r="A4668" s="78" t="s">
        <v>5471</v>
      </c>
      <c r="B4668" s="78" t="s">
        <v>21</v>
      </c>
      <c r="C4668" s="85">
        <v>45236.0</v>
      </c>
      <c r="D4668" s="85">
        <v>45236.0</v>
      </c>
      <c r="E4668" s="86">
        <v>10.64</v>
      </c>
      <c r="F4668" s="87">
        <v>13.73</v>
      </c>
      <c r="G4668" s="88">
        <f t="shared" si="1"/>
        <v>3.09</v>
      </c>
      <c r="H4668" s="89">
        <f t="shared" si="10"/>
        <v>0.2250546249</v>
      </c>
      <c r="I4668" s="78" t="s">
        <v>5472</v>
      </c>
      <c r="J4668" s="78" t="s">
        <v>69</v>
      </c>
      <c r="K4668" s="58">
        <f t="shared" si="14"/>
        <v>0</v>
      </c>
      <c r="L4668" s="91" t="str">
        <f t="shared" si="8"/>
        <v>Mon</v>
      </c>
      <c r="M4668" s="78" t="str">
        <f>IFERROR(VLOOKUP(A4668, Entries!A:B,2,false),"")</f>
        <v>Play on Worlds</v>
      </c>
      <c r="N4668" s="23" t="str">
        <f>IFERROR(VLOOKUP(A4668, Entries!A:K,11,false),"")</f>
        <v/>
      </c>
    </row>
    <row r="4669">
      <c r="A4669" s="94" t="s">
        <v>5473</v>
      </c>
      <c r="B4669" s="78" t="s">
        <v>27</v>
      </c>
      <c r="C4669" s="85">
        <v>45236.0</v>
      </c>
      <c r="D4669" s="85">
        <v>45407.0</v>
      </c>
      <c r="E4669" s="86">
        <v>11.49</v>
      </c>
      <c r="F4669" s="87">
        <v>14.04</v>
      </c>
      <c r="G4669" s="88">
        <f t="shared" si="1"/>
        <v>2.55</v>
      </c>
      <c r="H4669" s="89">
        <f t="shared" si="10"/>
        <v>0.1816239316</v>
      </c>
      <c r="I4669" s="78" t="s">
        <v>5474</v>
      </c>
      <c r="J4669" s="78" t="s">
        <v>69</v>
      </c>
      <c r="K4669" s="58">
        <f t="shared" si="14"/>
        <v>171</v>
      </c>
      <c r="L4669" s="91" t="str">
        <f t="shared" si="8"/>
        <v>Thu</v>
      </c>
      <c r="M4669" s="78" t="str">
        <f>IFERROR(VLOOKUP(A4669, Entries!A:B,2,false),"")</f>
        <v>Team17 Digital</v>
      </c>
      <c r="N4669" s="23" t="str">
        <f>IFERROR(VLOOKUP(A4669, Entries!A:K,11,false),"")</f>
        <v/>
      </c>
    </row>
    <row r="4670">
      <c r="A4670" s="78" t="s">
        <v>2703</v>
      </c>
      <c r="B4670" s="78" t="s">
        <v>27</v>
      </c>
      <c r="C4670" s="85">
        <v>45236.0</v>
      </c>
      <c r="D4670" s="85">
        <v>45241.0</v>
      </c>
      <c r="E4670" s="86">
        <v>27.59</v>
      </c>
      <c r="F4670" s="87">
        <v>29.54</v>
      </c>
      <c r="G4670" s="88">
        <f t="shared" si="1"/>
        <v>1.95</v>
      </c>
      <c r="H4670" s="89">
        <f t="shared" si="10"/>
        <v>0.06601218687</v>
      </c>
      <c r="I4670" s="78" t="s">
        <v>5475</v>
      </c>
      <c r="J4670" s="78" t="s">
        <v>69</v>
      </c>
      <c r="K4670" s="58">
        <f t="shared" si="14"/>
        <v>5</v>
      </c>
      <c r="L4670" s="91" t="str">
        <f t="shared" si="8"/>
        <v>Sat</v>
      </c>
      <c r="M4670" s="78" t="str">
        <f>IFERROR(VLOOKUP(A4670, Entries!A:B,2,false),"")</f>
        <v>Pathea Games</v>
      </c>
      <c r="N4670" s="23" t="str">
        <f>IFERROR(VLOOKUP(A4670, Entries!A:K,11,false),"")</f>
        <v/>
      </c>
    </row>
    <row r="4671">
      <c r="A4671" s="78" t="s">
        <v>5476</v>
      </c>
      <c r="B4671" s="78" t="s">
        <v>27</v>
      </c>
      <c r="C4671" s="85">
        <v>45237.0</v>
      </c>
      <c r="D4671" s="85">
        <v>45238.0</v>
      </c>
      <c r="E4671" s="86">
        <v>12.19</v>
      </c>
      <c r="F4671" s="87">
        <v>21.75</v>
      </c>
      <c r="G4671" s="88">
        <f t="shared" si="1"/>
        <v>9.56</v>
      </c>
      <c r="H4671" s="89">
        <f t="shared" si="10"/>
        <v>0.4395402299</v>
      </c>
      <c r="I4671" s="78" t="s">
        <v>5477</v>
      </c>
      <c r="J4671" s="78" t="s">
        <v>69</v>
      </c>
      <c r="K4671" s="58">
        <f t="shared" si="14"/>
        <v>1</v>
      </c>
      <c r="L4671" s="91" t="str">
        <f t="shared" si="8"/>
        <v>Wed</v>
      </c>
      <c r="M4671" s="78" t="str">
        <f>IFERROR(VLOOKUP(A4671, Entries!A:B,2,false),"")</f>
        <v>Humble Games</v>
      </c>
      <c r="N4671" s="23" t="str">
        <f>IFERROR(VLOOKUP(A4671, Entries!A:K,11,false),"")</f>
        <v/>
      </c>
    </row>
    <row r="4672">
      <c r="A4672" s="78" t="s">
        <v>5478</v>
      </c>
      <c r="B4672" s="78" t="s">
        <v>27</v>
      </c>
      <c r="C4672" s="85">
        <v>45237.0</v>
      </c>
      <c r="D4672" s="25"/>
      <c r="E4672" s="86">
        <v>19.49</v>
      </c>
      <c r="F4672" s="88"/>
      <c r="G4672" s="88">
        <f t="shared" si="1"/>
        <v>-19.49</v>
      </c>
      <c r="H4672" s="89" t="str">
        <f t="shared" si="10"/>
        <v/>
      </c>
      <c r="I4672" s="103" t="s">
        <v>5479</v>
      </c>
      <c r="J4672" s="78" t="s">
        <v>1129</v>
      </c>
      <c r="K4672" s="58" t="str">
        <f t="shared" si="14"/>
        <v/>
      </c>
      <c r="L4672" s="91" t="str">
        <f t="shared" si="8"/>
        <v/>
      </c>
      <c r="M4672" s="78" t="str">
        <f>IFERROR(VLOOKUP(A4672, Entries!A:B,2,false),"")</f>
        <v>11 bit studios</v>
      </c>
      <c r="N4672" s="23" t="str">
        <f>IFERROR(VLOOKUP(A4672, Entries!A:K,11,false),"")</f>
        <v/>
      </c>
    </row>
    <row r="4673">
      <c r="A4673" s="78" t="s">
        <v>4226</v>
      </c>
      <c r="B4673" s="78" t="s">
        <v>27</v>
      </c>
      <c r="C4673" s="85">
        <v>45237.0</v>
      </c>
      <c r="D4673" s="85">
        <v>45238.0</v>
      </c>
      <c r="E4673" s="86">
        <v>14.89</v>
      </c>
      <c r="F4673" s="87">
        <v>22.09</v>
      </c>
      <c r="G4673" s="88">
        <f t="shared" si="1"/>
        <v>7.2</v>
      </c>
      <c r="H4673" s="89">
        <f t="shared" si="10"/>
        <v>0.3259393391</v>
      </c>
      <c r="I4673" s="78" t="s">
        <v>5480</v>
      </c>
      <c r="J4673" s="78" t="s">
        <v>69</v>
      </c>
      <c r="K4673" s="58">
        <f t="shared" si="14"/>
        <v>1</v>
      </c>
      <c r="L4673" s="91" t="str">
        <f t="shared" si="8"/>
        <v>Wed</v>
      </c>
      <c r="M4673" s="78" t="str">
        <f>IFERROR(VLOOKUP(A4673, Entries!A:B,2,false),"")</f>
        <v>BANDAI NAMCO</v>
      </c>
      <c r="N4673" s="23" t="str">
        <f>IFERROR(VLOOKUP(A4673, Entries!A:K,11,false),"")</f>
        <v/>
      </c>
    </row>
    <row r="4674">
      <c r="A4674" s="78" t="s">
        <v>1786</v>
      </c>
      <c r="B4674" s="78" t="s">
        <v>27</v>
      </c>
      <c r="C4674" s="85">
        <v>45237.0</v>
      </c>
      <c r="D4674" s="85">
        <v>45237.0</v>
      </c>
      <c r="E4674" s="86">
        <v>14.89</v>
      </c>
      <c r="F4674" s="87">
        <v>21.36</v>
      </c>
      <c r="G4674" s="88">
        <f t="shared" si="1"/>
        <v>6.47</v>
      </c>
      <c r="H4674" s="89">
        <f t="shared" si="10"/>
        <v>0.3029026217</v>
      </c>
      <c r="J4674" s="78" t="s">
        <v>69</v>
      </c>
      <c r="K4674" s="58">
        <f t="shared" si="14"/>
        <v>0</v>
      </c>
      <c r="L4674" s="91" t="str">
        <f t="shared" si="8"/>
        <v>Tue</v>
      </c>
      <c r="M4674" s="78" t="str">
        <f>IFERROR(VLOOKUP(A4674, Entries!A:B,2,false),"")</f>
        <v>Bethesda Softworks</v>
      </c>
      <c r="N4674" s="23" t="str">
        <f>IFERROR(VLOOKUP(A4674, Entries!A:K,11,false),"")</f>
        <v/>
      </c>
    </row>
    <row r="4675">
      <c r="A4675" s="78" t="s">
        <v>1786</v>
      </c>
      <c r="B4675" s="78" t="s">
        <v>27</v>
      </c>
      <c r="C4675" s="85">
        <v>45237.0</v>
      </c>
      <c r="D4675" s="85">
        <v>45238.0</v>
      </c>
      <c r="E4675" s="86">
        <v>14.89</v>
      </c>
      <c r="F4675" s="87">
        <v>21.03</v>
      </c>
      <c r="G4675" s="88">
        <f t="shared" si="1"/>
        <v>6.14</v>
      </c>
      <c r="H4675" s="89">
        <f t="shared" si="10"/>
        <v>0.2919638612</v>
      </c>
      <c r="J4675" s="78" t="s">
        <v>69</v>
      </c>
      <c r="K4675" s="58">
        <f t="shared" si="14"/>
        <v>1</v>
      </c>
      <c r="L4675" s="91" t="str">
        <f t="shared" si="8"/>
        <v>Wed</v>
      </c>
      <c r="M4675" s="78" t="str">
        <f>IFERROR(VLOOKUP(A4675, Entries!A:B,2,false),"")</f>
        <v>Bethesda Softworks</v>
      </c>
      <c r="N4675" s="23" t="str">
        <f>IFERROR(VLOOKUP(A4675, Entries!A:K,11,false),"")</f>
        <v/>
      </c>
    </row>
    <row r="4676">
      <c r="A4676" s="78" t="s">
        <v>2318</v>
      </c>
      <c r="B4676" s="78" t="s">
        <v>19</v>
      </c>
      <c r="C4676" s="85">
        <v>45237.0</v>
      </c>
      <c r="D4676" s="85">
        <v>45297.0</v>
      </c>
      <c r="E4676" s="86">
        <v>9.96</v>
      </c>
      <c r="F4676" s="87">
        <v>11.46</v>
      </c>
      <c r="G4676" s="88">
        <f t="shared" si="1"/>
        <v>1.5</v>
      </c>
      <c r="H4676" s="89">
        <f t="shared" si="10"/>
        <v>0.1308900524</v>
      </c>
      <c r="I4676" s="78" t="s">
        <v>5481</v>
      </c>
      <c r="J4676" s="78" t="s">
        <v>69</v>
      </c>
      <c r="K4676" s="58">
        <f t="shared" si="14"/>
        <v>60</v>
      </c>
      <c r="L4676" s="91" t="str">
        <f t="shared" si="8"/>
        <v>Sat</v>
      </c>
      <c r="M4676" s="78" t="str">
        <f>IFERROR(VLOOKUP(A4676, Entries!A:B,2,false),"")</f>
        <v>Eek! Games</v>
      </c>
      <c r="N4676" s="23" t="str">
        <f>IFERROR(VLOOKUP(A4676, Entries!A:K,11,false),"")</f>
        <v/>
      </c>
    </row>
    <row r="4677">
      <c r="A4677" s="78" t="s">
        <v>1786</v>
      </c>
      <c r="B4677" s="78" t="s">
        <v>27</v>
      </c>
      <c r="C4677" s="85">
        <v>45237.0</v>
      </c>
      <c r="D4677" s="85">
        <v>45239.0</v>
      </c>
      <c r="E4677" s="86">
        <v>14.89</v>
      </c>
      <c r="F4677" s="87">
        <v>21.36</v>
      </c>
      <c r="G4677" s="88">
        <f t="shared" si="1"/>
        <v>6.47</v>
      </c>
      <c r="H4677" s="89">
        <f t="shared" si="10"/>
        <v>0.3029026217</v>
      </c>
      <c r="I4677" s="78" t="s">
        <v>5482</v>
      </c>
      <c r="J4677" s="78" t="s">
        <v>69</v>
      </c>
      <c r="K4677" s="58">
        <f t="shared" si="14"/>
        <v>2</v>
      </c>
      <c r="L4677" s="91" t="str">
        <f t="shared" si="8"/>
        <v>Thu</v>
      </c>
      <c r="M4677" s="78" t="str">
        <f>IFERROR(VLOOKUP(A4677, Entries!A:B,2,false),"")</f>
        <v>Bethesda Softworks</v>
      </c>
      <c r="N4677" s="23" t="str">
        <f>IFERROR(VLOOKUP(A4677, Entries!A:K,11,false),"")</f>
        <v/>
      </c>
    </row>
    <row r="4678">
      <c r="A4678" s="78" t="s">
        <v>2829</v>
      </c>
      <c r="B4678" s="78" t="s">
        <v>27</v>
      </c>
      <c r="C4678" s="85">
        <v>45238.0</v>
      </c>
      <c r="D4678" s="85">
        <v>45239.0</v>
      </c>
      <c r="E4678" s="86">
        <v>9.19</v>
      </c>
      <c r="F4678" s="87">
        <v>11.5</v>
      </c>
      <c r="G4678" s="88">
        <f t="shared" si="1"/>
        <v>2.31</v>
      </c>
      <c r="H4678" s="89">
        <f t="shared" si="10"/>
        <v>0.2008695652</v>
      </c>
      <c r="I4678" s="78" t="s">
        <v>5483</v>
      </c>
      <c r="J4678" s="78" t="s">
        <v>69</v>
      </c>
      <c r="K4678" s="58">
        <f t="shared" si="14"/>
        <v>1</v>
      </c>
      <c r="L4678" s="91" t="str">
        <f t="shared" si="8"/>
        <v>Thu</v>
      </c>
      <c r="M4678" s="78" t="str">
        <f>IFERROR(VLOOKUP(A4678, Entries!A:B,2,false),"")</f>
        <v>BANDAI NAMCO</v>
      </c>
      <c r="N4678" s="23" t="str">
        <f>IFERROR(VLOOKUP(A4678, Entries!A:K,11,false),"")</f>
        <v/>
      </c>
    </row>
    <row r="4679">
      <c r="A4679" s="78" t="s">
        <v>1167</v>
      </c>
      <c r="B4679" s="78" t="s">
        <v>27</v>
      </c>
      <c r="C4679" s="85">
        <v>45238.0</v>
      </c>
      <c r="D4679" s="85">
        <v>45318.0</v>
      </c>
      <c r="E4679" s="86">
        <v>22.99</v>
      </c>
      <c r="F4679" s="87">
        <v>26.86</v>
      </c>
      <c r="G4679" s="88">
        <f t="shared" si="1"/>
        <v>3.87</v>
      </c>
      <c r="H4679" s="89">
        <f t="shared" si="10"/>
        <v>0.144080417</v>
      </c>
      <c r="I4679" s="78" t="s">
        <v>5484</v>
      </c>
      <c r="J4679" s="78" t="s">
        <v>69</v>
      </c>
      <c r="K4679" s="58">
        <f t="shared" si="14"/>
        <v>80</v>
      </c>
      <c r="L4679" s="91" t="str">
        <f t="shared" si="8"/>
        <v>Sat</v>
      </c>
      <c r="M4679" s="78" t="str">
        <f>IFERROR(VLOOKUP(A4679, Entries!A:B,2,false),"")</f>
        <v>BANDAI NAMCO</v>
      </c>
      <c r="N4679" s="23" t="str">
        <f>IFERROR(VLOOKUP(A4679, Entries!A:K,11,false),"")</f>
        <v/>
      </c>
    </row>
    <row r="4680">
      <c r="A4680" s="78" t="s">
        <v>5485</v>
      </c>
      <c r="B4680" s="78" t="s">
        <v>27</v>
      </c>
      <c r="C4680" s="85">
        <v>45238.0</v>
      </c>
      <c r="D4680" s="85">
        <v>45238.0</v>
      </c>
      <c r="E4680" s="86">
        <v>3.99</v>
      </c>
      <c r="F4680" s="87">
        <v>5.92</v>
      </c>
      <c r="G4680" s="88">
        <f t="shared" si="1"/>
        <v>1.93</v>
      </c>
      <c r="H4680" s="89">
        <f t="shared" si="10"/>
        <v>0.3260135135</v>
      </c>
      <c r="I4680" s="78" t="s">
        <v>5486</v>
      </c>
      <c r="J4680" s="78" t="s">
        <v>69</v>
      </c>
      <c r="K4680" s="58">
        <f t="shared" si="14"/>
        <v>0</v>
      </c>
      <c r="L4680" s="91" t="str">
        <f t="shared" si="8"/>
        <v>Wed</v>
      </c>
      <c r="M4680" s="78" t="str">
        <f>IFERROR(VLOOKUP(A4680, Entries!A:B,2,false),"")</f>
        <v>Warner Bros</v>
      </c>
      <c r="N4680" s="23" t="str">
        <f>IFERROR(VLOOKUP(A4680, Entries!A:K,11,false),"")</f>
        <v/>
      </c>
    </row>
    <row r="4681">
      <c r="A4681" s="78" t="s">
        <v>5485</v>
      </c>
      <c r="B4681" s="78" t="s">
        <v>27</v>
      </c>
      <c r="C4681" s="85">
        <v>45238.0</v>
      </c>
      <c r="D4681" s="85">
        <v>45240.0</v>
      </c>
      <c r="E4681" s="86">
        <v>3.99</v>
      </c>
      <c r="F4681" s="87">
        <v>5.92</v>
      </c>
      <c r="G4681" s="88">
        <f t="shared" si="1"/>
        <v>1.93</v>
      </c>
      <c r="H4681" s="89">
        <f t="shared" si="10"/>
        <v>0.3260135135</v>
      </c>
      <c r="I4681" s="78" t="s">
        <v>5487</v>
      </c>
      <c r="J4681" s="78" t="s">
        <v>69</v>
      </c>
      <c r="K4681" s="58">
        <f t="shared" si="14"/>
        <v>2</v>
      </c>
      <c r="L4681" s="91" t="str">
        <f t="shared" si="8"/>
        <v>Fri</v>
      </c>
      <c r="M4681" s="78" t="str">
        <f>IFERROR(VLOOKUP(A4681, Entries!A:B,2,false),"")</f>
        <v>Warner Bros</v>
      </c>
      <c r="N4681" s="23" t="str">
        <f>IFERROR(VLOOKUP(A4681, Entries!A:K,11,false),"")</f>
        <v/>
      </c>
    </row>
    <row r="4682">
      <c r="A4682" s="78" t="s">
        <v>5485</v>
      </c>
      <c r="B4682" s="78" t="s">
        <v>27</v>
      </c>
      <c r="C4682" s="85">
        <v>45238.0</v>
      </c>
      <c r="D4682" s="85">
        <v>45240.0</v>
      </c>
      <c r="E4682" s="86">
        <v>3.99</v>
      </c>
      <c r="F4682" s="87">
        <v>5.92</v>
      </c>
      <c r="G4682" s="88">
        <f t="shared" si="1"/>
        <v>1.93</v>
      </c>
      <c r="H4682" s="89">
        <f t="shared" si="10"/>
        <v>0.3260135135</v>
      </c>
      <c r="I4682" s="78" t="s">
        <v>5488</v>
      </c>
      <c r="J4682" s="78" t="s">
        <v>69</v>
      </c>
      <c r="K4682" s="58">
        <f t="shared" si="14"/>
        <v>2</v>
      </c>
      <c r="L4682" s="91" t="str">
        <f t="shared" si="8"/>
        <v>Fri</v>
      </c>
      <c r="M4682" s="78" t="str">
        <f>IFERROR(VLOOKUP(A4682, Entries!A:B,2,false),"")</f>
        <v>Warner Bros</v>
      </c>
      <c r="N4682" s="23" t="str">
        <f>IFERROR(VLOOKUP(A4682, Entries!A:K,11,false),"")</f>
        <v/>
      </c>
    </row>
    <row r="4683">
      <c r="A4683" s="78" t="s">
        <v>4226</v>
      </c>
      <c r="B4683" s="78" t="s">
        <v>27</v>
      </c>
      <c r="C4683" s="85">
        <v>45238.0</v>
      </c>
      <c r="D4683" s="85">
        <v>45239.0</v>
      </c>
      <c r="E4683" s="86">
        <v>14.89</v>
      </c>
      <c r="F4683" s="87">
        <v>22.09</v>
      </c>
      <c r="G4683" s="88">
        <f t="shared" si="1"/>
        <v>7.2</v>
      </c>
      <c r="H4683" s="89">
        <f t="shared" si="10"/>
        <v>0.3259393391</v>
      </c>
      <c r="I4683" s="78" t="s">
        <v>5489</v>
      </c>
      <c r="J4683" s="78" t="s">
        <v>69</v>
      </c>
      <c r="K4683" s="58">
        <f t="shared" si="14"/>
        <v>1</v>
      </c>
      <c r="L4683" s="91" t="str">
        <f t="shared" si="8"/>
        <v>Thu</v>
      </c>
      <c r="M4683" s="78" t="str">
        <f>IFERROR(VLOOKUP(A4683, Entries!A:B,2,false),"")</f>
        <v>BANDAI NAMCO</v>
      </c>
      <c r="N4683" s="23" t="str">
        <f>IFERROR(VLOOKUP(A4683, Entries!A:K,11,false),"")</f>
        <v/>
      </c>
    </row>
    <row r="4684">
      <c r="A4684" s="78" t="s">
        <v>1786</v>
      </c>
      <c r="B4684" s="78" t="s">
        <v>27</v>
      </c>
      <c r="C4684" s="85">
        <v>45238.0</v>
      </c>
      <c r="D4684" s="85">
        <v>45239.0</v>
      </c>
      <c r="E4684" s="86">
        <v>14.89</v>
      </c>
      <c r="F4684" s="87">
        <v>21.19</v>
      </c>
      <c r="G4684" s="88">
        <f t="shared" si="1"/>
        <v>6.3</v>
      </c>
      <c r="H4684" s="89">
        <f t="shared" si="10"/>
        <v>0.2973100519</v>
      </c>
      <c r="I4684" s="78" t="s">
        <v>5490</v>
      </c>
      <c r="J4684" s="78" t="s">
        <v>69</v>
      </c>
      <c r="K4684" s="58">
        <f t="shared" si="14"/>
        <v>1</v>
      </c>
      <c r="L4684" s="91" t="str">
        <f t="shared" si="8"/>
        <v>Thu</v>
      </c>
      <c r="M4684" s="78" t="str">
        <f>IFERROR(VLOOKUP(A4684, Entries!A:B,2,false),"")</f>
        <v>Bethesda Softworks</v>
      </c>
      <c r="N4684" s="23" t="str">
        <f>IFERROR(VLOOKUP(A4684, Entries!A:K,11,false),"")</f>
        <v/>
      </c>
    </row>
    <row r="4685">
      <c r="A4685" s="78" t="s">
        <v>5444</v>
      </c>
      <c r="B4685" s="78" t="s">
        <v>19</v>
      </c>
      <c r="C4685" s="85">
        <v>45239.0</v>
      </c>
      <c r="D4685" s="25"/>
      <c r="E4685" s="86">
        <v>14.72</v>
      </c>
      <c r="F4685" s="88"/>
      <c r="G4685" s="88">
        <f t="shared" si="1"/>
        <v>-14.72</v>
      </c>
      <c r="H4685" s="89" t="str">
        <f t="shared" si="10"/>
        <v/>
      </c>
      <c r="I4685" s="103" t="s">
        <v>5491</v>
      </c>
      <c r="J4685" s="78" t="s">
        <v>1129</v>
      </c>
      <c r="K4685" s="58" t="str">
        <f t="shared" si="14"/>
        <v/>
      </c>
      <c r="L4685" s="91" t="str">
        <f t="shared" si="8"/>
        <v/>
      </c>
      <c r="M4685" s="78" t="str">
        <f>IFERROR(VLOOKUP(A4685, Entries!A:B,2,false),"")</f>
        <v>Dear Villagers</v>
      </c>
      <c r="N4685" s="23" t="str">
        <f>IFERROR(VLOOKUP(A4685, Entries!A:K,11,false),"")</f>
        <v/>
      </c>
    </row>
    <row r="4686">
      <c r="A4686" s="78" t="s">
        <v>5408</v>
      </c>
      <c r="B4686" s="78" t="s">
        <v>27</v>
      </c>
      <c r="C4686" s="85">
        <v>45239.0</v>
      </c>
      <c r="D4686" s="85">
        <v>45239.0</v>
      </c>
      <c r="E4686" s="86">
        <v>1.69</v>
      </c>
      <c r="F4686" s="87">
        <v>3.79</v>
      </c>
      <c r="G4686" s="88">
        <f t="shared" si="1"/>
        <v>2.1</v>
      </c>
      <c r="H4686" s="89">
        <f t="shared" si="10"/>
        <v>0.5540897098</v>
      </c>
      <c r="I4686" s="78" t="s">
        <v>5492</v>
      </c>
      <c r="J4686" s="78" t="s">
        <v>69</v>
      </c>
      <c r="K4686" s="58">
        <f t="shared" si="14"/>
        <v>0</v>
      </c>
      <c r="L4686" s="91" t="str">
        <f t="shared" si="8"/>
        <v>Thu</v>
      </c>
      <c r="M4686" s="78" t="str">
        <f>IFERROR(VLOOKUP(A4686, Entries!A:B,2,false),"")</f>
        <v>Joey Drew Studios</v>
      </c>
      <c r="N4686" s="23" t="str">
        <f>IFERROR(VLOOKUP(A4686, Entries!A:K,11,false),"")</f>
        <v/>
      </c>
    </row>
    <row r="4687">
      <c r="A4687" s="78" t="s">
        <v>5408</v>
      </c>
      <c r="B4687" s="78" t="s">
        <v>27</v>
      </c>
      <c r="C4687" s="85">
        <v>45239.0</v>
      </c>
      <c r="D4687" s="85">
        <v>45240.0</v>
      </c>
      <c r="E4687" s="86">
        <v>1.69</v>
      </c>
      <c r="F4687" s="87">
        <v>3.78</v>
      </c>
      <c r="G4687" s="88">
        <f t="shared" si="1"/>
        <v>2.09</v>
      </c>
      <c r="H4687" s="89">
        <f t="shared" si="10"/>
        <v>0.5529100529</v>
      </c>
      <c r="I4687" s="78" t="s">
        <v>5493</v>
      </c>
      <c r="J4687" s="78" t="s">
        <v>69</v>
      </c>
      <c r="K4687" s="58">
        <f t="shared" si="14"/>
        <v>1</v>
      </c>
      <c r="L4687" s="91" t="str">
        <f t="shared" si="8"/>
        <v>Fri</v>
      </c>
      <c r="M4687" s="78" t="str">
        <f>IFERROR(VLOOKUP(A4687, Entries!A:B,2,false),"")</f>
        <v>Joey Drew Studios</v>
      </c>
      <c r="N4687" s="23" t="str">
        <f>IFERROR(VLOOKUP(A4687, Entries!A:K,11,false),"")</f>
        <v/>
      </c>
    </row>
    <row r="4688">
      <c r="A4688" s="78" t="s">
        <v>2829</v>
      </c>
      <c r="B4688" s="78" t="s">
        <v>27</v>
      </c>
      <c r="C4688" s="85">
        <v>45239.0</v>
      </c>
      <c r="D4688" s="85">
        <v>45241.0</v>
      </c>
      <c r="E4688" s="86">
        <v>9.19</v>
      </c>
      <c r="F4688" s="87">
        <v>11.52</v>
      </c>
      <c r="G4688" s="88">
        <f t="shared" si="1"/>
        <v>2.33</v>
      </c>
      <c r="H4688" s="89">
        <f t="shared" si="10"/>
        <v>0.2022569444</v>
      </c>
      <c r="I4688" s="78" t="s">
        <v>5494</v>
      </c>
      <c r="J4688" s="78" t="s">
        <v>69</v>
      </c>
      <c r="K4688" s="58">
        <f t="shared" si="14"/>
        <v>2</v>
      </c>
      <c r="L4688" s="91" t="str">
        <f t="shared" si="8"/>
        <v>Sat</v>
      </c>
      <c r="M4688" s="78" t="str">
        <f>IFERROR(VLOOKUP(A4688, Entries!A:B,2,false),"")</f>
        <v>BANDAI NAMCO</v>
      </c>
      <c r="N4688" s="23" t="str">
        <f>IFERROR(VLOOKUP(A4688, Entries!A:K,11,false),"")</f>
        <v/>
      </c>
    </row>
    <row r="4689">
      <c r="A4689" s="78" t="s">
        <v>4226</v>
      </c>
      <c r="B4689" s="78" t="s">
        <v>27</v>
      </c>
      <c r="C4689" s="85">
        <v>45239.0</v>
      </c>
      <c r="D4689" s="85">
        <v>45239.0</v>
      </c>
      <c r="E4689" s="86">
        <v>14.89</v>
      </c>
      <c r="F4689" s="87">
        <v>22.09</v>
      </c>
      <c r="G4689" s="88">
        <f t="shared" si="1"/>
        <v>7.2</v>
      </c>
      <c r="H4689" s="89">
        <f t="shared" si="10"/>
        <v>0.3259393391</v>
      </c>
      <c r="I4689" s="78" t="s">
        <v>5495</v>
      </c>
      <c r="J4689" s="78" t="s">
        <v>69</v>
      </c>
      <c r="K4689" s="58">
        <f t="shared" si="14"/>
        <v>0</v>
      </c>
      <c r="L4689" s="91" t="str">
        <f t="shared" si="8"/>
        <v>Thu</v>
      </c>
      <c r="M4689" s="78" t="str">
        <f>IFERROR(VLOOKUP(A4689, Entries!A:B,2,false),"")</f>
        <v>BANDAI NAMCO</v>
      </c>
      <c r="N4689" s="23" t="str">
        <f>IFERROR(VLOOKUP(A4689, Entries!A:K,11,false),"")</f>
        <v/>
      </c>
    </row>
    <row r="4690">
      <c r="A4690" s="78" t="s">
        <v>4226</v>
      </c>
      <c r="B4690" s="78" t="s">
        <v>27</v>
      </c>
      <c r="C4690" s="85">
        <v>45239.0</v>
      </c>
      <c r="D4690" s="85">
        <v>45240.0</v>
      </c>
      <c r="E4690" s="86">
        <v>14.89</v>
      </c>
      <c r="F4690" s="87">
        <v>22.09</v>
      </c>
      <c r="G4690" s="88">
        <f t="shared" si="1"/>
        <v>7.2</v>
      </c>
      <c r="H4690" s="89">
        <f t="shared" si="10"/>
        <v>0.3259393391</v>
      </c>
      <c r="I4690" s="78" t="s">
        <v>5496</v>
      </c>
      <c r="J4690" s="78" t="s">
        <v>69</v>
      </c>
      <c r="K4690" s="58">
        <f t="shared" si="14"/>
        <v>1</v>
      </c>
      <c r="L4690" s="91" t="str">
        <f t="shared" si="8"/>
        <v>Fri</v>
      </c>
      <c r="M4690" s="78" t="str">
        <f>IFERROR(VLOOKUP(A4690, Entries!A:B,2,false),"")</f>
        <v>BANDAI NAMCO</v>
      </c>
      <c r="N4690" s="23" t="str">
        <f>IFERROR(VLOOKUP(A4690, Entries!A:K,11,false),"")</f>
        <v/>
      </c>
    </row>
    <row r="4691">
      <c r="A4691" s="78" t="s">
        <v>1786</v>
      </c>
      <c r="B4691" s="78" t="s">
        <v>27</v>
      </c>
      <c r="C4691" s="85">
        <v>45239.0</v>
      </c>
      <c r="D4691" s="85">
        <v>45241.0</v>
      </c>
      <c r="E4691" s="86">
        <v>14.89</v>
      </c>
      <c r="F4691" s="87">
        <v>19.45</v>
      </c>
      <c r="G4691" s="88">
        <f t="shared" si="1"/>
        <v>4.56</v>
      </c>
      <c r="H4691" s="89">
        <f t="shared" si="10"/>
        <v>0.2344473008</v>
      </c>
      <c r="I4691" s="78" t="s">
        <v>5497</v>
      </c>
      <c r="J4691" s="78" t="s">
        <v>69</v>
      </c>
      <c r="K4691" s="58">
        <f t="shared" si="14"/>
        <v>2</v>
      </c>
      <c r="L4691" s="91" t="str">
        <f t="shared" si="8"/>
        <v>Sat</v>
      </c>
      <c r="M4691" s="78" t="str">
        <f>IFERROR(VLOOKUP(A4691, Entries!A:B,2,false),"")</f>
        <v>Bethesda Softworks</v>
      </c>
      <c r="N4691" s="23" t="str">
        <f>IFERROR(VLOOKUP(A4691, Entries!A:K,11,false),"")</f>
        <v/>
      </c>
    </row>
    <row r="4692">
      <c r="A4692" s="94" t="s">
        <v>4226</v>
      </c>
      <c r="B4692" s="78" t="s">
        <v>27</v>
      </c>
      <c r="C4692" s="85">
        <v>45240.0</v>
      </c>
      <c r="D4692" s="85">
        <v>45402.0</v>
      </c>
      <c r="E4692" s="86">
        <v>16.49</v>
      </c>
      <c r="F4692" s="87">
        <v>17.2</v>
      </c>
      <c r="G4692" s="88">
        <f t="shared" si="1"/>
        <v>0.71</v>
      </c>
      <c r="H4692" s="89">
        <f t="shared" si="10"/>
        <v>0.04127906977</v>
      </c>
      <c r="I4692" s="78" t="s">
        <v>5498</v>
      </c>
      <c r="J4692" s="78" t="s">
        <v>69</v>
      </c>
      <c r="K4692" s="58">
        <f t="shared" si="14"/>
        <v>162</v>
      </c>
      <c r="L4692" s="91" t="str">
        <f t="shared" si="8"/>
        <v>Sat</v>
      </c>
      <c r="M4692" s="78" t="str">
        <f>IFERROR(VLOOKUP(A4692, Entries!A:B,2,false),"")</f>
        <v>BANDAI NAMCO</v>
      </c>
      <c r="N4692" s="23" t="str">
        <f>IFERROR(VLOOKUP(A4692, Entries!A:K,11,false),"")</f>
        <v/>
      </c>
    </row>
    <row r="4693">
      <c r="A4693" s="78" t="s">
        <v>719</v>
      </c>
      <c r="B4693" s="78" t="s">
        <v>19</v>
      </c>
      <c r="C4693" s="85">
        <v>45240.0</v>
      </c>
      <c r="D4693" s="85">
        <v>45248.0</v>
      </c>
      <c r="E4693" s="86">
        <v>12.66</v>
      </c>
      <c r="F4693" s="87">
        <v>15.83</v>
      </c>
      <c r="G4693" s="88">
        <f t="shared" si="1"/>
        <v>3.17</v>
      </c>
      <c r="H4693" s="89">
        <f t="shared" si="10"/>
        <v>0.2002526848</v>
      </c>
      <c r="I4693" s="78" t="s">
        <v>5499</v>
      </c>
      <c r="J4693" s="78" t="s">
        <v>69</v>
      </c>
      <c r="K4693" s="58">
        <f t="shared" si="14"/>
        <v>8</v>
      </c>
      <c r="L4693" s="91" t="str">
        <f t="shared" si="8"/>
        <v>Sat</v>
      </c>
      <c r="M4693" s="78" t="str">
        <f>IFERROR(VLOOKUP(A4693, Entries!A:B,2,false),"")</f>
        <v>Lukas Rustemeyer</v>
      </c>
      <c r="N4693" s="23" t="str">
        <f>IFERROR(VLOOKUP(A4693, Entries!A:K,11,false),"")</f>
        <v/>
      </c>
    </row>
    <row r="4694">
      <c r="A4694" s="78" t="s">
        <v>5186</v>
      </c>
      <c r="B4694" s="78" t="s">
        <v>21</v>
      </c>
      <c r="C4694" s="85">
        <v>45240.0</v>
      </c>
      <c r="D4694" s="25"/>
      <c r="E4694" s="86">
        <v>9.56</v>
      </c>
      <c r="F4694" s="88"/>
      <c r="G4694" s="88">
        <f t="shared" si="1"/>
        <v>-9.56</v>
      </c>
      <c r="H4694" s="89" t="str">
        <f t="shared" si="10"/>
        <v/>
      </c>
      <c r="I4694" s="103" t="s">
        <v>5500</v>
      </c>
      <c r="J4694" s="78" t="s">
        <v>1129</v>
      </c>
      <c r="K4694" s="58" t="str">
        <f t="shared" si="14"/>
        <v/>
      </c>
      <c r="L4694" s="91" t="str">
        <f t="shared" si="8"/>
        <v/>
      </c>
      <c r="M4694" s="78" t="str">
        <f>IFERROR(VLOOKUP(A4694, Entries!A:B,2,false),"")</f>
        <v>Untold Tales</v>
      </c>
      <c r="N4694" s="23" t="str">
        <f>IFERROR(VLOOKUP(A4694, Entries!A:K,11,false),"")</f>
        <v/>
      </c>
    </row>
    <row r="4695">
      <c r="A4695" s="78" t="s">
        <v>4814</v>
      </c>
      <c r="B4695" s="78" t="s">
        <v>27</v>
      </c>
      <c r="C4695" s="85">
        <v>45240.0</v>
      </c>
      <c r="D4695" s="85">
        <v>45823.0</v>
      </c>
      <c r="E4695" s="86">
        <v>28.69</v>
      </c>
      <c r="F4695" s="87">
        <v>32.5</v>
      </c>
      <c r="G4695" s="88">
        <f t="shared" si="1"/>
        <v>3.81</v>
      </c>
      <c r="H4695" s="89">
        <f t="shared" si="10"/>
        <v>0.1172307692</v>
      </c>
      <c r="I4695" s="103" t="s">
        <v>5501</v>
      </c>
      <c r="J4695" s="78" t="s">
        <v>69</v>
      </c>
      <c r="K4695" s="58">
        <f t="shared" si="14"/>
        <v>583</v>
      </c>
      <c r="L4695" s="91" t="str">
        <f t="shared" si="8"/>
        <v>Sun</v>
      </c>
      <c r="M4695" s="78" t="str">
        <f>IFERROR(VLOOKUP(A4695, Entries!A:B,2,false),"")</f>
        <v>PlayStation</v>
      </c>
      <c r="N4695" s="23" t="str">
        <f>IFERROR(VLOOKUP(A4695, Entries!A:K,11,false),"")</f>
        <v/>
      </c>
    </row>
    <row r="4696">
      <c r="A4696" s="78" t="s">
        <v>4463</v>
      </c>
      <c r="B4696" s="78" t="s">
        <v>27</v>
      </c>
      <c r="C4696" s="85">
        <v>45240.0</v>
      </c>
      <c r="D4696" s="85">
        <v>45276.0</v>
      </c>
      <c r="E4696" s="86">
        <v>24.09</v>
      </c>
      <c r="F4696" s="87">
        <v>28.14</v>
      </c>
      <c r="G4696" s="88">
        <f t="shared" si="1"/>
        <v>4.05</v>
      </c>
      <c r="H4696" s="89">
        <f t="shared" si="10"/>
        <v>0.1439232409</v>
      </c>
      <c r="J4696" s="78" t="s">
        <v>69</v>
      </c>
      <c r="K4696" s="58">
        <f t="shared" si="14"/>
        <v>36</v>
      </c>
      <c r="L4696" s="91" t="str">
        <f t="shared" si="8"/>
        <v>Sat</v>
      </c>
      <c r="M4696" s="78" t="str">
        <f>IFERROR(VLOOKUP(A4696, Entries!A:B,2,false),"")</f>
        <v>BANDAI NAMCO</v>
      </c>
      <c r="N4696" s="23" t="str">
        <f>IFERROR(VLOOKUP(A4696, Entries!A:K,11,false),"")</f>
        <v/>
      </c>
    </row>
    <row r="4697">
      <c r="A4697" s="78" t="s">
        <v>1338</v>
      </c>
      <c r="B4697" s="78" t="s">
        <v>18</v>
      </c>
      <c r="C4697" s="85">
        <v>45240.0</v>
      </c>
      <c r="D4697" s="85">
        <v>45364.0</v>
      </c>
      <c r="E4697" s="86">
        <v>6.16</v>
      </c>
      <c r="F4697" s="87">
        <v>8.9</v>
      </c>
      <c r="G4697" s="88">
        <f t="shared" si="1"/>
        <v>2.74</v>
      </c>
      <c r="H4697" s="89">
        <f t="shared" si="10"/>
        <v>0.3078651685</v>
      </c>
      <c r="I4697" s="78" t="s">
        <v>5502</v>
      </c>
      <c r="J4697" s="78" t="s">
        <v>69</v>
      </c>
      <c r="K4697" s="58">
        <f t="shared" si="14"/>
        <v>124</v>
      </c>
      <c r="L4697" s="91" t="str">
        <f t="shared" si="8"/>
        <v>Wed</v>
      </c>
      <c r="M4697" s="78" t="str">
        <f>IFERROR(VLOOKUP(A4697, Entries!A:B,2,false),"")</f>
        <v>SEGA</v>
      </c>
      <c r="N4697" s="23" t="str">
        <f>IFERROR(VLOOKUP(A4697, Entries!A:K,11,false),"")</f>
        <v/>
      </c>
    </row>
    <row r="4698">
      <c r="A4698" s="78" t="s">
        <v>1338</v>
      </c>
      <c r="B4698" s="78" t="s">
        <v>18</v>
      </c>
      <c r="C4698" s="85">
        <v>45240.0</v>
      </c>
      <c r="D4698" s="85">
        <v>45368.0</v>
      </c>
      <c r="E4698" s="86">
        <v>6.16</v>
      </c>
      <c r="F4698" s="87">
        <v>8.9</v>
      </c>
      <c r="G4698" s="88">
        <f t="shared" si="1"/>
        <v>2.74</v>
      </c>
      <c r="H4698" s="89">
        <f t="shared" si="10"/>
        <v>0.3078651685</v>
      </c>
      <c r="I4698" s="78" t="s">
        <v>5503</v>
      </c>
      <c r="J4698" s="78" t="s">
        <v>69</v>
      </c>
      <c r="K4698" s="58">
        <f t="shared" si="14"/>
        <v>128</v>
      </c>
      <c r="L4698" s="91" t="str">
        <f t="shared" si="8"/>
        <v>Sun</v>
      </c>
      <c r="M4698" s="78" t="str">
        <f>IFERROR(VLOOKUP(A4698, Entries!A:B,2,false),"")</f>
        <v>SEGA</v>
      </c>
      <c r="N4698" s="23" t="str">
        <f>IFERROR(VLOOKUP(A4698, Entries!A:K,11,false),"")</f>
        <v/>
      </c>
    </row>
    <row r="4699">
      <c r="A4699" s="78" t="s">
        <v>742</v>
      </c>
      <c r="B4699" s="78" t="s">
        <v>21</v>
      </c>
      <c r="C4699" s="85">
        <v>45240.0</v>
      </c>
      <c r="D4699" s="85">
        <v>45240.0</v>
      </c>
      <c r="E4699" s="86">
        <v>18.91</v>
      </c>
      <c r="F4699" s="87">
        <v>22.35</v>
      </c>
      <c r="G4699" s="88">
        <f t="shared" si="1"/>
        <v>3.44</v>
      </c>
      <c r="H4699" s="89">
        <f t="shared" si="10"/>
        <v>0.1539149888</v>
      </c>
      <c r="I4699" s="78" t="s">
        <v>5504</v>
      </c>
      <c r="J4699" s="78" t="s">
        <v>69</v>
      </c>
      <c r="K4699" s="58">
        <f t="shared" si="14"/>
        <v>0</v>
      </c>
      <c r="L4699" s="91" t="str">
        <f t="shared" si="8"/>
        <v>Fri</v>
      </c>
      <c r="M4699" s="78" t="str">
        <f>IFERROR(VLOOKUP(A4699, Entries!A:B,2,false),"")</f>
        <v>Quantic Dream</v>
      </c>
      <c r="N4699" s="23" t="str">
        <f>IFERROR(VLOOKUP(A4699, Entries!A:K,11,false),"")</f>
        <v/>
      </c>
    </row>
    <row r="4700">
      <c r="A4700" s="78" t="s">
        <v>742</v>
      </c>
      <c r="B4700" s="78" t="s">
        <v>21</v>
      </c>
      <c r="C4700" s="85">
        <v>45240.0</v>
      </c>
      <c r="D4700" s="85">
        <v>45240.0</v>
      </c>
      <c r="E4700" s="86">
        <v>18.41</v>
      </c>
      <c r="F4700" s="87">
        <v>22.35</v>
      </c>
      <c r="G4700" s="88">
        <f t="shared" si="1"/>
        <v>3.94</v>
      </c>
      <c r="H4700" s="89">
        <f t="shared" si="10"/>
        <v>0.1762863535</v>
      </c>
      <c r="I4700" s="78" t="s">
        <v>5505</v>
      </c>
      <c r="J4700" s="78" t="s">
        <v>69</v>
      </c>
      <c r="K4700" s="58">
        <f t="shared" si="14"/>
        <v>0</v>
      </c>
      <c r="L4700" s="91" t="str">
        <f t="shared" si="8"/>
        <v>Fri</v>
      </c>
      <c r="M4700" s="78" t="str">
        <f>IFERROR(VLOOKUP(A4700, Entries!A:B,2,false),"")</f>
        <v>Quantic Dream</v>
      </c>
      <c r="N4700" s="23" t="str">
        <f>IFERROR(VLOOKUP(A4700, Entries!A:K,11,false),"")</f>
        <v/>
      </c>
    </row>
    <row r="4701">
      <c r="A4701" s="78" t="s">
        <v>742</v>
      </c>
      <c r="B4701" s="78" t="s">
        <v>21</v>
      </c>
      <c r="C4701" s="85">
        <v>45240.0</v>
      </c>
      <c r="D4701" s="85">
        <v>45247.0</v>
      </c>
      <c r="E4701" s="86">
        <v>18.42</v>
      </c>
      <c r="F4701" s="87">
        <v>21.22</v>
      </c>
      <c r="G4701" s="88">
        <f t="shared" si="1"/>
        <v>2.8</v>
      </c>
      <c r="H4701" s="89">
        <f t="shared" si="10"/>
        <v>0.1319509896</v>
      </c>
      <c r="I4701" s="78" t="s">
        <v>5506</v>
      </c>
      <c r="J4701" s="78" t="s">
        <v>69</v>
      </c>
      <c r="K4701" s="58">
        <f t="shared" si="14"/>
        <v>7</v>
      </c>
      <c r="L4701" s="91" t="str">
        <f t="shared" si="8"/>
        <v>Fri</v>
      </c>
      <c r="M4701" s="78" t="str">
        <f>IFERROR(VLOOKUP(A4701, Entries!A:B,2,false),"")</f>
        <v>Quantic Dream</v>
      </c>
      <c r="N4701" s="23" t="str">
        <f>IFERROR(VLOOKUP(A4701, Entries!A:K,11,false),"")</f>
        <v/>
      </c>
    </row>
    <row r="4702">
      <c r="A4702" s="78" t="s">
        <v>5485</v>
      </c>
      <c r="B4702" s="78" t="s">
        <v>27</v>
      </c>
      <c r="C4702" s="85">
        <v>45240.0</v>
      </c>
      <c r="D4702" s="85">
        <v>45269.0</v>
      </c>
      <c r="E4702" s="86">
        <v>3.99</v>
      </c>
      <c r="F4702" s="87">
        <v>7.15</v>
      </c>
      <c r="G4702" s="88">
        <f t="shared" si="1"/>
        <v>3.16</v>
      </c>
      <c r="H4702" s="89">
        <f t="shared" si="10"/>
        <v>0.441958042</v>
      </c>
      <c r="I4702" s="78" t="s">
        <v>5507</v>
      </c>
      <c r="J4702" s="78" t="s">
        <v>69</v>
      </c>
      <c r="K4702" s="58">
        <f t="shared" si="14"/>
        <v>29</v>
      </c>
      <c r="L4702" s="91" t="str">
        <f t="shared" si="8"/>
        <v>Sat</v>
      </c>
      <c r="M4702" s="78" t="str">
        <f>IFERROR(VLOOKUP(A4702, Entries!A:B,2,false),"")</f>
        <v>Warner Bros</v>
      </c>
      <c r="N4702" s="23" t="str">
        <f>IFERROR(VLOOKUP(A4702, Entries!A:K,11,false),"")</f>
        <v/>
      </c>
    </row>
    <row r="4703">
      <c r="A4703" s="78" t="s">
        <v>5485</v>
      </c>
      <c r="B4703" s="78" t="s">
        <v>27</v>
      </c>
      <c r="C4703" s="85">
        <v>45240.0</v>
      </c>
      <c r="D4703" s="85">
        <v>45269.0</v>
      </c>
      <c r="E4703" s="86">
        <v>3.99</v>
      </c>
      <c r="F4703" s="87">
        <v>7.15</v>
      </c>
      <c r="G4703" s="88">
        <f t="shared" si="1"/>
        <v>3.16</v>
      </c>
      <c r="H4703" s="89">
        <f t="shared" si="10"/>
        <v>0.441958042</v>
      </c>
      <c r="I4703" s="78" t="s">
        <v>5508</v>
      </c>
      <c r="J4703" s="78" t="s">
        <v>69</v>
      </c>
      <c r="K4703" s="58">
        <f t="shared" si="14"/>
        <v>29</v>
      </c>
      <c r="L4703" s="91" t="str">
        <f t="shared" si="8"/>
        <v>Sat</v>
      </c>
      <c r="M4703" s="78" t="str">
        <f>IFERROR(VLOOKUP(A4703, Entries!A:B,2,false),"")</f>
        <v>Warner Bros</v>
      </c>
      <c r="N4703" s="23" t="str">
        <f>IFERROR(VLOOKUP(A4703, Entries!A:K,11,false),"")</f>
        <v/>
      </c>
    </row>
    <row r="4704">
      <c r="A4704" s="78" t="s">
        <v>742</v>
      </c>
      <c r="B4704" s="78" t="s">
        <v>25</v>
      </c>
      <c r="C4704" s="85">
        <v>45240.0</v>
      </c>
      <c r="D4704" s="25"/>
      <c r="E4704" s="86">
        <v>19.57</v>
      </c>
      <c r="F4704" s="88"/>
      <c r="G4704" s="88">
        <f t="shared" si="1"/>
        <v>-19.57</v>
      </c>
      <c r="H4704" s="89" t="str">
        <f t="shared" si="10"/>
        <v/>
      </c>
      <c r="I4704" s="103" t="s">
        <v>5509</v>
      </c>
      <c r="J4704" s="78" t="s">
        <v>1129</v>
      </c>
      <c r="K4704" s="58" t="str">
        <f t="shared" si="14"/>
        <v/>
      </c>
      <c r="L4704" s="91" t="str">
        <f t="shared" si="8"/>
        <v/>
      </c>
      <c r="M4704" s="78" t="str">
        <f>IFERROR(VLOOKUP(A4704, Entries!A:B,2,false),"")</f>
        <v>Quantic Dream</v>
      </c>
      <c r="N4704" s="23" t="str">
        <f>IFERROR(VLOOKUP(A4704, Entries!A:K,11,false),"")</f>
        <v/>
      </c>
    </row>
    <row r="4705">
      <c r="A4705" s="78" t="s">
        <v>5510</v>
      </c>
      <c r="B4705" s="78" t="s">
        <v>27</v>
      </c>
      <c r="C4705" s="85">
        <v>45240.0</v>
      </c>
      <c r="D4705" s="85">
        <v>45240.0</v>
      </c>
      <c r="E4705" s="86">
        <v>18.3</v>
      </c>
      <c r="F4705" s="87">
        <v>20.14</v>
      </c>
      <c r="G4705" s="88">
        <f t="shared" si="1"/>
        <v>1.84</v>
      </c>
      <c r="H4705" s="89">
        <f t="shared" si="10"/>
        <v>0.09136047666</v>
      </c>
      <c r="I4705" s="78" t="s">
        <v>5212</v>
      </c>
      <c r="J4705" s="78" t="s">
        <v>69</v>
      </c>
      <c r="K4705" s="58">
        <f t="shared" si="14"/>
        <v>0</v>
      </c>
      <c r="L4705" s="91" t="str">
        <f t="shared" si="8"/>
        <v>Fri</v>
      </c>
      <c r="M4705" s="78" t="str">
        <f>IFERROR(VLOOKUP(A4705, Entries!A:B,2,false),"")</f>
        <v>Techland Publishing</v>
      </c>
      <c r="N4705" s="23" t="str">
        <f>IFERROR(VLOOKUP(A4705, Entries!A:K,11,false),"")</f>
        <v/>
      </c>
    </row>
    <row r="4706">
      <c r="A4706" s="78" t="s">
        <v>4282</v>
      </c>
      <c r="B4706" s="78" t="s">
        <v>27</v>
      </c>
      <c r="C4706" s="85">
        <v>45240.0</v>
      </c>
      <c r="D4706" s="85">
        <v>45241.0</v>
      </c>
      <c r="E4706" s="86">
        <v>22.19</v>
      </c>
      <c r="F4706" s="87">
        <v>28.56</v>
      </c>
      <c r="G4706" s="88">
        <f t="shared" si="1"/>
        <v>6.37</v>
      </c>
      <c r="H4706" s="89">
        <f t="shared" si="10"/>
        <v>0.2230392157</v>
      </c>
      <c r="I4706" s="78" t="s">
        <v>5511</v>
      </c>
      <c r="J4706" s="78" t="s">
        <v>69</v>
      </c>
      <c r="K4706" s="58">
        <f t="shared" si="14"/>
        <v>1</v>
      </c>
      <c r="L4706" s="91" t="str">
        <f t="shared" si="8"/>
        <v>Sat</v>
      </c>
      <c r="M4706" s="78" t="str">
        <f>IFERROR(VLOOKUP(A4706, Entries!A:B,2,false),"")</f>
        <v>PlayStation</v>
      </c>
      <c r="N4706" s="23" t="str">
        <f>IFERROR(VLOOKUP(A4706, Entries!A:K,11,false),"")</f>
        <v/>
      </c>
    </row>
    <row r="4707">
      <c r="A4707" s="78" t="s">
        <v>5512</v>
      </c>
      <c r="B4707" s="78" t="s">
        <v>19</v>
      </c>
      <c r="C4707" s="85">
        <v>45240.0</v>
      </c>
      <c r="D4707" s="85">
        <v>45241.0</v>
      </c>
      <c r="E4707" s="86">
        <v>0.0</v>
      </c>
      <c r="F4707" s="87">
        <v>0.06</v>
      </c>
      <c r="G4707" s="88">
        <f t="shared" si="1"/>
        <v>0.06</v>
      </c>
      <c r="H4707" s="89">
        <f t="shared" si="10"/>
        <v>1</v>
      </c>
      <c r="I4707" s="78" t="s">
        <v>5513</v>
      </c>
      <c r="J4707" s="78" t="s">
        <v>69</v>
      </c>
      <c r="K4707" s="58">
        <f t="shared" si="14"/>
        <v>1</v>
      </c>
      <c r="L4707" s="91" t="str">
        <f t="shared" si="8"/>
        <v>Sat</v>
      </c>
      <c r="M4707" s="78" t="str">
        <f>IFERROR(VLOOKUP(A4707, Entries!A:B,2,false),"")</f>
        <v/>
      </c>
      <c r="N4707" s="23" t="str">
        <f>IFERROR(VLOOKUP(A4707, Entries!A:K,11,false),"")</f>
        <v/>
      </c>
    </row>
    <row r="4708">
      <c r="A4708" s="78" t="s">
        <v>5514</v>
      </c>
      <c r="B4708" s="78" t="s">
        <v>25</v>
      </c>
      <c r="C4708" s="85">
        <v>45240.0</v>
      </c>
      <c r="D4708" s="25"/>
      <c r="E4708" s="86">
        <v>32.22</v>
      </c>
      <c r="F4708" s="88"/>
      <c r="G4708" s="88">
        <f t="shared" si="1"/>
        <v>-32.22</v>
      </c>
      <c r="H4708" s="89" t="str">
        <f t="shared" si="10"/>
        <v/>
      </c>
      <c r="I4708" s="103" t="s">
        <v>5515</v>
      </c>
      <c r="J4708" s="78" t="s">
        <v>1129</v>
      </c>
      <c r="K4708" s="58" t="str">
        <f t="shared" si="14"/>
        <v/>
      </c>
      <c r="L4708" s="91" t="str">
        <f t="shared" si="8"/>
        <v/>
      </c>
      <c r="M4708" s="78" t="str">
        <f>IFERROR(VLOOKUP(A4708, Entries!A:B,2,false),"")</f>
        <v>SEGA</v>
      </c>
      <c r="N4708" s="23" t="str">
        <f>IFERROR(VLOOKUP(A4708, Entries!A:K,11,false),"")</f>
        <v/>
      </c>
    </row>
    <row r="4709">
      <c r="A4709" s="78" t="s">
        <v>5510</v>
      </c>
      <c r="B4709" s="78" t="s">
        <v>27</v>
      </c>
      <c r="C4709" s="85">
        <v>45240.0</v>
      </c>
      <c r="D4709" s="85">
        <v>45240.0</v>
      </c>
      <c r="E4709" s="86">
        <v>18.24</v>
      </c>
      <c r="F4709" s="87">
        <v>20.14</v>
      </c>
      <c r="G4709" s="88">
        <f t="shared" si="1"/>
        <v>1.9</v>
      </c>
      <c r="H4709" s="89">
        <f t="shared" si="10"/>
        <v>0.09433962264</v>
      </c>
      <c r="I4709" s="78" t="s">
        <v>5213</v>
      </c>
      <c r="J4709" s="78" t="s">
        <v>69</v>
      </c>
      <c r="K4709" s="58">
        <f t="shared" si="14"/>
        <v>0</v>
      </c>
      <c r="L4709" s="91" t="str">
        <f t="shared" si="8"/>
        <v>Fri</v>
      </c>
      <c r="M4709" s="78" t="str">
        <f>IFERROR(VLOOKUP(A4709, Entries!A:B,2,false),"")</f>
        <v>Techland Publishing</v>
      </c>
      <c r="N4709" s="23" t="str">
        <f>IFERROR(VLOOKUP(A4709, Entries!A:K,11,false),"")</f>
        <v/>
      </c>
    </row>
    <row r="4710">
      <c r="A4710" s="78" t="s">
        <v>5516</v>
      </c>
      <c r="B4710" s="78" t="s">
        <v>22</v>
      </c>
      <c r="C4710" s="85">
        <v>45240.0</v>
      </c>
      <c r="D4710" s="85">
        <v>45240.0</v>
      </c>
      <c r="E4710" s="86">
        <v>10.59</v>
      </c>
      <c r="F4710" s="87">
        <v>12.29</v>
      </c>
      <c r="G4710" s="88">
        <f t="shared" si="1"/>
        <v>1.7</v>
      </c>
      <c r="H4710" s="89">
        <f t="shared" si="10"/>
        <v>0.1383238405</v>
      </c>
      <c r="I4710" s="78" t="s">
        <v>5517</v>
      </c>
      <c r="J4710" s="78" t="s">
        <v>69</v>
      </c>
      <c r="K4710" s="58">
        <f t="shared" si="14"/>
        <v>0</v>
      </c>
      <c r="L4710" s="91" t="str">
        <f t="shared" si="8"/>
        <v>Fri</v>
      </c>
      <c r="M4710" s="78" t="str">
        <f>IFERROR(VLOOKUP(A4710, Entries!A:B,2,false),"")</f>
        <v/>
      </c>
      <c r="N4710" s="23" t="str">
        <f>IFERROR(VLOOKUP(A4710, Entries!A:K,11,false),"")</f>
        <v/>
      </c>
    </row>
    <row r="4711">
      <c r="A4711" s="78" t="s">
        <v>5510</v>
      </c>
      <c r="B4711" s="78" t="s">
        <v>27</v>
      </c>
      <c r="C4711" s="85">
        <v>45240.0</v>
      </c>
      <c r="D4711" s="85">
        <v>45241.0</v>
      </c>
      <c r="E4711" s="86">
        <v>18.39</v>
      </c>
      <c r="F4711" s="87">
        <v>20.14</v>
      </c>
      <c r="G4711" s="88">
        <f t="shared" si="1"/>
        <v>1.75</v>
      </c>
      <c r="H4711" s="89">
        <f t="shared" si="10"/>
        <v>0.0868917577</v>
      </c>
      <c r="I4711" s="78" t="s">
        <v>5518</v>
      </c>
      <c r="J4711" s="78" t="s">
        <v>69</v>
      </c>
      <c r="K4711" s="58">
        <f t="shared" si="14"/>
        <v>1</v>
      </c>
      <c r="L4711" s="91" t="str">
        <f t="shared" si="8"/>
        <v>Sat</v>
      </c>
      <c r="M4711" s="78" t="str">
        <f>IFERROR(VLOOKUP(A4711, Entries!A:B,2,false),"")</f>
        <v>Techland Publishing</v>
      </c>
      <c r="N4711" s="23" t="str">
        <f>IFERROR(VLOOKUP(A4711, Entries!A:K,11,false),"")</f>
        <v/>
      </c>
    </row>
    <row r="4712">
      <c r="A4712" s="78" t="s">
        <v>5516</v>
      </c>
      <c r="B4712" s="78" t="s">
        <v>22</v>
      </c>
      <c r="C4712" s="85">
        <v>45241.0</v>
      </c>
      <c r="D4712" s="85">
        <v>45241.0</v>
      </c>
      <c r="E4712" s="86">
        <v>10.59</v>
      </c>
      <c r="F4712" s="87">
        <v>12.29</v>
      </c>
      <c r="G4712" s="88">
        <f t="shared" si="1"/>
        <v>1.7</v>
      </c>
      <c r="H4712" s="89">
        <f t="shared" si="10"/>
        <v>0.1383238405</v>
      </c>
      <c r="I4712" s="78" t="s">
        <v>5519</v>
      </c>
      <c r="J4712" s="78" t="s">
        <v>69</v>
      </c>
      <c r="K4712" s="58">
        <f t="shared" si="14"/>
        <v>0</v>
      </c>
      <c r="L4712" s="91" t="str">
        <f t="shared" si="8"/>
        <v>Sat</v>
      </c>
      <c r="M4712" s="78" t="str">
        <f>IFERROR(VLOOKUP(A4712, Entries!A:B,2,false),"")</f>
        <v/>
      </c>
      <c r="N4712" s="23" t="str">
        <f>IFERROR(VLOOKUP(A4712, Entries!A:K,11,false),"")</f>
        <v/>
      </c>
    </row>
    <row r="4713">
      <c r="A4713" s="78" t="s">
        <v>5510</v>
      </c>
      <c r="B4713" s="78" t="s">
        <v>27</v>
      </c>
      <c r="C4713" s="85">
        <v>45241.0</v>
      </c>
      <c r="D4713" s="85">
        <v>45241.0</v>
      </c>
      <c r="E4713" s="86">
        <v>18.24</v>
      </c>
      <c r="F4713" s="87">
        <v>20.14</v>
      </c>
      <c r="G4713" s="88">
        <f t="shared" si="1"/>
        <v>1.9</v>
      </c>
      <c r="H4713" s="89">
        <f t="shared" si="10"/>
        <v>0.09433962264</v>
      </c>
      <c r="I4713" s="78" t="s">
        <v>5520</v>
      </c>
      <c r="J4713" s="78" t="s">
        <v>69</v>
      </c>
      <c r="K4713" s="58">
        <f t="shared" si="14"/>
        <v>0</v>
      </c>
      <c r="L4713" s="91" t="str">
        <f t="shared" si="8"/>
        <v>Sat</v>
      </c>
      <c r="M4713" s="78" t="str">
        <f>IFERROR(VLOOKUP(A4713, Entries!A:B,2,false),"")</f>
        <v>Techland Publishing</v>
      </c>
      <c r="N4713" s="23" t="str">
        <f>IFERROR(VLOOKUP(A4713, Entries!A:K,11,false),"")</f>
        <v/>
      </c>
    </row>
    <row r="4714">
      <c r="A4714" s="78" t="s">
        <v>4282</v>
      </c>
      <c r="B4714" s="78" t="s">
        <v>27</v>
      </c>
      <c r="C4714" s="85">
        <v>45241.0</v>
      </c>
      <c r="D4714" s="85">
        <v>45242.0</v>
      </c>
      <c r="E4714" s="86">
        <v>22.49</v>
      </c>
      <c r="F4714" s="87">
        <v>26.21</v>
      </c>
      <c r="G4714" s="88">
        <f t="shared" si="1"/>
        <v>3.72</v>
      </c>
      <c r="H4714" s="89">
        <f t="shared" si="10"/>
        <v>0.1419305609</v>
      </c>
      <c r="I4714" s="78" t="s">
        <v>5521</v>
      </c>
      <c r="J4714" s="78" t="s">
        <v>69</v>
      </c>
      <c r="K4714" s="58">
        <f t="shared" si="14"/>
        <v>1</v>
      </c>
      <c r="L4714" s="91" t="str">
        <f t="shared" si="8"/>
        <v>Sun</v>
      </c>
      <c r="M4714" s="78" t="str">
        <f>IFERROR(VLOOKUP(A4714, Entries!A:B,2,false),"")</f>
        <v>PlayStation</v>
      </c>
      <c r="N4714" s="23" t="str">
        <f>IFERROR(VLOOKUP(A4714, Entries!A:K,11,false),"")</f>
        <v/>
      </c>
    </row>
    <row r="4715">
      <c r="A4715" s="78" t="s">
        <v>5516</v>
      </c>
      <c r="B4715" s="78" t="s">
        <v>22</v>
      </c>
      <c r="C4715" s="85">
        <v>45241.0</v>
      </c>
      <c r="D4715" s="85">
        <v>45241.0</v>
      </c>
      <c r="E4715" s="86">
        <v>10.59</v>
      </c>
      <c r="F4715" s="87">
        <v>12.93</v>
      </c>
      <c r="G4715" s="88">
        <f t="shared" si="1"/>
        <v>2.34</v>
      </c>
      <c r="H4715" s="89">
        <f t="shared" si="10"/>
        <v>0.180974478</v>
      </c>
      <c r="I4715" s="78" t="s">
        <v>5522</v>
      </c>
      <c r="J4715" s="78" t="s">
        <v>69</v>
      </c>
      <c r="K4715" s="58">
        <f t="shared" si="14"/>
        <v>0</v>
      </c>
      <c r="L4715" s="91" t="str">
        <f t="shared" si="8"/>
        <v>Sat</v>
      </c>
      <c r="M4715" s="78" t="str">
        <f>IFERROR(VLOOKUP(A4715, Entries!A:B,2,false),"")</f>
        <v/>
      </c>
      <c r="N4715" s="23" t="str">
        <f>IFERROR(VLOOKUP(A4715, Entries!A:K,11,false),"")</f>
        <v/>
      </c>
    </row>
    <row r="4716">
      <c r="A4716" s="78" t="s">
        <v>5516</v>
      </c>
      <c r="B4716" s="78" t="s">
        <v>22</v>
      </c>
      <c r="C4716" s="85">
        <v>45241.0</v>
      </c>
      <c r="D4716" s="85">
        <v>45242.0</v>
      </c>
      <c r="E4716" s="86">
        <v>10.59</v>
      </c>
      <c r="F4716" s="87">
        <v>12.89</v>
      </c>
      <c r="G4716" s="88">
        <f t="shared" si="1"/>
        <v>2.3</v>
      </c>
      <c r="H4716" s="89">
        <f t="shared" si="10"/>
        <v>0.1784328937</v>
      </c>
      <c r="I4716" s="78" t="s">
        <v>5523</v>
      </c>
      <c r="J4716" s="78" t="s">
        <v>69</v>
      </c>
      <c r="K4716" s="58">
        <f t="shared" si="14"/>
        <v>1</v>
      </c>
      <c r="L4716" s="91" t="str">
        <f t="shared" si="8"/>
        <v>Sun</v>
      </c>
      <c r="M4716" s="78" t="str">
        <f>IFERROR(VLOOKUP(A4716, Entries!A:B,2,false),"")</f>
        <v/>
      </c>
      <c r="N4716" s="23" t="str">
        <f>IFERROR(VLOOKUP(A4716, Entries!A:K,11,false),"")</f>
        <v/>
      </c>
    </row>
    <row r="4717">
      <c r="A4717" s="78" t="s">
        <v>5510</v>
      </c>
      <c r="B4717" s="78" t="s">
        <v>27</v>
      </c>
      <c r="C4717" s="85">
        <v>45241.0</v>
      </c>
      <c r="D4717" s="85">
        <v>45241.0</v>
      </c>
      <c r="E4717" s="86">
        <v>18.06</v>
      </c>
      <c r="F4717" s="87">
        <v>20.14</v>
      </c>
      <c r="G4717" s="88">
        <f t="shared" si="1"/>
        <v>2.08</v>
      </c>
      <c r="H4717" s="89">
        <f t="shared" si="10"/>
        <v>0.1032770606</v>
      </c>
      <c r="I4717" s="78" t="s">
        <v>5222</v>
      </c>
      <c r="J4717" s="78" t="s">
        <v>69</v>
      </c>
      <c r="K4717" s="58">
        <f t="shared" si="14"/>
        <v>0</v>
      </c>
      <c r="L4717" s="91" t="str">
        <f t="shared" si="8"/>
        <v>Sat</v>
      </c>
      <c r="M4717" s="78" t="str">
        <f>IFERROR(VLOOKUP(A4717, Entries!A:B,2,false),"")</f>
        <v>Techland Publishing</v>
      </c>
      <c r="N4717" s="23" t="str">
        <f>IFERROR(VLOOKUP(A4717, Entries!A:K,11,false),"")</f>
        <v/>
      </c>
    </row>
    <row r="4718">
      <c r="A4718" s="78" t="s">
        <v>5510</v>
      </c>
      <c r="B4718" s="78" t="s">
        <v>27</v>
      </c>
      <c r="C4718" s="85">
        <v>45241.0</v>
      </c>
      <c r="D4718" s="85">
        <v>45241.0</v>
      </c>
      <c r="E4718" s="86">
        <v>18.06</v>
      </c>
      <c r="F4718" s="87">
        <v>20.14</v>
      </c>
      <c r="G4718" s="88">
        <f t="shared" si="1"/>
        <v>2.08</v>
      </c>
      <c r="H4718" s="89">
        <f t="shared" si="10"/>
        <v>0.1032770606</v>
      </c>
      <c r="I4718" s="78" t="s">
        <v>5524</v>
      </c>
      <c r="J4718" s="78" t="s">
        <v>69</v>
      </c>
      <c r="K4718" s="58">
        <f t="shared" si="14"/>
        <v>0</v>
      </c>
      <c r="L4718" s="91" t="str">
        <f t="shared" si="8"/>
        <v>Sat</v>
      </c>
      <c r="M4718" s="78" t="str">
        <f>IFERROR(VLOOKUP(A4718, Entries!A:B,2,false),"")</f>
        <v>Techland Publishing</v>
      </c>
      <c r="N4718" s="23" t="str">
        <f>IFERROR(VLOOKUP(A4718, Entries!A:K,11,false),"")</f>
        <v/>
      </c>
    </row>
    <row r="4719">
      <c r="A4719" s="78" t="s">
        <v>1786</v>
      </c>
      <c r="B4719" s="78" t="s">
        <v>27</v>
      </c>
      <c r="C4719" s="85">
        <v>45241.0</v>
      </c>
      <c r="D4719" s="85">
        <v>45241.0</v>
      </c>
      <c r="E4719" s="86">
        <v>14.61</v>
      </c>
      <c r="F4719" s="87">
        <v>18.67</v>
      </c>
      <c r="G4719" s="88">
        <f t="shared" si="1"/>
        <v>4.06</v>
      </c>
      <c r="H4719" s="89">
        <f t="shared" si="10"/>
        <v>0.2174611676</v>
      </c>
      <c r="I4719" s="78" t="s">
        <v>5525</v>
      </c>
      <c r="J4719" s="78" t="s">
        <v>69</v>
      </c>
      <c r="K4719" s="58">
        <f t="shared" si="14"/>
        <v>0</v>
      </c>
      <c r="L4719" s="91" t="str">
        <f t="shared" si="8"/>
        <v>Sat</v>
      </c>
      <c r="M4719" s="78" t="str">
        <f>IFERROR(VLOOKUP(A4719, Entries!A:B,2,false),"")</f>
        <v>Bethesda Softworks</v>
      </c>
      <c r="N4719" s="23" t="str">
        <f>IFERROR(VLOOKUP(A4719, Entries!A:K,11,false),"")</f>
        <v/>
      </c>
    </row>
    <row r="4720">
      <c r="A4720" s="78" t="s">
        <v>2829</v>
      </c>
      <c r="B4720" s="78" t="s">
        <v>27</v>
      </c>
      <c r="C4720" s="85">
        <v>45241.0</v>
      </c>
      <c r="D4720" s="85">
        <v>45284.0</v>
      </c>
      <c r="E4720" s="86">
        <v>9.19</v>
      </c>
      <c r="F4720" s="87">
        <v>11.12</v>
      </c>
      <c r="G4720" s="88">
        <f t="shared" si="1"/>
        <v>1.93</v>
      </c>
      <c r="H4720" s="89">
        <f t="shared" si="10"/>
        <v>0.1735611511</v>
      </c>
      <c r="I4720" s="78" t="s">
        <v>5526</v>
      </c>
      <c r="J4720" s="78" t="s">
        <v>69</v>
      </c>
      <c r="K4720" s="58">
        <f t="shared" si="14"/>
        <v>43</v>
      </c>
      <c r="L4720" s="91" t="str">
        <f t="shared" si="8"/>
        <v>Sun</v>
      </c>
      <c r="M4720" s="78" t="str">
        <f>IFERROR(VLOOKUP(A4720, Entries!A:B,2,false),"")</f>
        <v>BANDAI NAMCO</v>
      </c>
      <c r="N4720" s="23" t="str">
        <f>IFERROR(VLOOKUP(A4720, Entries!A:K,11,false),"")</f>
        <v/>
      </c>
    </row>
    <row r="4721">
      <c r="A4721" s="78" t="s">
        <v>5510</v>
      </c>
      <c r="B4721" s="78" t="s">
        <v>27</v>
      </c>
      <c r="C4721" s="85">
        <v>45241.0</v>
      </c>
      <c r="D4721" s="85">
        <v>45241.0</v>
      </c>
      <c r="E4721" s="86">
        <v>18.39</v>
      </c>
      <c r="F4721" s="87">
        <v>20.14</v>
      </c>
      <c r="G4721" s="88">
        <f t="shared" si="1"/>
        <v>1.75</v>
      </c>
      <c r="H4721" s="89">
        <f t="shared" si="10"/>
        <v>0.0868917577</v>
      </c>
      <c r="I4721" s="78" t="s">
        <v>5527</v>
      </c>
      <c r="J4721" s="78" t="s">
        <v>69</v>
      </c>
      <c r="K4721" s="58">
        <f t="shared" si="14"/>
        <v>0</v>
      </c>
      <c r="L4721" s="91" t="str">
        <f t="shared" si="8"/>
        <v>Sat</v>
      </c>
      <c r="M4721" s="78" t="str">
        <f>IFERROR(VLOOKUP(A4721, Entries!A:B,2,false),"")</f>
        <v>Techland Publishing</v>
      </c>
      <c r="N4721" s="23" t="str">
        <f>IFERROR(VLOOKUP(A4721, Entries!A:K,11,false),"")</f>
        <v/>
      </c>
    </row>
    <row r="4722">
      <c r="A4722" s="78" t="s">
        <v>5510</v>
      </c>
      <c r="B4722" s="78" t="s">
        <v>27</v>
      </c>
      <c r="C4722" s="85">
        <v>45241.0</v>
      </c>
      <c r="D4722" s="85">
        <v>45241.0</v>
      </c>
      <c r="E4722" s="86">
        <v>18.39</v>
      </c>
      <c r="F4722" s="87">
        <v>20.14</v>
      </c>
      <c r="G4722" s="88">
        <f t="shared" si="1"/>
        <v>1.75</v>
      </c>
      <c r="H4722" s="89">
        <f t="shared" si="10"/>
        <v>0.0868917577</v>
      </c>
      <c r="I4722" s="78" t="s">
        <v>5528</v>
      </c>
      <c r="J4722" s="78" t="s">
        <v>69</v>
      </c>
      <c r="K4722" s="58">
        <f t="shared" si="14"/>
        <v>0</v>
      </c>
      <c r="L4722" s="91" t="str">
        <f t="shared" si="8"/>
        <v>Sat</v>
      </c>
      <c r="M4722" s="78" t="str">
        <f>IFERROR(VLOOKUP(A4722, Entries!A:B,2,false),"")</f>
        <v>Techland Publishing</v>
      </c>
      <c r="N4722" s="23" t="str">
        <f>IFERROR(VLOOKUP(A4722, Entries!A:K,11,false),"")</f>
        <v/>
      </c>
    </row>
    <row r="4723">
      <c r="A4723" s="78" t="s">
        <v>5510</v>
      </c>
      <c r="B4723" s="78" t="s">
        <v>27</v>
      </c>
      <c r="C4723" s="85">
        <v>45241.0</v>
      </c>
      <c r="D4723" s="85">
        <v>45241.0</v>
      </c>
      <c r="E4723" s="86">
        <v>18.39</v>
      </c>
      <c r="F4723" s="87">
        <v>20.14</v>
      </c>
      <c r="G4723" s="88">
        <f t="shared" si="1"/>
        <v>1.75</v>
      </c>
      <c r="H4723" s="89">
        <f t="shared" si="10"/>
        <v>0.0868917577</v>
      </c>
      <c r="I4723" s="78" t="s">
        <v>5529</v>
      </c>
      <c r="J4723" s="78" t="s">
        <v>69</v>
      </c>
      <c r="K4723" s="58">
        <f t="shared" si="14"/>
        <v>0</v>
      </c>
      <c r="L4723" s="91" t="str">
        <f t="shared" si="8"/>
        <v>Sat</v>
      </c>
      <c r="M4723" s="78" t="str">
        <f>IFERROR(VLOOKUP(A4723, Entries!A:B,2,false),"")</f>
        <v>Techland Publishing</v>
      </c>
      <c r="N4723" s="23" t="str">
        <f>IFERROR(VLOOKUP(A4723, Entries!A:K,11,false),"")</f>
        <v/>
      </c>
    </row>
    <row r="4724">
      <c r="A4724" s="78" t="s">
        <v>1786</v>
      </c>
      <c r="B4724" s="78" t="s">
        <v>27</v>
      </c>
      <c r="C4724" s="85">
        <v>45241.0</v>
      </c>
      <c r="D4724" s="85">
        <v>45241.0</v>
      </c>
      <c r="E4724" s="86">
        <v>14.84</v>
      </c>
      <c r="F4724" s="87">
        <v>18.3</v>
      </c>
      <c r="G4724" s="88">
        <f t="shared" si="1"/>
        <v>3.46</v>
      </c>
      <c r="H4724" s="89">
        <f t="shared" si="10"/>
        <v>0.1890710383</v>
      </c>
      <c r="I4724" s="78" t="s">
        <v>5530</v>
      </c>
      <c r="J4724" s="78" t="s">
        <v>69</v>
      </c>
      <c r="K4724" s="58">
        <f t="shared" si="14"/>
        <v>0</v>
      </c>
      <c r="L4724" s="91" t="str">
        <f t="shared" si="8"/>
        <v>Sat</v>
      </c>
      <c r="M4724" s="78" t="str">
        <f>IFERROR(VLOOKUP(A4724, Entries!A:B,2,false),"")</f>
        <v>Bethesda Softworks</v>
      </c>
      <c r="N4724" s="23" t="str">
        <f>IFERROR(VLOOKUP(A4724, Entries!A:K,11,false),"")</f>
        <v/>
      </c>
    </row>
    <row r="4725">
      <c r="A4725" s="78" t="s">
        <v>5510</v>
      </c>
      <c r="B4725" s="78" t="s">
        <v>27</v>
      </c>
      <c r="C4725" s="85">
        <v>45241.0</v>
      </c>
      <c r="D4725" s="85">
        <v>45241.0</v>
      </c>
      <c r="E4725" s="86">
        <v>18.39</v>
      </c>
      <c r="F4725" s="87">
        <v>20.14</v>
      </c>
      <c r="G4725" s="88">
        <f t="shared" si="1"/>
        <v>1.75</v>
      </c>
      <c r="H4725" s="89">
        <f t="shared" si="10"/>
        <v>0.0868917577</v>
      </c>
      <c r="I4725" s="78" t="s">
        <v>5479</v>
      </c>
      <c r="J4725" s="78" t="s">
        <v>69</v>
      </c>
      <c r="K4725" s="58">
        <f t="shared" si="14"/>
        <v>0</v>
      </c>
      <c r="L4725" s="91" t="str">
        <f t="shared" si="8"/>
        <v>Sat</v>
      </c>
      <c r="M4725" s="78" t="str">
        <f>IFERROR(VLOOKUP(A4725, Entries!A:B,2,false),"")</f>
        <v>Techland Publishing</v>
      </c>
      <c r="N4725" s="23" t="str">
        <f>IFERROR(VLOOKUP(A4725, Entries!A:K,11,false),"")</f>
        <v/>
      </c>
    </row>
    <row r="4726">
      <c r="A4726" s="78" t="s">
        <v>1307</v>
      </c>
      <c r="B4726" s="78" t="s">
        <v>19</v>
      </c>
      <c r="C4726" s="85">
        <v>45241.0</v>
      </c>
      <c r="D4726" s="85">
        <v>45242.0</v>
      </c>
      <c r="E4726" s="86">
        <v>5.79</v>
      </c>
      <c r="F4726" s="87">
        <v>7.78</v>
      </c>
      <c r="G4726" s="88">
        <f t="shared" si="1"/>
        <v>1.99</v>
      </c>
      <c r="H4726" s="89">
        <f t="shared" si="10"/>
        <v>0.2557840617</v>
      </c>
      <c r="I4726" s="78" t="s">
        <v>5531</v>
      </c>
      <c r="J4726" s="78" t="s">
        <v>69</v>
      </c>
      <c r="K4726" s="58">
        <f t="shared" si="14"/>
        <v>1</v>
      </c>
      <c r="L4726" s="91" t="str">
        <f t="shared" si="8"/>
        <v>Sun</v>
      </c>
      <c r="M4726" s="78" t="str">
        <f>IFERROR(VLOOKUP(A4726, Entries!A:B,2,false),"")</f>
        <v>SEGA</v>
      </c>
      <c r="N4726" s="23" t="str">
        <f>IFERROR(VLOOKUP(A4726, Entries!A:K,11,false),"")</f>
        <v/>
      </c>
    </row>
    <row r="4727">
      <c r="A4727" s="78" t="s">
        <v>2624</v>
      </c>
      <c r="B4727" s="78" t="s">
        <v>27</v>
      </c>
      <c r="C4727" s="85">
        <v>45241.0</v>
      </c>
      <c r="D4727" s="85">
        <v>45390.0</v>
      </c>
      <c r="E4727" s="86">
        <v>14.69</v>
      </c>
      <c r="F4727" s="87">
        <v>15.88</v>
      </c>
      <c r="G4727" s="88">
        <f t="shared" si="1"/>
        <v>1.19</v>
      </c>
      <c r="H4727" s="89">
        <f t="shared" si="10"/>
        <v>0.07493702771</v>
      </c>
      <c r="I4727" s="78" t="s">
        <v>5532</v>
      </c>
      <c r="J4727" s="78" t="s">
        <v>69</v>
      </c>
      <c r="K4727" s="58">
        <f t="shared" si="14"/>
        <v>149</v>
      </c>
      <c r="L4727" s="91" t="str">
        <f t="shared" si="8"/>
        <v>Mon</v>
      </c>
      <c r="M4727" s="78" t="str">
        <f>IFERROR(VLOOKUP(A4727, Entries!A:B,2,false),"")</f>
        <v>Daedalic Entertainment</v>
      </c>
      <c r="N4727" s="23" t="str">
        <f>IFERROR(VLOOKUP(A4727, Entries!A:K,11,false),"")</f>
        <v/>
      </c>
    </row>
    <row r="4728">
      <c r="A4728" s="78" t="s">
        <v>5446</v>
      </c>
      <c r="B4728" s="78" t="s">
        <v>27</v>
      </c>
      <c r="C4728" s="85">
        <v>45241.0</v>
      </c>
      <c r="D4728" s="85">
        <v>45263.0</v>
      </c>
      <c r="E4728" s="86">
        <v>4.59</v>
      </c>
      <c r="F4728" s="87">
        <v>6.17</v>
      </c>
      <c r="G4728" s="88">
        <f t="shared" si="1"/>
        <v>1.58</v>
      </c>
      <c r="H4728" s="89">
        <f t="shared" si="10"/>
        <v>0.2560777958</v>
      </c>
      <c r="I4728" s="78" t="s">
        <v>5533</v>
      </c>
      <c r="J4728" s="78" t="s">
        <v>69</v>
      </c>
      <c r="K4728" s="58">
        <f t="shared" si="14"/>
        <v>22</v>
      </c>
      <c r="L4728" s="91" t="str">
        <f t="shared" si="8"/>
        <v>Sun</v>
      </c>
      <c r="M4728" s="78" t="str">
        <f>IFERROR(VLOOKUP(A4728, Entries!A:B,2,false),"")</f>
        <v>BANDAI NAMCO</v>
      </c>
      <c r="N4728" s="23" t="str">
        <f>IFERROR(VLOOKUP(A4728, Entries!A:K,11,false),"")</f>
        <v/>
      </c>
    </row>
    <row r="4729">
      <c r="A4729" s="78" t="s">
        <v>3897</v>
      </c>
      <c r="B4729" s="78" t="s">
        <v>27</v>
      </c>
      <c r="C4729" s="85">
        <v>45241.0</v>
      </c>
      <c r="D4729" s="85">
        <v>45242.0</v>
      </c>
      <c r="E4729" s="86">
        <v>4.59</v>
      </c>
      <c r="F4729" s="87">
        <v>5.11</v>
      </c>
      <c r="G4729" s="88">
        <f t="shared" si="1"/>
        <v>0.52</v>
      </c>
      <c r="H4729" s="89">
        <f t="shared" si="10"/>
        <v>0.1017612524</v>
      </c>
      <c r="I4729" s="78" t="s">
        <v>5534</v>
      </c>
      <c r="J4729" s="78" t="s">
        <v>69</v>
      </c>
      <c r="K4729" s="58">
        <f t="shared" si="14"/>
        <v>1</v>
      </c>
      <c r="L4729" s="91" t="str">
        <f t="shared" si="8"/>
        <v>Sun</v>
      </c>
      <c r="M4729" s="78" t="str">
        <f>IFERROR(VLOOKUP(A4729, Entries!A:B,2,false),"")</f>
        <v>Bethesda Softworks</v>
      </c>
      <c r="N4729" s="23" t="str">
        <f>IFERROR(VLOOKUP(A4729, Entries!A:K,11,false),"")</f>
        <v/>
      </c>
    </row>
    <row r="4730">
      <c r="A4730" s="78" t="s">
        <v>5510</v>
      </c>
      <c r="B4730" s="78" t="s">
        <v>27</v>
      </c>
      <c r="C4730" s="85">
        <v>45241.0</v>
      </c>
      <c r="D4730" s="85">
        <v>45241.0</v>
      </c>
      <c r="E4730" s="86">
        <v>18.39</v>
      </c>
      <c r="F4730" s="87">
        <v>20.14</v>
      </c>
      <c r="G4730" s="88">
        <f t="shared" si="1"/>
        <v>1.75</v>
      </c>
      <c r="H4730" s="89">
        <f t="shared" si="10"/>
        <v>0.0868917577</v>
      </c>
      <c r="I4730" s="78" t="s">
        <v>5535</v>
      </c>
      <c r="J4730" s="78" t="s">
        <v>69</v>
      </c>
      <c r="K4730" s="58">
        <f t="shared" si="14"/>
        <v>0</v>
      </c>
      <c r="L4730" s="91" t="str">
        <f t="shared" si="8"/>
        <v>Sat</v>
      </c>
      <c r="M4730" s="78" t="str">
        <f>IFERROR(VLOOKUP(A4730, Entries!A:B,2,false),"")</f>
        <v>Techland Publishing</v>
      </c>
      <c r="N4730" s="23" t="str">
        <f>IFERROR(VLOOKUP(A4730, Entries!A:K,11,false),"")</f>
        <v/>
      </c>
    </row>
    <row r="4731">
      <c r="A4731" s="78" t="s">
        <v>5510</v>
      </c>
      <c r="B4731" s="78" t="s">
        <v>27</v>
      </c>
      <c r="C4731" s="85">
        <v>45241.0</v>
      </c>
      <c r="D4731" s="85">
        <v>45241.0</v>
      </c>
      <c r="E4731" s="86">
        <v>18.39</v>
      </c>
      <c r="F4731" s="87">
        <v>20.14</v>
      </c>
      <c r="G4731" s="88">
        <f t="shared" si="1"/>
        <v>1.75</v>
      </c>
      <c r="H4731" s="89">
        <f t="shared" si="10"/>
        <v>0.0868917577</v>
      </c>
      <c r="I4731" s="78" t="s">
        <v>5536</v>
      </c>
      <c r="J4731" s="78" t="s">
        <v>69</v>
      </c>
      <c r="K4731" s="58">
        <f t="shared" si="14"/>
        <v>0</v>
      </c>
      <c r="L4731" s="91" t="str">
        <f t="shared" si="8"/>
        <v>Sat</v>
      </c>
      <c r="M4731" s="78" t="str">
        <f>IFERROR(VLOOKUP(A4731, Entries!A:B,2,false),"")</f>
        <v>Techland Publishing</v>
      </c>
      <c r="N4731" s="23" t="str">
        <f>IFERROR(VLOOKUP(A4731, Entries!A:K,11,false),"")</f>
        <v/>
      </c>
    </row>
    <row r="4732">
      <c r="A4732" s="78" t="s">
        <v>1786</v>
      </c>
      <c r="B4732" s="78" t="s">
        <v>27</v>
      </c>
      <c r="C4732" s="85">
        <v>45241.0</v>
      </c>
      <c r="D4732" s="85">
        <v>45241.0</v>
      </c>
      <c r="E4732" s="86">
        <v>14.74</v>
      </c>
      <c r="F4732" s="87">
        <v>20.01</v>
      </c>
      <c r="G4732" s="88">
        <f t="shared" si="1"/>
        <v>5.27</v>
      </c>
      <c r="H4732" s="89">
        <f t="shared" si="10"/>
        <v>0.2633683158</v>
      </c>
      <c r="I4732" s="78" t="s">
        <v>5537</v>
      </c>
      <c r="J4732" s="78" t="s">
        <v>69</v>
      </c>
      <c r="K4732" s="58">
        <f t="shared" si="14"/>
        <v>0</v>
      </c>
      <c r="L4732" s="91" t="str">
        <f t="shared" si="8"/>
        <v>Sat</v>
      </c>
      <c r="M4732" s="78" t="str">
        <f>IFERROR(VLOOKUP(A4732, Entries!A:B,2,false),"")</f>
        <v>Bethesda Softworks</v>
      </c>
      <c r="N4732" s="23" t="str">
        <f>IFERROR(VLOOKUP(A4732, Entries!A:K,11,false),"")</f>
        <v/>
      </c>
    </row>
    <row r="4733">
      <c r="A4733" s="78" t="s">
        <v>5510</v>
      </c>
      <c r="B4733" s="78" t="s">
        <v>27</v>
      </c>
      <c r="C4733" s="85">
        <v>45241.0</v>
      </c>
      <c r="D4733" s="85">
        <v>45242.0</v>
      </c>
      <c r="E4733" s="86">
        <v>18.39</v>
      </c>
      <c r="F4733" s="87">
        <v>20.14</v>
      </c>
      <c r="G4733" s="88">
        <f t="shared" si="1"/>
        <v>1.75</v>
      </c>
      <c r="H4733" s="89">
        <f t="shared" si="10"/>
        <v>0.0868917577</v>
      </c>
      <c r="I4733" s="78" t="s">
        <v>5538</v>
      </c>
      <c r="J4733" s="78" t="s">
        <v>69</v>
      </c>
      <c r="K4733" s="58">
        <f t="shared" si="14"/>
        <v>1</v>
      </c>
      <c r="L4733" s="91" t="str">
        <f t="shared" si="8"/>
        <v>Sun</v>
      </c>
      <c r="M4733" s="78" t="str">
        <f>IFERROR(VLOOKUP(A4733, Entries!A:B,2,false),"")</f>
        <v>Techland Publishing</v>
      </c>
      <c r="N4733" s="23" t="str">
        <f>IFERROR(VLOOKUP(A4733, Entries!A:K,11,false),"")</f>
        <v/>
      </c>
    </row>
    <row r="4734">
      <c r="A4734" s="78" t="s">
        <v>1786</v>
      </c>
      <c r="B4734" s="78" t="s">
        <v>27</v>
      </c>
      <c r="C4734" s="85">
        <v>45241.0</v>
      </c>
      <c r="D4734" s="85">
        <v>45241.0</v>
      </c>
      <c r="E4734" s="86">
        <v>14.74</v>
      </c>
      <c r="F4734" s="87">
        <v>18.28</v>
      </c>
      <c r="G4734" s="88">
        <f t="shared" si="1"/>
        <v>3.54</v>
      </c>
      <c r="H4734" s="89">
        <f t="shared" si="10"/>
        <v>0.193654267</v>
      </c>
      <c r="I4734" s="78" t="s">
        <v>5539</v>
      </c>
      <c r="J4734" s="78" t="s">
        <v>69</v>
      </c>
      <c r="K4734" s="58">
        <f t="shared" si="14"/>
        <v>0</v>
      </c>
      <c r="L4734" s="91" t="str">
        <f t="shared" si="8"/>
        <v>Sat</v>
      </c>
      <c r="M4734" s="78" t="str">
        <f>IFERROR(VLOOKUP(A4734, Entries!A:B,2,false),"")</f>
        <v>Bethesda Softworks</v>
      </c>
      <c r="N4734" s="23" t="str">
        <f>IFERROR(VLOOKUP(A4734, Entries!A:K,11,false),"")</f>
        <v/>
      </c>
    </row>
    <row r="4735">
      <c r="A4735" s="78" t="s">
        <v>1786</v>
      </c>
      <c r="B4735" s="78" t="s">
        <v>27</v>
      </c>
      <c r="C4735" s="85">
        <v>45241.0</v>
      </c>
      <c r="D4735" s="85">
        <v>45242.0</v>
      </c>
      <c r="E4735" s="86">
        <v>14.89</v>
      </c>
      <c r="F4735" s="87">
        <v>19.66</v>
      </c>
      <c r="G4735" s="88">
        <f t="shared" si="1"/>
        <v>4.77</v>
      </c>
      <c r="H4735" s="89">
        <f t="shared" si="10"/>
        <v>0.2426246185</v>
      </c>
      <c r="I4735" s="78" t="s">
        <v>5540</v>
      </c>
      <c r="J4735" s="78" t="s">
        <v>69</v>
      </c>
      <c r="K4735" s="58">
        <f t="shared" si="14"/>
        <v>1</v>
      </c>
      <c r="L4735" s="91" t="str">
        <f t="shared" si="8"/>
        <v>Sun</v>
      </c>
      <c r="M4735" s="78" t="str">
        <f>IFERROR(VLOOKUP(A4735, Entries!A:B,2,false),"")</f>
        <v>Bethesda Softworks</v>
      </c>
      <c r="N4735" s="23" t="str">
        <f>IFERROR(VLOOKUP(A4735, Entries!A:K,11,false),"")</f>
        <v/>
      </c>
    </row>
    <row r="4736">
      <c r="A4736" s="78" t="s">
        <v>1786</v>
      </c>
      <c r="B4736" s="78" t="s">
        <v>27</v>
      </c>
      <c r="C4736" s="85">
        <v>45242.0</v>
      </c>
      <c r="D4736" s="85">
        <v>45242.0</v>
      </c>
      <c r="E4736" s="86">
        <v>14.89</v>
      </c>
      <c r="F4736" s="87">
        <v>19.66</v>
      </c>
      <c r="G4736" s="88">
        <f t="shared" si="1"/>
        <v>4.77</v>
      </c>
      <c r="H4736" s="89">
        <f t="shared" si="10"/>
        <v>0.2426246185</v>
      </c>
      <c r="I4736" s="78" t="s">
        <v>5541</v>
      </c>
      <c r="J4736" s="78" t="s">
        <v>69</v>
      </c>
      <c r="K4736" s="58">
        <f t="shared" si="14"/>
        <v>0</v>
      </c>
      <c r="L4736" s="91" t="str">
        <f t="shared" si="8"/>
        <v>Sun</v>
      </c>
      <c r="M4736" s="78" t="str">
        <f>IFERROR(VLOOKUP(A4736, Entries!A:B,2,false),"")</f>
        <v>Bethesda Softworks</v>
      </c>
      <c r="N4736" s="23" t="str">
        <f>IFERROR(VLOOKUP(A4736, Entries!A:K,11,false),"")</f>
        <v/>
      </c>
    </row>
    <row r="4737">
      <c r="A4737" s="78" t="s">
        <v>4282</v>
      </c>
      <c r="B4737" s="78" t="s">
        <v>27</v>
      </c>
      <c r="C4737" s="85">
        <v>45242.0</v>
      </c>
      <c r="D4737" s="85">
        <v>45242.0</v>
      </c>
      <c r="E4737" s="86">
        <v>22.49</v>
      </c>
      <c r="F4737" s="87">
        <v>28.56</v>
      </c>
      <c r="G4737" s="88">
        <f t="shared" si="1"/>
        <v>6.07</v>
      </c>
      <c r="H4737" s="89">
        <f t="shared" si="10"/>
        <v>0.212535014</v>
      </c>
      <c r="I4737" s="78" t="s">
        <v>5542</v>
      </c>
      <c r="J4737" s="78" t="s">
        <v>69</v>
      </c>
      <c r="K4737" s="58">
        <f t="shared" si="14"/>
        <v>0</v>
      </c>
      <c r="L4737" s="91" t="str">
        <f t="shared" si="8"/>
        <v>Sun</v>
      </c>
      <c r="M4737" s="78" t="str">
        <f>IFERROR(VLOOKUP(A4737, Entries!A:B,2,false),"")</f>
        <v>PlayStation</v>
      </c>
      <c r="N4737" s="23" t="str">
        <f>IFERROR(VLOOKUP(A4737, Entries!A:K,11,false),"")</f>
        <v/>
      </c>
    </row>
    <row r="4738">
      <c r="A4738" s="78" t="s">
        <v>5516</v>
      </c>
      <c r="B4738" s="78" t="s">
        <v>22</v>
      </c>
      <c r="C4738" s="85">
        <v>45242.0</v>
      </c>
      <c r="D4738" s="85">
        <v>45242.0</v>
      </c>
      <c r="E4738" s="86">
        <v>10.59</v>
      </c>
      <c r="F4738" s="87">
        <v>13.0</v>
      </c>
      <c r="G4738" s="88">
        <f t="shared" si="1"/>
        <v>2.41</v>
      </c>
      <c r="H4738" s="89">
        <f t="shared" si="10"/>
        <v>0.1853846154</v>
      </c>
      <c r="I4738" s="78" t="s">
        <v>5543</v>
      </c>
      <c r="J4738" s="78" t="s">
        <v>69</v>
      </c>
      <c r="K4738" s="58">
        <f t="shared" si="14"/>
        <v>0</v>
      </c>
      <c r="L4738" s="91" t="str">
        <f t="shared" si="8"/>
        <v>Sun</v>
      </c>
      <c r="M4738" s="78" t="str">
        <f>IFERROR(VLOOKUP(A4738, Entries!A:B,2,false),"")</f>
        <v/>
      </c>
      <c r="N4738" s="23" t="str">
        <f>IFERROR(VLOOKUP(A4738, Entries!A:K,11,false),"")</f>
        <v/>
      </c>
    </row>
    <row r="4739">
      <c r="A4739" s="78" t="s">
        <v>3897</v>
      </c>
      <c r="B4739" s="78" t="s">
        <v>27</v>
      </c>
      <c r="C4739" s="85">
        <v>45242.0</v>
      </c>
      <c r="D4739" s="85">
        <v>45243.0</v>
      </c>
      <c r="E4739" s="86">
        <v>4.29</v>
      </c>
      <c r="F4739" s="87">
        <v>5.11</v>
      </c>
      <c r="G4739" s="88">
        <f t="shared" si="1"/>
        <v>0.82</v>
      </c>
      <c r="H4739" s="89">
        <f t="shared" si="10"/>
        <v>0.1604696673</v>
      </c>
      <c r="I4739" s="78" t="s">
        <v>5544</v>
      </c>
      <c r="J4739" s="78" t="s">
        <v>69</v>
      </c>
      <c r="K4739" s="58">
        <f t="shared" si="14"/>
        <v>1</v>
      </c>
      <c r="L4739" s="91" t="str">
        <f t="shared" si="8"/>
        <v>Mon</v>
      </c>
      <c r="M4739" s="78" t="str">
        <f>IFERROR(VLOOKUP(A4739, Entries!A:B,2,false),"")</f>
        <v>Bethesda Softworks</v>
      </c>
      <c r="N4739" s="23" t="str">
        <f>IFERROR(VLOOKUP(A4739, Entries!A:K,11,false),"")</f>
        <v/>
      </c>
    </row>
    <row r="4740">
      <c r="A4740" s="78" t="s">
        <v>5516</v>
      </c>
      <c r="B4740" s="78" t="s">
        <v>22</v>
      </c>
      <c r="C4740" s="85">
        <v>45242.0</v>
      </c>
      <c r="D4740" s="85">
        <v>45333.0</v>
      </c>
      <c r="E4740" s="86">
        <v>10.59</v>
      </c>
      <c r="F4740" s="87">
        <v>12.2</v>
      </c>
      <c r="G4740" s="88">
        <f t="shared" si="1"/>
        <v>1.61</v>
      </c>
      <c r="H4740" s="89">
        <f t="shared" si="10"/>
        <v>0.1319672131</v>
      </c>
      <c r="I4740" s="78" t="s">
        <v>5545</v>
      </c>
      <c r="J4740" s="78" t="s">
        <v>69</v>
      </c>
      <c r="K4740" s="58">
        <f t="shared" si="14"/>
        <v>91</v>
      </c>
      <c r="L4740" s="91" t="str">
        <f t="shared" si="8"/>
        <v>Sun</v>
      </c>
      <c r="M4740" s="78" t="str">
        <f>IFERROR(VLOOKUP(A4740, Entries!A:B,2,false),"")</f>
        <v/>
      </c>
      <c r="N4740" s="23" t="str">
        <f>IFERROR(VLOOKUP(A4740, Entries!A:K,11,false),"")</f>
        <v/>
      </c>
    </row>
    <row r="4741">
      <c r="A4741" s="78" t="s">
        <v>1786</v>
      </c>
      <c r="B4741" s="78" t="s">
        <v>27</v>
      </c>
      <c r="C4741" s="85">
        <v>45241.0</v>
      </c>
      <c r="D4741" s="85">
        <v>45249.0</v>
      </c>
      <c r="E4741" s="86">
        <v>14.27</v>
      </c>
      <c r="F4741" s="87">
        <v>25.9</v>
      </c>
      <c r="G4741" s="88">
        <f t="shared" si="1"/>
        <v>11.63</v>
      </c>
      <c r="H4741" s="89">
        <f t="shared" si="10"/>
        <v>0.449034749</v>
      </c>
      <c r="I4741" s="78" t="s">
        <v>5546</v>
      </c>
      <c r="J4741" s="78" t="s">
        <v>69</v>
      </c>
      <c r="K4741" s="58">
        <f t="shared" si="14"/>
        <v>8</v>
      </c>
      <c r="L4741" s="91" t="str">
        <f t="shared" si="8"/>
        <v>Sun</v>
      </c>
      <c r="M4741" s="78" t="str">
        <f>IFERROR(VLOOKUP(A4741, Entries!A:B,2,false),"")</f>
        <v>Bethesda Softworks</v>
      </c>
      <c r="N4741" s="23" t="str">
        <f>IFERROR(VLOOKUP(A4741, Entries!A:K,11,false),"")</f>
        <v/>
      </c>
    </row>
    <row r="4742">
      <c r="A4742" s="78" t="s">
        <v>1786</v>
      </c>
      <c r="B4742" s="78" t="s">
        <v>27</v>
      </c>
      <c r="C4742" s="85">
        <v>45242.0</v>
      </c>
      <c r="D4742" s="85">
        <v>45249.0</v>
      </c>
      <c r="E4742" s="86">
        <v>14.28</v>
      </c>
      <c r="F4742" s="87">
        <v>28.41</v>
      </c>
      <c r="G4742" s="88">
        <f t="shared" si="1"/>
        <v>14.13</v>
      </c>
      <c r="H4742" s="89">
        <f t="shared" si="10"/>
        <v>0.4973600845</v>
      </c>
      <c r="I4742" s="78" t="s">
        <v>5547</v>
      </c>
      <c r="J4742" s="78" t="s">
        <v>69</v>
      </c>
      <c r="K4742" s="58">
        <f t="shared" si="14"/>
        <v>7</v>
      </c>
      <c r="L4742" s="91" t="str">
        <f t="shared" si="8"/>
        <v>Sun</v>
      </c>
      <c r="M4742" s="78" t="str">
        <f>IFERROR(VLOOKUP(A4742, Entries!A:B,2,false),"")</f>
        <v>Bethesda Softworks</v>
      </c>
      <c r="N4742" s="23" t="str">
        <f>IFERROR(VLOOKUP(A4742, Entries!A:K,11,false),"")</f>
        <v/>
      </c>
    </row>
    <row r="4743">
      <c r="A4743" s="78" t="s">
        <v>4282</v>
      </c>
      <c r="B4743" s="78" t="s">
        <v>27</v>
      </c>
      <c r="C4743" s="85">
        <v>45242.0</v>
      </c>
      <c r="D4743" s="85">
        <v>45242.0</v>
      </c>
      <c r="E4743" s="86">
        <v>22.49</v>
      </c>
      <c r="F4743" s="87">
        <v>28.56</v>
      </c>
      <c r="G4743" s="88">
        <f t="shared" si="1"/>
        <v>6.07</v>
      </c>
      <c r="H4743" s="89">
        <f t="shared" si="10"/>
        <v>0.212535014</v>
      </c>
      <c r="I4743" s="78" t="s">
        <v>5548</v>
      </c>
      <c r="J4743" s="78" t="s">
        <v>69</v>
      </c>
      <c r="K4743" s="58">
        <f t="shared" si="14"/>
        <v>0</v>
      </c>
      <c r="L4743" s="91" t="str">
        <f t="shared" si="8"/>
        <v>Sun</v>
      </c>
      <c r="M4743" s="78" t="str">
        <f>IFERROR(VLOOKUP(A4743, Entries!A:B,2,false),"")</f>
        <v>PlayStation</v>
      </c>
      <c r="N4743" s="23" t="str">
        <f>IFERROR(VLOOKUP(A4743, Entries!A:K,11,false),"")</f>
        <v/>
      </c>
    </row>
    <row r="4744">
      <c r="A4744" s="78" t="s">
        <v>4282</v>
      </c>
      <c r="B4744" s="78" t="s">
        <v>27</v>
      </c>
      <c r="C4744" s="85">
        <v>45242.0</v>
      </c>
      <c r="D4744" s="85">
        <v>45242.0</v>
      </c>
      <c r="E4744" s="86">
        <v>22.49</v>
      </c>
      <c r="F4744" s="87">
        <v>28.56</v>
      </c>
      <c r="G4744" s="88">
        <f t="shared" si="1"/>
        <v>6.07</v>
      </c>
      <c r="H4744" s="89">
        <f t="shared" si="10"/>
        <v>0.212535014</v>
      </c>
      <c r="I4744" s="78" t="s">
        <v>5549</v>
      </c>
      <c r="J4744" s="78" t="s">
        <v>69</v>
      </c>
      <c r="K4744" s="58">
        <f t="shared" si="14"/>
        <v>0</v>
      </c>
      <c r="L4744" s="91" t="str">
        <f t="shared" si="8"/>
        <v>Sun</v>
      </c>
      <c r="M4744" s="78" t="str">
        <f>IFERROR(VLOOKUP(A4744, Entries!A:B,2,false),"")</f>
        <v>PlayStation</v>
      </c>
      <c r="N4744" s="23" t="str">
        <f>IFERROR(VLOOKUP(A4744, Entries!A:K,11,false),"")</f>
        <v/>
      </c>
    </row>
    <row r="4745">
      <c r="A4745" s="94" t="s">
        <v>2818</v>
      </c>
      <c r="B4745" s="78" t="s">
        <v>18</v>
      </c>
      <c r="C4745" s="85">
        <v>45242.0</v>
      </c>
      <c r="D4745" s="85">
        <v>45420.0</v>
      </c>
      <c r="E4745" s="86">
        <v>4.51</v>
      </c>
      <c r="F4745" s="87">
        <v>4.37</v>
      </c>
      <c r="G4745" s="88">
        <f t="shared" si="1"/>
        <v>-0.14</v>
      </c>
      <c r="H4745" s="89">
        <f t="shared" si="10"/>
        <v>-0.03203661327</v>
      </c>
      <c r="I4745" s="78" t="s">
        <v>5550</v>
      </c>
      <c r="J4745" s="78" t="s">
        <v>69</v>
      </c>
      <c r="K4745" s="58">
        <f t="shared" si="14"/>
        <v>178</v>
      </c>
      <c r="L4745" s="91" t="str">
        <f t="shared" si="8"/>
        <v>Wed</v>
      </c>
      <c r="M4745" s="78" t="str">
        <f>IFERROR(VLOOKUP(A4745, Entries!A:B,2,false),"")</f>
        <v>Daedalic Entertainment</v>
      </c>
      <c r="N4745" s="23" t="str">
        <f>IFERROR(VLOOKUP(A4745, Entries!A:K,11,false),"")</f>
        <v/>
      </c>
    </row>
    <row r="4746">
      <c r="A4746" s="94" t="s">
        <v>2818</v>
      </c>
      <c r="B4746" s="78" t="s">
        <v>18</v>
      </c>
      <c r="C4746" s="85">
        <v>45242.0</v>
      </c>
      <c r="D4746" s="85">
        <v>45421.0</v>
      </c>
      <c r="E4746" s="86">
        <v>4.51</v>
      </c>
      <c r="F4746" s="87">
        <v>4.37</v>
      </c>
      <c r="G4746" s="88">
        <f t="shared" si="1"/>
        <v>-0.14</v>
      </c>
      <c r="H4746" s="89">
        <f t="shared" si="10"/>
        <v>-0.03203661327</v>
      </c>
      <c r="I4746" s="78" t="s">
        <v>5551</v>
      </c>
      <c r="J4746" s="78" t="s">
        <v>69</v>
      </c>
      <c r="K4746" s="58">
        <f t="shared" si="14"/>
        <v>179</v>
      </c>
      <c r="L4746" s="91" t="str">
        <f t="shared" si="8"/>
        <v>Thu</v>
      </c>
      <c r="M4746" s="78" t="str">
        <f>IFERROR(VLOOKUP(A4746, Entries!A:B,2,false),"")</f>
        <v>Daedalic Entertainment</v>
      </c>
      <c r="N4746" s="23" t="str">
        <f>IFERROR(VLOOKUP(A4746, Entries!A:K,11,false),"")</f>
        <v/>
      </c>
    </row>
    <row r="4747">
      <c r="A4747" s="94" t="s">
        <v>2818</v>
      </c>
      <c r="B4747" s="78" t="s">
        <v>18</v>
      </c>
      <c r="C4747" s="85">
        <v>45242.0</v>
      </c>
      <c r="D4747" s="85">
        <v>45421.0</v>
      </c>
      <c r="E4747" s="86">
        <v>4.51</v>
      </c>
      <c r="F4747" s="87">
        <v>4.37</v>
      </c>
      <c r="G4747" s="88">
        <f t="shared" si="1"/>
        <v>-0.14</v>
      </c>
      <c r="H4747" s="89">
        <f t="shared" si="10"/>
        <v>-0.03203661327</v>
      </c>
      <c r="I4747" s="78" t="s">
        <v>5552</v>
      </c>
      <c r="J4747" s="78" t="s">
        <v>69</v>
      </c>
      <c r="K4747" s="58">
        <f t="shared" si="14"/>
        <v>179</v>
      </c>
      <c r="L4747" s="91" t="str">
        <f t="shared" si="8"/>
        <v>Thu</v>
      </c>
      <c r="M4747" s="78" t="str">
        <f>IFERROR(VLOOKUP(A4747, Entries!A:B,2,false),"")</f>
        <v>Daedalic Entertainment</v>
      </c>
      <c r="N4747" s="23" t="str">
        <f>IFERROR(VLOOKUP(A4747, Entries!A:K,11,false),"")</f>
        <v/>
      </c>
    </row>
    <row r="4748">
      <c r="A4748" s="94" t="s">
        <v>2818</v>
      </c>
      <c r="B4748" s="78" t="s">
        <v>18</v>
      </c>
      <c r="C4748" s="85">
        <v>45242.0</v>
      </c>
      <c r="D4748" s="85">
        <v>45421.0</v>
      </c>
      <c r="E4748" s="86">
        <v>4.51</v>
      </c>
      <c r="F4748" s="87">
        <v>4.46</v>
      </c>
      <c r="G4748" s="88">
        <f t="shared" si="1"/>
        <v>-0.05</v>
      </c>
      <c r="H4748" s="89">
        <f t="shared" si="10"/>
        <v>-0.01121076233</v>
      </c>
      <c r="I4748" s="78" t="s">
        <v>5553</v>
      </c>
      <c r="J4748" s="78" t="s">
        <v>69</v>
      </c>
      <c r="K4748" s="58">
        <f t="shared" si="14"/>
        <v>179</v>
      </c>
      <c r="L4748" s="91" t="str">
        <f t="shared" si="8"/>
        <v>Thu</v>
      </c>
      <c r="M4748" s="78" t="str">
        <f>IFERROR(VLOOKUP(A4748, Entries!A:B,2,false),"")</f>
        <v>Daedalic Entertainment</v>
      </c>
      <c r="N4748" s="23" t="str">
        <f>IFERROR(VLOOKUP(A4748, Entries!A:K,11,false),"")</f>
        <v/>
      </c>
    </row>
    <row r="4749">
      <c r="A4749" s="78" t="s">
        <v>4282</v>
      </c>
      <c r="B4749" s="78" t="s">
        <v>27</v>
      </c>
      <c r="C4749" s="85">
        <v>45242.0</v>
      </c>
      <c r="D4749" s="85">
        <v>45242.0</v>
      </c>
      <c r="E4749" s="86">
        <v>22.49</v>
      </c>
      <c r="F4749" s="87">
        <v>28.56</v>
      </c>
      <c r="G4749" s="88">
        <f t="shared" si="1"/>
        <v>6.07</v>
      </c>
      <c r="H4749" s="89">
        <f t="shared" si="10"/>
        <v>0.212535014</v>
      </c>
      <c r="I4749" s="78" t="s">
        <v>5554</v>
      </c>
      <c r="J4749" s="78" t="s">
        <v>69</v>
      </c>
      <c r="K4749" s="58">
        <f t="shared" si="14"/>
        <v>0</v>
      </c>
      <c r="L4749" s="91" t="str">
        <f t="shared" si="8"/>
        <v>Sun</v>
      </c>
      <c r="M4749" s="78" t="str">
        <f>IFERROR(VLOOKUP(A4749, Entries!A:B,2,false),"")</f>
        <v>PlayStation</v>
      </c>
      <c r="N4749" s="23" t="str">
        <f>IFERROR(VLOOKUP(A4749, Entries!A:K,11,false),"")</f>
        <v/>
      </c>
    </row>
    <row r="4750">
      <c r="A4750" s="78" t="s">
        <v>4188</v>
      </c>
      <c r="B4750" s="78" t="s">
        <v>27</v>
      </c>
      <c r="C4750" s="85">
        <v>45242.0</v>
      </c>
      <c r="D4750" s="85">
        <v>45243.0</v>
      </c>
      <c r="E4750" s="86">
        <v>24.77</v>
      </c>
      <c r="F4750" s="87">
        <v>29.55</v>
      </c>
      <c r="G4750" s="88">
        <f t="shared" si="1"/>
        <v>4.78</v>
      </c>
      <c r="H4750" s="89">
        <f t="shared" si="10"/>
        <v>0.1617597293</v>
      </c>
      <c r="I4750" s="78" t="s">
        <v>5555</v>
      </c>
      <c r="J4750" s="78" t="s">
        <v>69</v>
      </c>
      <c r="K4750" s="58">
        <f t="shared" si="14"/>
        <v>1</v>
      </c>
      <c r="L4750" s="91" t="str">
        <f t="shared" si="8"/>
        <v>Mon</v>
      </c>
      <c r="M4750" s="78" t="str">
        <f>IFERROR(VLOOKUP(A4750, Entries!A:B,2,false),"")</f>
        <v>PlayStation</v>
      </c>
      <c r="N4750" s="23" t="str">
        <f>IFERROR(VLOOKUP(A4750, Entries!A:K,11,false),"")</f>
        <v/>
      </c>
    </row>
    <row r="4751">
      <c r="A4751" s="78" t="s">
        <v>4282</v>
      </c>
      <c r="B4751" s="78" t="s">
        <v>27</v>
      </c>
      <c r="C4751" s="85">
        <v>45242.0</v>
      </c>
      <c r="D4751" s="85">
        <v>45244.0</v>
      </c>
      <c r="E4751" s="86">
        <v>22.49</v>
      </c>
      <c r="F4751" s="87">
        <v>28.53</v>
      </c>
      <c r="G4751" s="88">
        <f t="shared" si="1"/>
        <v>6.04</v>
      </c>
      <c r="H4751" s="89">
        <f t="shared" si="10"/>
        <v>0.2117069751</v>
      </c>
      <c r="I4751" s="78" t="s">
        <v>5556</v>
      </c>
      <c r="J4751" s="78" t="s">
        <v>69</v>
      </c>
      <c r="K4751" s="58">
        <f t="shared" si="14"/>
        <v>2</v>
      </c>
      <c r="L4751" s="91" t="str">
        <f t="shared" si="8"/>
        <v>Tue</v>
      </c>
      <c r="M4751" s="78" t="str">
        <f>IFERROR(VLOOKUP(A4751, Entries!A:B,2,false),"")</f>
        <v>PlayStation</v>
      </c>
      <c r="N4751" s="23" t="str">
        <f>IFERROR(VLOOKUP(A4751, Entries!A:K,11,false),"")</f>
        <v/>
      </c>
    </row>
    <row r="4752">
      <c r="A4752" s="78" t="s">
        <v>1849</v>
      </c>
      <c r="B4752" s="78" t="s">
        <v>19</v>
      </c>
      <c r="C4752" s="85">
        <v>45242.0</v>
      </c>
      <c r="D4752" s="85">
        <v>45244.0</v>
      </c>
      <c r="E4752" s="86">
        <v>3.89</v>
      </c>
      <c r="F4752" s="87">
        <v>5.86</v>
      </c>
      <c r="G4752" s="88">
        <f t="shared" si="1"/>
        <v>1.97</v>
      </c>
      <c r="H4752" s="89">
        <f t="shared" si="10"/>
        <v>0.3361774744</v>
      </c>
      <c r="I4752" s="78" t="s">
        <v>5557</v>
      </c>
      <c r="J4752" s="78" t="s">
        <v>69</v>
      </c>
      <c r="K4752" s="58">
        <f t="shared" si="14"/>
        <v>2</v>
      </c>
      <c r="L4752" s="91" t="str">
        <f t="shared" si="8"/>
        <v>Tue</v>
      </c>
      <c r="M4752" s="78" t="str">
        <f>IFERROR(VLOOKUP(A4752, Entries!A:B,2,false),"")</f>
        <v>Marmalade Game Studio</v>
      </c>
      <c r="N4752" s="23" t="str">
        <f>IFERROR(VLOOKUP(A4752, Entries!A:K,11,false),"")</f>
        <v/>
      </c>
    </row>
    <row r="4753">
      <c r="A4753" s="78" t="s">
        <v>5510</v>
      </c>
      <c r="B4753" s="78" t="s">
        <v>27</v>
      </c>
      <c r="C4753" s="85">
        <v>45242.0</v>
      </c>
      <c r="D4753" s="85">
        <v>45243.0</v>
      </c>
      <c r="E4753" s="86">
        <v>18.39</v>
      </c>
      <c r="F4753" s="87">
        <v>20.14</v>
      </c>
      <c r="G4753" s="88">
        <f t="shared" si="1"/>
        <v>1.75</v>
      </c>
      <c r="H4753" s="89">
        <f t="shared" si="10"/>
        <v>0.0868917577</v>
      </c>
      <c r="I4753" s="78" t="s">
        <v>5558</v>
      </c>
      <c r="J4753" s="78" t="s">
        <v>69</v>
      </c>
      <c r="K4753" s="58">
        <f t="shared" si="14"/>
        <v>1</v>
      </c>
      <c r="L4753" s="91" t="str">
        <f t="shared" si="8"/>
        <v>Mon</v>
      </c>
      <c r="M4753" s="78" t="str">
        <f>IFERROR(VLOOKUP(A4753, Entries!A:B,2,false),"")</f>
        <v>Techland Publishing</v>
      </c>
      <c r="N4753" s="23" t="str">
        <f>IFERROR(VLOOKUP(A4753, Entries!A:K,11,false),"")</f>
        <v/>
      </c>
    </row>
    <row r="4754">
      <c r="A4754" s="78" t="s">
        <v>4188</v>
      </c>
      <c r="B4754" s="78" t="s">
        <v>27</v>
      </c>
      <c r="C4754" s="85">
        <v>45242.0</v>
      </c>
      <c r="D4754" s="85">
        <v>45243.0</v>
      </c>
      <c r="E4754" s="86">
        <v>24.69</v>
      </c>
      <c r="F4754" s="87">
        <v>29.55</v>
      </c>
      <c r="G4754" s="88">
        <f t="shared" si="1"/>
        <v>4.86</v>
      </c>
      <c r="H4754" s="89">
        <f t="shared" si="10"/>
        <v>0.1644670051</v>
      </c>
      <c r="I4754" s="78" t="s">
        <v>5559</v>
      </c>
      <c r="J4754" s="78" t="s">
        <v>69</v>
      </c>
      <c r="K4754" s="58">
        <f t="shared" si="14"/>
        <v>1</v>
      </c>
      <c r="L4754" s="91" t="str">
        <f t="shared" si="8"/>
        <v>Mon</v>
      </c>
      <c r="M4754" s="78" t="str">
        <f>IFERROR(VLOOKUP(A4754, Entries!A:B,2,false),"")</f>
        <v>PlayStation</v>
      </c>
      <c r="N4754" s="23" t="str">
        <f>IFERROR(VLOOKUP(A4754, Entries!A:K,11,false),"")</f>
        <v/>
      </c>
    </row>
    <row r="4755">
      <c r="A4755" s="78" t="s">
        <v>4188</v>
      </c>
      <c r="B4755" s="78" t="s">
        <v>27</v>
      </c>
      <c r="C4755" s="85">
        <v>45243.0</v>
      </c>
      <c r="D4755" s="85">
        <v>45243.0</v>
      </c>
      <c r="E4755" s="86">
        <v>24.99</v>
      </c>
      <c r="F4755" s="87">
        <v>29.55</v>
      </c>
      <c r="G4755" s="88">
        <f t="shared" si="1"/>
        <v>4.56</v>
      </c>
      <c r="H4755" s="89">
        <f t="shared" si="10"/>
        <v>0.1543147208</v>
      </c>
      <c r="I4755" s="78" t="s">
        <v>5560</v>
      </c>
      <c r="J4755" s="78" t="s">
        <v>69</v>
      </c>
      <c r="K4755" s="58">
        <f t="shared" si="14"/>
        <v>0</v>
      </c>
      <c r="L4755" s="91" t="str">
        <f t="shared" si="8"/>
        <v>Mon</v>
      </c>
      <c r="M4755" s="78" t="str">
        <f>IFERROR(VLOOKUP(A4755, Entries!A:B,2,false),"")</f>
        <v>PlayStation</v>
      </c>
      <c r="N4755" s="23" t="str">
        <f>IFERROR(VLOOKUP(A4755, Entries!A:K,11,false),"")</f>
        <v/>
      </c>
    </row>
    <row r="4756">
      <c r="A4756" s="78" t="s">
        <v>5408</v>
      </c>
      <c r="B4756" s="78" t="s">
        <v>27</v>
      </c>
      <c r="C4756" s="85">
        <v>45243.0</v>
      </c>
      <c r="D4756" s="85">
        <v>45243.0</v>
      </c>
      <c r="E4756" s="86">
        <v>1.49</v>
      </c>
      <c r="F4756" s="87">
        <v>3.82</v>
      </c>
      <c r="G4756" s="88">
        <f t="shared" si="1"/>
        <v>2.33</v>
      </c>
      <c r="H4756" s="89">
        <f t="shared" si="10"/>
        <v>0.609947644</v>
      </c>
      <c r="I4756" s="78" t="s">
        <v>5561</v>
      </c>
      <c r="J4756" s="78" t="s">
        <v>69</v>
      </c>
      <c r="K4756" s="58">
        <f t="shared" si="14"/>
        <v>0</v>
      </c>
      <c r="L4756" s="91" t="str">
        <f t="shared" si="8"/>
        <v>Mon</v>
      </c>
      <c r="M4756" s="78" t="str">
        <f>IFERROR(VLOOKUP(A4756, Entries!A:B,2,false),"")</f>
        <v>Joey Drew Studios</v>
      </c>
      <c r="N4756" s="23" t="str">
        <f>IFERROR(VLOOKUP(A4756, Entries!A:K,11,false),"")</f>
        <v/>
      </c>
    </row>
    <row r="4757">
      <c r="A4757" s="78" t="s">
        <v>5408</v>
      </c>
      <c r="B4757" s="78" t="s">
        <v>27</v>
      </c>
      <c r="C4757" s="85">
        <v>45243.0</v>
      </c>
      <c r="D4757" s="85">
        <v>45244.0</v>
      </c>
      <c r="E4757" s="86">
        <v>1.49</v>
      </c>
      <c r="F4757" s="87">
        <v>3.41</v>
      </c>
      <c r="G4757" s="88">
        <f t="shared" si="1"/>
        <v>1.92</v>
      </c>
      <c r="H4757" s="89">
        <f t="shared" si="10"/>
        <v>0.5630498534</v>
      </c>
      <c r="I4757" s="78" t="s">
        <v>5562</v>
      </c>
      <c r="J4757" s="78" t="s">
        <v>69</v>
      </c>
      <c r="K4757" s="58">
        <f t="shared" si="14"/>
        <v>1</v>
      </c>
      <c r="L4757" s="91" t="str">
        <f t="shared" si="8"/>
        <v>Tue</v>
      </c>
      <c r="M4757" s="78" t="str">
        <f>IFERROR(VLOOKUP(A4757, Entries!A:B,2,false),"")</f>
        <v>Joey Drew Studios</v>
      </c>
      <c r="N4757" s="23" t="str">
        <f>IFERROR(VLOOKUP(A4757, Entries!A:K,11,false),"")</f>
        <v/>
      </c>
    </row>
    <row r="4758">
      <c r="A4758" s="78" t="s">
        <v>5408</v>
      </c>
      <c r="B4758" s="78" t="s">
        <v>27</v>
      </c>
      <c r="C4758" s="85">
        <v>45243.0</v>
      </c>
      <c r="D4758" s="85">
        <v>45251.0</v>
      </c>
      <c r="E4758" s="86">
        <v>1.49</v>
      </c>
      <c r="F4758" s="87">
        <v>2.38</v>
      </c>
      <c r="G4758" s="88">
        <f t="shared" si="1"/>
        <v>0.89</v>
      </c>
      <c r="H4758" s="89">
        <f t="shared" si="10"/>
        <v>0.3739495798</v>
      </c>
      <c r="I4758" s="78" t="s">
        <v>5563</v>
      </c>
      <c r="J4758" s="78" t="s">
        <v>69</v>
      </c>
      <c r="K4758" s="58">
        <f t="shared" si="14"/>
        <v>8</v>
      </c>
      <c r="L4758" s="91" t="str">
        <f t="shared" si="8"/>
        <v>Tue</v>
      </c>
      <c r="M4758" s="78" t="str">
        <f>IFERROR(VLOOKUP(A4758, Entries!A:B,2,false),"")</f>
        <v>Joey Drew Studios</v>
      </c>
      <c r="N4758" s="23" t="str">
        <f>IFERROR(VLOOKUP(A4758, Entries!A:K,11,false),"")</f>
        <v/>
      </c>
    </row>
    <row r="4759">
      <c r="A4759" s="78" t="s">
        <v>5564</v>
      </c>
      <c r="B4759" s="78" t="s">
        <v>27</v>
      </c>
      <c r="C4759" s="85">
        <v>45243.0</v>
      </c>
      <c r="D4759" s="85">
        <v>45250.0</v>
      </c>
      <c r="E4759" s="86">
        <v>17.79</v>
      </c>
      <c r="F4759" s="87">
        <v>25.04</v>
      </c>
      <c r="G4759" s="88">
        <f t="shared" si="1"/>
        <v>7.25</v>
      </c>
      <c r="H4759" s="89">
        <f t="shared" si="10"/>
        <v>0.2895367412</v>
      </c>
      <c r="I4759" s="78" t="s">
        <v>5565</v>
      </c>
      <c r="J4759" s="78" t="s">
        <v>69</v>
      </c>
      <c r="K4759" s="58">
        <f t="shared" si="14"/>
        <v>7</v>
      </c>
      <c r="L4759" s="91" t="str">
        <f t="shared" si="8"/>
        <v>Mon</v>
      </c>
      <c r="M4759" s="78" t="str">
        <f>IFERROR(VLOOKUP(A4759, Entries!A:B,2,false),"")</f>
        <v/>
      </c>
      <c r="N4759" s="23" t="str">
        <f>IFERROR(VLOOKUP(A4759, Entries!A:K,11,false),"")</f>
        <v/>
      </c>
    </row>
    <row r="4760">
      <c r="A4760" s="78" t="s">
        <v>4188</v>
      </c>
      <c r="B4760" s="78" t="s">
        <v>27</v>
      </c>
      <c r="C4760" s="85">
        <v>45243.0</v>
      </c>
      <c r="D4760" s="85">
        <v>45243.0</v>
      </c>
      <c r="E4760" s="86">
        <v>25.24</v>
      </c>
      <c r="F4760" s="87">
        <v>27.73</v>
      </c>
      <c r="G4760" s="88">
        <f t="shared" si="1"/>
        <v>2.49</v>
      </c>
      <c r="H4760" s="89">
        <f t="shared" si="10"/>
        <v>0.08979444645</v>
      </c>
      <c r="I4760" s="78" t="s">
        <v>5566</v>
      </c>
      <c r="J4760" s="78" t="s">
        <v>69</v>
      </c>
      <c r="K4760" s="58">
        <f t="shared" si="14"/>
        <v>0</v>
      </c>
      <c r="L4760" s="91" t="str">
        <f t="shared" si="8"/>
        <v>Mon</v>
      </c>
      <c r="M4760" s="78" t="str">
        <f>IFERROR(VLOOKUP(A4760, Entries!A:B,2,false),"")</f>
        <v>PlayStation</v>
      </c>
      <c r="N4760" s="23" t="str">
        <f>IFERROR(VLOOKUP(A4760, Entries!A:K,11,false),"")</f>
        <v/>
      </c>
    </row>
    <row r="4761">
      <c r="A4761" s="78" t="s">
        <v>4188</v>
      </c>
      <c r="B4761" s="78" t="s">
        <v>27</v>
      </c>
      <c r="C4761" s="85">
        <v>45243.0</v>
      </c>
      <c r="D4761" s="85">
        <v>45246.0</v>
      </c>
      <c r="E4761" s="86">
        <v>24.99</v>
      </c>
      <c r="F4761" s="87">
        <v>28.04</v>
      </c>
      <c r="G4761" s="88">
        <f t="shared" si="1"/>
        <v>3.05</v>
      </c>
      <c r="H4761" s="89">
        <f t="shared" si="10"/>
        <v>0.1087731812</v>
      </c>
      <c r="I4761" s="78" t="s">
        <v>5567</v>
      </c>
      <c r="J4761" s="78" t="s">
        <v>69</v>
      </c>
      <c r="K4761" s="58">
        <f t="shared" si="14"/>
        <v>3</v>
      </c>
      <c r="L4761" s="91" t="str">
        <f t="shared" si="8"/>
        <v>Thu</v>
      </c>
      <c r="M4761" s="78" t="str">
        <f>IFERROR(VLOOKUP(A4761, Entries!A:B,2,false),"")</f>
        <v>PlayStation</v>
      </c>
      <c r="N4761" s="23" t="str">
        <f>IFERROR(VLOOKUP(A4761, Entries!A:K,11,false),"")</f>
        <v/>
      </c>
    </row>
    <row r="4762">
      <c r="A4762" s="78" t="s">
        <v>5156</v>
      </c>
      <c r="B4762" s="78" t="s">
        <v>21</v>
      </c>
      <c r="C4762" s="85">
        <v>45243.0</v>
      </c>
      <c r="D4762" s="85">
        <v>45388.0</v>
      </c>
      <c r="E4762" s="86">
        <v>22.28</v>
      </c>
      <c r="F4762" s="87">
        <v>30.2</v>
      </c>
      <c r="G4762" s="88">
        <f t="shared" si="1"/>
        <v>7.92</v>
      </c>
      <c r="H4762" s="89">
        <f t="shared" si="10"/>
        <v>0.2622516556</v>
      </c>
      <c r="I4762" s="78" t="s">
        <v>5568</v>
      </c>
      <c r="J4762" s="78" t="s">
        <v>69</v>
      </c>
      <c r="K4762" s="58">
        <f t="shared" si="14"/>
        <v>145</v>
      </c>
      <c r="L4762" s="91" t="str">
        <f t="shared" si="8"/>
        <v>Sat</v>
      </c>
      <c r="M4762" s="78" t="str">
        <f>IFERROR(VLOOKUP(A4762, Entries!A:B,2,false),"")</f>
        <v>SEGA</v>
      </c>
      <c r="N4762" s="23" t="str">
        <f>IFERROR(VLOOKUP(A4762, Entries!A:K,11,false),"")</f>
        <v/>
      </c>
    </row>
    <row r="4763">
      <c r="A4763" s="78" t="s">
        <v>5156</v>
      </c>
      <c r="B4763" s="78" t="s">
        <v>21</v>
      </c>
      <c r="C4763" s="85">
        <v>45243.0</v>
      </c>
      <c r="D4763" s="85">
        <v>45387.0</v>
      </c>
      <c r="E4763" s="86">
        <v>22.28</v>
      </c>
      <c r="F4763" s="87">
        <v>28.96</v>
      </c>
      <c r="G4763" s="88">
        <f t="shared" si="1"/>
        <v>6.68</v>
      </c>
      <c r="H4763" s="89">
        <f t="shared" si="10"/>
        <v>0.2306629834</v>
      </c>
      <c r="I4763" s="78" t="s">
        <v>5569</v>
      </c>
      <c r="J4763" s="78" t="s">
        <v>69</v>
      </c>
      <c r="K4763" s="58">
        <f t="shared" si="14"/>
        <v>144</v>
      </c>
      <c r="L4763" s="91" t="str">
        <f t="shared" si="8"/>
        <v>Fri</v>
      </c>
      <c r="M4763" s="78" t="str">
        <f>IFERROR(VLOOKUP(A4763, Entries!A:B,2,false),"")</f>
        <v>SEGA</v>
      </c>
      <c r="N4763" s="23" t="str">
        <f>IFERROR(VLOOKUP(A4763, Entries!A:K,11,false),"")</f>
        <v/>
      </c>
    </row>
    <row r="4764">
      <c r="A4764" s="78" t="s">
        <v>3897</v>
      </c>
      <c r="B4764" s="78" t="s">
        <v>27</v>
      </c>
      <c r="C4764" s="85">
        <v>45243.0</v>
      </c>
      <c r="D4764" s="85">
        <v>45244.0</v>
      </c>
      <c r="E4764" s="86">
        <v>4.59</v>
      </c>
      <c r="F4764" s="87">
        <v>5.08</v>
      </c>
      <c r="G4764" s="88">
        <f t="shared" si="1"/>
        <v>0.49</v>
      </c>
      <c r="H4764" s="89">
        <f t="shared" si="10"/>
        <v>0.09645669291</v>
      </c>
      <c r="I4764" s="78" t="s">
        <v>5570</v>
      </c>
      <c r="J4764" s="78" t="s">
        <v>69</v>
      </c>
      <c r="K4764" s="58">
        <f t="shared" si="14"/>
        <v>1</v>
      </c>
      <c r="L4764" s="91" t="str">
        <f t="shared" si="8"/>
        <v>Tue</v>
      </c>
      <c r="M4764" s="78" t="str">
        <f>IFERROR(VLOOKUP(A4764, Entries!A:B,2,false),"")</f>
        <v>Bethesda Softworks</v>
      </c>
      <c r="N4764" s="23" t="str">
        <f>IFERROR(VLOOKUP(A4764, Entries!A:K,11,false),"")</f>
        <v/>
      </c>
    </row>
    <row r="4765">
      <c r="A4765" s="78" t="s">
        <v>5408</v>
      </c>
      <c r="B4765" s="78" t="s">
        <v>27</v>
      </c>
      <c r="C4765" s="85">
        <v>45243.0</v>
      </c>
      <c r="D4765" s="85">
        <v>45250.0</v>
      </c>
      <c r="E4765" s="86">
        <v>1.69</v>
      </c>
      <c r="F4765" s="87">
        <v>1.58</v>
      </c>
      <c r="G4765" s="88">
        <f t="shared" si="1"/>
        <v>-0.11</v>
      </c>
      <c r="H4765" s="89">
        <f t="shared" si="10"/>
        <v>-0.06962025316</v>
      </c>
      <c r="I4765" s="78" t="s">
        <v>5571</v>
      </c>
      <c r="J4765" s="78" t="s">
        <v>69</v>
      </c>
      <c r="K4765" s="58">
        <f t="shared" si="14"/>
        <v>7</v>
      </c>
      <c r="L4765" s="91" t="str">
        <f t="shared" si="8"/>
        <v>Mon</v>
      </c>
      <c r="M4765" s="78" t="str">
        <f>IFERROR(VLOOKUP(A4765, Entries!A:B,2,false),"")</f>
        <v>Joey Drew Studios</v>
      </c>
      <c r="N4765" s="23" t="str">
        <f>IFERROR(VLOOKUP(A4765, Entries!A:K,11,false),"")</f>
        <v/>
      </c>
    </row>
    <row r="4766">
      <c r="A4766" s="78" t="s">
        <v>5408</v>
      </c>
      <c r="B4766" s="78" t="s">
        <v>27</v>
      </c>
      <c r="C4766" s="85">
        <v>45243.0</v>
      </c>
      <c r="D4766" s="85">
        <v>45250.0</v>
      </c>
      <c r="E4766" s="86">
        <v>1.69</v>
      </c>
      <c r="F4766" s="87">
        <v>1.58</v>
      </c>
      <c r="G4766" s="88">
        <f t="shared" si="1"/>
        <v>-0.11</v>
      </c>
      <c r="H4766" s="89">
        <f t="shared" si="10"/>
        <v>-0.06962025316</v>
      </c>
      <c r="I4766" s="78" t="s">
        <v>5572</v>
      </c>
      <c r="J4766" s="78" t="s">
        <v>69</v>
      </c>
      <c r="K4766" s="58">
        <f t="shared" si="14"/>
        <v>7</v>
      </c>
      <c r="L4766" s="91" t="str">
        <f t="shared" si="8"/>
        <v>Mon</v>
      </c>
      <c r="M4766" s="78" t="str">
        <f>IFERROR(VLOOKUP(A4766, Entries!A:B,2,false),"")</f>
        <v>Joey Drew Studios</v>
      </c>
      <c r="N4766" s="23" t="str">
        <f>IFERROR(VLOOKUP(A4766, Entries!A:K,11,false),"")</f>
        <v/>
      </c>
    </row>
    <row r="4767">
      <c r="A4767" s="78" t="s">
        <v>5408</v>
      </c>
      <c r="B4767" s="78" t="s">
        <v>27</v>
      </c>
      <c r="C4767" s="85">
        <v>45243.0</v>
      </c>
      <c r="D4767" s="85">
        <v>45252.0</v>
      </c>
      <c r="E4767" s="86">
        <v>1.69</v>
      </c>
      <c r="F4767" s="87">
        <v>2.4</v>
      </c>
      <c r="G4767" s="88">
        <f t="shared" si="1"/>
        <v>0.71</v>
      </c>
      <c r="H4767" s="89">
        <f t="shared" si="10"/>
        <v>0.2958333333</v>
      </c>
      <c r="I4767" s="78" t="s">
        <v>5573</v>
      </c>
      <c r="J4767" s="78" t="s">
        <v>69</v>
      </c>
      <c r="K4767" s="58">
        <f t="shared" si="14"/>
        <v>9</v>
      </c>
      <c r="L4767" s="91" t="str">
        <f t="shared" si="8"/>
        <v>Wed</v>
      </c>
      <c r="M4767" s="78" t="str">
        <f>IFERROR(VLOOKUP(A4767, Entries!A:B,2,false),"")</f>
        <v>Joey Drew Studios</v>
      </c>
      <c r="N4767" s="23" t="str">
        <f>IFERROR(VLOOKUP(A4767, Entries!A:K,11,false),"")</f>
        <v/>
      </c>
    </row>
    <row r="4768">
      <c r="A4768" s="78" t="s">
        <v>4983</v>
      </c>
      <c r="B4768" s="78" t="s">
        <v>27</v>
      </c>
      <c r="C4768" s="85">
        <v>45243.0</v>
      </c>
      <c r="D4768" s="85">
        <v>45245.0</v>
      </c>
      <c r="E4768" s="86">
        <v>25.29</v>
      </c>
      <c r="F4768" s="87">
        <v>31.79</v>
      </c>
      <c r="G4768" s="88">
        <f t="shared" si="1"/>
        <v>6.5</v>
      </c>
      <c r="H4768" s="89">
        <f t="shared" si="10"/>
        <v>0.2044668135</v>
      </c>
      <c r="I4768" s="78" t="s">
        <v>5574</v>
      </c>
      <c r="J4768" s="78" t="s">
        <v>69</v>
      </c>
      <c r="K4768" s="58">
        <f t="shared" si="14"/>
        <v>2</v>
      </c>
      <c r="L4768" s="91" t="str">
        <f t="shared" si="8"/>
        <v>Wed</v>
      </c>
      <c r="M4768" s="78" t="str">
        <f>IFERROR(VLOOKUP(A4768, Entries!A:B,2,false),"")</f>
        <v>Frontier Foundry</v>
      </c>
      <c r="N4768" s="23" t="str">
        <f>IFERROR(VLOOKUP(A4768, Entries!A:K,11,false),"")</f>
        <v/>
      </c>
    </row>
    <row r="4769">
      <c r="A4769" s="78" t="s">
        <v>3897</v>
      </c>
      <c r="B4769" s="78" t="s">
        <v>27</v>
      </c>
      <c r="C4769" s="85">
        <v>45244.0</v>
      </c>
      <c r="D4769" s="85">
        <v>45245.0</v>
      </c>
      <c r="E4769" s="86">
        <v>3.45</v>
      </c>
      <c r="F4769" s="87">
        <v>5.06</v>
      </c>
      <c r="G4769" s="88">
        <f t="shared" si="1"/>
        <v>1.61</v>
      </c>
      <c r="H4769" s="89">
        <f t="shared" si="10"/>
        <v>0.3181818182</v>
      </c>
      <c r="I4769" s="78" t="s">
        <v>5575</v>
      </c>
      <c r="J4769" s="78" t="s">
        <v>69</v>
      </c>
      <c r="K4769" s="58">
        <f t="shared" si="14"/>
        <v>1</v>
      </c>
      <c r="L4769" s="91" t="str">
        <f t="shared" si="8"/>
        <v>Wed</v>
      </c>
      <c r="M4769" s="78" t="str">
        <f>IFERROR(VLOOKUP(A4769, Entries!A:B,2,false),"")</f>
        <v>Bethesda Softworks</v>
      </c>
      <c r="N4769" s="23" t="str">
        <f>IFERROR(VLOOKUP(A4769, Entries!A:K,11,false),"")</f>
        <v/>
      </c>
    </row>
    <row r="4770">
      <c r="A4770" s="78" t="s">
        <v>550</v>
      </c>
      <c r="B4770" s="78" t="s">
        <v>25</v>
      </c>
      <c r="C4770" s="85">
        <v>45244.0</v>
      </c>
      <c r="D4770" s="85">
        <v>45246.0</v>
      </c>
      <c r="E4770" s="86">
        <v>5.27</v>
      </c>
      <c r="F4770" s="87">
        <v>8.17</v>
      </c>
      <c r="G4770" s="88">
        <f t="shared" si="1"/>
        <v>2.9</v>
      </c>
      <c r="H4770" s="89">
        <f t="shared" si="10"/>
        <v>0.3549571603</v>
      </c>
      <c r="I4770" s="78" t="s">
        <v>5576</v>
      </c>
      <c r="J4770" s="78" t="s">
        <v>69</v>
      </c>
      <c r="K4770" s="58">
        <f t="shared" si="14"/>
        <v>2</v>
      </c>
      <c r="L4770" s="91" t="str">
        <f t="shared" si="8"/>
        <v>Thu</v>
      </c>
      <c r="M4770" s="78" t="str">
        <f>IFERROR(VLOOKUP(A4770, Entries!A:B,2,false),"")</f>
        <v>Codemasters</v>
      </c>
      <c r="N4770" s="23" t="str">
        <f>IFERROR(VLOOKUP(A4770, Entries!A:K,11,false),"")</f>
        <v/>
      </c>
    </row>
    <row r="4771">
      <c r="A4771" s="78" t="s">
        <v>4282</v>
      </c>
      <c r="B4771" s="78" t="s">
        <v>27</v>
      </c>
      <c r="C4771" s="85">
        <v>45244.0</v>
      </c>
      <c r="D4771" s="85">
        <v>45250.0</v>
      </c>
      <c r="E4771" s="86">
        <v>22.23</v>
      </c>
      <c r="F4771" s="87">
        <v>35.8</v>
      </c>
      <c r="G4771" s="88">
        <f t="shared" si="1"/>
        <v>13.57</v>
      </c>
      <c r="H4771" s="89">
        <f t="shared" si="10"/>
        <v>0.3790502793</v>
      </c>
      <c r="I4771" s="78" t="s">
        <v>5577</v>
      </c>
      <c r="J4771" s="78" t="s">
        <v>69</v>
      </c>
      <c r="K4771" s="58">
        <f t="shared" si="14"/>
        <v>6</v>
      </c>
      <c r="L4771" s="91" t="str">
        <f t="shared" si="8"/>
        <v>Mon</v>
      </c>
      <c r="M4771" s="78" t="str">
        <f>IFERROR(VLOOKUP(A4771, Entries!A:B,2,false),"")</f>
        <v>PlayStation</v>
      </c>
      <c r="N4771" s="23" t="str">
        <f>IFERROR(VLOOKUP(A4771, Entries!A:K,11,false),"")</f>
        <v/>
      </c>
    </row>
    <row r="4772">
      <c r="A4772" s="78" t="s">
        <v>5578</v>
      </c>
      <c r="B4772" s="78" t="s">
        <v>21</v>
      </c>
      <c r="C4772" s="85">
        <v>45244.0</v>
      </c>
      <c r="D4772" s="85">
        <v>45245.0</v>
      </c>
      <c r="E4772" s="86">
        <v>26.05</v>
      </c>
      <c r="F4772" s="87">
        <v>26.01</v>
      </c>
      <c r="G4772" s="88">
        <f t="shared" si="1"/>
        <v>-0.04</v>
      </c>
      <c r="H4772" s="89">
        <f t="shared" si="10"/>
        <v>-0.00153787005</v>
      </c>
      <c r="I4772" s="78" t="s">
        <v>5579</v>
      </c>
      <c r="J4772" s="78" t="s">
        <v>69</v>
      </c>
      <c r="K4772" s="58">
        <f t="shared" si="14"/>
        <v>1</v>
      </c>
      <c r="L4772" s="91" t="str">
        <f t="shared" si="8"/>
        <v>Wed</v>
      </c>
      <c r="M4772" s="78" t="str">
        <f>IFERROR(VLOOKUP(A4772, Entries!A:B,2,false),"")</f>
        <v>Kalypso Media</v>
      </c>
      <c r="N4772" s="23" t="str">
        <f>IFERROR(VLOOKUP(A4772, Entries!A:K,11,false),"")</f>
        <v/>
      </c>
    </row>
    <row r="4773">
      <c r="A4773" s="78" t="s">
        <v>5578</v>
      </c>
      <c r="B4773" s="78" t="s">
        <v>21</v>
      </c>
      <c r="C4773" s="85">
        <v>45244.0</v>
      </c>
      <c r="D4773" s="85"/>
      <c r="E4773" s="86">
        <v>26.05</v>
      </c>
      <c r="F4773" s="87"/>
      <c r="G4773" s="88">
        <f t="shared" si="1"/>
        <v>-26.05</v>
      </c>
      <c r="H4773" s="89" t="str">
        <f t="shared" si="10"/>
        <v/>
      </c>
      <c r="I4773" s="78" t="s">
        <v>5580</v>
      </c>
      <c r="J4773" s="78" t="s">
        <v>1129</v>
      </c>
      <c r="K4773" s="58" t="str">
        <f t="shared" si="14"/>
        <v/>
      </c>
      <c r="L4773" s="91" t="str">
        <f t="shared" si="8"/>
        <v/>
      </c>
      <c r="M4773" s="78" t="str">
        <f>IFERROR(VLOOKUP(A4773, Entries!A:B,2,false),"")</f>
        <v>Kalypso Media</v>
      </c>
      <c r="N4773" s="23" t="str">
        <f>IFERROR(VLOOKUP(A4773, Entries!A:K,11,false),"")</f>
        <v/>
      </c>
    </row>
    <row r="4774">
      <c r="A4774" s="78" t="s">
        <v>1849</v>
      </c>
      <c r="B4774" s="78" t="s">
        <v>19</v>
      </c>
      <c r="C4774" s="85">
        <v>45244.0</v>
      </c>
      <c r="D4774" s="85">
        <v>45247.0</v>
      </c>
      <c r="E4774" s="86">
        <v>3.89</v>
      </c>
      <c r="F4774" s="87">
        <v>5.82</v>
      </c>
      <c r="G4774" s="88">
        <f t="shared" si="1"/>
        <v>1.93</v>
      </c>
      <c r="H4774" s="89">
        <f t="shared" si="10"/>
        <v>0.3316151203</v>
      </c>
      <c r="I4774" s="78" t="s">
        <v>5581</v>
      </c>
      <c r="J4774" s="78" t="s">
        <v>69</v>
      </c>
      <c r="K4774" s="58">
        <f t="shared" si="14"/>
        <v>3</v>
      </c>
      <c r="L4774" s="91" t="str">
        <f t="shared" si="8"/>
        <v>Fri</v>
      </c>
      <c r="M4774" s="78" t="str">
        <f>IFERROR(VLOOKUP(A4774, Entries!A:B,2,false),"")</f>
        <v>Marmalade Game Studio</v>
      </c>
      <c r="N4774" s="23" t="str">
        <f>IFERROR(VLOOKUP(A4774, Entries!A:K,11,false),"")</f>
        <v/>
      </c>
    </row>
    <row r="4775">
      <c r="A4775" s="78" t="s">
        <v>1849</v>
      </c>
      <c r="B4775" s="78" t="s">
        <v>19</v>
      </c>
      <c r="C4775" s="85">
        <v>45244.0</v>
      </c>
      <c r="D4775" s="85">
        <v>45247.0</v>
      </c>
      <c r="E4775" s="86">
        <v>3.89</v>
      </c>
      <c r="F4775" s="87">
        <v>5.82</v>
      </c>
      <c r="G4775" s="88">
        <f t="shared" si="1"/>
        <v>1.93</v>
      </c>
      <c r="H4775" s="89">
        <f t="shared" si="10"/>
        <v>0.3316151203</v>
      </c>
      <c r="I4775" s="78" t="s">
        <v>5582</v>
      </c>
      <c r="J4775" s="78" t="s">
        <v>69</v>
      </c>
      <c r="K4775" s="58">
        <f t="shared" si="14"/>
        <v>3</v>
      </c>
      <c r="L4775" s="91" t="str">
        <f t="shared" si="8"/>
        <v>Fri</v>
      </c>
      <c r="M4775" s="78" t="str">
        <f>IFERROR(VLOOKUP(A4775, Entries!A:B,2,false),"")</f>
        <v>Marmalade Game Studio</v>
      </c>
      <c r="N4775" s="23" t="str">
        <f>IFERROR(VLOOKUP(A4775, Entries!A:K,11,false),"")</f>
        <v/>
      </c>
    </row>
    <row r="4776">
      <c r="A4776" s="78" t="s">
        <v>5583</v>
      </c>
      <c r="B4776" s="78" t="s">
        <v>21</v>
      </c>
      <c r="C4776" s="85">
        <v>45245.0</v>
      </c>
      <c r="D4776" s="85">
        <v>45246.0</v>
      </c>
      <c r="E4776" s="86">
        <v>12.4</v>
      </c>
      <c r="F4776" s="87">
        <v>14.9</v>
      </c>
      <c r="G4776" s="88">
        <f t="shared" si="1"/>
        <v>2.5</v>
      </c>
      <c r="H4776" s="89">
        <f t="shared" si="10"/>
        <v>0.1677852349</v>
      </c>
      <c r="I4776" s="78" t="s">
        <v>5584</v>
      </c>
      <c r="J4776" s="78" t="s">
        <v>69</v>
      </c>
      <c r="K4776" s="58">
        <f t="shared" si="14"/>
        <v>1</v>
      </c>
      <c r="L4776" s="91" t="str">
        <f t="shared" si="8"/>
        <v>Thu</v>
      </c>
      <c r="M4776" s="78" t="str">
        <f>IFERROR(VLOOKUP(A4776, Entries!A:B,2,false),"")</f>
        <v/>
      </c>
      <c r="N4776" s="23" t="str">
        <f>IFERROR(VLOOKUP(A4776, Entries!A:K,11,false),"")</f>
        <v/>
      </c>
    </row>
    <row r="4777">
      <c r="A4777" s="78" t="s">
        <v>5583</v>
      </c>
      <c r="B4777" s="78" t="s">
        <v>21</v>
      </c>
      <c r="C4777" s="85">
        <v>45245.0</v>
      </c>
      <c r="D4777" s="85">
        <v>45246.0</v>
      </c>
      <c r="E4777" s="86">
        <v>12.41</v>
      </c>
      <c r="F4777" s="87">
        <v>14.9</v>
      </c>
      <c r="G4777" s="88">
        <f t="shared" si="1"/>
        <v>2.49</v>
      </c>
      <c r="H4777" s="89">
        <f t="shared" si="10"/>
        <v>0.167114094</v>
      </c>
      <c r="I4777" s="78" t="s">
        <v>5585</v>
      </c>
      <c r="J4777" s="78" t="s">
        <v>69</v>
      </c>
      <c r="K4777" s="58">
        <f t="shared" si="14"/>
        <v>1</v>
      </c>
      <c r="L4777" s="91" t="str">
        <f t="shared" si="8"/>
        <v>Thu</v>
      </c>
      <c r="M4777" s="78" t="str">
        <f>IFERROR(VLOOKUP(A4777, Entries!A:B,2,false),"")</f>
        <v/>
      </c>
      <c r="N4777" s="23" t="str">
        <f>IFERROR(VLOOKUP(A4777, Entries!A:K,11,false),"")</f>
        <v/>
      </c>
    </row>
    <row r="4778">
      <c r="A4778" s="78" t="s">
        <v>4983</v>
      </c>
      <c r="B4778" s="78" t="s">
        <v>27</v>
      </c>
      <c r="C4778" s="85">
        <v>45245.0</v>
      </c>
      <c r="D4778" s="85">
        <v>45246.0</v>
      </c>
      <c r="E4778" s="86">
        <v>24.9</v>
      </c>
      <c r="F4778" s="87">
        <v>31.79</v>
      </c>
      <c r="G4778" s="88">
        <f t="shared" si="1"/>
        <v>6.89</v>
      </c>
      <c r="H4778" s="89">
        <f t="shared" si="10"/>
        <v>0.2167348223</v>
      </c>
      <c r="I4778" s="78" t="s">
        <v>5586</v>
      </c>
      <c r="J4778" s="78" t="s">
        <v>69</v>
      </c>
      <c r="K4778" s="58">
        <f t="shared" si="14"/>
        <v>1</v>
      </c>
      <c r="L4778" s="91" t="str">
        <f t="shared" si="8"/>
        <v>Thu</v>
      </c>
      <c r="M4778" s="78" t="str">
        <f>IFERROR(VLOOKUP(A4778, Entries!A:B,2,false),"")</f>
        <v>Frontier Foundry</v>
      </c>
      <c r="N4778" s="23" t="str">
        <f>IFERROR(VLOOKUP(A4778, Entries!A:K,11,false),"")</f>
        <v/>
      </c>
    </row>
    <row r="4779">
      <c r="A4779" s="78" t="s">
        <v>5408</v>
      </c>
      <c r="B4779" s="78" t="s">
        <v>29</v>
      </c>
      <c r="C4779" s="85">
        <v>45245.0</v>
      </c>
      <c r="D4779" s="85">
        <v>45252.0</v>
      </c>
      <c r="E4779" s="86">
        <v>2.36</v>
      </c>
      <c r="F4779" s="87">
        <v>2.4</v>
      </c>
      <c r="G4779" s="88">
        <f t="shared" si="1"/>
        <v>0.04</v>
      </c>
      <c r="H4779" s="89">
        <f t="shared" si="10"/>
        <v>0.01666666667</v>
      </c>
      <c r="I4779" s="78" t="s">
        <v>5587</v>
      </c>
      <c r="J4779" s="78" t="s">
        <v>69</v>
      </c>
      <c r="K4779" s="58">
        <f t="shared" si="14"/>
        <v>7</v>
      </c>
      <c r="L4779" s="91" t="str">
        <f t="shared" si="8"/>
        <v>Wed</v>
      </c>
      <c r="M4779" s="78" t="str">
        <f>IFERROR(VLOOKUP(A4779, Entries!A:B,2,false),"")</f>
        <v>Joey Drew Studios</v>
      </c>
      <c r="N4779" s="23" t="str">
        <f>IFERROR(VLOOKUP(A4779, Entries!A:K,11,false),"")</f>
        <v/>
      </c>
    </row>
    <row r="4780">
      <c r="A4780" s="78" t="s">
        <v>5408</v>
      </c>
      <c r="B4780" s="78" t="s">
        <v>29</v>
      </c>
      <c r="C4780" s="85">
        <v>45245.0</v>
      </c>
      <c r="D4780" s="85">
        <v>45252.0</v>
      </c>
      <c r="E4780" s="86">
        <v>2.36</v>
      </c>
      <c r="F4780" s="87">
        <v>2.4</v>
      </c>
      <c r="G4780" s="88">
        <f t="shared" si="1"/>
        <v>0.04</v>
      </c>
      <c r="H4780" s="89">
        <f t="shared" si="10"/>
        <v>0.01666666667</v>
      </c>
      <c r="I4780" s="78" t="s">
        <v>5588</v>
      </c>
      <c r="J4780" s="78" t="s">
        <v>69</v>
      </c>
      <c r="K4780" s="58">
        <f t="shared" si="14"/>
        <v>7</v>
      </c>
      <c r="L4780" s="91" t="str">
        <f t="shared" si="8"/>
        <v>Wed</v>
      </c>
      <c r="M4780" s="78" t="str">
        <f>IFERROR(VLOOKUP(A4780, Entries!A:B,2,false),"")</f>
        <v>Joey Drew Studios</v>
      </c>
      <c r="N4780" s="23" t="str">
        <f>IFERROR(VLOOKUP(A4780, Entries!A:K,11,false),"")</f>
        <v/>
      </c>
    </row>
    <row r="4781">
      <c r="A4781" s="78" t="s">
        <v>5408</v>
      </c>
      <c r="B4781" s="78" t="s">
        <v>29</v>
      </c>
      <c r="C4781" s="85">
        <v>45245.0</v>
      </c>
      <c r="D4781" s="85">
        <v>45252.0</v>
      </c>
      <c r="E4781" s="86">
        <v>2.36</v>
      </c>
      <c r="F4781" s="87">
        <v>2.4</v>
      </c>
      <c r="G4781" s="88">
        <f t="shared" si="1"/>
        <v>0.04</v>
      </c>
      <c r="H4781" s="89">
        <f t="shared" si="10"/>
        <v>0.01666666667</v>
      </c>
      <c r="I4781" s="78" t="s">
        <v>5589</v>
      </c>
      <c r="J4781" s="78" t="s">
        <v>69</v>
      </c>
      <c r="K4781" s="58">
        <f t="shared" si="14"/>
        <v>7</v>
      </c>
      <c r="L4781" s="91" t="str">
        <f t="shared" si="8"/>
        <v>Wed</v>
      </c>
      <c r="M4781" s="78" t="str">
        <f>IFERROR(VLOOKUP(A4781, Entries!A:B,2,false),"")</f>
        <v>Joey Drew Studios</v>
      </c>
      <c r="N4781" s="23" t="str">
        <f>IFERROR(VLOOKUP(A4781, Entries!A:K,11,false),"")</f>
        <v/>
      </c>
    </row>
    <row r="4782">
      <c r="A4782" s="78" t="s">
        <v>5408</v>
      </c>
      <c r="B4782" s="78" t="s">
        <v>29</v>
      </c>
      <c r="C4782" s="85">
        <v>45245.0</v>
      </c>
      <c r="D4782" s="85">
        <v>45252.0</v>
      </c>
      <c r="E4782" s="86">
        <v>2.36</v>
      </c>
      <c r="F4782" s="87">
        <v>2.4</v>
      </c>
      <c r="G4782" s="88">
        <f t="shared" si="1"/>
        <v>0.04</v>
      </c>
      <c r="H4782" s="89">
        <f t="shared" si="10"/>
        <v>0.01666666667</v>
      </c>
      <c r="I4782" s="78" t="s">
        <v>5590</v>
      </c>
      <c r="J4782" s="78" t="s">
        <v>69</v>
      </c>
      <c r="K4782" s="58">
        <f t="shared" si="14"/>
        <v>7</v>
      </c>
      <c r="L4782" s="91" t="str">
        <f t="shared" si="8"/>
        <v>Wed</v>
      </c>
      <c r="M4782" s="78" t="str">
        <f>IFERROR(VLOOKUP(A4782, Entries!A:B,2,false),"")</f>
        <v>Joey Drew Studios</v>
      </c>
      <c r="N4782" s="23" t="str">
        <f>IFERROR(VLOOKUP(A4782, Entries!A:K,11,false),"")</f>
        <v/>
      </c>
    </row>
    <row r="4783">
      <c r="A4783" s="78" t="s">
        <v>5408</v>
      </c>
      <c r="B4783" s="78" t="s">
        <v>29</v>
      </c>
      <c r="C4783" s="85">
        <v>45245.0</v>
      </c>
      <c r="D4783" s="85">
        <v>45252.0</v>
      </c>
      <c r="E4783" s="86">
        <v>2.36</v>
      </c>
      <c r="F4783" s="87">
        <v>2.4</v>
      </c>
      <c r="G4783" s="88">
        <f t="shared" si="1"/>
        <v>0.04</v>
      </c>
      <c r="H4783" s="89">
        <f t="shared" si="10"/>
        <v>0.01666666667</v>
      </c>
      <c r="I4783" s="78" t="s">
        <v>5591</v>
      </c>
      <c r="J4783" s="78" t="s">
        <v>69</v>
      </c>
      <c r="K4783" s="58">
        <f t="shared" si="14"/>
        <v>7</v>
      </c>
      <c r="L4783" s="91" t="str">
        <f t="shared" si="8"/>
        <v>Wed</v>
      </c>
      <c r="M4783" s="78" t="str">
        <f>IFERROR(VLOOKUP(A4783, Entries!A:B,2,false),"")</f>
        <v>Joey Drew Studios</v>
      </c>
      <c r="N4783" s="23" t="str">
        <f>IFERROR(VLOOKUP(A4783, Entries!A:K,11,false),"")</f>
        <v/>
      </c>
    </row>
    <row r="4784">
      <c r="A4784" s="78" t="s">
        <v>5408</v>
      </c>
      <c r="B4784" s="78" t="s">
        <v>29</v>
      </c>
      <c r="C4784" s="85">
        <v>45245.0</v>
      </c>
      <c r="D4784" s="85">
        <v>45252.0</v>
      </c>
      <c r="E4784" s="86">
        <v>2.36</v>
      </c>
      <c r="F4784" s="87">
        <v>2.4</v>
      </c>
      <c r="G4784" s="88">
        <f t="shared" si="1"/>
        <v>0.04</v>
      </c>
      <c r="H4784" s="89">
        <f t="shared" si="10"/>
        <v>0.01666666667</v>
      </c>
      <c r="I4784" s="78" t="s">
        <v>5592</v>
      </c>
      <c r="J4784" s="78" t="s">
        <v>69</v>
      </c>
      <c r="K4784" s="58">
        <f t="shared" si="14"/>
        <v>7</v>
      </c>
      <c r="L4784" s="91" t="str">
        <f t="shared" si="8"/>
        <v>Wed</v>
      </c>
      <c r="M4784" s="78" t="str">
        <f>IFERROR(VLOOKUP(A4784, Entries!A:B,2,false),"")</f>
        <v>Joey Drew Studios</v>
      </c>
      <c r="N4784" s="23" t="str">
        <f>IFERROR(VLOOKUP(A4784, Entries!A:K,11,false),"")</f>
        <v/>
      </c>
    </row>
    <row r="4785">
      <c r="A4785" s="78" t="s">
        <v>5408</v>
      </c>
      <c r="B4785" s="78" t="s">
        <v>29</v>
      </c>
      <c r="C4785" s="85">
        <v>45245.0</v>
      </c>
      <c r="D4785" s="85">
        <v>45252.0</v>
      </c>
      <c r="E4785" s="86">
        <v>2.36</v>
      </c>
      <c r="F4785" s="87">
        <v>2.4</v>
      </c>
      <c r="G4785" s="88">
        <f t="shared" si="1"/>
        <v>0.04</v>
      </c>
      <c r="H4785" s="89">
        <f t="shared" si="10"/>
        <v>0.01666666667</v>
      </c>
      <c r="I4785" s="78" t="s">
        <v>5593</v>
      </c>
      <c r="J4785" s="78" t="s">
        <v>69</v>
      </c>
      <c r="K4785" s="58">
        <f t="shared" si="14"/>
        <v>7</v>
      </c>
      <c r="L4785" s="91" t="str">
        <f t="shared" si="8"/>
        <v>Wed</v>
      </c>
      <c r="M4785" s="78" t="str">
        <f>IFERROR(VLOOKUP(A4785, Entries!A:B,2,false),"")</f>
        <v>Joey Drew Studios</v>
      </c>
      <c r="N4785" s="23" t="str">
        <f>IFERROR(VLOOKUP(A4785, Entries!A:K,11,false),"")</f>
        <v/>
      </c>
    </row>
    <row r="4786">
      <c r="A4786" s="78" t="s">
        <v>5408</v>
      </c>
      <c r="B4786" s="78" t="s">
        <v>29</v>
      </c>
      <c r="C4786" s="85">
        <v>45245.0</v>
      </c>
      <c r="D4786" s="85">
        <v>45252.0</v>
      </c>
      <c r="E4786" s="86">
        <v>2.37</v>
      </c>
      <c r="F4786" s="87">
        <v>2.4</v>
      </c>
      <c r="G4786" s="88">
        <f t="shared" si="1"/>
        <v>0.03</v>
      </c>
      <c r="H4786" s="89">
        <f t="shared" si="10"/>
        <v>0.0125</v>
      </c>
      <c r="I4786" s="78" t="s">
        <v>5594</v>
      </c>
      <c r="J4786" s="78" t="s">
        <v>69</v>
      </c>
      <c r="K4786" s="58">
        <f t="shared" si="14"/>
        <v>7</v>
      </c>
      <c r="L4786" s="91" t="str">
        <f t="shared" si="8"/>
        <v>Wed</v>
      </c>
      <c r="M4786" s="78" t="str">
        <f>IFERROR(VLOOKUP(A4786, Entries!A:B,2,false),"")</f>
        <v>Joey Drew Studios</v>
      </c>
      <c r="N4786" s="23" t="str">
        <f>IFERROR(VLOOKUP(A4786, Entries!A:K,11,false),"")</f>
        <v/>
      </c>
    </row>
    <row r="4787">
      <c r="A4787" s="78" t="s">
        <v>5408</v>
      </c>
      <c r="B4787" s="78" t="s">
        <v>29</v>
      </c>
      <c r="C4787" s="85">
        <v>45245.0</v>
      </c>
      <c r="D4787" s="85">
        <v>45252.0</v>
      </c>
      <c r="E4787" s="86">
        <v>2.37</v>
      </c>
      <c r="F4787" s="87">
        <v>2.4</v>
      </c>
      <c r="G4787" s="88">
        <f t="shared" si="1"/>
        <v>0.03</v>
      </c>
      <c r="H4787" s="89">
        <f t="shared" si="10"/>
        <v>0.0125</v>
      </c>
      <c r="I4787" s="78" t="s">
        <v>5595</v>
      </c>
      <c r="J4787" s="78" t="s">
        <v>69</v>
      </c>
      <c r="K4787" s="58">
        <f t="shared" si="14"/>
        <v>7</v>
      </c>
      <c r="L4787" s="91" t="str">
        <f t="shared" si="8"/>
        <v>Wed</v>
      </c>
      <c r="M4787" s="78" t="str">
        <f>IFERROR(VLOOKUP(A4787, Entries!A:B,2,false),"")</f>
        <v>Joey Drew Studios</v>
      </c>
      <c r="N4787" s="23" t="str">
        <f>IFERROR(VLOOKUP(A4787, Entries!A:K,11,false),"")</f>
        <v/>
      </c>
    </row>
    <row r="4788">
      <c r="A4788" s="78" t="s">
        <v>5408</v>
      </c>
      <c r="B4788" s="78" t="s">
        <v>29</v>
      </c>
      <c r="C4788" s="85">
        <v>45245.0</v>
      </c>
      <c r="D4788" s="85">
        <v>45262.0</v>
      </c>
      <c r="E4788" s="86">
        <v>2.37</v>
      </c>
      <c r="F4788" s="87">
        <v>3.44</v>
      </c>
      <c r="G4788" s="88">
        <f t="shared" si="1"/>
        <v>1.07</v>
      </c>
      <c r="H4788" s="89">
        <f t="shared" si="10"/>
        <v>0.3110465116</v>
      </c>
      <c r="I4788" s="78" t="s">
        <v>5596</v>
      </c>
      <c r="J4788" s="78" t="s">
        <v>69</v>
      </c>
      <c r="K4788" s="58">
        <f t="shared" si="14"/>
        <v>17</v>
      </c>
      <c r="L4788" s="91" t="str">
        <f t="shared" si="8"/>
        <v>Sat</v>
      </c>
      <c r="M4788" s="78" t="str">
        <f>IFERROR(VLOOKUP(A4788, Entries!A:B,2,false),"")</f>
        <v>Joey Drew Studios</v>
      </c>
      <c r="N4788" s="23" t="str">
        <f>IFERROR(VLOOKUP(A4788, Entries!A:K,11,false),"")</f>
        <v/>
      </c>
    </row>
    <row r="4789">
      <c r="A4789" s="78" t="s">
        <v>3897</v>
      </c>
      <c r="B4789" s="78" t="s">
        <v>27</v>
      </c>
      <c r="C4789" s="85">
        <v>45245.0</v>
      </c>
      <c r="D4789" s="85">
        <v>45254.0</v>
      </c>
      <c r="E4789" s="86">
        <v>4.59</v>
      </c>
      <c r="F4789" s="87">
        <v>5.09</v>
      </c>
      <c r="G4789" s="88">
        <f t="shared" si="1"/>
        <v>0.5</v>
      </c>
      <c r="H4789" s="89">
        <f t="shared" si="10"/>
        <v>0.09823182711</v>
      </c>
      <c r="I4789" s="78" t="s">
        <v>5597</v>
      </c>
      <c r="J4789" s="78" t="s">
        <v>69</v>
      </c>
      <c r="K4789" s="58">
        <f t="shared" si="14"/>
        <v>9</v>
      </c>
      <c r="L4789" s="91" t="str">
        <f t="shared" si="8"/>
        <v>Fri</v>
      </c>
      <c r="M4789" s="78" t="str">
        <f>IFERROR(VLOOKUP(A4789, Entries!A:B,2,false),"")</f>
        <v>Bethesda Softworks</v>
      </c>
      <c r="N4789" s="23" t="str">
        <f>IFERROR(VLOOKUP(A4789, Entries!A:K,11,false),"")</f>
        <v/>
      </c>
    </row>
    <row r="4790">
      <c r="A4790" s="78" t="s">
        <v>3771</v>
      </c>
      <c r="B4790" s="78" t="s">
        <v>27</v>
      </c>
      <c r="C4790" s="85">
        <v>45245.0</v>
      </c>
      <c r="D4790" s="85">
        <v>45264.0</v>
      </c>
      <c r="E4790" s="86">
        <v>9.79</v>
      </c>
      <c r="F4790" s="87">
        <v>11.24</v>
      </c>
      <c r="G4790" s="88">
        <f t="shared" si="1"/>
        <v>1.45</v>
      </c>
      <c r="H4790" s="89">
        <f t="shared" si="10"/>
        <v>0.1290035587</v>
      </c>
      <c r="I4790" s="78" t="s">
        <v>5598</v>
      </c>
      <c r="J4790" s="78" t="s">
        <v>69</v>
      </c>
      <c r="K4790" s="58">
        <f t="shared" si="14"/>
        <v>19</v>
      </c>
      <c r="L4790" s="91" t="str">
        <f t="shared" si="8"/>
        <v>Mon</v>
      </c>
      <c r="M4790" s="78" t="str">
        <f>IFERROR(VLOOKUP(A4790, Entries!A:B,2,false),"")</f>
        <v>Good Shepherd Entertainment</v>
      </c>
      <c r="N4790" s="23" t="str">
        <f>IFERROR(VLOOKUP(A4790, Entries!A:K,11,false),"")</f>
        <v/>
      </c>
    </row>
    <row r="4791">
      <c r="A4791" s="78" t="s">
        <v>1307</v>
      </c>
      <c r="B4791" s="78" t="s">
        <v>19</v>
      </c>
      <c r="C4791" s="85">
        <v>45245.0</v>
      </c>
      <c r="D4791" s="85">
        <v>45248.0</v>
      </c>
      <c r="E4791" s="86">
        <v>6.55</v>
      </c>
      <c r="F4791" s="87">
        <v>8.12</v>
      </c>
      <c r="G4791" s="88">
        <f t="shared" si="1"/>
        <v>1.57</v>
      </c>
      <c r="H4791" s="89">
        <f t="shared" si="10"/>
        <v>0.1933497537</v>
      </c>
      <c r="I4791" s="78" t="s">
        <v>5599</v>
      </c>
      <c r="J4791" s="78" t="s">
        <v>69</v>
      </c>
      <c r="K4791" s="58">
        <f t="shared" si="14"/>
        <v>3</v>
      </c>
      <c r="L4791" s="91" t="str">
        <f t="shared" si="8"/>
        <v>Sat</v>
      </c>
      <c r="M4791" s="78" t="str">
        <f>IFERROR(VLOOKUP(A4791, Entries!A:B,2,false),"")</f>
        <v>SEGA</v>
      </c>
      <c r="N4791" s="23" t="str">
        <f>IFERROR(VLOOKUP(A4791, Entries!A:K,11,false),"")</f>
        <v/>
      </c>
    </row>
    <row r="4792">
      <c r="A4792" s="78" t="s">
        <v>5600</v>
      </c>
      <c r="B4792" s="78" t="s">
        <v>35</v>
      </c>
      <c r="C4792" s="85">
        <v>45246.0</v>
      </c>
      <c r="D4792" s="85">
        <v>45246.0</v>
      </c>
      <c r="E4792" s="86">
        <v>11.47</v>
      </c>
      <c r="F4792" s="87">
        <v>11.95</v>
      </c>
      <c r="G4792" s="88">
        <f t="shared" si="1"/>
        <v>0.48</v>
      </c>
      <c r="H4792" s="89">
        <f t="shared" si="10"/>
        <v>0.04016736402</v>
      </c>
      <c r="I4792" s="78" t="s">
        <v>5601</v>
      </c>
      <c r="J4792" s="78" t="s">
        <v>69</v>
      </c>
      <c r="K4792" s="58">
        <f t="shared" si="14"/>
        <v>0</v>
      </c>
      <c r="L4792" s="91" t="str">
        <f t="shared" si="8"/>
        <v>Thu</v>
      </c>
      <c r="M4792" s="78" t="str">
        <f>IFERROR(VLOOKUP(A4792, Entries!A:B,2,false),"")</f>
        <v/>
      </c>
      <c r="N4792" s="23" t="str">
        <f>IFERROR(VLOOKUP(A4792, Entries!A:K,11,false),"")</f>
        <v/>
      </c>
    </row>
    <row r="4793">
      <c r="A4793" s="78" t="s">
        <v>550</v>
      </c>
      <c r="B4793" s="78" t="s">
        <v>25</v>
      </c>
      <c r="C4793" s="85">
        <v>45246.0</v>
      </c>
      <c r="D4793" s="85">
        <v>45252.0</v>
      </c>
      <c r="E4793" s="86">
        <v>5.27</v>
      </c>
      <c r="F4793" s="87">
        <v>8.15</v>
      </c>
      <c r="G4793" s="88">
        <f t="shared" si="1"/>
        <v>2.88</v>
      </c>
      <c r="H4793" s="89">
        <f t="shared" si="10"/>
        <v>0.3533742331</v>
      </c>
      <c r="I4793" s="78" t="s">
        <v>5602</v>
      </c>
      <c r="J4793" s="78" t="s">
        <v>69</v>
      </c>
      <c r="K4793" s="58">
        <f t="shared" si="14"/>
        <v>6</v>
      </c>
      <c r="L4793" s="91" t="str">
        <f t="shared" si="8"/>
        <v>Wed</v>
      </c>
      <c r="M4793" s="78" t="str">
        <f>IFERROR(VLOOKUP(A4793, Entries!A:B,2,false),"")</f>
        <v>Codemasters</v>
      </c>
      <c r="N4793" s="23" t="str">
        <f>IFERROR(VLOOKUP(A4793, Entries!A:K,11,false),"")</f>
        <v/>
      </c>
    </row>
    <row r="4794">
      <c r="A4794" s="78" t="s">
        <v>5603</v>
      </c>
      <c r="B4794" s="78" t="s">
        <v>27</v>
      </c>
      <c r="C4794" s="85">
        <v>45246.0</v>
      </c>
      <c r="D4794" s="85">
        <v>45246.0</v>
      </c>
      <c r="E4794" s="86">
        <v>28.69</v>
      </c>
      <c r="F4794" s="87">
        <v>29.04</v>
      </c>
      <c r="G4794" s="88">
        <f t="shared" si="1"/>
        <v>0.35</v>
      </c>
      <c r="H4794" s="89">
        <f t="shared" si="10"/>
        <v>0.0120523416</v>
      </c>
      <c r="I4794" s="78" t="s">
        <v>5604</v>
      </c>
      <c r="J4794" s="78" t="s">
        <v>69</v>
      </c>
      <c r="K4794" s="58">
        <f t="shared" si="14"/>
        <v>0</v>
      </c>
      <c r="L4794" s="91" t="str">
        <f t="shared" si="8"/>
        <v>Thu</v>
      </c>
      <c r="M4794" s="78" t="str">
        <f>IFERROR(VLOOKUP(A4794, Entries!A:B,2,false),"")</f>
        <v>PlayStation</v>
      </c>
      <c r="N4794" s="23" t="str">
        <f>IFERROR(VLOOKUP(A4794, Entries!A:K,11,false),"")</f>
        <v/>
      </c>
    </row>
    <row r="4795">
      <c r="A4795" s="78" t="s">
        <v>4188</v>
      </c>
      <c r="B4795" s="78" t="s">
        <v>27</v>
      </c>
      <c r="C4795" s="85">
        <v>45246.0</v>
      </c>
      <c r="D4795" s="85">
        <v>45248.0</v>
      </c>
      <c r="E4795" s="86">
        <v>25.29</v>
      </c>
      <c r="F4795" s="87">
        <v>28.64</v>
      </c>
      <c r="G4795" s="88">
        <f t="shared" si="1"/>
        <v>3.35</v>
      </c>
      <c r="H4795" s="89">
        <f t="shared" si="10"/>
        <v>0.1169692737</v>
      </c>
      <c r="I4795" s="78" t="s">
        <v>5605</v>
      </c>
      <c r="J4795" s="78" t="s">
        <v>69</v>
      </c>
      <c r="K4795" s="58">
        <f t="shared" si="14"/>
        <v>2</v>
      </c>
      <c r="L4795" s="91" t="str">
        <f t="shared" si="8"/>
        <v>Sat</v>
      </c>
      <c r="M4795" s="78" t="str">
        <f>IFERROR(VLOOKUP(A4795, Entries!A:B,2,false),"")</f>
        <v>PlayStation</v>
      </c>
      <c r="N4795" s="23" t="str">
        <f>IFERROR(VLOOKUP(A4795, Entries!A:K,11,false),"")</f>
        <v/>
      </c>
    </row>
    <row r="4796">
      <c r="A4796" s="78" t="s">
        <v>5583</v>
      </c>
      <c r="B4796" s="78" t="s">
        <v>21</v>
      </c>
      <c r="C4796" s="85">
        <v>45246.0</v>
      </c>
      <c r="D4796" s="85">
        <v>45247.0</v>
      </c>
      <c r="E4796" s="86">
        <v>11.97</v>
      </c>
      <c r="F4796" s="87">
        <v>14.89</v>
      </c>
      <c r="G4796" s="88">
        <f t="shared" si="1"/>
        <v>2.92</v>
      </c>
      <c r="H4796" s="89">
        <f t="shared" si="10"/>
        <v>0.1961047683</v>
      </c>
      <c r="I4796" s="78" t="s">
        <v>5606</v>
      </c>
      <c r="J4796" s="78" t="s">
        <v>69</v>
      </c>
      <c r="K4796" s="58">
        <f t="shared" si="14"/>
        <v>1</v>
      </c>
      <c r="L4796" s="91" t="str">
        <f t="shared" si="8"/>
        <v>Fri</v>
      </c>
      <c r="M4796" s="78" t="str">
        <f>IFERROR(VLOOKUP(A4796, Entries!A:B,2,false),"")</f>
        <v/>
      </c>
      <c r="N4796" s="23" t="str">
        <f>IFERROR(VLOOKUP(A4796, Entries!A:K,11,false),"")</f>
        <v/>
      </c>
    </row>
    <row r="4797">
      <c r="A4797" s="78" t="s">
        <v>5583</v>
      </c>
      <c r="B4797" s="78" t="s">
        <v>21</v>
      </c>
      <c r="C4797" s="85">
        <v>45246.0</v>
      </c>
      <c r="D4797" s="85">
        <v>45247.0</v>
      </c>
      <c r="E4797" s="86">
        <v>11.97</v>
      </c>
      <c r="F4797" s="87">
        <v>14.89</v>
      </c>
      <c r="G4797" s="88">
        <f t="shared" si="1"/>
        <v>2.92</v>
      </c>
      <c r="H4797" s="89">
        <f t="shared" si="10"/>
        <v>0.1961047683</v>
      </c>
      <c r="I4797" s="78" t="s">
        <v>5607</v>
      </c>
      <c r="J4797" s="78" t="s">
        <v>69</v>
      </c>
      <c r="K4797" s="58">
        <f t="shared" si="14"/>
        <v>1</v>
      </c>
      <c r="L4797" s="91" t="str">
        <f t="shared" si="8"/>
        <v>Fri</v>
      </c>
      <c r="M4797" s="78" t="str">
        <f>IFERROR(VLOOKUP(A4797, Entries!A:B,2,false),"")</f>
        <v/>
      </c>
      <c r="N4797" s="23" t="str">
        <f>IFERROR(VLOOKUP(A4797, Entries!A:K,11,false),"")</f>
        <v/>
      </c>
    </row>
    <row r="4798">
      <c r="A4798" s="78" t="s">
        <v>5583</v>
      </c>
      <c r="B4798" s="78" t="s">
        <v>21</v>
      </c>
      <c r="C4798" s="85">
        <v>45246.0</v>
      </c>
      <c r="D4798" s="85">
        <v>45247.0</v>
      </c>
      <c r="E4798" s="86">
        <v>11.97</v>
      </c>
      <c r="F4798" s="87">
        <v>14.87</v>
      </c>
      <c r="G4798" s="88">
        <f t="shared" si="1"/>
        <v>2.9</v>
      </c>
      <c r="H4798" s="89">
        <f t="shared" si="10"/>
        <v>0.1950235373</v>
      </c>
      <c r="I4798" s="78" t="s">
        <v>5608</v>
      </c>
      <c r="J4798" s="78" t="s">
        <v>69</v>
      </c>
      <c r="K4798" s="58">
        <f t="shared" si="14"/>
        <v>1</v>
      </c>
      <c r="L4798" s="91" t="str">
        <f t="shared" si="8"/>
        <v>Fri</v>
      </c>
      <c r="M4798" s="78" t="str">
        <f>IFERROR(VLOOKUP(A4798, Entries!A:B,2,false),"")</f>
        <v/>
      </c>
      <c r="N4798" s="23" t="str">
        <f>IFERROR(VLOOKUP(A4798, Entries!A:K,11,false),"")</f>
        <v/>
      </c>
    </row>
    <row r="4799">
      <c r="A4799" s="78" t="s">
        <v>4983</v>
      </c>
      <c r="B4799" s="78" t="s">
        <v>27</v>
      </c>
      <c r="C4799" s="85">
        <v>45246.0</v>
      </c>
      <c r="D4799" s="85">
        <v>45247.0</v>
      </c>
      <c r="E4799" s="86">
        <v>25.17</v>
      </c>
      <c r="F4799" s="87">
        <v>31.79</v>
      </c>
      <c r="G4799" s="88">
        <f t="shared" si="1"/>
        <v>6.62</v>
      </c>
      <c r="H4799" s="89">
        <f t="shared" si="10"/>
        <v>0.2082415854</v>
      </c>
      <c r="I4799" s="78" t="s">
        <v>5609</v>
      </c>
      <c r="J4799" s="78" t="s">
        <v>69</v>
      </c>
      <c r="K4799" s="58">
        <f t="shared" si="14"/>
        <v>1</v>
      </c>
      <c r="L4799" s="91" t="str">
        <f t="shared" si="8"/>
        <v>Fri</v>
      </c>
      <c r="M4799" s="78" t="str">
        <f>IFERROR(VLOOKUP(A4799, Entries!A:B,2,false),"")</f>
        <v>Frontier Foundry</v>
      </c>
      <c r="N4799" s="23" t="str">
        <f>IFERROR(VLOOKUP(A4799, Entries!A:K,11,false),"")</f>
        <v/>
      </c>
    </row>
    <row r="4800">
      <c r="A4800" s="78" t="s">
        <v>4983</v>
      </c>
      <c r="B4800" s="78" t="s">
        <v>27</v>
      </c>
      <c r="C4800" s="85">
        <v>45247.0</v>
      </c>
      <c r="D4800" s="25"/>
      <c r="E4800" s="86">
        <v>25.01</v>
      </c>
      <c r="F4800" s="88"/>
      <c r="G4800" s="88">
        <f t="shared" si="1"/>
        <v>-25.01</v>
      </c>
      <c r="H4800" s="89" t="str">
        <f t="shared" si="10"/>
        <v/>
      </c>
      <c r="I4800" s="103" t="s">
        <v>5610</v>
      </c>
      <c r="J4800" s="78" t="s">
        <v>1129</v>
      </c>
      <c r="K4800" s="58" t="str">
        <f t="shared" si="14"/>
        <v/>
      </c>
      <c r="L4800" s="91" t="str">
        <f t="shared" si="8"/>
        <v/>
      </c>
      <c r="M4800" s="78" t="str">
        <f>IFERROR(VLOOKUP(A4800, Entries!A:B,2,false),"")</f>
        <v>Frontier Foundry</v>
      </c>
      <c r="N4800" s="23" t="str">
        <f>IFERROR(VLOOKUP(A4800, Entries!A:K,11,false),"")</f>
        <v/>
      </c>
    </row>
    <row r="4801">
      <c r="A4801" s="78" t="s">
        <v>5611</v>
      </c>
      <c r="B4801" s="78" t="s">
        <v>22</v>
      </c>
      <c r="C4801" s="85">
        <v>45247.0</v>
      </c>
      <c r="D4801" s="25"/>
      <c r="E4801" s="86">
        <v>7.7</v>
      </c>
      <c r="F4801" s="88"/>
      <c r="G4801" s="88">
        <f t="shared" si="1"/>
        <v>-7.7</v>
      </c>
      <c r="H4801" s="89" t="str">
        <f t="shared" si="10"/>
        <v/>
      </c>
      <c r="I4801" s="103" t="s">
        <v>5612</v>
      </c>
      <c r="J4801" s="78" t="s">
        <v>1129</v>
      </c>
      <c r="K4801" s="58" t="str">
        <f t="shared" si="14"/>
        <v/>
      </c>
      <c r="L4801" s="91" t="str">
        <f t="shared" si="8"/>
        <v/>
      </c>
      <c r="M4801" s="78" t="str">
        <f>IFERROR(VLOOKUP(A4801, Entries!A:B,2,false),"")</f>
        <v/>
      </c>
      <c r="N4801" s="23" t="str">
        <f>IFERROR(VLOOKUP(A4801, Entries!A:K,11,false),"")</f>
        <v/>
      </c>
    </row>
    <row r="4802">
      <c r="A4802" s="78" t="s">
        <v>5613</v>
      </c>
      <c r="B4802" s="78" t="s">
        <v>22</v>
      </c>
      <c r="C4802" s="85">
        <v>45247.0</v>
      </c>
      <c r="D4802" s="85">
        <v>45247.0</v>
      </c>
      <c r="E4802" s="86">
        <v>20.19</v>
      </c>
      <c r="F4802" s="87">
        <v>23.96</v>
      </c>
      <c r="G4802" s="88">
        <f t="shared" si="1"/>
        <v>3.77</v>
      </c>
      <c r="H4802" s="89">
        <f t="shared" si="10"/>
        <v>0.157345576</v>
      </c>
      <c r="I4802" s="78" t="s">
        <v>5614</v>
      </c>
      <c r="J4802" s="78" t="s">
        <v>69</v>
      </c>
      <c r="K4802" s="58">
        <f t="shared" si="14"/>
        <v>0</v>
      </c>
      <c r="L4802" s="91" t="str">
        <f t="shared" si="8"/>
        <v>Fri</v>
      </c>
      <c r="M4802" s="78" t="str">
        <f>IFERROR(VLOOKUP(A4802, Entries!A:B,2,false),"")</f>
        <v>Shiro Games</v>
      </c>
      <c r="N4802" s="23" t="str">
        <f>IFERROR(VLOOKUP(A4802, Entries!A:K,11,false),"")</f>
        <v/>
      </c>
    </row>
    <row r="4803">
      <c r="A4803" s="78" t="s">
        <v>5615</v>
      </c>
      <c r="B4803" s="78" t="s">
        <v>23</v>
      </c>
      <c r="C4803" s="85">
        <v>45247.0</v>
      </c>
      <c r="D4803" s="85">
        <v>45247.0</v>
      </c>
      <c r="E4803" s="86">
        <v>3.57</v>
      </c>
      <c r="F4803" s="87">
        <v>4.01</v>
      </c>
      <c r="G4803" s="88">
        <f t="shared" si="1"/>
        <v>0.44</v>
      </c>
      <c r="H4803" s="89">
        <f t="shared" si="10"/>
        <v>0.1097256858</v>
      </c>
      <c r="I4803" s="78" t="s">
        <v>5616</v>
      </c>
      <c r="J4803" s="78" t="s">
        <v>69</v>
      </c>
      <c r="K4803" s="58">
        <f t="shared" si="14"/>
        <v>0</v>
      </c>
      <c r="L4803" s="91" t="str">
        <f t="shared" si="8"/>
        <v>Fri</v>
      </c>
      <c r="M4803" s="78" t="str">
        <f>IFERROR(VLOOKUP(A4803, Entries!A:B,2,false),"")</f>
        <v>Bethesda Softworks</v>
      </c>
      <c r="N4803" s="23" t="str">
        <f>IFERROR(VLOOKUP(A4803, Entries!A:K,11,false),"")</f>
        <v/>
      </c>
    </row>
    <row r="4804">
      <c r="A4804" s="78" t="s">
        <v>5615</v>
      </c>
      <c r="B4804" s="78" t="s">
        <v>23</v>
      </c>
      <c r="C4804" s="85">
        <v>45247.0</v>
      </c>
      <c r="D4804" s="85">
        <v>45248.0</v>
      </c>
      <c r="E4804" s="86">
        <v>3.57</v>
      </c>
      <c r="F4804" s="87">
        <v>4.01</v>
      </c>
      <c r="G4804" s="88">
        <f t="shared" si="1"/>
        <v>0.44</v>
      </c>
      <c r="H4804" s="89">
        <f t="shared" si="10"/>
        <v>0.1097256858</v>
      </c>
      <c r="I4804" s="78" t="s">
        <v>5617</v>
      </c>
      <c r="J4804" s="78" t="s">
        <v>69</v>
      </c>
      <c r="K4804" s="58">
        <f t="shared" si="14"/>
        <v>1</v>
      </c>
      <c r="L4804" s="91" t="str">
        <f t="shared" si="8"/>
        <v>Sat</v>
      </c>
      <c r="M4804" s="78" t="str">
        <f>IFERROR(VLOOKUP(A4804, Entries!A:B,2,false),"")</f>
        <v>Bethesda Softworks</v>
      </c>
      <c r="N4804" s="23" t="str">
        <f>IFERROR(VLOOKUP(A4804, Entries!A:K,11,false),"")</f>
        <v/>
      </c>
    </row>
    <row r="4805">
      <c r="A4805" s="78" t="s">
        <v>5618</v>
      </c>
      <c r="B4805" s="78" t="s">
        <v>22</v>
      </c>
      <c r="C4805" s="85">
        <v>45247.0</v>
      </c>
      <c r="D4805" s="85">
        <v>45249.0</v>
      </c>
      <c r="E4805" s="86">
        <v>6.16</v>
      </c>
      <c r="F4805" s="87">
        <v>9.11</v>
      </c>
      <c r="G4805" s="88">
        <f t="shared" si="1"/>
        <v>2.95</v>
      </c>
      <c r="H4805" s="89">
        <f t="shared" si="10"/>
        <v>0.323819978</v>
      </c>
      <c r="I4805" s="78" t="s">
        <v>5619</v>
      </c>
      <c r="J4805" s="78" t="s">
        <v>69</v>
      </c>
      <c r="K4805" s="58">
        <f t="shared" si="14"/>
        <v>2</v>
      </c>
      <c r="L4805" s="91" t="str">
        <f t="shared" si="8"/>
        <v>Sun</v>
      </c>
      <c r="M4805" s="78" t="str">
        <f>IFERROR(VLOOKUP(A4805, Entries!A:B,2,false),"")</f>
        <v/>
      </c>
      <c r="N4805" s="23" t="str">
        <f>IFERROR(VLOOKUP(A4805, Entries!A:K,11,false),"")</f>
        <v/>
      </c>
    </row>
    <row r="4806">
      <c r="A4806" s="78" t="s">
        <v>5613</v>
      </c>
      <c r="B4806" s="78" t="s">
        <v>22</v>
      </c>
      <c r="C4806" s="85">
        <v>45247.0</v>
      </c>
      <c r="D4806" s="85">
        <v>45247.0</v>
      </c>
      <c r="E4806" s="86">
        <v>20.19</v>
      </c>
      <c r="F4806" s="87">
        <v>23.47</v>
      </c>
      <c r="G4806" s="88">
        <f t="shared" si="1"/>
        <v>3.28</v>
      </c>
      <c r="H4806" s="89">
        <f t="shared" si="10"/>
        <v>0.139752876</v>
      </c>
      <c r="I4806" s="78" t="s">
        <v>5620</v>
      </c>
      <c r="J4806" s="78" t="s">
        <v>69</v>
      </c>
      <c r="K4806" s="58">
        <f t="shared" si="14"/>
        <v>0</v>
      </c>
      <c r="L4806" s="91" t="str">
        <f t="shared" si="8"/>
        <v>Fri</v>
      </c>
      <c r="M4806" s="78" t="str">
        <f>IFERROR(VLOOKUP(A4806, Entries!A:B,2,false),"")</f>
        <v>Shiro Games</v>
      </c>
      <c r="N4806" s="23" t="str">
        <f>IFERROR(VLOOKUP(A4806, Entries!A:K,11,false),"")</f>
        <v/>
      </c>
    </row>
    <row r="4807">
      <c r="A4807" s="78" t="s">
        <v>3915</v>
      </c>
      <c r="B4807" s="78" t="s">
        <v>27</v>
      </c>
      <c r="C4807" s="85">
        <v>45247.0</v>
      </c>
      <c r="D4807" s="85">
        <v>45260.0</v>
      </c>
      <c r="E4807" s="86">
        <v>8.72</v>
      </c>
      <c r="F4807" s="87">
        <v>17.83</v>
      </c>
      <c r="G4807" s="88">
        <f t="shared" si="1"/>
        <v>9.11</v>
      </c>
      <c r="H4807" s="89">
        <f t="shared" si="10"/>
        <v>0.5109366237</v>
      </c>
      <c r="I4807" s="78" t="s">
        <v>5621</v>
      </c>
      <c r="J4807" s="78" t="s">
        <v>69</v>
      </c>
      <c r="K4807" s="58">
        <f t="shared" si="14"/>
        <v>13</v>
      </c>
      <c r="L4807" s="91" t="str">
        <f t="shared" si="8"/>
        <v>Thu</v>
      </c>
      <c r="M4807" s="78" t="str">
        <f>IFERROR(VLOOKUP(A4807, Entries!A:B,2,false),"")</f>
        <v>HandyGames</v>
      </c>
      <c r="N4807" s="23" t="str">
        <f>IFERROR(VLOOKUP(A4807, Entries!A:K,11,false),"")</f>
        <v/>
      </c>
    </row>
    <row r="4808">
      <c r="A4808" s="78" t="s">
        <v>5583</v>
      </c>
      <c r="B4808" s="78" t="s">
        <v>18</v>
      </c>
      <c r="C4808" s="85">
        <v>45247.0</v>
      </c>
      <c r="D4808" s="85">
        <v>45247.0</v>
      </c>
      <c r="E4808" s="86">
        <v>11.79</v>
      </c>
      <c r="F4808" s="87">
        <v>14.87</v>
      </c>
      <c r="G4808" s="88">
        <f t="shared" si="1"/>
        <v>3.08</v>
      </c>
      <c r="H4808" s="89">
        <f t="shared" si="10"/>
        <v>0.2071284465</v>
      </c>
      <c r="I4808" s="78" t="s">
        <v>5622</v>
      </c>
      <c r="J4808" s="78" t="s">
        <v>69</v>
      </c>
      <c r="K4808" s="58">
        <f t="shared" si="14"/>
        <v>0</v>
      </c>
      <c r="L4808" s="91" t="str">
        <f t="shared" si="8"/>
        <v>Fri</v>
      </c>
      <c r="M4808" s="78" t="str">
        <f>IFERROR(VLOOKUP(A4808, Entries!A:B,2,false),"")</f>
        <v/>
      </c>
      <c r="N4808" s="23" t="str">
        <f>IFERROR(VLOOKUP(A4808, Entries!A:K,11,false),"")</f>
        <v/>
      </c>
    </row>
    <row r="4809">
      <c r="A4809" s="78" t="s">
        <v>5583</v>
      </c>
      <c r="B4809" s="78" t="s">
        <v>18</v>
      </c>
      <c r="C4809" s="85">
        <v>45247.0</v>
      </c>
      <c r="D4809" s="85">
        <v>45247.0</v>
      </c>
      <c r="E4809" s="86">
        <v>11.8</v>
      </c>
      <c r="F4809" s="87">
        <v>14.87</v>
      </c>
      <c r="G4809" s="88">
        <f t="shared" si="1"/>
        <v>3.07</v>
      </c>
      <c r="H4809" s="89">
        <f t="shared" si="10"/>
        <v>0.2064559516</v>
      </c>
      <c r="I4809" s="78" t="s">
        <v>5623</v>
      </c>
      <c r="J4809" s="78" t="s">
        <v>69</v>
      </c>
      <c r="K4809" s="58">
        <f t="shared" si="14"/>
        <v>0</v>
      </c>
      <c r="L4809" s="91" t="str">
        <f t="shared" si="8"/>
        <v>Fri</v>
      </c>
      <c r="M4809" s="78" t="str">
        <f>IFERROR(VLOOKUP(A4809, Entries!A:B,2,false),"")</f>
        <v/>
      </c>
      <c r="N4809" s="23" t="str">
        <f>IFERROR(VLOOKUP(A4809, Entries!A:K,11,false),"")</f>
        <v/>
      </c>
    </row>
    <row r="4810">
      <c r="A4810" s="78" t="s">
        <v>5583</v>
      </c>
      <c r="B4810" s="78" t="s">
        <v>18</v>
      </c>
      <c r="C4810" s="85">
        <v>45247.0</v>
      </c>
      <c r="D4810" s="85">
        <v>45248.0</v>
      </c>
      <c r="E4810" s="86">
        <v>12.56</v>
      </c>
      <c r="F4810" s="87">
        <v>14.87</v>
      </c>
      <c r="G4810" s="88">
        <f t="shared" si="1"/>
        <v>2.31</v>
      </c>
      <c r="H4810" s="89">
        <f t="shared" si="10"/>
        <v>0.1553463349</v>
      </c>
      <c r="I4810" s="78" t="s">
        <v>5624</v>
      </c>
      <c r="J4810" s="78" t="s">
        <v>69</v>
      </c>
      <c r="K4810" s="58">
        <f t="shared" si="14"/>
        <v>1</v>
      </c>
      <c r="L4810" s="91" t="str">
        <f t="shared" si="8"/>
        <v>Sat</v>
      </c>
      <c r="M4810" s="78" t="str">
        <f>IFERROR(VLOOKUP(A4810, Entries!A:B,2,false),"")</f>
        <v/>
      </c>
      <c r="N4810" s="23" t="str">
        <f>IFERROR(VLOOKUP(A4810, Entries!A:K,11,false),"")</f>
        <v/>
      </c>
    </row>
    <row r="4811">
      <c r="A4811" s="78" t="s">
        <v>5583</v>
      </c>
      <c r="B4811" s="78" t="s">
        <v>18</v>
      </c>
      <c r="C4811" s="85">
        <v>45247.0</v>
      </c>
      <c r="D4811" s="85">
        <v>45248.0</v>
      </c>
      <c r="E4811" s="86">
        <v>12.56</v>
      </c>
      <c r="F4811" s="87">
        <v>14.87</v>
      </c>
      <c r="G4811" s="88">
        <f t="shared" si="1"/>
        <v>2.31</v>
      </c>
      <c r="H4811" s="89">
        <f t="shared" si="10"/>
        <v>0.1553463349</v>
      </c>
      <c r="I4811" s="78" t="s">
        <v>5625</v>
      </c>
      <c r="J4811" s="78" t="s">
        <v>69</v>
      </c>
      <c r="K4811" s="58">
        <f t="shared" si="14"/>
        <v>1</v>
      </c>
      <c r="L4811" s="91" t="str">
        <f t="shared" si="8"/>
        <v>Sat</v>
      </c>
      <c r="M4811" s="78" t="str">
        <f>IFERROR(VLOOKUP(A4811, Entries!A:B,2,false),"")</f>
        <v/>
      </c>
      <c r="N4811" s="23" t="str">
        <f>IFERROR(VLOOKUP(A4811, Entries!A:K,11,false),"")</f>
        <v/>
      </c>
    </row>
    <row r="4812">
      <c r="A4812" s="78" t="s">
        <v>5583</v>
      </c>
      <c r="B4812" s="78" t="s">
        <v>18</v>
      </c>
      <c r="C4812" s="85">
        <v>45247.0</v>
      </c>
      <c r="D4812" s="85">
        <v>45248.0</v>
      </c>
      <c r="E4812" s="86">
        <v>12.57</v>
      </c>
      <c r="F4812" s="87">
        <v>14.87</v>
      </c>
      <c r="G4812" s="88">
        <f t="shared" si="1"/>
        <v>2.3</v>
      </c>
      <c r="H4812" s="89">
        <f t="shared" si="10"/>
        <v>0.1546738399</v>
      </c>
      <c r="I4812" s="78" t="s">
        <v>5626</v>
      </c>
      <c r="J4812" s="78" t="s">
        <v>69</v>
      </c>
      <c r="K4812" s="58">
        <f t="shared" si="14"/>
        <v>1</v>
      </c>
      <c r="L4812" s="91" t="str">
        <f t="shared" si="8"/>
        <v>Sat</v>
      </c>
      <c r="M4812" s="78" t="str">
        <f>IFERROR(VLOOKUP(A4812, Entries!A:B,2,false),"")</f>
        <v/>
      </c>
      <c r="N4812" s="23" t="str">
        <f>IFERROR(VLOOKUP(A4812, Entries!A:K,11,false),"")</f>
        <v/>
      </c>
    </row>
    <row r="4813">
      <c r="A4813" s="78" t="s">
        <v>5615</v>
      </c>
      <c r="B4813" s="78" t="s">
        <v>23</v>
      </c>
      <c r="C4813" s="85">
        <v>45248.0</v>
      </c>
      <c r="D4813" s="85">
        <v>45249.0</v>
      </c>
      <c r="E4813" s="86">
        <v>3.57</v>
      </c>
      <c r="F4813" s="87">
        <v>4.01</v>
      </c>
      <c r="G4813" s="88">
        <f t="shared" si="1"/>
        <v>0.44</v>
      </c>
      <c r="H4813" s="89">
        <f t="shared" si="10"/>
        <v>0.1097256858</v>
      </c>
      <c r="I4813" s="78" t="s">
        <v>5627</v>
      </c>
      <c r="J4813" s="78" t="s">
        <v>69</v>
      </c>
      <c r="K4813" s="58">
        <f t="shared" si="14"/>
        <v>1</v>
      </c>
      <c r="L4813" s="91" t="str">
        <f t="shared" si="8"/>
        <v>Sun</v>
      </c>
      <c r="M4813" s="78" t="str">
        <f>IFERROR(VLOOKUP(A4813, Entries!A:B,2,false),"")</f>
        <v>Bethesda Softworks</v>
      </c>
      <c r="N4813" s="23" t="str">
        <f>IFERROR(VLOOKUP(A4813, Entries!A:K,11,false),"")</f>
        <v/>
      </c>
    </row>
    <row r="4814">
      <c r="A4814" s="94" t="s">
        <v>719</v>
      </c>
      <c r="B4814" s="78" t="s">
        <v>19</v>
      </c>
      <c r="C4814" s="85">
        <v>45248.0</v>
      </c>
      <c r="D4814" s="85">
        <v>45398.0</v>
      </c>
      <c r="E4814" s="86">
        <v>12.91</v>
      </c>
      <c r="F4814" s="87">
        <v>13.36</v>
      </c>
      <c r="G4814" s="88">
        <f t="shared" si="1"/>
        <v>0.45</v>
      </c>
      <c r="H4814" s="89">
        <f t="shared" si="10"/>
        <v>0.03368263473</v>
      </c>
      <c r="I4814" s="78" t="s">
        <v>5628</v>
      </c>
      <c r="J4814" s="78" t="s">
        <v>69</v>
      </c>
      <c r="K4814" s="58">
        <f t="shared" si="14"/>
        <v>150</v>
      </c>
      <c r="L4814" s="91" t="str">
        <f t="shared" si="8"/>
        <v>Tue</v>
      </c>
      <c r="M4814" s="78" t="str">
        <f>IFERROR(VLOOKUP(A4814, Entries!A:B,2,false),"")</f>
        <v>Lukas Rustemeyer</v>
      </c>
      <c r="N4814" s="23" t="str">
        <f>IFERROR(VLOOKUP(A4814, Entries!A:K,11,false),"")</f>
        <v/>
      </c>
    </row>
    <row r="4815">
      <c r="A4815" s="78" t="s">
        <v>4252</v>
      </c>
      <c r="B4815" s="78" t="s">
        <v>23</v>
      </c>
      <c r="C4815" s="85">
        <v>45248.0</v>
      </c>
      <c r="D4815" s="85">
        <v>45337.0</v>
      </c>
      <c r="E4815" s="86">
        <v>18.31</v>
      </c>
      <c r="F4815" s="87">
        <v>26.65</v>
      </c>
      <c r="G4815" s="88">
        <f t="shared" si="1"/>
        <v>8.34</v>
      </c>
      <c r="H4815" s="89">
        <f t="shared" si="10"/>
        <v>0.312945591</v>
      </c>
      <c r="J4815" s="78" t="s">
        <v>69</v>
      </c>
      <c r="K4815" s="58">
        <f t="shared" si="14"/>
        <v>89</v>
      </c>
      <c r="L4815" s="91" t="str">
        <f t="shared" si="8"/>
        <v>Thu</v>
      </c>
      <c r="M4815" s="78" t="str">
        <f>IFERROR(VLOOKUP(A4815, Entries!A:B,2,false),"")</f>
        <v>PlayStation</v>
      </c>
      <c r="N4815" s="23" t="str">
        <f>IFERROR(VLOOKUP(A4815, Entries!A:K,11,false),"")</f>
        <v/>
      </c>
    </row>
    <row r="4816">
      <c r="A4816" s="78" t="s">
        <v>4188</v>
      </c>
      <c r="B4816" s="78" t="s">
        <v>27</v>
      </c>
      <c r="C4816" s="85">
        <v>45248.0</v>
      </c>
      <c r="D4816" s="85">
        <v>45249.0</v>
      </c>
      <c r="E4816" s="86">
        <v>24.09</v>
      </c>
      <c r="F4816" s="87">
        <v>28.67</v>
      </c>
      <c r="G4816" s="88">
        <f t="shared" si="1"/>
        <v>4.58</v>
      </c>
      <c r="H4816" s="89">
        <f t="shared" si="10"/>
        <v>0.1597488664</v>
      </c>
      <c r="I4816" s="78" t="s">
        <v>5629</v>
      </c>
      <c r="J4816" s="78" t="s">
        <v>69</v>
      </c>
      <c r="K4816" s="58">
        <f t="shared" si="14"/>
        <v>1</v>
      </c>
      <c r="L4816" s="91" t="str">
        <f t="shared" si="8"/>
        <v>Sun</v>
      </c>
      <c r="M4816" s="78" t="str">
        <f>IFERROR(VLOOKUP(A4816, Entries!A:B,2,false),"")</f>
        <v>PlayStation</v>
      </c>
      <c r="N4816" s="23" t="str">
        <f>IFERROR(VLOOKUP(A4816, Entries!A:K,11,false),"")</f>
        <v/>
      </c>
    </row>
    <row r="4817">
      <c r="A4817" s="78" t="s">
        <v>4188</v>
      </c>
      <c r="B4817" s="78" t="s">
        <v>27</v>
      </c>
      <c r="C4817" s="85">
        <v>45249.0</v>
      </c>
      <c r="D4817" s="85">
        <v>45905.0</v>
      </c>
      <c r="E4817" s="86">
        <v>24.09</v>
      </c>
      <c r="F4817" s="87">
        <v>26.66</v>
      </c>
      <c r="G4817" s="88">
        <f t="shared" si="1"/>
        <v>2.57</v>
      </c>
      <c r="H4817" s="89">
        <f t="shared" si="10"/>
        <v>0.09639909977</v>
      </c>
      <c r="I4817" s="103" t="s">
        <v>5630</v>
      </c>
      <c r="J4817" s="78" t="s">
        <v>69</v>
      </c>
      <c r="K4817" s="58">
        <f t="shared" si="14"/>
        <v>656</v>
      </c>
      <c r="L4817" s="91" t="str">
        <f t="shared" si="8"/>
        <v>Fri</v>
      </c>
      <c r="M4817" s="78" t="str">
        <f>IFERROR(VLOOKUP(A4817, Entries!A:B,2,false),"")</f>
        <v>PlayStation</v>
      </c>
      <c r="N4817" s="23" t="str">
        <f>IFERROR(VLOOKUP(A4817, Entries!A:K,11,false),"")</f>
        <v/>
      </c>
    </row>
    <row r="4818">
      <c r="A4818" s="78" t="s">
        <v>5615</v>
      </c>
      <c r="B4818" s="78" t="s">
        <v>23</v>
      </c>
      <c r="C4818" s="85">
        <v>45249.0</v>
      </c>
      <c r="D4818" s="85">
        <v>45249.0</v>
      </c>
      <c r="E4818" s="86">
        <v>3.57</v>
      </c>
      <c r="F4818" s="87">
        <v>4.01</v>
      </c>
      <c r="G4818" s="88">
        <f t="shared" si="1"/>
        <v>0.44</v>
      </c>
      <c r="H4818" s="89">
        <f t="shared" si="10"/>
        <v>0.1097256858</v>
      </c>
      <c r="I4818" s="78" t="s">
        <v>5631</v>
      </c>
      <c r="J4818" s="78" t="s">
        <v>69</v>
      </c>
      <c r="K4818" s="58">
        <f t="shared" si="14"/>
        <v>0</v>
      </c>
      <c r="L4818" s="91" t="str">
        <f t="shared" si="8"/>
        <v>Sun</v>
      </c>
      <c r="M4818" s="78" t="str">
        <f>IFERROR(VLOOKUP(A4818, Entries!A:B,2,false),"")</f>
        <v>Bethesda Softworks</v>
      </c>
      <c r="N4818" s="23" t="str">
        <f>IFERROR(VLOOKUP(A4818, Entries!A:K,11,false),"")</f>
        <v/>
      </c>
    </row>
    <row r="4819">
      <c r="A4819" s="78" t="s">
        <v>5613</v>
      </c>
      <c r="B4819" s="78" t="s">
        <v>22</v>
      </c>
      <c r="C4819" s="85">
        <v>45249.0</v>
      </c>
      <c r="D4819" s="85">
        <v>45374.0</v>
      </c>
      <c r="E4819" s="86">
        <v>20.2</v>
      </c>
      <c r="F4819" s="87">
        <v>20.98</v>
      </c>
      <c r="G4819" s="88">
        <f t="shared" si="1"/>
        <v>0.78</v>
      </c>
      <c r="H4819" s="89">
        <f t="shared" si="10"/>
        <v>0.03717826501</v>
      </c>
      <c r="I4819" s="78" t="s">
        <v>5632</v>
      </c>
      <c r="J4819" s="78" t="s">
        <v>69</v>
      </c>
      <c r="K4819" s="58">
        <f t="shared" si="14"/>
        <v>125</v>
      </c>
      <c r="L4819" s="91" t="str">
        <f t="shared" si="8"/>
        <v>Sat</v>
      </c>
      <c r="M4819" s="78" t="str">
        <f>IFERROR(VLOOKUP(A4819, Entries!A:B,2,false),"")</f>
        <v>Shiro Games</v>
      </c>
      <c r="N4819" s="23" t="str">
        <f>IFERROR(VLOOKUP(A4819, Entries!A:K,11,false),"")</f>
        <v/>
      </c>
    </row>
    <row r="4820">
      <c r="A4820" s="78" t="s">
        <v>5618</v>
      </c>
      <c r="B4820" s="78" t="s">
        <v>22</v>
      </c>
      <c r="C4820" s="85">
        <v>45249.0</v>
      </c>
      <c r="D4820" s="85">
        <v>45249.0</v>
      </c>
      <c r="E4820" s="86">
        <v>6.16</v>
      </c>
      <c r="F4820" s="87">
        <v>9.11</v>
      </c>
      <c r="G4820" s="88">
        <f t="shared" si="1"/>
        <v>2.95</v>
      </c>
      <c r="H4820" s="89">
        <f t="shared" si="10"/>
        <v>0.323819978</v>
      </c>
      <c r="I4820" s="78" t="s">
        <v>5633</v>
      </c>
      <c r="J4820" s="78" t="s">
        <v>69</v>
      </c>
      <c r="K4820" s="58">
        <f t="shared" si="14"/>
        <v>0</v>
      </c>
      <c r="L4820" s="91" t="str">
        <f t="shared" si="8"/>
        <v>Sun</v>
      </c>
      <c r="M4820" s="78" t="str">
        <f>IFERROR(VLOOKUP(A4820, Entries!A:B,2,false),"")</f>
        <v/>
      </c>
      <c r="N4820" s="23" t="str">
        <f>IFERROR(VLOOKUP(A4820, Entries!A:K,11,false),"")</f>
        <v/>
      </c>
    </row>
    <row r="4821">
      <c r="A4821" s="78" t="s">
        <v>5618</v>
      </c>
      <c r="B4821" s="78" t="s">
        <v>22</v>
      </c>
      <c r="C4821" s="85">
        <v>45249.0</v>
      </c>
      <c r="D4821" s="85">
        <v>45249.0</v>
      </c>
      <c r="E4821" s="86">
        <v>6.16</v>
      </c>
      <c r="F4821" s="87">
        <v>9.11</v>
      </c>
      <c r="G4821" s="88">
        <f t="shared" si="1"/>
        <v>2.95</v>
      </c>
      <c r="H4821" s="89">
        <f t="shared" si="10"/>
        <v>0.323819978</v>
      </c>
      <c r="I4821" s="78" t="s">
        <v>5634</v>
      </c>
      <c r="J4821" s="78" t="s">
        <v>69</v>
      </c>
      <c r="K4821" s="58">
        <f t="shared" si="14"/>
        <v>0</v>
      </c>
      <c r="L4821" s="91" t="str">
        <f t="shared" si="8"/>
        <v>Sun</v>
      </c>
      <c r="M4821" s="78" t="str">
        <f>IFERROR(VLOOKUP(A4821, Entries!A:B,2,false),"")</f>
        <v/>
      </c>
      <c r="N4821" s="23" t="str">
        <f>IFERROR(VLOOKUP(A4821, Entries!A:K,11,false),"")</f>
        <v/>
      </c>
    </row>
    <row r="4822">
      <c r="A4822" s="78" t="s">
        <v>5615</v>
      </c>
      <c r="B4822" s="78" t="s">
        <v>23</v>
      </c>
      <c r="C4822" s="85">
        <v>45249.0</v>
      </c>
      <c r="D4822" s="85">
        <v>45249.0</v>
      </c>
      <c r="E4822" s="86">
        <v>3.57</v>
      </c>
      <c r="F4822" s="87">
        <v>4.01</v>
      </c>
      <c r="G4822" s="88">
        <f t="shared" si="1"/>
        <v>0.44</v>
      </c>
      <c r="H4822" s="89">
        <f t="shared" si="10"/>
        <v>0.1097256858</v>
      </c>
      <c r="I4822" s="78" t="s">
        <v>5635</v>
      </c>
      <c r="J4822" s="78" t="s">
        <v>69</v>
      </c>
      <c r="K4822" s="58">
        <f t="shared" si="14"/>
        <v>0</v>
      </c>
      <c r="L4822" s="91" t="str">
        <f t="shared" si="8"/>
        <v>Sun</v>
      </c>
      <c r="M4822" s="78" t="str">
        <f>IFERROR(VLOOKUP(A4822, Entries!A:B,2,false),"")</f>
        <v>Bethesda Softworks</v>
      </c>
      <c r="N4822" s="23" t="str">
        <f>IFERROR(VLOOKUP(A4822, Entries!A:K,11,false),"")</f>
        <v/>
      </c>
    </row>
    <row r="4823">
      <c r="A4823" s="78" t="s">
        <v>1786</v>
      </c>
      <c r="B4823" s="78" t="s">
        <v>27</v>
      </c>
      <c r="C4823" s="85">
        <v>45249.0</v>
      </c>
      <c r="D4823" s="85">
        <v>45249.0</v>
      </c>
      <c r="E4823" s="86">
        <v>14.31</v>
      </c>
      <c r="F4823" s="87">
        <v>28.39</v>
      </c>
      <c r="G4823" s="88">
        <f t="shared" si="1"/>
        <v>14.08</v>
      </c>
      <c r="H4823" s="89">
        <f t="shared" si="10"/>
        <v>0.4959492779</v>
      </c>
      <c r="I4823" s="78" t="s">
        <v>5636</v>
      </c>
      <c r="J4823" s="78" t="s">
        <v>69</v>
      </c>
      <c r="K4823" s="58">
        <f t="shared" si="14"/>
        <v>0</v>
      </c>
      <c r="L4823" s="91" t="str">
        <f t="shared" si="8"/>
        <v>Sun</v>
      </c>
      <c r="M4823" s="78" t="str">
        <f>IFERROR(VLOOKUP(A4823, Entries!A:B,2,false),"")</f>
        <v>Bethesda Softworks</v>
      </c>
      <c r="N4823" s="23" t="str">
        <f>IFERROR(VLOOKUP(A4823, Entries!A:K,11,false),"")</f>
        <v/>
      </c>
    </row>
    <row r="4824">
      <c r="A4824" s="78" t="s">
        <v>5618</v>
      </c>
      <c r="B4824" s="78" t="s">
        <v>22</v>
      </c>
      <c r="C4824" s="85">
        <v>45249.0</v>
      </c>
      <c r="D4824" s="85">
        <v>45250.0</v>
      </c>
      <c r="E4824" s="86">
        <v>6.16</v>
      </c>
      <c r="F4824" s="87">
        <v>9.11</v>
      </c>
      <c r="G4824" s="88">
        <f t="shared" si="1"/>
        <v>2.95</v>
      </c>
      <c r="H4824" s="89">
        <f t="shared" si="10"/>
        <v>0.323819978</v>
      </c>
      <c r="I4824" s="78" t="s">
        <v>5637</v>
      </c>
      <c r="J4824" s="78" t="s">
        <v>69</v>
      </c>
      <c r="K4824" s="58">
        <f t="shared" si="14"/>
        <v>1</v>
      </c>
      <c r="L4824" s="91" t="str">
        <f t="shared" si="8"/>
        <v>Mon</v>
      </c>
      <c r="M4824" s="78" t="str">
        <f>IFERROR(VLOOKUP(A4824, Entries!A:B,2,false),"")</f>
        <v/>
      </c>
      <c r="N4824" s="23" t="str">
        <f>IFERROR(VLOOKUP(A4824, Entries!A:K,11,false),"")</f>
        <v/>
      </c>
    </row>
    <row r="4825">
      <c r="A4825" s="78" t="s">
        <v>1786</v>
      </c>
      <c r="B4825" s="78" t="s">
        <v>27</v>
      </c>
      <c r="C4825" s="85">
        <v>45249.0</v>
      </c>
      <c r="D4825" s="85">
        <v>45250.0</v>
      </c>
      <c r="E4825" s="86">
        <v>14.89</v>
      </c>
      <c r="F4825" s="87">
        <v>19.31</v>
      </c>
      <c r="G4825" s="88">
        <f t="shared" si="1"/>
        <v>4.42</v>
      </c>
      <c r="H4825" s="89">
        <f t="shared" si="10"/>
        <v>0.2288969446</v>
      </c>
      <c r="I4825" s="78" t="s">
        <v>5638</v>
      </c>
      <c r="J4825" s="78" t="s">
        <v>69</v>
      </c>
      <c r="K4825" s="58">
        <f t="shared" si="14"/>
        <v>1</v>
      </c>
      <c r="L4825" s="91" t="str">
        <f t="shared" si="8"/>
        <v>Mon</v>
      </c>
      <c r="M4825" s="78" t="str">
        <f>IFERROR(VLOOKUP(A4825, Entries!A:B,2,false),"")</f>
        <v>Bethesda Softworks</v>
      </c>
      <c r="N4825" s="23" t="str">
        <f>IFERROR(VLOOKUP(A4825, Entries!A:K,11,false),"")</f>
        <v/>
      </c>
    </row>
    <row r="4826">
      <c r="A4826" s="78" t="s">
        <v>5615</v>
      </c>
      <c r="B4826" s="78" t="s">
        <v>23</v>
      </c>
      <c r="C4826" s="85">
        <v>45249.0</v>
      </c>
      <c r="D4826" s="85">
        <v>45249.0</v>
      </c>
      <c r="E4826" s="86">
        <v>3.57</v>
      </c>
      <c r="F4826" s="87">
        <v>4.01</v>
      </c>
      <c r="G4826" s="88">
        <f t="shared" si="1"/>
        <v>0.44</v>
      </c>
      <c r="H4826" s="89">
        <f t="shared" si="10"/>
        <v>0.1097256858</v>
      </c>
      <c r="I4826" s="78" t="s">
        <v>5639</v>
      </c>
      <c r="J4826" s="78" t="s">
        <v>69</v>
      </c>
      <c r="K4826" s="58">
        <f t="shared" si="14"/>
        <v>0</v>
      </c>
      <c r="L4826" s="91" t="str">
        <f t="shared" si="8"/>
        <v>Sun</v>
      </c>
      <c r="M4826" s="78" t="str">
        <f>IFERROR(VLOOKUP(A4826, Entries!A:B,2,false),"")</f>
        <v>Bethesda Softworks</v>
      </c>
      <c r="N4826" s="23" t="str">
        <f>IFERROR(VLOOKUP(A4826, Entries!A:K,11,false),"")</f>
        <v/>
      </c>
    </row>
    <row r="4827">
      <c r="A4827" s="78" t="s">
        <v>5615</v>
      </c>
      <c r="B4827" s="78" t="s">
        <v>23</v>
      </c>
      <c r="C4827" s="85">
        <v>45249.0</v>
      </c>
      <c r="D4827" s="85">
        <v>45276.0</v>
      </c>
      <c r="E4827" s="86">
        <v>3.57</v>
      </c>
      <c r="F4827" s="87">
        <v>3.78</v>
      </c>
      <c r="G4827" s="88">
        <f t="shared" si="1"/>
        <v>0.21</v>
      </c>
      <c r="H4827" s="89">
        <f t="shared" si="10"/>
        <v>0.05555555556</v>
      </c>
      <c r="I4827" s="78" t="s">
        <v>5640</v>
      </c>
      <c r="J4827" s="78" t="s">
        <v>69</v>
      </c>
      <c r="K4827" s="58">
        <f t="shared" si="14"/>
        <v>27</v>
      </c>
      <c r="L4827" s="91" t="str">
        <f t="shared" si="8"/>
        <v>Sat</v>
      </c>
      <c r="M4827" s="78" t="str">
        <f>IFERROR(VLOOKUP(A4827, Entries!A:B,2,false),"")</f>
        <v>Bethesda Softworks</v>
      </c>
      <c r="N4827" s="23" t="str">
        <f>IFERROR(VLOOKUP(A4827, Entries!A:K,11,false),"")</f>
        <v/>
      </c>
    </row>
    <row r="4828">
      <c r="A4828" s="78" t="s">
        <v>5583</v>
      </c>
      <c r="B4828" s="78" t="s">
        <v>25</v>
      </c>
      <c r="C4828" s="85">
        <v>45250.0</v>
      </c>
      <c r="D4828" s="25"/>
      <c r="E4828" s="86">
        <v>14.08</v>
      </c>
      <c r="F4828" s="88"/>
      <c r="G4828" s="88">
        <f t="shared" si="1"/>
        <v>-14.08</v>
      </c>
      <c r="H4828" s="89" t="str">
        <f t="shared" si="10"/>
        <v/>
      </c>
      <c r="I4828" s="103" t="s">
        <v>5641</v>
      </c>
      <c r="J4828" s="78" t="s">
        <v>1129</v>
      </c>
      <c r="K4828" s="58" t="str">
        <f t="shared" si="14"/>
        <v/>
      </c>
      <c r="L4828" s="91" t="str">
        <f t="shared" si="8"/>
        <v/>
      </c>
      <c r="M4828" s="78" t="str">
        <f>IFERROR(VLOOKUP(A4828, Entries!A:B,2,false),"")</f>
        <v/>
      </c>
      <c r="N4828" s="23" t="str">
        <f>IFERROR(VLOOKUP(A4828, Entries!A:K,11,false),"")</f>
        <v/>
      </c>
    </row>
    <row r="4829">
      <c r="A4829" s="78" t="s">
        <v>5583</v>
      </c>
      <c r="B4829" s="78" t="s">
        <v>25</v>
      </c>
      <c r="C4829" s="85">
        <v>45250.0</v>
      </c>
      <c r="D4829" s="25"/>
      <c r="E4829" s="86">
        <v>14.08</v>
      </c>
      <c r="F4829" s="88"/>
      <c r="G4829" s="88">
        <f t="shared" si="1"/>
        <v>-14.08</v>
      </c>
      <c r="H4829" s="89" t="str">
        <f t="shared" si="10"/>
        <v/>
      </c>
      <c r="I4829" s="103" t="s">
        <v>5642</v>
      </c>
      <c r="J4829" s="78" t="s">
        <v>1129</v>
      </c>
      <c r="K4829" s="58" t="str">
        <f t="shared" si="14"/>
        <v/>
      </c>
      <c r="L4829" s="91" t="str">
        <f t="shared" si="8"/>
        <v/>
      </c>
      <c r="M4829" s="78" t="str">
        <f>IFERROR(VLOOKUP(A4829, Entries!A:B,2,false),"")</f>
        <v/>
      </c>
      <c r="N4829" s="23" t="str">
        <f>IFERROR(VLOOKUP(A4829, Entries!A:K,11,false),"")</f>
        <v/>
      </c>
    </row>
    <row r="4830">
      <c r="A4830" s="78" t="s">
        <v>5408</v>
      </c>
      <c r="B4830" s="78" t="s">
        <v>29</v>
      </c>
      <c r="C4830" s="85">
        <v>45252.0</v>
      </c>
      <c r="D4830" s="85">
        <v>45254.0</v>
      </c>
      <c r="E4830" s="86">
        <v>1.82</v>
      </c>
      <c r="F4830" s="87">
        <v>3.44</v>
      </c>
      <c r="G4830" s="88">
        <f t="shared" si="1"/>
        <v>1.62</v>
      </c>
      <c r="H4830" s="89">
        <f t="shared" si="10"/>
        <v>0.4709302326</v>
      </c>
      <c r="I4830" s="78" t="s">
        <v>5643</v>
      </c>
      <c r="J4830" s="78" t="s">
        <v>69</v>
      </c>
      <c r="K4830" s="58">
        <f t="shared" si="14"/>
        <v>2</v>
      </c>
      <c r="L4830" s="91" t="str">
        <f t="shared" si="8"/>
        <v>Fri</v>
      </c>
      <c r="M4830" s="78" t="str">
        <f>IFERROR(VLOOKUP(A4830, Entries!A:B,2,false),"")</f>
        <v>Joey Drew Studios</v>
      </c>
      <c r="N4830" s="23" t="str">
        <f>IFERROR(VLOOKUP(A4830, Entries!A:K,11,false),"")</f>
        <v/>
      </c>
    </row>
    <row r="4831">
      <c r="A4831" s="78" t="s">
        <v>5408</v>
      </c>
      <c r="B4831" s="78" t="s">
        <v>29</v>
      </c>
      <c r="C4831" s="85">
        <v>45252.0</v>
      </c>
      <c r="D4831" s="85">
        <v>45255.0</v>
      </c>
      <c r="E4831" s="86">
        <v>1.82</v>
      </c>
      <c r="F4831" s="87">
        <v>3.44</v>
      </c>
      <c r="G4831" s="88">
        <f t="shared" si="1"/>
        <v>1.62</v>
      </c>
      <c r="H4831" s="89">
        <f t="shared" si="10"/>
        <v>0.4709302326</v>
      </c>
      <c r="I4831" s="78" t="s">
        <v>5644</v>
      </c>
      <c r="J4831" s="78" t="s">
        <v>69</v>
      </c>
      <c r="K4831" s="58">
        <f t="shared" si="14"/>
        <v>3</v>
      </c>
      <c r="L4831" s="91" t="str">
        <f t="shared" si="8"/>
        <v>Sat</v>
      </c>
      <c r="M4831" s="78" t="str">
        <f>IFERROR(VLOOKUP(A4831, Entries!A:B,2,false),"")</f>
        <v>Joey Drew Studios</v>
      </c>
      <c r="N4831" s="23" t="str">
        <f>IFERROR(VLOOKUP(A4831, Entries!A:K,11,false),"")</f>
        <v/>
      </c>
    </row>
    <row r="4832">
      <c r="A4832" s="78" t="s">
        <v>5408</v>
      </c>
      <c r="B4832" s="78" t="s">
        <v>29</v>
      </c>
      <c r="C4832" s="85">
        <v>45252.0</v>
      </c>
      <c r="D4832" s="85">
        <v>45256.0</v>
      </c>
      <c r="E4832" s="86">
        <v>1.82</v>
      </c>
      <c r="F4832" s="87">
        <v>3.44</v>
      </c>
      <c r="G4832" s="88">
        <f t="shared" si="1"/>
        <v>1.62</v>
      </c>
      <c r="H4832" s="89">
        <f t="shared" si="10"/>
        <v>0.4709302326</v>
      </c>
      <c r="I4832" s="78" t="s">
        <v>5645</v>
      </c>
      <c r="J4832" s="78" t="s">
        <v>69</v>
      </c>
      <c r="K4832" s="58">
        <f t="shared" si="14"/>
        <v>4</v>
      </c>
      <c r="L4832" s="91" t="str">
        <f t="shared" si="8"/>
        <v>Sun</v>
      </c>
      <c r="M4832" s="78" t="str">
        <f>IFERROR(VLOOKUP(A4832, Entries!A:B,2,false),"")</f>
        <v>Joey Drew Studios</v>
      </c>
      <c r="N4832" s="23" t="str">
        <f>IFERROR(VLOOKUP(A4832, Entries!A:K,11,false),"")</f>
        <v/>
      </c>
    </row>
    <row r="4833">
      <c r="A4833" s="78" t="s">
        <v>5408</v>
      </c>
      <c r="B4833" s="78" t="s">
        <v>29</v>
      </c>
      <c r="C4833" s="85">
        <v>45252.0</v>
      </c>
      <c r="D4833" s="85">
        <v>45257.0</v>
      </c>
      <c r="E4833" s="86">
        <v>1.82</v>
      </c>
      <c r="F4833" s="87">
        <v>3.44</v>
      </c>
      <c r="G4833" s="88">
        <f t="shared" si="1"/>
        <v>1.62</v>
      </c>
      <c r="H4833" s="89">
        <f t="shared" si="10"/>
        <v>0.4709302326</v>
      </c>
      <c r="I4833" s="78" t="s">
        <v>5646</v>
      </c>
      <c r="J4833" s="78" t="s">
        <v>69</v>
      </c>
      <c r="K4833" s="58">
        <f t="shared" si="14"/>
        <v>5</v>
      </c>
      <c r="L4833" s="91" t="str">
        <f t="shared" si="8"/>
        <v>Mon</v>
      </c>
      <c r="M4833" s="78" t="str">
        <f>IFERROR(VLOOKUP(A4833, Entries!A:B,2,false),"")</f>
        <v>Joey Drew Studios</v>
      </c>
      <c r="N4833" s="23" t="str">
        <f>IFERROR(VLOOKUP(A4833, Entries!A:K,11,false),"")</f>
        <v/>
      </c>
    </row>
    <row r="4834">
      <c r="A4834" s="78" t="s">
        <v>5408</v>
      </c>
      <c r="B4834" s="78" t="s">
        <v>29</v>
      </c>
      <c r="C4834" s="85">
        <v>45252.0</v>
      </c>
      <c r="D4834" s="85">
        <v>45258.0</v>
      </c>
      <c r="E4834" s="86">
        <v>1.82</v>
      </c>
      <c r="F4834" s="87">
        <v>3.44</v>
      </c>
      <c r="G4834" s="88">
        <f t="shared" si="1"/>
        <v>1.62</v>
      </c>
      <c r="H4834" s="89">
        <f t="shared" si="10"/>
        <v>0.4709302326</v>
      </c>
      <c r="I4834" s="78" t="s">
        <v>5647</v>
      </c>
      <c r="J4834" s="78" t="s">
        <v>69</v>
      </c>
      <c r="K4834" s="58">
        <f t="shared" si="14"/>
        <v>6</v>
      </c>
      <c r="L4834" s="91" t="str">
        <f t="shared" si="8"/>
        <v>Tue</v>
      </c>
      <c r="M4834" s="78" t="str">
        <f>IFERROR(VLOOKUP(A4834, Entries!A:B,2,false),"")</f>
        <v>Joey Drew Studios</v>
      </c>
      <c r="N4834" s="23" t="str">
        <f>IFERROR(VLOOKUP(A4834, Entries!A:K,11,false),"")</f>
        <v/>
      </c>
    </row>
    <row r="4835">
      <c r="A4835" s="78" t="s">
        <v>5408</v>
      </c>
      <c r="B4835" s="78" t="s">
        <v>29</v>
      </c>
      <c r="C4835" s="85">
        <v>45252.0</v>
      </c>
      <c r="D4835" s="85">
        <v>45258.0</v>
      </c>
      <c r="E4835" s="86">
        <v>1.83</v>
      </c>
      <c r="F4835" s="87">
        <v>3.44</v>
      </c>
      <c r="G4835" s="88">
        <f t="shared" si="1"/>
        <v>1.61</v>
      </c>
      <c r="H4835" s="89">
        <f t="shared" si="10"/>
        <v>0.4680232558</v>
      </c>
      <c r="I4835" s="78" t="s">
        <v>5648</v>
      </c>
      <c r="J4835" s="78" t="s">
        <v>69</v>
      </c>
      <c r="K4835" s="58">
        <f t="shared" si="14"/>
        <v>6</v>
      </c>
      <c r="L4835" s="91" t="str">
        <f t="shared" si="8"/>
        <v>Tue</v>
      </c>
      <c r="M4835" s="78" t="str">
        <f>IFERROR(VLOOKUP(A4835, Entries!A:B,2,false),"")</f>
        <v>Joey Drew Studios</v>
      </c>
      <c r="N4835" s="23" t="str">
        <f>IFERROR(VLOOKUP(A4835, Entries!A:K,11,false),"")</f>
        <v/>
      </c>
    </row>
    <row r="4836">
      <c r="A4836" s="78" t="s">
        <v>5408</v>
      </c>
      <c r="B4836" s="78" t="s">
        <v>29</v>
      </c>
      <c r="C4836" s="85">
        <v>45252.0</v>
      </c>
      <c r="D4836" s="85">
        <v>45259.0</v>
      </c>
      <c r="E4836" s="86">
        <v>1.83</v>
      </c>
      <c r="F4836" s="87">
        <v>3.44</v>
      </c>
      <c r="G4836" s="88">
        <f t="shared" si="1"/>
        <v>1.61</v>
      </c>
      <c r="H4836" s="89">
        <f t="shared" si="10"/>
        <v>0.4680232558</v>
      </c>
      <c r="I4836" s="78" t="s">
        <v>5649</v>
      </c>
      <c r="J4836" s="78" t="s">
        <v>69</v>
      </c>
      <c r="K4836" s="58">
        <f t="shared" si="14"/>
        <v>7</v>
      </c>
      <c r="L4836" s="91" t="str">
        <f t="shared" si="8"/>
        <v>Wed</v>
      </c>
      <c r="M4836" s="78" t="str">
        <f>IFERROR(VLOOKUP(A4836, Entries!A:B,2,false),"")</f>
        <v>Joey Drew Studios</v>
      </c>
      <c r="N4836" s="23" t="str">
        <f>IFERROR(VLOOKUP(A4836, Entries!A:K,11,false),"")</f>
        <v/>
      </c>
    </row>
    <row r="4837">
      <c r="A4837" s="78" t="s">
        <v>5408</v>
      </c>
      <c r="B4837" s="78" t="s">
        <v>29</v>
      </c>
      <c r="C4837" s="85">
        <v>45252.0</v>
      </c>
      <c r="D4837" s="85">
        <v>45262.0</v>
      </c>
      <c r="E4837" s="86">
        <v>1.83</v>
      </c>
      <c r="F4837" s="87">
        <v>3.44</v>
      </c>
      <c r="G4837" s="88">
        <f t="shared" si="1"/>
        <v>1.61</v>
      </c>
      <c r="H4837" s="89">
        <f t="shared" si="10"/>
        <v>0.4680232558</v>
      </c>
      <c r="I4837" s="78" t="s">
        <v>5650</v>
      </c>
      <c r="J4837" s="78" t="s">
        <v>69</v>
      </c>
      <c r="K4837" s="58">
        <f t="shared" si="14"/>
        <v>10</v>
      </c>
      <c r="L4837" s="91" t="str">
        <f t="shared" si="8"/>
        <v>Sat</v>
      </c>
      <c r="M4837" s="78" t="str">
        <f>IFERROR(VLOOKUP(A4837, Entries!A:B,2,false),"")</f>
        <v>Joey Drew Studios</v>
      </c>
      <c r="N4837" s="23" t="str">
        <f>IFERROR(VLOOKUP(A4837, Entries!A:K,11,false),"")</f>
        <v/>
      </c>
    </row>
    <row r="4838">
      <c r="A4838" s="78" t="s">
        <v>5408</v>
      </c>
      <c r="B4838" s="78" t="s">
        <v>29</v>
      </c>
      <c r="C4838" s="85">
        <v>45252.0</v>
      </c>
      <c r="D4838" s="85">
        <v>45264.0</v>
      </c>
      <c r="E4838" s="86">
        <v>1.83</v>
      </c>
      <c r="F4838" s="87">
        <v>3.44</v>
      </c>
      <c r="G4838" s="88">
        <f t="shared" si="1"/>
        <v>1.61</v>
      </c>
      <c r="H4838" s="89">
        <f t="shared" si="10"/>
        <v>0.4680232558</v>
      </c>
      <c r="I4838" s="78" t="s">
        <v>5651</v>
      </c>
      <c r="J4838" s="78" t="s">
        <v>69</v>
      </c>
      <c r="K4838" s="58">
        <f t="shared" si="14"/>
        <v>12</v>
      </c>
      <c r="L4838" s="91" t="str">
        <f t="shared" si="8"/>
        <v>Mon</v>
      </c>
      <c r="M4838" s="78" t="str">
        <f>IFERROR(VLOOKUP(A4838, Entries!A:B,2,false),"")</f>
        <v>Joey Drew Studios</v>
      </c>
      <c r="N4838" s="23" t="str">
        <f>IFERROR(VLOOKUP(A4838, Entries!A:K,11,false),"")</f>
        <v/>
      </c>
    </row>
    <row r="4839">
      <c r="A4839" s="78" t="s">
        <v>5408</v>
      </c>
      <c r="B4839" s="78" t="s">
        <v>29</v>
      </c>
      <c r="C4839" s="85">
        <v>45252.0</v>
      </c>
      <c r="D4839" s="85">
        <v>45264.0</v>
      </c>
      <c r="E4839" s="86">
        <v>1.83</v>
      </c>
      <c r="F4839" s="87">
        <v>3.44</v>
      </c>
      <c r="G4839" s="88">
        <f t="shared" si="1"/>
        <v>1.61</v>
      </c>
      <c r="H4839" s="89">
        <f t="shared" si="10"/>
        <v>0.4680232558</v>
      </c>
      <c r="I4839" s="78" t="s">
        <v>5652</v>
      </c>
      <c r="J4839" s="78" t="s">
        <v>69</v>
      </c>
      <c r="K4839" s="58">
        <f t="shared" si="14"/>
        <v>12</v>
      </c>
      <c r="L4839" s="91" t="str">
        <f t="shared" si="8"/>
        <v>Mon</v>
      </c>
      <c r="M4839" s="78" t="str">
        <f>IFERROR(VLOOKUP(A4839, Entries!A:B,2,false),"")</f>
        <v>Joey Drew Studios</v>
      </c>
      <c r="N4839" s="23" t="str">
        <f>IFERROR(VLOOKUP(A4839, Entries!A:K,11,false),"")</f>
        <v/>
      </c>
    </row>
    <row r="4840">
      <c r="A4840" s="78" t="s">
        <v>5615</v>
      </c>
      <c r="B4840" s="78" t="s">
        <v>23</v>
      </c>
      <c r="C4840" s="85">
        <v>45250.0</v>
      </c>
      <c r="D4840" s="85">
        <v>45277.0</v>
      </c>
      <c r="E4840" s="86">
        <v>3.57</v>
      </c>
      <c r="F4840" s="87">
        <v>3.78</v>
      </c>
      <c r="G4840" s="88">
        <f t="shared" si="1"/>
        <v>0.21</v>
      </c>
      <c r="H4840" s="89">
        <f t="shared" si="10"/>
        <v>0.05555555556</v>
      </c>
      <c r="I4840" s="78" t="s">
        <v>5653</v>
      </c>
      <c r="J4840" s="78" t="s">
        <v>69</v>
      </c>
      <c r="K4840" s="58">
        <f t="shared" si="14"/>
        <v>27</v>
      </c>
      <c r="L4840" s="91" t="str">
        <f t="shared" si="8"/>
        <v>Sun</v>
      </c>
      <c r="M4840" s="78" t="str">
        <f>IFERROR(VLOOKUP(A4840, Entries!A:B,2,false),"")</f>
        <v>Bethesda Softworks</v>
      </c>
      <c r="N4840" s="23" t="str">
        <f>IFERROR(VLOOKUP(A4840, Entries!A:K,11,false),"")</f>
        <v/>
      </c>
    </row>
    <row r="4841">
      <c r="A4841" s="78" t="s">
        <v>5615</v>
      </c>
      <c r="B4841" s="78" t="s">
        <v>23</v>
      </c>
      <c r="C4841" s="85">
        <v>45250.0</v>
      </c>
      <c r="D4841" s="85">
        <v>45278.0</v>
      </c>
      <c r="E4841" s="86">
        <v>3.57</v>
      </c>
      <c r="F4841" s="87">
        <v>3.78</v>
      </c>
      <c r="G4841" s="88">
        <f t="shared" si="1"/>
        <v>0.21</v>
      </c>
      <c r="H4841" s="89">
        <f t="shared" si="10"/>
        <v>0.05555555556</v>
      </c>
      <c r="I4841" s="78" t="s">
        <v>5654</v>
      </c>
      <c r="J4841" s="78" t="s">
        <v>69</v>
      </c>
      <c r="K4841" s="58">
        <f t="shared" si="14"/>
        <v>28</v>
      </c>
      <c r="L4841" s="91" t="str">
        <f t="shared" si="8"/>
        <v>Mon</v>
      </c>
      <c r="M4841" s="78" t="str">
        <f>IFERROR(VLOOKUP(A4841, Entries!A:B,2,false),"")</f>
        <v>Bethesda Softworks</v>
      </c>
      <c r="N4841" s="23" t="str">
        <f>IFERROR(VLOOKUP(A4841, Entries!A:K,11,false),"")</f>
        <v/>
      </c>
    </row>
    <row r="4842">
      <c r="A4842" s="78" t="s">
        <v>5615</v>
      </c>
      <c r="B4842" s="78" t="s">
        <v>23</v>
      </c>
      <c r="C4842" s="85">
        <v>45250.0</v>
      </c>
      <c r="D4842" s="85">
        <v>45276.0</v>
      </c>
      <c r="E4842" s="86">
        <v>3.57</v>
      </c>
      <c r="F4842" s="87">
        <v>3.78</v>
      </c>
      <c r="G4842" s="88">
        <f t="shared" si="1"/>
        <v>0.21</v>
      </c>
      <c r="H4842" s="89">
        <f t="shared" si="10"/>
        <v>0.05555555556</v>
      </c>
      <c r="I4842" s="78" t="s">
        <v>5655</v>
      </c>
      <c r="J4842" s="78" t="s">
        <v>69</v>
      </c>
      <c r="K4842" s="58">
        <f t="shared" si="14"/>
        <v>26</v>
      </c>
      <c r="L4842" s="91" t="str">
        <f t="shared" si="8"/>
        <v>Sat</v>
      </c>
      <c r="M4842" s="78" t="str">
        <f>IFERROR(VLOOKUP(A4842, Entries!A:B,2,false),"")</f>
        <v>Bethesda Softworks</v>
      </c>
      <c r="N4842" s="23" t="str">
        <f>IFERROR(VLOOKUP(A4842, Entries!A:K,11,false),"")</f>
        <v/>
      </c>
    </row>
    <row r="4843">
      <c r="A4843" s="78" t="s">
        <v>5033</v>
      </c>
      <c r="B4843" s="78" t="s">
        <v>27</v>
      </c>
      <c r="C4843" s="85">
        <v>45250.0</v>
      </c>
      <c r="D4843" s="85">
        <v>45253.0</v>
      </c>
      <c r="E4843" s="86">
        <v>8.22</v>
      </c>
      <c r="F4843" s="87">
        <v>11.11</v>
      </c>
      <c r="G4843" s="88">
        <f t="shared" si="1"/>
        <v>2.89</v>
      </c>
      <c r="H4843" s="89">
        <f t="shared" si="10"/>
        <v>0.2601260126</v>
      </c>
      <c r="I4843" s="78" t="s">
        <v>5656</v>
      </c>
      <c r="J4843" s="78" t="s">
        <v>69</v>
      </c>
      <c r="K4843" s="58">
        <f t="shared" si="14"/>
        <v>3</v>
      </c>
      <c r="L4843" s="91" t="str">
        <f t="shared" si="8"/>
        <v>Thu</v>
      </c>
      <c r="M4843" s="78" t="str">
        <f>IFERROR(VLOOKUP(A4843, Entries!A:B,2,false),"")</f>
        <v>Freedom Games</v>
      </c>
      <c r="N4843" s="23" t="str">
        <f>IFERROR(VLOOKUP(A4843, Entries!A:K,11,false),"")</f>
        <v/>
      </c>
    </row>
    <row r="4844">
      <c r="A4844" s="78" t="s">
        <v>1786</v>
      </c>
      <c r="B4844" s="78" t="s">
        <v>19</v>
      </c>
      <c r="C4844" s="85">
        <v>45250.0</v>
      </c>
      <c r="D4844" s="85">
        <v>45251.0</v>
      </c>
      <c r="E4844" s="86">
        <v>11.79</v>
      </c>
      <c r="F4844" s="87">
        <v>18.93</v>
      </c>
      <c r="G4844" s="88">
        <f t="shared" si="1"/>
        <v>7.14</v>
      </c>
      <c r="H4844" s="89">
        <f t="shared" si="10"/>
        <v>0.3771790808</v>
      </c>
      <c r="I4844" s="78" t="s">
        <v>5657</v>
      </c>
      <c r="J4844" s="78" t="s">
        <v>69</v>
      </c>
      <c r="K4844" s="58">
        <f t="shared" si="14"/>
        <v>1</v>
      </c>
      <c r="L4844" s="91" t="str">
        <f t="shared" si="8"/>
        <v>Tue</v>
      </c>
      <c r="M4844" s="78" t="str">
        <f>IFERROR(VLOOKUP(A4844, Entries!A:B,2,false),"")</f>
        <v>Bethesda Softworks</v>
      </c>
      <c r="N4844" s="23" t="str">
        <f>IFERROR(VLOOKUP(A4844, Entries!A:K,11,false),"")</f>
        <v/>
      </c>
    </row>
    <row r="4845">
      <c r="A4845" s="78" t="s">
        <v>1440</v>
      </c>
      <c r="B4845" s="78" t="s">
        <v>19</v>
      </c>
      <c r="C4845" s="85">
        <v>45250.0</v>
      </c>
      <c r="D4845" s="85">
        <v>45252.0</v>
      </c>
      <c r="E4845" s="86">
        <v>0.0</v>
      </c>
      <c r="F4845" s="87">
        <v>2.55</v>
      </c>
      <c r="G4845" s="88">
        <f t="shared" si="1"/>
        <v>2.55</v>
      </c>
      <c r="H4845" s="89">
        <f t="shared" si="10"/>
        <v>1</v>
      </c>
      <c r="I4845" s="78" t="s">
        <v>5658</v>
      </c>
      <c r="J4845" s="78" t="s">
        <v>69</v>
      </c>
      <c r="K4845" s="58">
        <f t="shared" si="14"/>
        <v>2</v>
      </c>
      <c r="L4845" s="91" t="str">
        <f t="shared" si="8"/>
        <v>Wed</v>
      </c>
      <c r="M4845" s="78" t="str">
        <f>IFERROR(VLOOKUP(A4845, Entries!A:B,2,false),"")</f>
        <v>Junkfish Limited</v>
      </c>
      <c r="N4845" s="23" t="str">
        <f>IFERROR(VLOOKUP(A4845, Entries!A:K,11,false),"")</f>
        <v/>
      </c>
    </row>
    <row r="4846">
      <c r="A4846" s="94" t="s">
        <v>4282</v>
      </c>
      <c r="B4846" s="78" t="s">
        <v>27</v>
      </c>
      <c r="C4846" s="85">
        <v>45250.0</v>
      </c>
      <c r="D4846" s="85">
        <v>45587.0</v>
      </c>
      <c r="E4846" s="86">
        <v>22.76</v>
      </c>
      <c r="F4846" s="87">
        <v>25.89</v>
      </c>
      <c r="G4846" s="88">
        <f t="shared" si="1"/>
        <v>3.13</v>
      </c>
      <c r="H4846" s="89">
        <f t="shared" si="10"/>
        <v>0.1208960989</v>
      </c>
      <c r="I4846" s="78" t="s">
        <v>5659</v>
      </c>
      <c r="J4846" s="78" t="s">
        <v>69</v>
      </c>
      <c r="K4846" s="58">
        <f t="shared" si="14"/>
        <v>337</v>
      </c>
      <c r="L4846" s="91" t="str">
        <f t="shared" si="8"/>
        <v>Tue</v>
      </c>
      <c r="M4846" s="78" t="str">
        <f>IFERROR(VLOOKUP(A4846, Entries!A:B,2,false),"")</f>
        <v>PlayStation</v>
      </c>
      <c r="N4846" s="23" t="str">
        <f>IFERROR(VLOOKUP(A4846, Entries!A:K,11,false),"")</f>
        <v/>
      </c>
    </row>
    <row r="4847">
      <c r="A4847" s="78" t="s">
        <v>1786</v>
      </c>
      <c r="B4847" s="78" t="s">
        <v>19</v>
      </c>
      <c r="C4847" s="85">
        <v>45251.0</v>
      </c>
      <c r="D4847" s="85">
        <v>45251.0</v>
      </c>
      <c r="E4847" s="86">
        <v>12.32</v>
      </c>
      <c r="F4847" s="87">
        <v>17.41</v>
      </c>
      <c r="G4847" s="88">
        <f t="shared" si="1"/>
        <v>5.09</v>
      </c>
      <c r="H4847" s="89">
        <f t="shared" si="10"/>
        <v>0.2923607122</v>
      </c>
      <c r="I4847" s="78" t="s">
        <v>5660</v>
      </c>
      <c r="J4847" s="78" t="s">
        <v>69</v>
      </c>
      <c r="K4847" s="58">
        <f t="shared" si="14"/>
        <v>0</v>
      </c>
      <c r="L4847" s="91" t="str">
        <f t="shared" si="8"/>
        <v>Tue</v>
      </c>
      <c r="M4847" s="78" t="str">
        <f>IFERROR(VLOOKUP(A4847, Entries!A:B,2,false),"")</f>
        <v>Bethesda Softworks</v>
      </c>
      <c r="N4847" s="23" t="str">
        <f>IFERROR(VLOOKUP(A4847, Entries!A:K,11,false),"")</f>
        <v/>
      </c>
    </row>
    <row r="4848">
      <c r="A4848" s="94" t="s">
        <v>1786</v>
      </c>
      <c r="B4848" s="78" t="s">
        <v>19</v>
      </c>
      <c r="C4848" s="85">
        <v>45251.0</v>
      </c>
      <c r="D4848" s="85">
        <v>45406.0</v>
      </c>
      <c r="E4848" s="86">
        <v>11.89</v>
      </c>
      <c r="F4848" s="87">
        <v>12.26</v>
      </c>
      <c r="G4848" s="88">
        <f t="shared" si="1"/>
        <v>0.37</v>
      </c>
      <c r="H4848" s="89">
        <f t="shared" si="10"/>
        <v>0.03017944535</v>
      </c>
      <c r="I4848" s="78" t="s">
        <v>5661</v>
      </c>
      <c r="J4848" s="78" t="s">
        <v>69</v>
      </c>
      <c r="K4848" s="58">
        <f t="shared" si="14"/>
        <v>155</v>
      </c>
      <c r="L4848" s="91" t="str">
        <f t="shared" si="8"/>
        <v>Wed</v>
      </c>
      <c r="M4848" s="78" t="str">
        <f>IFERROR(VLOOKUP(A4848, Entries!A:B,2,false),"")</f>
        <v>Bethesda Softworks</v>
      </c>
      <c r="N4848" s="23" t="str">
        <f>IFERROR(VLOOKUP(A4848, Entries!A:K,11,false),"")</f>
        <v/>
      </c>
    </row>
    <row r="4849">
      <c r="A4849" s="78" t="s">
        <v>550</v>
      </c>
      <c r="B4849" s="78" t="s">
        <v>25</v>
      </c>
      <c r="C4849" s="85">
        <v>45252.0</v>
      </c>
      <c r="D4849" s="85">
        <v>45256.0</v>
      </c>
      <c r="E4849" s="86">
        <v>5.27</v>
      </c>
      <c r="F4849" s="87">
        <v>8.13</v>
      </c>
      <c r="G4849" s="88">
        <f t="shared" si="1"/>
        <v>2.86</v>
      </c>
      <c r="H4849" s="89">
        <f t="shared" si="10"/>
        <v>0.3517835178</v>
      </c>
      <c r="I4849" s="78" t="s">
        <v>5662</v>
      </c>
      <c r="J4849" s="78" t="s">
        <v>69</v>
      </c>
      <c r="K4849" s="58">
        <f t="shared" si="14"/>
        <v>4</v>
      </c>
      <c r="L4849" s="91" t="str">
        <f t="shared" si="8"/>
        <v>Sun</v>
      </c>
      <c r="M4849" s="78" t="str">
        <f>IFERROR(VLOOKUP(A4849, Entries!A:B,2,false),"")</f>
        <v>Codemasters</v>
      </c>
      <c r="N4849" s="23" t="str">
        <f>IFERROR(VLOOKUP(A4849, Entries!A:K,11,false),"")</f>
        <v/>
      </c>
    </row>
    <row r="4850">
      <c r="A4850" s="78" t="s">
        <v>5510</v>
      </c>
      <c r="B4850" s="78" t="s">
        <v>27</v>
      </c>
      <c r="C4850" s="85">
        <v>45253.0</v>
      </c>
      <c r="D4850" s="85">
        <v>45253.0</v>
      </c>
      <c r="E4850" s="86">
        <v>14.98</v>
      </c>
      <c r="F4850" s="87">
        <v>20.14</v>
      </c>
      <c r="G4850" s="88">
        <f t="shared" si="1"/>
        <v>5.16</v>
      </c>
      <c r="H4850" s="89">
        <f t="shared" si="10"/>
        <v>0.2562065541</v>
      </c>
      <c r="I4850" s="78" t="s">
        <v>5479</v>
      </c>
      <c r="J4850" s="78" t="s">
        <v>69</v>
      </c>
      <c r="K4850" s="58">
        <f t="shared" si="14"/>
        <v>0</v>
      </c>
      <c r="L4850" s="91" t="str">
        <f t="shared" si="8"/>
        <v>Thu</v>
      </c>
      <c r="M4850" s="78" t="str">
        <f>IFERROR(VLOOKUP(A4850, Entries!A:B,2,false),"")</f>
        <v>Techland Publishing</v>
      </c>
      <c r="N4850" s="23" t="str">
        <f>IFERROR(VLOOKUP(A4850, Entries!A:K,11,false),"")</f>
        <v/>
      </c>
    </row>
    <row r="4851">
      <c r="A4851" s="78" t="s">
        <v>5510</v>
      </c>
      <c r="B4851" s="78" t="s">
        <v>27</v>
      </c>
      <c r="C4851" s="85">
        <v>45253.0</v>
      </c>
      <c r="D4851" s="85">
        <v>45254.0</v>
      </c>
      <c r="E4851" s="86">
        <v>14.97</v>
      </c>
      <c r="F4851" s="87">
        <v>20.14</v>
      </c>
      <c r="G4851" s="88">
        <f t="shared" si="1"/>
        <v>5.17</v>
      </c>
      <c r="H4851" s="89">
        <f t="shared" si="10"/>
        <v>0.2567030785</v>
      </c>
      <c r="I4851" s="78" t="s">
        <v>5179</v>
      </c>
      <c r="J4851" s="78" t="s">
        <v>69</v>
      </c>
      <c r="K4851" s="58">
        <f t="shared" si="14"/>
        <v>1</v>
      </c>
      <c r="L4851" s="91" t="str">
        <f t="shared" si="8"/>
        <v>Fri</v>
      </c>
      <c r="M4851" s="78" t="str">
        <f>IFERROR(VLOOKUP(A4851, Entries!A:B,2,false),"")</f>
        <v>Techland Publishing</v>
      </c>
      <c r="N4851" s="23" t="str">
        <f>IFERROR(VLOOKUP(A4851, Entries!A:K,11,false),"")</f>
        <v/>
      </c>
    </row>
    <row r="4852">
      <c r="A4852" s="94" t="s">
        <v>84</v>
      </c>
      <c r="B4852" s="78" t="s">
        <v>19</v>
      </c>
      <c r="C4852" s="85">
        <v>45253.0</v>
      </c>
      <c r="D4852" s="85">
        <v>45541.0</v>
      </c>
      <c r="E4852" s="86">
        <v>20.52</v>
      </c>
      <c r="F4852" s="87">
        <v>21.79</v>
      </c>
      <c r="G4852" s="88">
        <f t="shared" si="1"/>
        <v>1.27</v>
      </c>
      <c r="H4852" s="89">
        <f t="shared" si="10"/>
        <v>0.05828361634</v>
      </c>
      <c r="I4852" s="78" t="s">
        <v>5663</v>
      </c>
      <c r="J4852" s="78" t="s">
        <v>69</v>
      </c>
      <c r="K4852" s="58">
        <f t="shared" si="14"/>
        <v>288</v>
      </c>
      <c r="L4852" s="91" t="str">
        <f t="shared" si="8"/>
        <v>Fri</v>
      </c>
      <c r="M4852" s="78" t="str">
        <f>IFERROR(VLOOKUP(A4852, Entries!A:B,2,false),"")</f>
        <v>Siege Camp</v>
      </c>
      <c r="N4852" s="23" t="str">
        <f>IFERROR(VLOOKUP(A4852, Entries!A:K,11,false),"")</f>
        <v/>
      </c>
    </row>
    <row r="4853">
      <c r="A4853" s="78" t="s">
        <v>4532</v>
      </c>
      <c r="B4853" s="78" t="s">
        <v>23</v>
      </c>
      <c r="C4853" s="85">
        <v>45253.0</v>
      </c>
      <c r="D4853" s="85">
        <v>45338.0</v>
      </c>
      <c r="E4853" s="86">
        <v>34.55</v>
      </c>
      <c r="F4853" s="87">
        <v>40.39</v>
      </c>
      <c r="G4853" s="88">
        <f t="shared" si="1"/>
        <v>5.84</v>
      </c>
      <c r="H4853" s="89">
        <f t="shared" si="10"/>
        <v>0.1445902451</v>
      </c>
      <c r="I4853" s="78" t="s">
        <v>5664</v>
      </c>
      <c r="J4853" s="78" t="s">
        <v>69</v>
      </c>
      <c r="K4853" s="58">
        <f t="shared" si="14"/>
        <v>85</v>
      </c>
      <c r="L4853" s="91" t="str">
        <f t="shared" si="8"/>
        <v>Fri</v>
      </c>
      <c r="M4853" s="78" t="str">
        <f>IFERROR(VLOOKUP(A4853, Entries!A:B,2,false),"")</f>
        <v>Eugen Systems</v>
      </c>
      <c r="N4853" s="23" t="str">
        <f>IFERROR(VLOOKUP(A4853, Entries!A:K,11,false),"")</f>
        <v/>
      </c>
    </row>
    <row r="4854">
      <c r="A4854" s="78" t="s">
        <v>5665</v>
      </c>
      <c r="B4854" s="78" t="s">
        <v>25</v>
      </c>
      <c r="C4854" s="85">
        <v>45253.0</v>
      </c>
      <c r="D4854" s="25"/>
      <c r="E4854" s="86">
        <v>37.02</v>
      </c>
      <c r="F4854" s="88"/>
      <c r="G4854" s="88">
        <f t="shared" si="1"/>
        <v>-37.02</v>
      </c>
      <c r="H4854" s="89" t="str">
        <f t="shared" si="10"/>
        <v/>
      </c>
      <c r="I4854" s="103" t="s">
        <v>5666</v>
      </c>
      <c r="J4854" s="78" t="s">
        <v>1129</v>
      </c>
      <c r="K4854" s="58" t="str">
        <f t="shared" si="14"/>
        <v/>
      </c>
      <c r="L4854" s="91" t="str">
        <f t="shared" si="8"/>
        <v/>
      </c>
      <c r="M4854" s="78" t="str">
        <f>IFERROR(VLOOKUP(A4854, Entries!A:B,2,false),"")</f>
        <v/>
      </c>
      <c r="N4854" s="23" t="str">
        <f>IFERROR(VLOOKUP(A4854, Entries!A:K,11,false),"")</f>
        <v/>
      </c>
    </row>
    <row r="4855">
      <c r="A4855" s="78" t="s">
        <v>4914</v>
      </c>
      <c r="B4855" s="78" t="s">
        <v>27</v>
      </c>
      <c r="C4855" s="85">
        <v>45254.0</v>
      </c>
      <c r="D4855" s="85">
        <v>45256.0</v>
      </c>
      <c r="E4855" s="86">
        <v>9.54</v>
      </c>
      <c r="F4855" s="87">
        <v>16.48</v>
      </c>
      <c r="G4855" s="88">
        <f t="shared" si="1"/>
        <v>6.94</v>
      </c>
      <c r="H4855" s="89">
        <f t="shared" si="10"/>
        <v>0.4211165049</v>
      </c>
      <c r="I4855" s="78" t="s">
        <v>5667</v>
      </c>
      <c r="J4855" s="78" t="s">
        <v>69</v>
      </c>
      <c r="K4855" s="58">
        <f t="shared" si="14"/>
        <v>2</v>
      </c>
      <c r="L4855" s="91" t="str">
        <f t="shared" si="8"/>
        <v>Sun</v>
      </c>
      <c r="M4855" s="78" t="str">
        <f>IFERROR(VLOOKUP(A4855, Entries!A:B,2,false),"")</f>
        <v>Deep Silver</v>
      </c>
      <c r="N4855" s="23" t="str">
        <f>IFERROR(VLOOKUP(A4855, Entries!A:K,11,false),"")</f>
        <v/>
      </c>
    </row>
    <row r="4856">
      <c r="A4856" s="94" t="s">
        <v>2734</v>
      </c>
      <c r="B4856" s="78" t="s">
        <v>19</v>
      </c>
      <c r="C4856" s="85">
        <v>45254.0</v>
      </c>
      <c r="D4856" s="85">
        <v>45450.0</v>
      </c>
      <c r="E4856" s="86">
        <v>10.79</v>
      </c>
      <c r="F4856" s="87">
        <v>12.91</v>
      </c>
      <c r="G4856" s="88">
        <f t="shared" si="1"/>
        <v>2.12</v>
      </c>
      <c r="H4856" s="89">
        <f t="shared" si="10"/>
        <v>0.1642137878</v>
      </c>
      <c r="I4856" s="78" t="s">
        <v>5668</v>
      </c>
      <c r="J4856" s="78" t="s">
        <v>69</v>
      </c>
      <c r="K4856" s="58">
        <f t="shared" si="14"/>
        <v>196</v>
      </c>
      <c r="L4856" s="91" t="str">
        <f t="shared" si="8"/>
        <v>Fri</v>
      </c>
      <c r="M4856" s="78" t="str">
        <f>IFERROR(VLOOKUP(A4856, Entries!A:B,2,false),"")</f>
        <v>Dotemu</v>
      </c>
      <c r="N4856" s="23" t="str">
        <f>IFERROR(VLOOKUP(A4856, Entries!A:K,11,false),"")</f>
        <v/>
      </c>
    </row>
    <row r="4857">
      <c r="A4857" s="78" t="s">
        <v>5618</v>
      </c>
      <c r="B4857" s="78" t="s">
        <v>22</v>
      </c>
      <c r="C4857" s="85">
        <v>45254.0</v>
      </c>
      <c r="D4857" s="85">
        <v>45300.0</v>
      </c>
      <c r="E4857" s="86">
        <v>6.4</v>
      </c>
      <c r="F4857" s="87">
        <v>9.48</v>
      </c>
      <c r="G4857" s="88">
        <f t="shared" si="1"/>
        <v>3.08</v>
      </c>
      <c r="H4857" s="89">
        <f t="shared" si="10"/>
        <v>0.3248945148</v>
      </c>
      <c r="I4857" s="78" t="s">
        <v>5669</v>
      </c>
      <c r="J4857" s="78" t="s">
        <v>69</v>
      </c>
      <c r="K4857" s="58">
        <f t="shared" si="14"/>
        <v>46</v>
      </c>
      <c r="L4857" s="91" t="str">
        <f t="shared" si="8"/>
        <v>Tue</v>
      </c>
      <c r="M4857" s="78" t="str">
        <f>IFERROR(VLOOKUP(A4857, Entries!A:B,2,false),"")</f>
        <v/>
      </c>
      <c r="N4857" s="23" t="str">
        <f>IFERROR(VLOOKUP(A4857, Entries!A:K,11,false),"")</f>
        <v/>
      </c>
    </row>
    <row r="4858">
      <c r="A4858" s="78" t="s">
        <v>5670</v>
      </c>
      <c r="B4858" s="78" t="s">
        <v>19</v>
      </c>
      <c r="C4858" s="85">
        <v>45254.0</v>
      </c>
      <c r="D4858" s="85">
        <v>45391.0</v>
      </c>
      <c r="E4858" s="86">
        <v>23.27</v>
      </c>
      <c r="F4858" s="87">
        <v>23.1</v>
      </c>
      <c r="G4858" s="88">
        <f t="shared" si="1"/>
        <v>-0.17</v>
      </c>
      <c r="H4858" s="89">
        <f t="shared" si="10"/>
        <v>-0.007359307359</v>
      </c>
      <c r="I4858" s="78" t="s">
        <v>5671</v>
      </c>
      <c r="J4858" s="78" t="s">
        <v>69</v>
      </c>
      <c r="K4858" s="58">
        <f t="shared" si="14"/>
        <v>137</v>
      </c>
      <c r="L4858" s="91" t="str">
        <f t="shared" si="8"/>
        <v>Tue</v>
      </c>
      <c r="M4858" s="78" t="str">
        <f>IFERROR(VLOOKUP(A4858, Entries!A:B,2,false),"")</f>
        <v/>
      </c>
      <c r="N4858" s="23" t="str">
        <f>IFERROR(VLOOKUP(A4858, Entries!A:K,11,false),"")</f>
        <v/>
      </c>
    </row>
    <row r="4859">
      <c r="A4859" s="78" t="s">
        <v>5672</v>
      </c>
      <c r="B4859" s="78" t="s">
        <v>19</v>
      </c>
      <c r="C4859" s="85">
        <v>45254.0</v>
      </c>
      <c r="D4859" s="85">
        <v>45254.0</v>
      </c>
      <c r="E4859" s="86">
        <v>0.0</v>
      </c>
      <c r="F4859" s="87">
        <v>1.17</v>
      </c>
      <c r="G4859" s="88">
        <f t="shared" si="1"/>
        <v>1.17</v>
      </c>
      <c r="H4859" s="89">
        <f t="shared" si="10"/>
        <v>1</v>
      </c>
      <c r="I4859" s="78" t="s">
        <v>5673</v>
      </c>
      <c r="J4859" s="78" t="s">
        <v>69</v>
      </c>
      <c r="K4859" s="58">
        <f t="shared" si="14"/>
        <v>0</v>
      </c>
      <c r="L4859" s="91" t="str">
        <f t="shared" si="8"/>
        <v>Fri</v>
      </c>
      <c r="M4859" s="78" t="str">
        <f>IFERROR(VLOOKUP(A4859, Entries!A:B,2,false),"")</f>
        <v/>
      </c>
      <c r="N4859" s="23" t="str">
        <f>IFERROR(VLOOKUP(A4859, Entries!A:K,11,false),"")</f>
        <v/>
      </c>
    </row>
    <row r="4860">
      <c r="A4860" s="78" t="s">
        <v>3804</v>
      </c>
      <c r="B4860" s="78" t="s">
        <v>25</v>
      </c>
      <c r="C4860" s="85">
        <v>45254.0</v>
      </c>
      <c r="D4860" s="85">
        <v>45274.0</v>
      </c>
      <c r="E4860" s="86">
        <v>5.65</v>
      </c>
      <c r="F4860" s="87">
        <v>12.28</v>
      </c>
      <c r="G4860" s="88">
        <f t="shared" si="1"/>
        <v>6.63</v>
      </c>
      <c r="H4860" s="89">
        <f t="shared" si="10"/>
        <v>0.5399022801</v>
      </c>
      <c r="I4860" s="78" t="s">
        <v>5674</v>
      </c>
      <c r="J4860" s="78" t="s">
        <v>69</v>
      </c>
      <c r="K4860" s="58">
        <f t="shared" si="14"/>
        <v>20</v>
      </c>
      <c r="L4860" s="91" t="str">
        <f t="shared" si="8"/>
        <v>Thu</v>
      </c>
      <c r="M4860" s="78" t="str">
        <f>IFERROR(VLOOKUP(A4860, Entries!A:B,2,false),"")</f>
        <v>Ocean Drive Studio</v>
      </c>
      <c r="N4860" s="23" t="str">
        <f>IFERROR(VLOOKUP(A4860, Entries!A:K,11,false),"")</f>
        <v/>
      </c>
    </row>
    <row r="4861">
      <c r="A4861" s="78" t="s">
        <v>4096</v>
      </c>
      <c r="B4861" s="78" t="s">
        <v>25</v>
      </c>
      <c r="C4861" s="85">
        <v>45254.0</v>
      </c>
      <c r="D4861" s="85">
        <v>45303.0</v>
      </c>
      <c r="E4861" s="86">
        <v>26.5</v>
      </c>
      <c r="F4861" s="87">
        <v>30.85</v>
      </c>
      <c r="G4861" s="88">
        <f t="shared" si="1"/>
        <v>4.35</v>
      </c>
      <c r="H4861" s="89">
        <f t="shared" si="10"/>
        <v>0.1410048622</v>
      </c>
      <c r="I4861" s="78" t="s">
        <v>5675</v>
      </c>
      <c r="J4861" s="78" t="s">
        <v>69</v>
      </c>
      <c r="K4861" s="58">
        <f t="shared" si="14"/>
        <v>49</v>
      </c>
      <c r="L4861" s="91" t="str">
        <f t="shared" si="8"/>
        <v>Fri</v>
      </c>
      <c r="M4861" s="78" t="str">
        <f>IFERROR(VLOOKUP(A4861, Entries!A:B,2,false),"")</f>
        <v>Crate Entertainment</v>
      </c>
      <c r="N4861" s="23" t="str">
        <f>IFERROR(VLOOKUP(A4861, Entries!A:K,11,false),"")</f>
        <v/>
      </c>
    </row>
    <row r="4862">
      <c r="A4862" s="78" t="s">
        <v>5676</v>
      </c>
      <c r="B4862" s="78" t="s">
        <v>27</v>
      </c>
      <c r="C4862" s="85">
        <v>45254.0</v>
      </c>
      <c r="D4862" s="85">
        <v>45254.0</v>
      </c>
      <c r="E4862" s="86">
        <v>39.89</v>
      </c>
      <c r="F4862" s="87">
        <v>49.41</v>
      </c>
      <c r="G4862" s="88">
        <f t="shared" si="1"/>
        <v>9.52</v>
      </c>
      <c r="H4862" s="89">
        <f t="shared" si="10"/>
        <v>0.1926735479</v>
      </c>
      <c r="I4862" s="78" t="s">
        <v>5677</v>
      </c>
      <c r="J4862" s="78" t="s">
        <v>69</v>
      </c>
      <c r="K4862" s="58">
        <f t="shared" si="14"/>
        <v>0</v>
      </c>
      <c r="L4862" s="91" t="str">
        <f t="shared" si="8"/>
        <v>Fri</v>
      </c>
      <c r="M4862" s="78" t="str">
        <f>IFERROR(VLOOKUP(A4862, Entries!A:B,2,false),"")</f>
        <v>Bethesda Softworks</v>
      </c>
      <c r="N4862" s="23" t="str">
        <f>IFERROR(VLOOKUP(A4862, Entries!A:K,11,false),"")</f>
        <v/>
      </c>
    </row>
    <row r="4863">
      <c r="A4863" s="78" t="s">
        <v>5678</v>
      </c>
      <c r="B4863" s="78" t="s">
        <v>18</v>
      </c>
      <c r="C4863" s="85">
        <v>45254.0</v>
      </c>
      <c r="D4863" s="85">
        <v>45260.0</v>
      </c>
      <c r="E4863" s="86">
        <v>10.37</v>
      </c>
      <c r="F4863" s="87">
        <v>14.26</v>
      </c>
      <c r="G4863" s="88">
        <f t="shared" si="1"/>
        <v>3.89</v>
      </c>
      <c r="H4863" s="89">
        <f t="shared" si="10"/>
        <v>0.2727910238</v>
      </c>
      <c r="I4863" s="78" t="s">
        <v>5679</v>
      </c>
      <c r="J4863" s="78" t="s">
        <v>69</v>
      </c>
      <c r="K4863" s="58">
        <f t="shared" si="14"/>
        <v>6</v>
      </c>
      <c r="L4863" s="91" t="str">
        <f t="shared" si="8"/>
        <v>Thu</v>
      </c>
      <c r="M4863" s="78" t="str">
        <f>IFERROR(VLOOKUP(A4863, Entries!A:B,2,false),"")</f>
        <v/>
      </c>
      <c r="N4863" s="23" t="str">
        <f>IFERROR(VLOOKUP(A4863, Entries!A:K,11,false),"")</f>
        <v/>
      </c>
    </row>
    <row r="4864">
      <c r="A4864" s="94" t="s">
        <v>5680</v>
      </c>
      <c r="B4864" s="78" t="s">
        <v>27</v>
      </c>
      <c r="C4864" s="85">
        <v>45254.0</v>
      </c>
      <c r="D4864" s="85">
        <v>45724.0</v>
      </c>
      <c r="E4864" s="86">
        <v>12.59</v>
      </c>
      <c r="F4864" s="87">
        <v>13.06</v>
      </c>
      <c r="G4864" s="88">
        <f t="shared" si="1"/>
        <v>0.47</v>
      </c>
      <c r="H4864" s="89">
        <f t="shared" si="10"/>
        <v>0.03598774885</v>
      </c>
      <c r="I4864" s="78" t="s">
        <v>5681</v>
      </c>
      <c r="J4864" s="78" t="s">
        <v>69</v>
      </c>
      <c r="K4864" s="58">
        <f t="shared" si="14"/>
        <v>470</v>
      </c>
      <c r="L4864" s="91" t="str">
        <f t="shared" si="8"/>
        <v>Sat</v>
      </c>
      <c r="M4864" s="78" t="str">
        <f>IFERROR(VLOOKUP(A4864, Entries!A:B,2,false),"")</f>
        <v/>
      </c>
      <c r="N4864" s="23" t="str">
        <f>IFERROR(VLOOKUP(A4864, Entries!A:K,11,false),"")</f>
        <v/>
      </c>
    </row>
    <row r="4865">
      <c r="A4865" s="78" t="s">
        <v>5676</v>
      </c>
      <c r="B4865" s="78" t="s">
        <v>27</v>
      </c>
      <c r="C4865" s="85">
        <v>45254.0</v>
      </c>
      <c r="D4865" s="85">
        <v>45254.0</v>
      </c>
      <c r="E4865" s="86">
        <v>39.89</v>
      </c>
      <c r="F4865" s="87">
        <v>49.32</v>
      </c>
      <c r="G4865" s="88">
        <f t="shared" si="1"/>
        <v>9.43</v>
      </c>
      <c r="H4865" s="89">
        <f t="shared" si="10"/>
        <v>0.1912003244</v>
      </c>
      <c r="I4865" s="78" t="s">
        <v>5682</v>
      </c>
      <c r="J4865" s="78" t="s">
        <v>69</v>
      </c>
      <c r="K4865" s="58">
        <f t="shared" si="14"/>
        <v>0</v>
      </c>
      <c r="L4865" s="91" t="str">
        <f t="shared" si="8"/>
        <v>Fri</v>
      </c>
      <c r="M4865" s="78" t="str">
        <f>IFERROR(VLOOKUP(A4865, Entries!A:B,2,false),"")</f>
        <v>Bethesda Softworks</v>
      </c>
      <c r="N4865" s="23" t="str">
        <f>IFERROR(VLOOKUP(A4865, Entries!A:K,11,false),"")</f>
        <v/>
      </c>
    </row>
    <row r="4866">
      <c r="A4866" s="78" t="s">
        <v>5676</v>
      </c>
      <c r="B4866" s="78" t="s">
        <v>27</v>
      </c>
      <c r="C4866" s="85">
        <v>45254.0</v>
      </c>
      <c r="D4866" s="85">
        <v>45254.0</v>
      </c>
      <c r="E4866" s="86">
        <v>39.89</v>
      </c>
      <c r="F4866" s="87">
        <v>49.23</v>
      </c>
      <c r="G4866" s="88">
        <f t="shared" si="1"/>
        <v>9.34</v>
      </c>
      <c r="H4866" s="89">
        <f t="shared" si="10"/>
        <v>0.1897217144</v>
      </c>
      <c r="I4866" s="78" t="s">
        <v>5683</v>
      </c>
      <c r="J4866" s="78" t="s">
        <v>69</v>
      </c>
      <c r="K4866" s="58">
        <f t="shared" si="14"/>
        <v>0</v>
      </c>
      <c r="L4866" s="91" t="str">
        <f t="shared" si="8"/>
        <v>Fri</v>
      </c>
      <c r="M4866" s="78" t="str">
        <f>IFERROR(VLOOKUP(A4866, Entries!A:B,2,false),"")</f>
        <v>Bethesda Softworks</v>
      </c>
      <c r="N4866" s="23" t="str">
        <f>IFERROR(VLOOKUP(A4866, Entries!A:K,11,false),"")</f>
        <v/>
      </c>
    </row>
    <row r="4867">
      <c r="A4867" s="78" t="s">
        <v>1984</v>
      </c>
      <c r="B4867" s="78" t="s">
        <v>27</v>
      </c>
      <c r="C4867" s="85">
        <v>45254.0</v>
      </c>
      <c r="D4867" s="85">
        <v>45254.0</v>
      </c>
      <c r="E4867" s="86">
        <v>5.69</v>
      </c>
      <c r="F4867" s="87">
        <v>10.62</v>
      </c>
      <c r="G4867" s="88">
        <f t="shared" si="1"/>
        <v>4.93</v>
      </c>
      <c r="H4867" s="89">
        <f t="shared" si="10"/>
        <v>0.4642184557</v>
      </c>
      <c r="I4867" s="78" t="s">
        <v>5684</v>
      </c>
      <c r="J4867" s="78" t="s">
        <v>69</v>
      </c>
      <c r="K4867" s="58">
        <f t="shared" si="14"/>
        <v>0</v>
      </c>
      <c r="L4867" s="91" t="str">
        <f t="shared" si="8"/>
        <v>Fri</v>
      </c>
      <c r="M4867" s="78" t="str">
        <f>IFERROR(VLOOKUP(A4867, Entries!A:B,2,false),"")</f>
        <v>Offworld Industries</v>
      </c>
      <c r="N4867" s="23" t="str">
        <f>IFERROR(VLOOKUP(A4867, Entries!A:K,11,false),"")</f>
        <v/>
      </c>
    </row>
    <row r="4868">
      <c r="A4868" s="78" t="s">
        <v>5685</v>
      </c>
      <c r="B4868" s="78" t="s">
        <v>19</v>
      </c>
      <c r="C4868" s="85">
        <v>45254.0</v>
      </c>
      <c r="D4868" s="85">
        <v>45317.0</v>
      </c>
      <c r="E4868" s="86">
        <v>15.91</v>
      </c>
      <c r="F4868" s="87">
        <v>23.25</v>
      </c>
      <c r="G4868" s="88">
        <f t="shared" si="1"/>
        <v>7.34</v>
      </c>
      <c r="H4868" s="89">
        <f t="shared" si="10"/>
        <v>0.3156989247</v>
      </c>
      <c r="I4868" s="78" t="s">
        <v>5686</v>
      </c>
      <c r="J4868" s="78" t="s">
        <v>69</v>
      </c>
      <c r="K4868" s="58">
        <f t="shared" si="14"/>
        <v>63</v>
      </c>
      <c r="L4868" s="91" t="str">
        <f t="shared" si="8"/>
        <v>Fri</v>
      </c>
      <c r="M4868" s="78" t="str">
        <f>IFERROR(VLOOKUP(A4868, Entries!A:B,2,false),"")</f>
        <v/>
      </c>
      <c r="N4868" s="23" t="str">
        <f>IFERROR(VLOOKUP(A4868, Entries!A:K,11,false),"")</f>
        <v/>
      </c>
    </row>
    <row r="4869">
      <c r="A4869" s="78" t="s">
        <v>5687</v>
      </c>
      <c r="B4869" s="78" t="s">
        <v>19</v>
      </c>
      <c r="C4869" s="85">
        <v>45254.0</v>
      </c>
      <c r="D4869" s="85">
        <v>45260.0</v>
      </c>
      <c r="E4869" s="86">
        <v>0.0</v>
      </c>
      <c r="F4869" s="87">
        <v>1.25</v>
      </c>
      <c r="G4869" s="88">
        <f t="shared" si="1"/>
        <v>1.25</v>
      </c>
      <c r="H4869" s="89">
        <f t="shared" si="10"/>
        <v>1</v>
      </c>
      <c r="I4869" s="78" t="s">
        <v>5688</v>
      </c>
      <c r="J4869" s="78" t="s">
        <v>69</v>
      </c>
      <c r="K4869" s="58">
        <f t="shared" si="14"/>
        <v>6</v>
      </c>
      <c r="L4869" s="91" t="str">
        <f t="shared" si="8"/>
        <v>Thu</v>
      </c>
      <c r="M4869" s="78" t="str">
        <f>IFERROR(VLOOKUP(A4869, Entries!A:B,2,false),"")</f>
        <v/>
      </c>
      <c r="N4869" s="23" t="str">
        <f>IFERROR(VLOOKUP(A4869, Entries!A:K,11,false),"")</f>
        <v/>
      </c>
    </row>
    <row r="4870">
      <c r="A4870" s="78" t="s">
        <v>5676</v>
      </c>
      <c r="B4870" s="78" t="s">
        <v>27</v>
      </c>
      <c r="C4870" s="85">
        <v>45254.0</v>
      </c>
      <c r="D4870" s="85">
        <v>45254.0</v>
      </c>
      <c r="E4870" s="86">
        <v>39.89</v>
      </c>
      <c r="F4870" s="87">
        <v>44.8</v>
      </c>
      <c r="G4870" s="88">
        <f t="shared" si="1"/>
        <v>4.91</v>
      </c>
      <c r="H4870" s="89">
        <f t="shared" si="10"/>
        <v>0.1095982143</v>
      </c>
      <c r="I4870" s="78" t="s">
        <v>5689</v>
      </c>
      <c r="J4870" s="78" t="s">
        <v>69</v>
      </c>
      <c r="K4870" s="58">
        <f t="shared" si="14"/>
        <v>0</v>
      </c>
      <c r="L4870" s="91" t="str">
        <f t="shared" si="8"/>
        <v>Fri</v>
      </c>
      <c r="M4870" s="78" t="str">
        <f>IFERROR(VLOOKUP(A4870, Entries!A:B,2,false),"")</f>
        <v>Bethesda Softworks</v>
      </c>
      <c r="N4870" s="23" t="str">
        <f>IFERROR(VLOOKUP(A4870, Entries!A:K,11,false),"")</f>
        <v/>
      </c>
    </row>
    <row r="4871">
      <c r="A4871" s="78" t="s">
        <v>1984</v>
      </c>
      <c r="B4871" s="78" t="s">
        <v>21</v>
      </c>
      <c r="C4871" s="85">
        <v>45254.0</v>
      </c>
      <c r="D4871" s="85">
        <v>45254.0</v>
      </c>
      <c r="E4871" s="86">
        <v>6.45</v>
      </c>
      <c r="F4871" s="87">
        <v>11.98</v>
      </c>
      <c r="G4871" s="88">
        <f t="shared" si="1"/>
        <v>5.53</v>
      </c>
      <c r="H4871" s="89">
        <f t="shared" si="10"/>
        <v>0.4616026711</v>
      </c>
      <c r="I4871" s="78" t="s">
        <v>5690</v>
      </c>
      <c r="J4871" s="78" t="s">
        <v>69</v>
      </c>
      <c r="K4871" s="58">
        <f t="shared" si="14"/>
        <v>0</v>
      </c>
      <c r="L4871" s="91" t="str">
        <f t="shared" si="8"/>
        <v>Fri</v>
      </c>
      <c r="M4871" s="78" t="str">
        <f>IFERROR(VLOOKUP(A4871, Entries!A:B,2,false),"")</f>
        <v>Offworld Industries</v>
      </c>
      <c r="N4871" s="23" t="str">
        <f>IFERROR(VLOOKUP(A4871, Entries!A:K,11,false),"")</f>
        <v/>
      </c>
    </row>
    <row r="4872">
      <c r="A4872" s="78" t="s">
        <v>1984</v>
      </c>
      <c r="B4872" s="78" t="s">
        <v>21</v>
      </c>
      <c r="C4872" s="85">
        <v>45254.0</v>
      </c>
      <c r="D4872" s="85">
        <v>45255.0</v>
      </c>
      <c r="E4872" s="86">
        <v>6.46</v>
      </c>
      <c r="F4872" s="87">
        <v>10.57</v>
      </c>
      <c r="G4872" s="88">
        <f t="shared" si="1"/>
        <v>4.11</v>
      </c>
      <c r="H4872" s="89">
        <f t="shared" si="10"/>
        <v>0.3888363292</v>
      </c>
      <c r="I4872" s="78" t="s">
        <v>5691</v>
      </c>
      <c r="J4872" s="78" t="s">
        <v>69</v>
      </c>
      <c r="K4872" s="58">
        <f t="shared" si="14"/>
        <v>1</v>
      </c>
      <c r="L4872" s="91" t="str">
        <f t="shared" si="8"/>
        <v>Sat</v>
      </c>
      <c r="M4872" s="78" t="str">
        <f>IFERROR(VLOOKUP(A4872, Entries!A:B,2,false),"")</f>
        <v>Offworld Industries</v>
      </c>
      <c r="N4872" s="23" t="str">
        <f>IFERROR(VLOOKUP(A4872, Entries!A:K,11,false),"")</f>
        <v/>
      </c>
    </row>
    <row r="4873">
      <c r="A4873" s="78" t="s">
        <v>1984</v>
      </c>
      <c r="B4873" s="78" t="s">
        <v>21</v>
      </c>
      <c r="C4873" s="85">
        <v>45254.0</v>
      </c>
      <c r="D4873" s="85">
        <v>45256.0</v>
      </c>
      <c r="E4873" s="86">
        <v>6.46</v>
      </c>
      <c r="F4873" s="87">
        <v>10.61</v>
      </c>
      <c r="G4873" s="88">
        <f t="shared" si="1"/>
        <v>4.15</v>
      </c>
      <c r="H4873" s="89">
        <f t="shared" si="10"/>
        <v>0.3911404336</v>
      </c>
      <c r="I4873" s="78" t="s">
        <v>5692</v>
      </c>
      <c r="J4873" s="78" t="s">
        <v>69</v>
      </c>
      <c r="K4873" s="58">
        <f t="shared" si="14"/>
        <v>2</v>
      </c>
      <c r="L4873" s="91" t="str">
        <f t="shared" si="8"/>
        <v>Sun</v>
      </c>
      <c r="M4873" s="78" t="str">
        <f>IFERROR(VLOOKUP(A4873, Entries!A:B,2,false),"")</f>
        <v>Offworld Industries</v>
      </c>
      <c r="N4873" s="23" t="str">
        <f>IFERROR(VLOOKUP(A4873, Entries!A:K,11,false),"")</f>
        <v/>
      </c>
    </row>
    <row r="4874">
      <c r="A4874" s="78" t="s">
        <v>3897</v>
      </c>
      <c r="B4874" s="78" t="s">
        <v>27</v>
      </c>
      <c r="C4874" s="85">
        <v>45254.0</v>
      </c>
      <c r="D4874" s="85">
        <v>45255.0</v>
      </c>
      <c r="E4874" s="86">
        <v>4.34</v>
      </c>
      <c r="F4874" s="87">
        <v>5.07</v>
      </c>
      <c r="G4874" s="88">
        <f t="shared" si="1"/>
        <v>0.73</v>
      </c>
      <c r="H4874" s="89">
        <f t="shared" si="10"/>
        <v>0.1439842209</v>
      </c>
      <c r="I4874" s="78" t="s">
        <v>5693</v>
      </c>
      <c r="J4874" s="78" t="s">
        <v>69</v>
      </c>
      <c r="K4874" s="58">
        <f t="shared" si="14"/>
        <v>1</v>
      </c>
      <c r="L4874" s="91" t="str">
        <f t="shared" si="8"/>
        <v>Sat</v>
      </c>
      <c r="M4874" s="78" t="str">
        <f>IFERROR(VLOOKUP(A4874, Entries!A:B,2,false),"")</f>
        <v>Bethesda Softworks</v>
      </c>
      <c r="N4874" s="23" t="str">
        <f>IFERROR(VLOOKUP(A4874, Entries!A:K,11,false),"")</f>
        <v/>
      </c>
    </row>
    <row r="4875">
      <c r="A4875" s="78" t="s">
        <v>5676</v>
      </c>
      <c r="B4875" s="78" t="s">
        <v>27</v>
      </c>
      <c r="C4875" s="85">
        <v>45254.0</v>
      </c>
      <c r="D4875" s="85">
        <v>45254.0</v>
      </c>
      <c r="E4875" s="86">
        <v>39.66</v>
      </c>
      <c r="F4875" s="87">
        <v>47.22</v>
      </c>
      <c r="G4875" s="88">
        <f t="shared" si="1"/>
        <v>7.56</v>
      </c>
      <c r="H4875" s="89">
        <f t="shared" si="10"/>
        <v>0.1601016518</v>
      </c>
      <c r="I4875" s="78" t="s">
        <v>5694</v>
      </c>
      <c r="J4875" s="78" t="s">
        <v>69</v>
      </c>
      <c r="K4875" s="58">
        <f t="shared" si="14"/>
        <v>0</v>
      </c>
      <c r="L4875" s="91" t="str">
        <f t="shared" si="8"/>
        <v>Fri</v>
      </c>
      <c r="M4875" s="78" t="str">
        <f>IFERROR(VLOOKUP(A4875, Entries!A:B,2,false),"")</f>
        <v>Bethesda Softworks</v>
      </c>
      <c r="N4875" s="23" t="str">
        <f>IFERROR(VLOOKUP(A4875, Entries!A:K,11,false),"")</f>
        <v/>
      </c>
    </row>
    <row r="4876">
      <c r="A4876" s="78" t="s">
        <v>5676</v>
      </c>
      <c r="B4876" s="78" t="s">
        <v>27</v>
      </c>
      <c r="C4876" s="85">
        <v>45254.0</v>
      </c>
      <c r="D4876" s="85">
        <v>45255.0</v>
      </c>
      <c r="E4876" s="86">
        <v>39.89</v>
      </c>
      <c r="F4876" s="87">
        <v>47.23</v>
      </c>
      <c r="G4876" s="88">
        <f t="shared" si="1"/>
        <v>7.34</v>
      </c>
      <c r="H4876" s="89">
        <f t="shared" si="10"/>
        <v>0.1554096972</v>
      </c>
      <c r="I4876" s="78" t="s">
        <v>5695</v>
      </c>
      <c r="J4876" s="78" t="s">
        <v>69</v>
      </c>
      <c r="K4876" s="58">
        <f t="shared" si="14"/>
        <v>1</v>
      </c>
      <c r="L4876" s="91" t="str">
        <f t="shared" si="8"/>
        <v>Sat</v>
      </c>
      <c r="M4876" s="78" t="str">
        <f>IFERROR(VLOOKUP(A4876, Entries!A:B,2,false),"")</f>
        <v>Bethesda Softworks</v>
      </c>
      <c r="N4876" s="23" t="str">
        <f>IFERROR(VLOOKUP(A4876, Entries!A:K,11,false),"")</f>
        <v/>
      </c>
    </row>
    <row r="4877">
      <c r="A4877" s="78" t="s">
        <v>5676</v>
      </c>
      <c r="B4877" s="78" t="s">
        <v>27</v>
      </c>
      <c r="C4877" s="85">
        <v>45255.0</v>
      </c>
      <c r="D4877" s="85">
        <v>45259.0</v>
      </c>
      <c r="E4877" s="86">
        <v>39.89</v>
      </c>
      <c r="F4877" s="87">
        <v>46.31</v>
      </c>
      <c r="G4877" s="88">
        <f t="shared" si="1"/>
        <v>6.42</v>
      </c>
      <c r="H4877" s="89">
        <f t="shared" si="10"/>
        <v>0.1386309652</v>
      </c>
      <c r="I4877" s="78" t="s">
        <v>5696</v>
      </c>
      <c r="J4877" s="78" t="s">
        <v>69</v>
      </c>
      <c r="K4877" s="58">
        <f t="shared" si="14"/>
        <v>4</v>
      </c>
      <c r="L4877" s="91" t="str">
        <f t="shared" si="8"/>
        <v>Wed</v>
      </c>
      <c r="M4877" s="78" t="str">
        <f>IFERROR(VLOOKUP(A4877, Entries!A:B,2,false),"")</f>
        <v>Bethesda Softworks</v>
      </c>
      <c r="N4877" s="23" t="str">
        <f>IFERROR(VLOOKUP(A4877, Entries!A:K,11,false),"")</f>
        <v/>
      </c>
    </row>
    <row r="4878">
      <c r="A4878" s="78" t="s">
        <v>3897</v>
      </c>
      <c r="B4878" s="78" t="s">
        <v>27</v>
      </c>
      <c r="C4878" s="85">
        <v>45255.0</v>
      </c>
      <c r="D4878" s="85">
        <v>45256.0</v>
      </c>
      <c r="E4878" s="86">
        <v>4.09</v>
      </c>
      <c r="F4878" s="87">
        <v>5.08</v>
      </c>
      <c r="G4878" s="88">
        <f t="shared" si="1"/>
        <v>0.99</v>
      </c>
      <c r="H4878" s="89">
        <f t="shared" si="10"/>
        <v>0.1948818898</v>
      </c>
      <c r="I4878" s="78" t="s">
        <v>5697</v>
      </c>
      <c r="J4878" s="78" t="s">
        <v>69</v>
      </c>
      <c r="K4878" s="58">
        <f t="shared" si="14"/>
        <v>1</v>
      </c>
      <c r="L4878" s="91" t="str">
        <f t="shared" si="8"/>
        <v>Sun</v>
      </c>
      <c r="M4878" s="78" t="str">
        <f>IFERROR(VLOOKUP(A4878, Entries!A:B,2,false),"")</f>
        <v>Bethesda Softworks</v>
      </c>
      <c r="N4878" s="23" t="str">
        <f>IFERROR(VLOOKUP(A4878, Entries!A:K,11,false),"")</f>
        <v/>
      </c>
    </row>
    <row r="4879">
      <c r="A4879" s="78" t="s">
        <v>4408</v>
      </c>
      <c r="B4879" s="78" t="s">
        <v>25</v>
      </c>
      <c r="C4879" s="85">
        <v>45255.0</v>
      </c>
      <c r="D4879" s="85">
        <v>45961.0</v>
      </c>
      <c r="E4879" s="86">
        <v>21.55</v>
      </c>
      <c r="F4879" s="87">
        <v>24.1</v>
      </c>
      <c r="G4879" s="88">
        <f t="shared" si="1"/>
        <v>2.55</v>
      </c>
      <c r="H4879" s="89">
        <f t="shared" si="10"/>
        <v>0.1058091286</v>
      </c>
      <c r="I4879" s="103" t="s">
        <v>5698</v>
      </c>
      <c r="J4879" s="78" t="s">
        <v>69</v>
      </c>
      <c r="K4879" s="58">
        <f t="shared" si="14"/>
        <v>706</v>
      </c>
      <c r="L4879" s="91" t="str">
        <f t="shared" si="8"/>
        <v>Fri</v>
      </c>
      <c r="M4879" s="78" t="str">
        <f>IFERROR(VLOOKUP(A4879, Entries!A:B,2,false),"")</f>
        <v/>
      </c>
      <c r="N4879" s="23" t="str">
        <f>IFERROR(VLOOKUP(A4879, Entries!A:K,11,false),"")</f>
        <v/>
      </c>
    </row>
    <row r="4880">
      <c r="A4880" s="78" t="s">
        <v>550</v>
      </c>
      <c r="B4880" s="78" t="s">
        <v>25</v>
      </c>
      <c r="C4880" s="85">
        <v>45256.0</v>
      </c>
      <c r="D4880" s="85">
        <v>45256.0</v>
      </c>
      <c r="E4880" s="86">
        <v>5.27</v>
      </c>
      <c r="F4880" s="87">
        <v>8.17</v>
      </c>
      <c r="G4880" s="88">
        <f t="shared" si="1"/>
        <v>2.9</v>
      </c>
      <c r="H4880" s="89">
        <f t="shared" si="10"/>
        <v>0.3549571603</v>
      </c>
      <c r="I4880" s="78" t="s">
        <v>5699</v>
      </c>
      <c r="J4880" s="78" t="s">
        <v>69</v>
      </c>
      <c r="K4880" s="58">
        <f t="shared" si="14"/>
        <v>0</v>
      </c>
      <c r="L4880" s="91" t="str">
        <f t="shared" si="8"/>
        <v>Sun</v>
      </c>
      <c r="M4880" s="78" t="str">
        <f>IFERROR(VLOOKUP(A4880, Entries!A:B,2,false),"")</f>
        <v>Codemasters</v>
      </c>
      <c r="N4880" s="23" t="str">
        <f>IFERROR(VLOOKUP(A4880, Entries!A:K,11,false),"")</f>
        <v/>
      </c>
    </row>
    <row r="4881">
      <c r="A4881" s="78" t="s">
        <v>4914</v>
      </c>
      <c r="B4881" s="78" t="s">
        <v>27</v>
      </c>
      <c r="C4881" s="85">
        <v>45256.0</v>
      </c>
      <c r="D4881" s="25"/>
      <c r="E4881" s="86">
        <v>9.25</v>
      </c>
      <c r="F4881" s="88"/>
      <c r="G4881" s="88">
        <f t="shared" si="1"/>
        <v>-9.25</v>
      </c>
      <c r="H4881" s="89" t="str">
        <f t="shared" si="10"/>
        <v/>
      </c>
      <c r="I4881" s="103" t="s">
        <v>5700</v>
      </c>
      <c r="J4881" s="78" t="s">
        <v>1129</v>
      </c>
      <c r="K4881" s="58" t="str">
        <f t="shared" si="14"/>
        <v/>
      </c>
      <c r="L4881" s="91" t="str">
        <f t="shared" si="8"/>
        <v/>
      </c>
      <c r="M4881" s="78" t="str">
        <f>IFERROR(VLOOKUP(A4881, Entries!A:B,2,false),"")</f>
        <v>Deep Silver</v>
      </c>
      <c r="N4881" s="23" t="str">
        <f>IFERROR(VLOOKUP(A4881, Entries!A:K,11,false),"")</f>
        <v/>
      </c>
    </row>
    <row r="4882">
      <c r="A4882" s="78" t="s">
        <v>550</v>
      </c>
      <c r="B4882" s="78" t="s">
        <v>25</v>
      </c>
      <c r="C4882" s="85">
        <v>45256.0</v>
      </c>
      <c r="D4882" s="85">
        <v>45256.0</v>
      </c>
      <c r="E4882" s="86">
        <v>5.27</v>
      </c>
      <c r="F4882" s="87">
        <v>8.13</v>
      </c>
      <c r="G4882" s="88">
        <f t="shared" si="1"/>
        <v>2.86</v>
      </c>
      <c r="H4882" s="89">
        <f t="shared" si="10"/>
        <v>0.3517835178</v>
      </c>
      <c r="I4882" s="78" t="s">
        <v>5701</v>
      </c>
      <c r="J4882" s="78" t="s">
        <v>69</v>
      </c>
      <c r="K4882" s="58">
        <f t="shared" si="14"/>
        <v>0</v>
      </c>
      <c r="L4882" s="91" t="str">
        <f t="shared" si="8"/>
        <v>Sun</v>
      </c>
      <c r="M4882" s="78" t="str">
        <f>IFERROR(VLOOKUP(A4882, Entries!A:B,2,false),"")</f>
        <v>Codemasters</v>
      </c>
      <c r="N4882" s="23" t="str">
        <f>IFERROR(VLOOKUP(A4882, Entries!A:K,11,false),"")</f>
        <v/>
      </c>
    </row>
    <row r="4883">
      <c r="A4883" s="78" t="s">
        <v>3897</v>
      </c>
      <c r="B4883" s="78" t="s">
        <v>27</v>
      </c>
      <c r="C4883" s="85">
        <v>45256.0</v>
      </c>
      <c r="D4883" s="85">
        <v>45256.0</v>
      </c>
      <c r="E4883" s="86">
        <v>4.39</v>
      </c>
      <c r="F4883" s="87">
        <v>5.08</v>
      </c>
      <c r="G4883" s="88">
        <f t="shared" si="1"/>
        <v>0.69</v>
      </c>
      <c r="H4883" s="89">
        <f t="shared" si="10"/>
        <v>0.1358267717</v>
      </c>
      <c r="I4883" s="78" t="s">
        <v>5702</v>
      </c>
      <c r="J4883" s="78" t="s">
        <v>69</v>
      </c>
      <c r="K4883" s="58">
        <f t="shared" si="14"/>
        <v>0</v>
      </c>
      <c r="L4883" s="91" t="str">
        <f t="shared" si="8"/>
        <v>Sun</v>
      </c>
      <c r="M4883" s="78" t="str">
        <f>IFERROR(VLOOKUP(A4883, Entries!A:B,2,false),"")</f>
        <v>Bethesda Softworks</v>
      </c>
      <c r="N4883" s="23" t="str">
        <f>IFERROR(VLOOKUP(A4883, Entries!A:K,11,false),"")</f>
        <v/>
      </c>
    </row>
    <row r="4884">
      <c r="A4884" s="78" t="s">
        <v>550</v>
      </c>
      <c r="B4884" s="78" t="s">
        <v>25</v>
      </c>
      <c r="C4884" s="85">
        <v>45257.0</v>
      </c>
      <c r="D4884" s="85">
        <v>45257.0</v>
      </c>
      <c r="E4884" s="86">
        <v>5.27</v>
      </c>
      <c r="F4884" s="87">
        <v>8.13</v>
      </c>
      <c r="G4884" s="88">
        <f t="shared" si="1"/>
        <v>2.86</v>
      </c>
      <c r="H4884" s="89">
        <f t="shared" si="10"/>
        <v>0.3517835178</v>
      </c>
      <c r="I4884" s="78" t="s">
        <v>5703</v>
      </c>
      <c r="J4884" s="78" t="s">
        <v>69</v>
      </c>
      <c r="K4884" s="58">
        <f t="shared" si="14"/>
        <v>0</v>
      </c>
      <c r="L4884" s="91" t="str">
        <f t="shared" si="8"/>
        <v>Mon</v>
      </c>
      <c r="M4884" s="78" t="str">
        <f>IFERROR(VLOOKUP(A4884, Entries!A:B,2,false),"")</f>
        <v>Codemasters</v>
      </c>
      <c r="N4884" s="23" t="str">
        <f>IFERROR(VLOOKUP(A4884, Entries!A:K,11,false),"")</f>
        <v/>
      </c>
    </row>
    <row r="4885">
      <c r="A4885" s="78" t="s">
        <v>1034</v>
      </c>
      <c r="B4885" s="78" t="s">
        <v>23</v>
      </c>
      <c r="C4885" s="85">
        <v>45257.0</v>
      </c>
      <c r="D4885" s="85">
        <v>45258.0</v>
      </c>
      <c r="E4885" s="86">
        <v>5.98</v>
      </c>
      <c r="F4885" s="87">
        <v>10.6</v>
      </c>
      <c r="G4885" s="88">
        <f t="shared" si="1"/>
        <v>4.62</v>
      </c>
      <c r="H4885" s="89">
        <f t="shared" si="10"/>
        <v>0.4358490566</v>
      </c>
      <c r="I4885" s="78" t="s">
        <v>5704</v>
      </c>
      <c r="J4885" s="78" t="s">
        <v>69</v>
      </c>
      <c r="K4885" s="58">
        <f t="shared" si="14"/>
        <v>1</v>
      </c>
      <c r="L4885" s="91" t="str">
        <f t="shared" si="8"/>
        <v>Tue</v>
      </c>
      <c r="M4885" s="78" t="str">
        <f>IFERROR(VLOOKUP(A4885, Entries!A:B,2,false),"")</f>
        <v>Eugen Systems</v>
      </c>
      <c r="N4885" s="23" t="str">
        <f>IFERROR(VLOOKUP(A4885, Entries!A:K,11,false),"")</f>
        <v/>
      </c>
    </row>
    <row r="4886">
      <c r="A4886" s="78" t="s">
        <v>3897</v>
      </c>
      <c r="B4886" s="78" t="s">
        <v>27</v>
      </c>
      <c r="C4886" s="85">
        <v>45257.0</v>
      </c>
      <c r="D4886" s="85">
        <v>45258.0</v>
      </c>
      <c r="E4886" s="86">
        <v>3.88</v>
      </c>
      <c r="F4886" s="87">
        <v>5.08</v>
      </c>
      <c r="G4886" s="88">
        <f t="shared" si="1"/>
        <v>1.2</v>
      </c>
      <c r="H4886" s="89">
        <f t="shared" si="10"/>
        <v>0.2362204724</v>
      </c>
      <c r="I4886" s="78" t="s">
        <v>5705</v>
      </c>
      <c r="J4886" s="78" t="s">
        <v>69</v>
      </c>
      <c r="K4886" s="58">
        <f t="shared" si="14"/>
        <v>1</v>
      </c>
      <c r="L4886" s="91" t="str">
        <f t="shared" si="8"/>
        <v>Tue</v>
      </c>
      <c r="M4886" s="78" t="str">
        <f>IFERROR(VLOOKUP(A4886, Entries!A:B,2,false),"")</f>
        <v>Bethesda Softworks</v>
      </c>
      <c r="N4886" s="23" t="str">
        <f>IFERROR(VLOOKUP(A4886, Entries!A:K,11,false),"")</f>
        <v/>
      </c>
    </row>
    <row r="4887">
      <c r="A4887" s="78" t="s">
        <v>4928</v>
      </c>
      <c r="B4887" s="78" t="s">
        <v>19</v>
      </c>
      <c r="C4887" s="85">
        <v>45257.0</v>
      </c>
      <c r="D4887" s="85">
        <v>45302.0</v>
      </c>
      <c r="E4887" s="86">
        <v>30.11</v>
      </c>
      <c r="F4887" s="87">
        <v>33.66</v>
      </c>
      <c r="G4887" s="88">
        <f t="shared" si="1"/>
        <v>3.55</v>
      </c>
      <c r="H4887" s="89">
        <f t="shared" si="10"/>
        <v>0.105466429</v>
      </c>
      <c r="I4887" s="78" t="s">
        <v>5706</v>
      </c>
      <c r="J4887" s="78" t="s">
        <v>69</v>
      </c>
      <c r="K4887" s="58">
        <f t="shared" si="14"/>
        <v>45</v>
      </c>
      <c r="L4887" s="91" t="str">
        <f t="shared" si="8"/>
        <v>Thu</v>
      </c>
      <c r="M4887" s="78" t="str">
        <f>IFERROR(VLOOKUP(A4887, Entries!A:B,2,false),"")</f>
        <v>Eleventh Hour Games</v>
      </c>
      <c r="N4887" s="23" t="str">
        <f>IFERROR(VLOOKUP(A4887, Entries!A:K,11,false),"")</f>
        <v/>
      </c>
    </row>
    <row r="4888">
      <c r="A4888" s="78" t="s">
        <v>4550</v>
      </c>
      <c r="B4888" s="78" t="s">
        <v>21</v>
      </c>
      <c r="C4888" s="85">
        <v>45257.0</v>
      </c>
      <c r="D4888" s="85">
        <v>45305.0</v>
      </c>
      <c r="E4888" s="86">
        <v>15.68</v>
      </c>
      <c r="F4888" s="87">
        <v>17.32</v>
      </c>
      <c r="G4888" s="88">
        <f t="shared" si="1"/>
        <v>1.64</v>
      </c>
      <c r="H4888" s="89">
        <f t="shared" si="10"/>
        <v>0.09468822171</v>
      </c>
      <c r="I4888" s="78" t="s">
        <v>5707</v>
      </c>
      <c r="J4888" s="78" t="s">
        <v>69</v>
      </c>
      <c r="K4888" s="58">
        <f t="shared" si="14"/>
        <v>48</v>
      </c>
      <c r="L4888" s="91" t="str">
        <f t="shared" si="8"/>
        <v>Sun</v>
      </c>
      <c r="M4888" s="78" t="str">
        <f>IFERROR(VLOOKUP(A4888, Entries!A:B,2,false),"")</f>
        <v>Merge Games</v>
      </c>
      <c r="N4888" s="23" t="str">
        <f>IFERROR(VLOOKUP(A4888, Entries!A:K,11,false),"")</f>
        <v/>
      </c>
    </row>
    <row r="4889">
      <c r="A4889" s="78" t="s">
        <v>550</v>
      </c>
      <c r="B4889" s="78" t="s">
        <v>25</v>
      </c>
      <c r="C4889" s="85">
        <v>45257.0</v>
      </c>
      <c r="D4889" s="85">
        <v>45290.0</v>
      </c>
      <c r="E4889" s="86">
        <v>5.27</v>
      </c>
      <c r="F4889" s="87">
        <v>7.91</v>
      </c>
      <c r="G4889" s="88">
        <f t="shared" si="1"/>
        <v>2.64</v>
      </c>
      <c r="H4889" s="89">
        <f t="shared" si="10"/>
        <v>0.3337547408</v>
      </c>
      <c r="I4889" s="78" t="s">
        <v>5708</v>
      </c>
      <c r="J4889" s="78" t="s">
        <v>69</v>
      </c>
      <c r="K4889" s="58">
        <f t="shared" si="14"/>
        <v>33</v>
      </c>
      <c r="L4889" s="91" t="str">
        <f t="shared" si="8"/>
        <v>Sat</v>
      </c>
      <c r="M4889" s="78" t="str">
        <f>IFERROR(VLOOKUP(A4889, Entries!A:B,2,false),"")</f>
        <v>Codemasters</v>
      </c>
      <c r="N4889" s="23" t="str">
        <f>IFERROR(VLOOKUP(A4889, Entries!A:K,11,false),"")</f>
        <v/>
      </c>
    </row>
    <row r="4890">
      <c r="A4890" s="78" t="s">
        <v>2467</v>
      </c>
      <c r="B4890" s="78" t="s">
        <v>32</v>
      </c>
      <c r="C4890" s="85">
        <v>45257.0</v>
      </c>
      <c r="D4890" s="85">
        <v>45277.0</v>
      </c>
      <c r="E4890" s="86">
        <v>12.6</v>
      </c>
      <c r="F4890" s="87">
        <v>14.97</v>
      </c>
      <c r="G4890" s="88">
        <f t="shared" si="1"/>
        <v>2.37</v>
      </c>
      <c r="H4890" s="89">
        <f t="shared" si="10"/>
        <v>0.1583166333</v>
      </c>
      <c r="I4890" s="78" t="s">
        <v>5709</v>
      </c>
      <c r="J4890" s="78" t="s">
        <v>69</v>
      </c>
      <c r="K4890" s="58">
        <f t="shared" si="14"/>
        <v>20</v>
      </c>
      <c r="L4890" s="91" t="str">
        <f t="shared" si="8"/>
        <v>Sun</v>
      </c>
      <c r="M4890" s="78" t="str">
        <f>IFERROR(VLOOKUP(A4890, Entries!A:B,2,false),"")</f>
        <v>Saber Interactive</v>
      </c>
      <c r="N4890" s="23" t="str">
        <f>IFERROR(VLOOKUP(A4890, Entries!A:K,11,false),"")</f>
        <v/>
      </c>
    </row>
    <row r="4891">
      <c r="A4891" s="78" t="s">
        <v>4085</v>
      </c>
      <c r="B4891" s="78" t="s">
        <v>27</v>
      </c>
      <c r="C4891" s="85">
        <v>45257.0</v>
      </c>
      <c r="D4891" s="85">
        <v>45262.0</v>
      </c>
      <c r="E4891" s="86">
        <v>6.2</v>
      </c>
      <c r="F4891" s="87">
        <v>7.71</v>
      </c>
      <c r="G4891" s="88">
        <f t="shared" si="1"/>
        <v>1.51</v>
      </c>
      <c r="H4891" s="89">
        <f t="shared" si="10"/>
        <v>0.195849546</v>
      </c>
      <c r="I4891" s="78" t="s">
        <v>5710</v>
      </c>
      <c r="J4891" s="78" t="s">
        <v>69</v>
      </c>
      <c r="K4891" s="58">
        <f t="shared" si="14"/>
        <v>5</v>
      </c>
      <c r="L4891" s="91" t="str">
        <f t="shared" si="8"/>
        <v>Sat</v>
      </c>
      <c r="M4891" s="78" t="str">
        <f>IFERROR(VLOOKUP(A4891, Entries!A:B,2,false),"")</f>
        <v>Bethesda Softworks</v>
      </c>
      <c r="N4891" s="23" t="str">
        <f>IFERROR(VLOOKUP(A4891, Entries!A:K,11,false),"")</f>
        <v/>
      </c>
    </row>
    <row r="4892">
      <c r="A4892" s="78" t="s">
        <v>1596</v>
      </c>
      <c r="B4892" s="78" t="s">
        <v>32</v>
      </c>
      <c r="C4892" s="85">
        <v>45257.0</v>
      </c>
      <c r="D4892" s="85">
        <v>45326.0</v>
      </c>
      <c r="E4892" s="86">
        <v>34.77</v>
      </c>
      <c r="F4892" s="87">
        <v>38.17</v>
      </c>
      <c r="G4892" s="88">
        <f t="shared" si="1"/>
        <v>3.4</v>
      </c>
      <c r="H4892" s="89">
        <f t="shared" si="10"/>
        <v>0.08907518994</v>
      </c>
      <c r="I4892" s="78" t="s">
        <v>5711</v>
      </c>
      <c r="J4892" s="78" t="s">
        <v>69</v>
      </c>
      <c r="K4892" s="58">
        <f t="shared" si="14"/>
        <v>69</v>
      </c>
      <c r="L4892" s="91" t="str">
        <f t="shared" si="8"/>
        <v>Sun</v>
      </c>
      <c r="M4892" s="78" t="str">
        <f>IFERROR(VLOOKUP(A4892, Entries!A:B,2,false),"")</f>
        <v>505 Games</v>
      </c>
      <c r="N4892" s="23" t="str">
        <f>IFERROR(VLOOKUP(A4892, Entries!A:K,11,false),"")</f>
        <v/>
      </c>
    </row>
    <row r="4893">
      <c r="A4893" s="78" t="s">
        <v>5712</v>
      </c>
      <c r="B4893" s="78" t="s">
        <v>27</v>
      </c>
      <c r="C4893" s="85">
        <v>45258.0</v>
      </c>
      <c r="D4893" s="85">
        <v>45258.0</v>
      </c>
      <c r="E4893" s="86">
        <v>22.99</v>
      </c>
      <c r="F4893" s="87">
        <v>25.37</v>
      </c>
      <c r="G4893" s="88">
        <f t="shared" si="1"/>
        <v>2.38</v>
      </c>
      <c r="H4893" s="89">
        <f t="shared" si="10"/>
        <v>0.09381158849</v>
      </c>
      <c r="I4893" s="78" t="s">
        <v>5713</v>
      </c>
      <c r="J4893" s="78" t="s">
        <v>69</v>
      </c>
      <c r="K4893" s="58">
        <f t="shared" si="14"/>
        <v>0</v>
      </c>
      <c r="L4893" s="91" t="str">
        <f t="shared" si="8"/>
        <v>Tue</v>
      </c>
      <c r="M4893" s="78" t="str">
        <f>IFERROR(VLOOKUP(A4893, Entries!A:B,2,false),"")</f>
        <v>THQ Nordic</v>
      </c>
      <c r="N4893" s="23" t="str">
        <f>IFERROR(VLOOKUP(A4893, Entries!A:K,11,false),"")</f>
        <v/>
      </c>
    </row>
    <row r="4894">
      <c r="A4894" s="78" t="s">
        <v>5714</v>
      </c>
      <c r="B4894" s="78" t="s">
        <v>27</v>
      </c>
      <c r="C4894" s="85">
        <v>45258.0</v>
      </c>
      <c r="D4894" s="85">
        <v>45259.0</v>
      </c>
      <c r="E4894" s="86">
        <v>4.59</v>
      </c>
      <c r="F4894" s="87">
        <v>6.04</v>
      </c>
      <c r="G4894" s="88">
        <f t="shared" si="1"/>
        <v>1.45</v>
      </c>
      <c r="H4894" s="89">
        <f t="shared" si="10"/>
        <v>0.2400662252</v>
      </c>
      <c r="I4894" s="78" t="s">
        <v>5715</v>
      </c>
      <c r="J4894" s="78" t="s">
        <v>69</v>
      </c>
      <c r="K4894" s="58">
        <f t="shared" si="14"/>
        <v>1</v>
      </c>
      <c r="L4894" s="91" t="str">
        <f t="shared" si="8"/>
        <v>Wed</v>
      </c>
      <c r="M4894" s="78" t="str">
        <f>IFERROR(VLOOKUP(A4894, Entries!A:B,2,false),"")</f>
        <v>Kalypso Media</v>
      </c>
      <c r="N4894" s="23" t="str">
        <f>IFERROR(VLOOKUP(A4894, Entries!A:K,11,false),"")</f>
        <v/>
      </c>
    </row>
    <row r="4895">
      <c r="A4895" s="94" t="s">
        <v>3467</v>
      </c>
      <c r="B4895" s="78" t="s">
        <v>25</v>
      </c>
      <c r="C4895" s="85">
        <v>45258.0</v>
      </c>
      <c r="D4895" s="85">
        <v>45421.0</v>
      </c>
      <c r="E4895" s="86">
        <v>7.71</v>
      </c>
      <c r="F4895" s="87">
        <v>8.85</v>
      </c>
      <c r="G4895" s="88">
        <f t="shared" si="1"/>
        <v>1.14</v>
      </c>
      <c r="H4895" s="89">
        <f t="shared" si="10"/>
        <v>0.1288135593</v>
      </c>
      <c r="I4895" s="78" t="s">
        <v>5716</v>
      </c>
      <c r="J4895" s="78" t="s">
        <v>69</v>
      </c>
      <c r="K4895" s="58">
        <f t="shared" si="14"/>
        <v>163</v>
      </c>
      <c r="L4895" s="91" t="str">
        <f t="shared" si="8"/>
        <v>Thu</v>
      </c>
      <c r="M4895" s="78" t="str">
        <f>IFERROR(VLOOKUP(A4895, Entries!A:B,2,false),"")</f>
        <v>Kalypso Media</v>
      </c>
      <c r="N4895" s="23" t="str">
        <f>IFERROR(VLOOKUP(A4895, Entries!A:K,11,false),"")</f>
        <v/>
      </c>
    </row>
    <row r="4896">
      <c r="A4896" s="78" t="s">
        <v>1034</v>
      </c>
      <c r="B4896" s="78" t="s">
        <v>23</v>
      </c>
      <c r="C4896" s="85">
        <v>45258.0</v>
      </c>
      <c r="D4896" s="85">
        <v>45272.0</v>
      </c>
      <c r="E4896" s="86">
        <v>5.96</v>
      </c>
      <c r="F4896" s="87">
        <v>6.35</v>
      </c>
      <c r="G4896" s="88">
        <f t="shared" si="1"/>
        <v>0.39</v>
      </c>
      <c r="H4896" s="89">
        <f t="shared" si="10"/>
        <v>0.06141732283</v>
      </c>
      <c r="I4896" s="78" t="s">
        <v>5717</v>
      </c>
      <c r="J4896" s="78" t="s">
        <v>69</v>
      </c>
      <c r="K4896" s="58">
        <f t="shared" si="14"/>
        <v>14</v>
      </c>
      <c r="L4896" s="91" t="str">
        <f t="shared" si="8"/>
        <v>Tue</v>
      </c>
      <c r="M4896" s="78" t="str">
        <f>IFERROR(VLOOKUP(A4896, Entries!A:B,2,false),"")</f>
        <v>Eugen Systems</v>
      </c>
      <c r="N4896" s="23" t="str">
        <f>IFERROR(VLOOKUP(A4896, Entries!A:K,11,false),"")</f>
        <v/>
      </c>
    </row>
    <row r="4897">
      <c r="A4897" s="78" t="s">
        <v>3897</v>
      </c>
      <c r="B4897" s="78" t="s">
        <v>27</v>
      </c>
      <c r="C4897" s="85">
        <v>45258.0</v>
      </c>
      <c r="D4897" s="85">
        <v>45260.0</v>
      </c>
      <c r="E4897" s="86">
        <v>4.19</v>
      </c>
      <c r="F4897" s="87">
        <v>5.08</v>
      </c>
      <c r="G4897" s="88">
        <f t="shared" si="1"/>
        <v>0.89</v>
      </c>
      <c r="H4897" s="89">
        <f t="shared" si="10"/>
        <v>0.1751968504</v>
      </c>
      <c r="I4897" s="78" t="s">
        <v>5718</v>
      </c>
      <c r="J4897" s="78" t="s">
        <v>69</v>
      </c>
      <c r="K4897" s="58">
        <f t="shared" si="14"/>
        <v>2</v>
      </c>
      <c r="L4897" s="91" t="str">
        <f t="shared" si="8"/>
        <v>Thu</v>
      </c>
      <c r="M4897" s="78" t="str">
        <f>IFERROR(VLOOKUP(A4897, Entries!A:B,2,false),"")</f>
        <v>Bethesda Softworks</v>
      </c>
      <c r="N4897" s="23" t="str">
        <f>IFERROR(VLOOKUP(A4897, Entries!A:K,11,false),"")</f>
        <v/>
      </c>
    </row>
    <row r="4898">
      <c r="A4898" s="78" t="s">
        <v>5714</v>
      </c>
      <c r="B4898" s="78" t="s">
        <v>27</v>
      </c>
      <c r="C4898" s="85">
        <v>45259.0</v>
      </c>
      <c r="D4898" s="85">
        <v>45260.0</v>
      </c>
      <c r="E4898" s="86">
        <v>4.11</v>
      </c>
      <c r="F4898" s="87">
        <v>5.77</v>
      </c>
      <c r="G4898" s="88">
        <f t="shared" si="1"/>
        <v>1.66</v>
      </c>
      <c r="H4898" s="89">
        <f t="shared" si="10"/>
        <v>0.287694974</v>
      </c>
      <c r="I4898" s="78" t="s">
        <v>5719</v>
      </c>
      <c r="J4898" s="78" t="s">
        <v>69</v>
      </c>
      <c r="K4898" s="58">
        <f t="shared" si="14"/>
        <v>1</v>
      </c>
      <c r="L4898" s="91" t="str">
        <f t="shared" si="8"/>
        <v>Thu</v>
      </c>
      <c r="M4898" s="78" t="str">
        <f>IFERROR(VLOOKUP(A4898, Entries!A:B,2,false),"")</f>
        <v>Kalypso Media</v>
      </c>
      <c r="N4898" s="23" t="str">
        <f>IFERROR(VLOOKUP(A4898, Entries!A:K,11,false),"")</f>
        <v/>
      </c>
    </row>
    <row r="4899">
      <c r="A4899" s="94" t="s">
        <v>5720</v>
      </c>
      <c r="B4899" s="78" t="s">
        <v>32</v>
      </c>
      <c r="C4899" s="85">
        <v>45259.0</v>
      </c>
      <c r="D4899" s="85">
        <v>45446.0</v>
      </c>
      <c r="E4899" s="86">
        <v>15.12</v>
      </c>
      <c r="F4899" s="87">
        <v>21.82</v>
      </c>
      <c r="G4899" s="88">
        <f t="shared" si="1"/>
        <v>6.7</v>
      </c>
      <c r="H4899" s="89">
        <f t="shared" si="10"/>
        <v>0.3070577452</v>
      </c>
      <c r="I4899" s="78" t="s">
        <v>5721</v>
      </c>
      <c r="J4899" s="78" t="s">
        <v>69</v>
      </c>
      <c r="K4899" s="58">
        <f t="shared" si="14"/>
        <v>187</v>
      </c>
      <c r="L4899" s="91" t="str">
        <f t="shared" si="8"/>
        <v>Mon</v>
      </c>
      <c r="M4899" s="78" t="str">
        <f>IFERROR(VLOOKUP(A4899, Entries!A:B,2,false),"")</f>
        <v/>
      </c>
      <c r="N4899" s="23" t="str">
        <f>IFERROR(VLOOKUP(A4899, Entries!A:K,11,false),"")</f>
        <v/>
      </c>
    </row>
    <row r="4900">
      <c r="A4900" s="94" t="s">
        <v>5720</v>
      </c>
      <c r="B4900" s="78" t="s">
        <v>32</v>
      </c>
      <c r="C4900" s="85">
        <v>45259.0</v>
      </c>
      <c r="D4900" s="85">
        <v>45457.0</v>
      </c>
      <c r="E4900" s="86">
        <v>15.11</v>
      </c>
      <c r="F4900" s="87">
        <v>24.82</v>
      </c>
      <c r="G4900" s="88">
        <f t="shared" si="1"/>
        <v>9.71</v>
      </c>
      <c r="H4900" s="89">
        <f t="shared" si="10"/>
        <v>0.3912167607</v>
      </c>
      <c r="I4900" s="78" t="s">
        <v>5722</v>
      </c>
      <c r="J4900" s="78" t="s">
        <v>69</v>
      </c>
      <c r="K4900" s="58">
        <f t="shared" si="14"/>
        <v>198</v>
      </c>
      <c r="L4900" s="91" t="str">
        <f t="shared" si="8"/>
        <v>Fri</v>
      </c>
      <c r="M4900" s="78" t="str">
        <f>IFERROR(VLOOKUP(A4900, Entries!A:B,2,false),"")</f>
        <v/>
      </c>
      <c r="N4900" s="23" t="str">
        <f>IFERROR(VLOOKUP(A4900, Entries!A:K,11,false),"")</f>
        <v/>
      </c>
    </row>
    <row r="4901">
      <c r="A4901" s="78" t="s">
        <v>5676</v>
      </c>
      <c r="B4901" s="78" t="s">
        <v>27</v>
      </c>
      <c r="C4901" s="85">
        <v>45259.0</v>
      </c>
      <c r="D4901" s="85">
        <v>45260.0</v>
      </c>
      <c r="E4901" s="86">
        <v>39.89</v>
      </c>
      <c r="F4901" s="87">
        <v>44.44</v>
      </c>
      <c r="G4901" s="88">
        <f t="shared" si="1"/>
        <v>4.55</v>
      </c>
      <c r="H4901" s="89">
        <f t="shared" si="10"/>
        <v>0.1023852385</v>
      </c>
      <c r="I4901" s="78" t="s">
        <v>5723</v>
      </c>
      <c r="J4901" s="78" t="s">
        <v>69</v>
      </c>
      <c r="K4901" s="58">
        <f t="shared" si="14"/>
        <v>1</v>
      </c>
      <c r="L4901" s="91" t="str">
        <f t="shared" si="8"/>
        <v>Thu</v>
      </c>
      <c r="M4901" s="78" t="str">
        <f>IFERROR(VLOOKUP(A4901, Entries!A:B,2,false),"")</f>
        <v>Bethesda Softworks</v>
      </c>
      <c r="N4901" s="23" t="str">
        <f>IFERROR(VLOOKUP(A4901, Entries!A:K,11,false),"")</f>
        <v/>
      </c>
    </row>
    <row r="4902">
      <c r="A4902" s="78" t="s">
        <v>5676</v>
      </c>
      <c r="B4902" s="78" t="s">
        <v>27</v>
      </c>
      <c r="C4902" s="85">
        <v>45259.0</v>
      </c>
      <c r="D4902" s="85">
        <v>45260.0</v>
      </c>
      <c r="E4902" s="86">
        <v>39.59</v>
      </c>
      <c r="F4902" s="87">
        <v>46.31</v>
      </c>
      <c r="G4902" s="88">
        <f t="shared" si="1"/>
        <v>6.72</v>
      </c>
      <c r="H4902" s="89">
        <f t="shared" si="10"/>
        <v>0.1451090477</v>
      </c>
      <c r="I4902" s="78" t="s">
        <v>5724</v>
      </c>
      <c r="J4902" s="78" t="s">
        <v>69</v>
      </c>
      <c r="K4902" s="58">
        <f t="shared" si="14"/>
        <v>1</v>
      </c>
      <c r="L4902" s="91" t="str">
        <f t="shared" si="8"/>
        <v>Thu</v>
      </c>
      <c r="M4902" s="78" t="str">
        <f>IFERROR(VLOOKUP(A4902, Entries!A:B,2,false),"")</f>
        <v>Bethesda Softworks</v>
      </c>
      <c r="N4902" s="23" t="str">
        <f>IFERROR(VLOOKUP(A4902, Entries!A:K,11,false),"")</f>
        <v/>
      </c>
    </row>
    <row r="4903">
      <c r="A4903" s="78" t="s">
        <v>5714</v>
      </c>
      <c r="B4903" s="78" t="s">
        <v>27</v>
      </c>
      <c r="C4903" s="85">
        <v>45260.0</v>
      </c>
      <c r="D4903" s="85">
        <v>45260.0</v>
      </c>
      <c r="E4903" s="86">
        <v>4.59</v>
      </c>
      <c r="F4903" s="87">
        <v>5.45</v>
      </c>
      <c r="G4903" s="88">
        <f t="shared" si="1"/>
        <v>0.86</v>
      </c>
      <c r="H4903" s="89">
        <f t="shared" si="10"/>
        <v>0.1577981651</v>
      </c>
      <c r="I4903" s="78" t="s">
        <v>5725</v>
      </c>
      <c r="J4903" s="78" t="s">
        <v>69</v>
      </c>
      <c r="K4903" s="58">
        <f t="shared" si="14"/>
        <v>0</v>
      </c>
      <c r="L4903" s="91" t="str">
        <f t="shared" si="8"/>
        <v>Thu</v>
      </c>
      <c r="M4903" s="78" t="str">
        <f>IFERROR(VLOOKUP(A4903, Entries!A:B,2,false),"")</f>
        <v>Kalypso Media</v>
      </c>
      <c r="N4903" s="23" t="str">
        <f>IFERROR(VLOOKUP(A4903, Entries!A:K,11,false),"")</f>
        <v/>
      </c>
    </row>
    <row r="4904">
      <c r="A4904" s="78" t="s">
        <v>3915</v>
      </c>
      <c r="B4904" s="78" t="s">
        <v>27</v>
      </c>
      <c r="C4904" s="85">
        <v>45260.0</v>
      </c>
      <c r="D4904" s="25"/>
      <c r="E4904" s="86">
        <v>9.19</v>
      </c>
      <c r="F4904" s="88"/>
      <c r="G4904" s="88">
        <f t="shared" si="1"/>
        <v>-9.19</v>
      </c>
      <c r="H4904" s="89" t="str">
        <f t="shared" si="10"/>
        <v/>
      </c>
      <c r="I4904" s="103" t="s">
        <v>5726</v>
      </c>
      <c r="J4904" s="78" t="s">
        <v>1129</v>
      </c>
      <c r="K4904" s="58" t="str">
        <f t="shared" si="14"/>
        <v/>
      </c>
      <c r="L4904" s="91" t="str">
        <f t="shared" si="8"/>
        <v/>
      </c>
      <c r="M4904" s="78" t="str">
        <f>IFERROR(VLOOKUP(A4904, Entries!A:B,2,false),"")</f>
        <v>HandyGames</v>
      </c>
      <c r="N4904" s="23" t="str">
        <f>IFERROR(VLOOKUP(A4904, Entries!A:K,11,false),"")</f>
        <v/>
      </c>
    </row>
    <row r="4905">
      <c r="A4905" s="78" t="s">
        <v>5676</v>
      </c>
      <c r="B4905" s="78" t="s">
        <v>27</v>
      </c>
      <c r="C4905" s="85">
        <v>45260.0</v>
      </c>
      <c r="D4905" s="85">
        <v>45263.0</v>
      </c>
      <c r="E4905" s="86">
        <v>39.89</v>
      </c>
      <c r="F4905" s="87">
        <v>46.31</v>
      </c>
      <c r="G4905" s="88">
        <f t="shared" si="1"/>
        <v>6.42</v>
      </c>
      <c r="H4905" s="89">
        <f t="shared" si="10"/>
        <v>0.1386309652</v>
      </c>
      <c r="I4905" s="78" t="s">
        <v>5727</v>
      </c>
      <c r="J4905" s="78" t="s">
        <v>69</v>
      </c>
      <c r="K4905" s="58">
        <f t="shared" si="14"/>
        <v>3</v>
      </c>
      <c r="L4905" s="91" t="str">
        <f t="shared" si="8"/>
        <v>Sun</v>
      </c>
      <c r="M4905" s="78" t="str">
        <f>IFERROR(VLOOKUP(A4905, Entries!A:B,2,false),"")</f>
        <v>Bethesda Softworks</v>
      </c>
      <c r="N4905" s="23" t="str">
        <f>IFERROR(VLOOKUP(A4905, Entries!A:K,11,false),"")</f>
        <v/>
      </c>
    </row>
    <row r="4906">
      <c r="A4906" s="78" t="s">
        <v>3897</v>
      </c>
      <c r="B4906" s="78" t="s">
        <v>27</v>
      </c>
      <c r="C4906" s="85">
        <v>45260.0</v>
      </c>
      <c r="D4906" s="85">
        <v>45261.0</v>
      </c>
      <c r="E4906" s="86">
        <v>4.3</v>
      </c>
      <c r="F4906" s="87">
        <v>5.08</v>
      </c>
      <c r="G4906" s="88">
        <f t="shared" si="1"/>
        <v>0.78</v>
      </c>
      <c r="H4906" s="89">
        <f t="shared" si="10"/>
        <v>0.1535433071</v>
      </c>
      <c r="I4906" s="78" t="s">
        <v>5728</v>
      </c>
      <c r="J4906" s="78" t="s">
        <v>69</v>
      </c>
      <c r="K4906" s="58">
        <f t="shared" si="14"/>
        <v>1</v>
      </c>
      <c r="L4906" s="91" t="str">
        <f t="shared" si="8"/>
        <v>Fri</v>
      </c>
      <c r="M4906" s="78" t="str">
        <f>IFERROR(VLOOKUP(A4906, Entries!A:B,2,false),"")</f>
        <v>Bethesda Softworks</v>
      </c>
      <c r="N4906" s="23" t="str">
        <f>IFERROR(VLOOKUP(A4906, Entries!A:K,11,false),"")</f>
        <v/>
      </c>
    </row>
    <row r="4907">
      <c r="A4907" s="78" t="s">
        <v>5714</v>
      </c>
      <c r="B4907" s="78" t="s">
        <v>27</v>
      </c>
      <c r="C4907" s="85">
        <v>45260.0</v>
      </c>
      <c r="D4907" s="85">
        <v>45260.0</v>
      </c>
      <c r="E4907" s="86">
        <v>4.59</v>
      </c>
      <c r="F4907" s="87">
        <v>5.39</v>
      </c>
      <c r="G4907" s="88">
        <f t="shared" si="1"/>
        <v>0.8</v>
      </c>
      <c r="H4907" s="89">
        <f t="shared" si="10"/>
        <v>0.1484230056</v>
      </c>
      <c r="I4907" s="78" t="s">
        <v>5727</v>
      </c>
      <c r="J4907" s="78" t="s">
        <v>69</v>
      </c>
      <c r="K4907" s="58">
        <f t="shared" si="14"/>
        <v>0</v>
      </c>
      <c r="L4907" s="91" t="str">
        <f t="shared" si="8"/>
        <v>Thu</v>
      </c>
      <c r="M4907" s="78" t="str">
        <f>IFERROR(VLOOKUP(A4907, Entries!A:B,2,false),"")</f>
        <v>Kalypso Media</v>
      </c>
      <c r="N4907" s="23" t="str">
        <f>IFERROR(VLOOKUP(A4907, Entries!A:K,11,false),"")</f>
        <v/>
      </c>
    </row>
    <row r="4908">
      <c r="A4908" s="78" t="s">
        <v>5714</v>
      </c>
      <c r="B4908" s="78" t="s">
        <v>27</v>
      </c>
      <c r="C4908" s="85">
        <v>45260.0</v>
      </c>
      <c r="D4908" s="85">
        <v>45260.0</v>
      </c>
      <c r="E4908" s="86">
        <v>4.59</v>
      </c>
      <c r="F4908" s="87">
        <v>5.39</v>
      </c>
      <c r="G4908" s="88">
        <f t="shared" si="1"/>
        <v>0.8</v>
      </c>
      <c r="H4908" s="89">
        <f t="shared" si="10"/>
        <v>0.1484230056</v>
      </c>
      <c r="I4908" s="78" t="s">
        <v>5729</v>
      </c>
      <c r="J4908" s="78" t="s">
        <v>69</v>
      </c>
      <c r="K4908" s="58">
        <f t="shared" si="14"/>
        <v>0</v>
      </c>
      <c r="L4908" s="91" t="str">
        <f t="shared" si="8"/>
        <v>Thu</v>
      </c>
      <c r="M4908" s="78" t="str">
        <f>IFERROR(VLOOKUP(A4908, Entries!A:B,2,false),"")</f>
        <v>Kalypso Media</v>
      </c>
      <c r="N4908" s="23" t="str">
        <f>IFERROR(VLOOKUP(A4908, Entries!A:K,11,false),"")</f>
        <v/>
      </c>
    </row>
    <row r="4909">
      <c r="A4909" s="78" t="s">
        <v>5714</v>
      </c>
      <c r="B4909" s="78" t="s">
        <v>27</v>
      </c>
      <c r="C4909" s="85">
        <v>45260.0</v>
      </c>
      <c r="D4909" s="85">
        <v>45261.0</v>
      </c>
      <c r="E4909" s="86">
        <v>4.59</v>
      </c>
      <c r="F4909" s="87">
        <v>5.22</v>
      </c>
      <c r="G4909" s="88">
        <f t="shared" si="1"/>
        <v>0.63</v>
      </c>
      <c r="H4909" s="89">
        <f t="shared" si="10"/>
        <v>0.1206896552</v>
      </c>
      <c r="I4909" s="78" t="s">
        <v>5730</v>
      </c>
      <c r="J4909" s="78" t="s">
        <v>69</v>
      </c>
      <c r="K4909" s="58">
        <f t="shared" si="14"/>
        <v>1</v>
      </c>
      <c r="L4909" s="91" t="str">
        <f t="shared" si="8"/>
        <v>Fri</v>
      </c>
      <c r="M4909" s="78" t="str">
        <f>IFERROR(VLOOKUP(A4909, Entries!A:B,2,false),"")</f>
        <v>Kalypso Media</v>
      </c>
      <c r="N4909" s="23" t="str">
        <f>IFERROR(VLOOKUP(A4909, Entries!A:K,11,false),"")</f>
        <v/>
      </c>
    </row>
    <row r="4910">
      <c r="A4910" s="78" t="s">
        <v>2180</v>
      </c>
      <c r="B4910" s="78" t="s">
        <v>25</v>
      </c>
      <c r="C4910" s="85">
        <v>45261.0</v>
      </c>
      <c r="D4910" s="85">
        <v>45261.0</v>
      </c>
      <c r="E4910" s="86">
        <v>5.83</v>
      </c>
      <c r="F4910" s="87">
        <v>6.38</v>
      </c>
      <c r="G4910" s="88">
        <f t="shared" si="1"/>
        <v>0.55</v>
      </c>
      <c r="H4910" s="89">
        <f t="shared" si="10"/>
        <v>0.08620689655</v>
      </c>
      <c r="I4910" s="78" t="s">
        <v>5731</v>
      </c>
      <c r="J4910" s="78" t="s">
        <v>69</v>
      </c>
      <c r="K4910" s="58">
        <f t="shared" si="14"/>
        <v>0</v>
      </c>
      <c r="L4910" s="91" t="str">
        <f t="shared" si="8"/>
        <v>Fri</v>
      </c>
      <c r="M4910" s="78" t="str">
        <f>IFERROR(VLOOKUP(A4910, Entries!A:B,2,false),"")</f>
        <v>Konami</v>
      </c>
      <c r="N4910" s="23" t="str">
        <f>IFERROR(VLOOKUP(A4910, Entries!A:K,11,false),"")</f>
        <v/>
      </c>
    </row>
    <row r="4911">
      <c r="A4911" s="78" t="s">
        <v>5714</v>
      </c>
      <c r="B4911" s="78" t="s">
        <v>27</v>
      </c>
      <c r="C4911" s="85">
        <v>45261.0</v>
      </c>
      <c r="D4911" s="85">
        <v>45262.0</v>
      </c>
      <c r="E4911" s="86">
        <v>4.36</v>
      </c>
      <c r="F4911" s="87">
        <v>6.04</v>
      </c>
      <c r="G4911" s="88">
        <f t="shared" si="1"/>
        <v>1.68</v>
      </c>
      <c r="H4911" s="89">
        <f t="shared" si="10"/>
        <v>0.2781456954</v>
      </c>
      <c r="I4911" s="78" t="s">
        <v>5732</v>
      </c>
      <c r="J4911" s="78" t="s">
        <v>69</v>
      </c>
      <c r="K4911" s="58">
        <f t="shared" si="14"/>
        <v>1</v>
      </c>
      <c r="L4911" s="91" t="str">
        <f t="shared" si="8"/>
        <v>Sat</v>
      </c>
      <c r="M4911" s="78" t="str">
        <f>IFERROR(VLOOKUP(A4911, Entries!A:B,2,false),"")</f>
        <v>Kalypso Media</v>
      </c>
      <c r="N4911" s="23" t="str">
        <f>IFERROR(VLOOKUP(A4911, Entries!A:K,11,false),"")</f>
        <v/>
      </c>
    </row>
    <row r="4912">
      <c r="A4912" s="78" t="s">
        <v>5733</v>
      </c>
      <c r="B4912" s="78" t="s">
        <v>32</v>
      </c>
      <c r="C4912" s="85">
        <v>45261.0</v>
      </c>
      <c r="D4912" s="85">
        <v>45268.0</v>
      </c>
      <c r="E4912" s="86">
        <v>35.56</v>
      </c>
      <c r="F4912" s="87">
        <v>38.76</v>
      </c>
      <c r="G4912" s="88">
        <f t="shared" si="1"/>
        <v>3.2</v>
      </c>
      <c r="H4912" s="89">
        <f t="shared" si="10"/>
        <v>0.08255933953</v>
      </c>
      <c r="I4912" s="78" t="s">
        <v>5734</v>
      </c>
      <c r="J4912" s="78" t="s">
        <v>69</v>
      </c>
      <c r="K4912" s="58">
        <f t="shared" si="14"/>
        <v>7</v>
      </c>
      <c r="L4912" s="91" t="str">
        <f t="shared" si="8"/>
        <v>Fri</v>
      </c>
      <c r="M4912" s="78" t="str">
        <f>IFERROR(VLOOKUP(A4912, Entries!A:B,2,false),"")</f>
        <v>Square Enix</v>
      </c>
      <c r="N4912" s="23" t="str">
        <f>IFERROR(VLOOKUP(A4912, Entries!A:K,11,false),"")</f>
        <v/>
      </c>
    </row>
    <row r="4913">
      <c r="A4913" s="78" t="s">
        <v>2180</v>
      </c>
      <c r="B4913" s="78" t="s">
        <v>25</v>
      </c>
      <c r="C4913" s="85">
        <v>45261.0</v>
      </c>
      <c r="D4913" s="85">
        <v>45262.0</v>
      </c>
      <c r="E4913" s="86">
        <v>5.88</v>
      </c>
      <c r="F4913" s="87">
        <v>6.38</v>
      </c>
      <c r="G4913" s="88">
        <f t="shared" si="1"/>
        <v>0.5</v>
      </c>
      <c r="H4913" s="89">
        <f t="shared" si="10"/>
        <v>0.07836990596</v>
      </c>
      <c r="I4913" s="78" t="s">
        <v>5735</v>
      </c>
      <c r="J4913" s="78" t="s">
        <v>69</v>
      </c>
      <c r="K4913" s="58">
        <f t="shared" si="14"/>
        <v>1</v>
      </c>
      <c r="L4913" s="91" t="str">
        <f t="shared" si="8"/>
        <v>Sat</v>
      </c>
      <c r="M4913" s="78" t="str">
        <f>IFERROR(VLOOKUP(A4913, Entries!A:B,2,false),"")</f>
        <v>Konami</v>
      </c>
      <c r="N4913" s="23" t="str">
        <f>IFERROR(VLOOKUP(A4913, Entries!A:K,11,false),"")</f>
        <v/>
      </c>
    </row>
    <row r="4914">
      <c r="A4914" s="78" t="s">
        <v>3897</v>
      </c>
      <c r="B4914" s="78" t="s">
        <v>27</v>
      </c>
      <c r="C4914" s="85">
        <v>45261.0</v>
      </c>
      <c r="D4914" s="85">
        <v>45262.0</v>
      </c>
      <c r="E4914" s="86">
        <v>4.39</v>
      </c>
      <c r="F4914" s="87">
        <v>5.08</v>
      </c>
      <c r="G4914" s="88">
        <f t="shared" si="1"/>
        <v>0.69</v>
      </c>
      <c r="H4914" s="89">
        <f t="shared" si="10"/>
        <v>0.1358267717</v>
      </c>
      <c r="I4914" s="78" t="s">
        <v>5736</v>
      </c>
      <c r="J4914" s="78" t="s">
        <v>69</v>
      </c>
      <c r="K4914" s="58">
        <f t="shared" si="14"/>
        <v>1</v>
      </c>
      <c r="L4914" s="91" t="str">
        <f t="shared" si="8"/>
        <v>Sat</v>
      </c>
      <c r="M4914" s="78" t="str">
        <f>IFERROR(VLOOKUP(A4914, Entries!A:B,2,false),"")</f>
        <v>Bethesda Softworks</v>
      </c>
      <c r="N4914" s="23" t="str">
        <f>IFERROR(VLOOKUP(A4914, Entries!A:K,11,false),"")</f>
        <v/>
      </c>
    </row>
    <row r="4915">
      <c r="A4915" s="78" t="s">
        <v>5714</v>
      </c>
      <c r="B4915" s="78" t="s">
        <v>27</v>
      </c>
      <c r="C4915" s="85">
        <v>45262.0</v>
      </c>
      <c r="D4915" s="85">
        <v>45263.0</v>
      </c>
      <c r="E4915" s="86">
        <v>4.59</v>
      </c>
      <c r="F4915" s="87">
        <v>5.97</v>
      </c>
      <c r="G4915" s="88">
        <f t="shared" si="1"/>
        <v>1.38</v>
      </c>
      <c r="H4915" s="89">
        <f t="shared" si="10"/>
        <v>0.2311557789</v>
      </c>
      <c r="I4915" s="78" t="s">
        <v>5737</v>
      </c>
      <c r="J4915" s="78" t="s">
        <v>69</v>
      </c>
      <c r="K4915" s="58">
        <f t="shared" si="14"/>
        <v>1</v>
      </c>
      <c r="L4915" s="91" t="str">
        <f t="shared" si="8"/>
        <v>Sun</v>
      </c>
      <c r="M4915" s="78" t="str">
        <f>IFERROR(VLOOKUP(A4915, Entries!A:B,2,false),"")</f>
        <v>Kalypso Media</v>
      </c>
      <c r="N4915" s="23" t="str">
        <f>IFERROR(VLOOKUP(A4915, Entries!A:K,11,false),"")</f>
        <v/>
      </c>
    </row>
    <row r="4916">
      <c r="A4916" s="78" t="s">
        <v>4085</v>
      </c>
      <c r="B4916" s="78" t="s">
        <v>27</v>
      </c>
      <c r="C4916" s="85">
        <v>45262.0</v>
      </c>
      <c r="D4916" s="85">
        <v>45263.0</v>
      </c>
      <c r="E4916" s="86">
        <v>6.29</v>
      </c>
      <c r="F4916" s="87">
        <v>7.71</v>
      </c>
      <c r="G4916" s="88">
        <f t="shared" si="1"/>
        <v>1.42</v>
      </c>
      <c r="H4916" s="89">
        <f t="shared" si="10"/>
        <v>0.1841763943</v>
      </c>
      <c r="I4916" s="78" t="s">
        <v>5738</v>
      </c>
      <c r="J4916" s="78" t="s">
        <v>69</v>
      </c>
      <c r="K4916" s="58">
        <f t="shared" si="14"/>
        <v>1</v>
      </c>
      <c r="L4916" s="91" t="str">
        <f t="shared" si="8"/>
        <v>Sun</v>
      </c>
      <c r="M4916" s="78" t="str">
        <f>IFERROR(VLOOKUP(A4916, Entries!A:B,2,false),"")</f>
        <v>Bethesda Softworks</v>
      </c>
      <c r="N4916" s="23" t="str">
        <f>IFERROR(VLOOKUP(A4916, Entries!A:K,11,false),"")</f>
        <v/>
      </c>
    </row>
    <row r="4917">
      <c r="A4917" s="78" t="s">
        <v>3897</v>
      </c>
      <c r="B4917" s="78" t="s">
        <v>27</v>
      </c>
      <c r="C4917" s="85">
        <v>45262.0</v>
      </c>
      <c r="D4917" s="85">
        <v>45263.0</v>
      </c>
      <c r="E4917" s="86">
        <v>4.39</v>
      </c>
      <c r="F4917" s="87">
        <v>5.08</v>
      </c>
      <c r="G4917" s="88">
        <f t="shared" si="1"/>
        <v>0.69</v>
      </c>
      <c r="H4917" s="89">
        <f t="shared" si="10"/>
        <v>0.1358267717</v>
      </c>
      <c r="I4917" s="78" t="s">
        <v>5739</v>
      </c>
      <c r="J4917" s="78" t="s">
        <v>69</v>
      </c>
      <c r="K4917" s="58">
        <f t="shared" si="14"/>
        <v>1</v>
      </c>
      <c r="L4917" s="91" t="str">
        <f t="shared" si="8"/>
        <v>Sun</v>
      </c>
      <c r="M4917" s="78" t="str">
        <f>IFERROR(VLOOKUP(A4917, Entries!A:B,2,false),"")</f>
        <v>Bethesda Softworks</v>
      </c>
      <c r="N4917" s="23" t="str">
        <f>IFERROR(VLOOKUP(A4917, Entries!A:K,11,false),"")</f>
        <v/>
      </c>
    </row>
    <row r="4918">
      <c r="A4918" s="78" t="s">
        <v>5676</v>
      </c>
      <c r="B4918" s="78" t="s">
        <v>27</v>
      </c>
      <c r="C4918" s="85">
        <v>45263.0</v>
      </c>
      <c r="D4918" s="85">
        <v>45269.0</v>
      </c>
      <c r="E4918" s="86">
        <v>39.89</v>
      </c>
      <c r="F4918" s="87">
        <v>41.3</v>
      </c>
      <c r="G4918" s="88">
        <f t="shared" si="1"/>
        <v>1.41</v>
      </c>
      <c r="H4918" s="89">
        <f t="shared" si="10"/>
        <v>0.03414043584</v>
      </c>
      <c r="I4918" s="78" t="s">
        <v>5740</v>
      </c>
      <c r="J4918" s="78" t="s">
        <v>69</v>
      </c>
      <c r="K4918" s="58">
        <f t="shared" si="14"/>
        <v>6</v>
      </c>
      <c r="L4918" s="91" t="str">
        <f t="shared" si="8"/>
        <v>Sat</v>
      </c>
      <c r="M4918" s="78" t="str">
        <f>IFERROR(VLOOKUP(A4918, Entries!A:B,2,false),"")</f>
        <v>Bethesda Softworks</v>
      </c>
      <c r="N4918" s="23" t="str">
        <f>IFERROR(VLOOKUP(A4918, Entries!A:K,11,false),"")</f>
        <v/>
      </c>
    </row>
    <row r="4919">
      <c r="A4919" s="78" t="s">
        <v>4085</v>
      </c>
      <c r="B4919" s="78" t="s">
        <v>27</v>
      </c>
      <c r="C4919" s="85">
        <v>45263.0</v>
      </c>
      <c r="D4919" s="85">
        <v>45268.0</v>
      </c>
      <c r="E4919" s="86">
        <v>6.29</v>
      </c>
      <c r="F4919" s="87">
        <v>7.68</v>
      </c>
      <c r="G4919" s="88">
        <f t="shared" si="1"/>
        <v>1.39</v>
      </c>
      <c r="H4919" s="89">
        <f t="shared" si="10"/>
        <v>0.1809895833</v>
      </c>
      <c r="I4919" s="78" t="s">
        <v>5741</v>
      </c>
      <c r="J4919" s="78" t="s">
        <v>69</v>
      </c>
      <c r="K4919" s="58">
        <f t="shared" si="14"/>
        <v>5</v>
      </c>
      <c r="L4919" s="91" t="str">
        <f t="shared" si="8"/>
        <v>Fri</v>
      </c>
      <c r="M4919" s="78" t="str">
        <f>IFERROR(VLOOKUP(A4919, Entries!A:B,2,false),"")</f>
        <v>Bethesda Softworks</v>
      </c>
      <c r="N4919" s="23" t="str">
        <f>IFERROR(VLOOKUP(A4919, Entries!A:K,11,false),"")</f>
        <v/>
      </c>
    </row>
    <row r="4920">
      <c r="A4920" s="94" t="s">
        <v>5446</v>
      </c>
      <c r="B4920" s="78" t="s">
        <v>27</v>
      </c>
      <c r="C4920" s="85">
        <v>45263.0</v>
      </c>
      <c r="D4920" s="85">
        <v>45517.0</v>
      </c>
      <c r="E4920" s="86">
        <v>4.59</v>
      </c>
      <c r="F4920" s="87">
        <v>6.89</v>
      </c>
      <c r="G4920" s="88">
        <f t="shared" si="1"/>
        <v>2.3</v>
      </c>
      <c r="H4920" s="89">
        <f t="shared" si="10"/>
        <v>0.3338171263</v>
      </c>
      <c r="I4920" s="78" t="s">
        <v>5742</v>
      </c>
      <c r="J4920" s="78" t="s">
        <v>69</v>
      </c>
      <c r="K4920" s="58">
        <f t="shared" si="14"/>
        <v>254</v>
      </c>
      <c r="L4920" s="91" t="str">
        <f t="shared" si="8"/>
        <v>Tue</v>
      </c>
      <c r="M4920" s="78" t="str">
        <f>IFERROR(VLOOKUP(A4920, Entries!A:B,2,false),"")</f>
        <v>BANDAI NAMCO</v>
      </c>
      <c r="N4920" s="23" t="str">
        <f>IFERROR(VLOOKUP(A4920, Entries!A:K,11,false),"")</f>
        <v/>
      </c>
    </row>
    <row r="4921">
      <c r="A4921" s="78" t="s">
        <v>3897</v>
      </c>
      <c r="B4921" s="78" t="s">
        <v>27</v>
      </c>
      <c r="C4921" s="85">
        <v>45263.0</v>
      </c>
      <c r="D4921" s="85">
        <v>45264.0</v>
      </c>
      <c r="E4921" s="86">
        <v>4.39</v>
      </c>
      <c r="F4921" s="87">
        <v>5.08</v>
      </c>
      <c r="G4921" s="88">
        <f t="shared" si="1"/>
        <v>0.69</v>
      </c>
      <c r="H4921" s="89">
        <f t="shared" si="10"/>
        <v>0.1358267717</v>
      </c>
      <c r="I4921" s="78" t="s">
        <v>5743</v>
      </c>
      <c r="J4921" s="78" t="s">
        <v>69</v>
      </c>
      <c r="K4921" s="58">
        <f t="shared" si="14"/>
        <v>1</v>
      </c>
      <c r="L4921" s="91" t="str">
        <f t="shared" si="8"/>
        <v>Mon</v>
      </c>
      <c r="M4921" s="78" t="str">
        <f>IFERROR(VLOOKUP(A4921, Entries!A:B,2,false),"")</f>
        <v>Bethesda Softworks</v>
      </c>
      <c r="N4921" s="23" t="str">
        <f>IFERROR(VLOOKUP(A4921, Entries!A:K,11,false),"")</f>
        <v/>
      </c>
    </row>
    <row r="4922">
      <c r="A4922" s="78" t="s">
        <v>1389</v>
      </c>
      <c r="B4922" s="78" t="s">
        <v>23</v>
      </c>
      <c r="C4922" s="85">
        <v>45264.0</v>
      </c>
      <c r="D4922" s="85">
        <v>45271.0</v>
      </c>
      <c r="E4922" s="86">
        <v>7.94</v>
      </c>
      <c r="F4922" s="87">
        <v>13.71</v>
      </c>
      <c r="G4922" s="88">
        <f t="shared" si="1"/>
        <v>5.77</v>
      </c>
      <c r="H4922" s="89">
        <f t="shared" si="10"/>
        <v>0.4208606856</v>
      </c>
      <c r="I4922" s="78" t="s">
        <v>5744</v>
      </c>
      <c r="J4922" s="78" t="s">
        <v>69</v>
      </c>
      <c r="K4922" s="58">
        <f t="shared" si="14"/>
        <v>7</v>
      </c>
      <c r="L4922" s="91" t="str">
        <f t="shared" si="8"/>
        <v>Mon</v>
      </c>
      <c r="M4922" s="78" t="str">
        <f>IFERROR(VLOOKUP(A4922, Entries!A:B,2,false),"")</f>
        <v>Eugen Systems</v>
      </c>
      <c r="N4922" s="23" t="str">
        <f>IFERROR(VLOOKUP(A4922, Entries!A:K,11,false),"")</f>
        <v/>
      </c>
    </row>
    <row r="4923">
      <c r="A4923" s="78" t="s">
        <v>1406</v>
      </c>
      <c r="B4923" s="78" t="s">
        <v>23</v>
      </c>
      <c r="C4923" s="85">
        <v>45264.0</v>
      </c>
      <c r="D4923" s="85">
        <v>45297.0</v>
      </c>
      <c r="E4923" s="86">
        <v>15.38</v>
      </c>
      <c r="F4923" s="87">
        <v>23.04</v>
      </c>
      <c r="G4923" s="88">
        <f t="shared" si="1"/>
        <v>7.66</v>
      </c>
      <c r="H4923" s="89">
        <f t="shared" si="10"/>
        <v>0.3324652778</v>
      </c>
      <c r="I4923" s="78" t="s">
        <v>5745</v>
      </c>
      <c r="J4923" s="78" t="s">
        <v>69</v>
      </c>
      <c r="K4923" s="58">
        <f t="shared" si="14"/>
        <v>33</v>
      </c>
      <c r="L4923" s="91" t="str">
        <f t="shared" si="8"/>
        <v>Sat</v>
      </c>
      <c r="M4923" s="78" t="str">
        <f>IFERROR(VLOOKUP(A4923, Entries!A:B,2,false),"")</f>
        <v>Eugen Systems</v>
      </c>
      <c r="N4923" s="23" t="str">
        <f>IFERROR(VLOOKUP(A4923, Entries!A:K,11,false),"")</f>
        <v/>
      </c>
    </row>
    <row r="4924">
      <c r="A4924" s="78" t="s">
        <v>3897</v>
      </c>
      <c r="B4924" s="78" t="s">
        <v>27</v>
      </c>
      <c r="C4924" s="85">
        <v>45268.0</v>
      </c>
      <c r="D4924" s="85">
        <v>45268.0</v>
      </c>
      <c r="E4924" s="86">
        <v>0.57</v>
      </c>
      <c r="F4924" s="87">
        <v>5.07</v>
      </c>
      <c r="G4924" s="88">
        <f t="shared" si="1"/>
        <v>4.5</v>
      </c>
      <c r="H4924" s="89">
        <f t="shared" si="10"/>
        <v>0.8875739645</v>
      </c>
      <c r="I4924" s="78" t="s">
        <v>5746</v>
      </c>
      <c r="J4924" s="78" t="s">
        <v>69</v>
      </c>
      <c r="K4924" s="58">
        <f t="shared" si="14"/>
        <v>0</v>
      </c>
      <c r="L4924" s="91" t="str">
        <f t="shared" si="8"/>
        <v>Fri</v>
      </c>
      <c r="M4924" s="78" t="str">
        <f>IFERROR(VLOOKUP(A4924, Entries!A:B,2,false),"")</f>
        <v>Bethesda Softworks</v>
      </c>
      <c r="N4924" s="23" t="str">
        <f>IFERROR(VLOOKUP(A4924, Entries!A:K,11,false),"")</f>
        <v/>
      </c>
    </row>
    <row r="4925">
      <c r="A4925" s="78" t="s">
        <v>5733</v>
      </c>
      <c r="B4925" s="78" t="s">
        <v>21</v>
      </c>
      <c r="C4925" s="85">
        <v>45268.0</v>
      </c>
      <c r="D4925" s="85">
        <v>45297.0</v>
      </c>
      <c r="E4925" s="86">
        <v>35.89</v>
      </c>
      <c r="F4925" s="87">
        <v>41.38</v>
      </c>
      <c r="G4925" s="88">
        <f t="shared" si="1"/>
        <v>5.49</v>
      </c>
      <c r="H4925" s="89">
        <f t="shared" si="10"/>
        <v>0.1326727888</v>
      </c>
      <c r="I4925" s="78" t="s">
        <v>5747</v>
      </c>
      <c r="J4925" s="78" t="s">
        <v>69</v>
      </c>
      <c r="K4925" s="58">
        <f t="shared" si="14"/>
        <v>29</v>
      </c>
      <c r="L4925" s="91" t="str">
        <f t="shared" si="8"/>
        <v>Sat</v>
      </c>
      <c r="M4925" s="78" t="str">
        <f>IFERROR(VLOOKUP(A4925, Entries!A:B,2,false),"")</f>
        <v>Square Enix</v>
      </c>
      <c r="N4925" s="23" t="str">
        <f>IFERROR(VLOOKUP(A4925, Entries!A:K,11,false),"")</f>
        <v/>
      </c>
    </row>
    <row r="4926">
      <c r="A4926" s="78" t="s">
        <v>4085</v>
      </c>
      <c r="B4926" s="78" t="s">
        <v>27</v>
      </c>
      <c r="C4926" s="85">
        <v>45268.0</v>
      </c>
      <c r="D4926" s="85">
        <v>45269.0</v>
      </c>
      <c r="E4926" s="86">
        <v>6.29</v>
      </c>
      <c r="F4926" s="87">
        <v>7.73</v>
      </c>
      <c r="G4926" s="88">
        <f t="shared" si="1"/>
        <v>1.44</v>
      </c>
      <c r="H4926" s="89">
        <f t="shared" si="10"/>
        <v>0.1862871928</v>
      </c>
      <c r="I4926" s="78" t="s">
        <v>5748</v>
      </c>
      <c r="J4926" s="78" t="s">
        <v>69</v>
      </c>
      <c r="K4926" s="58">
        <f t="shared" si="14"/>
        <v>1</v>
      </c>
      <c r="L4926" s="91" t="str">
        <f t="shared" si="8"/>
        <v>Sat</v>
      </c>
      <c r="M4926" s="78" t="str">
        <f>IFERROR(VLOOKUP(A4926, Entries!A:B,2,false),"")</f>
        <v>Bethesda Softworks</v>
      </c>
      <c r="N4926" s="23" t="str">
        <f>IFERROR(VLOOKUP(A4926, Entries!A:K,11,false),"")</f>
        <v/>
      </c>
    </row>
    <row r="4927">
      <c r="A4927" s="78" t="s">
        <v>3897</v>
      </c>
      <c r="B4927" s="78" t="s">
        <v>27</v>
      </c>
      <c r="C4927" s="85">
        <v>45268.0</v>
      </c>
      <c r="D4927" s="85">
        <v>45268.0</v>
      </c>
      <c r="E4927" s="86">
        <v>4.11</v>
      </c>
      <c r="F4927" s="87">
        <v>5.08</v>
      </c>
      <c r="G4927" s="88">
        <f t="shared" si="1"/>
        <v>0.97</v>
      </c>
      <c r="H4927" s="89">
        <f t="shared" si="10"/>
        <v>0.1909448819</v>
      </c>
      <c r="I4927" s="78" t="s">
        <v>5749</v>
      </c>
      <c r="J4927" s="78" t="s">
        <v>69</v>
      </c>
      <c r="K4927" s="58">
        <f t="shared" si="14"/>
        <v>0</v>
      </c>
      <c r="L4927" s="91" t="str">
        <f t="shared" si="8"/>
        <v>Fri</v>
      </c>
      <c r="M4927" s="78" t="str">
        <f>IFERROR(VLOOKUP(A4927, Entries!A:B,2,false),"")</f>
        <v>Bethesda Softworks</v>
      </c>
      <c r="N4927" s="23" t="str">
        <f>IFERROR(VLOOKUP(A4927, Entries!A:K,11,false),"")</f>
        <v/>
      </c>
    </row>
    <row r="4928">
      <c r="A4928" s="78" t="s">
        <v>3897</v>
      </c>
      <c r="B4928" s="78" t="s">
        <v>27</v>
      </c>
      <c r="C4928" s="85">
        <v>45268.0</v>
      </c>
      <c r="D4928" s="85">
        <v>45269.0</v>
      </c>
      <c r="E4928" s="86">
        <v>4.39</v>
      </c>
      <c r="F4928" s="87">
        <v>5.08</v>
      </c>
      <c r="G4928" s="88">
        <f t="shared" si="1"/>
        <v>0.69</v>
      </c>
      <c r="H4928" s="89">
        <f t="shared" si="10"/>
        <v>0.1358267717</v>
      </c>
      <c r="I4928" s="78" t="s">
        <v>5750</v>
      </c>
      <c r="J4928" s="78" t="s">
        <v>69</v>
      </c>
      <c r="K4928" s="58">
        <f t="shared" si="14"/>
        <v>1</v>
      </c>
      <c r="L4928" s="91" t="str">
        <f t="shared" si="8"/>
        <v>Sat</v>
      </c>
      <c r="M4928" s="78" t="str">
        <f>IFERROR(VLOOKUP(A4928, Entries!A:B,2,false),"")</f>
        <v>Bethesda Softworks</v>
      </c>
      <c r="N4928" s="23" t="str">
        <f>IFERROR(VLOOKUP(A4928, Entries!A:K,11,false),"")</f>
        <v/>
      </c>
    </row>
    <row r="4929">
      <c r="A4929" s="78" t="s">
        <v>5714</v>
      </c>
      <c r="B4929" s="78" t="s">
        <v>27</v>
      </c>
      <c r="C4929" s="85">
        <v>45268.0</v>
      </c>
      <c r="D4929" s="85">
        <v>45270.0</v>
      </c>
      <c r="E4929" s="86">
        <v>4.59</v>
      </c>
      <c r="F4929" s="87">
        <v>6.19</v>
      </c>
      <c r="G4929" s="88">
        <f t="shared" si="1"/>
        <v>1.6</v>
      </c>
      <c r="H4929" s="89">
        <f t="shared" si="10"/>
        <v>0.2584814216</v>
      </c>
      <c r="I4929" s="78" t="s">
        <v>5751</v>
      </c>
      <c r="J4929" s="78" t="s">
        <v>69</v>
      </c>
      <c r="K4929" s="58">
        <f t="shared" si="14"/>
        <v>2</v>
      </c>
      <c r="L4929" s="91" t="str">
        <f t="shared" si="8"/>
        <v>Sun</v>
      </c>
      <c r="M4929" s="78" t="str">
        <f>IFERROR(VLOOKUP(A4929, Entries!A:B,2,false),"")</f>
        <v>Kalypso Media</v>
      </c>
      <c r="N4929" s="23" t="str">
        <f>IFERROR(VLOOKUP(A4929, Entries!A:K,11,false),"")</f>
        <v/>
      </c>
    </row>
    <row r="4930">
      <c r="A4930" s="78" t="s">
        <v>4085</v>
      </c>
      <c r="B4930" s="78" t="s">
        <v>27</v>
      </c>
      <c r="C4930" s="85">
        <v>45269.0</v>
      </c>
      <c r="D4930" s="85">
        <v>45269.0</v>
      </c>
      <c r="E4930" s="86">
        <v>6.29</v>
      </c>
      <c r="F4930" s="87">
        <v>7.73</v>
      </c>
      <c r="G4930" s="88">
        <f t="shared" si="1"/>
        <v>1.44</v>
      </c>
      <c r="H4930" s="89">
        <f t="shared" si="10"/>
        <v>0.1862871928</v>
      </c>
      <c r="I4930" s="78" t="s">
        <v>5752</v>
      </c>
      <c r="J4930" s="78" t="s">
        <v>69</v>
      </c>
      <c r="K4930" s="58">
        <f t="shared" si="14"/>
        <v>0</v>
      </c>
      <c r="L4930" s="91" t="str">
        <f t="shared" si="8"/>
        <v>Sat</v>
      </c>
      <c r="M4930" s="78" t="str">
        <f>IFERROR(VLOOKUP(A4930, Entries!A:B,2,false),"")</f>
        <v>Bethesda Softworks</v>
      </c>
      <c r="N4930" s="23" t="str">
        <f>IFERROR(VLOOKUP(A4930, Entries!A:K,11,false),"")</f>
        <v/>
      </c>
    </row>
    <row r="4931">
      <c r="A4931" s="78" t="s">
        <v>3897</v>
      </c>
      <c r="B4931" s="78" t="s">
        <v>27</v>
      </c>
      <c r="C4931" s="85">
        <v>45269.0</v>
      </c>
      <c r="D4931" s="85">
        <v>45269.0</v>
      </c>
      <c r="E4931" s="86">
        <v>4.39</v>
      </c>
      <c r="F4931" s="87">
        <v>5.08</v>
      </c>
      <c r="G4931" s="88">
        <f t="shared" si="1"/>
        <v>0.69</v>
      </c>
      <c r="H4931" s="89">
        <f t="shared" si="10"/>
        <v>0.1358267717</v>
      </c>
      <c r="I4931" s="78" t="s">
        <v>5753</v>
      </c>
      <c r="J4931" s="78" t="s">
        <v>69</v>
      </c>
      <c r="K4931" s="58">
        <f t="shared" si="14"/>
        <v>0</v>
      </c>
      <c r="L4931" s="91" t="str">
        <f t="shared" si="8"/>
        <v>Sat</v>
      </c>
      <c r="M4931" s="78" t="str">
        <f>IFERROR(VLOOKUP(A4931, Entries!A:B,2,false),"")</f>
        <v>Bethesda Softworks</v>
      </c>
      <c r="N4931" s="23" t="str">
        <f>IFERROR(VLOOKUP(A4931, Entries!A:K,11,false),"")</f>
        <v/>
      </c>
    </row>
    <row r="4932">
      <c r="A4932" s="78" t="s">
        <v>5676</v>
      </c>
      <c r="B4932" s="78" t="s">
        <v>19</v>
      </c>
      <c r="C4932" s="85">
        <v>45269.0</v>
      </c>
      <c r="D4932" s="85">
        <v>45276.0</v>
      </c>
      <c r="E4932" s="86">
        <v>39.16</v>
      </c>
      <c r="F4932" s="87">
        <v>44.68</v>
      </c>
      <c r="G4932" s="88">
        <f t="shared" si="1"/>
        <v>5.52</v>
      </c>
      <c r="H4932" s="89">
        <f t="shared" si="10"/>
        <v>0.1235452104</v>
      </c>
      <c r="I4932" s="78" t="s">
        <v>5754</v>
      </c>
      <c r="J4932" s="78" t="s">
        <v>69</v>
      </c>
      <c r="K4932" s="58">
        <f t="shared" si="14"/>
        <v>7</v>
      </c>
      <c r="L4932" s="91" t="str">
        <f t="shared" si="8"/>
        <v>Sat</v>
      </c>
      <c r="M4932" s="78" t="str">
        <f>IFERROR(VLOOKUP(A4932, Entries!A:B,2,false),"")</f>
        <v>Bethesda Softworks</v>
      </c>
      <c r="N4932" s="23" t="str">
        <f>IFERROR(VLOOKUP(A4932, Entries!A:K,11,false),"")</f>
        <v/>
      </c>
    </row>
    <row r="4933">
      <c r="A4933" s="78" t="s">
        <v>4010</v>
      </c>
      <c r="B4933" s="78" t="s">
        <v>23</v>
      </c>
      <c r="C4933" s="85">
        <v>45269.0</v>
      </c>
      <c r="D4933" s="85">
        <v>45345.0</v>
      </c>
      <c r="E4933" s="86">
        <v>13.59</v>
      </c>
      <c r="F4933" s="87">
        <v>19.16</v>
      </c>
      <c r="G4933" s="88">
        <f t="shared" si="1"/>
        <v>5.57</v>
      </c>
      <c r="H4933" s="89">
        <f t="shared" si="10"/>
        <v>0.2907098121</v>
      </c>
      <c r="I4933" s="78" t="s">
        <v>5755</v>
      </c>
      <c r="J4933" s="78" t="s">
        <v>69</v>
      </c>
      <c r="K4933" s="58">
        <f t="shared" si="14"/>
        <v>76</v>
      </c>
      <c r="L4933" s="91" t="str">
        <f t="shared" si="8"/>
        <v>Fri</v>
      </c>
      <c r="M4933" s="78" t="str">
        <f>IFERROR(VLOOKUP(A4933, Entries!A:B,2,false),"")</f>
        <v>Eugen Systems</v>
      </c>
      <c r="N4933" s="23" t="str">
        <f>IFERROR(VLOOKUP(A4933, Entries!A:K,11,false),"")</f>
        <v/>
      </c>
    </row>
    <row r="4934">
      <c r="A4934" s="94" t="s">
        <v>4012</v>
      </c>
      <c r="B4934" s="78" t="s">
        <v>23</v>
      </c>
      <c r="C4934" s="85">
        <v>45269.0</v>
      </c>
      <c r="D4934" s="85">
        <v>45464.0</v>
      </c>
      <c r="E4934" s="86">
        <v>11.65</v>
      </c>
      <c r="F4934" s="87">
        <v>16.06</v>
      </c>
      <c r="G4934" s="88">
        <f t="shared" si="1"/>
        <v>4.41</v>
      </c>
      <c r="H4934" s="89">
        <f t="shared" si="10"/>
        <v>0.2745952677</v>
      </c>
      <c r="I4934" s="78" t="s">
        <v>5756</v>
      </c>
      <c r="J4934" s="78" t="s">
        <v>69</v>
      </c>
      <c r="K4934" s="58">
        <f t="shared" si="14"/>
        <v>195</v>
      </c>
      <c r="L4934" s="91" t="str">
        <f t="shared" si="8"/>
        <v>Fri</v>
      </c>
      <c r="M4934" s="78" t="str">
        <f>IFERROR(VLOOKUP(A4934, Entries!A:B,2,false),"")</f>
        <v>Eugen Systems</v>
      </c>
      <c r="N4934" s="23" t="str">
        <f>IFERROR(VLOOKUP(A4934, Entries!A:K,11,false),"")</f>
        <v/>
      </c>
    </row>
    <row r="4935">
      <c r="A4935" s="78" t="s">
        <v>3897</v>
      </c>
      <c r="B4935" s="78" t="s">
        <v>27</v>
      </c>
      <c r="C4935" s="85">
        <v>45269.0</v>
      </c>
      <c r="D4935" s="85">
        <v>45269.0</v>
      </c>
      <c r="E4935" s="86">
        <v>4.34</v>
      </c>
      <c r="F4935" s="87">
        <v>5.08</v>
      </c>
      <c r="G4935" s="88">
        <f t="shared" si="1"/>
        <v>0.74</v>
      </c>
      <c r="H4935" s="89">
        <f t="shared" si="10"/>
        <v>0.1456692913</v>
      </c>
      <c r="I4935" s="78" t="s">
        <v>5757</v>
      </c>
      <c r="J4935" s="78" t="s">
        <v>69</v>
      </c>
      <c r="K4935" s="58">
        <f t="shared" si="14"/>
        <v>0</v>
      </c>
      <c r="L4935" s="91" t="str">
        <f t="shared" si="8"/>
        <v>Sat</v>
      </c>
      <c r="M4935" s="78" t="str">
        <f>IFERROR(VLOOKUP(A4935, Entries!A:B,2,false),"")</f>
        <v>Bethesda Softworks</v>
      </c>
      <c r="N4935" s="23" t="str">
        <f>IFERROR(VLOOKUP(A4935, Entries!A:K,11,false),"")</f>
        <v/>
      </c>
    </row>
    <row r="4936">
      <c r="A4936" s="78" t="s">
        <v>3897</v>
      </c>
      <c r="B4936" s="78" t="s">
        <v>27</v>
      </c>
      <c r="C4936" s="85">
        <v>45269.0</v>
      </c>
      <c r="D4936" s="85">
        <v>45270.0</v>
      </c>
      <c r="E4936" s="86">
        <v>3.99</v>
      </c>
      <c r="F4936" s="87">
        <v>5.08</v>
      </c>
      <c r="G4936" s="88">
        <f t="shared" si="1"/>
        <v>1.09</v>
      </c>
      <c r="H4936" s="89">
        <f t="shared" si="10"/>
        <v>0.2145669291</v>
      </c>
      <c r="I4936" s="78" t="s">
        <v>5758</v>
      </c>
      <c r="J4936" s="78" t="s">
        <v>69</v>
      </c>
      <c r="K4936" s="58">
        <f t="shared" si="14"/>
        <v>1</v>
      </c>
      <c r="L4936" s="91" t="str">
        <f t="shared" si="8"/>
        <v>Sun</v>
      </c>
      <c r="M4936" s="78" t="str">
        <f>IFERROR(VLOOKUP(A4936, Entries!A:B,2,false),"")</f>
        <v>Bethesda Softworks</v>
      </c>
      <c r="N4936" s="23" t="str">
        <f>IFERROR(VLOOKUP(A4936, Entries!A:K,11,false),"")</f>
        <v/>
      </c>
    </row>
    <row r="4937">
      <c r="A4937" s="78" t="s">
        <v>4085</v>
      </c>
      <c r="B4937" s="78" t="s">
        <v>27</v>
      </c>
      <c r="C4937" s="85">
        <v>45269.0</v>
      </c>
      <c r="D4937" s="85">
        <v>45280.0</v>
      </c>
      <c r="E4937" s="86">
        <v>6.29</v>
      </c>
      <c r="F4937" s="87">
        <v>7.68</v>
      </c>
      <c r="G4937" s="88">
        <f t="shared" si="1"/>
        <v>1.39</v>
      </c>
      <c r="H4937" s="89">
        <f t="shared" si="10"/>
        <v>0.1809895833</v>
      </c>
      <c r="I4937" s="78" t="s">
        <v>5759</v>
      </c>
      <c r="J4937" s="78" t="s">
        <v>69</v>
      </c>
      <c r="K4937" s="58">
        <f t="shared" si="14"/>
        <v>11</v>
      </c>
      <c r="L4937" s="91" t="str">
        <f t="shared" si="8"/>
        <v>Wed</v>
      </c>
      <c r="M4937" s="78" t="str">
        <f>IFERROR(VLOOKUP(A4937, Entries!A:B,2,false),"")</f>
        <v>Bethesda Softworks</v>
      </c>
      <c r="N4937" s="23" t="str">
        <f>IFERROR(VLOOKUP(A4937, Entries!A:K,11,false),"")</f>
        <v/>
      </c>
    </row>
    <row r="4938">
      <c r="A4938" s="78" t="s">
        <v>3897</v>
      </c>
      <c r="B4938" s="78" t="s">
        <v>27</v>
      </c>
      <c r="C4938" s="85">
        <v>45270.0</v>
      </c>
      <c r="D4938" s="85">
        <v>45270.0</v>
      </c>
      <c r="E4938" s="86">
        <v>3.85</v>
      </c>
      <c r="F4938" s="87">
        <v>5.08</v>
      </c>
      <c r="G4938" s="88">
        <f t="shared" si="1"/>
        <v>1.23</v>
      </c>
      <c r="H4938" s="89">
        <f t="shared" si="10"/>
        <v>0.2421259843</v>
      </c>
      <c r="I4938" s="78" t="s">
        <v>5760</v>
      </c>
      <c r="J4938" s="78" t="s">
        <v>69</v>
      </c>
      <c r="K4938" s="58">
        <f t="shared" si="14"/>
        <v>0</v>
      </c>
      <c r="L4938" s="91" t="str">
        <f t="shared" si="8"/>
        <v>Sun</v>
      </c>
      <c r="M4938" s="78" t="str">
        <f>IFERROR(VLOOKUP(A4938, Entries!A:B,2,false),"")</f>
        <v>Bethesda Softworks</v>
      </c>
      <c r="N4938" s="23" t="str">
        <f>IFERROR(VLOOKUP(A4938, Entries!A:K,11,false),"")</f>
        <v/>
      </c>
    </row>
    <row r="4939">
      <c r="A4939" s="78" t="s">
        <v>3897</v>
      </c>
      <c r="B4939" s="78" t="s">
        <v>27</v>
      </c>
      <c r="C4939" s="85">
        <v>45270.0</v>
      </c>
      <c r="D4939" s="85">
        <v>45270.0</v>
      </c>
      <c r="E4939" s="86">
        <v>3.99</v>
      </c>
      <c r="F4939" s="87">
        <v>5.08</v>
      </c>
      <c r="G4939" s="88">
        <f t="shared" si="1"/>
        <v>1.09</v>
      </c>
      <c r="H4939" s="89">
        <f t="shared" si="10"/>
        <v>0.2145669291</v>
      </c>
      <c r="I4939" s="78" t="s">
        <v>5761</v>
      </c>
      <c r="J4939" s="78" t="s">
        <v>69</v>
      </c>
      <c r="K4939" s="58">
        <f t="shared" si="14"/>
        <v>0</v>
      </c>
      <c r="L4939" s="91" t="str">
        <f t="shared" si="8"/>
        <v>Sun</v>
      </c>
      <c r="M4939" s="78" t="str">
        <f>IFERROR(VLOOKUP(A4939, Entries!A:B,2,false),"")</f>
        <v>Bethesda Softworks</v>
      </c>
      <c r="N4939" s="23" t="str">
        <f>IFERROR(VLOOKUP(A4939, Entries!A:K,11,false),"")</f>
        <v/>
      </c>
    </row>
    <row r="4940">
      <c r="A4940" s="94" t="s">
        <v>5714</v>
      </c>
      <c r="B4940" s="78" t="s">
        <v>27</v>
      </c>
      <c r="C4940" s="85">
        <v>45270.0</v>
      </c>
      <c r="D4940" s="85">
        <v>45413.0</v>
      </c>
      <c r="E4940" s="86">
        <v>4.59</v>
      </c>
      <c r="F4940" s="87">
        <v>5.84</v>
      </c>
      <c r="G4940" s="88">
        <f t="shared" si="1"/>
        <v>1.25</v>
      </c>
      <c r="H4940" s="89">
        <f t="shared" si="10"/>
        <v>0.2140410959</v>
      </c>
      <c r="I4940" s="78" t="s">
        <v>5762</v>
      </c>
      <c r="J4940" s="78" t="s">
        <v>69</v>
      </c>
      <c r="K4940" s="58">
        <f t="shared" si="14"/>
        <v>143</v>
      </c>
      <c r="L4940" s="91" t="str">
        <f t="shared" si="8"/>
        <v>Wed</v>
      </c>
      <c r="M4940" s="78" t="str">
        <f>IFERROR(VLOOKUP(A4940, Entries!A:B,2,false),"")</f>
        <v>Kalypso Media</v>
      </c>
      <c r="N4940" s="23" t="str">
        <f>IFERROR(VLOOKUP(A4940, Entries!A:K,11,false),"")</f>
        <v/>
      </c>
    </row>
    <row r="4941">
      <c r="A4941" s="78" t="s">
        <v>3897</v>
      </c>
      <c r="B4941" s="78" t="s">
        <v>27</v>
      </c>
      <c r="C4941" s="85">
        <v>45271.0</v>
      </c>
      <c r="D4941" s="85">
        <v>45272.0</v>
      </c>
      <c r="E4941" s="86">
        <v>4.21</v>
      </c>
      <c r="F4941" s="87">
        <v>5.08</v>
      </c>
      <c r="G4941" s="88">
        <f t="shared" si="1"/>
        <v>0.87</v>
      </c>
      <c r="H4941" s="89">
        <f t="shared" si="10"/>
        <v>0.1712598425</v>
      </c>
      <c r="I4941" s="78" t="s">
        <v>5763</v>
      </c>
      <c r="J4941" s="78" t="s">
        <v>69</v>
      </c>
      <c r="K4941" s="58">
        <f t="shared" si="14"/>
        <v>1</v>
      </c>
      <c r="L4941" s="91" t="str">
        <f t="shared" si="8"/>
        <v>Tue</v>
      </c>
      <c r="M4941" s="78" t="str">
        <f>IFERROR(VLOOKUP(A4941, Entries!A:B,2,false),"")</f>
        <v>Bethesda Softworks</v>
      </c>
      <c r="N4941" s="23" t="str">
        <f>IFERROR(VLOOKUP(A4941, Entries!A:K,11,false),"")</f>
        <v/>
      </c>
    </row>
    <row r="4942">
      <c r="A4942" s="94" t="s">
        <v>2380</v>
      </c>
      <c r="B4942" s="78" t="s">
        <v>19</v>
      </c>
      <c r="C4942" s="85">
        <v>45271.0</v>
      </c>
      <c r="D4942" s="85">
        <v>45404.0</v>
      </c>
      <c r="E4942" s="86">
        <v>10.41</v>
      </c>
      <c r="F4942" s="87">
        <v>12.3</v>
      </c>
      <c r="G4942" s="88">
        <f t="shared" si="1"/>
        <v>1.89</v>
      </c>
      <c r="H4942" s="89">
        <f t="shared" si="10"/>
        <v>0.1536585366</v>
      </c>
      <c r="I4942" s="78" t="s">
        <v>5764</v>
      </c>
      <c r="J4942" s="78" t="s">
        <v>69</v>
      </c>
      <c r="K4942" s="58">
        <f t="shared" si="14"/>
        <v>133</v>
      </c>
      <c r="L4942" s="91" t="str">
        <f t="shared" si="8"/>
        <v>Mon</v>
      </c>
      <c r="M4942" s="78" t="str">
        <f>IFERROR(VLOOKUP(A4942, Entries!A:B,2,false),"")</f>
        <v>Brightrock Games</v>
      </c>
      <c r="N4942" s="23" t="str">
        <f>IFERROR(VLOOKUP(A4942, Entries!A:K,11,false),"")</f>
        <v/>
      </c>
    </row>
    <row r="4943">
      <c r="A4943" s="78" t="s">
        <v>3897</v>
      </c>
      <c r="B4943" s="78" t="s">
        <v>27</v>
      </c>
      <c r="C4943" s="85">
        <v>45272.0</v>
      </c>
      <c r="D4943" s="85">
        <v>45272.0</v>
      </c>
      <c r="E4943" s="86">
        <v>4.25</v>
      </c>
      <c r="F4943" s="87">
        <v>5.08</v>
      </c>
      <c r="G4943" s="88">
        <f t="shared" si="1"/>
        <v>0.83</v>
      </c>
      <c r="H4943" s="89">
        <f t="shared" si="10"/>
        <v>0.1633858268</v>
      </c>
      <c r="I4943" s="78" t="s">
        <v>5765</v>
      </c>
      <c r="J4943" s="78" t="s">
        <v>69</v>
      </c>
      <c r="K4943" s="58">
        <f t="shared" si="14"/>
        <v>0</v>
      </c>
      <c r="L4943" s="91" t="str">
        <f t="shared" si="8"/>
        <v>Tue</v>
      </c>
      <c r="M4943" s="78" t="str">
        <f>IFERROR(VLOOKUP(A4943, Entries!A:B,2,false),"")</f>
        <v>Bethesda Softworks</v>
      </c>
      <c r="N4943" s="23" t="str">
        <f>IFERROR(VLOOKUP(A4943, Entries!A:K,11,false),"")</f>
        <v/>
      </c>
    </row>
    <row r="4944">
      <c r="A4944" s="78" t="s">
        <v>5766</v>
      </c>
      <c r="B4944" s="78" t="s">
        <v>25</v>
      </c>
      <c r="C4944" s="85">
        <v>45272.0</v>
      </c>
      <c r="D4944" s="25"/>
      <c r="E4944" s="86">
        <v>15.6</v>
      </c>
      <c r="F4944" s="88"/>
      <c r="G4944" s="88">
        <f t="shared" si="1"/>
        <v>-15.6</v>
      </c>
      <c r="H4944" s="89" t="str">
        <f t="shared" si="10"/>
        <v/>
      </c>
      <c r="I4944" s="103" t="s">
        <v>5767</v>
      </c>
      <c r="J4944" s="78" t="s">
        <v>1129</v>
      </c>
      <c r="K4944" s="58" t="str">
        <f t="shared" si="14"/>
        <v/>
      </c>
      <c r="L4944" s="91" t="str">
        <f t="shared" si="8"/>
        <v/>
      </c>
      <c r="M4944" s="78" t="str">
        <f>IFERROR(VLOOKUP(A4944, Entries!A:B,2,false),"")</f>
        <v>Nacon</v>
      </c>
      <c r="N4944" s="23" t="str">
        <f>IFERROR(VLOOKUP(A4944, Entries!A:K,11,false),"")</f>
        <v/>
      </c>
    </row>
    <row r="4945">
      <c r="A4945" s="78" t="s">
        <v>5768</v>
      </c>
      <c r="B4945" s="78" t="s">
        <v>22</v>
      </c>
      <c r="C4945" s="85">
        <v>45272.0</v>
      </c>
      <c r="D4945" s="85">
        <v>45272.0</v>
      </c>
      <c r="E4945" s="86">
        <v>8.72</v>
      </c>
      <c r="F4945" s="87">
        <v>15.17</v>
      </c>
      <c r="G4945" s="88">
        <f t="shared" si="1"/>
        <v>6.45</v>
      </c>
      <c r="H4945" s="89">
        <f t="shared" si="10"/>
        <v>0.4251812788</v>
      </c>
      <c r="I4945" s="78" t="s">
        <v>5769</v>
      </c>
      <c r="J4945" s="78" t="s">
        <v>69</v>
      </c>
      <c r="K4945" s="58">
        <f t="shared" si="14"/>
        <v>0</v>
      </c>
      <c r="L4945" s="91" t="str">
        <f t="shared" si="8"/>
        <v>Tue</v>
      </c>
      <c r="M4945" s="78" t="str">
        <f>IFERROR(VLOOKUP(A4945, Entries!A:B,2,false),"")</f>
        <v>10 Chambers</v>
      </c>
      <c r="N4945" s="23" t="str">
        <f>IFERROR(VLOOKUP(A4945, Entries!A:K,11,false),"")</f>
        <v/>
      </c>
    </row>
    <row r="4946">
      <c r="A4946" s="78" t="s">
        <v>5768</v>
      </c>
      <c r="B4946" s="78" t="s">
        <v>22</v>
      </c>
      <c r="C4946" s="85">
        <v>45272.0</v>
      </c>
      <c r="D4946" s="85">
        <v>45272.0</v>
      </c>
      <c r="E4946" s="86">
        <v>8.72</v>
      </c>
      <c r="F4946" s="87">
        <v>15.17</v>
      </c>
      <c r="G4946" s="88">
        <f t="shared" si="1"/>
        <v>6.45</v>
      </c>
      <c r="H4946" s="89">
        <f t="shared" si="10"/>
        <v>0.4251812788</v>
      </c>
      <c r="I4946" s="78" t="s">
        <v>5770</v>
      </c>
      <c r="J4946" s="78" t="s">
        <v>69</v>
      </c>
      <c r="K4946" s="58">
        <f t="shared" si="14"/>
        <v>0</v>
      </c>
      <c r="L4946" s="91" t="str">
        <f t="shared" si="8"/>
        <v>Tue</v>
      </c>
      <c r="M4946" s="78" t="str">
        <f>IFERROR(VLOOKUP(A4946, Entries!A:B,2,false),"")</f>
        <v>10 Chambers</v>
      </c>
      <c r="N4946" s="23" t="str">
        <f>IFERROR(VLOOKUP(A4946, Entries!A:K,11,false),"")</f>
        <v/>
      </c>
    </row>
    <row r="4947">
      <c r="A4947" s="78" t="s">
        <v>5768</v>
      </c>
      <c r="B4947" s="78" t="s">
        <v>22</v>
      </c>
      <c r="C4947" s="85">
        <v>45272.0</v>
      </c>
      <c r="D4947" s="85">
        <v>45273.0</v>
      </c>
      <c r="E4947" s="86">
        <v>8.72</v>
      </c>
      <c r="F4947" s="87">
        <v>15.1</v>
      </c>
      <c r="G4947" s="88">
        <f t="shared" si="1"/>
        <v>6.38</v>
      </c>
      <c r="H4947" s="89">
        <f t="shared" si="10"/>
        <v>0.4225165563</v>
      </c>
      <c r="I4947" s="78" t="s">
        <v>5771</v>
      </c>
      <c r="J4947" s="78" t="s">
        <v>69</v>
      </c>
      <c r="K4947" s="58">
        <f t="shared" si="14"/>
        <v>1</v>
      </c>
      <c r="L4947" s="91" t="str">
        <f t="shared" si="8"/>
        <v>Wed</v>
      </c>
      <c r="M4947" s="78" t="str">
        <f>IFERROR(VLOOKUP(A4947, Entries!A:B,2,false),"")</f>
        <v>10 Chambers</v>
      </c>
      <c r="N4947" s="23" t="str">
        <f>IFERROR(VLOOKUP(A4947, Entries!A:K,11,false),"")</f>
        <v/>
      </c>
    </row>
    <row r="4948">
      <c r="A4948" s="78" t="s">
        <v>5768</v>
      </c>
      <c r="B4948" s="78" t="s">
        <v>22</v>
      </c>
      <c r="C4948" s="85">
        <v>45272.0</v>
      </c>
      <c r="D4948" s="85">
        <v>45273.0</v>
      </c>
      <c r="E4948" s="86">
        <v>8.72</v>
      </c>
      <c r="F4948" s="87">
        <v>15.1</v>
      </c>
      <c r="G4948" s="88">
        <f t="shared" si="1"/>
        <v>6.38</v>
      </c>
      <c r="H4948" s="89">
        <f t="shared" si="10"/>
        <v>0.4225165563</v>
      </c>
      <c r="I4948" s="78" t="s">
        <v>5772</v>
      </c>
      <c r="J4948" s="78" t="s">
        <v>69</v>
      </c>
      <c r="K4948" s="58">
        <f t="shared" si="14"/>
        <v>1</v>
      </c>
      <c r="L4948" s="91" t="str">
        <f t="shared" si="8"/>
        <v>Wed</v>
      </c>
      <c r="M4948" s="78" t="str">
        <f>IFERROR(VLOOKUP(A4948, Entries!A:B,2,false),"")</f>
        <v>10 Chambers</v>
      </c>
      <c r="N4948" s="23" t="str">
        <f>IFERROR(VLOOKUP(A4948, Entries!A:K,11,false),"")</f>
        <v/>
      </c>
    </row>
    <row r="4949">
      <c r="A4949" s="78" t="s">
        <v>3897</v>
      </c>
      <c r="B4949" s="78" t="s">
        <v>27</v>
      </c>
      <c r="C4949" s="85">
        <v>45273.0</v>
      </c>
      <c r="D4949" s="85">
        <v>45273.0</v>
      </c>
      <c r="E4949" s="86">
        <v>4.24</v>
      </c>
      <c r="F4949" s="87">
        <v>5.08</v>
      </c>
      <c r="G4949" s="88">
        <f t="shared" si="1"/>
        <v>0.84</v>
      </c>
      <c r="H4949" s="89">
        <f t="shared" si="10"/>
        <v>0.1653543307</v>
      </c>
      <c r="I4949" s="78" t="s">
        <v>5773</v>
      </c>
      <c r="J4949" s="78" t="s">
        <v>69</v>
      </c>
      <c r="K4949" s="58">
        <f t="shared" si="14"/>
        <v>0</v>
      </c>
      <c r="L4949" s="91" t="str">
        <f t="shared" si="8"/>
        <v>Wed</v>
      </c>
      <c r="M4949" s="78" t="str">
        <f>IFERROR(VLOOKUP(A4949, Entries!A:B,2,false),"")</f>
        <v>Bethesda Softworks</v>
      </c>
      <c r="N4949" s="23" t="str">
        <f>IFERROR(VLOOKUP(A4949, Entries!A:K,11,false),"")</f>
        <v/>
      </c>
    </row>
    <row r="4950">
      <c r="A4950" s="78" t="s">
        <v>5768</v>
      </c>
      <c r="B4950" s="78" t="s">
        <v>22</v>
      </c>
      <c r="C4950" s="85">
        <v>45273.0</v>
      </c>
      <c r="D4950" s="85">
        <v>45273.0</v>
      </c>
      <c r="E4950" s="86">
        <v>8.72</v>
      </c>
      <c r="F4950" s="87">
        <v>15.1</v>
      </c>
      <c r="G4950" s="88">
        <f t="shared" si="1"/>
        <v>6.38</v>
      </c>
      <c r="H4950" s="89">
        <f t="shared" si="10"/>
        <v>0.4225165563</v>
      </c>
      <c r="I4950" s="78" t="s">
        <v>5774</v>
      </c>
      <c r="J4950" s="78" t="s">
        <v>69</v>
      </c>
      <c r="K4950" s="58">
        <f t="shared" si="14"/>
        <v>0</v>
      </c>
      <c r="L4950" s="91" t="str">
        <f t="shared" si="8"/>
        <v>Wed</v>
      </c>
      <c r="M4950" s="78" t="str">
        <f>IFERROR(VLOOKUP(A4950, Entries!A:B,2,false),"")</f>
        <v>10 Chambers</v>
      </c>
      <c r="N4950" s="23" t="str">
        <f>IFERROR(VLOOKUP(A4950, Entries!A:K,11,false),"")</f>
        <v/>
      </c>
    </row>
    <row r="4951">
      <c r="A4951" s="78" t="s">
        <v>5768</v>
      </c>
      <c r="B4951" s="78" t="s">
        <v>22</v>
      </c>
      <c r="C4951" s="85">
        <v>45273.0</v>
      </c>
      <c r="D4951" s="85">
        <v>45273.0</v>
      </c>
      <c r="E4951" s="86">
        <v>8.72</v>
      </c>
      <c r="F4951" s="87">
        <v>15.23</v>
      </c>
      <c r="G4951" s="88">
        <f t="shared" si="1"/>
        <v>6.51</v>
      </c>
      <c r="H4951" s="89">
        <f t="shared" si="10"/>
        <v>0.4274458306</v>
      </c>
      <c r="I4951" s="78" t="s">
        <v>5775</v>
      </c>
      <c r="J4951" s="78" t="s">
        <v>69</v>
      </c>
      <c r="K4951" s="58">
        <f t="shared" si="14"/>
        <v>0</v>
      </c>
      <c r="L4951" s="91" t="str">
        <f t="shared" si="8"/>
        <v>Wed</v>
      </c>
      <c r="M4951" s="78" t="str">
        <f>IFERROR(VLOOKUP(A4951, Entries!A:B,2,false),"")</f>
        <v>10 Chambers</v>
      </c>
      <c r="N4951" s="23" t="str">
        <f>IFERROR(VLOOKUP(A4951, Entries!A:K,11,false),"")</f>
        <v/>
      </c>
    </row>
    <row r="4952">
      <c r="A4952" s="78" t="s">
        <v>5768</v>
      </c>
      <c r="B4952" s="78" t="s">
        <v>22</v>
      </c>
      <c r="C4952" s="85">
        <v>45273.0</v>
      </c>
      <c r="D4952" s="85">
        <v>45273.0</v>
      </c>
      <c r="E4952" s="86">
        <v>8.72</v>
      </c>
      <c r="F4952" s="87">
        <v>15.26</v>
      </c>
      <c r="G4952" s="88">
        <f t="shared" si="1"/>
        <v>6.54</v>
      </c>
      <c r="H4952" s="89">
        <f t="shared" si="10"/>
        <v>0.4285714286</v>
      </c>
      <c r="I4952" s="78" t="s">
        <v>5776</v>
      </c>
      <c r="J4952" s="78" t="s">
        <v>69</v>
      </c>
      <c r="K4952" s="58">
        <f t="shared" si="14"/>
        <v>0</v>
      </c>
      <c r="L4952" s="91" t="str">
        <f t="shared" si="8"/>
        <v>Wed</v>
      </c>
      <c r="M4952" s="78" t="str">
        <f>IFERROR(VLOOKUP(A4952, Entries!A:B,2,false),"")</f>
        <v>10 Chambers</v>
      </c>
      <c r="N4952" s="23" t="str">
        <f>IFERROR(VLOOKUP(A4952, Entries!A:K,11,false),"")</f>
        <v/>
      </c>
    </row>
    <row r="4953">
      <c r="A4953" s="78" t="s">
        <v>5768</v>
      </c>
      <c r="B4953" s="78" t="s">
        <v>22</v>
      </c>
      <c r="C4953" s="85">
        <v>45273.0</v>
      </c>
      <c r="D4953" s="85">
        <v>45273.0</v>
      </c>
      <c r="E4953" s="86">
        <v>8.72</v>
      </c>
      <c r="F4953" s="87">
        <v>15.26</v>
      </c>
      <c r="G4953" s="88">
        <f t="shared" si="1"/>
        <v>6.54</v>
      </c>
      <c r="H4953" s="89">
        <f t="shared" si="10"/>
        <v>0.4285714286</v>
      </c>
      <c r="I4953" s="78" t="s">
        <v>5777</v>
      </c>
      <c r="J4953" s="78" t="s">
        <v>69</v>
      </c>
      <c r="K4953" s="58">
        <f t="shared" si="14"/>
        <v>0</v>
      </c>
      <c r="L4953" s="91" t="str">
        <f t="shared" si="8"/>
        <v>Wed</v>
      </c>
      <c r="M4953" s="78" t="str">
        <f>IFERROR(VLOOKUP(A4953, Entries!A:B,2,false),"")</f>
        <v>10 Chambers</v>
      </c>
      <c r="N4953" s="23" t="str">
        <f>IFERROR(VLOOKUP(A4953, Entries!A:K,11,false),"")</f>
        <v/>
      </c>
    </row>
    <row r="4954">
      <c r="A4954" s="78" t="s">
        <v>5768</v>
      </c>
      <c r="B4954" s="78" t="s">
        <v>22</v>
      </c>
      <c r="C4954" s="85">
        <v>45273.0</v>
      </c>
      <c r="D4954" s="85">
        <v>45273.0</v>
      </c>
      <c r="E4954" s="86">
        <v>8.72</v>
      </c>
      <c r="F4954" s="87">
        <v>15.26</v>
      </c>
      <c r="G4954" s="88">
        <f t="shared" si="1"/>
        <v>6.54</v>
      </c>
      <c r="H4954" s="89">
        <f t="shared" si="10"/>
        <v>0.4285714286</v>
      </c>
      <c r="I4954" s="78" t="s">
        <v>5778</v>
      </c>
      <c r="J4954" s="78" t="s">
        <v>69</v>
      </c>
      <c r="K4954" s="58">
        <f t="shared" si="14"/>
        <v>0</v>
      </c>
      <c r="L4954" s="91" t="str">
        <f t="shared" si="8"/>
        <v>Wed</v>
      </c>
      <c r="M4954" s="78" t="str">
        <f>IFERROR(VLOOKUP(A4954, Entries!A:B,2,false),"")</f>
        <v>10 Chambers</v>
      </c>
      <c r="N4954" s="23" t="str">
        <f>IFERROR(VLOOKUP(A4954, Entries!A:K,11,false),"")</f>
        <v/>
      </c>
    </row>
    <row r="4955">
      <c r="A4955" s="78" t="s">
        <v>3897</v>
      </c>
      <c r="B4955" s="78" t="s">
        <v>27</v>
      </c>
      <c r="C4955" s="85">
        <v>45273.0</v>
      </c>
      <c r="D4955" s="85">
        <v>45273.0</v>
      </c>
      <c r="E4955" s="86">
        <v>4.39</v>
      </c>
      <c r="F4955" s="87">
        <v>5.08</v>
      </c>
      <c r="G4955" s="88">
        <f t="shared" si="1"/>
        <v>0.69</v>
      </c>
      <c r="H4955" s="89">
        <f t="shared" si="10"/>
        <v>0.1358267717</v>
      </c>
      <c r="I4955" s="78" t="s">
        <v>5779</v>
      </c>
      <c r="J4955" s="78" t="s">
        <v>69</v>
      </c>
      <c r="K4955" s="58">
        <f t="shared" si="14"/>
        <v>0</v>
      </c>
      <c r="L4955" s="91" t="str">
        <f t="shared" si="8"/>
        <v>Wed</v>
      </c>
      <c r="M4955" s="78" t="str">
        <f>IFERROR(VLOOKUP(A4955, Entries!A:B,2,false),"")</f>
        <v>Bethesda Softworks</v>
      </c>
      <c r="N4955" s="23" t="str">
        <f>IFERROR(VLOOKUP(A4955, Entries!A:K,11,false),"")</f>
        <v/>
      </c>
    </row>
    <row r="4956">
      <c r="A4956" s="78" t="s">
        <v>3897</v>
      </c>
      <c r="B4956" s="78" t="s">
        <v>27</v>
      </c>
      <c r="C4956" s="85">
        <v>45273.0</v>
      </c>
      <c r="D4956" s="85">
        <v>45273.0</v>
      </c>
      <c r="E4956" s="86">
        <v>4.39</v>
      </c>
      <c r="F4956" s="87">
        <v>5.08</v>
      </c>
      <c r="G4956" s="88">
        <f t="shared" si="1"/>
        <v>0.69</v>
      </c>
      <c r="H4956" s="89">
        <f t="shared" si="10"/>
        <v>0.1358267717</v>
      </c>
      <c r="I4956" s="78" t="s">
        <v>5780</v>
      </c>
      <c r="J4956" s="78" t="s">
        <v>69</v>
      </c>
      <c r="K4956" s="58">
        <f t="shared" si="14"/>
        <v>0</v>
      </c>
      <c r="L4956" s="91" t="str">
        <f t="shared" si="8"/>
        <v>Wed</v>
      </c>
      <c r="M4956" s="78" t="str">
        <f>IFERROR(VLOOKUP(A4956, Entries!A:B,2,false),"")</f>
        <v>Bethesda Softworks</v>
      </c>
      <c r="N4956" s="23" t="str">
        <f>IFERROR(VLOOKUP(A4956, Entries!A:K,11,false),"")</f>
        <v/>
      </c>
    </row>
    <row r="4957">
      <c r="A4957" s="78" t="s">
        <v>1849</v>
      </c>
      <c r="B4957" s="78" t="s">
        <v>19</v>
      </c>
      <c r="C4957" s="85">
        <v>45273.0</v>
      </c>
      <c r="D4957" s="85">
        <v>45273.0</v>
      </c>
      <c r="E4957" s="86">
        <v>4.59</v>
      </c>
      <c r="F4957" s="87">
        <v>5.87</v>
      </c>
      <c r="G4957" s="88">
        <f t="shared" si="1"/>
        <v>1.28</v>
      </c>
      <c r="H4957" s="89">
        <f t="shared" si="10"/>
        <v>0.2180579216</v>
      </c>
      <c r="I4957" s="78" t="s">
        <v>5781</v>
      </c>
      <c r="J4957" s="78" t="s">
        <v>69</v>
      </c>
      <c r="K4957" s="58">
        <f t="shared" si="14"/>
        <v>0</v>
      </c>
      <c r="L4957" s="91" t="str">
        <f t="shared" si="8"/>
        <v>Wed</v>
      </c>
      <c r="M4957" s="78" t="str">
        <f>IFERROR(VLOOKUP(A4957, Entries!A:B,2,false),"")</f>
        <v>Marmalade Game Studio</v>
      </c>
      <c r="N4957" s="23" t="str">
        <f>IFERROR(VLOOKUP(A4957, Entries!A:K,11,false),"")</f>
        <v/>
      </c>
    </row>
    <row r="4958">
      <c r="A4958" s="78" t="s">
        <v>5768</v>
      </c>
      <c r="B4958" s="78" t="s">
        <v>22</v>
      </c>
      <c r="C4958" s="85">
        <v>45273.0</v>
      </c>
      <c r="D4958" s="85">
        <v>45273.0</v>
      </c>
      <c r="E4958" s="86">
        <v>8.7</v>
      </c>
      <c r="F4958" s="87">
        <v>15.26</v>
      </c>
      <c r="G4958" s="88">
        <f t="shared" si="1"/>
        <v>6.56</v>
      </c>
      <c r="H4958" s="89">
        <f t="shared" si="10"/>
        <v>0.4298820446</v>
      </c>
      <c r="I4958" s="78" t="s">
        <v>5782</v>
      </c>
      <c r="J4958" s="78" t="s">
        <v>69</v>
      </c>
      <c r="K4958" s="58">
        <f t="shared" si="14"/>
        <v>0</v>
      </c>
      <c r="L4958" s="91" t="str">
        <f t="shared" si="8"/>
        <v>Wed</v>
      </c>
      <c r="M4958" s="78" t="str">
        <f>IFERROR(VLOOKUP(A4958, Entries!A:B,2,false),"")</f>
        <v>10 Chambers</v>
      </c>
      <c r="N4958" s="23" t="str">
        <f>IFERROR(VLOOKUP(A4958, Entries!A:K,11,false),"")</f>
        <v/>
      </c>
    </row>
    <row r="4959">
      <c r="A4959" s="78" t="s">
        <v>5768</v>
      </c>
      <c r="B4959" s="78" t="s">
        <v>22</v>
      </c>
      <c r="C4959" s="85">
        <v>45273.0</v>
      </c>
      <c r="D4959" s="85">
        <v>45273.0</v>
      </c>
      <c r="E4959" s="86">
        <v>8.7</v>
      </c>
      <c r="F4959" s="87">
        <v>15.26</v>
      </c>
      <c r="G4959" s="88">
        <f t="shared" si="1"/>
        <v>6.56</v>
      </c>
      <c r="H4959" s="89">
        <f t="shared" si="10"/>
        <v>0.4298820446</v>
      </c>
      <c r="I4959" s="78" t="s">
        <v>5783</v>
      </c>
      <c r="J4959" s="78" t="s">
        <v>69</v>
      </c>
      <c r="K4959" s="58">
        <f t="shared" si="14"/>
        <v>0</v>
      </c>
      <c r="L4959" s="91" t="str">
        <f t="shared" si="8"/>
        <v>Wed</v>
      </c>
      <c r="M4959" s="78" t="str">
        <f>IFERROR(VLOOKUP(A4959, Entries!A:B,2,false),"")</f>
        <v>10 Chambers</v>
      </c>
      <c r="N4959" s="23" t="str">
        <f>IFERROR(VLOOKUP(A4959, Entries!A:K,11,false),"")</f>
        <v/>
      </c>
    </row>
    <row r="4960">
      <c r="A4960" s="78" t="s">
        <v>5768</v>
      </c>
      <c r="B4960" s="78" t="s">
        <v>22</v>
      </c>
      <c r="C4960" s="85">
        <v>45273.0</v>
      </c>
      <c r="D4960" s="85">
        <v>45273.0</v>
      </c>
      <c r="E4960" s="86">
        <v>8.71</v>
      </c>
      <c r="F4960" s="87">
        <v>15.26</v>
      </c>
      <c r="G4960" s="88">
        <f t="shared" si="1"/>
        <v>6.55</v>
      </c>
      <c r="H4960" s="89">
        <f t="shared" si="10"/>
        <v>0.4292267366</v>
      </c>
      <c r="I4960" s="78" t="s">
        <v>5784</v>
      </c>
      <c r="J4960" s="78" t="s">
        <v>69</v>
      </c>
      <c r="K4960" s="58">
        <f t="shared" si="14"/>
        <v>0</v>
      </c>
      <c r="L4960" s="91" t="str">
        <f t="shared" si="8"/>
        <v>Wed</v>
      </c>
      <c r="M4960" s="78" t="str">
        <f>IFERROR(VLOOKUP(A4960, Entries!A:B,2,false),"")</f>
        <v>10 Chambers</v>
      </c>
      <c r="N4960" s="23" t="str">
        <f>IFERROR(VLOOKUP(A4960, Entries!A:K,11,false),"")</f>
        <v/>
      </c>
    </row>
    <row r="4961">
      <c r="A4961" s="78" t="s">
        <v>5768</v>
      </c>
      <c r="B4961" s="78" t="s">
        <v>22</v>
      </c>
      <c r="C4961" s="85">
        <v>45273.0</v>
      </c>
      <c r="D4961" s="85">
        <v>45273.0</v>
      </c>
      <c r="E4961" s="86">
        <v>8.71</v>
      </c>
      <c r="F4961" s="87">
        <v>15.26</v>
      </c>
      <c r="G4961" s="88">
        <f t="shared" si="1"/>
        <v>6.55</v>
      </c>
      <c r="H4961" s="89">
        <f t="shared" si="10"/>
        <v>0.4292267366</v>
      </c>
      <c r="I4961" s="78" t="s">
        <v>5785</v>
      </c>
      <c r="J4961" s="78" t="s">
        <v>69</v>
      </c>
      <c r="K4961" s="58">
        <f t="shared" si="14"/>
        <v>0</v>
      </c>
      <c r="L4961" s="91" t="str">
        <f t="shared" si="8"/>
        <v>Wed</v>
      </c>
      <c r="M4961" s="78" t="str">
        <f>IFERROR(VLOOKUP(A4961, Entries!A:B,2,false),"")</f>
        <v>10 Chambers</v>
      </c>
      <c r="N4961" s="23" t="str">
        <f>IFERROR(VLOOKUP(A4961, Entries!A:K,11,false),"")</f>
        <v/>
      </c>
    </row>
    <row r="4962">
      <c r="A4962" s="78" t="s">
        <v>5768</v>
      </c>
      <c r="B4962" s="78" t="s">
        <v>22</v>
      </c>
      <c r="C4962" s="85">
        <v>45273.0</v>
      </c>
      <c r="D4962" s="85">
        <v>45274.0</v>
      </c>
      <c r="E4962" s="86">
        <v>8.71</v>
      </c>
      <c r="F4962" s="87">
        <v>15.26</v>
      </c>
      <c r="G4962" s="88">
        <f t="shared" si="1"/>
        <v>6.55</v>
      </c>
      <c r="H4962" s="89">
        <f t="shared" si="10"/>
        <v>0.4292267366</v>
      </c>
      <c r="I4962" s="78" t="s">
        <v>5786</v>
      </c>
      <c r="J4962" s="78" t="s">
        <v>69</v>
      </c>
      <c r="K4962" s="58">
        <f t="shared" si="14"/>
        <v>1</v>
      </c>
      <c r="L4962" s="91" t="str">
        <f t="shared" si="8"/>
        <v>Thu</v>
      </c>
      <c r="M4962" s="78" t="str">
        <f>IFERROR(VLOOKUP(A4962, Entries!A:B,2,false),"")</f>
        <v>10 Chambers</v>
      </c>
      <c r="N4962" s="23" t="str">
        <f>IFERROR(VLOOKUP(A4962, Entries!A:K,11,false),"")</f>
        <v/>
      </c>
    </row>
    <row r="4963">
      <c r="A4963" s="78" t="s">
        <v>5787</v>
      </c>
      <c r="B4963" s="78" t="s">
        <v>30</v>
      </c>
      <c r="C4963" s="85">
        <v>45273.0</v>
      </c>
      <c r="D4963" s="85">
        <v>45943.0</v>
      </c>
      <c r="E4963" s="86">
        <v>21.29</v>
      </c>
      <c r="F4963" s="87">
        <v>20.09</v>
      </c>
      <c r="G4963" s="88">
        <f t="shared" si="1"/>
        <v>-1.2</v>
      </c>
      <c r="H4963" s="89">
        <f t="shared" si="10"/>
        <v>-0.05973120956</v>
      </c>
      <c r="I4963" s="103" t="s">
        <v>5788</v>
      </c>
      <c r="J4963" s="78" t="s">
        <v>69</v>
      </c>
      <c r="K4963" s="58">
        <f t="shared" si="14"/>
        <v>670</v>
      </c>
      <c r="L4963" s="91" t="str">
        <f t="shared" si="8"/>
        <v>Mon</v>
      </c>
      <c r="M4963" s="78" t="str">
        <f>IFERROR(VLOOKUP(A4963, Entries!A:B,2,false),"")</f>
        <v/>
      </c>
      <c r="N4963" s="23" t="str">
        <f>IFERROR(VLOOKUP(A4963, Entries!A:K,11,false),"")</f>
        <v/>
      </c>
    </row>
    <row r="4964">
      <c r="A4964" s="78" t="s">
        <v>3897</v>
      </c>
      <c r="B4964" s="78" t="s">
        <v>27</v>
      </c>
      <c r="C4964" s="85">
        <v>45273.0</v>
      </c>
      <c r="D4964" s="85">
        <v>45275.0</v>
      </c>
      <c r="E4964" s="86">
        <v>3.84</v>
      </c>
      <c r="F4964" s="87">
        <v>5.08</v>
      </c>
      <c r="G4964" s="88">
        <f t="shared" si="1"/>
        <v>1.24</v>
      </c>
      <c r="H4964" s="89">
        <f t="shared" si="10"/>
        <v>0.2440944882</v>
      </c>
      <c r="I4964" s="78" t="s">
        <v>5789</v>
      </c>
      <c r="J4964" s="78" t="s">
        <v>69</v>
      </c>
      <c r="K4964" s="58">
        <f t="shared" si="14"/>
        <v>2</v>
      </c>
      <c r="L4964" s="91" t="str">
        <f t="shared" si="8"/>
        <v>Fri</v>
      </c>
      <c r="M4964" s="78" t="str">
        <f>IFERROR(VLOOKUP(A4964, Entries!A:B,2,false),"")</f>
        <v>Bethesda Softworks</v>
      </c>
      <c r="N4964" s="23" t="str">
        <f>IFERROR(VLOOKUP(A4964, Entries!A:K,11,false),"")</f>
        <v/>
      </c>
    </row>
    <row r="4965">
      <c r="A4965" s="78" t="s">
        <v>1849</v>
      </c>
      <c r="B4965" s="78" t="s">
        <v>19</v>
      </c>
      <c r="C4965" s="85">
        <v>45273.0</v>
      </c>
      <c r="D4965" s="85">
        <v>45298.0</v>
      </c>
      <c r="E4965" s="86">
        <v>4.59</v>
      </c>
      <c r="F4965" s="87">
        <v>5.53</v>
      </c>
      <c r="G4965" s="88">
        <f t="shared" si="1"/>
        <v>0.94</v>
      </c>
      <c r="H4965" s="89">
        <f t="shared" si="10"/>
        <v>0.1699819168</v>
      </c>
      <c r="I4965" s="78" t="s">
        <v>5790</v>
      </c>
      <c r="J4965" s="78" t="s">
        <v>69</v>
      </c>
      <c r="K4965" s="58">
        <f t="shared" si="14"/>
        <v>25</v>
      </c>
      <c r="L4965" s="91" t="str">
        <f t="shared" si="8"/>
        <v>Sun</v>
      </c>
      <c r="M4965" s="78" t="str">
        <f>IFERROR(VLOOKUP(A4965, Entries!A:B,2,false),"")</f>
        <v>Marmalade Game Studio</v>
      </c>
      <c r="N4965" s="23" t="str">
        <f>IFERROR(VLOOKUP(A4965, Entries!A:K,11,false),"")</f>
        <v/>
      </c>
    </row>
    <row r="4966">
      <c r="A4966" s="78" t="s">
        <v>5768</v>
      </c>
      <c r="B4966" s="78" t="s">
        <v>22</v>
      </c>
      <c r="C4966" s="85">
        <v>45273.0</v>
      </c>
      <c r="D4966" s="85">
        <v>45274.0</v>
      </c>
      <c r="E4966" s="86">
        <v>8.7</v>
      </c>
      <c r="F4966" s="87">
        <v>15.26</v>
      </c>
      <c r="G4966" s="88">
        <f t="shared" si="1"/>
        <v>6.56</v>
      </c>
      <c r="H4966" s="89">
        <f t="shared" si="10"/>
        <v>0.4298820446</v>
      </c>
      <c r="I4966" s="78" t="s">
        <v>5791</v>
      </c>
      <c r="J4966" s="78" t="s">
        <v>69</v>
      </c>
      <c r="K4966" s="58">
        <f t="shared" si="14"/>
        <v>1</v>
      </c>
      <c r="L4966" s="91" t="str">
        <f t="shared" si="8"/>
        <v>Thu</v>
      </c>
      <c r="M4966" s="78" t="str">
        <f>IFERROR(VLOOKUP(A4966, Entries!A:B,2,false),"")</f>
        <v>10 Chambers</v>
      </c>
      <c r="N4966" s="23" t="str">
        <f>IFERROR(VLOOKUP(A4966, Entries!A:K,11,false),"")</f>
        <v/>
      </c>
    </row>
    <row r="4967">
      <c r="A4967" s="78" t="s">
        <v>5768</v>
      </c>
      <c r="B4967" s="78" t="s">
        <v>22</v>
      </c>
      <c r="C4967" s="85">
        <v>45273.0</v>
      </c>
      <c r="D4967" s="85">
        <v>45274.0</v>
      </c>
      <c r="E4967" s="86">
        <v>8.7</v>
      </c>
      <c r="F4967" s="87">
        <v>15.3</v>
      </c>
      <c r="G4967" s="88">
        <f t="shared" si="1"/>
        <v>6.6</v>
      </c>
      <c r="H4967" s="89">
        <f t="shared" si="10"/>
        <v>0.431372549</v>
      </c>
      <c r="I4967" s="78" t="s">
        <v>5792</v>
      </c>
      <c r="J4967" s="78" t="s">
        <v>69</v>
      </c>
      <c r="K4967" s="58">
        <f t="shared" si="14"/>
        <v>1</v>
      </c>
      <c r="L4967" s="91" t="str">
        <f t="shared" si="8"/>
        <v>Thu</v>
      </c>
      <c r="M4967" s="78" t="str">
        <f>IFERROR(VLOOKUP(A4967, Entries!A:B,2,false),"")</f>
        <v>10 Chambers</v>
      </c>
      <c r="N4967" s="23" t="str">
        <f>IFERROR(VLOOKUP(A4967, Entries!A:K,11,false),"")</f>
        <v/>
      </c>
    </row>
    <row r="4968">
      <c r="A4968" s="78" t="s">
        <v>5768</v>
      </c>
      <c r="B4968" s="78" t="s">
        <v>22</v>
      </c>
      <c r="C4968" s="85">
        <v>45273.0</v>
      </c>
      <c r="D4968" s="85">
        <v>45274.0</v>
      </c>
      <c r="E4968" s="86">
        <v>8.71</v>
      </c>
      <c r="F4968" s="87">
        <v>15.31</v>
      </c>
      <c r="G4968" s="88">
        <f t="shared" si="1"/>
        <v>6.6</v>
      </c>
      <c r="H4968" s="89">
        <f t="shared" si="10"/>
        <v>0.4310907903</v>
      </c>
      <c r="I4968" s="78" t="s">
        <v>5793</v>
      </c>
      <c r="J4968" s="78" t="s">
        <v>69</v>
      </c>
      <c r="K4968" s="58">
        <f t="shared" si="14"/>
        <v>1</v>
      </c>
      <c r="L4968" s="91" t="str">
        <f t="shared" si="8"/>
        <v>Thu</v>
      </c>
      <c r="M4968" s="78" t="str">
        <f>IFERROR(VLOOKUP(A4968, Entries!A:B,2,false),"")</f>
        <v>10 Chambers</v>
      </c>
      <c r="N4968" s="23" t="str">
        <f>IFERROR(VLOOKUP(A4968, Entries!A:K,11,false),"")</f>
        <v/>
      </c>
    </row>
    <row r="4969">
      <c r="A4969" s="78" t="s">
        <v>5768</v>
      </c>
      <c r="B4969" s="78" t="s">
        <v>22</v>
      </c>
      <c r="C4969" s="85">
        <v>45273.0</v>
      </c>
      <c r="D4969" s="85">
        <v>45274.0</v>
      </c>
      <c r="E4969" s="86">
        <v>8.71</v>
      </c>
      <c r="F4969" s="87">
        <v>15.31</v>
      </c>
      <c r="G4969" s="88">
        <f t="shared" si="1"/>
        <v>6.6</v>
      </c>
      <c r="H4969" s="89">
        <f t="shared" si="10"/>
        <v>0.4310907903</v>
      </c>
      <c r="I4969" s="78" t="s">
        <v>5794</v>
      </c>
      <c r="J4969" s="78" t="s">
        <v>69</v>
      </c>
      <c r="K4969" s="58">
        <f t="shared" si="14"/>
        <v>1</v>
      </c>
      <c r="L4969" s="91" t="str">
        <f t="shared" si="8"/>
        <v>Thu</v>
      </c>
      <c r="M4969" s="78" t="str">
        <f>IFERROR(VLOOKUP(A4969, Entries!A:B,2,false),"")</f>
        <v>10 Chambers</v>
      </c>
      <c r="N4969" s="23" t="str">
        <f>IFERROR(VLOOKUP(A4969, Entries!A:K,11,false),"")</f>
        <v/>
      </c>
    </row>
    <row r="4970">
      <c r="A4970" s="78" t="s">
        <v>5768</v>
      </c>
      <c r="B4970" s="78" t="s">
        <v>22</v>
      </c>
      <c r="C4970" s="85">
        <v>45273.0</v>
      </c>
      <c r="D4970" s="85">
        <v>45274.0</v>
      </c>
      <c r="E4970" s="86">
        <v>8.71</v>
      </c>
      <c r="F4970" s="87">
        <v>15.32</v>
      </c>
      <c r="G4970" s="88">
        <f t="shared" si="1"/>
        <v>6.61</v>
      </c>
      <c r="H4970" s="89">
        <f t="shared" si="10"/>
        <v>0.431462141</v>
      </c>
      <c r="I4970" s="78" t="s">
        <v>5795</v>
      </c>
      <c r="J4970" s="78" t="s">
        <v>69</v>
      </c>
      <c r="K4970" s="58">
        <f t="shared" si="14"/>
        <v>1</v>
      </c>
      <c r="L4970" s="91" t="str">
        <f t="shared" si="8"/>
        <v>Thu</v>
      </c>
      <c r="M4970" s="78" t="str">
        <f>IFERROR(VLOOKUP(A4970, Entries!A:B,2,false),"")</f>
        <v>10 Chambers</v>
      </c>
      <c r="N4970" s="23" t="str">
        <f>IFERROR(VLOOKUP(A4970, Entries!A:K,11,false),"")</f>
        <v/>
      </c>
    </row>
    <row r="4971">
      <c r="A4971" s="78" t="s">
        <v>5768</v>
      </c>
      <c r="B4971" s="78" t="s">
        <v>22</v>
      </c>
      <c r="C4971" s="85">
        <v>45274.0</v>
      </c>
      <c r="D4971" s="85">
        <v>45274.0</v>
      </c>
      <c r="E4971" s="86">
        <v>8.7</v>
      </c>
      <c r="F4971" s="87">
        <v>15.32</v>
      </c>
      <c r="G4971" s="88">
        <f t="shared" si="1"/>
        <v>6.62</v>
      </c>
      <c r="H4971" s="89">
        <f t="shared" si="10"/>
        <v>0.4321148825</v>
      </c>
      <c r="I4971" s="78" t="s">
        <v>5796</v>
      </c>
      <c r="J4971" s="78" t="s">
        <v>69</v>
      </c>
      <c r="K4971" s="58">
        <f t="shared" si="14"/>
        <v>0</v>
      </c>
      <c r="L4971" s="91" t="str">
        <f t="shared" si="8"/>
        <v>Thu</v>
      </c>
      <c r="M4971" s="78" t="str">
        <f>IFERROR(VLOOKUP(A4971, Entries!A:B,2,false),"")</f>
        <v>10 Chambers</v>
      </c>
      <c r="N4971" s="23" t="str">
        <f>IFERROR(VLOOKUP(A4971, Entries!A:K,11,false),"")</f>
        <v/>
      </c>
    </row>
    <row r="4972">
      <c r="A4972" s="78" t="s">
        <v>5768</v>
      </c>
      <c r="B4972" s="78" t="s">
        <v>22</v>
      </c>
      <c r="C4972" s="85">
        <v>45274.0</v>
      </c>
      <c r="D4972" s="85">
        <v>45274.0</v>
      </c>
      <c r="E4972" s="86">
        <v>8.7</v>
      </c>
      <c r="F4972" s="87">
        <v>15.32</v>
      </c>
      <c r="G4972" s="88">
        <f t="shared" si="1"/>
        <v>6.62</v>
      </c>
      <c r="H4972" s="89">
        <f t="shared" si="10"/>
        <v>0.4321148825</v>
      </c>
      <c r="I4972" s="78" t="s">
        <v>5797</v>
      </c>
      <c r="J4972" s="78" t="s">
        <v>69</v>
      </c>
      <c r="K4972" s="58">
        <f t="shared" si="14"/>
        <v>0</v>
      </c>
      <c r="L4972" s="91" t="str">
        <f t="shared" si="8"/>
        <v>Thu</v>
      </c>
      <c r="M4972" s="78" t="str">
        <f>IFERROR(VLOOKUP(A4972, Entries!A:B,2,false),"")</f>
        <v>10 Chambers</v>
      </c>
      <c r="N4972" s="23" t="str">
        <f>IFERROR(VLOOKUP(A4972, Entries!A:K,11,false),"")</f>
        <v/>
      </c>
    </row>
    <row r="4973">
      <c r="A4973" s="78" t="s">
        <v>5768</v>
      </c>
      <c r="B4973" s="78" t="s">
        <v>22</v>
      </c>
      <c r="C4973" s="85">
        <v>45274.0</v>
      </c>
      <c r="D4973" s="85">
        <v>45274.0</v>
      </c>
      <c r="E4973" s="86">
        <v>8.71</v>
      </c>
      <c r="F4973" s="87">
        <v>15.32</v>
      </c>
      <c r="G4973" s="88">
        <f t="shared" si="1"/>
        <v>6.61</v>
      </c>
      <c r="H4973" s="89">
        <f t="shared" si="10"/>
        <v>0.431462141</v>
      </c>
      <c r="I4973" s="78" t="s">
        <v>5798</v>
      </c>
      <c r="J4973" s="78" t="s">
        <v>69</v>
      </c>
      <c r="K4973" s="58">
        <f t="shared" si="14"/>
        <v>0</v>
      </c>
      <c r="L4973" s="91" t="str">
        <f t="shared" si="8"/>
        <v>Thu</v>
      </c>
      <c r="M4973" s="78" t="str">
        <f>IFERROR(VLOOKUP(A4973, Entries!A:B,2,false),"")</f>
        <v>10 Chambers</v>
      </c>
      <c r="N4973" s="23" t="str">
        <f>IFERROR(VLOOKUP(A4973, Entries!A:K,11,false),"")</f>
        <v/>
      </c>
    </row>
    <row r="4974">
      <c r="A4974" s="78" t="s">
        <v>5768</v>
      </c>
      <c r="B4974" s="78" t="s">
        <v>22</v>
      </c>
      <c r="C4974" s="85">
        <v>45274.0</v>
      </c>
      <c r="D4974" s="85">
        <v>45274.0</v>
      </c>
      <c r="E4974" s="86">
        <v>8.71</v>
      </c>
      <c r="F4974" s="87">
        <v>15.32</v>
      </c>
      <c r="G4974" s="88">
        <f t="shared" si="1"/>
        <v>6.61</v>
      </c>
      <c r="H4974" s="89">
        <f t="shared" si="10"/>
        <v>0.431462141</v>
      </c>
      <c r="I4974" s="78" t="s">
        <v>5799</v>
      </c>
      <c r="J4974" s="78" t="s">
        <v>69</v>
      </c>
      <c r="K4974" s="58">
        <f t="shared" si="14"/>
        <v>0</v>
      </c>
      <c r="L4974" s="91" t="str">
        <f t="shared" si="8"/>
        <v>Thu</v>
      </c>
      <c r="M4974" s="78" t="str">
        <f>IFERROR(VLOOKUP(A4974, Entries!A:B,2,false),"")</f>
        <v>10 Chambers</v>
      </c>
      <c r="N4974" s="23" t="str">
        <f>IFERROR(VLOOKUP(A4974, Entries!A:K,11,false),"")</f>
        <v/>
      </c>
    </row>
    <row r="4975">
      <c r="A4975" s="78" t="s">
        <v>5768</v>
      </c>
      <c r="B4975" s="78" t="s">
        <v>22</v>
      </c>
      <c r="C4975" s="85">
        <v>45274.0</v>
      </c>
      <c r="D4975" s="85">
        <v>45274.0</v>
      </c>
      <c r="E4975" s="86">
        <v>8.71</v>
      </c>
      <c r="F4975" s="87">
        <v>15.32</v>
      </c>
      <c r="G4975" s="88">
        <f t="shared" si="1"/>
        <v>6.61</v>
      </c>
      <c r="H4975" s="89">
        <f t="shared" si="10"/>
        <v>0.431462141</v>
      </c>
      <c r="I4975" s="78" t="s">
        <v>5800</v>
      </c>
      <c r="J4975" s="78" t="s">
        <v>69</v>
      </c>
      <c r="K4975" s="58">
        <f t="shared" si="14"/>
        <v>0</v>
      </c>
      <c r="L4975" s="91" t="str">
        <f t="shared" si="8"/>
        <v>Thu</v>
      </c>
      <c r="M4975" s="78" t="str">
        <f>IFERROR(VLOOKUP(A4975, Entries!A:B,2,false),"")</f>
        <v>10 Chambers</v>
      </c>
      <c r="N4975" s="23" t="str">
        <f>IFERROR(VLOOKUP(A4975, Entries!A:K,11,false),"")</f>
        <v/>
      </c>
    </row>
    <row r="4976">
      <c r="A4976" s="78" t="s">
        <v>5768</v>
      </c>
      <c r="B4976" s="78" t="s">
        <v>22</v>
      </c>
      <c r="C4976" s="85">
        <v>45274.0</v>
      </c>
      <c r="D4976" s="85">
        <v>45274.0</v>
      </c>
      <c r="E4976" s="86">
        <v>8.69</v>
      </c>
      <c r="F4976" s="87">
        <v>15.32</v>
      </c>
      <c r="G4976" s="88">
        <f t="shared" si="1"/>
        <v>6.63</v>
      </c>
      <c r="H4976" s="89">
        <f t="shared" si="10"/>
        <v>0.432767624</v>
      </c>
      <c r="I4976" s="78" t="s">
        <v>5801</v>
      </c>
      <c r="J4976" s="78" t="s">
        <v>69</v>
      </c>
      <c r="K4976" s="58">
        <f t="shared" si="14"/>
        <v>0</v>
      </c>
      <c r="L4976" s="91" t="str">
        <f t="shared" si="8"/>
        <v>Thu</v>
      </c>
      <c r="M4976" s="78" t="str">
        <f>IFERROR(VLOOKUP(A4976, Entries!A:B,2,false),"")</f>
        <v>10 Chambers</v>
      </c>
      <c r="N4976" s="23" t="str">
        <f>IFERROR(VLOOKUP(A4976, Entries!A:K,11,false),"")</f>
        <v/>
      </c>
    </row>
    <row r="4977">
      <c r="A4977" s="78" t="s">
        <v>5768</v>
      </c>
      <c r="B4977" s="78" t="s">
        <v>22</v>
      </c>
      <c r="C4977" s="85">
        <v>45274.0</v>
      </c>
      <c r="D4977" s="85">
        <v>45274.0</v>
      </c>
      <c r="E4977" s="86">
        <v>8.69</v>
      </c>
      <c r="F4977" s="87">
        <v>15.32</v>
      </c>
      <c r="G4977" s="88">
        <f t="shared" si="1"/>
        <v>6.63</v>
      </c>
      <c r="H4977" s="89">
        <f t="shared" si="10"/>
        <v>0.432767624</v>
      </c>
      <c r="I4977" s="78" t="s">
        <v>5802</v>
      </c>
      <c r="J4977" s="78" t="s">
        <v>69</v>
      </c>
      <c r="K4977" s="58">
        <f t="shared" si="14"/>
        <v>0</v>
      </c>
      <c r="L4977" s="91" t="str">
        <f t="shared" si="8"/>
        <v>Thu</v>
      </c>
      <c r="M4977" s="78" t="str">
        <f>IFERROR(VLOOKUP(A4977, Entries!A:B,2,false),"")</f>
        <v>10 Chambers</v>
      </c>
      <c r="N4977" s="23" t="str">
        <f>IFERROR(VLOOKUP(A4977, Entries!A:K,11,false),"")</f>
        <v/>
      </c>
    </row>
    <row r="4978">
      <c r="A4978" s="78" t="s">
        <v>5768</v>
      </c>
      <c r="B4978" s="78" t="s">
        <v>22</v>
      </c>
      <c r="C4978" s="85">
        <v>45274.0</v>
      </c>
      <c r="D4978" s="85">
        <v>45275.0</v>
      </c>
      <c r="E4978" s="86">
        <v>8.69</v>
      </c>
      <c r="F4978" s="87">
        <v>15.32</v>
      </c>
      <c r="G4978" s="88">
        <f t="shared" si="1"/>
        <v>6.63</v>
      </c>
      <c r="H4978" s="89">
        <f t="shared" si="10"/>
        <v>0.432767624</v>
      </c>
      <c r="I4978" s="78" t="s">
        <v>5803</v>
      </c>
      <c r="J4978" s="78" t="s">
        <v>69</v>
      </c>
      <c r="K4978" s="58">
        <f t="shared" si="14"/>
        <v>1</v>
      </c>
      <c r="L4978" s="91" t="str">
        <f t="shared" si="8"/>
        <v>Fri</v>
      </c>
      <c r="M4978" s="78" t="str">
        <f>IFERROR(VLOOKUP(A4978, Entries!A:B,2,false),"")</f>
        <v>10 Chambers</v>
      </c>
      <c r="N4978" s="23" t="str">
        <f>IFERROR(VLOOKUP(A4978, Entries!A:K,11,false),"")</f>
        <v/>
      </c>
    </row>
    <row r="4979">
      <c r="A4979" s="78" t="s">
        <v>5768</v>
      </c>
      <c r="B4979" s="78" t="s">
        <v>22</v>
      </c>
      <c r="C4979" s="85">
        <v>45274.0</v>
      </c>
      <c r="D4979" s="85">
        <v>45275.0</v>
      </c>
      <c r="E4979" s="86">
        <v>8.7</v>
      </c>
      <c r="F4979" s="87">
        <v>15.33</v>
      </c>
      <c r="G4979" s="88">
        <f t="shared" si="1"/>
        <v>6.63</v>
      </c>
      <c r="H4979" s="89">
        <f t="shared" si="10"/>
        <v>0.4324853229</v>
      </c>
      <c r="I4979" s="78" t="s">
        <v>5804</v>
      </c>
      <c r="J4979" s="78" t="s">
        <v>69</v>
      </c>
      <c r="K4979" s="58">
        <f t="shared" si="14"/>
        <v>1</v>
      </c>
      <c r="L4979" s="91" t="str">
        <f t="shared" si="8"/>
        <v>Fri</v>
      </c>
      <c r="M4979" s="78" t="str">
        <f>IFERROR(VLOOKUP(A4979, Entries!A:B,2,false),"")</f>
        <v>10 Chambers</v>
      </c>
      <c r="N4979" s="23" t="str">
        <f>IFERROR(VLOOKUP(A4979, Entries!A:K,11,false),"")</f>
        <v/>
      </c>
    </row>
    <row r="4980">
      <c r="A4980" s="78" t="s">
        <v>5768</v>
      </c>
      <c r="B4980" s="78" t="s">
        <v>22</v>
      </c>
      <c r="C4980" s="85">
        <v>45274.0</v>
      </c>
      <c r="D4980" s="85">
        <v>45275.0</v>
      </c>
      <c r="E4980" s="86">
        <v>8.7</v>
      </c>
      <c r="F4980" s="87">
        <v>15.33</v>
      </c>
      <c r="G4980" s="88">
        <f t="shared" si="1"/>
        <v>6.63</v>
      </c>
      <c r="H4980" s="89">
        <f t="shared" si="10"/>
        <v>0.4324853229</v>
      </c>
      <c r="I4980" s="78" t="s">
        <v>5805</v>
      </c>
      <c r="J4980" s="78" t="s">
        <v>69</v>
      </c>
      <c r="K4980" s="58">
        <f t="shared" si="14"/>
        <v>1</v>
      </c>
      <c r="L4980" s="91" t="str">
        <f t="shared" si="8"/>
        <v>Fri</v>
      </c>
      <c r="M4980" s="78" t="str">
        <f>IFERROR(VLOOKUP(A4980, Entries!A:B,2,false),"")</f>
        <v>10 Chambers</v>
      </c>
      <c r="N4980" s="23" t="str">
        <f>IFERROR(VLOOKUP(A4980, Entries!A:K,11,false),"")</f>
        <v/>
      </c>
    </row>
    <row r="4981">
      <c r="A4981" s="78" t="s">
        <v>5768</v>
      </c>
      <c r="B4981" s="78" t="s">
        <v>22</v>
      </c>
      <c r="C4981" s="85">
        <v>45274.0</v>
      </c>
      <c r="D4981" s="85">
        <v>45275.0</v>
      </c>
      <c r="E4981" s="86">
        <v>8.69</v>
      </c>
      <c r="F4981" s="87">
        <v>15.33</v>
      </c>
      <c r="G4981" s="88">
        <f t="shared" si="1"/>
        <v>6.64</v>
      </c>
      <c r="H4981" s="89">
        <f t="shared" si="10"/>
        <v>0.4331376386</v>
      </c>
      <c r="I4981" s="78" t="s">
        <v>5806</v>
      </c>
      <c r="J4981" s="78" t="s">
        <v>69</v>
      </c>
      <c r="K4981" s="58">
        <f t="shared" si="14"/>
        <v>1</v>
      </c>
      <c r="L4981" s="91" t="str">
        <f t="shared" si="8"/>
        <v>Fri</v>
      </c>
      <c r="M4981" s="78" t="str">
        <f>IFERROR(VLOOKUP(A4981, Entries!A:B,2,false),"")</f>
        <v>10 Chambers</v>
      </c>
      <c r="N4981" s="23" t="str">
        <f>IFERROR(VLOOKUP(A4981, Entries!A:K,11,false),"")</f>
        <v/>
      </c>
    </row>
    <row r="4982">
      <c r="A4982" s="78" t="s">
        <v>5768</v>
      </c>
      <c r="B4982" s="78" t="s">
        <v>22</v>
      </c>
      <c r="C4982" s="85">
        <v>45274.0</v>
      </c>
      <c r="D4982" s="85">
        <v>45275.0</v>
      </c>
      <c r="E4982" s="86">
        <v>8.69</v>
      </c>
      <c r="F4982" s="87">
        <v>15.33</v>
      </c>
      <c r="G4982" s="88">
        <f t="shared" si="1"/>
        <v>6.64</v>
      </c>
      <c r="H4982" s="89">
        <f t="shared" si="10"/>
        <v>0.4331376386</v>
      </c>
      <c r="I4982" s="78" t="s">
        <v>5807</v>
      </c>
      <c r="J4982" s="78" t="s">
        <v>69</v>
      </c>
      <c r="K4982" s="58">
        <f t="shared" si="14"/>
        <v>1</v>
      </c>
      <c r="L4982" s="91" t="str">
        <f t="shared" si="8"/>
        <v>Fri</v>
      </c>
      <c r="M4982" s="78" t="str">
        <f>IFERROR(VLOOKUP(A4982, Entries!A:B,2,false),"")</f>
        <v>10 Chambers</v>
      </c>
      <c r="N4982" s="23" t="str">
        <f>IFERROR(VLOOKUP(A4982, Entries!A:K,11,false),"")</f>
        <v/>
      </c>
    </row>
    <row r="4983">
      <c r="A4983" s="78" t="s">
        <v>5768</v>
      </c>
      <c r="B4983" s="78" t="s">
        <v>22</v>
      </c>
      <c r="C4983" s="85">
        <v>45274.0</v>
      </c>
      <c r="D4983" s="85">
        <v>45275.0</v>
      </c>
      <c r="E4983" s="86">
        <v>8.69</v>
      </c>
      <c r="F4983" s="87">
        <v>15.33</v>
      </c>
      <c r="G4983" s="88">
        <f t="shared" si="1"/>
        <v>6.64</v>
      </c>
      <c r="H4983" s="89">
        <f t="shared" si="10"/>
        <v>0.4331376386</v>
      </c>
      <c r="I4983" s="78" t="s">
        <v>5808</v>
      </c>
      <c r="J4983" s="78" t="s">
        <v>69</v>
      </c>
      <c r="K4983" s="58">
        <f t="shared" si="14"/>
        <v>1</v>
      </c>
      <c r="L4983" s="91" t="str">
        <f t="shared" si="8"/>
        <v>Fri</v>
      </c>
      <c r="M4983" s="78" t="str">
        <f>IFERROR(VLOOKUP(A4983, Entries!A:B,2,false),"")</f>
        <v>10 Chambers</v>
      </c>
      <c r="N4983" s="23" t="str">
        <f>IFERROR(VLOOKUP(A4983, Entries!A:K,11,false),"")</f>
        <v/>
      </c>
    </row>
    <row r="4984">
      <c r="A4984" s="78" t="s">
        <v>5768</v>
      </c>
      <c r="B4984" s="78" t="s">
        <v>22</v>
      </c>
      <c r="C4984" s="85">
        <v>45274.0</v>
      </c>
      <c r="D4984" s="85">
        <v>45275.0</v>
      </c>
      <c r="E4984" s="86">
        <v>8.7</v>
      </c>
      <c r="F4984" s="87">
        <v>15.33</v>
      </c>
      <c r="G4984" s="88">
        <f t="shared" si="1"/>
        <v>6.63</v>
      </c>
      <c r="H4984" s="89">
        <f t="shared" si="10"/>
        <v>0.4324853229</v>
      </c>
      <c r="I4984" s="78" t="s">
        <v>5809</v>
      </c>
      <c r="J4984" s="78" t="s">
        <v>69</v>
      </c>
      <c r="K4984" s="58">
        <f t="shared" si="14"/>
        <v>1</v>
      </c>
      <c r="L4984" s="91" t="str">
        <f t="shared" si="8"/>
        <v>Fri</v>
      </c>
      <c r="M4984" s="78" t="str">
        <f>IFERROR(VLOOKUP(A4984, Entries!A:B,2,false),"")</f>
        <v>10 Chambers</v>
      </c>
      <c r="N4984" s="23" t="str">
        <f>IFERROR(VLOOKUP(A4984, Entries!A:K,11,false),"")</f>
        <v/>
      </c>
    </row>
    <row r="4985">
      <c r="A4985" s="78" t="s">
        <v>5768</v>
      </c>
      <c r="B4985" s="78" t="s">
        <v>22</v>
      </c>
      <c r="C4985" s="85">
        <v>45274.0</v>
      </c>
      <c r="D4985" s="85">
        <v>45275.0</v>
      </c>
      <c r="E4985" s="86">
        <v>8.7</v>
      </c>
      <c r="F4985" s="87">
        <v>15.3</v>
      </c>
      <c r="G4985" s="88">
        <f t="shared" si="1"/>
        <v>6.6</v>
      </c>
      <c r="H4985" s="89">
        <f t="shared" si="10"/>
        <v>0.431372549</v>
      </c>
      <c r="I4985" s="78" t="s">
        <v>5810</v>
      </c>
      <c r="J4985" s="78" t="s">
        <v>69</v>
      </c>
      <c r="K4985" s="58">
        <f t="shared" si="14"/>
        <v>1</v>
      </c>
      <c r="L4985" s="91" t="str">
        <f t="shared" si="8"/>
        <v>Fri</v>
      </c>
      <c r="M4985" s="78" t="str">
        <f>IFERROR(VLOOKUP(A4985, Entries!A:B,2,false),"")</f>
        <v>10 Chambers</v>
      </c>
      <c r="N4985" s="23" t="str">
        <f>IFERROR(VLOOKUP(A4985, Entries!A:K,11,false),"")</f>
        <v/>
      </c>
    </row>
    <row r="4986">
      <c r="A4986" s="78" t="s">
        <v>5768</v>
      </c>
      <c r="B4986" s="78" t="s">
        <v>22</v>
      </c>
      <c r="C4986" s="85">
        <v>45274.0</v>
      </c>
      <c r="D4986" s="85">
        <v>45275.0</v>
      </c>
      <c r="E4986" s="86">
        <v>8.69</v>
      </c>
      <c r="F4986" s="87">
        <v>15.35</v>
      </c>
      <c r="G4986" s="88">
        <f t="shared" si="1"/>
        <v>6.66</v>
      </c>
      <c r="H4986" s="89">
        <f t="shared" si="10"/>
        <v>0.4338762215</v>
      </c>
      <c r="I4986" s="78" t="s">
        <v>5811</v>
      </c>
      <c r="J4986" s="78" t="s">
        <v>69</v>
      </c>
      <c r="K4986" s="58">
        <f t="shared" si="14"/>
        <v>1</v>
      </c>
      <c r="L4986" s="91" t="str">
        <f t="shared" si="8"/>
        <v>Fri</v>
      </c>
      <c r="M4986" s="78" t="str">
        <f>IFERROR(VLOOKUP(A4986, Entries!A:B,2,false),"")</f>
        <v>10 Chambers</v>
      </c>
      <c r="N4986" s="23" t="str">
        <f>IFERROR(VLOOKUP(A4986, Entries!A:K,11,false),"")</f>
        <v/>
      </c>
    </row>
    <row r="4987">
      <c r="A4987" s="78" t="s">
        <v>5768</v>
      </c>
      <c r="B4987" s="78" t="s">
        <v>22</v>
      </c>
      <c r="C4987" s="85">
        <v>45274.0</v>
      </c>
      <c r="D4987" s="85">
        <v>45275.0</v>
      </c>
      <c r="E4987" s="86">
        <v>8.69</v>
      </c>
      <c r="F4987" s="87">
        <v>15.29</v>
      </c>
      <c r="G4987" s="88">
        <f t="shared" si="1"/>
        <v>6.6</v>
      </c>
      <c r="H4987" s="89">
        <f t="shared" si="10"/>
        <v>0.4316546763</v>
      </c>
      <c r="I4987" s="78" t="s">
        <v>5812</v>
      </c>
      <c r="J4987" s="78" t="s">
        <v>69</v>
      </c>
      <c r="K4987" s="58">
        <f t="shared" si="14"/>
        <v>1</v>
      </c>
      <c r="L4987" s="91" t="str">
        <f t="shared" si="8"/>
        <v>Fri</v>
      </c>
      <c r="M4987" s="78" t="str">
        <f>IFERROR(VLOOKUP(A4987, Entries!A:B,2,false),"")</f>
        <v>10 Chambers</v>
      </c>
      <c r="N4987" s="23" t="str">
        <f>IFERROR(VLOOKUP(A4987, Entries!A:K,11,false),"")</f>
        <v/>
      </c>
    </row>
    <row r="4988">
      <c r="A4988" s="78" t="s">
        <v>5768</v>
      </c>
      <c r="B4988" s="78" t="s">
        <v>22</v>
      </c>
      <c r="C4988" s="85">
        <v>45274.0</v>
      </c>
      <c r="D4988" s="85">
        <v>45275.0</v>
      </c>
      <c r="E4988" s="86">
        <v>8.69</v>
      </c>
      <c r="F4988" s="87">
        <v>15.29</v>
      </c>
      <c r="G4988" s="88">
        <f t="shared" si="1"/>
        <v>6.6</v>
      </c>
      <c r="H4988" s="89">
        <f t="shared" si="10"/>
        <v>0.4316546763</v>
      </c>
      <c r="I4988" s="78" t="s">
        <v>5813</v>
      </c>
      <c r="J4988" s="78" t="s">
        <v>69</v>
      </c>
      <c r="K4988" s="58">
        <f t="shared" si="14"/>
        <v>1</v>
      </c>
      <c r="L4988" s="91" t="str">
        <f t="shared" si="8"/>
        <v>Fri</v>
      </c>
      <c r="M4988" s="78" t="str">
        <f>IFERROR(VLOOKUP(A4988, Entries!A:B,2,false),"")</f>
        <v>10 Chambers</v>
      </c>
      <c r="N4988" s="23" t="str">
        <f>IFERROR(VLOOKUP(A4988, Entries!A:K,11,false),"")</f>
        <v/>
      </c>
    </row>
    <row r="4989">
      <c r="A4989" s="78" t="s">
        <v>5768</v>
      </c>
      <c r="B4989" s="78" t="s">
        <v>22</v>
      </c>
      <c r="C4989" s="85">
        <v>45274.0</v>
      </c>
      <c r="D4989" s="85">
        <v>45275.0</v>
      </c>
      <c r="E4989" s="86">
        <v>8.7</v>
      </c>
      <c r="F4989" s="87">
        <v>15.29</v>
      </c>
      <c r="G4989" s="88">
        <f t="shared" si="1"/>
        <v>6.59</v>
      </c>
      <c r="H4989" s="89">
        <f t="shared" si="10"/>
        <v>0.431000654</v>
      </c>
      <c r="I4989" s="78" t="s">
        <v>5814</v>
      </c>
      <c r="J4989" s="78" t="s">
        <v>69</v>
      </c>
      <c r="K4989" s="58">
        <f t="shared" si="14"/>
        <v>1</v>
      </c>
      <c r="L4989" s="91" t="str">
        <f t="shared" si="8"/>
        <v>Fri</v>
      </c>
      <c r="M4989" s="78" t="str">
        <f>IFERROR(VLOOKUP(A4989, Entries!A:B,2,false),"")</f>
        <v>10 Chambers</v>
      </c>
      <c r="N4989" s="23" t="str">
        <f>IFERROR(VLOOKUP(A4989, Entries!A:K,11,false),"")</f>
        <v/>
      </c>
    </row>
    <row r="4990">
      <c r="A4990" s="78" t="s">
        <v>5768</v>
      </c>
      <c r="B4990" s="78" t="s">
        <v>22</v>
      </c>
      <c r="C4990" s="85">
        <v>45274.0</v>
      </c>
      <c r="D4990" s="85">
        <v>45275.0</v>
      </c>
      <c r="E4990" s="86">
        <v>8.7</v>
      </c>
      <c r="F4990" s="87">
        <v>15.29</v>
      </c>
      <c r="G4990" s="88">
        <f t="shared" si="1"/>
        <v>6.59</v>
      </c>
      <c r="H4990" s="89">
        <f t="shared" si="10"/>
        <v>0.431000654</v>
      </c>
      <c r="I4990" s="78" t="s">
        <v>5815</v>
      </c>
      <c r="J4990" s="78" t="s">
        <v>69</v>
      </c>
      <c r="K4990" s="58">
        <f t="shared" si="14"/>
        <v>1</v>
      </c>
      <c r="L4990" s="91" t="str">
        <f t="shared" si="8"/>
        <v>Fri</v>
      </c>
      <c r="M4990" s="78" t="str">
        <f>IFERROR(VLOOKUP(A4990, Entries!A:B,2,false),"")</f>
        <v>10 Chambers</v>
      </c>
      <c r="N4990" s="23" t="str">
        <f>IFERROR(VLOOKUP(A4990, Entries!A:K,11,false),"")</f>
        <v/>
      </c>
    </row>
    <row r="4991">
      <c r="A4991" s="78" t="s">
        <v>3897</v>
      </c>
      <c r="B4991" s="78" t="s">
        <v>27</v>
      </c>
      <c r="C4991" s="85">
        <v>45275.0</v>
      </c>
      <c r="D4991" s="85">
        <v>45275.0</v>
      </c>
      <c r="E4991" s="86">
        <v>4.39</v>
      </c>
      <c r="F4991" s="87">
        <v>5.08</v>
      </c>
      <c r="G4991" s="88">
        <f t="shared" si="1"/>
        <v>0.69</v>
      </c>
      <c r="H4991" s="89">
        <f t="shared" si="10"/>
        <v>0.1358267717</v>
      </c>
      <c r="I4991" s="78" t="s">
        <v>5816</v>
      </c>
      <c r="J4991" s="78" t="s">
        <v>69</v>
      </c>
      <c r="K4991" s="58">
        <f t="shared" si="14"/>
        <v>0</v>
      </c>
      <c r="L4991" s="91" t="str">
        <f t="shared" si="8"/>
        <v>Fri</v>
      </c>
      <c r="M4991" s="78" t="str">
        <f>IFERROR(VLOOKUP(A4991, Entries!A:B,2,false),"")</f>
        <v>Bethesda Softworks</v>
      </c>
      <c r="N4991" s="23" t="str">
        <f>IFERROR(VLOOKUP(A4991, Entries!A:K,11,false),"")</f>
        <v/>
      </c>
    </row>
    <row r="4992">
      <c r="A4992" s="78" t="s">
        <v>5817</v>
      </c>
      <c r="B4992" s="78" t="s">
        <v>22</v>
      </c>
      <c r="C4992" s="85">
        <v>45275.0</v>
      </c>
      <c r="D4992" s="85">
        <v>45294.0</v>
      </c>
      <c r="E4992" s="86">
        <v>12.65</v>
      </c>
      <c r="F4992" s="87">
        <v>21.71</v>
      </c>
      <c r="G4992" s="88">
        <f t="shared" si="1"/>
        <v>9.06</v>
      </c>
      <c r="H4992" s="89">
        <f t="shared" si="10"/>
        <v>0.4173192077</v>
      </c>
      <c r="I4992" s="78" t="s">
        <v>5818</v>
      </c>
      <c r="J4992" s="78" t="s">
        <v>69</v>
      </c>
      <c r="K4992" s="58">
        <f t="shared" si="14"/>
        <v>19</v>
      </c>
      <c r="L4992" s="91" t="str">
        <f t="shared" si="8"/>
        <v>Wed</v>
      </c>
      <c r="M4992" s="78" t="str">
        <f>IFERROR(VLOOKUP(A4992, Entries!A:B,2,false),"")</f>
        <v>IO Interactive</v>
      </c>
      <c r="N4992" s="23" t="str">
        <f>IFERROR(VLOOKUP(A4992, Entries!A:K,11,false),"")</f>
        <v/>
      </c>
    </row>
    <row r="4993">
      <c r="A4993" s="78" t="s">
        <v>5676</v>
      </c>
      <c r="B4993" s="78" t="s">
        <v>27</v>
      </c>
      <c r="C4993" s="85">
        <v>45276.0</v>
      </c>
      <c r="D4993" s="85">
        <v>45281.0</v>
      </c>
      <c r="E4993" s="86">
        <v>40.19</v>
      </c>
      <c r="F4993" s="87">
        <v>42.48</v>
      </c>
      <c r="G4993" s="88">
        <f t="shared" si="1"/>
        <v>2.29</v>
      </c>
      <c r="H4993" s="89">
        <f t="shared" si="10"/>
        <v>0.05390772128</v>
      </c>
      <c r="I4993" s="78" t="s">
        <v>5819</v>
      </c>
      <c r="J4993" s="78" t="s">
        <v>69</v>
      </c>
      <c r="K4993" s="58">
        <f t="shared" si="14"/>
        <v>5</v>
      </c>
      <c r="L4993" s="91" t="str">
        <f t="shared" si="8"/>
        <v>Thu</v>
      </c>
      <c r="M4993" s="78" t="str">
        <f>IFERROR(VLOOKUP(A4993, Entries!A:B,2,false),"")</f>
        <v>Bethesda Softworks</v>
      </c>
      <c r="N4993" s="23" t="str">
        <f>IFERROR(VLOOKUP(A4993, Entries!A:K,11,false),"")</f>
        <v/>
      </c>
    </row>
    <row r="4994">
      <c r="A4994" s="78" t="s">
        <v>4085</v>
      </c>
      <c r="B4994" s="78" t="s">
        <v>27</v>
      </c>
      <c r="C4994" s="85">
        <v>45280.0</v>
      </c>
      <c r="D4994" s="85">
        <v>45282.0</v>
      </c>
      <c r="E4994" s="86">
        <v>5.89</v>
      </c>
      <c r="F4994" s="87">
        <v>7.66</v>
      </c>
      <c r="G4994" s="88">
        <f t="shared" si="1"/>
        <v>1.77</v>
      </c>
      <c r="H4994" s="89">
        <f t="shared" si="10"/>
        <v>0.2310704961</v>
      </c>
      <c r="I4994" s="78" t="s">
        <v>5820</v>
      </c>
      <c r="J4994" s="78" t="s">
        <v>69</v>
      </c>
      <c r="K4994" s="58">
        <f t="shared" si="14"/>
        <v>2</v>
      </c>
      <c r="L4994" s="91" t="str">
        <f t="shared" si="8"/>
        <v>Fri</v>
      </c>
      <c r="M4994" s="78" t="str">
        <f>IFERROR(VLOOKUP(A4994, Entries!A:B,2,false),"")</f>
        <v>Bethesda Softworks</v>
      </c>
      <c r="N4994" s="23" t="str">
        <f>IFERROR(VLOOKUP(A4994, Entries!A:K,11,false),"")</f>
        <v/>
      </c>
    </row>
    <row r="4995">
      <c r="A4995" s="94" t="s">
        <v>2611</v>
      </c>
      <c r="B4995" s="78" t="s">
        <v>25</v>
      </c>
      <c r="C4995" s="85">
        <v>45280.0</v>
      </c>
      <c r="D4995" s="85">
        <v>45536.0</v>
      </c>
      <c r="E4995" s="86">
        <v>12.68</v>
      </c>
      <c r="F4995" s="87">
        <v>12.74</v>
      </c>
      <c r="G4995" s="88">
        <f t="shared" si="1"/>
        <v>0.06</v>
      </c>
      <c r="H4995" s="89">
        <f t="shared" si="10"/>
        <v>0.004709576138</v>
      </c>
      <c r="I4995" s="78" t="s">
        <v>5821</v>
      </c>
      <c r="J4995" s="78" t="s">
        <v>69</v>
      </c>
      <c r="K4995" s="58">
        <f t="shared" si="14"/>
        <v>256</v>
      </c>
      <c r="L4995" s="91" t="str">
        <f t="shared" si="8"/>
        <v>Sun</v>
      </c>
      <c r="M4995" s="78" t="str">
        <f>IFERROR(VLOOKUP(A4995, Entries!A:B,2,false),"")</f>
        <v>Ninja Kiwi</v>
      </c>
      <c r="N4995" s="23" t="str">
        <f>IFERROR(VLOOKUP(A4995, Entries!A:K,11,false),"")</f>
        <v/>
      </c>
    </row>
    <row r="4996">
      <c r="A4996" s="78" t="s">
        <v>5273</v>
      </c>
      <c r="B4996" s="78" t="s">
        <v>27</v>
      </c>
      <c r="C4996" s="85">
        <v>45280.0</v>
      </c>
      <c r="D4996" s="85">
        <v>45281.0</v>
      </c>
      <c r="E4996" s="86">
        <v>26.09</v>
      </c>
      <c r="F4996" s="87">
        <v>31.17</v>
      </c>
      <c r="G4996" s="88">
        <f t="shared" si="1"/>
        <v>5.08</v>
      </c>
      <c r="H4996" s="89">
        <f t="shared" si="10"/>
        <v>0.1629772217</v>
      </c>
      <c r="I4996" s="78" t="s">
        <v>5822</v>
      </c>
      <c r="J4996" s="78" t="s">
        <v>69</v>
      </c>
      <c r="K4996" s="58">
        <f t="shared" si="14"/>
        <v>1</v>
      </c>
      <c r="L4996" s="91" t="str">
        <f t="shared" si="8"/>
        <v>Thu</v>
      </c>
      <c r="M4996" s="78" t="str">
        <f>IFERROR(VLOOKUP(A4996, Entries!A:B,2,false),"")</f>
        <v>PlayStation</v>
      </c>
      <c r="N4996" s="23" t="str">
        <f>IFERROR(VLOOKUP(A4996, Entries!A:K,11,false),"")</f>
        <v/>
      </c>
    </row>
    <row r="4997">
      <c r="A4997" s="78" t="s">
        <v>4463</v>
      </c>
      <c r="B4997" s="78" t="s">
        <v>27</v>
      </c>
      <c r="C4997" s="85">
        <v>45280.0</v>
      </c>
      <c r="D4997" s="25"/>
      <c r="E4997" s="86">
        <v>16.19</v>
      </c>
      <c r="F4997" s="88"/>
      <c r="G4997" s="88">
        <f t="shared" si="1"/>
        <v>-16.19</v>
      </c>
      <c r="H4997" s="89" t="str">
        <f t="shared" si="10"/>
        <v/>
      </c>
      <c r="I4997" s="103" t="s">
        <v>5823</v>
      </c>
      <c r="J4997" s="78" t="s">
        <v>1129</v>
      </c>
      <c r="K4997" s="58" t="str">
        <f t="shared" si="14"/>
        <v/>
      </c>
      <c r="L4997" s="91" t="str">
        <f t="shared" si="8"/>
        <v/>
      </c>
      <c r="M4997" s="78" t="str">
        <f>IFERROR(VLOOKUP(A4997, Entries!A:B,2,false),"")</f>
        <v>BANDAI NAMCO</v>
      </c>
      <c r="N4997" s="23" t="str">
        <f>IFERROR(VLOOKUP(A4997, Entries!A:K,11,false),"")</f>
        <v/>
      </c>
    </row>
    <row r="4998">
      <c r="A4998" s="78" t="s">
        <v>5824</v>
      </c>
      <c r="B4998" s="78" t="s">
        <v>23</v>
      </c>
      <c r="C4998" s="85">
        <v>45280.0</v>
      </c>
      <c r="D4998" s="25"/>
      <c r="E4998" s="86">
        <v>14.18</v>
      </c>
      <c r="F4998" s="88"/>
      <c r="G4998" s="88">
        <f t="shared" si="1"/>
        <v>-14.18</v>
      </c>
      <c r="H4998" s="89" t="str">
        <f t="shared" si="10"/>
        <v/>
      </c>
      <c r="I4998" s="103" t="s">
        <v>5825</v>
      </c>
      <c r="J4998" s="78" t="s">
        <v>1129</v>
      </c>
      <c r="K4998" s="58" t="str">
        <f t="shared" si="14"/>
        <v/>
      </c>
      <c r="L4998" s="91" t="str">
        <f t="shared" si="8"/>
        <v/>
      </c>
      <c r="M4998" s="78" t="str">
        <f>IFERROR(VLOOKUP(A4998, Entries!A:B,2,false),"")</f>
        <v>Devolver Digital</v>
      </c>
      <c r="N4998" s="23" t="str">
        <f>IFERROR(VLOOKUP(A4998, Entries!A:K,11,false),"")</f>
        <v/>
      </c>
    </row>
    <row r="4999">
      <c r="A4999" s="78" t="s">
        <v>3897</v>
      </c>
      <c r="B4999" s="78" t="s">
        <v>27</v>
      </c>
      <c r="C4999" s="85">
        <v>45280.0</v>
      </c>
      <c r="D4999" s="85">
        <v>45282.0</v>
      </c>
      <c r="E4999" s="86">
        <v>4.39</v>
      </c>
      <c r="F4999" s="87">
        <v>5.08</v>
      </c>
      <c r="G4999" s="88">
        <f t="shared" si="1"/>
        <v>0.69</v>
      </c>
      <c r="H4999" s="89">
        <f t="shared" si="10"/>
        <v>0.1358267717</v>
      </c>
      <c r="I4999" s="78" t="s">
        <v>5826</v>
      </c>
      <c r="J4999" s="78" t="s">
        <v>69</v>
      </c>
      <c r="K4999" s="58">
        <f t="shared" si="14"/>
        <v>2</v>
      </c>
      <c r="L4999" s="91" t="str">
        <f t="shared" si="8"/>
        <v>Fri</v>
      </c>
      <c r="M4999" s="78" t="str">
        <f>IFERROR(VLOOKUP(A4999, Entries!A:B,2,false),"")</f>
        <v>Bethesda Softworks</v>
      </c>
      <c r="N4999" s="23" t="str">
        <f>IFERROR(VLOOKUP(A4999, Entries!A:K,11,false),"")</f>
        <v/>
      </c>
    </row>
    <row r="5000">
      <c r="A5000" s="78" t="s">
        <v>5273</v>
      </c>
      <c r="B5000" s="78" t="s">
        <v>27</v>
      </c>
      <c r="C5000" s="85">
        <v>45280.0</v>
      </c>
      <c r="D5000" s="85">
        <v>45306.0</v>
      </c>
      <c r="E5000" s="86">
        <v>28.05</v>
      </c>
      <c r="F5000" s="87">
        <v>29.96</v>
      </c>
      <c r="G5000" s="88">
        <f t="shared" si="1"/>
        <v>1.91</v>
      </c>
      <c r="H5000" s="89">
        <f t="shared" si="10"/>
        <v>0.06375166889</v>
      </c>
      <c r="I5000" s="78" t="s">
        <v>5827</v>
      </c>
      <c r="J5000" s="78" t="s">
        <v>69</v>
      </c>
      <c r="K5000" s="58">
        <f t="shared" si="14"/>
        <v>26</v>
      </c>
      <c r="L5000" s="91" t="str">
        <f t="shared" si="8"/>
        <v>Mon</v>
      </c>
      <c r="M5000" s="78" t="str">
        <f>IFERROR(VLOOKUP(A5000, Entries!A:B,2,false),"")</f>
        <v>PlayStation</v>
      </c>
      <c r="N5000" s="23" t="str">
        <f>IFERROR(VLOOKUP(A5000, Entries!A:K,11,false),"")</f>
        <v/>
      </c>
    </row>
    <row r="5001">
      <c r="A5001" s="78" t="s">
        <v>3897</v>
      </c>
      <c r="B5001" s="78" t="s">
        <v>27</v>
      </c>
      <c r="C5001" s="85">
        <v>45285.0</v>
      </c>
      <c r="D5001" s="85">
        <v>45285.0</v>
      </c>
      <c r="E5001" s="86">
        <v>4.11</v>
      </c>
      <c r="F5001" s="87">
        <v>5.08</v>
      </c>
      <c r="G5001" s="88">
        <f t="shared" si="1"/>
        <v>0.97</v>
      </c>
      <c r="H5001" s="89">
        <f t="shared" si="10"/>
        <v>0.1909448819</v>
      </c>
      <c r="I5001" s="78" t="s">
        <v>5828</v>
      </c>
      <c r="J5001" s="78" t="s">
        <v>69</v>
      </c>
      <c r="K5001" s="58">
        <f t="shared" si="14"/>
        <v>0</v>
      </c>
      <c r="L5001" s="91" t="str">
        <f t="shared" si="8"/>
        <v>Mon</v>
      </c>
      <c r="M5001" s="78" t="str">
        <f>IFERROR(VLOOKUP(A5001, Entries!A:B,2,false),"")</f>
        <v>Bethesda Softworks</v>
      </c>
      <c r="N5001" s="23" t="str">
        <f>IFERROR(VLOOKUP(A5001, Entries!A:K,11,false),"")</f>
        <v/>
      </c>
    </row>
    <row r="5002">
      <c r="A5002" s="78" t="s">
        <v>4085</v>
      </c>
      <c r="B5002" s="78" t="s">
        <v>27</v>
      </c>
      <c r="C5002" s="85">
        <v>45285.0</v>
      </c>
      <c r="D5002" s="85">
        <v>45285.0</v>
      </c>
      <c r="E5002" s="86">
        <v>6.29</v>
      </c>
      <c r="F5002" s="87">
        <v>7.69</v>
      </c>
      <c r="G5002" s="88">
        <f t="shared" si="1"/>
        <v>1.4</v>
      </c>
      <c r="H5002" s="89">
        <f t="shared" si="10"/>
        <v>0.1820546164</v>
      </c>
      <c r="I5002" s="78" t="s">
        <v>5829</v>
      </c>
      <c r="J5002" s="78" t="s">
        <v>69</v>
      </c>
      <c r="K5002" s="58">
        <f t="shared" si="14"/>
        <v>0</v>
      </c>
      <c r="L5002" s="91" t="str">
        <f t="shared" si="8"/>
        <v>Mon</v>
      </c>
      <c r="M5002" s="78" t="str">
        <f>IFERROR(VLOOKUP(A5002, Entries!A:B,2,false),"")</f>
        <v>Bethesda Softworks</v>
      </c>
      <c r="N5002" s="23" t="str">
        <f>IFERROR(VLOOKUP(A5002, Entries!A:K,11,false),"")</f>
        <v/>
      </c>
    </row>
    <row r="5003">
      <c r="A5003" s="78" t="s">
        <v>3771</v>
      </c>
      <c r="B5003" s="78" t="s">
        <v>27</v>
      </c>
      <c r="C5003" s="85">
        <v>45285.0</v>
      </c>
      <c r="D5003" s="85">
        <v>45298.0</v>
      </c>
      <c r="E5003" s="86">
        <v>9.74</v>
      </c>
      <c r="F5003" s="87">
        <v>11.1</v>
      </c>
      <c r="G5003" s="88">
        <f t="shared" si="1"/>
        <v>1.36</v>
      </c>
      <c r="H5003" s="89">
        <f t="shared" si="10"/>
        <v>0.1225225225</v>
      </c>
      <c r="I5003" s="78" t="s">
        <v>5830</v>
      </c>
      <c r="J5003" s="78" t="s">
        <v>69</v>
      </c>
      <c r="K5003" s="58">
        <f t="shared" si="14"/>
        <v>13</v>
      </c>
      <c r="L5003" s="91" t="str">
        <f t="shared" si="8"/>
        <v>Sun</v>
      </c>
      <c r="M5003" s="78" t="str">
        <f>IFERROR(VLOOKUP(A5003, Entries!A:B,2,false),"")</f>
        <v>Good Shepherd Entertainment</v>
      </c>
      <c r="N5003" s="23" t="str">
        <f>IFERROR(VLOOKUP(A5003, Entries!A:K,11,false),"")</f>
        <v/>
      </c>
    </row>
    <row r="5004">
      <c r="A5004" s="78" t="s">
        <v>3897</v>
      </c>
      <c r="B5004" s="78" t="s">
        <v>27</v>
      </c>
      <c r="C5004" s="85">
        <v>45285.0</v>
      </c>
      <c r="D5004" s="85">
        <v>45287.0</v>
      </c>
      <c r="E5004" s="86">
        <v>4.39</v>
      </c>
      <c r="F5004" s="87">
        <v>5.08</v>
      </c>
      <c r="G5004" s="88">
        <f t="shared" si="1"/>
        <v>0.69</v>
      </c>
      <c r="H5004" s="89">
        <f t="shared" si="10"/>
        <v>0.1358267717</v>
      </c>
      <c r="I5004" s="78" t="s">
        <v>5831</v>
      </c>
      <c r="J5004" s="78" t="s">
        <v>69</v>
      </c>
      <c r="K5004" s="58">
        <f t="shared" si="14"/>
        <v>2</v>
      </c>
      <c r="L5004" s="91" t="str">
        <f t="shared" si="8"/>
        <v>Wed</v>
      </c>
      <c r="M5004" s="78" t="str">
        <f>IFERROR(VLOOKUP(A5004, Entries!A:B,2,false),"")</f>
        <v>Bethesda Softworks</v>
      </c>
      <c r="N5004" s="23" t="str">
        <f>IFERROR(VLOOKUP(A5004, Entries!A:K,11,false),"")</f>
        <v/>
      </c>
    </row>
    <row r="5005">
      <c r="A5005" s="78" t="s">
        <v>3897</v>
      </c>
      <c r="B5005" s="78" t="s">
        <v>27</v>
      </c>
      <c r="C5005" s="85">
        <v>45285.0</v>
      </c>
      <c r="D5005" s="85">
        <v>45287.0</v>
      </c>
      <c r="E5005" s="86">
        <v>4.39</v>
      </c>
      <c r="F5005" s="87">
        <v>5.08</v>
      </c>
      <c r="G5005" s="88">
        <f t="shared" si="1"/>
        <v>0.69</v>
      </c>
      <c r="H5005" s="89">
        <f t="shared" si="10"/>
        <v>0.1358267717</v>
      </c>
      <c r="I5005" s="78" t="s">
        <v>5832</v>
      </c>
      <c r="J5005" s="78" t="s">
        <v>69</v>
      </c>
      <c r="K5005" s="58">
        <f t="shared" si="14"/>
        <v>2</v>
      </c>
      <c r="L5005" s="91" t="str">
        <f t="shared" si="8"/>
        <v>Wed</v>
      </c>
      <c r="M5005" s="78" t="str">
        <f>IFERROR(VLOOKUP(A5005, Entries!A:B,2,false),"")</f>
        <v>Bethesda Softworks</v>
      </c>
      <c r="N5005" s="23" t="str">
        <f>IFERROR(VLOOKUP(A5005, Entries!A:K,11,false),"")</f>
        <v/>
      </c>
    </row>
    <row r="5006">
      <c r="A5006" s="78" t="s">
        <v>4085</v>
      </c>
      <c r="B5006" s="78" t="s">
        <v>27</v>
      </c>
      <c r="C5006" s="85">
        <v>45285.0</v>
      </c>
      <c r="D5006" s="85">
        <v>45285.0</v>
      </c>
      <c r="E5006" s="86">
        <v>6.29</v>
      </c>
      <c r="F5006" s="87">
        <v>7.69</v>
      </c>
      <c r="G5006" s="88">
        <f t="shared" si="1"/>
        <v>1.4</v>
      </c>
      <c r="H5006" s="89">
        <f t="shared" si="10"/>
        <v>0.1820546164</v>
      </c>
      <c r="I5006" s="78" t="s">
        <v>5833</v>
      </c>
      <c r="J5006" s="78" t="s">
        <v>69</v>
      </c>
      <c r="K5006" s="58">
        <f t="shared" si="14"/>
        <v>0</v>
      </c>
      <c r="L5006" s="91" t="str">
        <f t="shared" si="8"/>
        <v>Mon</v>
      </c>
      <c r="M5006" s="78" t="str">
        <f>IFERROR(VLOOKUP(A5006, Entries!A:B,2,false),"")</f>
        <v>Bethesda Softworks</v>
      </c>
      <c r="N5006" s="23" t="str">
        <f>IFERROR(VLOOKUP(A5006, Entries!A:K,11,false),"")</f>
        <v/>
      </c>
    </row>
    <row r="5007">
      <c r="A5007" s="78" t="s">
        <v>5834</v>
      </c>
      <c r="B5007" s="78" t="s">
        <v>27</v>
      </c>
      <c r="C5007" s="85">
        <v>45285.0</v>
      </c>
      <c r="D5007" s="85">
        <v>45333.0</v>
      </c>
      <c r="E5007" s="86">
        <v>26.39</v>
      </c>
      <c r="F5007" s="87">
        <v>31.22</v>
      </c>
      <c r="G5007" s="88">
        <f t="shared" si="1"/>
        <v>4.83</v>
      </c>
      <c r="H5007" s="89">
        <f t="shared" si="10"/>
        <v>0.1547085202</v>
      </c>
      <c r="I5007" s="78" t="s">
        <v>5835</v>
      </c>
      <c r="J5007" s="78" t="s">
        <v>69</v>
      </c>
      <c r="K5007" s="58">
        <f t="shared" si="14"/>
        <v>48</v>
      </c>
      <c r="L5007" s="91" t="str">
        <f t="shared" si="8"/>
        <v>Sun</v>
      </c>
      <c r="M5007" s="78" t="str">
        <f>IFERROR(VLOOKUP(A5007, Entries!A:B,2,false),"")</f>
        <v>SEGA</v>
      </c>
      <c r="N5007" s="23" t="str">
        <f>IFERROR(VLOOKUP(A5007, Entries!A:K,11,false),"")</f>
        <v/>
      </c>
    </row>
    <row r="5008">
      <c r="A5008" s="78" t="s">
        <v>4085</v>
      </c>
      <c r="B5008" s="78" t="s">
        <v>27</v>
      </c>
      <c r="C5008" s="85">
        <v>45285.0</v>
      </c>
      <c r="D5008" s="85">
        <v>45286.0</v>
      </c>
      <c r="E5008" s="86">
        <v>6.29</v>
      </c>
      <c r="F5008" s="87">
        <v>7.69</v>
      </c>
      <c r="G5008" s="88">
        <f t="shared" si="1"/>
        <v>1.4</v>
      </c>
      <c r="H5008" s="89">
        <f t="shared" si="10"/>
        <v>0.1820546164</v>
      </c>
      <c r="I5008" s="78" t="s">
        <v>5836</v>
      </c>
      <c r="J5008" s="78" t="s">
        <v>69</v>
      </c>
      <c r="K5008" s="58">
        <f t="shared" si="14"/>
        <v>1</v>
      </c>
      <c r="L5008" s="91" t="str">
        <f t="shared" si="8"/>
        <v>Tue</v>
      </c>
      <c r="M5008" s="78" t="str">
        <f>IFERROR(VLOOKUP(A5008, Entries!A:B,2,false),"")</f>
        <v>Bethesda Softworks</v>
      </c>
      <c r="N5008" s="23" t="str">
        <f>IFERROR(VLOOKUP(A5008, Entries!A:K,11,false),"")</f>
        <v/>
      </c>
    </row>
    <row r="5009">
      <c r="A5009" s="78" t="s">
        <v>4085</v>
      </c>
      <c r="B5009" s="78" t="s">
        <v>27</v>
      </c>
      <c r="C5009" s="85">
        <v>45286.0</v>
      </c>
      <c r="D5009" s="85">
        <v>45290.0</v>
      </c>
      <c r="E5009" s="86">
        <v>5.89</v>
      </c>
      <c r="F5009" s="87">
        <v>7.69</v>
      </c>
      <c r="G5009" s="88">
        <f t="shared" si="1"/>
        <v>1.8</v>
      </c>
      <c r="H5009" s="89">
        <f t="shared" si="10"/>
        <v>0.2340702211</v>
      </c>
      <c r="I5009" s="78" t="s">
        <v>5837</v>
      </c>
      <c r="J5009" s="78" t="s">
        <v>69</v>
      </c>
      <c r="K5009" s="58">
        <f t="shared" si="14"/>
        <v>4</v>
      </c>
      <c r="L5009" s="91" t="str">
        <f t="shared" si="8"/>
        <v>Sat</v>
      </c>
      <c r="M5009" s="78" t="str">
        <f>IFERROR(VLOOKUP(A5009, Entries!A:B,2,false),"")</f>
        <v>Bethesda Softworks</v>
      </c>
      <c r="N5009" s="23" t="str">
        <f>IFERROR(VLOOKUP(A5009, Entries!A:K,11,false),"")</f>
        <v/>
      </c>
    </row>
    <row r="5010">
      <c r="A5010" s="78" t="s">
        <v>3897</v>
      </c>
      <c r="B5010" s="78" t="s">
        <v>27</v>
      </c>
      <c r="C5010" s="85">
        <v>45287.0</v>
      </c>
      <c r="D5010" s="85">
        <v>45287.0</v>
      </c>
      <c r="E5010" s="86">
        <v>4.39</v>
      </c>
      <c r="F5010" s="87">
        <v>5.08</v>
      </c>
      <c r="G5010" s="88">
        <f t="shared" si="1"/>
        <v>0.69</v>
      </c>
      <c r="H5010" s="89">
        <f t="shared" si="10"/>
        <v>0.1358267717</v>
      </c>
      <c r="I5010" s="78" t="s">
        <v>5838</v>
      </c>
      <c r="J5010" s="78" t="s">
        <v>69</v>
      </c>
      <c r="K5010" s="58">
        <f t="shared" si="14"/>
        <v>0</v>
      </c>
      <c r="L5010" s="91" t="str">
        <f t="shared" si="8"/>
        <v>Wed</v>
      </c>
      <c r="M5010" s="78" t="str">
        <f>IFERROR(VLOOKUP(A5010, Entries!A:B,2,false),"")</f>
        <v>Bethesda Softworks</v>
      </c>
      <c r="N5010" s="23" t="str">
        <f>IFERROR(VLOOKUP(A5010, Entries!A:K,11,false),"")</f>
        <v/>
      </c>
    </row>
    <row r="5011">
      <c r="A5011" s="78" t="s">
        <v>3897</v>
      </c>
      <c r="B5011" s="78" t="s">
        <v>27</v>
      </c>
      <c r="C5011" s="85">
        <v>45287.0</v>
      </c>
      <c r="D5011" s="85">
        <v>45287.0</v>
      </c>
      <c r="E5011" s="86">
        <v>4.39</v>
      </c>
      <c r="F5011" s="87">
        <v>5.08</v>
      </c>
      <c r="G5011" s="88">
        <f t="shared" si="1"/>
        <v>0.69</v>
      </c>
      <c r="H5011" s="89">
        <f t="shared" si="10"/>
        <v>0.1358267717</v>
      </c>
      <c r="I5011" s="78" t="s">
        <v>5839</v>
      </c>
      <c r="J5011" s="78" t="s">
        <v>69</v>
      </c>
      <c r="K5011" s="58">
        <f t="shared" si="14"/>
        <v>0</v>
      </c>
      <c r="L5011" s="91" t="str">
        <f t="shared" si="8"/>
        <v>Wed</v>
      </c>
      <c r="M5011" s="78" t="str">
        <f>IFERROR(VLOOKUP(A5011, Entries!A:B,2,false),"")</f>
        <v>Bethesda Softworks</v>
      </c>
      <c r="N5011" s="23" t="str">
        <f>IFERROR(VLOOKUP(A5011, Entries!A:K,11,false),"")</f>
        <v/>
      </c>
    </row>
    <row r="5012">
      <c r="A5012" s="78" t="s">
        <v>2467</v>
      </c>
      <c r="B5012" s="78" t="s">
        <v>32</v>
      </c>
      <c r="C5012" s="85">
        <v>45287.0</v>
      </c>
      <c r="D5012" s="85">
        <v>45299.0</v>
      </c>
      <c r="E5012" s="86">
        <v>14.61</v>
      </c>
      <c r="F5012" s="87">
        <v>16.35</v>
      </c>
      <c r="G5012" s="88">
        <f t="shared" si="1"/>
        <v>1.74</v>
      </c>
      <c r="H5012" s="89">
        <f t="shared" si="10"/>
        <v>0.1064220183</v>
      </c>
      <c r="I5012" s="78" t="s">
        <v>5840</v>
      </c>
      <c r="J5012" s="78" t="s">
        <v>69</v>
      </c>
      <c r="K5012" s="58">
        <f t="shared" si="14"/>
        <v>12</v>
      </c>
      <c r="L5012" s="91" t="str">
        <f t="shared" si="8"/>
        <v>Mon</v>
      </c>
      <c r="M5012" s="78" t="str">
        <f>IFERROR(VLOOKUP(A5012, Entries!A:B,2,false),"")</f>
        <v>Saber Interactive</v>
      </c>
      <c r="N5012" s="23" t="str">
        <f>IFERROR(VLOOKUP(A5012, Entries!A:K,11,false),"")</f>
        <v/>
      </c>
    </row>
    <row r="5013">
      <c r="A5013" s="78" t="s">
        <v>2467</v>
      </c>
      <c r="B5013" s="78" t="s">
        <v>32</v>
      </c>
      <c r="C5013" s="85">
        <v>45287.0</v>
      </c>
      <c r="D5013" s="85">
        <v>45299.0</v>
      </c>
      <c r="E5013" s="86">
        <v>14.61</v>
      </c>
      <c r="F5013" s="87">
        <v>16.35</v>
      </c>
      <c r="G5013" s="88">
        <f t="shared" si="1"/>
        <v>1.74</v>
      </c>
      <c r="H5013" s="89">
        <f t="shared" si="10"/>
        <v>0.1064220183</v>
      </c>
      <c r="I5013" s="78" t="s">
        <v>5841</v>
      </c>
      <c r="J5013" s="78" t="s">
        <v>69</v>
      </c>
      <c r="K5013" s="58">
        <f t="shared" si="14"/>
        <v>12</v>
      </c>
      <c r="L5013" s="91" t="str">
        <f t="shared" si="8"/>
        <v>Mon</v>
      </c>
      <c r="M5013" s="78" t="str">
        <f>IFERROR(VLOOKUP(A5013, Entries!A:B,2,false),"")</f>
        <v>Saber Interactive</v>
      </c>
      <c r="N5013" s="23" t="str">
        <f>IFERROR(VLOOKUP(A5013, Entries!A:K,11,false),"")</f>
        <v/>
      </c>
    </row>
    <row r="5014">
      <c r="A5014" s="78" t="s">
        <v>3897</v>
      </c>
      <c r="B5014" s="78" t="s">
        <v>27</v>
      </c>
      <c r="C5014" s="85">
        <v>45287.0</v>
      </c>
      <c r="D5014" s="85">
        <v>45288.0</v>
      </c>
      <c r="E5014" s="86">
        <v>4.39</v>
      </c>
      <c r="F5014" s="87">
        <v>5.08</v>
      </c>
      <c r="G5014" s="88">
        <f t="shared" si="1"/>
        <v>0.69</v>
      </c>
      <c r="H5014" s="89">
        <f t="shared" si="10"/>
        <v>0.1358267717</v>
      </c>
      <c r="I5014" s="78" t="s">
        <v>5842</v>
      </c>
      <c r="J5014" s="78" t="s">
        <v>69</v>
      </c>
      <c r="K5014" s="58">
        <f t="shared" si="14"/>
        <v>1</v>
      </c>
      <c r="L5014" s="91" t="str">
        <f t="shared" si="8"/>
        <v>Thu</v>
      </c>
      <c r="M5014" s="78" t="str">
        <f>IFERROR(VLOOKUP(A5014, Entries!A:B,2,false),"")</f>
        <v>Bethesda Softworks</v>
      </c>
      <c r="N5014" s="23" t="str">
        <f>IFERROR(VLOOKUP(A5014, Entries!A:K,11,false),"")</f>
        <v/>
      </c>
    </row>
    <row r="5015">
      <c r="A5015" s="78" t="s">
        <v>3897</v>
      </c>
      <c r="B5015" s="78" t="s">
        <v>27</v>
      </c>
      <c r="C5015" s="85">
        <v>45287.0</v>
      </c>
      <c r="D5015" s="85">
        <v>45288.0</v>
      </c>
      <c r="E5015" s="86">
        <v>4.39</v>
      </c>
      <c r="F5015" s="87">
        <v>5.08</v>
      </c>
      <c r="G5015" s="88">
        <f t="shared" si="1"/>
        <v>0.69</v>
      </c>
      <c r="H5015" s="89">
        <f t="shared" si="10"/>
        <v>0.1358267717</v>
      </c>
      <c r="I5015" s="78" t="s">
        <v>5843</v>
      </c>
      <c r="J5015" s="78" t="s">
        <v>69</v>
      </c>
      <c r="K5015" s="58">
        <f t="shared" si="14"/>
        <v>1</v>
      </c>
      <c r="L5015" s="91" t="str">
        <f t="shared" si="8"/>
        <v>Thu</v>
      </c>
      <c r="M5015" s="78" t="str">
        <f>IFERROR(VLOOKUP(A5015, Entries!A:B,2,false),"")</f>
        <v>Bethesda Softworks</v>
      </c>
      <c r="N5015" s="23" t="str">
        <f>IFERROR(VLOOKUP(A5015, Entries!A:K,11,false),"")</f>
        <v/>
      </c>
    </row>
    <row r="5016">
      <c r="A5016" s="78" t="s">
        <v>3897</v>
      </c>
      <c r="B5016" s="78" t="s">
        <v>27</v>
      </c>
      <c r="C5016" s="85">
        <v>45288.0</v>
      </c>
      <c r="D5016" s="85">
        <v>45288.0</v>
      </c>
      <c r="E5016" s="86">
        <v>4.39</v>
      </c>
      <c r="F5016" s="87">
        <v>5.08</v>
      </c>
      <c r="G5016" s="88">
        <f t="shared" si="1"/>
        <v>0.69</v>
      </c>
      <c r="H5016" s="89">
        <f t="shared" si="10"/>
        <v>0.1358267717</v>
      </c>
      <c r="I5016" s="78" t="s">
        <v>5844</v>
      </c>
      <c r="J5016" s="78" t="s">
        <v>69</v>
      </c>
      <c r="K5016" s="58">
        <f t="shared" si="14"/>
        <v>0</v>
      </c>
      <c r="L5016" s="91" t="str">
        <f t="shared" si="8"/>
        <v>Thu</v>
      </c>
      <c r="M5016" s="78" t="str">
        <f>IFERROR(VLOOKUP(A5016, Entries!A:B,2,false),"")</f>
        <v>Bethesda Softworks</v>
      </c>
      <c r="N5016" s="23" t="str">
        <f>IFERROR(VLOOKUP(A5016, Entries!A:K,11,false),"")</f>
        <v/>
      </c>
    </row>
    <row r="5017">
      <c r="A5017" s="78" t="s">
        <v>3897</v>
      </c>
      <c r="B5017" s="78" t="s">
        <v>27</v>
      </c>
      <c r="C5017" s="85">
        <v>45288.0</v>
      </c>
      <c r="D5017" s="85">
        <v>45288.0</v>
      </c>
      <c r="E5017" s="86">
        <v>4.39</v>
      </c>
      <c r="F5017" s="87">
        <v>5.08</v>
      </c>
      <c r="G5017" s="88">
        <f t="shared" si="1"/>
        <v>0.69</v>
      </c>
      <c r="H5017" s="89">
        <f t="shared" si="10"/>
        <v>0.1358267717</v>
      </c>
      <c r="I5017" s="78" t="s">
        <v>5845</v>
      </c>
      <c r="J5017" s="78" t="s">
        <v>69</v>
      </c>
      <c r="K5017" s="58">
        <f t="shared" si="14"/>
        <v>0</v>
      </c>
      <c r="L5017" s="91" t="str">
        <f t="shared" si="8"/>
        <v>Thu</v>
      </c>
      <c r="M5017" s="78" t="str">
        <f>IFERROR(VLOOKUP(A5017, Entries!A:B,2,false),"")</f>
        <v>Bethesda Softworks</v>
      </c>
      <c r="N5017" s="23" t="str">
        <f>IFERROR(VLOOKUP(A5017, Entries!A:K,11,false),"")</f>
        <v/>
      </c>
    </row>
    <row r="5018">
      <c r="A5018" s="78" t="s">
        <v>3897</v>
      </c>
      <c r="B5018" s="78" t="s">
        <v>27</v>
      </c>
      <c r="C5018" s="85">
        <v>45288.0</v>
      </c>
      <c r="D5018" s="85">
        <v>45290.0</v>
      </c>
      <c r="E5018" s="86">
        <v>4.39</v>
      </c>
      <c r="F5018" s="87">
        <v>5.08</v>
      </c>
      <c r="G5018" s="88">
        <f t="shared" si="1"/>
        <v>0.69</v>
      </c>
      <c r="H5018" s="89">
        <f t="shared" si="10"/>
        <v>0.1358267717</v>
      </c>
      <c r="I5018" s="78" t="s">
        <v>5846</v>
      </c>
      <c r="J5018" s="78" t="s">
        <v>69</v>
      </c>
      <c r="K5018" s="58">
        <f t="shared" si="14"/>
        <v>2</v>
      </c>
      <c r="L5018" s="91" t="str">
        <f t="shared" si="8"/>
        <v>Sat</v>
      </c>
      <c r="M5018" s="78" t="str">
        <f>IFERROR(VLOOKUP(A5018, Entries!A:B,2,false),"")</f>
        <v>Bethesda Softworks</v>
      </c>
      <c r="N5018" s="23" t="str">
        <f>IFERROR(VLOOKUP(A5018, Entries!A:K,11,false),"")</f>
        <v/>
      </c>
    </row>
    <row r="5019">
      <c r="A5019" s="78" t="s">
        <v>3897</v>
      </c>
      <c r="B5019" s="78" t="s">
        <v>27</v>
      </c>
      <c r="C5019" s="85">
        <v>45288.0</v>
      </c>
      <c r="D5019" s="85">
        <v>45290.0</v>
      </c>
      <c r="E5019" s="86">
        <v>4.39</v>
      </c>
      <c r="F5019" s="87">
        <v>5.08</v>
      </c>
      <c r="G5019" s="88">
        <f t="shared" si="1"/>
        <v>0.69</v>
      </c>
      <c r="H5019" s="89">
        <f t="shared" si="10"/>
        <v>0.1358267717</v>
      </c>
      <c r="I5019" s="78" t="s">
        <v>5847</v>
      </c>
      <c r="J5019" s="78" t="s">
        <v>69</v>
      </c>
      <c r="K5019" s="58">
        <f t="shared" si="14"/>
        <v>2</v>
      </c>
      <c r="L5019" s="91" t="str">
        <f t="shared" si="8"/>
        <v>Sat</v>
      </c>
      <c r="M5019" s="78" t="str">
        <f>IFERROR(VLOOKUP(A5019, Entries!A:B,2,false),"")</f>
        <v>Bethesda Softworks</v>
      </c>
      <c r="N5019" s="23" t="str">
        <f>IFERROR(VLOOKUP(A5019, Entries!A:K,11,false),"")</f>
        <v/>
      </c>
    </row>
    <row r="5020">
      <c r="A5020" s="78" t="s">
        <v>4085</v>
      </c>
      <c r="B5020" s="78" t="s">
        <v>27</v>
      </c>
      <c r="C5020" s="85">
        <v>45290.0</v>
      </c>
      <c r="D5020" s="85">
        <v>45297.0</v>
      </c>
      <c r="E5020" s="86">
        <v>5.76</v>
      </c>
      <c r="F5020" s="87">
        <v>7.69</v>
      </c>
      <c r="G5020" s="88">
        <f t="shared" si="1"/>
        <v>1.93</v>
      </c>
      <c r="H5020" s="89">
        <f t="shared" si="10"/>
        <v>0.2509752926</v>
      </c>
      <c r="I5020" s="78" t="s">
        <v>5848</v>
      </c>
      <c r="J5020" s="78" t="s">
        <v>69</v>
      </c>
      <c r="K5020" s="58">
        <f t="shared" si="14"/>
        <v>7</v>
      </c>
      <c r="L5020" s="91" t="str">
        <f t="shared" si="8"/>
        <v>Sat</v>
      </c>
      <c r="M5020" s="78" t="str">
        <f>IFERROR(VLOOKUP(A5020, Entries!A:B,2,false),"")</f>
        <v>Bethesda Softworks</v>
      </c>
      <c r="N5020" s="23" t="str">
        <f>IFERROR(VLOOKUP(A5020, Entries!A:K,11,false),"")</f>
        <v/>
      </c>
    </row>
    <row r="5021">
      <c r="A5021" s="78" t="s">
        <v>3897</v>
      </c>
      <c r="B5021" s="78" t="s">
        <v>27</v>
      </c>
      <c r="C5021" s="85">
        <v>45290.0</v>
      </c>
      <c r="D5021" s="85">
        <v>45290.0</v>
      </c>
      <c r="E5021" s="86">
        <v>4.39</v>
      </c>
      <c r="F5021" s="87">
        <v>5.08</v>
      </c>
      <c r="G5021" s="88">
        <f t="shared" si="1"/>
        <v>0.69</v>
      </c>
      <c r="H5021" s="89">
        <f t="shared" si="10"/>
        <v>0.1358267717</v>
      </c>
      <c r="I5021" s="78" t="s">
        <v>5849</v>
      </c>
      <c r="J5021" s="78" t="s">
        <v>69</v>
      </c>
      <c r="K5021" s="58">
        <f t="shared" si="14"/>
        <v>0</v>
      </c>
      <c r="L5021" s="91" t="str">
        <f t="shared" si="8"/>
        <v>Sat</v>
      </c>
      <c r="M5021" s="78" t="str">
        <f>IFERROR(VLOOKUP(A5021, Entries!A:B,2,false),"")</f>
        <v>Bethesda Softworks</v>
      </c>
      <c r="N5021" s="23" t="str">
        <f>IFERROR(VLOOKUP(A5021, Entries!A:K,11,false),"")</f>
        <v/>
      </c>
    </row>
    <row r="5022">
      <c r="A5022" s="78" t="s">
        <v>3897</v>
      </c>
      <c r="B5022" s="78" t="s">
        <v>27</v>
      </c>
      <c r="C5022" s="85">
        <v>45290.0</v>
      </c>
      <c r="D5022" s="85">
        <v>45292.0</v>
      </c>
      <c r="E5022" s="86">
        <v>4.39</v>
      </c>
      <c r="F5022" s="87">
        <v>5.08</v>
      </c>
      <c r="G5022" s="88">
        <f t="shared" si="1"/>
        <v>0.69</v>
      </c>
      <c r="H5022" s="89">
        <f t="shared" si="10"/>
        <v>0.1358267717</v>
      </c>
      <c r="I5022" s="78" t="s">
        <v>5850</v>
      </c>
      <c r="J5022" s="78" t="s">
        <v>69</v>
      </c>
      <c r="K5022" s="58">
        <f t="shared" si="14"/>
        <v>2</v>
      </c>
      <c r="L5022" s="91" t="str">
        <f t="shared" si="8"/>
        <v>Mon</v>
      </c>
      <c r="M5022" s="78" t="str">
        <f>IFERROR(VLOOKUP(A5022, Entries!A:B,2,false),"")</f>
        <v>Bethesda Softworks</v>
      </c>
      <c r="N5022" s="23" t="str">
        <f>IFERROR(VLOOKUP(A5022, Entries!A:K,11,false),"")</f>
        <v/>
      </c>
    </row>
    <row r="5023">
      <c r="A5023" s="78" t="s">
        <v>5029</v>
      </c>
      <c r="B5023" s="78" t="s">
        <v>25</v>
      </c>
      <c r="C5023" s="85">
        <v>45291.0</v>
      </c>
      <c r="D5023" s="85">
        <v>45819.0</v>
      </c>
      <c r="E5023" s="86">
        <v>38.99</v>
      </c>
      <c r="F5023" s="87">
        <v>19.73</v>
      </c>
      <c r="G5023" s="88">
        <f t="shared" si="1"/>
        <v>-19.26</v>
      </c>
      <c r="H5023" s="89">
        <f t="shared" si="10"/>
        <v>-0.9761784085</v>
      </c>
      <c r="I5023" s="103" t="s">
        <v>5851</v>
      </c>
      <c r="J5023" s="78" t="s">
        <v>69</v>
      </c>
      <c r="K5023" s="58">
        <f t="shared" si="14"/>
        <v>528</v>
      </c>
      <c r="L5023" s="91" t="str">
        <f t="shared" si="8"/>
        <v>Wed</v>
      </c>
      <c r="M5023" s="78" t="str">
        <f>IFERROR(VLOOKUP(A5023, Entries!A:B,2,false),"")</f>
        <v>NEOWIZ</v>
      </c>
      <c r="N5023" s="23" t="str">
        <f>IFERROR(VLOOKUP(A5023, Entries!A:K,11,false),"")</f>
        <v/>
      </c>
    </row>
    <row r="5024">
      <c r="A5024" s="78" t="s">
        <v>3897</v>
      </c>
      <c r="B5024" s="78" t="s">
        <v>27</v>
      </c>
      <c r="C5024" s="85">
        <v>45292.0</v>
      </c>
      <c r="D5024" s="85">
        <v>45293.0</v>
      </c>
      <c r="E5024" s="86">
        <v>4.24</v>
      </c>
      <c r="F5024" s="87">
        <v>5.08</v>
      </c>
      <c r="G5024" s="88">
        <f t="shared" si="1"/>
        <v>0.84</v>
      </c>
      <c r="H5024" s="89">
        <f t="shared" si="10"/>
        <v>0.1653543307</v>
      </c>
      <c r="I5024" s="78" t="s">
        <v>5852</v>
      </c>
      <c r="J5024" s="78" t="s">
        <v>69</v>
      </c>
      <c r="K5024" s="58">
        <f t="shared" si="14"/>
        <v>1</v>
      </c>
      <c r="L5024" s="91" t="str">
        <f t="shared" si="8"/>
        <v>Tue</v>
      </c>
      <c r="M5024" s="78" t="str">
        <f>IFERROR(VLOOKUP(A5024, Entries!A:B,2,false),"")</f>
        <v>Bethesda Softworks</v>
      </c>
      <c r="N5024" s="23" t="str">
        <f>IFERROR(VLOOKUP(A5024, Entries!A:K,11,false),"")</f>
        <v/>
      </c>
    </row>
    <row r="5025">
      <c r="A5025" s="78" t="s">
        <v>3897</v>
      </c>
      <c r="B5025" s="78" t="s">
        <v>27</v>
      </c>
      <c r="C5025" s="85">
        <v>45292.0</v>
      </c>
      <c r="D5025" s="85">
        <v>45293.0</v>
      </c>
      <c r="E5025" s="86">
        <v>4.25</v>
      </c>
      <c r="F5025" s="87">
        <v>5.08</v>
      </c>
      <c r="G5025" s="88">
        <f t="shared" si="1"/>
        <v>0.83</v>
      </c>
      <c r="H5025" s="89">
        <f t="shared" si="10"/>
        <v>0.1633858268</v>
      </c>
      <c r="I5025" s="78" t="s">
        <v>5853</v>
      </c>
      <c r="J5025" s="78" t="s">
        <v>69</v>
      </c>
      <c r="K5025" s="58">
        <f t="shared" si="14"/>
        <v>1</v>
      </c>
      <c r="L5025" s="91" t="str">
        <f t="shared" si="8"/>
        <v>Tue</v>
      </c>
      <c r="M5025" s="78" t="str">
        <f>IFERROR(VLOOKUP(A5025, Entries!A:B,2,false),"")</f>
        <v>Bethesda Softworks</v>
      </c>
      <c r="N5025" s="23" t="str">
        <f>IFERROR(VLOOKUP(A5025, Entries!A:K,11,false),"")</f>
        <v/>
      </c>
    </row>
    <row r="5026">
      <c r="A5026" s="78" t="s">
        <v>3897</v>
      </c>
      <c r="B5026" s="78" t="s">
        <v>27</v>
      </c>
      <c r="C5026" s="85">
        <v>45293.0</v>
      </c>
      <c r="D5026" s="85">
        <v>45293.0</v>
      </c>
      <c r="E5026" s="86">
        <v>4.39</v>
      </c>
      <c r="F5026" s="87">
        <v>5.08</v>
      </c>
      <c r="G5026" s="88">
        <f t="shared" si="1"/>
        <v>0.69</v>
      </c>
      <c r="H5026" s="89">
        <f t="shared" si="10"/>
        <v>0.1358267717</v>
      </c>
      <c r="I5026" s="78" t="s">
        <v>5854</v>
      </c>
      <c r="J5026" s="78" t="s">
        <v>69</v>
      </c>
      <c r="K5026" s="58">
        <f t="shared" si="14"/>
        <v>0</v>
      </c>
      <c r="L5026" s="91" t="str">
        <f t="shared" si="8"/>
        <v>Tue</v>
      </c>
      <c r="M5026" s="78" t="str">
        <f>IFERROR(VLOOKUP(A5026, Entries!A:B,2,false),"")</f>
        <v>Bethesda Softworks</v>
      </c>
      <c r="N5026" s="23" t="str">
        <f>IFERROR(VLOOKUP(A5026, Entries!A:K,11,false),"")</f>
        <v/>
      </c>
    </row>
    <row r="5027">
      <c r="A5027" s="78" t="s">
        <v>3897</v>
      </c>
      <c r="B5027" s="78" t="s">
        <v>27</v>
      </c>
      <c r="C5027" s="85">
        <v>45293.0</v>
      </c>
      <c r="D5027" s="85">
        <v>45294.0</v>
      </c>
      <c r="E5027" s="86">
        <v>4.39</v>
      </c>
      <c r="F5027" s="87">
        <v>5.08</v>
      </c>
      <c r="G5027" s="88">
        <f t="shared" si="1"/>
        <v>0.69</v>
      </c>
      <c r="H5027" s="89">
        <f t="shared" si="10"/>
        <v>0.1358267717</v>
      </c>
      <c r="I5027" s="78" t="s">
        <v>5855</v>
      </c>
      <c r="J5027" s="78" t="s">
        <v>69</v>
      </c>
      <c r="K5027" s="58">
        <f t="shared" si="14"/>
        <v>1</v>
      </c>
      <c r="L5027" s="91" t="str">
        <f t="shared" si="8"/>
        <v>Wed</v>
      </c>
      <c r="M5027" s="78" t="str">
        <f>IFERROR(VLOOKUP(A5027, Entries!A:B,2,false),"")</f>
        <v>Bethesda Softworks</v>
      </c>
      <c r="N5027" s="23" t="str">
        <f>IFERROR(VLOOKUP(A5027, Entries!A:K,11,false),"")</f>
        <v/>
      </c>
    </row>
    <row r="5028">
      <c r="A5028" s="78" t="s">
        <v>4615</v>
      </c>
      <c r="B5028" s="78" t="s">
        <v>30</v>
      </c>
      <c r="C5028" s="85">
        <v>45293.0</v>
      </c>
      <c r="D5028" s="85">
        <v>45296.0</v>
      </c>
      <c r="E5028" s="86">
        <v>9.43</v>
      </c>
      <c r="F5028" s="87">
        <v>11.02</v>
      </c>
      <c r="G5028" s="88">
        <f t="shared" si="1"/>
        <v>1.59</v>
      </c>
      <c r="H5028" s="89">
        <f t="shared" si="10"/>
        <v>0.1442831216</v>
      </c>
      <c r="I5028" s="78" t="s">
        <v>5856</v>
      </c>
      <c r="J5028" s="78" t="s">
        <v>69</v>
      </c>
      <c r="K5028" s="58">
        <f t="shared" si="14"/>
        <v>3</v>
      </c>
      <c r="L5028" s="91" t="str">
        <f t="shared" si="8"/>
        <v>Fri</v>
      </c>
      <c r="M5028" s="78" t="str">
        <f>IFERROR(VLOOKUP(A5028, Entries!A:B,2,false),"")</f>
        <v>Fellow Traveller</v>
      </c>
      <c r="N5028" s="23" t="str">
        <f>IFERROR(VLOOKUP(A5028, Entries!A:K,11,false),"")</f>
        <v/>
      </c>
    </row>
    <row r="5029">
      <c r="A5029" s="78" t="s">
        <v>3897</v>
      </c>
      <c r="B5029" s="78" t="s">
        <v>27</v>
      </c>
      <c r="C5029" s="85">
        <v>45293.0</v>
      </c>
      <c r="D5029" s="85">
        <v>45295.0</v>
      </c>
      <c r="E5029" s="86">
        <v>4.39</v>
      </c>
      <c r="F5029" s="87">
        <v>5.08</v>
      </c>
      <c r="G5029" s="88">
        <f t="shared" si="1"/>
        <v>0.69</v>
      </c>
      <c r="H5029" s="89">
        <f t="shared" si="10"/>
        <v>0.1358267717</v>
      </c>
      <c r="I5029" s="78" t="s">
        <v>5857</v>
      </c>
      <c r="J5029" s="78" t="s">
        <v>69</v>
      </c>
      <c r="K5029" s="58">
        <f t="shared" si="14"/>
        <v>2</v>
      </c>
      <c r="L5029" s="91" t="str">
        <f t="shared" si="8"/>
        <v>Thu</v>
      </c>
      <c r="M5029" s="78" t="str">
        <f>IFERROR(VLOOKUP(A5029, Entries!A:B,2,false),"")</f>
        <v>Bethesda Softworks</v>
      </c>
      <c r="N5029" s="23" t="str">
        <f>IFERROR(VLOOKUP(A5029, Entries!A:K,11,false),"")</f>
        <v/>
      </c>
    </row>
    <row r="5030">
      <c r="A5030" s="78" t="s">
        <v>3897</v>
      </c>
      <c r="B5030" s="78" t="s">
        <v>27</v>
      </c>
      <c r="C5030" s="85">
        <v>45293.0</v>
      </c>
      <c r="D5030" s="85">
        <v>45295.0</v>
      </c>
      <c r="E5030" s="86">
        <v>4.39</v>
      </c>
      <c r="F5030" s="87">
        <v>5.08</v>
      </c>
      <c r="G5030" s="88">
        <f t="shared" si="1"/>
        <v>0.69</v>
      </c>
      <c r="H5030" s="89">
        <f t="shared" si="10"/>
        <v>0.1358267717</v>
      </c>
      <c r="I5030" s="78" t="s">
        <v>5858</v>
      </c>
      <c r="J5030" s="78" t="s">
        <v>69</v>
      </c>
      <c r="K5030" s="58">
        <f t="shared" si="14"/>
        <v>2</v>
      </c>
      <c r="L5030" s="91" t="str">
        <f t="shared" si="8"/>
        <v>Thu</v>
      </c>
      <c r="M5030" s="78" t="str">
        <f>IFERROR(VLOOKUP(A5030, Entries!A:B,2,false),"")</f>
        <v>Bethesda Softworks</v>
      </c>
      <c r="N5030" s="23" t="str">
        <f>IFERROR(VLOOKUP(A5030, Entries!A:K,11,false),"")</f>
        <v/>
      </c>
    </row>
    <row r="5031">
      <c r="A5031" s="78" t="s">
        <v>3897</v>
      </c>
      <c r="B5031" s="78" t="s">
        <v>27</v>
      </c>
      <c r="C5031" s="85">
        <v>45295.0</v>
      </c>
      <c r="D5031" s="85">
        <v>45297.0</v>
      </c>
      <c r="E5031" s="86">
        <v>4.24</v>
      </c>
      <c r="F5031" s="87">
        <v>5.08</v>
      </c>
      <c r="G5031" s="88">
        <f t="shared" si="1"/>
        <v>0.84</v>
      </c>
      <c r="H5031" s="89">
        <f t="shared" si="10"/>
        <v>0.1653543307</v>
      </c>
      <c r="I5031" s="78" t="s">
        <v>5859</v>
      </c>
      <c r="J5031" s="78" t="s">
        <v>69</v>
      </c>
      <c r="K5031" s="58">
        <f t="shared" si="14"/>
        <v>2</v>
      </c>
      <c r="L5031" s="91" t="str">
        <f t="shared" si="8"/>
        <v>Sat</v>
      </c>
      <c r="M5031" s="78" t="str">
        <f>IFERROR(VLOOKUP(A5031, Entries!A:B,2,false),"")</f>
        <v>Bethesda Softworks</v>
      </c>
      <c r="N5031" s="23" t="str">
        <f>IFERROR(VLOOKUP(A5031, Entries!A:K,11,false),"")</f>
        <v/>
      </c>
    </row>
    <row r="5032">
      <c r="A5032" s="78" t="s">
        <v>3897</v>
      </c>
      <c r="B5032" s="78" t="s">
        <v>27</v>
      </c>
      <c r="C5032" s="85">
        <v>45295.0</v>
      </c>
      <c r="D5032" s="85">
        <v>45297.0</v>
      </c>
      <c r="E5032" s="86">
        <v>4.24</v>
      </c>
      <c r="F5032" s="87">
        <v>5.08</v>
      </c>
      <c r="G5032" s="88">
        <f t="shared" si="1"/>
        <v>0.84</v>
      </c>
      <c r="H5032" s="89">
        <f t="shared" si="10"/>
        <v>0.1653543307</v>
      </c>
      <c r="I5032" s="78" t="s">
        <v>5860</v>
      </c>
      <c r="J5032" s="78" t="s">
        <v>69</v>
      </c>
      <c r="K5032" s="58">
        <f t="shared" si="14"/>
        <v>2</v>
      </c>
      <c r="L5032" s="91" t="str">
        <f t="shared" si="8"/>
        <v>Sat</v>
      </c>
      <c r="M5032" s="78" t="str">
        <f>IFERROR(VLOOKUP(A5032, Entries!A:B,2,false),"")</f>
        <v>Bethesda Softworks</v>
      </c>
      <c r="N5032" s="23" t="str">
        <f>IFERROR(VLOOKUP(A5032, Entries!A:K,11,false),"")</f>
        <v/>
      </c>
    </row>
    <row r="5033">
      <c r="A5033" s="78" t="s">
        <v>5817</v>
      </c>
      <c r="B5033" s="78" t="s">
        <v>22</v>
      </c>
      <c r="C5033" s="85">
        <v>45295.0</v>
      </c>
      <c r="D5033" s="85">
        <v>45298.0</v>
      </c>
      <c r="E5033" s="86">
        <v>12.63</v>
      </c>
      <c r="F5033" s="87">
        <v>21.42</v>
      </c>
      <c r="G5033" s="88">
        <f t="shared" si="1"/>
        <v>8.79</v>
      </c>
      <c r="H5033" s="89">
        <f t="shared" si="10"/>
        <v>0.4103641457</v>
      </c>
      <c r="I5033" s="78" t="s">
        <v>5861</v>
      </c>
      <c r="J5033" s="78" t="s">
        <v>69</v>
      </c>
      <c r="K5033" s="58">
        <f t="shared" si="14"/>
        <v>3</v>
      </c>
      <c r="L5033" s="91" t="str">
        <f t="shared" si="8"/>
        <v>Sun</v>
      </c>
      <c r="M5033" s="78" t="str">
        <f>IFERROR(VLOOKUP(A5033, Entries!A:B,2,false),"")</f>
        <v>IO Interactive</v>
      </c>
      <c r="N5033" s="23" t="str">
        <f>IFERROR(VLOOKUP(A5033, Entries!A:K,11,false),"")</f>
        <v/>
      </c>
    </row>
    <row r="5034">
      <c r="A5034" s="78" t="s">
        <v>4615</v>
      </c>
      <c r="B5034" s="78" t="s">
        <v>30</v>
      </c>
      <c r="C5034" s="85">
        <v>45296.0</v>
      </c>
      <c r="D5034" s="85">
        <v>45296.0</v>
      </c>
      <c r="E5034" s="86">
        <v>9.53</v>
      </c>
      <c r="F5034" s="87">
        <v>11.02</v>
      </c>
      <c r="G5034" s="88">
        <f t="shared" si="1"/>
        <v>1.49</v>
      </c>
      <c r="H5034" s="89">
        <f t="shared" si="10"/>
        <v>0.1352087114</v>
      </c>
      <c r="J5034" s="78" t="s">
        <v>69</v>
      </c>
      <c r="K5034" s="58">
        <f t="shared" si="14"/>
        <v>0</v>
      </c>
      <c r="L5034" s="91" t="str">
        <f t="shared" si="8"/>
        <v>Fri</v>
      </c>
      <c r="M5034" s="78" t="str">
        <f>IFERROR(VLOOKUP(A5034, Entries!A:B,2,false),"")</f>
        <v>Fellow Traveller</v>
      </c>
      <c r="N5034" s="23" t="str">
        <f>IFERROR(VLOOKUP(A5034, Entries!A:K,11,false),"")</f>
        <v/>
      </c>
    </row>
    <row r="5035">
      <c r="A5035" s="78" t="s">
        <v>1909</v>
      </c>
      <c r="B5035" s="78" t="s">
        <v>22</v>
      </c>
      <c r="C5035" s="85">
        <v>45296.0</v>
      </c>
      <c r="D5035" s="85">
        <v>45297.0</v>
      </c>
      <c r="E5035" s="86">
        <v>2.86</v>
      </c>
      <c r="F5035" s="87">
        <v>3.94</v>
      </c>
      <c r="G5035" s="88">
        <f t="shared" si="1"/>
        <v>1.08</v>
      </c>
      <c r="H5035" s="89">
        <f t="shared" si="10"/>
        <v>0.2741116751</v>
      </c>
      <c r="I5035" s="78" t="s">
        <v>5862</v>
      </c>
      <c r="J5035" s="78" t="s">
        <v>69</v>
      </c>
      <c r="K5035" s="58">
        <f t="shared" si="14"/>
        <v>1</v>
      </c>
      <c r="L5035" s="91" t="str">
        <f t="shared" si="8"/>
        <v>Sat</v>
      </c>
      <c r="M5035" s="78" t="str">
        <f>IFERROR(VLOOKUP(A5035, Entries!A:B,2,false),"")</f>
        <v>PlayWay</v>
      </c>
      <c r="N5035" s="23" t="str">
        <f>IFERROR(VLOOKUP(A5035, Entries!A:K,11,false),"")</f>
        <v/>
      </c>
    </row>
    <row r="5036">
      <c r="A5036" s="78" t="s">
        <v>1909</v>
      </c>
      <c r="B5036" s="78" t="s">
        <v>22</v>
      </c>
      <c r="C5036" s="85">
        <v>45296.0</v>
      </c>
      <c r="D5036" s="85">
        <v>45297.0</v>
      </c>
      <c r="E5036" s="86">
        <v>2.87</v>
      </c>
      <c r="F5036" s="87">
        <v>3.93</v>
      </c>
      <c r="G5036" s="88">
        <f t="shared" si="1"/>
        <v>1.06</v>
      </c>
      <c r="H5036" s="89">
        <f t="shared" si="10"/>
        <v>0.2697201018</v>
      </c>
      <c r="I5036" s="78" t="s">
        <v>5863</v>
      </c>
      <c r="J5036" s="78" t="s">
        <v>69</v>
      </c>
      <c r="K5036" s="58">
        <f t="shared" si="14"/>
        <v>1</v>
      </c>
      <c r="L5036" s="91" t="str">
        <f t="shared" si="8"/>
        <v>Sat</v>
      </c>
      <c r="M5036" s="78" t="str">
        <f>IFERROR(VLOOKUP(A5036, Entries!A:B,2,false),"")</f>
        <v>PlayWay</v>
      </c>
      <c r="N5036" s="23" t="str">
        <f>IFERROR(VLOOKUP(A5036, Entries!A:K,11,false),"")</f>
        <v/>
      </c>
    </row>
    <row r="5037">
      <c r="A5037" s="78" t="s">
        <v>4615</v>
      </c>
      <c r="B5037" s="78" t="s">
        <v>30</v>
      </c>
      <c r="C5037" s="85">
        <v>45296.0</v>
      </c>
      <c r="D5037" s="85">
        <v>45328.0</v>
      </c>
      <c r="E5037" s="86">
        <v>9.53</v>
      </c>
      <c r="F5037" s="87">
        <v>10.96</v>
      </c>
      <c r="G5037" s="88">
        <f t="shared" si="1"/>
        <v>1.43</v>
      </c>
      <c r="H5037" s="89">
        <f t="shared" si="10"/>
        <v>0.1304744526</v>
      </c>
      <c r="I5037" s="78" t="s">
        <v>5864</v>
      </c>
      <c r="J5037" s="78" t="s">
        <v>69</v>
      </c>
      <c r="K5037" s="58">
        <f t="shared" si="14"/>
        <v>32</v>
      </c>
      <c r="L5037" s="91" t="str">
        <f t="shared" si="8"/>
        <v>Tue</v>
      </c>
      <c r="M5037" s="78" t="str">
        <f>IFERROR(VLOOKUP(A5037, Entries!A:B,2,false),"")</f>
        <v>Fellow Traveller</v>
      </c>
      <c r="N5037" s="23" t="str">
        <f>IFERROR(VLOOKUP(A5037, Entries!A:K,11,false),"")</f>
        <v/>
      </c>
    </row>
    <row r="5038">
      <c r="A5038" s="78" t="s">
        <v>3897</v>
      </c>
      <c r="B5038" s="78" t="s">
        <v>27</v>
      </c>
      <c r="C5038" s="85">
        <v>45297.0</v>
      </c>
      <c r="D5038" s="85">
        <v>45297.0</v>
      </c>
      <c r="E5038" s="86">
        <v>4.17</v>
      </c>
      <c r="F5038" s="87">
        <v>5.08</v>
      </c>
      <c r="G5038" s="88">
        <f t="shared" si="1"/>
        <v>0.91</v>
      </c>
      <c r="H5038" s="89">
        <f t="shared" si="10"/>
        <v>0.1791338583</v>
      </c>
      <c r="I5038" s="78" t="s">
        <v>5865</v>
      </c>
      <c r="J5038" s="78" t="s">
        <v>69</v>
      </c>
      <c r="K5038" s="58">
        <f t="shared" si="14"/>
        <v>0</v>
      </c>
      <c r="L5038" s="91" t="str">
        <f t="shared" si="8"/>
        <v>Sat</v>
      </c>
      <c r="M5038" s="78" t="str">
        <f>IFERROR(VLOOKUP(A5038, Entries!A:B,2,false),"")</f>
        <v>Bethesda Softworks</v>
      </c>
      <c r="N5038" s="23" t="str">
        <f>IFERROR(VLOOKUP(A5038, Entries!A:K,11,false),"")</f>
        <v/>
      </c>
    </row>
    <row r="5039">
      <c r="A5039" s="78" t="s">
        <v>3897</v>
      </c>
      <c r="B5039" s="78" t="s">
        <v>27</v>
      </c>
      <c r="C5039" s="85">
        <v>45297.0</v>
      </c>
      <c r="D5039" s="85">
        <v>45297.0</v>
      </c>
      <c r="E5039" s="86">
        <v>4.17</v>
      </c>
      <c r="F5039" s="87">
        <v>5.08</v>
      </c>
      <c r="G5039" s="88">
        <f t="shared" si="1"/>
        <v>0.91</v>
      </c>
      <c r="H5039" s="89">
        <f t="shared" si="10"/>
        <v>0.1791338583</v>
      </c>
      <c r="I5039" s="78" t="s">
        <v>5866</v>
      </c>
      <c r="J5039" s="78" t="s">
        <v>69</v>
      </c>
      <c r="K5039" s="58">
        <f t="shared" si="14"/>
        <v>0</v>
      </c>
      <c r="L5039" s="91" t="str">
        <f t="shared" si="8"/>
        <v>Sat</v>
      </c>
      <c r="M5039" s="78" t="str">
        <f>IFERROR(VLOOKUP(A5039, Entries!A:B,2,false),"")</f>
        <v>Bethesda Softworks</v>
      </c>
      <c r="N5039" s="23" t="str">
        <f>IFERROR(VLOOKUP(A5039, Entries!A:K,11,false),"")</f>
        <v/>
      </c>
    </row>
    <row r="5040">
      <c r="A5040" s="78" t="s">
        <v>1909</v>
      </c>
      <c r="B5040" s="78" t="s">
        <v>22</v>
      </c>
      <c r="C5040" s="85">
        <v>45297.0</v>
      </c>
      <c r="D5040" s="85">
        <v>45298.0</v>
      </c>
      <c r="E5040" s="86">
        <v>2.87</v>
      </c>
      <c r="F5040" s="87">
        <v>3.93</v>
      </c>
      <c r="G5040" s="88">
        <f t="shared" si="1"/>
        <v>1.06</v>
      </c>
      <c r="H5040" s="89">
        <f t="shared" si="10"/>
        <v>0.2697201018</v>
      </c>
      <c r="I5040" s="78" t="s">
        <v>5867</v>
      </c>
      <c r="J5040" s="78" t="s">
        <v>69</v>
      </c>
      <c r="K5040" s="58">
        <f t="shared" si="14"/>
        <v>1</v>
      </c>
      <c r="L5040" s="91" t="str">
        <f t="shared" si="8"/>
        <v>Sun</v>
      </c>
      <c r="M5040" s="78" t="str">
        <f>IFERROR(VLOOKUP(A5040, Entries!A:B,2,false),"")</f>
        <v>PlayWay</v>
      </c>
      <c r="N5040" s="23" t="str">
        <f>IFERROR(VLOOKUP(A5040, Entries!A:K,11,false),"")</f>
        <v/>
      </c>
    </row>
    <row r="5041">
      <c r="A5041" s="78" t="s">
        <v>1909</v>
      </c>
      <c r="B5041" s="78" t="s">
        <v>22</v>
      </c>
      <c r="C5041" s="85">
        <v>45297.0</v>
      </c>
      <c r="D5041" s="85">
        <v>45298.0</v>
      </c>
      <c r="E5041" s="86">
        <v>2.88</v>
      </c>
      <c r="F5041" s="87">
        <v>3.93</v>
      </c>
      <c r="G5041" s="88">
        <f t="shared" si="1"/>
        <v>1.05</v>
      </c>
      <c r="H5041" s="89">
        <f t="shared" si="10"/>
        <v>0.2671755725</v>
      </c>
      <c r="I5041" s="78" t="s">
        <v>5868</v>
      </c>
      <c r="J5041" s="78" t="s">
        <v>69</v>
      </c>
      <c r="K5041" s="58">
        <f t="shared" si="14"/>
        <v>1</v>
      </c>
      <c r="L5041" s="91" t="str">
        <f t="shared" si="8"/>
        <v>Sun</v>
      </c>
      <c r="M5041" s="78" t="str">
        <f>IFERROR(VLOOKUP(A5041, Entries!A:B,2,false),"")</f>
        <v>PlayWay</v>
      </c>
      <c r="N5041" s="23" t="str">
        <f>IFERROR(VLOOKUP(A5041, Entries!A:K,11,false),"")</f>
        <v/>
      </c>
    </row>
    <row r="5042">
      <c r="A5042" s="78" t="s">
        <v>3897</v>
      </c>
      <c r="B5042" s="78" t="s">
        <v>27</v>
      </c>
      <c r="C5042" s="85">
        <v>45297.0</v>
      </c>
      <c r="D5042" s="85">
        <v>45297.0</v>
      </c>
      <c r="E5042" s="86">
        <v>4.36</v>
      </c>
      <c r="F5042" s="87">
        <v>5.08</v>
      </c>
      <c r="G5042" s="88">
        <f t="shared" si="1"/>
        <v>0.72</v>
      </c>
      <c r="H5042" s="89">
        <f t="shared" si="10"/>
        <v>0.1417322835</v>
      </c>
      <c r="I5042" s="78" t="s">
        <v>5869</v>
      </c>
      <c r="J5042" s="78" t="s">
        <v>69</v>
      </c>
      <c r="K5042" s="58">
        <f t="shared" si="14"/>
        <v>0</v>
      </c>
      <c r="L5042" s="91" t="str">
        <f t="shared" si="8"/>
        <v>Sat</v>
      </c>
      <c r="M5042" s="78" t="str">
        <f>IFERROR(VLOOKUP(A5042, Entries!A:B,2,false),"")</f>
        <v>Bethesda Softworks</v>
      </c>
      <c r="N5042" s="23" t="str">
        <f>IFERROR(VLOOKUP(A5042, Entries!A:K,11,false),"")</f>
        <v/>
      </c>
    </row>
    <row r="5043">
      <c r="A5043" s="78" t="s">
        <v>3897</v>
      </c>
      <c r="B5043" s="78" t="s">
        <v>27</v>
      </c>
      <c r="C5043" s="85">
        <v>45297.0</v>
      </c>
      <c r="D5043" s="85">
        <v>45297.0</v>
      </c>
      <c r="E5043" s="86">
        <v>4.36</v>
      </c>
      <c r="F5043" s="87">
        <v>5.08</v>
      </c>
      <c r="G5043" s="88">
        <f t="shared" si="1"/>
        <v>0.72</v>
      </c>
      <c r="H5043" s="89">
        <f t="shared" si="10"/>
        <v>0.1417322835</v>
      </c>
      <c r="I5043" s="78" t="s">
        <v>5870</v>
      </c>
      <c r="J5043" s="78" t="s">
        <v>69</v>
      </c>
      <c r="K5043" s="58">
        <f t="shared" si="14"/>
        <v>0</v>
      </c>
      <c r="L5043" s="91" t="str">
        <f t="shared" si="8"/>
        <v>Sat</v>
      </c>
      <c r="M5043" s="78" t="str">
        <f>IFERROR(VLOOKUP(A5043, Entries!A:B,2,false),"")</f>
        <v>Bethesda Softworks</v>
      </c>
      <c r="N5043" s="23" t="str">
        <f>IFERROR(VLOOKUP(A5043, Entries!A:K,11,false),"")</f>
        <v/>
      </c>
    </row>
    <row r="5044">
      <c r="A5044" s="78" t="s">
        <v>3897</v>
      </c>
      <c r="B5044" s="78" t="s">
        <v>27</v>
      </c>
      <c r="C5044" s="85">
        <v>45297.0</v>
      </c>
      <c r="D5044" s="85">
        <v>45297.0</v>
      </c>
      <c r="E5044" s="86">
        <v>4.36</v>
      </c>
      <c r="F5044" s="87">
        <v>5.08</v>
      </c>
      <c r="G5044" s="88">
        <f t="shared" si="1"/>
        <v>0.72</v>
      </c>
      <c r="H5044" s="89">
        <f t="shared" si="10"/>
        <v>0.1417322835</v>
      </c>
      <c r="I5044" s="78" t="s">
        <v>5871</v>
      </c>
      <c r="J5044" s="78" t="s">
        <v>69</v>
      </c>
      <c r="K5044" s="58">
        <f t="shared" si="14"/>
        <v>0</v>
      </c>
      <c r="L5044" s="91" t="str">
        <f t="shared" si="8"/>
        <v>Sat</v>
      </c>
      <c r="M5044" s="78" t="str">
        <f>IFERROR(VLOOKUP(A5044, Entries!A:B,2,false),"")</f>
        <v>Bethesda Softworks</v>
      </c>
      <c r="N5044" s="23" t="str">
        <f>IFERROR(VLOOKUP(A5044, Entries!A:K,11,false),"")</f>
        <v/>
      </c>
    </row>
    <row r="5045">
      <c r="A5045" s="78" t="s">
        <v>4085</v>
      </c>
      <c r="B5045" s="78" t="s">
        <v>27</v>
      </c>
      <c r="C5045" s="85">
        <v>45297.0</v>
      </c>
      <c r="D5045" s="85">
        <v>45297.0</v>
      </c>
      <c r="E5045" s="86">
        <v>6.29</v>
      </c>
      <c r="F5045" s="87">
        <v>7.69</v>
      </c>
      <c r="G5045" s="88">
        <f t="shared" si="1"/>
        <v>1.4</v>
      </c>
      <c r="H5045" s="89">
        <f t="shared" si="10"/>
        <v>0.1820546164</v>
      </c>
      <c r="I5045" s="78" t="s">
        <v>5872</v>
      </c>
      <c r="J5045" s="78" t="s">
        <v>69</v>
      </c>
      <c r="K5045" s="58">
        <f t="shared" si="14"/>
        <v>0</v>
      </c>
      <c r="L5045" s="91" t="str">
        <f t="shared" si="8"/>
        <v>Sat</v>
      </c>
      <c r="M5045" s="78" t="str">
        <f>IFERROR(VLOOKUP(A5045, Entries!A:B,2,false),"")</f>
        <v>Bethesda Softworks</v>
      </c>
      <c r="N5045" s="23" t="str">
        <f>IFERROR(VLOOKUP(A5045, Entries!A:K,11,false),"")</f>
        <v/>
      </c>
    </row>
    <row r="5046">
      <c r="A5046" s="78" t="s">
        <v>3897</v>
      </c>
      <c r="B5046" s="78" t="s">
        <v>27</v>
      </c>
      <c r="C5046" s="85">
        <v>45297.0</v>
      </c>
      <c r="D5046" s="85">
        <v>45298.0</v>
      </c>
      <c r="E5046" s="86">
        <v>4.39</v>
      </c>
      <c r="F5046" s="87">
        <v>5.08</v>
      </c>
      <c r="G5046" s="88">
        <f t="shared" si="1"/>
        <v>0.69</v>
      </c>
      <c r="H5046" s="89">
        <f t="shared" si="10"/>
        <v>0.1358267717</v>
      </c>
      <c r="I5046" s="78" t="s">
        <v>5873</v>
      </c>
      <c r="J5046" s="78" t="s">
        <v>69</v>
      </c>
      <c r="K5046" s="58">
        <f t="shared" si="14"/>
        <v>1</v>
      </c>
      <c r="L5046" s="91" t="str">
        <f t="shared" si="8"/>
        <v>Sun</v>
      </c>
      <c r="M5046" s="78" t="str">
        <f>IFERROR(VLOOKUP(A5046, Entries!A:B,2,false),"")</f>
        <v>Bethesda Softworks</v>
      </c>
      <c r="N5046" s="23" t="str">
        <f>IFERROR(VLOOKUP(A5046, Entries!A:K,11,false),"")</f>
        <v/>
      </c>
    </row>
    <row r="5047">
      <c r="A5047" s="78" t="s">
        <v>3897</v>
      </c>
      <c r="B5047" s="78" t="s">
        <v>27</v>
      </c>
      <c r="C5047" s="85">
        <v>45297.0</v>
      </c>
      <c r="D5047" s="85">
        <v>45298.0</v>
      </c>
      <c r="E5047" s="86">
        <v>4.39</v>
      </c>
      <c r="F5047" s="87">
        <v>5.08</v>
      </c>
      <c r="G5047" s="88">
        <f t="shared" si="1"/>
        <v>0.69</v>
      </c>
      <c r="H5047" s="89">
        <f t="shared" si="10"/>
        <v>0.1358267717</v>
      </c>
      <c r="I5047" s="78" t="s">
        <v>5874</v>
      </c>
      <c r="J5047" s="78" t="s">
        <v>69</v>
      </c>
      <c r="K5047" s="58">
        <f t="shared" si="14"/>
        <v>1</v>
      </c>
      <c r="L5047" s="91" t="str">
        <f t="shared" si="8"/>
        <v>Sun</v>
      </c>
      <c r="M5047" s="78" t="str">
        <f>IFERROR(VLOOKUP(A5047, Entries!A:B,2,false),"")</f>
        <v>Bethesda Softworks</v>
      </c>
      <c r="N5047" s="23" t="str">
        <f>IFERROR(VLOOKUP(A5047, Entries!A:K,11,false),"")</f>
        <v/>
      </c>
    </row>
    <row r="5048">
      <c r="A5048" s="78" t="s">
        <v>4085</v>
      </c>
      <c r="B5048" s="78" t="s">
        <v>27</v>
      </c>
      <c r="C5048" s="85">
        <v>45297.0</v>
      </c>
      <c r="D5048" s="85">
        <v>45318.0</v>
      </c>
      <c r="E5048" s="86">
        <v>6.29</v>
      </c>
      <c r="F5048" s="87">
        <v>7.59</v>
      </c>
      <c r="G5048" s="88">
        <f t="shared" si="1"/>
        <v>1.3</v>
      </c>
      <c r="H5048" s="89">
        <f t="shared" si="10"/>
        <v>0.1712779974</v>
      </c>
      <c r="I5048" s="78" t="s">
        <v>5875</v>
      </c>
      <c r="J5048" s="78" t="s">
        <v>69</v>
      </c>
      <c r="K5048" s="58">
        <f t="shared" si="14"/>
        <v>21</v>
      </c>
      <c r="L5048" s="91" t="str">
        <f t="shared" si="8"/>
        <v>Sat</v>
      </c>
      <c r="M5048" s="78" t="str">
        <f>IFERROR(VLOOKUP(A5048, Entries!A:B,2,false),"")</f>
        <v>Bethesda Softworks</v>
      </c>
      <c r="N5048" s="23" t="str">
        <f>IFERROR(VLOOKUP(A5048, Entries!A:K,11,false),"")</f>
        <v/>
      </c>
    </row>
    <row r="5049">
      <c r="A5049" s="78" t="s">
        <v>3897</v>
      </c>
      <c r="B5049" s="78" t="s">
        <v>27</v>
      </c>
      <c r="C5049" s="85">
        <v>45298.0</v>
      </c>
      <c r="D5049" s="85">
        <v>45298.0</v>
      </c>
      <c r="E5049" s="86">
        <v>4.36</v>
      </c>
      <c r="F5049" s="87">
        <v>5.08</v>
      </c>
      <c r="G5049" s="88">
        <f t="shared" si="1"/>
        <v>0.72</v>
      </c>
      <c r="H5049" s="89">
        <f t="shared" si="10"/>
        <v>0.1417322835</v>
      </c>
      <c r="I5049" s="78" t="s">
        <v>5876</v>
      </c>
      <c r="J5049" s="78" t="s">
        <v>69</v>
      </c>
      <c r="K5049" s="58">
        <f t="shared" si="14"/>
        <v>0</v>
      </c>
      <c r="L5049" s="91" t="str">
        <f t="shared" si="8"/>
        <v>Sun</v>
      </c>
      <c r="M5049" s="78" t="str">
        <f>IFERROR(VLOOKUP(A5049, Entries!A:B,2,false),"")</f>
        <v>Bethesda Softworks</v>
      </c>
      <c r="N5049" s="23" t="str">
        <f>IFERROR(VLOOKUP(A5049, Entries!A:K,11,false),"")</f>
        <v/>
      </c>
    </row>
    <row r="5050">
      <c r="A5050" s="78" t="s">
        <v>3897</v>
      </c>
      <c r="B5050" s="78" t="s">
        <v>27</v>
      </c>
      <c r="C5050" s="85">
        <v>45298.0</v>
      </c>
      <c r="D5050" s="85">
        <v>45298.0</v>
      </c>
      <c r="E5050" s="86">
        <v>4.36</v>
      </c>
      <c r="F5050" s="87">
        <v>5.08</v>
      </c>
      <c r="G5050" s="88">
        <f t="shared" si="1"/>
        <v>0.72</v>
      </c>
      <c r="H5050" s="89">
        <f t="shared" si="10"/>
        <v>0.1417322835</v>
      </c>
      <c r="I5050" s="78" t="s">
        <v>5877</v>
      </c>
      <c r="J5050" s="78" t="s">
        <v>69</v>
      </c>
      <c r="K5050" s="58">
        <f t="shared" si="14"/>
        <v>0</v>
      </c>
      <c r="L5050" s="91" t="str">
        <f t="shared" si="8"/>
        <v>Sun</v>
      </c>
      <c r="M5050" s="78" t="str">
        <f>IFERROR(VLOOKUP(A5050, Entries!A:B,2,false),"")</f>
        <v>Bethesda Softworks</v>
      </c>
      <c r="N5050" s="23" t="str">
        <f>IFERROR(VLOOKUP(A5050, Entries!A:K,11,false),"")</f>
        <v/>
      </c>
    </row>
    <row r="5051">
      <c r="A5051" s="78" t="s">
        <v>3897</v>
      </c>
      <c r="B5051" s="78" t="s">
        <v>27</v>
      </c>
      <c r="C5051" s="85">
        <v>45298.0</v>
      </c>
      <c r="D5051" s="85">
        <v>45301.0</v>
      </c>
      <c r="E5051" s="86">
        <v>4.36</v>
      </c>
      <c r="F5051" s="87">
        <v>5.07</v>
      </c>
      <c r="G5051" s="88">
        <f t="shared" si="1"/>
        <v>0.71</v>
      </c>
      <c r="H5051" s="89">
        <f t="shared" si="10"/>
        <v>0.1400394477</v>
      </c>
      <c r="I5051" s="78" t="s">
        <v>5878</v>
      </c>
      <c r="J5051" s="78" t="s">
        <v>69</v>
      </c>
      <c r="K5051" s="58">
        <f t="shared" si="14"/>
        <v>3</v>
      </c>
      <c r="L5051" s="91" t="str">
        <f t="shared" si="8"/>
        <v>Wed</v>
      </c>
      <c r="M5051" s="78" t="str">
        <f>IFERROR(VLOOKUP(A5051, Entries!A:B,2,false),"")</f>
        <v>Bethesda Softworks</v>
      </c>
      <c r="N5051" s="23" t="str">
        <f>IFERROR(VLOOKUP(A5051, Entries!A:K,11,false),"")</f>
        <v/>
      </c>
    </row>
    <row r="5052">
      <c r="A5052" s="78" t="s">
        <v>3771</v>
      </c>
      <c r="B5052" s="78" t="s">
        <v>27</v>
      </c>
      <c r="C5052" s="85">
        <v>45298.0</v>
      </c>
      <c r="D5052" s="85">
        <v>45308.0</v>
      </c>
      <c r="E5052" s="86">
        <v>9.79</v>
      </c>
      <c r="F5052" s="87">
        <v>11.16</v>
      </c>
      <c r="G5052" s="88">
        <f t="shared" si="1"/>
        <v>1.37</v>
      </c>
      <c r="H5052" s="89">
        <f t="shared" si="10"/>
        <v>0.1227598566</v>
      </c>
      <c r="I5052" s="78" t="s">
        <v>5879</v>
      </c>
      <c r="J5052" s="78" t="s">
        <v>69</v>
      </c>
      <c r="K5052" s="58">
        <f t="shared" si="14"/>
        <v>10</v>
      </c>
      <c r="L5052" s="91" t="str">
        <f t="shared" si="8"/>
        <v>Wed</v>
      </c>
      <c r="M5052" s="78" t="str">
        <f>IFERROR(VLOOKUP(A5052, Entries!A:B,2,false),"")</f>
        <v>Good Shepherd Entertainment</v>
      </c>
      <c r="N5052" s="23" t="str">
        <f>IFERROR(VLOOKUP(A5052, Entries!A:K,11,false),"")</f>
        <v/>
      </c>
    </row>
    <row r="5053">
      <c r="A5053" s="78" t="s">
        <v>3771</v>
      </c>
      <c r="B5053" s="78" t="s">
        <v>27</v>
      </c>
      <c r="C5053" s="85">
        <v>45298.0</v>
      </c>
      <c r="D5053" s="85">
        <v>45308.0</v>
      </c>
      <c r="E5053" s="86">
        <v>9.79</v>
      </c>
      <c r="F5053" s="87">
        <v>11.16</v>
      </c>
      <c r="G5053" s="88">
        <f t="shared" si="1"/>
        <v>1.37</v>
      </c>
      <c r="H5053" s="89">
        <f t="shared" si="10"/>
        <v>0.1227598566</v>
      </c>
      <c r="I5053" s="78" t="s">
        <v>5880</v>
      </c>
      <c r="J5053" s="78" t="s">
        <v>69</v>
      </c>
      <c r="K5053" s="58">
        <f t="shared" si="14"/>
        <v>10</v>
      </c>
      <c r="L5053" s="91" t="str">
        <f t="shared" si="8"/>
        <v>Wed</v>
      </c>
      <c r="M5053" s="78" t="str">
        <f>IFERROR(VLOOKUP(A5053, Entries!A:B,2,false),"")</f>
        <v>Good Shepherd Entertainment</v>
      </c>
      <c r="N5053" s="23" t="str">
        <f>IFERROR(VLOOKUP(A5053, Entries!A:K,11,false),"")</f>
        <v/>
      </c>
    </row>
    <row r="5054">
      <c r="A5054" s="78" t="s">
        <v>3897</v>
      </c>
      <c r="B5054" s="78" t="s">
        <v>27</v>
      </c>
      <c r="C5054" s="85">
        <v>45298.0</v>
      </c>
      <c r="D5054" s="85">
        <v>45301.0</v>
      </c>
      <c r="E5054" s="86">
        <v>4.36</v>
      </c>
      <c r="F5054" s="87">
        <v>5.07</v>
      </c>
      <c r="G5054" s="88">
        <f t="shared" si="1"/>
        <v>0.71</v>
      </c>
      <c r="H5054" s="89">
        <f t="shared" si="10"/>
        <v>0.1400394477</v>
      </c>
      <c r="I5054" s="78" t="s">
        <v>5881</v>
      </c>
      <c r="J5054" s="78" t="s">
        <v>69</v>
      </c>
      <c r="K5054" s="58">
        <f t="shared" si="14"/>
        <v>3</v>
      </c>
      <c r="L5054" s="91" t="str">
        <f t="shared" si="8"/>
        <v>Wed</v>
      </c>
      <c r="M5054" s="78" t="str">
        <f>IFERROR(VLOOKUP(A5054, Entries!A:B,2,false),"")</f>
        <v>Bethesda Softworks</v>
      </c>
      <c r="N5054" s="23" t="str">
        <f>IFERROR(VLOOKUP(A5054, Entries!A:K,11,false),"")</f>
        <v/>
      </c>
    </row>
    <row r="5055">
      <c r="A5055" s="78" t="s">
        <v>3897</v>
      </c>
      <c r="B5055" s="78" t="s">
        <v>27</v>
      </c>
      <c r="C5055" s="85">
        <v>45298.0</v>
      </c>
      <c r="D5055" s="85">
        <v>45301.0</v>
      </c>
      <c r="E5055" s="86">
        <v>4.36</v>
      </c>
      <c r="F5055" s="87">
        <v>5.07</v>
      </c>
      <c r="G5055" s="88">
        <f t="shared" si="1"/>
        <v>0.71</v>
      </c>
      <c r="H5055" s="89">
        <f t="shared" si="10"/>
        <v>0.1400394477</v>
      </c>
      <c r="I5055" s="78" t="s">
        <v>5882</v>
      </c>
      <c r="J5055" s="78" t="s">
        <v>69</v>
      </c>
      <c r="K5055" s="58">
        <f t="shared" si="14"/>
        <v>3</v>
      </c>
      <c r="L5055" s="91" t="str">
        <f t="shared" si="8"/>
        <v>Wed</v>
      </c>
      <c r="M5055" s="78" t="str">
        <f>IFERROR(VLOOKUP(A5055, Entries!A:B,2,false),"")</f>
        <v>Bethesda Softworks</v>
      </c>
      <c r="N5055" s="23" t="str">
        <f>IFERROR(VLOOKUP(A5055, Entries!A:K,11,false),"")</f>
        <v/>
      </c>
    </row>
    <row r="5056">
      <c r="A5056" s="78" t="s">
        <v>3897</v>
      </c>
      <c r="B5056" s="78" t="s">
        <v>27</v>
      </c>
      <c r="C5056" s="85">
        <v>45298.0</v>
      </c>
      <c r="D5056" s="85">
        <v>45301.0</v>
      </c>
      <c r="E5056" s="86">
        <v>4.36</v>
      </c>
      <c r="F5056" s="87">
        <v>5.09</v>
      </c>
      <c r="G5056" s="88">
        <f t="shared" si="1"/>
        <v>0.73</v>
      </c>
      <c r="H5056" s="89">
        <f t="shared" si="10"/>
        <v>0.1434184676</v>
      </c>
      <c r="I5056" s="78" t="s">
        <v>5883</v>
      </c>
      <c r="J5056" s="78" t="s">
        <v>69</v>
      </c>
      <c r="K5056" s="58">
        <f t="shared" si="14"/>
        <v>3</v>
      </c>
      <c r="L5056" s="91" t="str">
        <f t="shared" si="8"/>
        <v>Wed</v>
      </c>
      <c r="M5056" s="78" t="str">
        <f>IFERROR(VLOOKUP(A5056, Entries!A:B,2,false),"")</f>
        <v>Bethesda Softworks</v>
      </c>
      <c r="N5056" s="23" t="str">
        <f>IFERROR(VLOOKUP(A5056, Entries!A:K,11,false),"")</f>
        <v/>
      </c>
    </row>
    <row r="5057">
      <c r="A5057" s="78" t="s">
        <v>1909</v>
      </c>
      <c r="B5057" s="78" t="s">
        <v>22</v>
      </c>
      <c r="C5057" s="85">
        <v>45298.0</v>
      </c>
      <c r="D5057" s="85">
        <v>45298.0</v>
      </c>
      <c r="E5057" s="86">
        <v>2.87</v>
      </c>
      <c r="F5057" s="87">
        <v>3.93</v>
      </c>
      <c r="G5057" s="88">
        <f t="shared" si="1"/>
        <v>1.06</v>
      </c>
      <c r="H5057" s="89">
        <f t="shared" si="10"/>
        <v>0.2697201018</v>
      </c>
      <c r="I5057" s="78" t="s">
        <v>5884</v>
      </c>
      <c r="J5057" s="78" t="s">
        <v>69</v>
      </c>
      <c r="K5057" s="58">
        <f t="shared" si="14"/>
        <v>0</v>
      </c>
      <c r="L5057" s="91" t="str">
        <f t="shared" si="8"/>
        <v>Sun</v>
      </c>
      <c r="M5057" s="78" t="str">
        <f>IFERROR(VLOOKUP(A5057, Entries!A:B,2,false),"")</f>
        <v>PlayWay</v>
      </c>
      <c r="N5057" s="23" t="str">
        <f>IFERROR(VLOOKUP(A5057, Entries!A:K,11,false),"")</f>
        <v/>
      </c>
    </row>
    <row r="5058">
      <c r="A5058" s="78" t="s">
        <v>1909</v>
      </c>
      <c r="B5058" s="78" t="s">
        <v>22</v>
      </c>
      <c r="C5058" s="85">
        <v>45298.0</v>
      </c>
      <c r="D5058" s="85">
        <v>45301.0</v>
      </c>
      <c r="E5058" s="86">
        <v>2.87</v>
      </c>
      <c r="F5058" s="87">
        <v>3.93</v>
      </c>
      <c r="G5058" s="88">
        <f t="shared" si="1"/>
        <v>1.06</v>
      </c>
      <c r="H5058" s="89">
        <f t="shared" si="10"/>
        <v>0.2697201018</v>
      </c>
      <c r="I5058" s="78" t="s">
        <v>5885</v>
      </c>
      <c r="J5058" s="78" t="s">
        <v>69</v>
      </c>
      <c r="K5058" s="58">
        <f t="shared" si="14"/>
        <v>3</v>
      </c>
      <c r="L5058" s="91" t="str">
        <f t="shared" si="8"/>
        <v>Wed</v>
      </c>
      <c r="M5058" s="78" t="str">
        <f>IFERROR(VLOOKUP(A5058, Entries!A:B,2,false),"")</f>
        <v>PlayWay</v>
      </c>
      <c r="N5058" s="23" t="str">
        <f>IFERROR(VLOOKUP(A5058, Entries!A:K,11,false),"")</f>
        <v/>
      </c>
    </row>
    <row r="5059">
      <c r="A5059" s="78" t="s">
        <v>1909</v>
      </c>
      <c r="B5059" s="78" t="s">
        <v>22</v>
      </c>
      <c r="C5059" s="85">
        <v>45298.0</v>
      </c>
      <c r="D5059" s="85">
        <v>45307.0</v>
      </c>
      <c r="E5059" s="86">
        <v>2.88</v>
      </c>
      <c r="F5059" s="87">
        <v>3.84</v>
      </c>
      <c r="G5059" s="88">
        <f t="shared" si="1"/>
        <v>0.96</v>
      </c>
      <c r="H5059" s="89">
        <f t="shared" si="10"/>
        <v>0.25</v>
      </c>
      <c r="I5059" s="78" t="s">
        <v>5886</v>
      </c>
      <c r="J5059" s="78" t="s">
        <v>69</v>
      </c>
      <c r="K5059" s="58">
        <f t="shared" si="14"/>
        <v>9</v>
      </c>
      <c r="L5059" s="91" t="str">
        <f t="shared" si="8"/>
        <v>Tue</v>
      </c>
      <c r="M5059" s="78" t="str">
        <f>IFERROR(VLOOKUP(A5059, Entries!A:B,2,false),"")</f>
        <v>PlayWay</v>
      </c>
      <c r="N5059" s="23" t="str">
        <f>IFERROR(VLOOKUP(A5059, Entries!A:K,11,false),"")</f>
        <v/>
      </c>
    </row>
    <row r="5060">
      <c r="A5060" s="78" t="s">
        <v>3897</v>
      </c>
      <c r="B5060" s="78" t="s">
        <v>27</v>
      </c>
      <c r="C5060" s="85">
        <v>45301.0</v>
      </c>
      <c r="D5060" s="85">
        <v>45302.0</v>
      </c>
      <c r="E5060" s="86">
        <v>4.27</v>
      </c>
      <c r="F5060" s="87">
        <v>5.09</v>
      </c>
      <c r="G5060" s="88">
        <f t="shared" si="1"/>
        <v>0.82</v>
      </c>
      <c r="H5060" s="89">
        <f t="shared" si="10"/>
        <v>0.1611001965</v>
      </c>
      <c r="I5060" s="78" t="s">
        <v>5887</v>
      </c>
      <c r="J5060" s="78" t="s">
        <v>69</v>
      </c>
      <c r="K5060" s="58">
        <f t="shared" si="14"/>
        <v>1</v>
      </c>
      <c r="L5060" s="91" t="str">
        <f t="shared" si="8"/>
        <v>Thu</v>
      </c>
      <c r="M5060" s="78" t="str">
        <f>IFERROR(VLOOKUP(A5060, Entries!A:B,2,false),"")</f>
        <v>Bethesda Softworks</v>
      </c>
      <c r="N5060" s="23" t="str">
        <f>IFERROR(VLOOKUP(A5060, Entries!A:K,11,false),"")</f>
        <v/>
      </c>
    </row>
    <row r="5061">
      <c r="A5061" s="78" t="s">
        <v>3897</v>
      </c>
      <c r="B5061" s="78" t="s">
        <v>27</v>
      </c>
      <c r="C5061" s="85">
        <v>45301.0</v>
      </c>
      <c r="D5061" s="85">
        <v>45302.0</v>
      </c>
      <c r="E5061" s="86">
        <v>4.27</v>
      </c>
      <c r="F5061" s="87">
        <v>5.08</v>
      </c>
      <c r="G5061" s="88">
        <f t="shared" si="1"/>
        <v>0.81</v>
      </c>
      <c r="H5061" s="89">
        <f t="shared" si="10"/>
        <v>0.1594488189</v>
      </c>
      <c r="I5061" s="78" t="s">
        <v>5888</v>
      </c>
      <c r="J5061" s="78" t="s">
        <v>69</v>
      </c>
      <c r="K5061" s="58">
        <f t="shared" si="14"/>
        <v>1</v>
      </c>
      <c r="L5061" s="91" t="str">
        <f t="shared" si="8"/>
        <v>Thu</v>
      </c>
      <c r="M5061" s="78" t="str">
        <f>IFERROR(VLOOKUP(A5061, Entries!A:B,2,false),"")</f>
        <v>Bethesda Softworks</v>
      </c>
      <c r="N5061" s="23" t="str">
        <f>IFERROR(VLOOKUP(A5061, Entries!A:K,11,false),"")</f>
        <v/>
      </c>
    </row>
    <row r="5062">
      <c r="A5062" s="78" t="s">
        <v>4064</v>
      </c>
      <c r="B5062" s="78" t="s">
        <v>21</v>
      </c>
      <c r="C5062" s="85">
        <v>45302.0</v>
      </c>
      <c r="D5062" s="85">
        <v>45347.0</v>
      </c>
      <c r="E5062" s="86">
        <v>15.3</v>
      </c>
      <c r="F5062" s="87">
        <v>17.77</v>
      </c>
      <c r="G5062" s="88">
        <f t="shared" si="1"/>
        <v>2.47</v>
      </c>
      <c r="H5062" s="89">
        <f t="shared" si="10"/>
        <v>0.1389983118</v>
      </c>
      <c r="I5062" s="78" t="s">
        <v>5889</v>
      </c>
      <c r="J5062" s="78" t="s">
        <v>69</v>
      </c>
      <c r="K5062" s="58">
        <f t="shared" si="14"/>
        <v>45</v>
      </c>
      <c r="L5062" s="91" t="str">
        <f t="shared" si="8"/>
        <v>Sun</v>
      </c>
      <c r="M5062" s="78" t="str">
        <f>IFERROR(VLOOKUP(A5062, Entries!A:B,2,false),"")</f>
        <v>WanadevStudio</v>
      </c>
      <c r="N5062" s="23" t="str">
        <f>IFERROR(VLOOKUP(A5062, Entries!A:K,11,false),"")</f>
        <v/>
      </c>
    </row>
    <row r="5063">
      <c r="A5063" s="78" t="s">
        <v>3897</v>
      </c>
      <c r="B5063" s="78" t="s">
        <v>27</v>
      </c>
      <c r="C5063" s="85">
        <v>45302.0</v>
      </c>
      <c r="D5063" s="85">
        <v>45308.0</v>
      </c>
      <c r="E5063" s="86">
        <v>4.39</v>
      </c>
      <c r="F5063" s="87">
        <v>5.27</v>
      </c>
      <c r="G5063" s="88">
        <f t="shared" si="1"/>
        <v>0.88</v>
      </c>
      <c r="H5063" s="89">
        <f t="shared" si="10"/>
        <v>0.1669829222</v>
      </c>
      <c r="I5063" s="78" t="s">
        <v>5890</v>
      </c>
      <c r="J5063" s="78" t="s">
        <v>69</v>
      </c>
      <c r="K5063" s="58">
        <f t="shared" si="14"/>
        <v>6</v>
      </c>
      <c r="L5063" s="91" t="str">
        <f t="shared" si="8"/>
        <v>Wed</v>
      </c>
      <c r="M5063" s="78" t="str">
        <f>IFERROR(VLOOKUP(A5063, Entries!A:B,2,false),"")</f>
        <v>Bethesda Softworks</v>
      </c>
      <c r="N5063" s="23" t="str">
        <f>IFERROR(VLOOKUP(A5063, Entries!A:K,11,false),"")</f>
        <v/>
      </c>
    </row>
    <row r="5064">
      <c r="A5064" s="78" t="s">
        <v>3897</v>
      </c>
      <c r="B5064" s="78" t="s">
        <v>27</v>
      </c>
      <c r="C5064" s="85">
        <v>45302.0</v>
      </c>
      <c r="D5064" s="85">
        <v>45309.0</v>
      </c>
      <c r="E5064" s="86">
        <v>4.39</v>
      </c>
      <c r="F5064" s="87">
        <v>5.26</v>
      </c>
      <c r="G5064" s="88">
        <f t="shared" si="1"/>
        <v>0.87</v>
      </c>
      <c r="H5064" s="89">
        <f t="shared" si="10"/>
        <v>0.1653992395</v>
      </c>
      <c r="I5064" s="78" t="s">
        <v>5891</v>
      </c>
      <c r="J5064" s="78" t="s">
        <v>69</v>
      </c>
      <c r="K5064" s="58">
        <f t="shared" si="14"/>
        <v>7</v>
      </c>
      <c r="L5064" s="91" t="str">
        <f t="shared" si="8"/>
        <v>Thu</v>
      </c>
      <c r="M5064" s="78" t="str">
        <f>IFERROR(VLOOKUP(A5064, Entries!A:B,2,false),"")</f>
        <v>Bethesda Softworks</v>
      </c>
      <c r="N5064" s="23" t="str">
        <f>IFERROR(VLOOKUP(A5064, Entries!A:K,11,false),"")</f>
        <v/>
      </c>
    </row>
    <row r="5065">
      <c r="A5065" s="78" t="s">
        <v>4096</v>
      </c>
      <c r="B5065" s="78" t="s">
        <v>25</v>
      </c>
      <c r="C5065" s="85">
        <v>45303.0</v>
      </c>
      <c r="D5065" s="85">
        <v>45312.0</v>
      </c>
      <c r="E5065" s="86">
        <v>24.48</v>
      </c>
      <c r="F5065" s="87">
        <v>26.85</v>
      </c>
      <c r="G5065" s="88">
        <f t="shared" si="1"/>
        <v>2.37</v>
      </c>
      <c r="H5065" s="89">
        <f t="shared" si="10"/>
        <v>0.08826815642</v>
      </c>
      <c r="I5065" s="78" t="s">
        <v>5892</v>
      </c>
      <c r="J5065" s="78" t="s">
        <v>69</v>
      </c>
      <c r="K5065" s="58">
        <f t="shared" si="14"/>
        <v>9</v>
      </c>
      <c r="L5065" s="91" t="str">
        <f t="shared" si="8"/>
        <v>Sun</v>
      </c>
      <c r="M5065" s="78" t="str">
        <f>IFERROR(VLOOKUP(A5065, Entries!A:B,2,false),"")</f>
        <v>Crate Entertainment</v>
      </c>
      <c r="N5065" s="23" t="str">
        <f>IFERROR(VLOOKUP(A5065, Entries!A:K,11,false),"")</f>
        <v/>
      </c>
    </row>
    <row r="5066">
      <c r="A5066" s="78" t="s">
        <v>3804</v>
      </c>
      <c r="B5066" s="78" t="s">
        <v>25</v>
      </c>
      <c r="C5066" s="85">
        <v>45303.0</v>
      </c>
      <c r="D5066" s="85">
        <v>45307.0</v>
      </c>
      <c r="E5066" s="86">
        <v>5.65</v>
      </c>
      <c r="F5066" s="87">
        <v>13.36</v>
      </c>
      <c r="G5066" s="88">
        <f t="shared" si="1"/>
        <v>7.71</v>
      </c>
      <c r="H5066" s="89">
        <f t="shared" si="10"/>
        <v>0.5770958084</v>
      </c>
      <c r="I5066" s="78" t="s">
        <v>5893</v>
      </c>
      <c r="J5066" s="78" t="s">
        <v>69</v>
      </c>
      <c r="K5066" s="58">
        <f t="shared" si="14"/>
        <v>4</v>
      </c>
      <c r="L5066" s="91" t="str">
        <f t="shared" si="8"/>
        <v>Tue</v>
      </c>
      <c r="M5066" s="78" t="str">
        <f>IFERROR(VLOOKUP(A5066, Entries!A:B,2,false),"")</f>
        <v>Ocean Drive Studio</v>
      </c>
      <c r="N5066" s="23" t="str">
        <f>IFERROR(VLOOKUP(A5066, Entries!A:K,11,false),"")</f>
        <v/>
      </c>
    </row>
    <row r="5067">
      <c r="A5067" s="78" t="s">
        <v>5894</v>
      </c>
      <c r="B5067" s="78" t="s">
        <v>27</v>
      </c>
      <c r="C5067" s="85">
        <v>45303.0</v>
      </c>
      <c r="D5067" s="85">
        <v>45303.0</v>
      </c>
      <c r="E5067" s="86">
        <v>13.61</v>
      </c>
      <c r="F5067" s="87">
        <v>15.82</v>
      </c>
      <c r="G5067" s="88">
        <f t="shared" si="1"/>
        <v>2.21</v>
      </c>
      <c r="H5067" s="89">
        <f t="shared" si="10"/>
        <v>0.1396965866</v>
      </c>
      <c r="I5067" s="78" t="s">
        <v>5895</v>
      </c>
      <c r="J5067" s="78" t="s">
        <v>69</v>
      </c>
      <c r="K5067" s="58">
        <f t="shared" si="14"/>
        <v>0</v>
      </c>
      <c r="L5067" s="91" t="str">
        <f t="shared" si="8"/>
        <v>Fri</v>
      </c>
      <c r="M5067" s="78" t="str">
        <f>IFERROR(VLOOKUP(A5067, Entries!A:B,2,false),"")</f>
        <v>Devolver Digital</v>
      </c>
      <c r="N5067" s="23" t="str">
        <f>IFERROR(VLOOKUP(A5067, Entries!A:K,11,false),"")</f>
        <v/>
      </c>
    </row>
    <row r="5068">
      <c r="A5068" s="94" t="s">
        <v>5894</v>
      </c>
      <c r="B5068" s="78" t="s">
        <v>27</v>
      </c>
      <c r="C5068" s="85">
        <v>45304.0</v>
      </c>
      <c r="D5068" s="85">
        <v>45452.0</v>
      </c>
      <c r="E5068" s="86">
        <v>13.79</v>
      </c>
      <c r="F5068" s="87">
        <v>14.31</v>
      </c>
      <c r="G5068" s="88">
        <f t="shared" si="1"/>
        <v>0.52</v>
      </c>
      <c r="H5068" s="89">
        <f t="shared" si="10"/>
        <v>0.03633822502</v>
      </c>
      <c r="I5068" s="78" t="s">
        <v>5896</v>
      </c>
      <c r="J5068" s="78" t="s">
        <v>69</v>
      </c>
      <c r="K5068" s="58">
        <f t="shared" si="14"/>
        <v>148</v>
      </c>
      <c r="L5068" s="91" t="str">
        <f t="shared" si="8"/>
        <v>Sun</v>
      </c>
      <c r="M5068" s="78" t="str">
        <f>IFERROR(VLOOKUP(A5068, Entries!A:B,2,false),"")</f>
        <v>Devolver Digital</v>
      </c>
      <c r="N5068" s="23" t="str">
        <f>IFERROR(VLOOKUP(A5068, Entries!A:K,11,false),"")</f>
        <v/>
      </c>
    </row>
    <row r="5069">
      <c r="A5069" s="78" t="s">
        <v>4584</v>
      </c>
      <c r="B5069" s="78" t="s">
        <v>27</v>
      </c>
      <c r="C5069" s="85">
        <v>45306.0</v>
      </c>
      <c r="D5069" s="25"/>
      <c r="E5069" s="86">
        <v>10.81</v>
      </c>
      <c r="F5069" s="88"/>
      <c r="G5069" s="88">
        <f t="shared" si="1"/>
        <v>-10.81</v>
      </c>
      <c r="H5069" s="89" t="str">
        <f t="shared" si="10"/>
        <v/>
      </c>
      <c r="I5069" s="103" t="s">
        <v>5897</v>
      </c>
      <c r="J5069" s="78" t="s">
        <v>1129</v>
      </c>
      <c r="K5069" s="58" t="str">
        <f t="shared" si="14"/>
        <v/>
      </c>
      <c r="L5069" s="91" t="str">
        <f t="shared" si="8"/>
        <v/>
      </c>
      <c r="M5069" s="78" t="str">
        <f>IFERROR(VLOOKUP(A5069, Entries!A:B,2,false),"")</f>
        <v>Devolver Digital</v>
      </c>
      <c r="N5069" s="23" t="str">
        <f>IFERROR(VLOOKUP(A5069, Entries!A:K,11,false),"")</f>
        <v/>
      </c>
    </row>
    <row r="5070">
      <c r="A5070" s="78" t="s">
        <v>1336</v>
      </c>
      <c r="B5070" s="78" t="s">
        <v>17</v>
      </c>
      <c r="C5070" s="85">
        <v>45306.0</v>
      </c>
      <c r="D5070" s="85">
        <v>45306.0</v>
      </c>
      <c r="E5070" s="86">
        <v>15.24</v>
      </c>
      <c r="F5070" s="87">
        <v>24.12</v>
      </c>
      <c r="G5070" s="88">
        <f t="shared" si="1"/>
        <v>8.88</v>
      </c>
      <c r="H5070" s="89">
        <f t="shared" si="10"/>
        <v>0.368159204</v>
      </c>
      <c r="I5070" s="78" t="s">
        <v>5898</v>
      </c>
      <c r="J5070" s="78" t="s">
        <v>69</v>
      </c>
      <c r="K5070" s="58">
        <f t="shared" si="14"/>
        <v>0</v>
      </c>
      <c r="L5070" s="91" t="str">
        <f t="shared" si="8"/>
        <v>Mon</v>
      </c>
      <c r="M5070" s="78" t="str">
        <f>IFERROR(VLOOKUP(A5070, Entries!A:B,2,false),"")</f>
        <v>Team17 Digital</v>
      </c>
      <c r="N5070" s="23" t="str">
        <f>IFERROR(VLOOKUP(A5070, Entries!A:K,11,false),"")</f>
        <v/>
      </c>
      <c r="P5070" s="78" t="s">
        <v>5899</v>
      </c>
    </row>
    <row r="5071">
      <c r="A5071" s="78" t="s">
        <v>1336</v>
      </c>
      <c r="B5071" s="78" t="s">
        <v>17</v>
      </c>
      <c r="C5071" s="85">
        <v>45306.0</v>
      </c>
      <c r="D5071" s="85">
        <v>45308.0</v>
      </c>
      <c r="E5071" s="86">
        <v>15.24</v>
      </c>
      <c r="F5071" s="87">
        <v>22.97</v>
      </c>
      <c r="G5071" s="88">
        <f t="shared" si="1"/>
        <v>7.73</v>
      </c>
      <c r="H5071" s="89">
        <f t="shared" si="10"/>
        <v>0.3365259034</v>
      </c>
      <c r="I5071" s="78" t="s">
        <v>5900</v>
      </c>
      <c r="J5071" s="78" t="s">
        <v>69</v>
      </c>
      <c r="K5071" s="58">
        <f t="shared" si="14"/>
        <v>2</v>
      </c>
      <c r="L5071" s="91" t="str">
        <f t="shared" si="8"/>
        <v>Wed</v>
      </c>
      <c r="M5071" s="78" t="str">
        <f>IFERROR(VLOOKUP(A5071, Entries!A:B,2,false),"")</f>
        <v>Team17 Digital</v>
      </c>
      <c r="N5071" s="23" t="str">
        <f>IFERROR(VLOOKUP(A5071, Entries!A:K,11,false),"")</f>
        <v/>
      </c>
    </row>
    <row r="5072">
      <c r="A5072" s="78" t="s">
        <v>2467</v>
      </c>
      <c r="B5072" s="78" t="s">
        <v>27</v>
      </c>
      <c r="C5072" s="85">
        <v>45307.0</v>
      </c>
      <c r="D5072" s="85">
        <v>45761.0</v>
      </c>
      <c r="E5072" s="86">
        <v>17.1</v>
      </c>
      <c r="F5072" s="87">
        <v>18.43</v>
      </c>
      <c r="G5072" s="88">
        <f t="shared" si="1"/>
        <v>1.33</v>
      </c>
      <c r="H5072" s="89">
        <f t="shared" si="10"/>
        <v>0.07216494845</v>
      </c>
      <c r="I5072" s="103" t="s">
        <v>5901</v>
      </c>
      <c r="J5072" s="78" t="s">
        <v>69</v>
      </c>
      <c r="K5072" s="58">
        <f t="shared" si="14"/>
        <v>454</v>
      </c>
      <c r="L5072" s="91" t="str">
        <f t="shared" si="8"/>
        <v>Mon</v>
      </c>
      <c r="M5072" s="78" t="str">
        <f>IFERROR(VLOOKUP(A5072, Entries!A:B,2,false),"")</f>
        <v>Saber Interactive</v>
      </c>
      <c r="N5072" s="23" t="str">
        <f>IFERROR(VLOOKUP(A5072, Entries!A:K,11,false),"")</f>
        <v/>
      </c>
    </row>
    <row r="5073">
      <c r="A5073" s="78" t="s">
        <v>1909</v>
      </c>
      <c r="B5073" s="78" t="s">
        <v>23</v>
      </c>
      <c r="C5073" s="85">
        <v>45307.0</v>
      </c>
      <c r="D5073" s="85">
        <v>45331.0</v>
      </c>
      <c r="E5073" s="86">
        <v>2.95</v>
      </c>
      <c r="F5073" s="87">
        <v>3.62</v>
      </c>
      <c r="G5073" s="88">
        <f t="shared" si="1"/>
        <v>0.67</v>
      </c>
      <c r="H5073" s="89">
        <f t="shared" si="10"/>
        <v>0.1850828729</v>
      </c>
      <c r="I5073" s="78" t="s">
        <v>5902</v>
      </c>
      <c r="J5073" s="78" t="s">
        <v>69</v>
      </c>
      <c r="K5073" s="58">
        <f t="shared" si="14"/>
        <v>24</v>
      </c>
      <c r="L5073" s="91" t="str">
        <f t="shared" si="8"/>
        <v>Fri</v>
      </c>
      <c r="M5073" s="78" t="str">
        <f>IFERROR(VLOOKUP(A5073, Entries!A:B,2,false),"")</f>
        <v>PlayWay</v>
      </c>
      <c r="N5073" s="23" t="str">
        <f>IFERROR(VLOOKUP(A5073, Entries!A:K,11,false),"")</f>
        <v/>
      </c>
    </row>
    <row r="5074">
      <c r="A5074" s="94" t="s">
        <v>5476</v>
      </c>
      <c r="B5074" s="78" t="s">
        <v>25</v>
      </c>
      <c r="C5074" s="85">
        <v>45307.0</v>
      </c>
      <c r="D5074" s="85">
        <v>45457.0</v>
      </c>
      <c r="E5074" s="86">
        <v>15.99</v>
      </c>
      <c r="F5074" s="87">
        <v>17.71</v>
      </c>
      <c r="G5074" s="88">
        <f t="shared" si="1"/>
        <v>1.72</v>
      </c>
      <c r="H5074" s="89">
        <f t="shared" si="10"/>
        <v>0.09712027103</v>
      </c>
      <c r="I5074" s="78" t="s">
        <v>5903</v>
      </c>
      <c r="J5074" s="78" t="s">
        <v>69</v>
      </c>
      <c r="K5074" s="58">
        <f t="shared" si="14"/>
        <v>150</v>
      </c>
      <c r="L5074" s="91" t="str">
        <f t="shared" si="8"/>
        <v>Fri</v>
      </c>
      <c r="M5074" s="78" t="str">
        <f>IFERROR(VLOOKUP(A5074, Entries!A:B,2,false),"")</f>
        <v>Humble Games</v>
      </c>
      <c r="N5074" s="23" t="str">
        <f>IFERROR(VLOOKUP(A5074, Entries!A:K,11,false),"")</f>
        <v/>
      </c>
    </row>
    <row r="5075">
      <c r="A5075" s="78" t="s">
        <v>3804</v>
      </c>
      <c r="B5075" s="78" t="s">
        <v>25</v>
      </c>
      <c r="C5075" s="85">
        <v>45307.0</v>
      </c>
      <c r="D5075" s="85">
        <v>45310.0</v>
      </c>
      <c r="E5075" s="86">
        <v>5.65</v>
      </c>
      <c r="F5075" s="87">
        <v>13.36</v>
      </c>
      <c r="G5075" s="88">
        <f t="shared" si="1"/>
        <v>7.71</v>
      </c>
      <c r="H5075" s="89">
        <f t="shared" si="10"/>
        <v>0.5770958084</v>
      </c>
      <c r="I5075" s="78" t="s">
        <v>5904</v>
      </c>
      <c r="J5075" s="78" t="s">
        <v>69</v>
      </c>
      <c r="K5075" s="58">
        <f t="shared" si="14"/>
        <v>3</v>
      </c>
      <c r="L5075" s="91" t="str">
        <f t="shared" si="8"/>
        <v>Fri</v>
      </c>
      <c r="M5075" s="78" t="str">
        <f>IFERROR(VLOOKUP(A5075, Entries!A:B,2,false),"")</f>
        <v>Ocean Drive Studio</v>
      </c>
      <c r="N5075" s="23" t="str">
        <f>IFERROR(VLOOKUP(A5075, Entries!A:K,11,false),"")</f>
        <v/>
      </c>
    </row>
    <row r="5076">
      <c r="A5076" s="78" t="s">
        <v>5676</v>
      </c>
      <c r="B5076" s="78" t="s">
        <v>21</v>
      </c>
      <c r="C5076" s="85">
        <v>45307.0</v>
      </c>
      <c r="D5076" s="85">
        <v>45307.0</v>
      </c>
      <c r="E5076" s="86">
        <v>36.9</v>
      </c>
      <c r="F5076" s="87">
        <v>42.87</v>
      </c>
      <c r="G5076" s="88">
        <f t="shared" si="1"/>
        <v>5.97</v>
      </c>
      <c r="H5076" s="89">
        <f t="shared" si="10"/>
        <v>0.1392582225</v>
      </c>
      <c r="I5076" s="78" t="s">
        <v>5905</v>
      </c>
      <c r="J5076" s="78" t="s">
        <v>69</v>
      </c>
      <c r="K5076" s="58">
        <f t="shared" si="14"/>
        <v>0</v>
      </c>
      <c r="L5076" s="91" t="str">
        <f t="shared" si="8"/>
        <v>Tue</v>
      </c>
      <c r="M5076" s="78" t="str">
        <f>IFERROR(VLOOKUP(A5076, Entries!A:B,2,false),"")</f>
        <v>Bethesda Softworks</v>
      </c>
      <c r="N5076" s="23" t="str">
        <f>IFERROR(VLOOKUP(A5076, Entries!A:K,11,false),"")</f>
        <v/>
      </c>
    </row>
    <row r="5077">
      <c r="A5077" s="78" t="s">
        <v>3691</v>
      </c>
      <c r="B5077" s="78" t="s">
        <v>27</v>
      </c>
      <c r="C5077" s="85">
        <v>45307.0</v>
      </c>
      <c r="D5077" s="85">
        <v>45309.0</v>
      </c>
      <c r="E5077" s="86">
        <v>3.26</v>
      </c>
      <c r="F5077" s="87">
        <v>4.43</v>
      </c>
      <c r="G5077" s="88">
        <f t="shared" si="1"/>
        <v>1.17</v>
      </c>
      <c r="H5077" s="89">
        <f t="shared" si="10"/>
        <v>0.2641083521</v>
      </c>
      <c r="I5077" s="78" t="s">
        <v>5906</v>
      </c>
      <c r="J5077" s="78" t="s">
        <v>69</v>
      </c>
      <c r="K5077" s="58">
        <f t="shared" si="14"/>
        <v>2</v>
      </c>
      <c r="L5077" s="91" t="str">
        <f t="shared" si="8"/>
        <v>Thu</v>
      </c>
      <c r="M5077" s="78" t="str">
        <f>IFERROR(VLOOKUP(A5077, Entries!A:B,2,false),"")</f>
        <v>Klei Entertainment</v>
      </c>
      <c r="N5077" s="23" t="str">
        <f>IFERROR(VLOOKUP(A5077, Entries!A:K,11,false),"")</f>
        <v/>
      </c>
    </row>
    <row r="5078">
      <c r="A5078" s="78" t="s">
        <v>5676</v>
      </c>
      <c r="B5078" s="78" t="s">
        <v>27</v>
      </c>
      <c r="C5078" s="85">
        <v>45307.0</v>
      </c>
      <c r="D5078" s="85">
        <v>45329.0</v>
      </c>
      <c r="E5078" s="86">
        <v>39.89</v>
      </c>
      <c r="F5078" s="87">
        <v>44.9</v>
      </c>
      <c r="G5078" s="88">
        <f t="shared" si="1"/>
        <v>5.01</v>
      </c>
      <c r="H5078" s="89">
        <f t="shared" si="10"/>
        <v>0.1115812918</v>
      </c>
      <c r="I5078" s="78" t="s">
        <v>5907</v>
      </c>
      <c r="J5078" s="78" t="s">
        <v>69</v>
      </c>
      <c r="K5078" s="58">
        <f t="shared" si="14"/>
        <v>22</v>
      </c>
      <c r="L5078" s="91" t="str">
        <f t="shared" si="8"/>
        <v>Wed</v>
      </c>
      <c r="M5078" s="78" t="str">
        <f>IFERROR(VLOOKUP(A5078, Entries!A:B,2,false),"")</f>
        <v>Bethesda Softworks</v>
      </c>
      <c r="N5078" s="23" t="str">
        <f>IFERROR(VLOOKUP(A5078, Entries!A:K,11,false),"")</f>
        <v/>
      </c>
    </row>
    <row r="5079">
      <c r="A5079" s="78" t="s">
        <v>5908</v>
      </c>
      <c r="B5079" s="78" t="s">
        <v>25</v>
      </c>
      <c r="C5079" s="85">
        <v>45307.0</v>
      </c>
      <c r="D5079" s="85">
        <v>45310.0</v>
      </c>
      <c r="E5079" s="86">
        <v>0.0</v>
      </c>
      <c r="F5079" s="87">
        <v>0.15</v>
      </c>
      <c r="G5079" s="88">
        <f t="shared" si="1"/>
        <v>0.15</v>
      </c>
      <c r="H5079" s="89">
        <f t="shared" si="10"/>
        <v>1</v>
      </c>
      <c r="I5079" s="78" t="s">
        <v>5909</v>
      </c>
      <c r="J5079" s="78" t="s">
        <v>69</v>
      </c>
      <c r="K5079" s="58">
        <f t="shared" si="14"/>
        <v>3</v>
      </c>
      <c r="L5079" s="91" t="str">
        <f t="shared" si="8"/>
        <v>Fri</v>
      </c>
      <c r="M5079" s="78" t="str">
        <f>IFERROR(VLOOKUP(A5079, Entries!A:B,2,false),"")</f>
        <v/>
      </c>
      <c r="N5079" s="23" t="str">
        <f>IFERROR(VLOOKUP(A5079, Entries!A:K,11,false),"")</f>
        <v/>
      </c>
    </row>
    <row r="5080">
      <c r="A5080" s="78" t="s">
        <v>1336</v>
      </c>
      <c r="B5080" s="78" t="s">
        <v>17</v>
      </c>
      <c r="C5080" s="85">
        <v>45308.0</v>
      </c>
      <c r="D5080" s="85">
        <v>45309.0</v>
      </c>
      <c r="E5080" s="86">
        <v>15.35</v>
      </c>
      <c r="F5080" s="87">
        <v>26.7</v>
      </c>
      <c r="G5080" s="88">
        <f t="shared" si="1"/>
        <v>11.35</v>
      </c>
      <c r="H5080" s="89">
        <f t="shared" si="10"/>
        <v>0.425093633</v>
      </c>
      <c r="I5080" s="78" t="s">
        <v>5910</v>
      </c>
      <c r="J5080" s="78" t="s">
        <v>69</v>
      </c>
      <c r="K5080" s="58">
        <f t="shared" si="14"/>
        <v>1</v>
      </c>
      <c r="L5080" s="91" t="str">
        <f t="shared" si="8"/>
        <v>Thu</v>
      </c>
      <c r="M5080" s="78" t="str">
        <f>IFERROR(VLOOKUP(A5080, Entries!A:B,2,false),"")</f>
        <v>Team17 Digital</v>
      </c>
      <c r="N5080" s="23" t="str">
        <f>IFERROR(VLOOKUP(A5080, Entries!A:K,11,false),"")</f>
        <v/>
      </c>
    </row>
    <row r="5081">
      <c r="A5081" s="78" t="s">
        <v>3771</v>
      </c>
      <c r="B5081" s="78" t="s">
        <v>27</v>
      </c>
      <c r="C5081" s="85">
        <v>45308.0</v>
      </c>
      <c r="D5081" s="85">
        <v>45310.0</v>
      </c>
      <c r="E5081" s="86">
        <v>8.75</v>
      </c>
      <c r="F5081" s="87">
        <v>11.16</v>
      </c>
      <c r="G5081" s="88">
        <f t="shared" si="1"/>
        <v>2.41</v>
      </c>
      <c r="H5081" s="89">
        <f t="shared" si="10"/>
        <v>0.2159498208</v>
      </c>
      <c r="I5081" s="78" t="s">
        <v>5911</v>
      </c>
      <c r="J5081" s="78" t="s">
        <v>69</v>
      </c>
      <c r="K5081" s="58">
        <f t="shared" si="14"/>
        <v>2</v>
      </c>
      <c r="L5081" s="91" t="str">
        <f t="shared" si="8"/>
        <v>Fri</v>
      </c>
      <c r="M5081" s="78" t="str">
        <f>IFERROR(VLOOKUP(A5081, Entries!A:B,2,false),"")</f>
        <v>Good Shepherd Entertainment</v>
      </c>
      <c r="N5081" s="23" t="str">
        <f>IFERROR(VLOOKUP(A5081, Entries!A:K,11,false),"")</f>
        <v/>
      </c>
    </row>
    <row r="5082">
      <c r="A5082" s="78" t="s">
        <v>5003</v>
      </c>
      <c r="B5082" s="78" t="s">
        <v>19</v>
      </c>
      <c r="C5082" s="85">
        <v>45308.0</v>
      </c>
      <c r="D5082" s="85">
        <v>45387.0</v>
      </c>
      <c r="E5082" s="86">
        <v>19.17</v>
      </c>
      <c r="F5082" s="87">
        <v>19.69</v>
      </c>
      <c r="G5082" s="88">
        <f t="shared" si="1"/>
        <v>0.52</v>
      </c>
      <c r="H5082" s="89">
        <f t="shared" si="10"/>
        <v>0.02640934485</v>
      </c>
      <c r="I5082" s="78" t="s">
        <v>5912</v>
      </c>
      <c r="J5082" s="78" t="s">
        <v>69</v>
      </c>
      <c r="K5082" s="58">
        <f t="shared" si="14"/>
        <v>79</v>
      </c>
      <c r="L5082" s="91" t="str">
        <f t="shared" si="8"/>
        <v>Fri</v>
      </c>
      <c r="M5082" s="78" t="str">
        <f>IFERROR(VLOOKUP(A5082, Entries!A:B,2,false),"")</f>
        <v>Focus Home Interactive</v>
      </c>
      <c r="N5082" s="23" t="str">
        <f>IFERROR(VLOOKUP(A5082, Entries!A:K,11,false),"")</f>
        <v/>
      </c>
    </row>
    <row r="5083">
      <c r="A5083" s="78" t="s">
        <v>2016</v>
      </c>
      <c r="B5083" s="78" t="s">
        <v>19</v>
      </c>
      <c r="C5083" s="85">
        <v>45309.0</v>
      </c>
      <c r="D5083" s="85">
        <v>45326.0</v>
      </c>
      <c r="E5083" s="86">
        <v>6.7</v>
      </c>
      <c r="F5083" s="87">
        <v>7.78</v>
      </c>
      <c r="G5083" s="88">
        <f t="shared" si="1"/>
        <v>1.08</v>
      </c>
      <c r="H5083" s="89">
        <f t="shared" si="10"/>
        <v>0.1388174807</v>
      </c>
      <c r="I5083" s="78" t="s">
        <v>5913</v>
      </c>
      <c r="J5083" s="78" t="s">
        <v>69</v>
      </c>
      <c r="K5083" s="58">
        <f t="shared" si="14"/>
        <v>17</v>
      </c>
      <c r="L5083" s="91" t="str">
        <f t="shared" si="8"/>
        <v>Sun</v>
      </c>
      <c r="M5083" s="78" t="str">
        <f>IFERROR(VLOOKUP(A5083, Entries!A:B,2,false),"")</f>
        <v>Ironhide Game Studio</v>
      </c>
      <c r="N5083" s="23" t="str">
        <f>IFERROR(VLOOKUP(A5083, Entries!A:K,11,false),"")</f>
        <v/>
      </c>
    </row>
    <row r="5084">
      <c r="A5084" s="78" t="s">
        <v>2180</v>
      </c>
      <c r="B5084" s="78" t="s">
        <v>25</v>
      </c>
      <c r="C5084" s="85">
        <v>45309.0</v>
      </c>
      <c r="D5084" s="85">
        <v>45315.0</v>
      </c>
      <c r="E5084" s="86">
        <v>8.31</v>
      </c>
      <c r="F5084" s="87">
        <v>9.77</v>
      </c>
      <c r="G5084" s="88">
        <f t="shared" si="1"/>
        <v>1.46</v>
      </c>
      <c r="H5084" s="89">
        <f t="shared" si="10"/>
        <v>0.1494370522</v>
      </c>
      <c r="I5084" s="78" t="s">
        <v>5914</v>
      </c>
      <c r="J5084" s="78" t="s">
        <v>69</v>
      </c>
      <c r="K5084" s="58">
        <f t="shared" si="14"/>
        <v>6</v>
      </c>
      <c r="L5084" s="91" t="str">
        <f t="shared" si="8"/>
        <v>Wed</v>
      </c>
      <c r="M5084" s="78" t="str">
        <f>IFERROR(VLOOKUP(A5084, Entries!A:B,2,false),"")</f>
        <v>Konami</v>
      </c>
      <c r="N5084" s="23" t="str">
        <f>IFERROR(VLOOKUP(A5084, Entries!A:K,11,false),"")</f>
        <v/>
      </c>
    </row>
    <row r="5085">
      <c r="A5085" s="78" t="s">
        <v>4928</v>
      </c>
      <c r="B5085" s="78" t="s">
        <v>19</v>
      </c>
      <c r="C5085" s="85">
        <v>45309.0</v>
      </c>
      <c r="D5085" s="85">
        <v>45328.0</v>
      </c>
      <c r="E5085" s="86">
        <v>31.26</v>
      </c>
      <c r="F5085" s="87">
        <v>36.29</v>
      </c>
      <c r="G5085" s="88">
        <f t="shared" si="1"/>
        <v>5.03</v>
      </c>
      <c r="H5085" s="89">
        <f t="shared" si="10"/>
        <v>0.1386056765</v>
      </c>
      <c r="I5085" s="78" t="s">
        <v>5915</v>
      </c>
      <c r="J5085" s="78" t="s">
        <v>69</v>
      </c>
      <c r="K5085" s="58">
        <f t="shared" si="14"/>
        <v>19</v>
      </c>
      <c r="L5085" s="91" t="str">
        <f t="shared" si="8"/>
        <v>Tue</v>
      </c>
      <c r="M5085" s="78" t="str">
        <f>IFERROR(VLOOKUP(A5085, Entries!A:B,2,false),"")</f>
        <v>Eleventh Hour Games</v>
      </c>
      <c r="N5085" s="23" t="str">
        <f>IFERROR(VLOOKUP(A5085, Entries!A:K,11,false),"")</f>
        <v/>
      </c>
    </row>
    <row r="5086">
      <c r="A5086" s="78" t="s">
        <v>5916</v>
      </c>
      <c r="B5086" s="78" t="s">
        <v>19</v>
      </c>
      <c r="C5086" s="85">
        <v>45310.0</v>
      </c>
      <c r="D5086" s="85">
        <v>45345.0</v>
      </c>
      <c r="E5086" s="86">
        <v>0.0</v>
      </c>
      <c r="F5086" s="87">
        <v>1.07</v>
      </c>
      <c r="G5086" s="88">
        <f t="shared" si="1"/>
        <v>1.07</v>
      </c>
      <c r="H5086" s="89">
        <f t="shared" si="10"/>
        <v>1</v>
      </c>
      <c r="I5086" s="78" t="s">
        <v>5917</v>
      </c>
      <c r="J5086" s="78" t="s">
        <v>69</v>
      </c>
      <c r="K5086" s="58">
        <f t="shared" si="14"/>
        <v>35</v>
      </c>
      <c r="L5086" s="91" t="str">
        <f t="shared" si="8"/>
        <v>Fri</v>
      </c>
      <c r="M5086" s="78" t="str">
        <f>IFERROR(VLOOKUP(A5086, Entries!A:B,2,false),"")</f>
        <v/>
      </c>
      <c r="N5086" s="23" t="str">
        <f>IFERROR(VLOOKUP(A5086, Entries!A:K,11,false),"")</f>
        <v/>
      </c>
    </row>
    <row r="5087">
      <c r="A5087" s="78" t="s">
        <v>3804</v>
      </c>
      <c r="B5087" s="78" t="s">
        <v>25</v>
      </c>
      <c r="C5087" s="85">
        <v>45310.0</v>
      </c>
      <c r="D5087" s="85">
        <v>45368.0</v>
      </c>
      <c r="E5087" s="86">
        <v>5.65</v>
      </c>
      <c r="F5087" s="87">
        <v>7.57</v>
      </c>
      <c r="G5087" s="88">
        <f t="shared" si="1"/>
        <v>1.92</v>
      </c>
      <c r="H5087" s="89">
        <f t="shared" si="10"/>
        <v>0.2536327609</v>
      </c>
      <c r="I5087" s="78" t="s">
        <v>5918</v>
      </c>
      <c r="J5087" s="78" t="s">
        <v>69</v>
      </c>
      <c r="K5087" s="58">
        <f t="shared" si="14"/>
        <v>58</v>
      </c>
      <c r="L5087" s="91" t="str">
        <f t="shared" si="8"/>
        <v>Sun</v>
      </c>
      <c r="M5087" s="78" t="str">
        <f>IFERROR(VLOOKUP(A5087, Entries!A:B,2,false),"")</f>
        <v>Ocean Drive Studio</v>
      </c>
      <c r="N5087" s="23" t="str">
        <f>IFERROR(VLOOKUP(A5087, Entries!A:K,11,false),"")</f>
        <v/>
      </c>
    </row>
    <row r="5088">
      <c r="A5088" s="78" t="s">
        <v>3771</v>
      </c>
      <c r="B5088" s="78" t="s">
        <v>27</v>
      </c>
      <c r="C5088" s="85">
        <v>45310.0</v>
      </c>
      <c r="D5088" s="85">
        <v>45314.0</v>
      </c>
      <c r="E5088" s="86">
        <v>9.06</v>
      </c>
      <c r="F5088" s="87">
        <v>11.14</v>
      </c>
      <c r="G5088" s="88">
        <f t="shared" si="1"/>
        <v>2.08</v>
      </c>
      <c r="H5088" s="89">
        <f t="shared" si="10"/>
        <v>0.1867145422</v>
      </c>
      <c r="I5088" s="78" t="s">
        <v>5919</v>
      </c>
      <c r="J5088" s="78" t="s">
        <v>69</v>
      </c>
      <c r="K5088" s="58">
        <f t="shared" si="14"/>
        <v>4</v>
      </c>
      <c r="L5088" s="91" t="str">
        <f t="shared" si="8"/>
        <v>Tue</v>
      </c>
      <c r="M5088" s="78" t="str">
        <f>IFERROR(VLOOKUP(A5088, Entries!A:B,2,false),"")</f>
        <v>Good Shepherd Entertainment</v>
      </c>
      <c r="N5088" s="23" t="str">
        <f>IFERROR(VLOOKUP(A5088, Entries!A:K,11,false),"")</f>
        <v/>
      </c>
    </row>
    <row r="5089">
      <c r="A5089" s="78" t="s">
        <v>5920</v>
      </c>
      <c r="B5089" s="78" t="s">
        <v>18</v>
      </c>
      <c r="C5089" s="85">
        <v>45311.0</v>
      </c>
      <c r="D5089" s="85">
        <v>45311.0</v>
      </c>
      <c r="E5089" s="86">
        <v>31.07</v>
      </c>
      <c r="F5089" s="87">
        <v>34.76</v>
      </c>
      <c r="G5089" s="88">
        <f t="shared" si="1"/>
        <v>3.69</v>
      </c>
      <c r="H5089" s="89">
        <f t="shared" si="10"/>
        <v>0.1061565017</v>
      </c>
      <c r="I5089" s="78" t="s">
        <v>5921</v>
      </c>
      <c r="J5089" s="78" t="s">
        <v>69</v>
      </c>
      <c r="K5089" s="58">
        <f t="shared" si="14"/>
        <v>0</v>
      </c>
      <c r="L5089" s="91" t="str">
        <f t="shared" si="8"/>
        <v>Sat</v>
      </c>
      <c r="M5089" s="78" t="str">
        <f>IFERROR(VLOOKUP(A5089, Entries!A:B,2,false),"")</f>
        <v>Paradox Interactive</v>
      </c>
      <c r="N5089" s="23" t="str">
        <f>IFERROR(VLOOKUP(A5089, Entries!A:K,11,false),"")</f>
        <v/>
      </c>
    </row>
    <row r="5090">
      <c r="A5090" s="78" t="s">
        <v>5920</v>
      </c>
      <c r="B5090" s="78" t="s">
        <v>18</v>
      </c>
      <c r="C5090" s="85">
        <v>45311.0</v>
      </c>
      <c r="D5090" s="85">
        <v>45312.0</v>
      </c>
      <c r="E5090" s="86">
        <v>31.07</v>
      </c>
      <c r="F5090" s="87">
        <v>34.76</v>
      </c>
      <c r="G5090" s="88">
        <f t="shared" si="1"/>
        <v>3.69</v>
      </c>
      <c r="H5090" s="89">
        <f t="shared" si="10"/>
        <v>0.1061565017</v>
      </c>
      <c r="I5090" s="78" t="s">
        <v>5921</v>
      </c>
      <c r="J5090" s="78" t="s">
        <v>69</v>
      </c>
      <c r="K5090" s="58">
        <f t="shared" si="14"/>
        <v>1</v>
      </c>
      <c r="L5090" s="91" t="str">
        <f t="shared" si="8"/>
        <v>Sun</v>
      </c>
      <c r="M5090" s="78" t="str">
        <f>IFERROR(VLOOKUP(A5090, Entries!A:B,2,false),"")</f>
        <v>Paradox Interactive</v>
      </c>
      <c r="N5090" s="23" t="str">
        <f>IFERROR(VLOOKUP(A5090, Entries!A:K,11,false),"")</f>
        <v/>
      </c>
    </row>
    <row r="5091">
      <c r="A5091" s="78" t="s">
        <v>5922</v>
      </c>
      <c r="B5091" s="78" t="s">
        <v>27</v>
      </c>
      <c r="C5091" s="85">
        <v>45312.0</v>
      </c>
      <c r="D5091" s="85">
        <v>45319.0</v>
      </c>
      <c r="E5091" s="86">
        <v>35.3</v>
      </c>
      <c r="F5091" s="87">
        <v>40.41</v>
      </c>
      <c r="G5091" s="88">
        <f t="shared" si="1"/>
        <v>5.11</v>
      </c>
      <c r="H5091" s="89">
        <f t="shared" si="10"/>
        <v>0.1264538481</v>
      </c>
      <c r="I5091" s="78" t="s">
        <v>5923</v>
      </c>
      <c r="J5091" s="78" t="s">
        <v>69</v>
      </c>
      <c r="K5091" s="58">
        <f t="shared" si="14"/>
        <v>7</v>
      </c>
      <c r="L5091" s="91" t="str">
        <f t="shared" si="8"/>
        <v>Sun</v>
      </c>
      <c r="M5091" s="78" t="str">
        <f>IFERROR(VLOOKUP(A5091, Entries!A:B,2,false),"")</f>
        <v>Square Enix</v>
      </c>
      <c r="N5091" s="23" t="str">
        <f>IFERROR(VLOOKUP(A5091, Entries!A:K,11,false),"")</f>
        <v/>
      </c>
    </row>
    <row r="5092">
      <c r="A5092" s="78" t="s">
        <v>5920</v>
      </c>
      <c r="B5092" s="78" t="s">
        <v>18</v>
      </c>
      <c r="C5092" s="85">
        <v>45312.0</v>
      </c>
      <c r="D5092" s="85">
        <v>45312.0</v>
      </c>
      <c r="E5092" s="86">
        <v>31.0</v>
      </c>
      <c r="F5092" s="87">
        <v>34.76</v>
      </c>
      <c r="G5092" s="88">
        <f t="shared" si="1"/>
        <v>3.76</v>
      </c>
      <c r="H5092" s="89">
        <f t="shared" si="10"/>
        <v>0.1081703107</v>
      </c>
      <c r="I5092" s="78" t="s">
        <v>4298</v>
      </c>
      <c r="J5092" s="78" t="s">
        <v>69</v>
      </c>
      <c r="K5092" s="58">
        <f t="shared" si="14"/>
        <v>0</v>
      </c>
      <c r="L5092" s="91" t="str">
        <f t="shared" si="8"/>
        <v>Sun</v>
      </c>
      <c r="M5092" s="78" t="str">
        <f>IFERROR(VLOOKUP(A5092, Entries!A:B,2,false),"")</f>
        <v>Paradox Interactive</v>
      </c>
      <c r="N5092" s="23" t="str">
        <f>IFERROR(VLOOKUP(A5092, Entries!A:K,11,false),"")</f>
        <v/>
      </c>
    </row>
    <row r="5093">
      <c r="A5093" s="78" t="s">
        <v>5920</v>
      </c>
      <c r="B5093" s="78" t="s">
        <v>18</v>
      </c>
      <c r="C5093" s="85">
        <v>45312.0</v>
      </c>
      <c r="D5093" s="85">
        <v>45312.0</v>
      </c>
      <c r="E5093" s="86">
        <v>31.0</v>
      </c>
      <c r="F5093" s="87">
        <v>34.76</v>
      </c>
      <c r="G5093" s="88">
        <f t="shared" si="1"/>
        <v>3.76</v>
      </c>
      <c r="H5093" s="89">
        <f t="shared" si="10"/>
        <v>0.1081703107</v>
      </c>
      <c r="I5093" s="78" t="s">
        <v>4299</v>
      </c>
      <c r="J5093" s="78" t="s">
        <v>69</v>
      </c>
      <c r="K5093" s="58">
        <f t="shared" si="14"/>
        <v>0</v>
      </c>
      <c r="L5093" s="91" t="str">
        <f t="shared" si="8"/>
        <v>Sun</v>
      </c>
      <c r="M5093" s="78" t="str">
        <f>IFERROR(VLOOKUP(A5093, Entries!A:B,2,false),"")</f>
        <v>Paradox Interactive</v>
      </c>
      <c r="N5093" s="23" t="str">
        <f>IFERROR(VLOOKUP(A5093, Entries!A:K,11,false),"")</f>
        <v/>
      </c>
    </row>
    <row r="5094">
      <c r="A5094" s="78" t="s">
        <v>5920</v>
      </c>
      <c r="B5094" s="78" t="s">
        <v>18</v>
      </c>
      <c r="C5094" s="85">
        <v>45312.0</v>
      </c>
      <c r="D5094" s="85">
        <v>45313.0</v>
      </c>
      <c r="E5094" s="86">
        <v>31.01</v>
      </c>
      <c r="F5094" s="87">
        <v>34.76</v>
      </c>
      <c r="G5094" s="88">
        <f t="shared" si="1"/>
        <v>3.75</v>
      </c>
      <c r="H5094" s="89">
        <f t="shared" si="10"/>
        <v>0.1078826237</v>
      </c>
      <c r="I5094" s="78" t="s">
        <v>4300</v>
      </c>
      <c r="J5094" s="78" t="s">
        <v>69</v>
      </c>
      <c r="K5094" s="58">
        <f t="shared" si="14"/>
        <v>1</v>
      </c>
      <c r="L5094" s="91" t="str">
        <f t="shared" si="8"/>
        <v>Mon</v>
      </c>
      <c r="M5094" s="78" t="str">
        <f>IFERROR(VLOOKUP(A5094, Entries!A:B,2,false),"")</f>
        <v>Paradox Interactive</v>
      </c>
      <c r="N5094" s="23" t="str">
        <f>IFERROR(VLOOKUP(A5094, Entries!A:K,11,false),"")</f>
        <v/>
      </c>
    </row>
    <row r="5095">
      <c r="A5095" s="78" t="s">
        <v>5273</v>
      </c>
      <c r="B5095" s="78" t="s">
        <v>27</v>
      </c>
      <c r="C5095" s="85">
        <v>45313.0</v>
      </c>
      <c r="D5095" s="85">
        <v>45316.0</v>
      </c>
      <c r="E5095" s="86">
        <v>27.7</v>
      </c>
      <c r="F5095" s="87">
        <v>31.9</v>
      </c>
      <c r="G5095" s="88">
        <f t="shared" si="1"/>
        <v>4.2</v>
      </c>
      <c r="H5095" s="89">
        <f t="shared" si="10"/>
        <v>0.131661442</v>
      </c>
      <c r="I5095" s="78" t="s">
        <v>5924</v>
      </c>
      <c r="J5095" s="78" t="s">
        <v>69</v>
      </c>
      <c r="K5095" s="58">
        <f t="shared" si="14"/>
        <v>3</v>
      </c>
      <c r="L5095" s="91" t="str">
        <f t="shared" si="8"/>
        <v>Thu</v>
      </c>
      <c r="M5095" s="78" t="str">
        <f>IFERROR(VLOOKUP(A5095, Entries!A:B,2,false),"")</f>
        <v>PlayStation</v>
      </c>
      <c r="N5095" s="23" t="str">
        <f>IFERROR(VLOOKUP(A5095, Entries!A:K,11,false),"")</f>
        <v/>
      </c>
    </row>
    <row r="5096">
      <c r="A5096" s="78" t="s">
        <v>5817</v>
      </c>
      <c r="B5096" s="78" t="s">
        <v>22</v>
      </c>
      <c r="C5096" s="85">
        <v>45313.0</v>
      </c>
      <c r="D5096" s="85">
        <v>45313.0</v>
      </c>
      <c r="E5096" s="86">
        <v>12.66</v>
      </c>
      <c r="F5096" s="87">
        <v>21.99</v>
      </c>
      <c r="G5096" s="88">
        <f t="shared" si="1"/>
        <v>9.33</v>
      </c>
      <c r="H5096" s="89">
        <f t="shared" si="10"/>
        <v>0.4242837653</v>
      </c>
      <c r="I5096" s="78" t="s">
        <v>5925</v>
      </c>
      <c r="J5096" s="78" t="s">
        <v>69</v>
      </c>
      <c r="K5096" s="58">
        <f t="shared" si="14"/>
        <v>0</v>
      </c>
      <c r="L5096" s="91" t="str">
        <f t="shared" si="8"/>
        <v>Mon</v>
      </c>
      <c r="M5096" s="78" t="str">
        <f>IFERROR(VLOOKUP(A5096, Entries!A:B,2,false),"")</f>
        <v>IO Interactive</v>
      </c>
      <c r="N5096" s="23" t="str">
        <f>IFERROR(VLOOKUP(A5096, Entries!A:K,11,false),"")</f>
        <v/>
      </c>
    </row>
    <row r="5097">
      <c r="A5097" s="78" t="s">
        <v>4096</v>
      </c>
      <c r="B5097" s="78" t="s">
        <v>27</v>
      </c>
      <c r="C5097" s="85">
        <v>45313.0</v>
      </c>
      <c r="D5097" s="85">
        <v>45324.0</v>
      </c>
      <c r="E5097" s="86">
        <v>25.49</v>
      </c>
      <c r="F5097" s="87">
        <v>32.28</v>
      </c>
      <c r="G5097" s="88">
        <f t="shared" si="1"/>
        <v>6.79</v>
      </c>
      <c r="H5097" s="89">
        <f t="shared" si="10"/>
        <v>0.2103469641</v>
      </c>
      <c r="I5097" s="78" t="s">
        <v>5926</v>
      </c>
      <c r="J5097" s="78" t="s">
        <v>69</v>
      </c>
      <c r="K5097" s="58">
        <f t="shared" si="14"/>
        <v>11</v>
      </c>
      <c r="L5097" s="91" t="str">
        <f t="shared" si="8"/>
        <v>Fri</v>
      </c>
      <c r="M5097" s="78" t="str">
        <f>IFERROR(VLOOKUP(A5097, Entries!A:B,2,false),"")</f>
        <v>Crate Entertainment</v>
      </c>
      <c r="N5097" s="23" t="str">
        <f>IFERROR(VLOOKUP(A5097, Entries!A:K,11,false),"")</f>
        <v/>
      </c>
    </row>
    <row r="5098">
      <c r="A5098" s="78" t="s">
        <v>5817</v>
      </c>
      <c r="B5098" s="78" t="s">
        <v>22</v>
      </c>
      <c r="C5098" s="85">
        <v>45313.0</v>
      </c>
      <c r="D5098" s="85">
        <v>45315.0</v>
      </c>
      <c r="E5098" s="86">
        <v>12.66</v>
      </c>
      <c r="F5098" s="87">
        <v>21.99</v>
      </c>
      <c r="G5098" s="88">
        <f t="shared" si="1"/>
        <v>9.33</v>
      </c>
      <c r="H5098" s="89">
        <f t="shared" si="10"/>
        <v>0.4242837653</v>
      </c>
      <c r="I5098" s="78" t="s">
        <v>5927</v>
      </c>
      <c r="J5098" s="78" t="s">
        <v>69</v>
      </c>
      <c r="K5098" s="58">
        <f t="shared" si="14"/>
        <v>2</v>
      </c>
      <c r="L5098" s="91" t="str">
        <f t="shared" si="8"/>
        <v>Wed</v>
      </c>
      <c r="M5098" s="78" t="str">
        <f>IFERROR(VLOOKUP(A5098, Entries!A:B,2,false),"")</f>
        <v>IO Interactive</v>
      </c>
      <c r="N5098" s="23" t="str">
        <f>IFERROR(VLOOKUP(A5098, Entries!A:K,11,false),"")</f>
        <v/>
      </c>
    </row>
    <row r="5099">
      <c r="A5099" s="78" t="s">
        <v>3876</v>
      </c>
      <c r="B5099" s="78" t="s">
        <v>21</v>
      </c>
      <c r="C5099" s="85">
        <v>45313.0</v>
      </c>
      <c r="D5099" s="85">
        <v>45964.0</v>
      </c>
      <c r="E5099" s="86">
        <v>16.47</v>
      </c>
      <c r="F5099" s="87">
        <v>20.48</v>
      </c>
      <c r="G5099" s="88">
        <f t="shared" si="1"/>
        <v>4.01</v>
      </c>
      <c r="H5099" s="89">
        <f t="shared" si="10"/>
        <v>0.1958007813</v>
      </c>
      <c r="I5099" s="103" t="s">
        <v>5928</v>
      </c>
      <c r="J5099" s="78" t="s">
        <v>69</v>
      </c>
      <c r="K5099" s="58">
        <f t="shared" si="14"/>
        <v>651</v>
      </c>
      <c r="L5099" s="91" t="str">
        <f t="shared" si="8"/>
        <v>Mon</v>
      </c>
      <c r="M5099" s="78" t="str">
        <f>IFERROR(VLOOKUP(A5099, Entries!A:B,2,false),"")</f>
        <v>Systemic Reaction</v>
      </c>
      <c r="N5099" s="23" t="str">
        <f>IFERROR(VLOOKUP(A5099, Entries!A:K,11,false),"")</f>
        <v/>
      </c>
    </row>
    <row r="5100">
      <c r="A5100" s="78" t="s">
        <v>3771</v>
      </c>
      <c r="B5100" s="78" t="s">
        <v>27</v>
      </c>
      <c r="C5100" s="85">
        <v>45314.0</v>
      </c>
      <c r="D5100" s="85">
        <v>45315.0</v>
      </c>
      <c r="E5100" s="86">
        <v>9.01</v>
      </c>
      <c r="F5100" s="87">
        <v>11.14</v>
      </c>
      <c r="G5100" s="88">
        <f t="shared" si="1"/>
        <v>2.13</v>
      </c>
      <c r="H5100" s="89">
        <f t="shared" si="10"/>
        <v>0.1912028725</v>
      </c>
      <c r="I5100" s="78" t="s">
        <v>5929</v>
      </c>
      <c r="J5100" s="78" t="s">
        <v>69</v>
      </c>
      <c r="K5100" s="58">
        <f t="shared" si="14"/>
        <v>1</v>
      </c>
      <c r="L5100" s="91" t="str">
        <f t="shared" si="8"/>
        <v>Wed</v>
      </c>
      <c r="M5100" s="78" t="str">
        <f>IFERROR(VLOOKUP(A5100, Entries!A:B,2,false),"")</f>
        <v>Good Shepherd Entertainment</v>
      </c>
      <c r="N5100" s="23" t="str">
        <f>IFERROR(VLOOKUP(A5100, Entries!A:K,11,false),"")</f>
        <v/>
      </c>
    </row>
    <row r="5101">
      <c r="A5101" s="78" t="s">
        <v>5817</v>
      </c>
      <c r="B5101" s="78" t="s">
        <v>22</v>
      </c>
      <c r="C5101" s="85">
        <v>45315.0</v>
      </c>
      <c r="D5101" s="85">
        <v>45328.0</v>
      </c>
      <c r="E5101" s="86">
        <v>12.71</v>
      </c>
      <c r="F5101" s="87">
        <v>21.46</v>
      </c>
      <c r="G5101" s="88">
        <f t="shared" si="1"/>
        <v>8.75</v>
      </c>
      <c r="H5101" s="89">
        <f t="shared" si="10"/>
        <v>0.4077353215</v>
      </c>
      <c r="I5101" s="78" t="s">
        <v>5930</v>
      </c>
      <c r="J5101" s="78" t="s">
        <v>69</v>
      </c>
      <c r="K5101" s="58">
        <f t="shared" si="14"/>
        <v>13</v>
      </c>
      <c r="L5101" s="91" t="str">
        <f t="shared" si="8"/>
        <v>Tue</v>
      </c>
      <c r="M5101" s="78" t="str">
        <f>IFERROR(VLOOKUP(A5101, Entries!A:B,2,false),"")</f>
        <v>IO Interactive</v>
      </c>
      <c r="N5101" s="23" t="str">
        <f>IFERROR(VLOOKUP(A5101, Entries!A:K,11,false),"")</f>
        <v/>
      </c>
    </row>
    <row r="5102">
      <c r="A5102" s="78" t="s">
        <v>3771</v>
      </c>
      <c r="B5102" s="78" t="s">
        <v>27</v>
      </c>
      <c r="C5102" s="85">
        <v>45315.0</v>
      </c>
      <c r="D5102" s="85">
        <v>45354.0</v>
      </c>
      <c r="E5102" s="86">
        <v>9.29</v>
      </c>
      <c r="F5102" s="87">
        <v>10.89</v>
      </c>
      <c r="G5102" s="88">
        <f t="shared" si="1"/>
        <v>1.6</v>
      </c>
      <c r="H5102" s="89">
        <f t="shared" si="10"/>
        <v>0.1469237833</v>
      </c>
      <c r="I5102" s="78" t="s">
        <v>5931</v>
      </c>
      <c r="J5102" s="78" t="s">
        <v>69</v>
      </c>
      <c r="K5102" s="58">
        <f t="shared" si="14"/>
        <v>39</v>
      </c>
      <c r="L5102" s="91" t="str">
        <f t="shared" si="8"/>
        <v>Sun</v>
      </c>
      <c r="M5102" s="78" t="str">
        <f>IFERROR(VLOOKUP(A5102, Entries!A:B,2,false),"")</f>
        <v>Good Shepherd Entertainment</v>
      </c>
      <c r="N5102" s="23" t="str">
        <f>IFERROR(VLOOKUP(A5102, Entries!A:K,11,false),"")</f>
        <v/>
      </c>
    </row>
    <row r="5103">
      <c r="A5103" s="78" t="s">
        <v>3771</v>
      </c>
      <c r="B5103" s="78" t="s">
        <v>27</v>
      </c>
      <c r="C5103" s="85">
        <v>45315.0</v>
      </c>
      <c r="D5103" s="85">
        <v>45354.0</v>
      </c>
      <c r="E5103" s="86">
        <v>9.29</v>
      </c>
      <c r="F5103" s="87">
        <v>10.89</v>
      </c>
      <c r="G5103" s="88">
        <f t="shared" si="1"/>
        <v>1.6</v>
      </c>
      <c r="H5103" s="89">
        <f t="shared" si="10"/>
        <v>0.1469237833</v>
      </c>
      <c r="I5103" s="78" t="s">
        <v>5932</v>
      </c>
      <c r="J5103" s="78" t="s">
        <v>69</v>
      </c>
      <c r="K5103" s="58">
        <f t="shared" si="14"/>
        <v>39</v>
      </c>
      <c r="L5103" s="91" t="str">
        <f t="shared" si="8"/>
        <v>Sun</v>
      </c>
      <c r="M5103" s="78" t="str">
        <f>IFERROR(VLOOKUP(A5103, Entries!A:B,2,false),"")</f>
        <v>Good Shepherd Entertainment</v>
      </c>
      <c r="N5103" s="23" t="str">
        <f>IFERROR(VLOOKUP(A5103, Entries!A:K,11,false),"")</f>
        <v/>
      </c>
    </row>
    <row r="5104">
      <c r="A5104" s="78" t="s">
        <v>5933</v>
      </c>
      <c r="B5104" s="78" t="s">
        <v>27</v>
      </c>
      <c r="C5104" s="85">
        <v>45315.0</v>
      </c>
      <c r="D5104" s="85">
        <v>45315.0</v>
      </c>
      <c r="E5104" s="86">
        <v>23.79</v>
      </c>
      <c r="F5104" s="87">
        <v>24.96</v>
      </c>
      <c r="G5104" s="88">
        <f t="shared" si="1"/>
        <v>1.17</v>
      </c>
      <c r="H5104" s="89">
        <f t="shared" si="10"/>
        <v>0.046875</v>
      </c>
      <c r="I5104" s="78" t="s">
        <v>5934</v>
      </c>
      <c r="J5104" s="78" t="s">
        <v>69</v>
      </c>
      <c r="K5104" s="58">
        <f t="shared" si="14"/>
        <v>0</v>
      </c>
      <c r="L5104" s="91" t="str">
        <f t="shared" si="8"/>
        <v>Wed</v>
      </c>
      <c r="M5104" s="78" t="str">
        <f>IFERROR(VLOOKUP(A5104, Entries!A:B,2,false),"")</f>
        <v>Pocketpair</v>
      </c>
      <c r="N5104" s="23" t="str">
        <f>IFERROR(VLOOKUP(A5104, Entries!A:K,11,false),"")</f>
        <v/>
      </c>
    </row>
    <row r="5105">
      <c r="A5105" s="78" t="s">
        <v>5933</v>
      </c>
      <c r="B5105" s="78" t="s">
        <v>27</v>
      </c>
      <c r="C5105" s="85">
        <v>45315.0</v>
      </c>
      <c r="D5105" s="85">
        <v>45316.0</v>
      </c>
      <c r="E5105" s="86">
        <v>23.79</v>
      </c>
      <c r="F5105" s="87">
        <v>25.08</v>
      </c>
      <c r="G5105" s="88">
        <f t="shared" si="1"/>
        <v>1.29</v>
      </c>
      <c r="H5105" s="89">
        <f t="shared" si="10"/>
        <v>0.0514354067</v>
      </c>
      <c r="I5105" s="78" t="s">
        <v>5935</v>
      </c>
      <c r="J5105" s="78" t="s">
        <v>69</v>
      </c>
      <c r="K5105" s="58">
        <f t="shared" si="14"/>
        <v>1</v>
      </c>
      <c r="L5105" s="91" t="str">
        <f t="shared" si="8"/>
        <v>Thu</v>
      </c>
      <c r="M5105" s="78" t="str">
        <f>IFERROR(VLOOKUP(A5105, Entries!A:B,2,false),"")</f>
        <v>Pocketpair</v>
      </c>
      <c r="N5105" s="23" t="str">
        <f>IFERROR(VLOOKUP(A5105, Entries!A:K,11,false),"")</f>
        <v/>
      </c>
    </row>
    <row r="5106">
      <c r="A5106" s="78" t="s">
        <v>5933</v>
      </c>
      <c r="B5106" s="78" t="s">
        <v>27</v>
      </c>
      <c r="C5106" s="85">
        <v>45315.0</v>
      </c>
      <c r="D5106" s="85">
        <v>45316.0</v>
      </c>
      <c r="E5106" s="86">
        <v>23.79</v>
      </c>
      <c r="F5106" s="87">
        <v>25.08</v>
      </c>
      <c r="G5106" s="88">
        <f t="shared" si="1"/>
        <v>1.29</v>
      </c>
      <c r="H5106" s="89">
        <f t="shared" si="10"/>
        <v>0.0514354067</v>
      </c>
      <c r="I5106" s="78" t="s">
        <v>5936</v>
      </c>
      <c r="J5106" s="78" t="s">
        <v>69</v>
      </c>
      <c r="K5106" s="58">
        <f t="shared" si="14"/>
        <v>1</v>
      </c>
      <c r="L5106" s="91" t="str">
        <f t="shared" si="8"/>
        <v>Thu</v>
      </c>
      <c r="M5106" s="78" t="str">
        <f>IFERROR(VLOOKUP(A5106, Entries!A:B,2,false),"")</f>
        <v>Pocketpair</v>
      </c>
      <c r="N5106" s="23" t="str">
        <f>IFERROR(VLOOKUP(A5106, Entries!A:K,11,false),"")</f>
        <v/>
      </c>
    </row>
    <row r="5107">
      <c r="A5107" s="94" t="s">
        <v>5273</v>
      </c>
      <c r="B5107" s="78" t="s">
        <v>27</v>
      </c>
      <c r="C5107" s="85">
        <v>45316.0</v>
      </c>
      <c r="D5107" s="85">
        <v>45413.0</v>
      </c>
      <c r="E5107" s="86">
        <v>27.67</v>
      </c>
      <c r="F5107" s="87">
        <v>30.56</v>
      </c>
      <c r="G5107" s="88">
        <f t="shared" si="1"/>
        <v>2.89</v>
      </c>
      <c r="H5107" s="89">
        <f t="shared" si="10"/>
        <v>0.09456806283</v>
      </c>
      <c r="J5107" s="78" t="s">
        <v>69</v>
      </c>
      <c r="K5107" s="58">
        <f t="shared" si="14"/>
        <v>97</v>
      </c>
      <c r="L5107" s="91" t="str">
        <f t="shared" si="8"/>
        <v>Wed</v>
      </c>
      <c r="M5107" s="78" t="str">
        <f>IFERROR(VLOOKUP(A5107, Entries!A:B,2,false),"")</f>
        <v>PlayStation</v>
      </c>
      <c r="N5107" s="23" t="str">
        <f>IFERROR(VLOOKUP(A5107, Entries!A:K,11,false),"")</f>
        <v/>
      </c>
    </row>
    <row r="5108">
      <c r="A5108" s="78" t="s">
        <v>3930</v>
      </c>
      <c r="B5108" s="78" t="s">
        <v>19</v>
      </c>
      <c r="C5108" s="85">
        <v>45316.0</v>
      </c>
      <c r="D5108" s="85">
        <v>45330.0</v>
      </c>
      <c r="E5108" s="86">
        <v>1.62</v>
      </c>
      <c r="F5108" s="87">
        <v>2.52</v>
      </c>
      <c r="G5108" s="88">
        <f t="shared" si="1"/>
        <v>0.9</v>
      </c>
      <c r="H5108" s="89">
        <f t="shared" si="10"/>
        <v>0.3571428571</v>
      </c>
      <c r="I5108" s="78" t="s">
        <v>5937</v>
      </c>
      <c r="J5108" s="78" t="s">
        <v>69</v>
      </c>
      <c r="K5108" s="58">
        <f t="shared" si="14"/>
        <v>14</v>
      </c>
      <c r="L5108" s="91" t="str">
        <f t="shared" si="8"/>
        <v>Thu</v>
      </c>
      <c r="M5108" s="78" t="str">
        <f>IFERROR(VLOOKUP(A5108, Entries!A:B,2,false),"")</f>
        <v>Coatsink</v>
      </c>
      <c r="N5108" s="23" t="str">
        <f>IFERROR(VLOOKUP(A5108, Entries!A:K,11,false),"")</f>
        <v/>
      </c>
    </row>
    <row r="5109">
      <c r="A5109" s="78" t="s">
        <v>4085</v>
      </c>
      <c r="B5109" s="78" t="s">
        <v>27</v>
      </c>
      <c r="C5109" s="85">
        <v>45318.0</v>
      </c>
      <c r="D5109" s="85">
        <v>45326.0</v>
      </c>
      <c r="E5109" s="86">
        <v>5.78</v>
      </c>
      <c r="F5109" s="87">
        <v>7.52</v>
      </c>
      <c r="G5109" s="88">
        <f t="shared" si="1"/>
        <v>1.74</v>
      </c>
      <c r="H5109" s="89">
        <f t="shared" si="10"/>
        <v>0.2313829787</v>
      </c>
      <c r="I5109" s="78" t="s">
        <v>5938</v>
      </c>
      <c r="J5109" s="78" t="s">
        <v>69</v>
      </c>
      <c r="K5109" s="58">
        <f t="shared" si="14"/>
        <v>8</v>
      </c>
      <c r="L5109" s="91" t="str">
        <f t="shared" si="8"/>
        <v>Sun</v>
      </c>
      <c r="M5109" s="78" t="str">
        <f>IFERROR(VLOOKUP(A5109, Entries!A:B,2,false),"")</f>
        <v>Bethesda Softworks</v>
      </c>
      <c r="N5109" s="23" t="str">
        <f>IFERROR(VLOOKUP(A5109, Entries!A:K,11,false),"")</f>
        <v/>
      </c>
    </row>
    <row r="5110">
      <c r="A5110" s="78" t="s">
        <v>5922</v>
      </c>
      <c r="B5110" s="78" t="s">
        <v>27</v>
      </c>
      <c r="C5110" s="85">
        <v>45319.0</v>
      </c>
      <c r="D5110" s="85">
        <v>45341.0</v>
      </c>
      <c r="E5110" s="86">
        <v>35.3</v>
      </c>
      <c r="F5110" s="87">
        <v>38.6</v>
      </c>
      <c r="G5110" s="88">
        <f t="shared" si="1"/>
        <v>3.3</v>
      </c>
      <c r="H5110" s="89">
        <f t="shared" si="10"/>
        <v>0.08549222798</v>
      </c>
      <c r="I5110" s="78" t="s">
        <v>5939</v>
      </c>
      <c r="J5110" s="78" t="s">
        <v>69</v>
      </c>
      <c r="K5110" s="58">
        <f t="shared" si="14"/>
        <v>22</v>
      </c>
      <c r="L5110" s="91" t="str">
        <f t="shared" si="8"/>
        <v>Mon</v>
      </c>
      <c r="M5110" s="78" t="str">
        <f>IFERROR(VLOOKUP(A5110, Entries!A:B,2,false),"")</f>
        <v>Square Enix</v>
      </c>
      <c r="N5110" s="23" t="str">
        <f>IFERROR(VLOOKUP(A5110, Entries!A:K,11,false),"")</f>
        <v/>
      </c>
    </row>
    <row r="5111">
      <c r="A5111" s="78" t="s">
        <v>5933</v>
      </c>
      <c r="B5111" s="78" t="s">
        <v>21</v>
      </c>
      <c r="C5111" s="85">
        <v>45322.0</v>
      </c>
      <c r="D5111" s="85">
        <v>45324.0</v>
      </c>
      <c r="E5111" s="86">
        <v>27.78</v>
      </c>
      <c r="F5111" s="87">
        <v>29.9</v>
      </c>
      <c r="G5111" s="88">
        <f t="shared" si="1"/>
        <v>2.12</v>
      </c>
      <c r="H5111" s="89">
        <f t="shared" si="10"/>
        <v>0.07090301003</v>
      </c>
      <c r="I5111" s="78" t="s">
        <v>5940</v>
      </c>
      <c r="J5111" s="78" t="s">
        <v>69</v>
      </c>
      <c r="K5111" s="58">
        <f t="shared" si="14"/>
        <v>2</v>
      </c>
      <c r="L5111" s="91" t="str">
        <f t="shared" si="8"/>
        <v>Fri</v>
      </c>
      <c r="M5111" s="78" t="str">
        <f>IFERROR(VLOOKUP(A5111, Entries!A:B,2,false),"")</f>
        <v>Pocketpair</v>
      </c>
      <c r="N5111" s="23" t="str">
        <f>IFERROR(VLOOKUP(A5111, Entries!A:K,11,false),"")</f>
        <v/>
      </c>
    </row>
    <row r="5112">
      <c r="A5112" s="94" t="s">
        <v>5469</v>
      </c>
      <c r="B5112" s="78" t="s">
        <v>27</v>
      </c>
      <c r="C5112" s="85">
        <v>45322.0</v>
      </c>
      <c r="D5112" s="85">
        <v>45506.0</v>
      </c>
      <c r="E5112" s="86">
        <v>27.53</v>
      </c>
      <c r="F5112" s="87">
        <v>31.57</v>
      </c>
      <c r="G5112" s="88">
        <f t="shared" si="1"/>
        <v>4.04</v>
      </c>
      <c r="H5112" s="89">
        <f t="shared" si="10"/>
        <v>0.1279695914</v>
      </c>
      <c r="I5112" s="78" t="s">
        <v>5941</v>
      </c>
      <c r="J5112" s="78" t="s">
        <v>69</v>
      </c>
      <c r="K5112" s="58">
        <f t="shared" si="14"/>
        <v>184</v>
      </c>
      <c r="L5112" s="91" t="str">
        <f t="shared" si="8"/>
        <v>Fri</v>
      </c>
      <c r="M5112" s="78" t="str">
        <f>IFERROR(VLOOKUP(A5112, Entries!A:B,2,false),"")</f>
        <v>Gun Interactive</v>
      </c>
      <c r="N5112" s="23" t="str">
        <f>IFERROR(VLOOKUP(A5112, Entries!A:K,11,false),"")</f>
        <v/>
      </c>
    </row>
    <row r="5113">
      <c r="A5113" s="78" t="s">
        <v>2339</v>
      </c>
      <c r="B5113" s="78" t="s">
        <v>35</v>
      </c>
      <c r="C5113" s="85">
        <v>45323.0</v>
      </c>
      <c r="D5113" s="85">
        <v>45323.0</v>
      </c>
      <c r="E5113" s="86">
        <v>2.39</v>
      </c>
      <c r="F5113" s="87">
        <v>3.43</v>
      </c>
      <c r="G5113" s="88">
        <f t="shared" si="1"/>
        <v>1.04</v>
      </c>
      <c r="H5113" s="89">
        <f t="shared" si="10"/>
        <v>0.3032069971</v>
      </c>
      <c r="I5113" s="78" t="s">
        <v>5942</v>
      </c>
      <c r="J5113" s="78" t="s">
        <v>69</v>
      </c>
      <c r="K5113" s="58">
        <f t="shared" si="14"/>
        <v>0</v>
      </c>
      <c r="L5113" s="91" t="str">
        <f t="shared" si="8"/>
        <v>Thu</v>
      </c>
      <c r="M5113" s="78" t="str">
        <f>IFERROR(VLOOKUP(A5113, Entries!A:B,2,false),"")</f>
        <v>PlayWay</v>
      </c>
      <c r="N5113" s="23" t="str">
        <f>IFERROR(VLOOKUP(A5113, Entries!A:K,11,false),"")</f>
        <v/>
      </c>
    </row>
    <row r="5114">
      <c r="A5114" s="78" t="s">
        <v>5943</v>
      </c>
      <c r="B5114" s="78" t="s">
        <v>27</v>
      </c>
      <c r="C5114" s="85">
        <v>45323.0</v>
      </c>
      <c r="D5114" s="85">
        <v>45326.0</v>
      </c>
      <c r="E5114" s="86">
        <v>19.95</v>
      </c>
      <c r="F5114" s="87">
        <v>24.09</v>
      </c>
      <c r="G5114" s="88">
        <f t="shared" si="1"/>
        <v>4.14</v>
      </c>
      <c r="H5114" s="89">
        <f t="shared" si="10"/>
        <v>0.1718555417</v>
      </c>
      <c r="I5114" s="78" t="s">
        <v>5944</v>
      </c>
      <c r="J5114" s="78" t="s">
        <v>69</v>
      </c>
      <c r="K5114" s="58">
        <f t="shared" si="14"/>
        <v>3</v>
      </c>
      <c r="L5114" s="91" t="str">
        <f t="shared" si="8"/>
        <v>Sun</v>
      </c>
      <c r="M5114" s="78" t="str">
        <f>IFERROR(VLOOKUP(A5114, Entries!A:B,2,false),"")</f>
        <v>CAPCOM</v>
      </c>
      <c r="N5114" s="23" t="str">
        <f>IFERROR(VLOOKUP(A5114, Entries!A:K,11,false),"")</f>
        <v/>
      </c>
    </row>
    <row r="5115">
      <c r="A5115" s="78" t="s">
        <v>2339</v>
      </c>
      <c r="B5115" s="78" t="s">
        <v>35</v>
      </c>
      <c r="C5115" s="85">
        <v>45323.0</v>
      </c>
      <c r="D5115" s="85">
        <v>45325.0</v>
      </c>
      <c r="E5115" s="86">
        <v>2.27</v>
      </c>
      <c r="F5115" s="87">
        <v>3.44</v>
      </c>
      <c r="G5115" s="88">
        <f t="shared" si="1"/>
        <v>1.17</v>
      </c>
      <c r="H5115" s="89">
        <f t="shared" si="10"/>
        <v>0.3401162791</v>
      </c>
      <c r="I5115" s="78" t="s">
        <v>5945</v>
      </c>
      <c r="J5115" s="78" t="s">
        <v>69</v>
      </c>
      <c r="K5115" s="58">
        <f t="shared" si="14"/>
        <v>2</v>
      </c>
      <c r="L5115" s="91" t="str">
        <f t="shared" si="8"/>
        <v>Sat</v>
      </c>
      <c r="M5115" s="78" t="str">
        <f>IFERROR(VLOOKUP(A5115, Entries!A:B,2,false),"")</f>
        <v>PlayWay</v>
      </c>
      <c r="N5115" s="23" t="str">
        <f>IFERROR(VLOOKUP(A5115, Entries!A:K,11,false),"")</f>
        <v/>
      </c>
    </row>
    <row r="5116">
      <c r="A5116" s="78" t="s">
        <v>2339</v>
      </c>
      <c r="B5116" s="78" t="s">
        <v>35</v>
      </c>
      <c r="C5116" s="85">
        <v>45323.0</v>
      </c>
      <c r="D5116" s="85">
        <v>45327.0</v>
      </c>
      <c r="E5116" s="86">
        <v>2.27</v>
      </c>
      <c r="F5116" s="87">
        <v>3.44</v>
      </c>
      <c r="G5116" s="88">
        <f t="shared" si="1"/>
        <v>1.17</v>
      </c>
      <c r="H5116" s="89">
        <f t="shared" si="10"/>
        <v>0.3401162791</v>
      </c>
      <c r="I5116" s="78" t="s">
        <v>5946</v>
      </c>
      <c r="J5116" s="78" t="s">
        <v>69</v>
      </c>
      <c r="K5116" s="58">
        <f t="shared" si="14"/>
        <v>4</v>
      </c>
      <c r="L5116" s="91" t="str">
        <f t="shared" si="8"/>
        <v>Mon</v>
      </c>
      <c r="M5116" s="78" t="str">
        <f>IFERROR(VLOOKUP(A5116, Entries!A:B,2,false),"")</f>
        <v>PlayWay</v>
      </c>
      <c r="N5116" s="23" t="str">
        <f>IFERROR(VLOOKUP(A5116, Entries!A:K,11,false),"")</f>
        <v/>
      </c>
    </row>
    <row r="5117">
      <c r="A5117" s="78" t="s">
        <v>5933</v>
      </c>
      <c r="B5117" s="78" t="s">
        <v>21</v>
      </c>
      <c r="C5117" s="85">
        <v>45324.0</v>
      </c>
      <c r="D5117" s="85">
        <v>45324.0</v>
      </c>
      <c r="E5117" s="86">
        <v>27.78</v>
      </c>
      <c r="F5117" s="87">
        <v>29.91</v>
      </c>
      <c r="G5117" s="88">
        <f t="shared" si="1"/>
        <v>2.13</v>
      </c>
      <c r="H5117" s="89">
        <f t="shared" si="10"/>
        <v>0.07121364092</v>
      </c>
      <c r="I5117" s="78" t="s">
        <v>5947</v>
      </c>
      <c r="J5117" s="78" t="s">
        <v>69</v>
      </c>
      <c r="K5117" s="58">
        <f t="shared" si="14"/>
        <v>0</v>
      </c>
      <c r="L5117" s="91" t="str">
        <f t="shared" si="8"/>
        <v>Fri</v>
      </c>
      <c r="M5117" s="78" t="str">
        <f>IFERROR(VLOOKUP(A5117, Entries!A:B,2,false),"")</f>
        <v>Pocketpair</v>
      </c>
      <c r="N5117" s="23" t="str">
        <f>IFERROR(VLOOKUP(A5117, Entries!A:K,11,false),"")</f>
        <v/>
      </c>
    </row>
    <row r="5118">
      <c r="A5118" s="78" t="s">
        <v>4096</v>
      </c>
      <c r="B5118" s="78" t="s">
        <v>25</v>
      </c>
      <c r="C5118" s="85">
        <v>45324.0</v>
      </c>
      <c r="D5118" s="85">
        <v>45326.0</v>
      </c>
      <c r="E5118" s="86">
        <v>26.5</v>
      </c>
      <c r="F5118" s="87">
        <v>32.28</v>
      </c>
      <c r="G5118" s="88">
        <f t="shared" si="1"/>
        <v>5.78</v>
      </c>
      <c r="H5118" s="89">
        <f t="shared" si="10"/>
        <v>0.1790582404</v>
      </c>
      <c r="I5118" s="78" t="s">
        <v>5948</v>
      </c>
      <c r="J5118" s="78" t="s">
        <v>69</v>
      </c>
      <c r="K5118" s="58">
        <f t="shared" si="14"/>
        <v>2</v>
      </c>
      <c r="L5118" s="91" t="str">
        <f t="shared" si="8"/>
        <v>Sun</v>
      </c>
      <c r="M5118" s="78" t="str">
        <f>IFERROR(VLOOKUP(A5118, Entries!A:B,2,false),"")</f>
        <v>Crate Entertainment</v>
      </c>
      <c r="N5118" s="23" t="str">
        <f>IFERROR(VLOOKUP(A5118, Entries!A:K,11,false),"")</f>
        <v/>
      </c>
    </row>
    <row r="5119">
      <c r="A5119" s="78" t="s">
        <v>5949</v>
      </c>
      <c r="B5119" s="78" t="s">
        <v>21</v>
      </c>
      <c r="C5119" s="85">
        <v>45324.0</v>
      </c>
      <c r="D5119" s="85">
        <v>45324.0</v>
      </c>
      <c r="E5119" s="86">
        <v>42.15</v>
      </c>
      <c r="F5119" s="87">
        <v>46.49</v>
      </c>
      <c r="G5119" s="88">
        <f t="shared" si="1"/>
        <v>4.34</v>
      </c>
      <c r="H5119" s="89">
        <f t="shared" si="10"/>
        <v>0.09335340934</v>
      </c>
      <c r="I5119" s="78" t="s">
        <v>5950</v>
      </c>
      <c r="J5119" s="78" t="s">
        <v>69</v>
      </c>
      <c r="K5119" s="58">
        <f t="shared" si="14"/>
        <v>0</v>
      </c>
      <c r="L5119" s="91" t="str">
        <f t="shared" si="8"/>
        <v>Fri</v>
      </c>
      <c r="M5119" s="78" t="str">
        <f>IFERROR(VLOOKUP(A5119, Entries!A:B,2,false),"")</f>
        <v>BANDAI NAMCO</v>
      </c>
      <c r="N5119" s="23" t="str">
        <f>IFERROR(VLOOKUP(A5119, Entries!A:K,11,false),"")</f>
        <v/>
      </c>
    </row>
    <row r="5120">
      <c r="A5120" s="78" t="s">
        <v>5933</v>
      </c>
      <c r="B5120" s="78" t="s">
        <v>21</v>
      </c>
      <c r="C5120" s="85">
        <v>45324.0</v>
      </c>
      <c r="D5120" s="85">
        <v>45325.0</v>
      </c>
      <c r="E5120" s="86">
        <v>27.78</v>
      </c>
      <c r="F5120" s="87">
        <v>29.91</v>
      </c>
      <c r="G5120" s="88">
        <f t="shared" si="1"/>
        <v>2.13</v>
      </c>
      <c r="H5120" s="89">
        <f t="shared" si="10"/>
        <v>0.07121364092</v>
      </c>
      <c r="I5120" s="78" t="s">
        <v>5951</v>
      </c>
      <c r="J5120" s="78" t="s">
        <v>69</v>
      </c>
      <c r="K5120" s="58">
        <f t="shared" si="14"/>
        <v>1</v>
      </c>
      <c r="L5120" s="91" t="str">
        <f t="shared" si="8"/>
        <v>Sat</v>
      </c>
      <c r="M5120" s="78" t="str">
        <f>IFERROR(VLOOKUP(A5120, Entries!A:B,2,false),"")</f>
        <v>Pocketpair</v>
      </c>
      <c r="N5120" s="23" t="str">
        <f>IFERROR(VLOOKUP(A5120, Entries!A:K,11,false),"")</f>
        <v/>
      </c>
    </row>
    <row r="5121">
      <c r="A5121" s="78" t="s">
        <v>5933</v>
      </c>
      <c r="B5121" s="78" t="s">
        <v>25</v>
      </c>
      <c r="C5121" s="85">
        <v>45325.0</v>
      </c>
      <c r="D5121" s="85">
        <v>45326.0</v>
      </c>
      <c r="E5121" s="86">
        <v>27.39</v>
      </c>
      <c r="F5121" s="87">
        <v>29.92</v>
      </c>
      <c r="G5121" s="88">
        <f t="shared" si="1"/>
        <v>2.53</v>
      </c>
      <c r="H5121" s="89">
        <f t="shared" si="10"/>
        <v>0.08455882353</v>
      </c>
      <c r="I5121" s="78" t="s">
        <v>5952</v>
      </c>
      <c r="J5121" s="78" t="s">
        <v>69</v>
      </c>
      <c r="K5121" s="58">
        <f t="shared" si="14"/>
        <v>1</v>
      </c>
      <c r="L5121" s="91" t="str">
        <f t="shared" si="8"/>
        <v>Sun</v>
      </c>
      <c r="M5121" s="78" t="str">
        <f>IFERROR(VLOOKUP(A5121, Entries!A:B,2,false),"")</f>
        <v>Pocketpair</v>
      </c>
      <c r="N5121" s="23" t="str">
        <f>IFERROR(VLOOKUP(A5121, Entries!A:K,11,false),"")</f>
        <v/>
      </c>
    </row>
    <row r="5122">
      <c r="A5122" s="78" t="s">
        <v>5933</v>
      </c>
      <c r="B5122" s="78" t="s">
        <v>27</v>
      </c>
      <c r="C5122" s="85">
        <v>45326.0</v>
      </c>
      <c r="D5122" s="85">
        <v>45326.0</v>
      </c>
      <c r="E5122" s="86">
        <v>27.97</v>
      </c>
      <c r="F5122" s="87">
        <v>30.05</v>
      </c>
      <c r="G5122" s="88">
        <f t="shared" si="1"/>
        <v>2.08</v>
      </c>
      <c r="H5122" s="89">
        <f t="shared" si="10"/>
        <v>0.06921797005</v>
      </c>
      <c r="I5122" s="78" t="s">
        <v>5953</v>
      </c>
      <c r="J5122" s="78" t="s">
        <v>69</v>
      </c>
      <c r="K5122" s="58">
        <f t="shared" si="14"/>
        <v>0</v>
      </c>
      <c r="L5122" s="91" t="str">
        <f t="shared" si="8"/>
        <v>Sun</v>
      </c>
      <c r="M5122" s="78" t="str">
        <f>IFERROR(VLOOKUP(A5122, Entries!A:B,2,false),"")</f>
        <v>Pocketpair</v>
      </c>
      <c r="N5122" s="23" t="str">
        <f>IFERROR(VLOOKUP(A5122, Entries!A:K,11,false),"")</f>
        <v/>
      </c>
    </row>
    <row r="5123">
      <c r="A5123" s="78" t="s">
        <v>5943</v>
      </c>
      <c r="B5123" s="78" t="s">
        <v>27</v>
      </c>
      <c r="C5123" s="85">
        <v>45326.0</v>
      </c>
      <c r="D5123" s="85">
        <v>45327.0</v>
      </c>
      <c r="E5123" s="86">
        <v>20.49</v>
      </c>
      <c r="F5123" s="87">
        <v>24.09</v>
      </c>
      <c r="G5123" s="88">
        <f t="shared" si="1"/>
        <v>3.6</v>
      </c>
      <c r="H5123" s="89">
        <f t="shared" si="10"/>
        <v>0.1494396015</v>
      </c>
      <c r="I5123" s="78" t="s">
        <v>5954</v>
      </c>
      <c r="J5123" s="78" t="s">
        <v>69</v>
      </c>
      <c r="K5123" s="58">
        <f t="shared" si="14"/>
        <v>1</v>
      </c>
      <c r="L5123" s="91" t="str">
        <f t="shared" si="8"/>
        <v>Mon</v>
      </c>
      <c r="M5123" s="78" t="str">
        <f>IFERROR(VLOOKUP(A5123, Entries!A:B,2,false),"")</f>
        <v>CAPCOM</v>
      </c>
      <c r="N5123" s="23" t="str">
        <f>IFERROR(VLOOKUP(A5123, Entries!A:K,11,false),"")</f>
        <v/>
      </c>
    </row>
    <row r="5124">
      <c r="A5124" s="78" t="s">
        <v>5933</v>
      </c>
      <c r="B5124" s="78" t="s">
        <v>27</v>
      </c>
      <c r="C5124" s="85">
        <v>45326.0</v>
      </c>
      <c r="D5124" s="85">
        <v>45326.0</v>
      </c>
      <c r="E5124" s="86">
        <v>29.19</v>
      </c>
      <c r="F5124" s="87">
        <v>31.35</v>
      </c>
      <c r="G5124" s="88">
        <f t="shared" si="1"/>
        <v>2.16</v>
      </c>
      <c r="H5124" s="89">
        <f t="shared" si="10"/>
        <v>0.06889952153</v>
      </c>
      <c r="I5124" s="78" t="s">
        <v>5955</v>
      </c>
      <c r="J5124" s="78" t="s">
        <v>69</v>
      </c>
      <c r="K5124" s="58">
        <f t="shared" si="14"/>
        <v>0</v>
      </c>
      <c r="L5124" s="91" t="str">
        <f t="shared" si="8"/>
        <v>Sun</v>
      </c>
      <c r="M5124" s="78" t="str">
        <f>IFERROR(VLOOKUP(A5124, Entries!A:B,2,false),"")</f>
        <v>Pocketpair</v>
      </c>
      <c r="N5124" s="23" t="str">
        <f>IFERROR(VLOOKUP(A5124, Entries!A:K,11,false),"")</f>
        <v/>
      </c>
    </row>
    <row r="5125">
      <c r="A5125" s="78" t="s">
        <v>5933</v>
      </c>
      <c r="B5125" s="78" t="s">
        <v>27</v>
      </c>
      <c r="C5125" s="85">
        <v>45326.0</v>
      </c>
      <c r="D5125" s="85">
        <v>45326.0</v>
      </c>
      <c r="E5125" s="86">
        <v>29.19</v>
      </c>
      <c r="F5125" s="87">
        <v>36.88</v>
      </c>
      <c r="G5125" s="88">
        <f t="shared" si="1"/>
        <v>7.69</v>
      </c>
      <c r="H5125" s="89">
        <f t="shared" si="10"/>
        <v>0.2085140998</v>
      </c>
      <c r="I5125" s="78" t="s">
        <v>5956</v>
      </c>
      <c r="J5125" s="78" t="s">
        <v>69</v>
      </c>
      <c r="K5125" s="58">
        <f t="shared" si="14"/>
        <v>0</v>
      </c>
      <c r="L5125" s="91" t="str">
        <f t="shared" si="8"/>
        <v>Sun</v>
      </c>
      <c r="M5125" s="78" t="str">
        <f>IFERROR(VLOOKUP(A5125, Entries!A:B,2,false),"")</f>
        <v>Pocketpair</v>
      </c>
      <c r="N5125" s="23" t="str">
        <f>IFERROR(VLOOKUP(A5125, Entries!A:K,11,false),"")</f>
        <v/>
      </c>
    </row>
    <row r="5126">
      <c r="A5126" s="78" t="s">
        <v>2016</v>
      </c>
      <c r="B5126" s="78" t="s">
        <v>19</v>
      </c>
      <c r="C5126" s="85">
        <v>45326.0</v>
      </c>
      <c r="D5126" s="85">
        <v>45376.0</v>
      </c>
      <c r="E5126" s="86">
        <v>6.74</v>
      </c>
      <c r="F5126" s="87">
        <v>7.87</v>
      </c>
      <c r="G5126" s="88">
        <f t="shared" si="1"/>
        <v>1.13</v>
      </c>
      <c r="H5126" s="89">
        <f t="shared" si="10"/>
        <v>0.1435832274</v>
      </c>
      <c r="I5126" s="78" t="s">
        <v>5957</v>
      </c>
      <c r="J5126" s="78" t="s">
        <v>69</v>
      </c>
      <c r="K5126" s="58">
        <f t="shared" si="14"/>
        <v>50</v>
      </c>
      <c r="L5126" s="91" t="str">
        <f t="shared" si="8"/>
        <v>Mon</v>
      </c>
      <c r="M5126" s="78" t="str">
        <f>IFERROR(VLOOKUP(A5126, Entries!A:B,2,false),"")</f>
        <v>Ironhide Game Studio</v>
      </c>
      <c r="N5126" s="23" t="str">
        <f>IFERROR(VLOOKUP(A5126, Entries!A:K,11,false),"")</f>
        <v/>
      </c>
    </row>
    <row r="5127">
      <c r="A5127" s="78" t="s">
        <v>5933</v>
      </c>
      <c r="B5127" s="78" t="s">
        <v>27</v>
      </c>
      <c r="C5127" s="85">
        <v>45326.0</v>
      </c>
      <c r="D5127" s="85">
        <v>45326.0</v>
      </c>
      <c r="E5127" s="86">
        <v>28.91</v>
      </c>
      <c r="F5127" s="87">
        <v>36.88</v>
      </c>
      <c r="G5127" s="88">
        <f t="shared" si="1"/>
        <v>7.97</v>
      </c>
      <c r="H5127" s="89">
        <f t="shared" si="10"/>
        <v>0.2161062907</v>
      </c>
      <c r="I5127" s="78" t="s">
        <v>5958</v>
      </c>
      <c r="J5127" s="78" t="s">
        <v>69</v>
      </c>
      <c r="K5127" s="58">
        <f t="shared" si="14"/>
        <v>0</v>
      </c>
      <c r="L5127" s="91" t="str">
        <f t="shared" si="8"/>
        <v>Sun</v>
      </c>
      <c r="M5127" s="78" t="str">
        <f>IFERROR(VLOOKUP(A5127, Entries!A:B,2,false),"")</f>
        <v>Pocketpair</v>
      </c>
      <c r="N5127" s="23" t="str">
        <f>IFERROR(VLOOKUP(A5127, Entries!A:K,11,false),"")</f>
        <v/>
      </c>
    </row>
    <row r="5128">
      <c r="A5128" s="78" t="s">
        <v>4085</v>
      </c>
      <c r="B5128" s="78" t="s">
        <v>27</v>
      </c>
      <c r="C5128" s="85">
        <v>45326.0</v>
      </c>
      <c r="D5128" s="85">
        <v>45327.0</v>
      </c>
      <c r="E5128" s="86">
        <v>6.39</v>
      </c>
      <c r="F5128" s="87">
        <v>7.52</v>
      </c>
      <c r="G5128" s="88">
        <f t="shared" si="1"/>
        <v>1.13</v>
      </c>
      <c r="H5128" s="89">
        <f t="shared" si="10"/>
        <v>0.1502659574</v>
      </c>
      <c r="I5128" s="78" t="s">
        <v>5959</v>
      </c>
      <c r="J5128" s="78" t="s">
        <v>69</v>
      </c>
      <c r="K5128" s="58">
        <f t="shared" si="14"/>
        <v>1</v>
      </c>
      <c r="L5128" s="91" t="str">
        <f t="shared" si="8"/>
        <v>Mon</v>
      </c>
      <c r="M5128" s="78" t="str">
        <f>IFERROR(VLOOKUP(A5128, Entries!A:B,2,false),"")</f>
        <v>Bethesda Softworks</v>
      </c>
      <c r="N5128" s="23" t="str">
        <f>IFERROR(VLOOKUP(A5128, Entries!A:K,11,false),"")</f>
        <v/>
      </c>
    </row>
    <row r="5129">
      <c r="A5129" s="78" t="s">
        <v>5933</v>
      </c>
      <c r="B5129" s="78" t="s">
        <v>25</v>
      </c>
      <c r="C5129" s="85">
        <v>45326.0</v>
      </c>
      <c r="D5129" s="85">
        <v>45347.0</v>
      </c>
      <c r="E5129" s="86">
        <v>28.99</v>
      </c>
      <c r="F5129" s="87">
        <v>33.93</v>
      </c>
      <c r="G5129" s="88">
        <f t="shared" si="1"/>
        <v>4.94</v>
      </c>
      <c r="H5129" s="89">
        <f t="shared" si="10"/>
        <v>0.1455938697</v>
      </c>
      <c r="I5129" s="78" t="s">
        <v>5960</v>
      </c>
      <c r="J5129" s="78" t="s">
        <v>69</v>
      </c>
      <c r="K5129" s="58">
        <f t="shared" si="14"/>
        <v>21</v>
      </c>
      <c r="L5129" s="91" t="str">
        <f t="shared" si="8"/>
        <v>Sun</v>
      </c>
      <c r="M5129" s="78" t="str">
        <f>IFERROR(VLOOKUP(A5129, Entries!A:B,2,false),"")</f>
        <v>Pocketpair</v>
      </c>
      <c r="N5129" s="23" t="str">
        <f>IFERROR(VLOOKUP(A5129, Entries!A:K,11,false),"")</f>
        <v/>
      </c>
    </row>
    <row r="5130">
      <c r="A5130" s="78" t="s">
        <v>5943</v>
      </c>
      <c r="B5130" s="78" t="s">
        <v>27</v>
      </c>
      <c r="C5130" s="85">
        <v>45327.0</v>
      </c>
      <c r="D5130" s="25"/>
      <c r="E5130" s="86">
        <v>21.59</v>
      </c>
      <c r="F5130" s="88"/>
      <c r="G5130" s="88">
        <f t="shared" si="1"/>
        <v>-21.59</v>
      </c>
      <c r="H5130" s="89" t="str">
        <f t="shared" si="10"/>
        <v/>
      </c>
      <c r="I5130" s="103" t="s">
        <v>5961</v>
      </c>
      <c r="J5130" s="78" t="s">
        <v>1129</v>
      </c>
      <c r="K5130" s="58" t="str">
        <f t="shared" si="14"/>
        <v/>
      </c>
      <c r="L5130" s="91" t="str">
        <f t="shared" si="8"/>
        <v/>
      </c>
      <c r="M5130" s="78" t="str">
        <f>IFERROR(VLOOKUP(A5130, Entries!A:B,2,false),"")</f>
        <v>CAPCOM</v>
      </c>
      <c r="N5130" s="23" t="str">
        <f>IFERROR(VLOOKUP(A5130, Entries!A:K,11,false),"")</f>
        <v/>
      </c>
    </row>
    <row r="5131">
      <c r="A5131" s="78" t="s">
        <v>4085</v>
      </c>
      <c r="B5131" s="78" t="s">
        <v>27</v>
      </c>
      <c r="C5131" s="85">
        <v>45327.0</v>
      </c>
      <c r="D5131" s="85">
        <v>45330.0</v>
      </c>
      <c r="E5131" s="86">
        <v>6.39</v>
      </c>
      <c r="F5131" s="87">
        <v>7.52</v>
      </c>
      <c r="G5131" s="88">
        <f t="shared" si="1"/>
        <v>1.13</v>
      </c>
      <c r="H5131" s="89">
        <f t="shared" si="10"/>
        <v>0.1502659574</v>
      </c>
      <c r="I5131" s="78" t="s">
        <v>5962</v>
      </c>
      <c r="J5131" s="78" t="s">
        <v>69</v>
      </c>
      <c r="K5131" s="58">
        <f t="shared" si="14"/>
        <v>3</v>
      </c>
      <c r="L5131" s="91" t="str">
        <f t="shared" si="8"/>
        <v>Thu</v>
      </c>
      <c r="M5131" s="78" t="str">
        <f>IFERROR(VLOOKUP(A5131, Entries!A:B,2,false),"")</f>
        <v>Bethesda Softworks</v>
      </c>
      <c r="N5131" s="23" t="str">
        <f>IFERROR(VLOOKUP(A5131, Entries!A:K,11,false),"")</f>
        <v/>
      </c>
    </row>
    <row r="5132">
      <c r="A5132" s="78" t="s">
        <v>2339</v>
      </c>
      <c r="B5132" s="78" t="s">
        <v>35</v>
      </c>
      <c r="C5132" s="85">
        <v>45329.0</v>
      </c>
      <c r="D5132" s="85">
        <v>45339.0</v>
      </c>
      <c r="E5132" s="86">
        <v>2.39</v>
      </c>
      <c r="F5132" s="87">
        <v>3.44</v>
      </c>
      <c r="G5132" s="88">
        <f t="shared" si="1"/>
        <v>1.05</v>
      </c>
      <c r="H5132" s="89">
        <f t="shared" si="10"/>
        <v>0.3052325581</v>
      </c>
      <c r="I5132" s="78" t="s">
        <v>5963</v>
      </c>
      <c r="J5132" s="78" t="s">
        <v>69</v>
      </c>
      <c r="K5132" s="58">
        <f t="shared" si="14"/>
        <v>10</v>
      </c>
      <c r="L5132" s="91" t="str">
        <f t="shared" si="8"/>
        <v>Sat</v>
      </c>
      <c r="M5132" s="78" t="str">
        <f>IFERROR(VLOOKUP(A5132, Entries!A:B,2,false),"")</f>
        <v>PlayWay</v>
      </c>
      <c r="N5132" s="23" t="str">
        <f>IFERROR(VLOOKUP(A5132, Entries!A:K,11,false),"")</f>
        <v/>
      </c>
    </row>
    <row r="5133">
      <c r="A5133" s="78" t="s">
        <v>2339</v>
      </c>
      <c r="B5133" s="78" t="s">
        <v>35</v>
      </c>
      <c r="C5133" s="85">
        <v>45329.0</v>
      </c>
      <c r="D5133" s="85">
        <v>45354.0</v>
      </c>
      <c r="E5133" s="86">
        <v>2.39</v>
      </c>
      <c r="F5133" s="87">
        <v>3.44</v>
      </c>
      <c r="G5133" s="88">
        <f t="shared" si="1"/>
        <v>1.05</v>
      </c>
      <c r="H5133" s="89">
        <f t="shared" si="10"/>
        <v>0.3052325581</v>
      </c>
      <c r="I5133" s="78" t="s">
        <v>5964</v>
      </c>
      <c r="J5133" s="78" t="s">
        <v>69</v>
      </c>
      <c r="K5133" s="58">
        <f t="shared" si="14"/>
        <v>25</v>
      </c>
      <c r="L5133" s="91" t="str">
        <f t="shared" si="8"/>
        <v>Sun</v>
      </c>
      <c r="M5133" s="78" t="str">
        <f>IFERROR(VLOOKUP(A5133, Entries!A:B,2,false),"")</f>
        <v>PlayWay</v>
      </c>
      <c r="N5133" s="23" t="str">
        <f>IFERROR(VLOOKUP(A5133, Entries!A:K,11,false),"")</f>
        <v/>
      </c>
    </row>
    <row r="5134">
      <c r="A5134" s="78" t="s">
        <v>2339</v>
      </c>
      <c r="B5134" s="78" t="s">
        <v>35</v>
      </c>
      <c r="C5134" s="85">
        <v>45329.0</v>
      </c>
      <c r="D5134" s="85">
        <v>45356.0</v>
      </c>
      <c r="E5134" s="86">
        <v>2.39</v>
      </c>
      <c r="F5134" s="87">
        <v>3.08</v>
      </c>
      <c r="G5134" s="88">
        <f t="shared" si="1"/>
        <v>0.69</v>
      </c>
      <c r="H5134" s="89">
        <f t="shared" si="10"/>
        <v>0.224025974</v>
      </c>
      <c r="I5134" s="78" t="s">
        <v>5965</v>
      </c>
      <c r="J5134" s="78" t="s">
        <v>69</v>
      </c>
      <c r="K5134" s="58">
        <f t="shared" si="14"/>
        <v>27</v>
      </c>
      <c r="L5134" s="91" t="str">
        <f t="shared" si="8"/>
        <v>Tue</v>
      </c>
      <c r="M5134" s="78" t="str">
        <f>IFERROR(VLOOKUP(A5134, Entries!A:B,2,false),"")</f>
        <v>PlayWay</v>
      </c>
      <c r="N5134" s="23" t="str">
        <f>IFERROR(VLOOKUP(A5134, Entries!A:K,11,false),"")</f>
        <v/>
      </c>
    </row>
    <row r="5135">
      <c r="A5135" s="78" t="s">
        <v>5676</v>
      </c>
      <c r="B5135" s="78" t="s">
        <v>27</v>
      </c>
      <c r="C5135" s="85">
        <v>45329.0</v>
      </c>
      <c r="D5135" s="85">
        <v>45331.0</v>
      </c>
      <c r="E5135" s="86">
        <v>40.16</v>
      </c>
      <c r="F5135" s="87">
        <v>44.9</v>
      </c>
      <c r="G5135" s="88">
        <f t="shared" si="1"/>
        <v>4.74</v>
      </c>
      <c r="H5135" s="89">
        <f t="shared" si="10"/>
        <v>0.1055679287</v>
      </c>
      <c r="I5135" s="78" t="s">
        <v>5966</v>
      </c>
      <c r="J5135" s="78" t="s">
        <v>69</v>
      </c>
      <c r="K5135" s="58">
        <f t="shared" si="14"/>
        <v>2</v>
      </c>
      <c r="L5135" s="91" t="str">
        <f t="shared" si="8"/>
        <v>Fri</v>
      </c>
      <c r="M5135" s="78" t="str">
        <f>IFERROR(VLOOKUP(A5135, Entries!A:B,2,false),"")</f>
        <v>Bethesda Softworks</v>
      </c>
      <c r="N5135" s="23" t="str">
        <f>IFERROR(VLOOKUP(A5135, Entries!A:K,11,false),"")</f>
        <v/>
      </c>
    </row>
    <row r="5136">
      <c r="A5136" s="78" t="s">
        <v>4085</v>
      </c>
      <c r="B5136" s="78" t="s">
        <v>27</v>
      </c>
      <c r="C5136" s="85">
        <v>45330.0</v>
      </c>
      <c r="D5136" s="85">
        <v>45331.0</v>
      </c>
      <c r="E5136" s="86">
        <v>6.39</v>
      </c>
      <c r="F5136" s="87">
        <v>7.52</v>
      </c>
      <c r="G5136" s="88">
        <f t="shared" si="1"/>
        <v>1.13</v>
      </c>
      <c r="H5136" s="89">
        <f t="shared" si="10"/>
        <v>0.1502659574</v>
      </c>
      <c r="I5136" s="78" t="s">
        <v>5967</v>
      </c>
      <c r="J5136" s="78" t="s">
        <v>69</v>
      </c>
      <c r="K5136" s="58">
        <f t="shared" si="14"/>
        <v>1</v>
      </c>
      <c r="L5136" s="91" t="str">
        <f t="shared" si="8"/>
        <v>Fri</v>
      </c>
      <c r="M5136" s="78" t="str">
        <f>IFERROR(VLOOKUP(A5136, Entries!A:B,2,false),"")</f>
        <v>Bethesda Softworks</v>
      </c>
      <c r="N5136" s="23" t="str">
        <f>IFERROR(VLOOKUP(A5136, Entries!A:K,11,false),"")</f>
        <v/>
      </c>
    </row>
    <row r="5137">
      <c r="A5137" s="78" t="s">
        <v>5676</v>
      </c>
      <c r="B5137" s="78" t="s">
        <v>27</v>
      </c>
      <c r="C5137" s="85">
        <v>45331.0</v>
      </c>
      <c r="D5137" s="85">
        <v>45332.0</v>
      </c>
      <c r="E5137" s="86">
        <v>40.59</v>
      </c>
      <c r="F5137" s="87">
        <v>44.9</v>
      </c>
      <c r="G5137" s="88">
        <f t="shared" si="1"/>
        <v>4.31</v>
      </c>
      <c r="H5137" s="89">
        <f t="shared" si="10"/>
        <v>0.09599109131</v>
      </c>
      <c r="I5137" s="78" t="s">
        <v>5968</v>
      </c>
      <c r="J5137" s="78" t="s">
        <v>69</v>
      </c>
      <c r="K5137" s="58">
        <f t="shared" si="14"/>
        <v>1</v>
      </c>
      <c r="L5137" s="91" t="str">
        <f t="shared" si="8"/>
        <v>Sat</v>
      </c>
      <c r="M5137" s="78" t="str">
        <f>IFERROR(VLOOKUP(A5137, Entries!A:B,2,false),"")</f>
        <v>Bethesda Softworks</v>
      </c>
      <c r="N5137" s="23" t="str">
        <f>IFERROR(VLOOKUP(A5137, Entries!A:K,11,false),"")</f>
        <v/>
      </c>
    </row>
    <row r="5138">
      <c r="A5138" s="78" t="s">
        <v>4085</v>
      </c>
      <c r="B5138" s="78" t="s">
        <v>27</v>
      </c>
      <c r="C5138" s="85">
        <v>45331.0</v>
      </c>
      <c r="D5138" s="85">
        <v>45333.0</v>
      </c>
      <c r="E5138" s="86">
        <v>6.39</v>
      </c>
      <c r="F5138" s="87">
        <v>7.52</v>
      </c>
      <c r="G5138" s="88">
        <f t="shared" si="1"/>
        <v>1.13</v>
      </c>
      <c r="H5138" s="89">
        <f t="shared" si="10"/>
        <v>0.1502659574</v>
      </c>
      <c r="I5138" s="78" t="s">
        <v>5969</v>
      </c>
      <c r="J5138" s="78" t="s">
        <v>69</v>
      </c>
      <c r="K5138" s="58">
        <f t="shared" si="14"/>
        <v>2</v>
      </c>
      <c r="L5138" s="91" t="str">
        <f t="shared" si="8"/>
        <v>Sun</v>
      </c>
      <c r="M5138" s="78" t="str">
        <f>IFERROR(VLOOKUP(A5138, Entries!A:B,2,false),"")</f>
        <v>Bethesda Softworks</v>
      </c>
      <c r="N5138" s="23" t="str">
        <f>IFERROR(VLOOKUP(A5138, Entries!A:K,11,false),"")</f>
        <v/>
      </c>
    </row>
    <row r="5139">
      <c r="A5139" s="78" t="s">
        <v>5676</v>
      </c>
      <c r="B5139" s="78" t="s">
        <v>27</v>
      </c>
      <c r="C5139" s="85">
        <v>45332.0</v>
      </c>
      <c r="D5139" s="85">
        <v>45333.0</v>
      </c>
      <c r="E5139" s="86">
        <v>40.31</v>
      </c>
      <c r="F5139" s="87">
        <v>44.9</v>
      </c>
      <c r="G5139" s="88">
        <f t="shared" si="1"/>
        <v>4.59</v>
      </c>
      <c r="H5139" s="89">
        <f t="shared" si="10"/>
        <v>0.1022271715</v>
      </c>
      <c r="I5139" s="78" t="s">
        <v>5970</v>
      </c>
      <c r="J5139" s="78" t="s">
        <v>69</v>
      </c>
      <c r="K5139" s="58">
        <f t="shared" si="14"/>
        <v>1</v>
      </c>
      <c r="L5139" s="91" t="str">
        <f t="shared" si="8"/>
        <v>Sun</v>
      </c>
      <c r="M5139" s="78" t="str">
        <f>IFERROR(VLOOKUP(A5139, Entries!A:B,2,false),"")</f>
        <v>Bethesda Softworks</v>
      </c>
      <c r="N5139" s="23" t="str">
        <f>IFERROR(VLOOKUP(A5139, Entries!A:K,11,false),"")</f>
        <v/>
      </c>
    </row>
    <row r="5140">
      <c r="A5140" s="78" t="s">
        <v>5676</v>
      </c>
      <c r="B5140" s="78" t="s">
        <v>27</v>
      </c>
      <c r="C5140" s="85">
        <v>45333.0</v>
      </c>
      <c r="D5140" s="85">
        <v>45333.0</v>
      </c>
      <c r="E5140" s="86">
        <v>40.59</v>
      </c>
      <c r="F5140" s="87">
        <v>44.9</v>
      </c>
      <c r="G5140" s="88">
        <f t="shared" si="1"/>
        <v>4.31</v>
      </c>
      <c r="H5140" s="89">
        <f t="shared" si="10"/>
        <v>0.09599109131</v>
      </c>
      <c r="I5140" s="78" t="s">
        <v>5971</v>
      </c>
      <c r="J5140" s="78" t="s">
        <v>69</v>
      </c>
      <c r="K5140" s="58">
        <f t="shared" si="14"/>
        <v>0</v>
      </c>
      <c r="L5140" s="91" t="str">
        <f t="shared" si="8"/>
        <v>Sun</v>
      </c>
      <c r="M5140" s="78" t="str">
        <f>IFERROR(VLOOKUP(A5140, Entries!A:B,2,false),"")</f>
        <v>Bethesda Softworks</v>
      </c>
      <c r="N5140" s="23" t="str">
        <f>IFERROR(VLOOKUP(A5140, Entries!A:K,11,false),"")</f>
        <v/>
      </c>
    </row>
    <row r="5141">
      <c r="A5141" s="78" t="s">
        <v>5676</v>
      </c>
      <c r="B5141" s="78" t="s">
        <v>27</v>
      </c>
      <c r="C5141" s="85">
        <v>45333.0</v>
      </c>
      <c r="D5141" s="85">
        <v>45333.0</v>
      </c>
      <c r="E5141" s="86">
        <v>40.59</v>
      </c>
      <c r="F5141" s="87">
        <v>44.9</v>
      </c>
      <c r="G5141" s="88">
        <f t="shared" si="1"/>
        <v>4.31</v>
      </c>
      <c r="H5141" s="89">
        <f t="shared" si="10"/>
        <v>0.09599109131</v>
      </c>
      <c r="I5141" s="78" t="s">
        <v>5972</v>
      </c>
      <c r="J5141" s="78" t="s">
        <v>69</v>
      </c>
      <c r="K5141" s="58">
        <f t="shared" si="14"/>
        <v>0</v>
      </c>
      <c r="L5141" s="91" t="str">
        <f t="shared" si="8"/>
        <v>Sun</v>
      </c>
      <c r="M5141" s="78" t="str">
        <f>IFERROR(VLOOKUP(A5141, Entries!A:B,2,false),"")</f>
        <v>Bethesda Softworks</v>
      </c>
      <c r="N5141" s="23" t="str">
        <f>IFERROR(VLOOKUP(A5141, Entries!A:K,11,false),"")</f>
        <v/>
      </c>
    </row>
    <row r="5142">
      <c r="A5142" s="78" t="s">
        <v>5676</v>
      </c>
      <c r="B5142" s="78" t="s">
        <v>27</v>
      </c>
      <c r="C5142" s="85">
        <v>45333.0</v>
      </c>
      <c r="D5142" s="85">
        <v>45334.0</v>
      </c>
      <c r="E5142" s="86">
        <v>40.38</v>
      </c>
      <c r="F5142" s="87">
        <v>44.9</v>
      </c>
      <c r="G5142" s="88">
        <f t="shared" si="1"/>
        <v>4.52</v>
      </c>
      <c r="H5142" s="89">
        <f t="shared" si="10"/>
        <v>0.1006681514</v>
      </c>
      <c r="I5142" s="78" t="s">
        <v>5973</v>
      </c>
      <c r="J5142" s="78" t="s">
        <v>69</v>
      </c>
      <c r="K5142" s="58">
        <f t="shared" si="14"/>
        <v>1</v>
      </c>
      <c r="L5142" s="91" t="str">
        <f t="shared" si="8"/>
        <v>Mon</v>
      </c>
      <c r="M5142" s="78" t="str">
        <f>IFERROR(VLOOKUP(A5142, Entries!A:B,2,false),"")</f>
        <v>Bethesda Softworks</v>
      </c>
      <c r="N5142" s="23" t="str">
        <f>IFERROR(VLOOKUP(A5142, Entries!A:K,11,false),"")</f>
        <v/>
      </c>
    </row>
    <row r="5143">
      <c r="A5143" s="78" t="s">
        <v>4085</v>
      </c>
      <c r="B5143" s="78" t="s">
        <v>27</v>
      </c>
      <c r="C5143" s="85">
        <v>45333.0</v>
      </c>
      <c r="D5143" s="85">
        <v>45335.0</v>
      </c>
      <c r="E5143" s="86">
        <v>6.39</v>
      </c>
      <c r="F5143" s="87">
        <v>7.52</v>
      </c>
      <c r="G5143" s="88">
        <f t="shared" si="1"/>
        <v>1.13</v>
      </c>
      <c r="H5143" s="89">
        <f t="shared" si="10"/>
        <v>0.1502659574</v>
      </c>
      <c r="I5143" s="78" t="s">
        <v>5974</v>
      </c>
      <c r="J5143" s="78" t="s">
        <v>69</v>
      </c>
      <c r="K5143" s="58">
        <f t="shared" si="14"/>
        <v>2</v>
      </c>
      <c r="L5143" s="91" t="str">
        <f t="shared" si="8"/>
        <v>Tue</v>
      </c>
      <c r="M5143" s="78" t="str">
        <f>IFERROR(VLOOKUP(A5143, Entries!A:B,2,false),"")</f>
        <v>Bethesda Softworks</v>
      </c>
      <c r="N5143" s="23" t="str">
        <f>IFERROR(VLOOKUP(A5143, Entries!A:K,11,false),"")</f>
        <v/>
      </c>
    </row>
    <row r="5144">
      <c r="A5144" s="78" t="s">
        <v>3430</v>
      </c>
      <c r="B5144" s="78" t="s">
        <v>21</v>
      </c>
      <c r="C5144" s="85">
        <v>45333.0</v>
      </c>
      <c r="D5144" s="25"/>
      <c r="E5144" s="86">
        <v>8.06</v>
      </c>
      <c r="F5144" s="88"/>
      <c r="G5144" s="88">
        <f t="shared" si="1"/>
        <v>-8.06</v>
      </c>
      <c r="H5144" s="89" t="str">
        <f t="shared" si="10"/>
        <v/>
      </c>
      <c r="I5144" s="103" t="s">
        <v>5975</v>
      </c>
      <c r="J5144" s="78" t="s">
        <v>1129</v>
      </c>
      <c r="K5144" s="58" t="str">
        <f t="shared" si="14"/>
        <v/>
      </c>
      <c r="L5144" s="91" t="str">
        <f t="shared" si="8"/>
        <v/>
      </c>
      <c r="M5144" s="78" t="str">
        <f>IFERROR(VLOOKUP(A5144, Entries!A:B,2,false),"")</f>
        <v>HandyGames</v>
      </c>
      <c r="N5144" s="23" t="str">
        <f>IFERROR(VLOOKUP(A5144, Entries!A:K,11,false),"")</f>
        <v/>
      </c>
    </row>
    <row r="5145">
      <c r="A5145" s="78" t="s">
        <v>5676</v>
      </c>
      <c r="B5145" s="78" t="s">
        <v>27</v>
      </c>
      <c r="C5145" s="85">
        <v>45334.0</v>
      </c>
      <c r="D5145" s="85">
        <v>45334.0</v>
      </c>
      <c r="E5145" s="86">
        <v>40.59</v>
      </c>
      <c r="F5145" s="87">
        <v>44.91</v>
      </c>
      <c r="G5145" s="88">
        <f t="shared" si="1"/>
        <v>4.32</v>
      </c>
      <c r="H5145" s="89">
        <f t="shared" si="10"/>
        <v>0.09619238477</v>
      </c>
      <c r="I5145" s="78" t="s">
        <v>5976</v>
      </c>
      <c r="J5145" s="78" t="s">
        <v>69</v>
      </c>
      <c r="K5145" s="58">
        <f t="shared" si="14"/>
        <v>0</v>
      </c>
      <c r="L5145" s="91" t="str">
        <f t="shared" si="8"/>
        <v>Mon</v>
      </c>
      <c r="M5145" s="78" t="str">
        <f>IFERROR(VLOOKUP(A5145, Entries!A:B,2,false),"")</f>
        <v>Bethesda Softworks</v>
      </c>
      <c r="N5145" s="23" t="str">
        <f>IFERROR(VLOOKUP(A5145, Entries!A:K,11,false),"")</f>
        <v/>
      </c>
    </row>
    <row r="5146">
      <c r="A5146" s="78" t="s">
        <v>5817</v>
      </c>
      <c r="B5146" s="78" t="s">
        <v>22</v>
      </c>
      <c r="C5146" s="85">
        <v>45334.0</v>
      </c>
      <c r="D5146" s="85">
        <v>45334.0</v>
      </c>
      <c r="E5146" s="86">
        <v>12.78</v>
      </c>
      <c r="F5146" s="87">
        <v>21.5</v>
      </c>
      <c r="G5146" s="88">
        <f t="shared" si="1"/>
        <v>8.72</v>
      </c>
      <c r="H5146" s="89">
        <f t="shared" si="10"/>
        <v>0.4055813953</v>
      </c>
      <c r="I5146" s="78" t="s">
        <v>5977</v>
      </c>
      <c r="J5146" s="78" t="s">
        <v>69</v>
      </c>
      <c r="K5146" s="58">
        <f t="shared" si="14"/>
        <v>0</v>
      </c>
      <c r="L5146" s="91" t="str">
        <f t="shared" si="8"/>
        <v>Mon</v>
      </c>
      <c r="M5146" s="78" t="str">
        <f>IFERROR(VLOOKUP(A5146, Entries!A:B,2,false),"")</f>
        <v>IO Interactive</v>
      </c>
      <c r="N5146" s="23" t="str">
        <f>IFERROR(VLOOKUP(A5146, Entries!A:K,11,false),"")</f>
        <v/>
      </c>
      <c r="P5146" s="78" t="s">
        <v>5978</v>
      </c>
    </row>
    <row r="5147">
      <c r="A5147" s="78" t="s">
        <v>5676</v>
      </c>
      <c r="B5147" s="78" t="s">
        <v>27</v>
      </c>
      <c r="C5147" s="85">
        <v>45334.0</v>
      </c>
      <c r="D5147" s="85">
        <v>45338.0</v>
      </c>
      <c r="E5147" s="86">
        <v>40.59</v>
      </c>
      <c r="F5147" s="87">
        <v>43.03</v>
      </c>
      <c r="G5147" s="88">
        <f t="shared" si="1"/>
        <v>2.44</v>
      </c>
      <c r="H5147" s="89">
        <f t="shared" si="10"/>
        <v>0.05670462468</v>
      </c>
      <c r="I5147" s="78" t="s">
        <v>5979</v>
      </c>
      <c r="J5147" s="78" t="s">
        <v>69</v>
      </c>
      <c r="K5147" s="58">
        <f t="shared" si="14"/>
        <v>4</v>
      </c>
      <c r="L5147" s="91" t="str">
        <f t="shared" si="8"/>
        <v>Fri</v>
      </c>
      <c r="M5147" s="78" t="str">
        <f>IFERROR(VLOOKUP(A5147, Entries!A:B,2,false),"")</f>
        <v>Bethesda Softworks</v>
      </c>
      <c r="N5147" s="23" t="str">
        <f>IFERROR(VLOOKUP(A5147, Entries!A:K,11,false),"")</f>
        <v/>
      </c>
    </row>
    <row r="5148">
      <c r="A5148" s="78" t="s">
        <v>5817</v>
      </c>
      <c r="B5148" s="78" t="s">
        <v>22</v>
      </c>
      <c r="C5148" s="85">
        <v>45334.0</v>
      </c>
      <c r="D5148" s="85">
        <v>45340.0</v>
      </c>
      <c r="E5148" s="86">
        <v>12.78</v>
      </c>
      <c r="F5148" s="87">
        <v>22.0</v>
      </c>
      <c r="G5148" s="88">
        <f t="shared" si="1"/>
        <v>9.22</v>
      </c>
      <c r="H5148" s="89">
        <f t="shared" si="10"/>
        <v>0.4190909091</v>
      </c>
      <c r="I5148" s="78" t="s">
        <v>5980</v>
      </c>
      <c r="J5148" s="78" t="s">
        <v>69</v>
      </c>
      <c r="K5148" s="58">
        <f t="shared" si="14"/>
        <v>6</v>
      </c>
      <c r="L5148" s="91" t="str">
        <f t="shared" si="8"/>
        <v>Sun</v>
      </c>
      <c r="M5148" s="78" t="str">
        <f>IFERROR(VLOOKUP(A5148, Entries!A:B,2,false),"")</f>
        <v>IO Interactive</v>
      </c>
      <c r="N5148" s="23" t="str">
        <f>IFERROR(VLOOKUP(A5148, Entries!A:K,11,false),"")</f>
        <v/>
      </c>
      <c r="P5148" s="78" t="s">
        <v>3275</v>
      </c>
    </row>
    <row r="5149">
      <c r="A5149" s="78" t="s">
        <v>1596</v>
      </c>
      <c r="B5149" s="78" t="s">
        <v>32</v>
      </c>
      <c r="C5149" s="85">
        <v>45334.0</v>
      </c>
      <c r="D5149" s="85">
        <v>45364.0</v>
      </c>
      <c r="E5149" s="86">
        <v>37.98</v>
      </c>
      <c r="F5149" s="87">
        <v>51.12</v>
      </c>
      <c r="G5149" s="88">
        <f t="shared" si="1"/>
        <v>13.14</v>
      </c>
      <c r="H5149" s="89">
        <f t="shared" si="10"/>
        <v>0.2570422535</v>
      </c>
      <c r="I5149" s="78" t="s">
        <v>5981</v>
      </c>
      <c r="J5149" s="78" t="s">
        <v>69</v>
      </c>
      <c r="K5149" s="58">
        <f t="shared" si="14"/>
        <v>30</v>
      </c>
      <c r="L5149" s="91" t="str">
        <f t="shared" si="8"/>
        <v>Wed</v>
      </c>
      <c r="M5149" s="78" t="str">
        <f>IFERROR(VLOOKUP(A5149, Entries!A:B,2,false),"")</f>
        <v>505 Games</v>
      </c>
      <c r="N5149" s="23" t="str">
        <f>IFERROR(VLOOKUP(A5149, Entries!A:K,11,false),"")</f>
        <v/>
      </c>
    </row>
    <row r="5150">
      <c r="A5150" s="78" t="s">
        <v>4085</v>
      </c>
      <c r="B5150" s="78" t="s">
        <v>27</v>
      </c>
      <c r="C5150" s="85">
        <v>45335.0</v>
      </c>
      <c r="D5150" s="85">
        <v>45346.0</v>
      </c>
      <c r="E5150" s="86">
        <v>6.39</v>
      </c>
      <c r="F5150" s="87">
        <v>7.2</v>
      </c>
      <c r="G5150" s="88">
        <f t="shared" si="1"/>
        <v>0.81</v>
      </c>
      <c r="H5150" s="89">
        <f t="shared" si="10"/>
        <v>0.1125</v>
      </c>
      <c r="I5150" s="78" t="s">
        <v>5982</v>
      </c>
      <c r="J5150" s="78" t="s">
        <v>69</v>
      </c>
      <c r="K5150" s="58">
        <f t="shared" si="14"/>
        <v>11</v>
      </c>
      <c r="L5150" s="91" t="str">
        <f t="shared" si="8"/>
        <v>Sat</v>
      </c>
      <c r="M5150" s="78" t="str">
        <f>IFERROR(VLOOKUP(A5150, Entries!A:B,2,false),"")</f>
        <v>Bethesda Softworks</v>
      </c>
      <c r="N5150" s="23" t="str">
        <f>IFERROR(VLOOKUP(A5150, Entries!A:K,11,false),"")</f>
        <v/>
      </c>
    </row>
    <row r="5151">
      <c r="A5151" s="78" t="s">
        <v>4944</v>
      </c>
      <c r="B5151" s="78" t="s">
        <v>21</v>
      </c>
      <c r="C5151" s="85">
        <v>45336.0</v>
      </c>
      <c r="D5151" s="85">
        <v>45384.0</v>
      </c>
      <c r="E5151" s="86">
        <v>23.76</v>
      </c>
      <c r="F5151" s="87">
        <v>27.03</v>
      </c>
      <c r="G5151" s="88">
        <f t="shared" si="1"/>
        <v>3.27</v>
      </c>
      <c r="H5151" s="89">
        <f t="shared" si="10"/>
        <v>0.1209766926</v>
      </c>
      <c r="I5151" s="78" t="s">
        <v>5983</v>
      </c>
      <c r="J5151" s="78" t="s">
        <v>69</v>
      </c>
      <c r="K5151" s="58">
        <f t="shared" si="14"/>
        <v>48</v>
      </c>
      <c r="L5151" s="91" t="str">
        <f t="shared" si="8"/>
        <v>Tue</v>
      </c>
      <c r="M5151" s="78" t="str">
        <f>IFERROR(VLOOKUP(A5151, Entries!A:B,2,false),"")</f>
        <v>Focus Home Interactive</v>
      </c>
      <c r="N5151" s="23" t="str">
        <f>IFERROR(VLOOKUP(A5151, Entries!A:K,11,false),"")</f>
        <v/>
      </c>
    </row>
    <row r="5152">
      <c r="A5152" s="78" t="s">
        <v>5984</v>
      </c>
      <c r="B5152" s="78" t="s">
        <v>27</v>
      </c>
      <c r="C5152" s="85">
        <v>45336.0</v>
      </c>
      <c r="D5152" s="85">
        <v>45337.0</v>
      </c>
      <c r="E5152" s="86">
        <v>34.59</v>
      </c>
      <c r="F5152" s="87">
        <v>38.49</v>
      </c>
      <c r="G5152" s="88">
        <f t="shared" si="1"/>
        <v>3.9</v>
      </c>
      <c r="H5152" s="89">
        <f t="shared" si="10"/>
        <v>0.1013250195</v>
      </c>
      <c r="I5152" s="78" t="s">
        <v>5985</v>
      </c>
      <c r="J5152" s="78" t="s">
        <v>69</v>
      </c>
      <c r="K5152" s="58">
        <f t="shared" si="14"/>
        <v>1</v>
      </c>
      <c r="L5152" s="91" t="str">
        <f t="shared" si="8"/>
        <v>Thu</v>
      </c>
      <c r="M5152" s="78" t="str">
        <f>IFERROR(VLOOKUP(A5152, Entries!A:B,2,false),"")</f>
        <v>BANDAI NAMCO</v>
      </c>
      <c r="N5152" s="23" t="str">
        <f>IFERROR(VLOOKUP(A5152, Entries!A:K,11,false),"")</f>
        <v/>
      </c>
    </row>
    <row r="5153">
      <c r="A5153" s="78" t="s">
        <v>5984</v>
      </c>
      <c r="B5153" s="78" t="s">
        <v>27</v>
      </c>
      <c r="C5153" s="85">
        <v>45336.0</v>
      </c>
      <c r="D5153" s="85">
        <v>45338.0</v>
      </c>
      <c r="E5153" s="86">
        <v>32.59</v>
      </c>
      <c r="F5153" s="87">
        <v>39.0</v>
      </c>
      <c r="G5153" s="88">
        <f t="shared" si="1"/>
        <v>6.41</v>
      </c>
      <c r="H5153" s="89">
        <f t="shared" si="10"/>
        <v>0.1643589744</v>
      </c>
      <c r="I5153" s="78" t="s">
        <v>5986</v>
      </c>
      <c r="J5153" s="78" t="s">
        <v>69</v>
      </c>
      <c r="K5153" s="58">
        <f t="shared" si="14"/>
        <v>2</v>
      </c>
      <c r="L5153" s="91" t="str">
        <f t="shared" si="8"/>
        <v>Fri</v>
      </c>
      <c r="M5153" s="78" t="str">
        <f>IFERROR(VLOOKUP(A5153, Entries!A:B,2,false),"")</f>
        <v>BANDAI NAMCO</v>
      </c>
      <c r="N5153" s="23" t="str">
        <f>IFERROR(VLOOKUP(A5153, Entries!A:K,11,false),"")</f>
        <v/>
      </c>
    </row>
    <row r="5154">
      <c r="A5154" s="78" t="s">
        <v>4085</v>
      </c>
      <c r="B5154" s="78" t="s">
        <v>27</v>
      </c>
      <c r="C5154" s="85">
        <v>45336.0</v>
      </c>
      <c r="D5154" s="85">
        <v>45347.0</v>
      </c>
      <c r="E5154" s="86">
        <v>5.54</v>
      </c>
      <c r="F5154" s="87">
        <v>7.31</v>
      </c>
      <c r="G5154" s="88">
        <f t="shared" si="1"/>
        <v>1.77</v>
      </c>
      <c r="H5154" s="89">
        <f t="shared" si="10"/>
        <v>0.2421340629</v>
      </c>
      <c r="I5154" s="78" t="s">
        <v>5987</v>
      </c>
      <c r="J5154" s="78" t="s">
        <v>69</v>
      </c>
      <c r="K5154" s="58">
        <f t="shared" si="14"/>
        <v>11</v>
      </c>
      <c r="L5154" s="91" t="str">
        <f t="shared" si="8"/>
        <v>Sun</v>
      </c>
      <c r="M5154" s="78" t="str">
        <f>IFERROR(VLOOKUP(A5154, Entries!A:B,2,false),"")</f>
        <v>Bethesda Softworks</v>
      </c>
      <c r="N5154" s="23" t="str">
        <f>IFERROR(VLOOKUP(A5154, Entries!A:K,11,false),"")</f>
        <v/>
      </c>
    </row>
    <row r="5155">
      <c r="A5155" s="78" t="s">
        <v>5988</v>
      </c>
      <c r="B5155" s="78" t="s">
        <v>27</v>
      </c>
      <c r="C5155" s="85">
        <v>45336.0</v>
      </c>
      <c r="D5155" s="85">
        <v>45337.0</v>
      </c>
      <c r="E5155" s="86">
        <v>14.1</v>
      </c>
      <c r="F5155" s="87">
        <v>15.06</v>
      </c>
      <c r="G5155" s="88">
        <f t="shared" si="1"/>
        <v>0.96</v>
      </c>
      <c r="H5155" s="89">
        <f t="shared" si="10"/>
        <v>0.06374501992</v>
      </c>
      <c r="I5155" s="78" t="s">
        <v>5989</v>
      </c>
      <c r="J5155" s="78" t="s">
        <v>69</v>
      </c>
      <c r="K5155" s="58">
        <f t="shared" si="14"/>
        <v>1</v>
      </c>
      <c r="L5155" s="91" t="str">
        <f t="shared" si="8"/>
        <v>Thu</v>
      </c>
      <c r="M5155" s="78" t="str">
        <f>IFERROR(VLOOKUP(A5155, Entries!A:B,2,false),"")</f>
        <v>Team17 Digital</v>
      </c>
      <c r="N5155" s="23" t="str">
        <f>IFERROR(VLOOKUP(A5155, Entries!A:K,11,false),"")</f>
        <v/>
      </c>
    </row>
    <row r="5156">
      <c r="A5156" s="78" t="s">
        <v>5988</v>
      </c>
      <c r="B5156" s="78" t="s">
        <v>27</v>
      </c>
      <c r="C5156" s="85">
        <v>45337.0</v>
      </c>
      <c r="D5156" s="85">
        <v>45337.0</v>
      </c>
      <c r="E5156" s="86">
        <v>13.75</v>
      </c>
      <c r="F5156" s="87">
        <v>15.07</v>
      </c>
      <c r="G5156" s="88">
        <f t="shared" si="1"/>
        <v>1.32</v>
      </c>
      <c r="H5156" s="89">
        <f t="shared" si="10"/>
        <v>0.08759124088</v>
      </c>
      <c r="I5156" s="78" t="s">
        <v>5990</v>
      </c>
      <c r="J5156" s="78" t="s">
        <v>69</v>
      </c>
      <c r="K5156" s="58">
        <f t="shared" si="14"/>
        <v>0</v>
      </c>
      <c r="L5156" s="91" t="str">
        <f t="shared" si="8"/>
        <v>Thu</v>
      </c>
      <c r="M5156" s="78" t="str">
        <f>IFERROR(VLOOKUP(A5156, Entries!A:B,2,false),"")</f>
        <v>Team17 Digital</v>
      </c>
      <c r="N5156" s="23" t="str">
        <f>IFERROR(VLOOKUP(A5156, Entries!A:K,11,false),"")</f>
        <v/>
      </c>
    </row>
    <row r="5157">
      <c r="A5157" s="78" t="s">
        <v>5988</v>
      </c>
      <c r="B5157" s="78" t="s">
        <v>27</v>
      </c>
      <c r="C5157" s="85">
        <v>45338.0</v>
      </c>
      <c r="D5157" s="85">
        <v>45338.0</v>
      </c>
      <c r="E5157" s="86">
        <v>14.12</v>
      </c>
      <c r="F5157" s="87">
        <v>15.07</v>
      </c>
      <c r="G5157" s="88">
        <f t="shared" si="1"/>
        <v>0.95</v>
      </c>
      <c r="H5157" s="89">
        <f t="shared" si="10"/>
        <v>0.06303915063</v>
      </c>
      <c r="I5157" s="78" t="s">
        <v>5991</v>
      </c>
      <c r="J5157" s="78" t="s">
        <v>69</v>
      </c>
      <c r="K5157" s="58">
        <f t="shared" si="14"/>
        <v>0</v>
      </c>
      <c r="L5157" s="91" t="str">
        <f t="shared" si="8"/>
        <v>Fri</v>
      </c>
      <c r="M5157" s="78" t="str">
        <f>IFERROR(VLOOKUP(A5157, Entries!A:B,2,false),"")</f>
        <v>Team17 Digital</v>
      </c>
      <c r="N5157" s="23" t="str">
        <f>IFERROR(VLOOKUP(A5157, Entries!A:K,11,false),"")</f>
        <v/>
      </c>
    </row>
    <row r="5158">
      <c r="A5158" s="78" t="s">
        <v>4252</v>
      </c>
      <c r="B5158" s="78" t="s">
        <v>27</v>
      </c>
      <c r="C5158" s="85">
        <v>45338.0</v>
      </c>
      <c r="D5158" s="85">
        <v>45338.0</v>
      </c>
      <c r="E5158" s="86">
        <v>23.39</v>
      </c>
      <c r="F5158" s="87">
        <v>26.65</v>
      </c>
      <c r="G5158" s="88">
        <f t="shared" si="1"/>
        <v>3.26</v>
      </c>
      <c r="H5158" s="89">
        <f t="shared" si="10"/>
        <v>0.122326454</v>
      </c>
      <c r="I5158" s="78" t="s">
        <v>5992</v>
      </c>
      <c r="J5158" s="78" t="s">
        <v>69</v>
      </c>
      <c r="K5158" s="58">
        <f t="shared" si="14"/>
        <v>0</v>
      </c>
      <c r="L5158" s="91" t="str">
        <f t="shared" si="8"/>
        <v>Fri</v>
      </c>
      <c r="M5158" s="78" t="str">
        <f>IFERROR(VLOOKUP(A5158, Entries!A:B,2,false),"")</f>
        <v>PlayStation</v>
      </c>
      <c r="N5158" s="23" t="str">
        <f>IFERROR(VLOOKUP(A5158, Entries!A:K,11,false),"")</f>
        <v/>
      </c>
    </row>
    <row r="5159">
      <c r="A5159" s="78" t="s">
        <v>5988</v>
      </c>
      <c r="B5159" s="78" t="s">
        <v>27</v>
      </c>
      <c r="C5159" s="85">
        <v>45338.0</v>
      </c>
      <c r="D5159" s="85">
        <v>45338.0</v>
      </c>
      <c r="E5159" s="86">
        <v>14.39</v>
      </c>
      <c r="F5159" s="87">
        <v>15.07</v>
      </c>
      <c r="G5159" s="88">
        <f t="shared" si="1"/>
        <v>0.68</v>
      </c>
      <c r="H5159" s="89">
        <f t="shared" si="10"/>
        <v>0.04512276045</v>
      </c>
      <c r="I5159" s="78" t="s">
        <v>5993</v>
      </c>
      <c r="J5159" s="78" t="s">
        <v>69</v>
      </c>
      <c r="K5159" s="58">
        <f t="shared" si="14"/>
        <v>0</v>
      </c>
      <c r="L5159" s="91" t="str">
        <f t="shared" si="8"/>
        <v>Fri</v>
      </c>
      <c r="M5159" s="78" t="str">
        <f>IFERROR(VLOOKUP(A5159, Entries!A:B,2,false),"")</f>
        <v>Team17 Digital</v>
      </c>
      <c r="N5159" s="23" t="str">
        <f>IFERROR(VLOOKUP(A5159, Entries!A:K,11,false),"")</f>
        <v/>
      </c>
    </row>
    <row r="5160">
      <c r="A5160" s="78" t="s">
        <v>5994</v>
      </c>
      <c r="B5160" s="78" t="s">
        <v>25</v>
      </c>
      <c r="C5160" s="85">
        <v>45338.0</v>
      </c>
      <c r="D5160" s="85">
        <v>45338.0</v>
      </c>
      <c r="E5160" s="86">
        <v>0.0</v>
      </c>
      <c r="F5160" s="87">
        <v>1.28</v>
      </c>
      <c r="G5160" s="88">
        <f t="shared" si="1"/>
        <v>1.28</v>
      </c>
      <c r="H5160" s="89">
        <f t="shared" si="10"/>
        <v>1</v>
      </c>
      <c r="I5160" s="78" t="s">
        <v>5995</v>
      </c>
      <c r="J5160" s="78" t="s">
        <v>69</v>
      </c>
      <c r="K5160" s="58">
        <f t="shared" si="14"/>
        <v>0</v>
      </c>
      <c r="L5160" s="91" t="str">
        <f t="shared" si="8"/>
        <v>Fri</v>
      </c>
      <c r="M5160" s="78" t="str">
        <f>IFERROR(VLOOKUP(A5160, Entries!A:B,2,false),"")</f>
        <v>Warner Bros</v>
      </c>
      <c r="N5160" s="23" t="str">
        <f>IFERROR(VLOOKUP(A5160, Entries!A:K,11,false),"")</f>
        <v/>
      </c>
    </row>
    <row r="5161">
      <c r="A5161" s="78" t="s">
        <v>5984</v>
      </c>
      <c r="B5161" s="78" t="s">
        <v>27</v>
      </c>
      <c r="C5161" s="85">
        <v>45338.0</v>
      </c>
      <c r="D5161" s="85">
        <v>45339.0</v>
      </c>
      <c r="E5161" s="86">
        <v>34.99</v>
      </c>
      <c r="F5161" s="87">
        <v>39.0</v>
      </c>
      <c r="G5161" s="88">
        <f t="shared" si="1"/>
        <v>4.01</v>
      </c>
      <c r="H5161" s="89">
        <f t="shared" si="10"/>
        <v>0.1028205128</v>
      </c>
      <c r="I5161" s="78" t="s">
        <v>5996</v>
      </c>
      <c r="J5161" s="78" t="s">
        <v>69</v>
      </c>
      <c r="K5161" s="58">
        <f t="shared" si="14"/>
        <v>1</v>
      </c>
      <c r="L5161" s="91" t="str">
        <f t="shared" si="8"/>
        <v>Sat</v>
      </c>
      <c r="M5161" s="78" t="str">
        <f>IFERROR(VLOOKUP(A5161, Entries!A:B,2,false),"")</f>
        <v>BANDAI NAMCO</v>
      </c>
      <c r="N5161" s="23" t="str">
        <f>IFERROR(VLOOKUP(A5161, Entries!A:K,11,false),"")</f>
        <v/>
      </c>
    </row>
    <row r="5162">
      <c r="A5162" s="78" t="s">
        <v>5988</v>
      </c>
      <c r="B5162" s="78" t="s">
        <v>27</v>
      </c>
      <c r="C5162" s="85">
        <v>45338.0</v>
      </c>
      <c r="D5162" s="85">
        <v>45338.0</v>
      </c>
      <c r="E5162" s="86">
        <v>14.39</v>
      </c>
      <c r="F5162" s="87">
        <v>15.07</v>
      </c>
      <c r="G5162" s="88">
        <f t="shared" si="1"/>
        <v>0.68</v>
      </c>
      <c r="H5162" s="89">
        <f t="shared" si="10"/>
        <v>0.04512276045</v>
      </c>
      <c r="I5162" s="78" t="s">
        <v>5997</v>
      </c>
      <c r="J5162" s="78" t="s">
        <v>69</v>
      </c>
      <c r="K5162" s="58">
        <f t="shared" si="14"/>
        <v>0</v>
      </c>
      <c r="L5162" s="91" t="str">
        <f t="shared" si="8"/>
        <v>Fri</v>
      </c>
      <c r="M5162" s="78" t="str">
        <f>IFERROR(VLOOKUP(A5162, Entries!A:B,2,false),"")</f>
        <v>Team17 Digital</v>
      </c>
      <c r="N5162" s="23" t="str">
        <f>IFERROR(VLOOKUP(A5162, Entries!A:K,11,false),"")</f>
        <v/>
      </c>
    </row>
    <row r="5163">
      <c r="A5163" s="78" t="s">
        <v>4532</v>
      </c>
      <c r="B5163" s="78" t="s">
        <v>23</v>
      </c>
      <c r="C5163" s="85">
        <v>45338.0</v>
      </c>
      <c r="D5163" s="85">
        <v>45344.0</v>
      </c>
      <c r="E5163" s="86">
        <v>27.19</v>
      </c>
      <c r="F5163" s="87">
        <v>31.37</v>
      </c>
      <c r="G5163" s="88">
        <f t="shared" si="1"/>
        <v>4.18</v>
      </c>
      <c r="H5163" s="89">
        <f t="shared" si="10"/>
        <v>0.1332483264</v>
      </c>
      <c r="I5163" s="78" t="s">
        <v>5998</v>
      </c>
      <c r="J5163" s="78" t="s">
        <v>69</v>
      </c>
      <c r="K5163" s="58">
        <f t="shared" si="14"/>
        <v>6</v>
      </c>
      <c r="L5163" s="91" t="str">
        <f t="shared" si="8"/>
        <v>Thu</v>
      </c>
      <c r="M5163" s="78" t="str">
        <f>IFERROR(VLOOKUP(A5163, Entries!A:B,2,false),"")</f>
        <v>Eugen Systems</v>
      </c>
      <c r="N5163" s="23" t="str">
        <f>IFERROR(VLOOKUP(A5163, Entries!A:K,11,false),"")</f>
        <v/>
      </c>
    </row>
    <row r="5164">
      <c r="A5164" s="78" t="s">
        <v>5988</v>
      </c>
      <c r="B5164" s="78" t="s">
        <v>27</v>
      </c>
      <c r="C5164" s="85">
        <v>45338.0</v>
      </c>
      <c r="D5164" s="85">
        <v>45338.0</v>
      </c>
      <c r="E5164" s="86">
        <v>14.39</v>
      </c>
      <c r="F5164" s="87">
        <v>15.07</v>
      </c>
      <c r="G5164" s="88">
        <f t="shared" si="1"/>
        <v>0.68</v>
      </c>
      <c r="H5164" s="89">
        <f t="shared" si="10"/>
        <v>0.04512276045</v>
      </c>
      <c r="I5164" s="78" t="s">
        <v>5999</v>
      </c>
      <c r="J5164" s="78" t="s">
        <v>69</v>
      </c>
      <c r="K5164" s="58">
        <f t="shared" si="14"/>
        <v>0</v>
      </c>
      <c r="L5164" s="91" t="str">
        <f t="shared" si="8"/>
        <v>Fri</v>
      </c>
      <c r="M5164" s="78" t="str">
        <f>IFERROR(VLOOKUP(A5164, Entries!A:B,2,false),"")</f>
        <v>Team17 Digital</v>
      </c>
      <c r="N5164" s="23" t="str">
        <f>IFERROR(VLOOKUP(A5164, Entries!A:K,11,false),"")</f>
        <v/>
      </c>
    </row>
    <row r="5165">
      <c r="A5165" s="78" t="s">
        <v>4252</v>
      </c>
      <c r="B5165" s="78" t="s">
        <v>27</v>
      </c>
      <c r="C5165" s="85">
        <v>45338.0</v>
      </c>
      <c r="D5165" s="85">
        <v>45339.0</v>
      </c>
      <c r="E5165" s="86">
        <v>23.39</v>
      </c>
      <c r="F5165" s="87">
        <v>26.65</v>
      </c>
      <c r="G5165" s="88">
        <f t="shared" si="1"/>
        <v>3.26</v>
      </c>
      <c r="H5165" s="89">
        <f t="shared" si="10"/>
        <v>0.122326454</v>
      </c>
      <c r="I5165" s="78" t="s">
        <v>6000</v>
      </c>
      <c r="J5165" s="78" t="s">
        <v>69</v>
      </c>
      <c r="K5165" s="58">
        <f t="shared" si="14"/>
        <v>1</v>
      </c>
      <c r="L5165" s="91" t="str">
        <f t="shared" si="8"/>
        <v>Sat</v>
      </c>
      <c r="M5165" s="78" t="str">
        <f>IFERROR(VLOOKUP(A5165, Entries!A:B,2,false),"")</f>
        <v>PlayStation</v>
      </c>
      <c r="N5165" s="23" t="str">
        <f>IFERROR(VLOOKUP(A5165, Entries!A:K,11,false),"")</f>
        <v/>
      </c>
    </row>
    <row r="5166">
      <c r="A5166" s="78" t="s">
        <v>5988</v>
      </c>
      <c r="B5166" s="78" t="s">
        <v>27</v>
      </c>
      <c r="C5166" s="85">
        <v>45338.0</v>
      </c>
      <c r="D5166" s="85">
        <v>45339.0</v>
      </c>
      <c r="E5166" s="86">
        <v>14.39</v>
      </c>
      <c r="F5166" s="87">
        <v>15.07</v>
      </c>
      <c r="G5166" s="88">
        <f t="shared" si="1"/>
        <v>0.68</v>
      </c>
      <c r="H5166" s="89">
        <f t="shared" si="10"/>
        <v>0.04512276045</v>
      </c>
      <c r="I5166" s="78" t="s">
        <v>6001</v>
      </c>
      <c r="J5166" s="78" t="s">
        <v>69</v>
      </c>
      <c r="K5166" s="58">
        <f t="shared" si="14"/>
        <v>1</v>
      </c>
      <c r="L5166" s="91" t="str">
        <f t="shared" si="8"/>
        <v>Sat</v>
      </c>
      <c r="M5166" s="78" t="str">
        <f>IFERROR(VLOOKUP(A5166, Entries!A:B,2,false),"")</f>
        <v>Team17 Digital</v>
      </c>
      <c r="N5166" s="23" t="str">
        <f>IFERROR(VLOOKUP(A5166, Entries!A:K,11,false),"")</f>
        <v/>
      </c>
    </row>
    <row r="5167">
      <c r="A5167" s="78" t="s">
        <v>5984</v>
      </c>
      <c r="B5167" s="78" t="s">
        <v>27</v>
      </c>
      <c r="C5167" s="85">
        <v>45339.0</v>
      </c>
      <c r="D5167" s="85">
        <v>45339.0</v>
      </c>
      <c r="E5167" s="86">
        <v>34.99</v>
      </c>
      <c r="F5167" s="87">
        <v>39.0</v>
      </c>
      <c r="G5167" s="88">
        <f t="shared" si="1"/>
        <v>4.01</v>
      </c>
      <c r="H5167" s="89">
        <f t="shared" si="10"/>
        <v>0.1028205128</v>
      </c>
      <c r="I5167" s="78" t="s">
        <v>6002</v>
      </c>
      <c r="J5167" s="78" t="s">
        <v>69</v>
      </c>
      <c r="K5167" s="58">
        <f t="shared" si="14"/>
        <v>0</v>
      </c>
      <c r="L5167" s="91" t="str">
        <f t="shared" si="8"/>
        <v>Sat</v>
      </c>
      <c r="M5167" s="78" t="str">
        <f>IFERROR(VLOOKUP(A5167, Entries!A:B,2,false),"")</f>
        <v>BANDAI NAMCO</v>
      </c>
      <c r="N5167" s="23" t="str">
        <f>IFERROR(VLOOKUP(A5167, Entries!A:K,11,false),"")</f>
        <v/>
      </c>
    </row>
    <row r="5168">
      <c r="A5168" s="78" t="s">
        <v>5676</v>
      </c>
      <c r="B5168" s="78" t="s">
        <v>27</v>
      </c>
      <c r="C5168" s="85">
        <v>45339.0</v>
      </c>
      <c r="D5168" s="85">
        <v>45339.0</v>
      </c>
      <c r="E5168" s="86">
        <v>40.59</v>
      </c>
      <c r="F5168" s="87">
        <v>43.01</v>
      </c>
      <c r="G5168" s="88">
        <f t="shared" si="1"/>
        <v>2.42</v>
      </c>
      <c r="H5168" s="89">
        <f t="shared" si="10"/>
        <v>0.05626598465</v>
      </c>
      <c r="I5168" s="78" t="s">
        <v>6003</v>
      </c>
      <c r="J5168" s="78" t="s">
        <v>69</v>
      </c>
      <c r="K5168" s="58">
        <f t="shared" si="14"/>
        <v>0</v>
      </c>
      <c r="L5168" s="91" t="str">
        <f t="shared" si="8"/>
        <v>Sat</v>
      </c>
      <c r="M5168" s="78" t="str">
        <f>IFERROR(VLOOKUP(A5168, Entries!A:B,2,false),"")</f>
        <v>Bethesda Softworks</v>
      </c>
      <c r="N5168" s="23" t="str">
        <f>IFERROR(VLOOKUP(A5168, Entries!A:K,11,false),"")</f>
        <v/>
      </c>
    </row>
    <row r="5169">
      <c r="A5169" s="78" t="s">
        <v>5988</v>
      </c>
      <c r="B5169" s="78" t="s">
        <v>27</v>
      </c>
      <c r="C5169" s="85">
        <v>45339.0</v>
      </c>
      <c r="D5169" s="25"/>
      <c r="E5169" s="86">
        <v>14.39</v>
      </c>
      <c r="F5169" s="88"/>
      <c r="G5169" s="88">
        <f t="shared" si="1"/>
        <v>-14.39</v>
      </c>
      <c r="H5169" s="89" t="str">
        <f t="shared" si="10"/>
        <v/>
      </c>
      <c r="I5169" s="103" t="s">
        <v>6004</v>
      </c>
      <c r="J5169" s="78" t="s">
        <v>1129</v>
      </c>
      <c r="K5169" s="58" t="str">
        <f t="shared" si="14"/>
        <v/>
      </c>
      <c r="L5169" s="91" t="str">
        <f t="shared" si="8"/>
        <v/>
      </c>
      <c r="M5169" s="78" t="str">
        <f>IFERROR(VLOOKUP(A5169, Entries!A:B,2,false),"")</f>
        <v>Team17 Digital</v>
      </c>
      <c r="N5169" s="23" t="str">
        <f>IFERROR(VLOOKUP(A5169, Entries!A:K,11,false),"")</f>
        <v/>
      </c>
    </row>
    <row r="5170">
      <c r="A5170" s="78" t="s">
        <v>4252</v>
      </c>
      <c r="B5170" s="78" t="s">
        <v>27</v>
      </c>
      <c r="C5170" s="85">
        <v>45339.0</v>
      </c>
      <c r="D5170" s="85">
        <v>45339.0</v>
      </c>
      <c r="E5170" s="86">
        <v>22.98</v>
      </c>
      <c r="F5170" s="87">
        <v>26.65</v>
      </c>
      <c r="G5170" s="88">
        <f t="shared" si="1"/>
        <v>3.67</v>
      </c>
      <c r="H5170" s="89">
        <f t="shared" si="10"/>
        <v>0.1377110694</v>
      </c>
      <c r="I5170" s="78" t="s">
        <v>6005</v>
      </c>
      <c r="J5170" s="78" t="s">
        <v>69</v>
      </c>
      <c r="K5170" s="58">
        <f t="shared" si="14"/>
        <v>0</v>
      </c>
      <c r="L5170" s="91" t="str">
        <f t="shared" si="8"/>
        <v>Sat</v>
      </c>
      <c r="M5170" s="78" t="str">
        <f>IFERROR(VLOOKUP(A5170, Entries!A:B,2,false),"")</f>
        <v>PlayStation</v>
      </c>
      <c r="N5170" s="23" t="str">
        <f>IFERROR(VLOOKUP(A5170, Entries!A:K,11,false),"")</f>
        <v/>
      </c>
    </row>
    <row r="5171">
      <c r="A5171" s="78" t="s">
        <v>6006</v>
      </c>
      <c r="B5171" s="78" t="s">
        <v>19</v>
      </c>
      <c r="C5171" s="85">
        <v>45339.0</v>
      </c>
      <c r="D5171" s="85">
        <v>45339.0</v>
      </c>
      <c r="E5171" s="86">
        <v>38.73</v>
      </c>
      <c r="F5171" s="87">
        <v>42.87</v>
      </c>
      <c r="G5171" s="88">
        <f t="shared" si="1"/>
        <v>4.14</v>
      </c>
      <c r="H5171" s="89">
        <f t="shared" si="10"/>
        <v>0.09657102869</v>
      </c>
      <c r="I5171" s="78" t="s">
        <v>6007</v>
      </c>
      <c r="J5171" s="78" t="s">
        <v>69</v>
      </c>
      <c r="K5171" s="58">
        <f t="shared" si="14"/>
        <v>0</v>
      </c>
      <c r="L5171" s="91" t="str">
        <f t="shared" si="8"/>
        <v>Sat</v>
      </c>
      <c r="M5171" s="78" t="str">
        <f>IFERROR(VLOOKUP(A5171, Entries!A:B,2,false),"")</f>
        <v>Bethesda Softworks</v>
      </c>
      <c r="N5171" s="23" t="str">
        <f>IFERROR(VLOOKUP(A5171, Entries!A:K,11,false),"")</f>
        <v/>
      </c>
    </row>
    <row r="5172">
      <c r="A5172" s="78" t="s">
        <v>506</v>
      </c>
      <c r="B5172" s="78" t="s">
        <v>19</v>
      </c>
      <c r="C5172" s="85">
        <v>45339.0</v>
      </c>
      <c r="D5172" s="85">
        <v>45340.0</v>
      </c>
      <c r="E5172" s="86">
        <v>0.0</v>
      </c>
      <c r="F5172" s="87">
        <v>0.45</v>
      </c>
      <c r="G5172" s="88">
        <f t="shared" si="1"/>
        <v>0.45</v>
      </c>
      <c r="H5172" s="89">
        <f t="shared" si="10"/>
        <v>1</v>
      </c>
      <c r="I5172" s="78" t="s">
        <v>6008</v>
      </c>
      <c r="J5172" s="78" t="s">
        <v>69</v>
      </c>
      <c r="K5172" s="58">
        <f t="shared" si="14"/>
        <v>1</v>
      </c>
      <c r="L5172" s="91" t="str">
        <f t="shared" si="8"/>
        <v>Sun</v>
      </c>
      <c r="M5172" s="78" t="str">
        <f>IFERROR(VLOOKUP(A5172, Entries!A:B,2,false),"")</f>
        <v>Lonely Troops</v>
      </c>
      <c r="N5172" s="23" t="str">
        <f>IFERROR(VLOOKUP(A5172, Entries!A:K,11,false),"")</f>
        <v/>
      </c>
    </row>
    <row r="5173">
      <c r="A5173" s="78" t="s">
        <v>5676</v>
      </c>
      <c r="B5173" s="78" t="s">
        <v>27</v>
      </c>
      <c r="C5173" s="85">
        <v>45339.0</v>
      </c>
      <c r="D5173" s="85">
        <v>45352.0</v>
      </c>
      <c r="E5173" s="86">
        <v>40.59</v>
      </c>
      <c r="F5173" s="87">
        <v>43.04</v>
      </c>
      <c r="G5173" s="88">
        <f t="shared" si="1"/>
        <v>2.45</v>
      </c>
      <c r="H5173" s="89">
        <f t="shared" si="10"/>
        <v>0.05692379182</v>
      </c>
      <c r="I5173" s="78" t="s">
        <v>6009</v>
      </c>
      <c r="J5173" s="78" t="s">
        <v>69</v>
      </c>
      <c r="K5173" s="58">
        <f t="shared" si="14"/>
        <v>13</v>
      </c>
      <c r="L5173" s="91" t="str">
        <f t="shared" si="8"/>
        <v>Fri</v>
      </c>
      <c r="M5173" s="78" t="str">
        <f>IFERROR(VLOOKUP(A5173, Entries!A:B,2,false),"")</f>
        <v>Bethesda Softworks</v>
      </c>
      <c r="N5173" s="23" t="str">
        <f>IFERROR(VLOOKUP(A5173, Entries!A:K,11,false),"")</f>
        <v/>
      </c>
    </row>
    <row r="5174">
      <c r="A5174" s="78" t="s">
        <v>5984</v>
      </c>
      <c r="B5174" s="78" t="s">
        <v>27</v>
      </c>
      <c r="C5174" s="85">
        <v>45339.0</v>
      </c>
      <c r="D5174" s="85">
        <v>45339.0</v>
      </c>
      <c r="E5174" s="86">
        <v>37.39</v>
      </c>
      <c r="F5174" s="87">
        <v>39.13</v>
      </c>
      <c r="G5174" s="88">
        <f t="shared" si="1"/>
        <v>1.74</v>
      </c>
      <c r="H5174" s="89">
        <f t="shared" si="10"/>
        <v>0.04446716075</v>
      </c>
      <c r="I5174" s="78" t="s">
        <v>6010</v>
      </c>
      <c r="J5174" s="78" t="s">
        <v>69</v>
      </c>
      <c r="K5174" s="58">
        <f t="shared" si="14"/>
        <v>0</v>
      </c>
      <c r="L5174" s="91" t="str">
        <f t="shared" si="8"/>
        <v>Sat</v>
      </c>
      <c r="M5174" s="78" t="str">
        <f>IFERROR(VLOOKUP(A5174, Entries!A:B,2,false),"")</f>
        <v>BANDAI NAMCO</v>
      </c>
      <c r="N5174" s="23" t="str">
        <f>IFERROR(VLOOKUP(A5174, Entries!A:K,11,false),"")</f>
        <v/>
      </c>
    </row>
    <row r="5175">
      <c r="A5175" s="78" t="s">
        <v>5984</v>
      </c>
      <c r="B5175" s="78" t="s">
        <v>27</v>
      </c>
      <c r="C5175" s="85">
        <v>45339.0</v>
      </c>
      <c r="D5175" s="85">
        <v>45340.0</v>
      </c>
      <c r="E5175" s="86">
        <v>37.39</v>
      </c>
      <c r="F5175" s="87">
        <v>39.13</v>
      </c>
      <c r="G5175" s="88">
        <f t="shared" si="1"/>
        <v>1.74</v>
      </c>
      <c r="H5175" s="89">
        <f t="shared" si="10"/>
        <v>0.04446716075</v>
      </c>
      <c r="I5175" s="78" t="s">
        <v>6011</v>
      </c>
      <c r="J5175" s="78" t="s">
        <v>69</v>
      </c>
      <c r="K5175" s="58">
        <f t="shared" si="14"/>
        <v>1</v>
      </c>
      <c r="L5175" s="91" t="str">
        <f t="shared" si="8"/>
        <v>Sun</v>
      </c>
      <c r="M5175" s="78" t="str">
        <f>IFERROR(VLOOKUP(A5175, Entries!A:B,2,false),"")</f>
        <v>BANDAI NAMCO</v>
      </c>
      <c r="N5175" s="23" t="str">
        <f>IFERROR(VLOOKUP(A5175, Entries!A:K,11,false),"")</f>
        <v/>
      </c>
    </row>
    <row r="5176">
      <c r="A5176" s="78" t="s">
        <v>4252</v>
      </c>
      <c r="B5176" s="78" t="s">
        <v>27</v>
      </c>
      <c r="C5176" s="85">
        <v>45339.0</v>
      </c>
      <c r="D5176" s="85">
        <v>45340.0</v>
      </c>
      <c r="E5176" s="86">
        <v>23.39</v>
      </c>
      <c r="F5176" s="87">
        <v>26.65</v>
      </c>
      <c r="G5176" s="88">
        <f t="shared" si="1"/>
        <v>3.26</v>
      </c>
      <c r="H5176" s="89">
        <f t="shared" si="10"/>
        <v>0.122326454</v>
      </c>
      <c r="I5176" s="78" t="s">
        <v>6012</v>
      </c>
      <c r="J5176" s="78" t="s">
        <v>69</v>
      </c>
      <c r="K5176" s="58">
        <f t="shared" si="14"/>
        <v>1</v>
      </c>
      <c r="L5176" s="91" t="str">
        <f t="shared" si="8"/>
        <v>Sun</v>
      </c>
      <c r="M5176" s="78" t="str">
        <f>IFERROR(VLOOKUP(A5176, Entries!A:B,2,false),"")</f>
        <v>PlayStation</v>
      </c>
      <c r="N5176" s="23" t="str">
        <f>IFERROR(VLOOKUP(A5176, Entries!A:K,11,false),"")</f>
        <v/>
      </c>
    </row>
    <row r="5177">
      <c r="A5177" s="78" t="s">
        <v>4252</v>
      </c>
      <c r="B5177" s="78" t="s">
        <v>27</v>
      </c>
      <c r="C5177" s="85">
        <v>45340.0</v>
      </c>
      <c r="D5177" s="85">
        <v>45341.0</v>
      </c>
      <c r="E5177" s="86">
        <v>23.39</v>
      </c>
      <c r="F5177" s="87">
        <v>32.38</v>
      </c>
      <c r="G5177" s="88">
        <f t="shared" si="1"/>
        <v>8.99</v>
      </c>
      <c r="H5177" s="89">
        <f t="shared" si="10"/>
        <v>0.2776405188</v>
      </c>
      <c r="I5177" s="78" t="s">
        <v>6013</v>
      </c>
      <c r="J5177" s="78" t="s">
        <v>69</v>
      </c>
      <c r="K5177" s="58">
        <f t="shared" si="14"/>
        <v>1</v>
      </c>
      <c r="L5177" s="91" t="str">
        <f t="shared" si="8"/>
        <v>Mon</v>
      </c>
      <c r="M5177" s="78" t="str">
        <f>IFERROR(VLOOKUP(A5177, Entries!A:B,2,false),"")</f>
        <v>PlayStation</v>
      </c>
      <c r="N5177" s="23" t="str">
        <f>IFERROR(VLOOKUP(A5177, Entries!A:K,11,false),"")</f>
        <v/>
      </c>
    </row>
    <row r="5178">
      <c r="A5178" s="78" t="s">
        <v>5922</v>
      </c>
      <c r="B5178" s="78" t="s">
        <v>27</v>
      </c>
      <c r="C5178" s="85">
        <v>45341.0</v>
      </c>
      <c r="D5178" s="85">
        <v>45351.0</v>
      </c>
      <c r="E5178" s="86">
        <v>35.16</v>
      </c>
      <c r="F5178" s="87">
        <v>41.6</v>
      </c>
      <c r="G5178" s="88">
        <f t="shared" si="1"/>
        <v>6.44</v>
      </c>
      <c r="H5178" s="89">
        <f t="shared" si="10"/>
        <v>0.1548076923</v>
      </c>
      <c r="J5178" s="78" t="s">
        <v>69</v>
      </c>
      <c r="K5178" s="58">
        <f t="shared" si="14"/>
        <v>10</v>
      </c>
      <c r="L5178" s="91" t="str">
        <f t="shared" si="8"/>
        <v>Thu</v>
      </c>
      <c r="M5178" s="78" t="str">
        <f>IFERROR(VLOOKUP(A5178, Entries!A:B,2,false),"")</f>
        <v>Square Enix</v>
      </c>
      <c r="N5178" s="23" t="str">
        <f>IFERROR(VLOOKUP(A5178, Entries!A:K,11,false),"")</f>
        <v/>
      </c>
    </row>
    <row r="5179">
      <c r="A5179" s="78" t="s">
        <v>1909</v>
      </c>
      <c r="B5179" s="78" t="s">
        <v>23</v>
      </c>
      <c r="C5179" s="85">
        <v>45341.0</v>
      </c>
      <c r="D5179" s="85">
        <v>45342.0</v>
      </c>
      <c r="E5179" s="86">
        <v>2.9</v>
      </c>
      <c r="F5179" s="87">
        <v>3.39</v>
      </c>
      <c r="G5179" s="88">
        <f t="shared" si="1"/>
        <v>0.49</v>
      </c>
      <c r="H5179" s="89">
        <f t="shared" si="10"/>
        <v>0.1445427729</v>
      </c>
      <c r="I5179" s="78" t="s">
        <v>6014</v>
      </c>
      <c r="J5179" s="78" t="s">
        <v>69</v>
      </c>
      <c r="K5179" s="58">
        <f t="shared" si="14"/>
        <v>1</v>
      </c>
      <c r="L5179" s="91" t="str">
        <f t="shared" si="8"/>
        <v>Tue</v>
      </c>
      <c r="M5179" s="78" t="str">
        <f>IFERROR(VLOOKUP(A5179, Entries!A:B,2,false),"")</f>
        <v>PlayWay</v>
      </c>
      <c r="N5179" s="23" t="str">
        <f>IFERROR(VLOOKUP(A5179, Entries!A:K,11,false),"")</f>
        <v/>
      </c>
    </row>
    <row r="5180">
      <c r="A5180" s="78" t="s">
        <v>4252</v>
      </c>
      <c r="B5180" s="78" t="s">
        <v>27</v>
      </c>
      <c r="C5180" s="85">
        <v>45341.0</v>
      </c>
      <c r="D5180" s="85">
        <v>45343.0</v>
      </c>
      <c r="E5180" s="86">
        <v>23.39</v>
      </c>
      <c r="F5180" s="87">
        <v>32.59</v>
      </c>
      <c r="G5180" s="88">
        <f t="shared" si="1"/>
        <v>9.2</v>
      </c>
      <c r="H5180" s="89">
        <f t="shared" si="10"/>
        <v>0.2822951826</v>
      </c>
      <c r="I5180" s="78" t="s">
        <v>6015</v>
      </c>
      <c r="J5180" s="78" t="s">
        <v>69</v>
      </c>
      <c r="K5180" s="58">
        <f t="shared" si="14"/>
        <v>2</v>
      </c>
      <c r="L5180" s="91" t="str">
        <f t="shared" si="8"/>
        <v>Wed</v>
      </c>
      <c r="M5180" s="78" t="str">
        <f>IFERROR(VLOOKUP(A5180, Entries!A:B,2,false),"")</f>
        <v>PlayStation</v>
      </c>
      <c r="N5180" s="23" t="str">
        <f>IFERROR(VLOOKUP(A5180, Entries!A:K,11,false),"")</f>
        <v/>
      </c>
    </row>
    <row r="5181">
      <c r="A5181" s="94" t="s">
        <v>4096</v>
      </c>
      <c r="B5181" s="78" t="s">
        <v>18</v>
      </c>
      <c r="C5181" s="85">
        <v>45342.0</v>
      </c>
      <c r="D5181" s="85">
        <v>45453.0</v>
      </c>
      <c r="E5181" s="86">
        <v>20.93</v>
      </c>
      <c r="F5181" s="87">
        <v>22.08</v>
      </c>
      <c r="G5181" s="88">
        <f t="shared" si="1"/>
        <v>1.15</v>
      </c>
      <c r="H5181" s="89">
        <f t="shared" si="10"/>
        <v>0.05208333333</v>
      </c>
      <c r="I5181" s="78" t="s">
        <v>6016</v>
      </c>
      <c r="J5181" s="78" t="s">
        <v>69</v>
      </c>
      <c r="K5181" s="58">
        <f t="shared" si="14"/>
        <v>111</v>
      </c>
      <c r="L5181" s="91" t="str">
        <f t="shared" si="8"/>
        <v>Mon</v>
      </c>
      <c r="M5181" s="78" t="str">
        <f>IFERROR(VLOOKUP(A5181, Entries!A:B,2,false),"")</f>
        <v>Crate Entertainment</v>
      </c>
      <c r="N5181" s="23" t="str">
        <f>IFERROR(VLOOKUP(A5181, Entries!A:K,11,false),"")</f>
        <v/>
      </c>
    </row>
    <row r="5182">
      <c r="A5182" s="78" t="s">
        <v>1909</v>
      </c>
      <c r="B5182" s="78" t="s">
        <v>23</v>
      </c>
      <c r="C5182" s="85">
        <v>45342.0</v>
      </c>
      <c r="D5182" s="85">
        <v>45348.0</v>
      </c>
      <c r="E5182" s="86">
        <v>2.89</v>
      </c>
      <c r="F5182" s="87">
        <v>3.39</v>
      </c>
      <c r="G5182" s="88">
        <f t="shared" si="1"/>
        <v>0.5</v>
      </c>
      <c r="H5182" s="89">
        <f t="shared" si="10"/>
        <v>0.1474926254</v>
      </c>
      <c r="I5182" s="78" t="s">
        <v>6017</v>
      </c>
      <c r="J5182" s="78" t="s">
        <v>69</v>
      </c>
      <c r="K5182" s="58">
        <f t="shared" si="14"/>
        <v>6</v>
      </c>
      <c r="L5182" s="91" t="str">
        <f t="shared" si="8"/>
        <v>Mon</v>
      </c>
      <c r="M5182" s="78" t="str">
        <f>IFERROR(VLOOKUP(A5182, Entries!A:B,2,false),"")</f>
        <v>PlayWay</v>
      </c>
      <c r="N5182" s="23" t="str">
        <f>IFERROR(VLOOKUP(A5182, Entries!A:K,11,false),"")</f>
        <v/>
      </c>
    </row>
    <row r="5183">
      <c r="A5183" s="78" t="s">
        <v>6018</v>
      </c>
      <c r="B5183" s="78" t="s">
        <v>22</v>
      </c>
      <c r="C5183" s="85">
        <v>45343.0</v>
      </c>
      <c r="D5183" s="85">
        <v>45345.0</v>
      </c>
      <c r="E5183" s="86">
        <v>6.23</v>
      </c>
      <c r="F5183" s="87">
        <v>9.76</v>
      </c>
      <c r="G5183" s="88">
        <f t="shared" si="1"/>
        <v>3.53</v>
      </c>
      <c r="H5183" s="89">
        <f t="shared" si="10"/>
        <v>0.3616803279</v>
      </c>
      <c r="I5183" s="78" t="s">
        <v>6019</v>
      </c>
      <c r="J5183" s="78" t="s">
        <v>69</v>
      </c>
      <c r="K5183" s="58">
        <f t="shared" si="14"/>
        <v>2</v>
      </c>
      <c r="L5183" s="91" t="str">
        <f t="shared" si="8"/>
        <v>Fri</v>
      </c>
      <c r="M5183" s="78" t="str">
        <f>IFERROR(VLOOKUP(A5183, Entries!A:B,2,false),"")</f>
        <v>Square Enix</v>
      </c>
      <c r="N5183" s="23" t="str">
        <f>IFERROR(VLOOKUP(A5183, Entries!A:K,11,false),"")</f>
        <v/>
      </c>
    </row>
    <row r="5184">
      <c r="A5184" s="78" t="s">
        <v>5161</v>
      </c>
      <c r="B5184" s="78" t="s">
        <v>22</v>
      </c>
      <c r="C5184" s="85">
        <v>45343.0</v>
      </c>
      <c r="D5184" s="85">
        <v>45344.0</v>
      </c>
      <c r="E5184" s="86">
        <v>2.54</v>
      </c>
      <c r="F5184" s="87">
        <v>3.47</v>
      </c>
      <c r="G5184" s="88">
        <f t="shared" si="1"/>
        <v>0.93</v>
      </c>
      <c r="H5184" s="89">
        <f t="shared" si="10"/>
        <v>0.2680115274</v>
      </c>
      <c r="I5184" s="78" t="s">
        <v>6020</v>
      </c>
      <c r="J5184" s="78" t="s">
        <v>69</v>
      </c>
      <c r="K5184" s="58">
        <f t="shared" si="14"/>
        <v>1</v>
      </c>
      <c r="L5184" s="91" t="str">
        <f t="shared" si="8"/>
        <v>Thu</v>
      </c>
      <c r="M5184" s="78" t="str">
        <f>IFERROR(VLOOKUP(A5184, Entries!A:B,2,false),"")</f>
        <v>Daedalic Entertainment</v>
      </c>
      <c r="N5184" s="23" t="str">
        <f>IFERROR(VLOOKUP(A5184, Entries!A:K,11,false),"")</f>
        <v/>
      </c>
    </row>
    <row r="5185">
      <c r="A5185" s="78" t="s">
        <v>5984</v>
      </c>
      <c r="B5185" s="78" t="s">
        <v>27</v>
      </c>
      <c r="C5185" s="85">
        <v>45344.0</v>
      </c>
      <c r="D5185" s="85">
        <v>45344.0</v>
      </c>
      <c r="E5185" s="86">
        <v>40.39</v>
      </c>
      <c r="F5185" s="87">
        <v>43.45</v>
      </c>
      <c r="G5185" s="88">
        <f t="shared" si="1"/>
        <v>3.06</v>
      </c>
      <c r="H5185" s="89">
        <f t="shared" si="10"/>
        <v>0.07042577675</v>
      </c>
      <c r="I5185" s="78" t="s">
        <v>6021</v>
      </c>
      <c r="J5185" s="78" t="s">
        <v>69</v>
      </c>
      <c r="K5185" s="58">
        <f t="shared" si="14"/>
        <v>0</v>
      </c>
      <c r="L5185" s="91" t="str">
        <f t="shared" si="8"/>
        <v>Thu</v>
      </c>
      <c r="M5185" s="78" t="str">
        <f>IFERROR(VLOOKUP(A5185, Entries!A:B,2,false),"")</f>
        <v>BANDAI NAMCO</v>
      </c>
      <c r="N5185" s="23" t="str">
        <f>IFERROR(VLOOKUP(A5185, Entries!A:K,11,false),"")</f>
        <v/>
      </c>
    </row>
    <row r="5186">
      <c r="A5186" s="78" t="s">
        <v>6022</v>
      </c>
      <c r="B5186" s="78" t="s">
        <v>27</v>
      </c>
      <c r="C5186" s="85">
        <v>45344.0</v>
      </c>
      <c r="D5186" s="85">
        <v>45354.0</v>
      </c>
      <c r="E5186" s="86">
        <v>9.39</v>
      </c>
      <c r="F5186" s="87">
        <v>11.14</v>
      </c>
      <c r="G5186" s="88">
        <f t="shared" si="1"/>
        <v>1.75</v>
      </c>
      <c r="H5186" s="89">
        <f t="shared" si="10"/>
        <v>0.1570915619</v>
      </c>
      <c r="I5186" s="78" t="s">
        <v>6023</v>
      </c>
      <c r="J5186" s="78" t="s">
        <v>69</v>
      </c>
      <c r="K5186" s="58">
        <f t="shared" si="14"/>
        <v>10</v>
      </c>
      <c r="L5186" s="91" t="str">
        <f t="shared" si="8"/>
        <v>Sun</v>
      </c>
      <c r="M5186" s="78" t="str">
        <f>IFERROR(VLOOKUP(A5186, Entries!A:B,2,false),"")</f>
        <v>Paradox Interactive</v>
      </c>
      <c r="N5186" s="23" t="str">
        <f>IFERROR(VLOOKUP(A5186, Entries!A:K,11,false),"")</f>
        <v/>
      </c>
    </row>
    <row r="5187">
      <c r="A5187" s="78" t="s">
        <v>6024</v>
      </c>
      <c r="B5187" s="78" t="s">
        <v>27</v>
      </c>
      <c r="C5187" s="85">
        <v>45344.0</v>
      </c>
      <c r="D5187" s="85">
        <v>45346.0</v>
      </c>
      <c r="E5187" s="86">
        <v>46.79</v>
      </c>
      <c r="F5187" s="87">
        <v>62.02</v>
      </c>
      <c r="G5187" s="88">
        <f t="shared" si="1"/>
        <v>15.23</v>
      </c>
      <c r="H5187" s="89">
        <f t="shared" si="10"/>
        <v>0.2455659465</v>
      </c>
      <c r="I5187" s="78" t="s">
        <v>6025</v>
      </c>
      <c r="J5187" s="78" t="s">
        <v>69</v>
      </c>
      <c r="K5187" s="58">
        <f t="shared" si="14"/>
        <v>2</v>
      </c>
      <c r="L5187" s="91" t="str">
        <f t="shared" si="8"/>
        <v>Sat</v>
      </c>
      <c r="M5187" s="78" t="str">
        <f>IFERROR(VLOOKUP(A5187, Entries!A:B,2,false),"")</f>
        <v>BANDAI NAMCO</v>
      </c>
      <c r="N5187" s="23" t="str">
        <f>IFERROR(VLOOKUP(A5187, Entries!A:K,11,false),"")</f>
        <v/>
      </c>
    </row>
    <row r="5188">
      <c r="A5188" s="78" t="s">
        <v>4928</v>
      </c>
      <c r="B5188" s="78" t="s">
        <v>19</v>
      </c>
      <c r="C5188" s="85">
        <v>45344.0</v>
      </c>
      <c r="D5188" s="85">
        <v>45360.0</v>
      </c>
      <c r="E5188" s="86">
        <v>28.04</v>
      </c>
      <c r="F5188" s="87">
        <v>34.07</v>
      </c>
      <c r="G5188" s="88">
        <f t="shared" si="1"/>
        <v>6.03</v>
      </c>
      <c r="H5188" s="89">
        <f t="shared" si="10"/>
        <v>0.176988553</v>
      </c>
      <c r="I5188" s="78" t="s">
        <v>6026</v>
      </c>
      <c r="J5188" s="78" t="s">
        <v>69</v>
      </c>
      <c r="K5188" s="58">
        <f t="shared" si="14"/>
        <v>16</v>
      </c>
      <c r="L5188" s="91" t="str">
        <f t="shared" si="8"/>
        <v>Sat</v>
      </c>
      <c r="M5188" s="78" t="str">
        <f>IFERROR(VLOOKUP(A5188, Entries!A:B,2,false),"")</f>
        <v>Eleventh Hour Games</v>
      </c>
      <c r="N5188" s="23" t="str">
        <f>IFERROR(VLOOKUP(A5188, Entries!A:K,11,false),"")</f>
        <v/>
      </c>
    </row>
    <row r="5189">
      <c r="A5189" s="78" t="s">
        <v>5161</v>
      </c>
      <c r="B5189" s="78" t="s">
        <v>22</v>
      </c>
      <c r="C5189" s="85">
        <v>45344.0</v>
      </c>
      <c r="D5189" s="85">
        <v>45346.0</v>
      </c>
      <c r="E5189" s="86">
        <v>2.53</v>
      </c>
      <c r="F5189" s="87">
        <v>3.5</v>
      </c>
      <c r="G5189" s="88">
        <f t="shared" si="1"/>
        <v>0.97</v>
      </c>
      <c r="H5189" s="89">
        <f t="shared" si="10"/>
        <v>0.2771428571</v>
      </c>
      <c r="I5189" s="78" t="s">
        <v>6027</v>
      </c>
      <c r="J5189" s="78" t="s">
        <v>69</v>
      </c>
      <c r="K5189" s="58">
        <f t="shared" si="14"/>
        <v>2</v>
      </c>
      <c r="L5189" s="91" t="str">
        <f t="shared" si="8"/>
        <v>Sat</v>
      </c>
      <c r="M5189" s="78" t="str">
        <f>IFERROR(VLOOKUP(A5189, Entries!A:B,2,false),"")</f>
        <v>Daedalic Entertainment</v>
      </c>
      <c r="N5189" s="23" t="str">
        <f>IFERROR(VLOOKUP(A5189, Entries!A:K,11,false),"")</f>
        <v/>
      </c>
    </row>
    <row r="5190">
      <c r="A5190" s="78" t="s">
        <v>5161</v>
      </c>
      <c r="B5190" s="78" t="s">
        <v>22</v>
      </c>
      <c r="C5190" s="85">
        <v>45344.0</v>
      </c>
      <c r="D5190" s="85">
        <v>45377.0</v>
      </c>
      <c r="E5190" s="86">
        <v>2.53</v>
      </c>
      <c r="F5190" s="87">
        <v>3.5</v>
      </c>
      <c r="G5190" s="88">
        <f t="shared" si="1"/>
        <v>0.97</v>
      </c>
      <c r="H5190" s="89">
        <f t="shared" si="10"/>
        <v>0.2771428571</v>
      </c>
      <c r="I5190" s="78" t="s">
        <v>6028</v>
      </c>
      <c r="J5190" s="78" t="s">
        <v>69</v>
      </c>
      <c r="K5190" s="58">
        <f t="shared" si="14"/>
        <v>33</v>
      </c>
      <c r="L5190" s="91" t="str">
        <f t="shared" si="8"/>
        <v>Tue</v>
      </c>
      <c r="M5190" s="78" t="str">
        <f>IFERROR(VLOOKUP(A5190, Entries!A:B,2,false),"")</f>
        <v>Daedalic Entertainment</v>
      </c>
      <c r="N5190" s="23" t="str">
        <f>IFERROR(VLOOKUP(A5190, Entries!A:K,11,false),"")</f>
        <v/>
      </c>
    </row>
    <row r="5191">
      <c r="A5191" s="78" t="s">
        <v>6018</v>
      </c>
      <c r="B5191" s="78" t="s">
        <v>22</v>
      </c>
      <c r="C5191" s="85">
        <v>45345.0</v>
      </c>
      <c r="D5191" s="85">
        <v>45345.0</v>
      </c>
      <c r="E5191" s="86">
        <v>6.21</v>
      </c>
      <c r="F5191" s="87">
        <v>9.65</v>
      </c>
      <c r="G5191" s="88">
        <f t="shared" si="1"/>
        <v>3.44</v>
      </c>
      <c r="H5191" s="89">
        <f t="shared" si="10"/>
        <v>0.3564766839</v>
      </c>
      <c r="I5191" s="78" t="s">
        <v>6029</v>
      </c>
      <c r="J5191" s="78" t="s">
        <v>69</v>
      </c>
      <c r="K5191" s="58">
        <f t="shared" si="14"/>
        <v>0</v>
      </c>
      <c r="L5191" s="91" t="str">
        <f t="shared" si="8"/>
        <v>Fri</v>
      </c>
      <c r="M5191" s="78" t="str">
        <f>IFERROR(VLOOKUP(A5191, Entries!A:B,2,false),"")</f>
        <v>Square Enix</v>
      </c>
      <c r="N5191" s="23" t="str">
        <f>IFERROR(VLOOKUP(A5191, Entries!A:K,11,false),"")</f>
        <v/>
      </c>
    </row>
    <row r="5192">
      <c r="A5192" s="78" t="s">
        <v>6018</v>
      </c>
      <c r="B5192" s="78" t="s">
        <v>22</v>
      </c>
      <c r="C5192" s="85">
        <v>45345.0</v>
      </c>
      <c r="D5192" s="85">
        <v>45347.0</v>
      </c>
      <c r="E5192" s="86">
        <v>6.2</v>
      </c>
      <c r="F5192" s="87">
        <v>10.02</v>
      </c>
      <c r="G5192" s="88">
        <f t="shared" si="1"/>
        <v>3.82</v>
      </c>
      <c r="H5192" s="89">
        <f t="shared" si="10"/>
        <v>0.381237525</v>
      </c>
      <c r="I5192" s="78" t="s">
        <v>6030</v>
      </c>
      <c r="J5192" s="78" t="s">
        <v>69</v>
      </c>
      <c r="K5192" s="58">
        <f t="shared" si="14"/>
        <v>2</v>
      </c>
      <c r="L5192" s="91" t="str">
        <f t="shared" si="8"/>
        <v>Sun</v>
      </c>
      <c r="M5192" s="78" t="str">
        <f>IFERROR(VLOOKUP(A5192, Entries!A:B,2,false),"")</f>
        <v>Square Enix</v>
      </c>
      <c r="N5192" s="23" t="str">
        <f>IFERROR(VLOOKUP(A5192, Entries!A:K,11,false),"")</f>
        <v/>
      </c>
    </row>
    <row r="5193">
      <c r="A5193" s="78" t="s">
        <v>6018</v>
      </c>
      <c r="B5193" s="78" t="s">
        <v>22</v>
      </c>
      <c r="C5193" s="85">
        <v>45345.0</v>
      </c>
      <c r="D5193" s="85">
        <v>45347.0</v>
      </c>
      <c r="E5193" s="86">
        <v>6.2</v>
      </c>
      <c r="F5193" s="87">
        <v>10.02</v>
      </c>
      <c r="G5193" s="88">
        <f t="shared" si="1"/>
        <v>3.82</v>
      </c>
      <c r="H5193" s="89">
        <f t="shared" si="10"/>
        <v>0.381237525</v>
      </c>
      <c r="I5193" s="78" t="s">
        <v>6031</v>
      </c>
      <c r="J5193" s="78" t="s">
        <v>69</v>
      </c>
      <c r="K5193" s="58">
        <f t="shared" si="14"/>
        <v>2</v>
      </c>
      <c r="L5193" s="91" t="str">
        <f t="shared" si="8"/>
        <v>Sun</v>
      </c>
      <c r="M5193" s="78" t="str">
        <f>IFERROR(VLOOKUP(A5193, Entries!A:B,2,false),"")</f>
        <v>Square Enix</v>
      </c>
      <c r="N5193" s="23" t="str">
        <f>IFERROR(VLOOKUP(A5193, Entries!A:K,11,false),"")</f>
        <v/>
      </c>
    </row>
    <row r="5194">
      <c r="A5194" s="78" t="s">
        <v>6018</v>
      </c>
      <c r="B5194" s="78" t="s">
        <v>22</v>
      </c>
      <c r="C5194" s="85">
        <v>45345.0</v>
      </c>
      <c r="D5194" s="85">
        <v>45347.0</v>
      </c>
      <c r="E5194" s="86">
        <v>6.2</v>
      </c>
      <c r="F5194" s="87">
        <v>10.02</v>
      </c>
      <c r="G5194" s="88">
        <f t="shared" si="1"/>
        <v>3.82</v>
      </c>
      <c r="H5194" s="89">
        <f t="shared" si="10"/>
        <v>0.381237525</v>
      </c>
      <c r="I5194" s="78" t="s">
        <v>6032</v>
      </c>
      <c r="J5194" s="78" t="s">
        <v>69</v>
      </c>
      <c r="K5194" s="58">
        <f t="shared" si="14"/>
        <v>2</v>
      </c>
      <c r="L5194" s="91" t="str">
        <f t="shared" si="8"/>
        <v>Sun</v>
      </c>
      <c r="M5194" s="78" t="str">
        <f>IFERROR(VLOOKUP(A5194, Entries!A:B,2,false),"")</f>
        <v>Square Enix</v>
      </c>
      <c r="N5194" s="23" t="str">
        <f>IFERROR(VLOOKUP(A5194, Entries!A:K,11,false),"")</f>
        <v/>
      </c>
    </row>
    <row r="5195">
      <c r="A5195" s="78" t="s">
        <v>6024</v>
      </c>
      <c r="B5195" s="78" t="s">
        <v>27</v>
      </c>
      <c r="C5195" s="85">
        <v>45346.0</v>
      </c>
      <c r="D5195" s="85">
        <v>45346.0</v>
      </c>
      <c r="E5195" s="86">
        <v>51.02</v>
      </c>
      <c r="F5195" s="87">
        <v>62.52</v>
      </c>
      <c r="G5195" s="88">
        <f t="shared" si="1"/>
        <v>11.5</v>
      </c>
      <c r="H5195" s="89">
        <f t="shared" si="10"/>
        <v>0.1839411388</v>
      </c>
      <c r="I5195" s="78" t="s">
        <v>6033</v>
      </c>
      <c r="J5195" s="78" t="s">
        <v>69</v>
      </c>
      <c r="K5195" s="58">
        <f t="shared" si="14"/>
        <v>0</v>
      </c>
      <c r="L5195" s="91" t="str">
        <f t="shared" si="8"/>
        <v>Sat</v>
      </c>
      <c r="M5195" s="78" t="str">
        <f>IFERROR(VLOOKUP(A5195, Entries!A:B,2,false),"")</f>
        <v>BANDAI NAMCO</v>
      </c>
      <c r="N5195" s="23" t="str">
        <f>IFERROR(VLOOKUP(A5195, Entries!A:K,11,false),"")</f>
        <v/>
      </c>
    </row>
    <row r="5196">
      <c r="A5196" s="78" t="s">
        <v>6024</v>
      </c>
      <c r="B5196" s="78" t="s">
        <v>27</v>
      </c>
      <c r="C5196" s="85">
        <v>45346.0</v>
      </c>
      <c r="D5196" s="85">
        <v>45346.0</v>
      </c>
      <c r="E5196" s="86">
        <v>51.49</v>
      </c>
      <c r="F5196" s="87">
        <v>62.52</v>
      </c>
      <c r="G5196" s="88">
        <f t="shared" si="1"/>
        <v>11.03</v>
      </c>
      <c r="H5196" s="89">
        <f t="shared" si="10"/>
        <v>0.1764235445</v>
      </c>
      <c r="I5196" s="78" t="s">
        <v>6034</v>
      </c>
      <c r="J5196" s="78" t="s">
        <v>69</v>
      </c>
      <c r="K5196" s="58">
        <f t="shared" si="14"/>
        <v>0</v>
      </c>
      <c r="L5196" s="91" t="str">
        <f t="shared" si="8"/>
        <v>Sat</v>
      </c>
      <c r="M5196" s="78" t="str">
        <f>IFERROR(VLOOKUP(A5196, Entries!A:B,2,false),"")</f>
        <v>BANDAI NAMCO</v>
      </c>
      <c r="N5196" s="23" t="str">
        <f>IFERROR(VLOOKUP(A5196, Entries!A:K,11,false),"")</f>
        <v/>
      </c>
    </row>
    <row r="5197">
      <c r="A5197" s="78" t="s">
        <v>6024</v>
      </c>
      <c r="B5197" s="78" t="s">
        <v>27</v>
      </c>
      <c r="C5197" s="85">
        <v>45346.0</v>
      </c>
      <c r="D5197" s="85">
        <v>45351.0</v>
      </c>
      <c r="E5197" s="86">
        <v>50.61</v>
      </c>
      <c r="F5197" s="87">
        <v>62.52</v>
      </c>
      <c r="G5197" s="88">
        <f t="shared" si="1"/>
        <v>11.91</v>
      </c>
      <c r="H5197" s="89">
        <f t="shared" si="10"/>
        <v>0.1904990403</v>
      </c>
      <c r="I5197" s="78" t="s">
        <v>6035</v>
      </c>
      <c r="J5197" s="78" t="s">
        <v>69</v>
      </c>
      <c r="K5197" s="58">
        <f t="shared" si="14"/>
        <v>5</v>
      </c>
      <c r="L5197" s="91" t="str">
        <f t="shared" si="8"/>
        <v>Thu</v>
      </c>
      <c r="M5197" s="78" t="str">
        <f>IFERROR(VLOOKUP(A5197, Entries!A:B,2,false),"")</f>
        <v>BANDAI NAMCO</v>
      </c>
      <c r="N5197" s="23" t="str">
        <f>IFERROR(VLOOKUP(A5197, Entries!A:K,11,false),"")</f>
        <v/>
      </c>
    </row>
    <row r="5198">
      <c r="A5198" s="78" t="s">
        <v>6018</v>
      </c>
      <c r="B5198" s="78" t="s">
        <v>22</v>
      </c>
      <c r="C5198" s="85">
        <v>45347.0</v>
      </c>
      <c r="D5198" s="85">
        <v>45347.0</v>
      </c>
      <c r="E5198" s="86">
        <v>6.2</v>
      </c>
      <c r="F5198" s="87">
        <v>10.02</v>
      </c>
      <c r="G5198" s="88">
        <f t="shared" si="1"/>
        <v>3.82</v>
      </c>
      <c r="H5198" s="89">
        <f t="shared" si="10"/>
        <v>0.381237525</v>
      </c>
      <c r="I5198" s="78" t="s">
        <v>6036</v>
      </c>
      <c r="J5198" s="78" t="s">
        <v>69</v>
      </c>
      <c r="K5198" s="58">
        <f t="shared" si="14"/>
        <v>0</v>
      </c>
      <c r="L5198" s="91" t="str">
        <f t="shared" si="8"/>
        <v>Sun</v>
      </c>
      <c r="M5198" s="78" t="str">
        <f>IFERROR(VLOOKUP(A5198, Entries!A:B,2,false),"")</f>
        <v>Square Enix</v>
      </c>
      <c r="N5198" s="23" t="str">
        <f>IFERROR(VLOOKUP(A5198, Entries!A:K,11,false),"")</f>
        <v/>
      </c>
    </row>
    <row r="5199">
      <c r="A5199" s="78" t="s">
        <v>6018</v>
      </c>
      <c r="B5199" s="78" t="s">
        <v>22</v>
      </c>
      <c r="C5199" s="85">
        <v>45347.0</v>
      </c>
      <c r="D5199" s="85">
        <v>45348.0</v>
      </c>
      <c r="E5199" s="86">
        <v>6.2</v>
      </c>
      <c r="F5199" s="87">
        <v>10.02</v>
      </c>
      <c r="G5199" s="88">
        <f t="shared" si="1"/>
        <v>3.82</v>
      </c>
      <c r="H5199" s="89">
        <f t="shared" si="10"/>
        <v>0.381237525</v>
      </c>
      <c r="I5199" s="78" t="s">
        <v>6037</v>
      </c>
      <c r="J5199" s="78" t="s">
        <v>69</v>
      </c>
      <c r="K5199" s="58">
        <f t="shared" si="14"/>
        <v>1</v>
      </c>
      <c r="L5199" s="91" t="str">
        <f t="shared" si="8"/>
        <v>Mon</v>
      </c>
      <c r="M5199" s="78" t="str">
        <f>IFERROR(VLOOKUP(A5199, Entries!A:B,2,false),"")</f>
        <v>Square Enix</v>
      </c>
      <c r="N5199" s="23" t="str">
        <f>IFERROR(VLOOKUP(A5199, Entries!A:K,11,false),"")</f>
        <v/>
      </c>
    </row>
    <row r="5200">
      <c r="A5200" s="78" t="s">
        <v>6018</v>
      </c>
      <c r="B5200" s="78" t="s">
        <v>22</v>
      </c>
      <c r="C5200" s="85">
        <v>45347.0</v>
      </c>
      <c r="D5200" s="85">
        <v>45348.0</v>
      </c>
      <c r="E5200" s="86">
        <v>6.2</v>
      </c>
      <c r="F5200" s="87">
        <v>10.02</v>
      </c>
      <c r="G5200" s="88">
        <f t="shared" si="1"/>
        <v>3.82</v>
      </c>
      <c r="H5200" s="89">
        <f t="shared" si="10"/>
        <v>0.381237525</v>
      </c>
      <c r="I5200" s="78" t="s">
        <v>6038</v>
      </c>
      <c r="J5200" s="78" t="s">
        <v>69</v>
      </c>
      <c r="K5200" s="58">
        <f t="shared" si="14"/>
        <v>1</v>
      </c>
      <c r="L5200" s="91" t="str">
        <f t="shared" si="8"/>
        <v>Mon</v>
      </c>
      <c r="M5200" s="78" t="str">
        <f>IFERROR(VLOOKUP(A5200, Entries!A:B,2,false),"")</f>
        <v>Square Enix</v>
      </c>
      <c r="N5200" s="23" t="str">
        <f>IFERROR(VLOOKUP(A5200, Entries!A:K,11,false),"")</f>
        <v/>
      </c>
    </row>
    <row r="5201">
      <c r="A5201" s="78" t="s">
        <v>6018</v>
      </c>
      <c r="B5201" s="78" t="s">
        <v>22</v>
      </c>
      <c r="C5201" s="85">
        <v>45347.0</v>
      </c>
      <c r="D5201" s="85">
        <v>45348.0</v>
      </c>
      <c r="E5201" s="86">
        <v>6.19</v>
      </c>
      <c r="F5201" s="87">
        <v>10.02</v>
      </c>
      <c r="G5201" s="88">
        <f t="shared" si="1"/>
        <v>3.83</v>
      </c>
      <c r="H5201" s="89">
        <f t="shared" si="10"/>
        <v>0.3822355289</v>
      </c>
      <c r="I5201" s="78" t="s">
        <v>6039</v>
      </c>
      <c r="J5201" s="78" t="s">
        <v>69</v>
      </c>
      <c r="K5201" s="58">
        <f t="shared" si="14"/>
        <v>1</v>
      </c>
      <c r="L5201" s="91" t="str">
        <f t="shared" si="8"/>
        <v>Mon</v>
      </c>
      <c r="M5201" s="78" t="str">
        <f>IFERROR(VLOOKUP(A5201, Entries!A:B,2,false),"")</f>
        <v>Square Enix</v>
      </c>
      <c r="N5201" s="23" t="str">
        <f>IFERROR(VLOOKUP(A5201, Entries!A:K,11,false),"")</f>
        <v/>
      </c>
    </row>
    <row r="5202">
      <c r="A5202" s="78" t="s">
        <v>4085</v>
      </c>
      <c r="B5202" s="78" t="s">
        <v>27</v>
      </c>
      <c r="C5202" s="85">
        <v>45347.0</v>
      </c>
      <c r="D5202" s="85">
        <v>45347.0</v>
      </c>
      <c r="E5202" s="86">
        <v>6.39</v>
      </c>
      <c r="F5202" s="87">
        <v>7.31</v>
      </c>
      <c r="G5202" s="88">
        <f t="shared" si="1"/>
        <v>0.92</v>
      </c>
      <c r="H5202" s="89">
        <f t="shared" si="10"/>
        <v>0.1258549932</v>
      </c>
      <c r="I5202" s="78" t="s">
        <v>6040</v>
      </c>
      <c r="J5202" s="78" t="s">
        <v>69</v>
      </c>
      <c r="K5202" s="58">
        <f t="shared" si="14"/>
        <v>0</v>
      </c>
      <c r="L5202" s="91" t="str">
        <f t="shared" si="8"/>
        <v>Sun</v>
      </c>
      <c r="M5202" s="78" t="str">
        <f>IFERROR(VLOOKUP(A5202, Entries!A:B,2,false),"")</f>
        <v>Bethesda Softworks</v>
      </c>
      <c r="N5202" s="23" t="str">
        <f>IFERROR(VLOOKUP(A5202, Entries!A:K,11,false),"")</f>
        <v/>
      </c>
    </row>
    <row r="5203">
      <c r="A5203" s="78" t="s">
        <v>4085</v>
      </c>
      <c r="B5203" s="78" t="s">
        <v>27</v>
      </c>
      <c r="C5203" s="85">
        <v>45347.0</v>
      </c>
      <c r="D5203" s="85">
        <v>45349.0</v>
      </c>
      <c r="E5203" s="86">
        <v>6.39</v>
      </c>
      <c r="F5203" s="87">
        <v>7.31</v>
      </c>
      <c r="G5203" s="88">
        <f t="shared" si="1"/>
        <v>0.92</v>
      </c>
      <c r="H5203" s="89">
        <f t="shared" si="10"/>
        <v>0.1258549932</v>
      </c>
      <c r="I5203" s="78" t="s">
        <v>6041</v>
      </c>
      <c r="J5203" s="78" t="s">
        <v>69</v>
      </c>
      <c r="K5203" s="58">
        <f t="shared" si="14"/>
        <v>2</v>
      </c>
      <c r="L5203" s="91" t="str">
        <f t="shared" si="8"/>
        <v>Tue</v>
      </c>
      <c r="M5203" s="78" t="str">
        <f>IFERROR(VLOOKUP(A5203, Entries!A:B,2,false),"")</f>
        <v>Bethesda Softworks</v>
      </c>
      <c r="N5203" s="23" t="str">
        <f>IFERROR(VLOOKUP(A5203, Entries!A:K,11,false),"")</f>
        <v/>
      </c>
    </row>
    <row r="5204">
      <c r="A5204" s="78" t="s">
        <v>6018</v>
      </c>
      <c r="B5204" s="78" t="s">
        <v>22</v>
      </c>
      <c r="C5204" s="85">
        <v>45347.0</v>
      </c>
      <c r="D5204" s="85">
        <v>45348.0</v>
      </c>
      <c r="E5204" s="86">
        <v>6.2</v>
      </c>
      <c r="F5204" s="87">
        <v>10.02</v>
      </c>
      <c r="G5204" s="88">
        <f t="shared" si="1"/>
        <v>3.82</v>
      </c>
      <c r="H5204" s="89">
        <f t="shared" si="10"/>
        <v>0.381237525</v>
      </c>
      <c r="I5204" s="78" t="s">
        <v>6042</v>
      </c>
      <c r="J5204" s="78" t="s">
        <v>69</v>
      </c>
      <c r="K5204" s="58">
        <f t="shared" si="14"/>
        <v>1</v>
      </c>
      <c r="L5204" s="91" t="str">
        <f t="shared" si="8"/>
        <v>Mon</v>
      </c>
      <c r="M5204" s="78" t="str">
        <f>IFERROR(VLOOKUP(A5204, Entries!A:B,2,false),"")</f>
        <v>Square Enix</v>
      </c>
      <c r="N5204" s="23" t="str">
        <f>IFERROR(VLOOKUP(A5204, Entries!A:K,11,false),"")</f>
        <v/>
      </c>
    </row>
    <row r="5205">
      <c r="A5205" s="78" t="s">
        <v>6018</v>
      </c>
      <c r="B5205" s="78" t="s">
        <v>22</v>
      </c>
      <c r="C5205" s="85">
        <v>45347.0</v>
      </c>
      <c r="D5205" s="85">
        <v>45348.0</v>
      </c>
      <c r="E5205" s="86">
        <v>6.2</v>
      </c>
      <c r="F5205" s="87">
        <v>10.02</v>
      </c>
      <c r="G5205" s="88">
        <f t="shared" si="1"/>
        <v>3.82</v>
      </c>
      <c r="H5205" s="89">
        <f t="shared" si="10"/>
        <v>0.381237525</v>
      </c>
      <c r="I5205" s="78" t="s">
        <v>6043</v>
      </c>
      <c r="J5205" s="78" t="s">
        <v>69</v>
      </c>
      <c r="K5205" s="58">
        <f t="shared" si="14"/>
        <v>1</v>
      </c>
      <c r="L5205" s="91" t="str">
        <f t="shared" si="8"/>
        <v>Mon</v>
      </c>
      <c r="M5205" s="78" t="str">
        <f>IFERROR(VLOOKUP(A5205, Entries!A:B,2,false),"")</f>
        <v>Square Enix</v>
      </c>
      <c r="N5205" s="23" t="str">
        <f>IFERROR(VLOOKUP(A5205, Entries!A:K,11,false),"")</f>
        <v/>
      </c>
    </row>
    <row r="5206">
      <c r="A5206" s="78" t="s">
        <v>6018</v>
      </c>
      <c r="B5206" s="78" t="s">
        <v>22</v>
      </c>
      <c r="C5206" s="85">
        <v>45347.0</v>
      </c>
      <c r="D5206" s="85">
        <v>45348.0</v>
      </c>
      <c r="E5206" s="86">
        <v>6.19</v>
      </c>
      <c r="F5206" s="87">
        <v>10.02</v>
      </c>
      <c r="G5206" s="88">
        <f t="shared" si="1"/>
        <v>3.83</v>
      </c>
      <c r="H5206" s="89">
        <f t="shared" si="10"/>
        <v>0.3822355289</v>
      </c>
      <c r="I5206" s="78" t="s">
        <v>6044</v>
      </c>
      <c r="J5206" s="78" t="s">
        <v>69</v>
      </c>
      <c r="K5206" s="58">
        <f t="shared" si="14"/>
        <v>1</v>
      </c>
      <c r="L5206" s="91" t="str">
        <f t="shared" si="8"/>
        <v>Mon</v>
      </c>
      <c r="M5206" s="78" t="str">
        <f>IFERROR(VLOOKUP(A5206, Entries!A:B,2,false),"")</f>
        <v>Square Enix</v>
      </c>
      <c r="N5206" s="23" t="str">
        <f>IFERROR(VLOOKUP(A5206, Entries!A:K,11,false),"")</f>
        <v/>
      </c>
    </row>
    <row r="5207">
      <c r="A5207" s="78" t="s">
        <v>6018</v>
      </c>
      <c r="B5207" s="78" t="s">
        <v>22</v>
      </c>
      <c r="C5207" s="85">
        <v>45348.0</v>
      </c>
      <c r="D5207" s="85">
        <v>45349.0</v>
      </c>
      <c r="E5207" s="86">
        <v>6.2</v>
      </c>
      <c r="F5207" s="87">
        <v>10.02</v>
      </c>
      <c r="G5207" s="88">
        <f t="shared" si="1"/>
        <v>3.82</v>
      </c>
      <c r="H5207" s="89">
        <f t="shared" si="10"/>
        <v>0.381237525</v>
      </c>
      <c r="I5207" s="78" t="s">
        <v>6045</v>
      </c>
      <c r="J5207" s="78" t="s">
        <v>69</v>
      </c>
      <c r="K5207" s="58">
        <f t="shared" si="14"/>
        <v>1</v>
      </c>
      <c r="L5207" s="91" t="str">
        <f t="shared" si="8"/>
        <v>Tue</v>
      </c>
      <c r="M5207" s="78" t="str">
        <f>IFERROR(VLOOKUP(A5207, Entries!A:B,2,false),"")</f>
        <v>Square Enix</v>
      </c>
      <c r="N5207" s="23" t="str">
        <f>IFERROR(VLOOKUP(A5207, Entries!A:K,11,false),"")</f>
        <v/>
      </c>
    </row>
    <row r="5208">
      <c r="A5208" s="78" t="s">
        <v>6018</v>
      </c>
      <c r="B5208" s="78" t="s">
        <v>22</v>
      </c>
      <c r="C5208" s="85">
        <v>45348.0</v>
      </c>
      <c r="D5208" s="85">
        <v>45349.0</v>
      </c>
      <c r="E5208" s="86">
        <v>6.2</v>
      </c>
      <c r="F5208" s="87">
        <v>10.02</v>
      </c>
      <c r="G5208" s="88">
        <f t="shared" si="1"/>
        <v>3.82</v>
      </c>
      <c r="H5208" s="89">
        <f t="shared" si="10"/>
        <v>0.381237525</v>
      </c>
      <c r="I5208" s="78" t="s">
        <v>6046</v>
      </c>
      <c r="J5208" s="78" t="s">
        <v>69</v>
      </c>
      <c r="K5208" s="58">
        <f t="shared" si="14"/>
        <v>1</v>
      </c>
      <c r="L5208" s="91" t="str">
        <f t="shared" si="8"/>
        <v>Tue</v>
      </c>
      <c r="M5208" s="78" t="str">
        <f>IFERROR(VLOOKUP(A5208, Entries!A:B,2,false),"")</f>
        <v>Square Enix</v>
      </c>
      <c r="N5208" s="23" t="str">
        <f>IFERROR(VLOOKUP(A5208, Entries!A:K,11,false),"")</f>
        <v/>
      </c>
    </row>
    <row r="5209">
      <c r="A5209" s="78" t="s">
        <v>6018</v>
      </c>
      <c r="B5209" s="78" t="s">
        <v>22</v>
      </c>
      <c r="C5209" s="85">
        <v>45348.0</v>
      </c>
      <c r="D5209" s="85">
        <v>45350.0</v>
      </c>
      <c r="E5209" s="86">
        <v>6.19</v>
      </c>
      <c r="F5209" s="87">
        <v>10.02</v>
      </c>
      <c r="G5209" s="88">
        <f t="shared" si="1"/>
        <v>3.83</v>
      </c>
      <c r="H5209" s="89">
        <f t="shared" si="10"/>
        <v>0.3822355289</v>
      </c>
      <c r="I5209" s="78" t="s">
        <v>6047</v>
      </c>
      <c r="J5209" s="78" t="s">
        <v>69</v>
      </c>
      <c r="K5209" s="58">
        <f t="shared" si="14"/>
        <v>2</v>
      </c>
      <c r="L5209" s="91" t="str">
        <f t="shared" si="8"/>
        <v>Wed</v>
      </c>
      <c r="M5209" s="78" t="str">
        <f>IFERROR(VLOOKUP(A5209, Entries!A:B,2,false),"")</f>
        <v>Square Enix</v>
      </c>
      <c r="N5209" s="23" t="str">
        <f>IFERROR(VLOOKUP(A5209, Entries!A:K,11,false),"")</f>
        <v/>
      </c>
    </row>
    <row r="5210">
      <c r="A5210" s="78" t="s">
        <v>6018</v>
      </c>
      <c r="B5210" s="78" t="s">
        <v>22</v>
      </c>
      <c r="C5210" s="85">
        <v>45348.0</v>
      </c>
      <c r="D5210" s="85">
        <v>45350.0</v>
      </c>
      <c r="E5210" s="86">
        <v>6.2</v>
      </c>
      <c r="F5210" s="87">
        <v>10.02</v>
      </c>
      <c r="G5210" s="88">
        <f t="shared" si="1"/>
        <v>3.82</v>
      </c>
      <c r="H5210" s="89">
        <f t="shared" si="10"/>
        <v>0.381237525</v>
      </c>
      <c r="I5210" s="78" t="s">
        <v>6048</v>
      </c>
      <c r="J5210" s="78" t="s">
        <v>69</v>
      </c>
      <c r="K5210" s="58">
        <f t="shared" si="14"/>
        <v>2</v>
      </c>
      <c r="L5210" s="91" t="str">
        <f t="shared" si="8"/>
        <v>Wed</v>
      </c>
      <c r="M5210" s="78" t="str">
        <f>IFERROR(VLOOKUP(A5210, Entries!A:B,2,false),"")</f>
        <v>Square Enix</v>
      </c>
      <c r="N5210" s="23" t="str">
        <f>IFERROR(VLOOKUP(A5210, Entries!A:K,11,false),"")</f>
        <v/>
      </c>
    </row>
    <row r="5211">
      <c r="A5211" s="78" t="s">
        <v>6018</v>
      </c>
      <c r="B5211" s="78" t="s">
        <v>22</v>
      </c>
      <c r="C5211" s="85">
        <v>45348.0</v>
      </c>
      <c r="D5211" s="85">
        <v>45350.0</v>
      </c>
      <c r="E5211" s="86">
        <v>6.19</v>
      </c>
      <c r="F5211" s="87">
        <v>10.02</v>
      </c>
      <c r="G5211" s="88">
        <f t="shared" si="1"/>
        <v>3.83</v>
      </c>
      <c r="H5211" s="89">
        <f t="shared" si="10"/>
        <v>0.3822355289</v>
      </c>
      <c r="I5211" s="78" t="s">
        <v>6049</v>
      </c>
      <c r="J5211" s="78" t="s">
        <v>69</v>
      </c>
      <c r="K5211" s="58">
        <f t="shared" si="14"/>
        <v>2</v>
      </c>
      <c r="L5211" s="91" t="str">
        <f t="shared" si="8"/>
        <v>Wed</v>
      </c>
      <c r="M5211" s="78" t="str">
        <f>IFERROR(VLOOKUP(A5211, Entries!A:B,2,false),"")</f>
        <v>Square Enix</v>
      </c>
      <c r="N5211" s="23" t="str">
        <f>IFERROR(VLOOKUP(A5211, Entries!A:K,11,false),"")</f>
        <v/>
      </c>
    </row>
    <row r="5212">
      <c r="A5212" s="78" t="s">
        <v>6018</v>
      </c>
      <c r="B5212" s="78" t="s">
        <v>22</v>
      </c>
      <c r="C5212" s="85">
        <v>45348.0</v>
      </c>
      <c r="D5212" s="85">
        <v>45350.0</v>
      </c>
      <c r="E5212" s="86">
        <v>6.2</v>
      </c>
      <c r="F5212" s="87">
        <v>10.02</v>
      </c>
      <c r="G5212" s="88">
        <f t="shared" si="1"/>
        <v>3.82</v>
      </c>
      <c r="H5212" s="89">
        <f t="shared" si="10"/>
        <v>0.381237525</v>
      </c>
      <c r="I5212" s="78" t="s">
        <v>6050</v>
      </c>
      <c r="J5212" s="78" t="s">
        <v>69</v>
      </c>
      <c r="K5212" s="58">
        <f t="shared" si="14"/>
        <v>2</v>
      </c>
      <c r="L5212" s="91" t="str">
        <f t="shared" si="8"/>
        <v>Wed</v>
      </c>
      <c r="M5212" s="78" t="str">
        <f>IFERROR(VLOOKUP(A5212, Entries!A:B,2,false),"")</f>
        <v>Square Enix</v>
      </c>
      <c r="N5212" s="23" t="str">
        <f>IFERROR(VLOOKUP(A5212, Entries!A:K,11,false),"")</f>
        <v/>
      </c>
    </row>
    <row r="5213">
      <c r="A5213" s="78" t="s">
        <v>6018</v>
      </c>
      <c r="B5213" s="78" t="s">
        <v>22</v>
      </c>
      <c r="C5213" s="85">
        <v>45348.0</v>
      </c>
      <c r="D5213" s="85">
        <v>45350.0</v>
      </c>
      <c r="E5213" s="86">
        <v>6.2</v>
      </c>
      <c r="F5213" s="87">
        <v>10.02</v>
      </c>
      <c r="G5213" s="88">
        <f t="shared" si="1"/>
        <v>3.82</v>
      </c>
      <c r="H5213" s="89">
        <f t="shared" si="10"/>
        <v>0.381237525</v>
      </c>
      <c r="I5213" s="78" t="s">
        <v>6051</v>
      </c>
      <c r="J5213" s="78" t="s">
        <v>69</v>
      </c>
      <c r="K5213" s="58">
        <f t="shared" si="14"/>
        <v>2</v>
      </c>
      <c r="L5213" s="91" t="str">
        <f t="shared" si="8"/>
        <v>Wed</v>
      </c>
      <c r="M5213" s="78" t="str">
        <f>IFERROR(VLOOKUP(A5213, Entries!A:B,2,false),"")</f>
        <v>Square Enix</v>
      </c>
      <c r="N5213" s="23" t="str">
        <f>IFERROR(VLOOKUP(A5213, Entries!A:K,11,false),"")</f>
        <v/>
      </c>
    </row>
    <row r="5214">
      <c r="A5214" s="78" t="s">
        <v>6018</v>
      </c>
      <c r="B5214" s="78" t="s">
        <v>22</v>
      </c>
      <c r="C5214" s="85">
        <v>45348.0</v>
      </c>
      <c r="D5214" s="85">
        <v>45350.0</v>
      </c>
      <c r="E5214" s="86">
        <v>6.19</v>
      </c>
      <c r="F5214" s="87">
        <v>10.02</v>
      </c>
      <c r="G5214" s="88">
        <f t="shared" si="1"/>
        <v>3.83</v>
      </c>
      <c r="H5214" s="89">
        <f t="shared" si="10"/>
        <v>0.3822355289</v>
      </c>
      <c r="I5214" s="78" t="s">
        <v>6052</v>
      </c>
      <c r="J5214" s="78" t="s">
        <v>69</v>
      </c>
      <c r="K5214" s="58">
        <f t="shared" si="14"/>
        <v>2</v>
      </c>
      <c r="L5214" s="91" t="str">
        <f t="shared" si="8"/>
        <v>Wed</v>
      </c>
      <c r="M5214" s="78" t="str">
        <f>IFERROR(VLOOKUP(A5214, Entries!A:B,2,false),"")</f>
        <v>Square Enix</v>
      </c>
      <c r="N5214" s="23" t="str">
        <f>IFERROR(VLOOKUP(A5214, Entries!A:K,11,false),"")</f>
        <v/>
      </c>
    </row>
    <row r="5215">
      <c r="A5215" s="78" t="s">
        <v>6018</v>
      </c>
      <c r="B5215" s="78" t="s">
        <v>22</v>
      </c>
      <c r="C5215" s="85">
        <v>45348.0</v>
      </c>
      <c r="D5215" s="85">
        <v>45354.0</v>
      </c>
      <c r="E5215" s="86">
        <v>6.2</v>
      </c>
      <c r="F5215" s="87">
        <v>10.91</v>
      </c>
      <c r="G5215" s="88">
        <f t="shared" si="1"/>
        <v>4.71</v>
      </c>
      <c r="H5215" s="89">
        <f t="shared" si="10"/>
        <v>0.4317140238</v>
      </c>
      <c r="I5215" s="78" t="s">
        <v>6053</v>
      </c>
      <c r="J5215" s="78" t="s">
        <v>69</v>
      </c>
      <c r="K5215" s="58">
        <f t="shared" si="14"/>
        <v>6</v>
      </c>
      <c r="L5215" s="91" t="str">
        <f t="shared" si="8"/>
        <v>Sun</v>
      </c>
      <c r="M5215" s="78" t="str">
        <f>IFERROR(VLOOKUP(A5215, Entries!A:B,2,false),"")</f>
        <v>Square Enix</v>
      </c>
      <c r="N5215" s="23" t="str">
        <f>IFERROR(VLOOKUP(A5215, Entries!A:K,11,false),"")</f>
        <v/>
      </c>
    </row>
    <row r="5216">
      <c r="A5216" s="78" t="s">
        <v>6018</v>
      </c>
      <c r="B5216" s="78" t="s">
        <v>22</v>
      </c>
      <c r="C5216" s="85">
        <v>45348.0</v>
      </c>
      <c r="D5216" s="85">
        <v>45354.0</v>
      </c>
      <c r="E5216" s="86">
        <v>6.19</v>
      </c>
      <c r="F5216" s="87">
        <v>10.91</v>
      </c>
      <c r="G5216" s="88">
        <f t="shared" si="1"/>
        <v>4.72</v>
      </c>
      <c r="H5216" s="89">
        <f t="shared" si="10"/>
        <v>0.4326306141</v>
      </c>
      <c r="I5216" s="78" t="s">
        <v>6054</v>
      </c>
      <c r="J5216" s="78" t="s">
        <v>69</v>
      </c>
      <c r="K5216" s="58">
        <f t="shared" si="14"/>
        <v>6</v>
      </c>
      <c r="L5216" s="91" t="str">
        <f t="shared" si="8"/>
        <v>Sun</v>
      </c>
      <c r="M5216" s="78" t="str">
        <f>IFERROR(VLOOKUP(A5216, Entries!A:B,2,false),"")</f>
        <v>Square Enix</v>
      </c>
      <c r="N5216" s="23" t="str">
        <f>IFERROR(VLOOKUP(A5216, Entries!A:K,11,false),"")</f>
        <v/>
      </c>
    </row>
    <row r="5217">
      <c r="A5217" s="78" t="s">
        <v>6018</v>
      </c>
      <c r="B5217" s="78" t="s">
        <v>22</v>
      </c>
      <c r="C5217" s="85">
        <v>45348.0</v>
      </c>
      <c r="D5217" s="85">
        <v>45354.0</v>
      </c>
      <c r="E5217" s="86">
        <v>6.2</v>
      </c>
      <c r="F5217" s="87">
        <v>10.91</v>
      </c>
      <c r="G5217" s="88">
        <f t="shared" si="1"/>
        <v>4.71</v>
      </c>
      <c r="H5217" s="89">
        <f t="shared" si="10"/>
        <v>0.4317140238</v>
      </c>
      <c r="I5217" s="78" t="s">
        <v>6055</v>
      </c>
      <c r="J5217" s="78" t="s">
        <v>69</v>
      </c>
      <c r="K5217" s="58">
        <f t="shared" si="14"/>
        <v>6</v>
      </c>
      <c r="L5217" s="91" t="str">
        <f t="shared" si="8"/>
        <v>Sun</v>
      </c>
      <c r="M5217" s="78" t="str">
        <f>IFERROR(VLOOKUP(A5217, Entries!A:B,2,false),"")</f>
        <v>Square Enix</v>
      </c>
      <c r="N5217" s="23" t="str">
        <f>IFERROR(VLOOKUP(A5217, Entries!A:K,11,false),"")</f>
        <v/>
      </c>
    </row>
    <row r="5218">
      <c r="A5218" s="78" t="s">
        <v>6018</v>
      </c>
      <c r="B5218" s="78" t="s">
        <v>22</v>
      </c>
      <c r="C5218" s="85">
        <v>45348.0</v>
      </c>
      <c r="D5218" s="85">
        <v>45354.0</v>
      </c>
      <c r="E5218" s="86">
        <v>6.2</v>
      </c>
      <c r="F5218" s="87">
        <v>10.91</v>
      </c>
      <c r="G5218" s="88">
        <f t="shared" si="1"/>
        <v>4.71</v>
      </c>
      <c r="H5218" s="89">
        <f t="shared" si="10"/>
        <v>0.4317140238</v>
      </c>
      <c r="I5218" s="78" t="s">
        <v>6056</v>
      </c>
      <c r="J5218" s="78" t="s">
        <v>69</v>
      </c>
      <c r="K5218" s="58">
        <f t="shared" si="14"/>
        <v>6</v>
      </c>
      <c r="L5218" s="91" t="str">
        <f t="shared" si="8"/>
        <v>Sun</v>
      </c>
      <c r="M5218" s="78" t="str">
        <f>IFERROR(VLOOKUP(A5218, Entries!A:B,2,false),"")</f>
        <v>Square Enix</v>
      </c>
      <c r="N5218" s="23" t="str">
        <f>IFERROR(VLOOKUP(A5218, Entries!A:K,11,false),"")</f>
        <v/>
      </c>
    </row>
    <row r="5219">
      <c r="A5219" s="78" t="s">
        <v>6018</v>
      </c>
      <c r="B5219" s="78" t="s">
        <v>22</v>
      </c>
      <c r="C5219" s="85">
        <v>45348.0</v>
      </c>
      <c r="D5219" s="85">
        <v>45354.0</v>
      </c>
      <c r="E5219" s="86">
        <v>6.19</v>
      </c>
      <c r="F5219" s="87">
        <v>10.91</v>
      </c>
      <c r="G5219" s="88">
        <f t="shared" si="1"/>
        <v>4.72</v>
      </c>
      <c r="H5219" s="89">
        <f t="shared" si="10"/>
        <v>0.4326306141</v>
      </c>
      <c r="I5219" s="78" t="s">
        <v>6057</v>
      </c>
      <c r="J5219" s="78" t="s">
        <v>69</v>
      </c>
      <c r="K5219" s="58">
        <f t="shared" si="14"/>
        <v>6</v>
      </c>
      <c r="L5219" s="91" t="str">
        <f t="shared" si="8"/>
        <v>Sun</v>
      </c>
      <c r="M5219" s="78" t="str">
        <f>IFERROR(VLOOKUP(A5219, Entries!A:B,2,false),"")</f>
        <v>Square Enix</v>
      </c>
      <c r="N5219" s="23" t="str">
        <f>IFERROR(VLOOKUP(A5219, Entries!A:K,11,false),"")</f>
        <v/>
      </c>
    </row>
    <row r="5220">
      <c r="A5220" s="78" t="s">
        <v>6018</v>
      </c>
      <c r="B5220" s="78" t="s">
        <v>22</v>
      </c>
      <c r="C5220" s="85">
        <v>45348.0</v>
      </c>
      <c r="D5220" s="85">
        <v>45354.0</v>
      </c>
      <c r="E5220" s="86">
        <v>6.2</v>
      </c>
      <c r="F5220" s="87">
        <v>10.91</v>
      </c>
      <c r="G5220" s="88">
        <f t="shared" si="1"/>
        <v>4.71</v>
      </c>
      <c r="H5220" s="89">
        <f t="shared" si="10"/>
        <v>0.4317140238</v>
      </c>
      <c r="I5220" s="78" t="s">
        <v>6058</v>
      </c>
      <c r="J5220" s="78" t="s">
        <v>69</v>
      </c>
      <c r="K5220" s="58">
        <f t="shared" si="14"/>
        <v>6</v>
      </c>
      <c r="L5220" s="91" t="str">
        <f t="shared" si="8"/>
        <v>Sun</v>
      </c>
      <c r="M5220" s="78" t="str">
        <f>IFERROR(VLOOKUP(A5220, Entries!A:B,2,false),"")</f>
        <v>Square Enix</v>
      </c>
      <c r="N5220" s="23" t="str">
        <f>IFERROR(VLOOKUP(A5220, Entries!A:K,11,false),"")</f>
        <v/>
      </c>
    </row>
    <row r="5221">
      <c r="A5221" s="78" t="s">
        <v>6018</v>
      </c>
      <c r="B5221" s="78" t="s">
        <v>22</v>
      </c>
      <c r="C5221" s="85">
        <v>45348.0</v>
      </c>
      <c r="D5221" s="85">
        <v>45359.0</v>
      </c>
      <c r="E5221" s="86">
        <v>6.19</v>
      </c>
      <c r="F5221" s="87">
        <v>9.87</v>
      </c>
      <c r="G5221" s="88">
        <f t="shared" si="1"/>
        <v>3.68</v>
      </c>
      <c r="H5221" s="89">
        <f t="shared" si="10"/>
        <v>0.3728470111</v>
      </c>
      <c r="I5221" s="78" t="s">
        <v>6059</v>
      </c>
      <c r="J5221" s="78" t="s">
        <v>69</v>
      </c>
      <c r="K5221" s="58">
        <f t="shared" si="14"/>
        <v>11</v>
      </c>
      <c r="L5221" s="91" t="str">
        <f t="shared" si="8"/>
        <v>Fri</v>
      </c>
      <c r="M5221" s="78" t="str">
        <f>IFERROR(VLOOKUP(A5221, Entries!A:B,2,false),"")</f>
        <v>Square Enix</v>
      </c>
      <c r="N5221" s="23" t="str">
        <f>IFERROR(VLOOKUP(A5221, Entries!A:K,11,false),"")</f>
        <v/>
      </c>
    </row>
    <row r="5222">
      <c r="A5222" s="78" t="s">
        <v>6018</v>
      </c>
      <c r="B5222" s="78" t="s">
        <v>22</v>
      </c>
      <c r="C5222" s="85">
        <v>45348.0</v>
      </c>
      <c r="D5222" s="85">
        <v>45362.0</v>
      </c>
      <c r="E5222" s="86">
        <v>6.2</v>
      </c>
      <c r="F5222" s="87">
        <v>9.72</v>
      </c>
      <c r="G5222" s="88">
        <f t="shared" si="1"/>
        <v>3.52</v>
      </c>
      <c r="H5222" s="89">
        <f t="shared" si="10"/>
        <v>0.3621399177</v>
      </c>
      <c r="I5222" s="78" t="s">
        <v>6060</v>
      </c>
      <c r="J5222" s="78" t="s">
        <v>69</v>
      </c>
      <c r="K5222" s="58">
        <f t="shared" si="14"/>
        <v>14</v>
      </c>
      <c r="L5222" s="91" t="str">
        <f t="shared" si="8"/>
        <v>Mon</v>
      </c>
      <c r="M5222" s="78" t="str">
        <f>IFERROR(VLOOKUP(A5222, Entries!A:B,2,false),"")</f>
        <v>Square Enix</v>
      </c>
      <c r="N5222" s="23" t="str">
        <f>IFERROR(VLOOKUP(A5222, Entries!A:K,11,false),"")</f>
        <v/>
      </c>
    </row>
    <row r="5223">
      <c r="A5223" s="78" t="s">
        <v>6018</v>
      </c>
      <c r="B5223" s="78" t="s">
        <v>22</v>
      </c>
      <c r="C5223" s="85">
        <v>45348.0</v>
      </c>
      <c r="D5223" s="85">
        <v>45363.0</v>
      </c>
      <c r="E5223" s="86">
        <v>6.2</v>
      </c>
      <c r="F5223" s="87">
        <v>9.72</v>
      </c>
      <c r="G5223" s="88">
        <f t="shared" si="1"/>
        <v>3.52</v>
      </c>
      <c r="H5223" s="89">
        <f t="shared" si="10"/>
        <v>0.3621399177</v>
      </c>
      <c r="I5223" s="78" t="s">
        <v>6061</v>
      </c>
      <c r="J5223" s="78" t="s">
        <v>69</v>
      </c>
      <c r="K5223" s="58">
        <f t="shared" si="14"/>
        <v>15</v>
      </c>
      <c r="L5223" s="91" t="str">
        <f t="shared" si="8"/>
        <v>Tue</v>
      </c>
      <c r="M5223" s="78" t="str">
        <f>IFERROR(VLOOKUP(A5223, Entries!A:B,2,false),"")</f>
        <v>Square Enix</v>
      </c>
      <c r="N5223" s="23" t="str">
        <f>IFERROR(VLOOKUP(A5223, Entries!A:K,11,false),"")</f>
        <v/>
      </c>
    </row>
    <row r="5224">
      <c r="A5224" s="78" t="s">
        <v>6018</v>
      </c>
      <c r="B5224" s="78" t="s">
        <v>22</v>
      </c>
      <c r="C5224" s="85">
        <v>45348.0</v>
      </c>
      <c r="D5224" s="85">
        <v>45364.0</v>
      </c>
      <c r="E5224" s="86">
        <v>6.19</v>
      </c>
      <c r="F5224" s="87">
        <v>9.72</v>
      </c>
      <c r="G5224" s="88">
        <f t="shared" si="1"/>
        <v>3.53</v>
      </c>
      <c r="H5224" s="89">
        <f t="shared" si="10"/>
        <v>0.3631687243</v>
      </c>
      <c r="I5224" s="78" t="s">
        <v>6062</v>
      </c>
      <c r="J5224" s="78" t="s">
        <v>69</v>
      </c>
      <c r="K5224" s="58">
        <f t="shared" si="14"/>
        <v>16</v>
      </c>
      <c r="L5224" s="91" t="str">
        <f t="shared" si="8"/>
        <v>Wed</v>
      </c>
      <c r="M5224" s="78" t="str">
        <f>IFERROR(VLOOKUP(A5224, Entries!A:B,2,false),"")</f>
        <v>Square Enix</v>
      </c>
      <c r="N5224" s="23" t="str">
        <f>IFERROR(VLOOKUP(A5224, Entries!A:K,11,false),"")</f>
        <v/>
      </c>
    </row>
    <row r="5225">
      <c r="A5225" s="78" t="s">
        <v>6018</v>
      </c>
      <c r="B5225" s="78" t="s">
        <v>22</v>
      </c>
      <c r="C5225" s="85">
        <v>45348.0</v>
      </c>
      <c r="D5225" s="85">
        <v>45365.0</v>
      </c>
      <c r="E5225" s="86">
        <v>6.2</v>
      </c>
      <c r="F5225" s="87">
        <v>9.72</v>
      </c>
      <c r="G5225" s="88">
        <f t="shared" si="1"/>
        <v>3.52</v>
      </c>
      <c r="H5225" s="89">
        <f t="shared" si="10"/>
        <v>0.3621399177</v>
      </c>
      <c r="I5225" s="78" t="s">
        <v>6063</v>
      </c>
      <c r="J5225" s="78" t="s">
        <v>69</v>
      </c>
      <c r="K5225" s="58">
        <f t="shared" si="14"/>
        <v>17</v>
      </c>
      <c r="L5225" s="91" t="str">
        <f t="shared" si="8"/>
        <v>Thu</v>
      </c>
      <c r="M5225" s="78" t="str">
        <f>IFERROR(VLOOKUP(A5225, Entries!A:B,2,false),"")</f>
        <v>Square Enix</v>
      </c>
      <c r="N5225" s="23" t="str">
        <f>IFERROR(VLOOKUP(A5225, Entries!A:K,11,false),"")</f>
        <v/>
      </c>
    </row>
    <row r="5226">
      <c r="A5226" s="78" t="s">
        <v>6018</v>
      </c>
      <c r="B5226" s="78" t="s">
        <v>22</v>
      </c>
      <c r="C5226" s="85">
        <v>45348.0</v>
      </c>
      <c r="D5226" s="85">
        <v>45372.0</v>
      </c>
      <c r="E5226" s="86">
        <v>6.19</v>
      </c>
      <c r="F5226" s="87">
        <v>9.71</v>
      </c>
      <c r="G5226" s="88">
        <f t="shared" si="1"/>
        <v>3.52</v>
      </c>
      <c r="H5226" s="89">
        <f t="shared" si="10"/>
        <v>0.3625128733</v>
      </c>
      <c r="I5226" s="78" t="s">
        <v>6064</v>
      </c>
      <c r="J5226" s="78" t="s">
        <v>69</v>
      </c>
      <c r="K5226" s="58">
        <f t="shared" si="14"/>
        <v>24</v>
      </c>
      <c r="L5226" s="91" t="str">
        <f t="shared" si="8"/>
        <v>Thu</v>
      </c>
      <c r="M5226" s="78" t="str">
        <f>IFERROR(VLOOKUP(A5226, Entries!A:B,2,false),"")</f>
        <v>Square Enix</v>
      </c>
      <c r="N5226" s="23" t="str">
        <f>IFERROR(VLOOKUP(A5226, Entries!A:K,11,false),"")</f>
        <v/>
      </c>
    </row>
    <row r="5227">
      <c r="A5227" s="78" t="s">
        <v>1909</v>
      </c>
      <c r="B5227" s="78" t="s">
        <v>23</v>
      </c>
      <c r="C5227" s="85">
        <v>45348.0</v>
      </c>
      <c r="D5227" s="85">
        <v>45351.0</v>
      </c>
      <c r="E5227" s="86">
        <v>2.88</v>
      </c>
      <c r="F5227" s="87">
        <v>3.39</v>
      </c>
      <c r="G5227" s="88">
        <f t="shared" si="1"/>
        <v>0.51</v>
      </c>
      <c r="H5227" s="89">
        <f t="shared" si="10"/>
        <v>0.1504424779</v>
      </c>
      <c r="I5227" s="78" t="s">
        <v>6065</v>
      </c>
      <c r="J5227" s="78" t="s">
        <v>69</v>
      </c>
      <c r="K5227" s="58">
        <f t="shared" si="14"/>
        <v>3</v>
      </c>
      <c r="L5227" s="91" t="str">
        <f t="shared" si="8"/>
        <v>Thu</v>
      </c>
      <c r="M5227" s="78" t="str">
        <f>IFERROR(VLOOKUP(A5227, Entries!A:B,2,false),"")</f>
        <v>PlayWay</v>
      </c>
      <c r="N5227" s="23" t="str">
        <f>IFERROR(VLOOKUP(A5227, Entries!A:K,11,false),"")</f>
        <v/>
      </c>
    </row>
    <row r="5228">
      <c r="A5228" s="78" t="s">
        <v>4085</v>
      </c>
      <c r="B5228" s="78" t="s">
        <v>27</v>
      </c>
      <c r="C5228" s="85">
        <v>45349.0</v>
      </c>
      <c r="D5228" s="85">
        <v>45351.0</v>
      </c>
      <c r="E5228" s="86">
        <v>5.01</v>
      </c>
      <c r="F5228" s="87">
        <v>7.31</v>
      </c>
      <c r="G5228" s="88">
        <f t="shared" si="1"/>
        <v>2.3</v>
      </c>
      <c r="H5228" s="89">
        <f t="shared" si="10"/>
        <v>0.3146374829</v>
      </c>
      <c r="I5228" s="78" t="s">
        <v>6066</v>
      </c>
      <c r="J5228" s="78" t="s">
        <v>69</v>
      </c>
      <c r="K5228" s="58">
        <f t="shared" si="14"/>
        <v>2</v>
      </c>
      <c r="L5228" s="91" t="str">
        <f t="shared" si="8"/>
        <v>Thu</v>
      </c>
      <c r="M5228" s="78" t="str">
        <f>IFERROR(VLOOKUP(A5228, Entries!A:B,2,false),"")</f>
        <v>Bethesda Softworks</v>
      </c>
      <c r="N5228" s="23" t="str">
        <f>IFERROR(VLOOKUP(A5228, Entries!A:K,11,false),"")</f>
        <v/>
      </c>
    </row>
    <row r="5229">
      <c r="A5229" s="78" t="s">
        <v>3979</v>
      </c>
      <c r="B5229" s="78" t="s">
        <v>21</v>
      </c>
      <c r="C5229" s="85">
        <v>45349.0</v>
      </c>
      <c r="D5229" s="85">
        <v>45349.0</v>
      </c>
      <c r="E5229" s="86">
        <v>52.26</v>
      </c>
      <c r="F5229" s="87">
        <v>58.11</v>
      </c>
      <c r="G5229" s="88">
        <f t="shared" si="1"/>
        <v>5.85</v>
      </c>
      <c r="H5229" s="89">
        <f t="shared" si="10"/>
        <v>0.1006711409</v>
      </c>
      <c r="I5229" s="78" t="s">
        <v>6067</v>
      </c>
      <c r="J5229" s="78" t="s">
        <v>69</v>
      </c>
      <c r="K5229" s="58">
        <f t="shared" si="14"/>
        <v>0</v>
      </c>
      <c r="L5229" s="91" t="str">
        <f t="shared" si="8"/>
        <v>Tue</v>
      </c>
      <c r="M5229" s="78" t="str">
        <f>IFERROR(VLOOKUP(A5229, Entries!A:B,2,false),"")</f>
        <v>Square Enix</v>
      </c>
      <c r="N5229" s="23" t="str">
        <f>IFERROR(VLOOKUP(A5229, Entries!A:K,11,false),"")</f>
        <v/>
      </c>
    </row>
    <row r="5230">
      <c r="A5230" s="78" t="s">
        <v>3979</v>
      </c>
      <c r="B5230" s="78" t="s">
        <v>21</v>
      </c>
      <c r="C5230" s="85">
        <v>45349.0</v>
      </c>
      <c r="D5230" s="85">
        <v>45352.0</v>
      </c>
      <c r="E5230" s="86">
        <v>52.91</v>
      </c>
      <c r="F5230" s="87">
        <v>59.45</v>
      </c>
      <c r="G5230" s="88">
        <f t="shared" si="1"/>
        <v>6.54</v>
      </c>
      <c r="H5230" s="89">
        <f t="shared" si="10"/>
        <v>0.1100084104</v>
      </c>
      <c r="I5230" s="78" t="s">
        <v>6068</v>
      </c>
      <c r="J5230" s="78" t="s">
        <v>69</v>
      </c>
      <c r="K5230" s="58">
        <f t="shared" si="14"/>
        <v>3</v>
      </c>
      <c r="L5230" s="91" t="str">
        <f t="shared" si="8"/>
        <v>Fri</v>
      </c>
      <c r="M5230" s="78" t="str">
        <f>IFERROR(VLOOKUP(A5230, Entries!A:B,2,false),"")</f>
        <v>Square Enix</v>
      </c>
      <c r="N5230" s="23" t="str">
        <f>IFERROR(VLOOKUP(A5230, Entries!A:K,11,false),"")</f>
        <v/>
      </c>
    </row>
    <row r="5231">
      <c r="A5231" s="78" t="s">
        <v>4085</v>
      </c>
      <c r="B5231" s="78" t="s">
        <v>27</v>
      </c>
      <c r="C5231" s="85">
        <v>45351.0</v>
      </c>
      <c r="D5231" s="85">
        <v>45352.0</v>
      </c>
      <c r="E5231" s="86">
        <v>1.97</v>
      </c>
      <c r="F5231" s="87">
        <v>7.31</v>
      </c>
      <c r="G5231" s="88">
        <f t="shared" si="1"/>
        <v>5.34</v>
      </c>
      <c r="H5231" s="89">
        <f t="shared" si="10"/>
        <v>0.730506156</v>
      </c>
      <c r="I5231" s="78" t="s">
        <v>6069</v>
      </c>
      <c r="J5231" s="78" t="s">
        <v>69</v>
      </c>
      <c r="K5231" s="58">
        <f t="shared" si="14"/>
        <v>1</v>
      </c>
      <c r="L5231" s="91" t="str">
        <f t="shared" si="8"/>
        <v>Fri</v>
      </c>
      <c r="M5231" s="78" t="str">
        <f>IFERROR(VLOOKUP(A5231, Entries!A:B,2,false),"")</f>
        <v>Bethesda Softworks</v>
      </c>
      <c r="N5231" s="23" t="str">
        <f>IFERROR(VLOOKUP(A5231, Entries!A:K,11,false),"")</f>
        <v/>
      </c>
    </row>
    <row r="5232">
      <c r="A5232" s="78" t="s">
        <v>6024</v>
      </c>
      <c r="B5232" s="78" t="s">
        <v>27</v>
      </c>
      <c r="C5232" s="85">
        <v>45351.0</v>
      </c>
      <c r="D5232" s="85">
        <v>45351.0</v>
      </c>
      <c r="E5232" s="86">
        <v>50.29</v>
      </c>
      <c r="F5232" s="87">
        <v>62.55</v>
      </c>
      <c r="G5232" s="88">
        <f t="shared" si="1"/>
        <v>12.26</v>
      </c>
      <c r="H5232" s="89">
        <f t="shared" si="10"/>
        <v>0.1960031974</v>
      </c>
      <c r="I5232" s="78" t="s">
        <v>6070</v>
      </c>
      <c r="J5232" s="78" t="s">
        <v>69</v>
      </c>
      <c r="K5232" s="58">
        <f t="shared" si="14"/>
        <v>0</v>
      </c>
      <c r="L5232" s="91" t="str">
        <f t="shared" si="8"/>
        <v>Thu</v>
      </c>
      <c r="M5232" s="78" t="str">
        <f>IFERROR(VLOOKUP(A5232, Entries!A:B,2,false),"")</f>
        <v>BANDAI NAMCO</v>
      </c>
      <c r="N5232" s="23" t="str">
        <f>IFERROR(VLOOKUP(A5232, Entries!A:K,11,false),"")</f>
        <v/>
      </c>
    </row>
    <row r="5233">
      <c r="A5233" s="78" t="s">
        <v>6024</v>
      </c>
      <c r="B5233" s="78" t="s">
        <v>27</v>
      </c>
      <c r="C5233" s="85">
        <v>45351.0</v>
      </c>
      <c r="D5233" s="85">
        <v>45352.0</v>
      </c>
      <c r="E5233" s="86">
        <v>50.29</v>
      </c>
      <c r="F5233" s="87">
        <v>62.56</v>
      </c>
      <c r="G5233" s="88">
        <f t="shared" si="1"/>
        <v>12.27</v>
      </c>
      <c r="H5233" s="89">
        <f t="shared" si="10"/>
        <v>0.1961317136</v>
      </c>
      <c r="I5233" s="78" t="s">
        <v>6071</v>
      </c>
      <c r="J5233" s="78" t="s">
        <v>69</v>
      </c>
      <c r="K5233" s="58">
        <f t="shared" si="14"/>
        <v>1</v>
      </c>
      <c r="L5233" s="91" t="str">
        <f t="shared" si="8"/>
        <v>Fri</v>
      </c>
      <c r="M5233" s="78" t="str">
        <f>IFERROR(VLOOKUP(A5233, Entries!A:B,2,false),"")</f>
        <v>BANDAI NAMCO</v>
      </c>
      <c r="N5233" s="23" t="str">
        <f>IFERROR(VLOOKUP(A5233, Entries!A:K,11,false),"")</f>
        <v/>
      </c>
    </row>
    <row r="5234">
      <c r="A5234" s="78" t="s">
        <v>5922</v>
      </c>
      <c r="B5234" s="78" t="s">
        <v>27</v>
      </c>
      <c r="C5234" s="85">
        <v>45352.0</v>
      </c>
      <c r="D5234" s="85">
        <v>45371.0</v>
      </c>
      <c r="E5234" s="86">
        <v>34.73</v>
      </c>
      <c r="F5234" s="87">
        <v>41.59</v>
      </c>
      <c r="G5234" s="88">
        <f t="shared" si="1"/>
        <v>6.86</v>
      </c>
      <c r="H5234" s="89">
        <f t="shared" si="10"/>
        <v>0.164943496</v>
      </c>
      <c r="I5234" s="78" t="s">
        <v>6072</v>
      </c>
      <c r="J5234" s="78" t="s">
        <v>69</v>
      </c>
      <c r="K5234" s="58">
        <f t="shared" si="14"/>
        <v>19</v>
      </c>
      <c r="L5234" s="91" t="str">
        <f t="shared" si="8"/>
        <v>Wed</v>
      </c>
      <c r="M5234" s="78" t="str">
        <f>IFERROR(VLOOKUP(A5234, Entries!A:B,2,false),"")</f>
        <v>Square Enix</v>
      </c>
      <c r="N5234" s="23" t="str">
        <f>IFERROR(VLOOKUP(A5234, Entries!A:K,11,false),"")</f>
        <v/>
      </c>
    </row>
    <row r="5235">
      <c r="A5235" s="78" t="s">
        <v>4085</v>
      </c>
      <c r="B5235" s="78" t="s">
        <v>27</v>
      </c>
      <c r="C5235" s="85">
        <v>45352.0</v>
      </c>
      <c r="D5235" s="85">
        <v>45354.0</v>
      </c>
      <c r="E5235" s="86">
        <v>6.16</v>
      </c>
      <c r="F5235" s="87">
        <v>7.31</v>
      </c>
      <c r="G5235" s="88">
        <f t="shared" si="1"/>
        <v>1.15</v>
      </c>
      <c r="H5235" s="89">
        <f t="shared" si="10"/>
        <v>0.1573187415</v>
      </c>
      <c r="I5235" s="78" t="s">
        <v>6073</v>
      </c>
      <c r="J5235" s="78" t="s">
        <v>69</v>
      </c>
      <c r="K5235" s="58">
        <f t="shared" si="14"/>
        <v>2</v>
      </c>
      <c r="L5235" s="91" t="str">
        <f t="shared" si="8"/>
        <v>Sun</v>
      </c>
      <c r="M5235" s="78" t="str">
        <f>IFERROR(VLOOKUP(A5235, Entries!A:B,2,false),"")</f>
        <v>Bethesda Softworks</v>
      </c>
      <c r="N5235" s="23" t="str">
        <f>IFERROR(VLOOKUP(A5235, Entries!A:K,11,false),"")</f>
        <v/>
      </c>
    </row>
    <row r="5236">
      <c r="A5236" s="78" t="s">
        <v>6024</v>
      </c>
      <c r="B5236" s="78" t="s">
        <v>27</v>
      </c>
      <c r="C5236" s="85">
        <v>45352.0</v>
      </c>
      <c r="D5236" s="85">
        <v>45353.0</v>
      </c>
      <c r="E5236" s="86">
        <v>50.29</v>
      </c>
      <c r="F5236" s="87">
        <v>62.56</v>
      </c>
      <c r="G5236" s="88">
        <f t="shared" si="1"/>
        <v>12.27</v>
      </c>
      <c r="H5236" s="89">
        <f t="shared" si="10"/>
        <v>0.1961317136</v>
      </c>
      <c r="I5236" s="78" t="s">
        <v>6074</v>
      </c>
      <c r="J5236" s="78" t="s">
        <v>69</v>
      </c>
      <c r="K5236" s="58">
        <f t="shared" si="14"/>
        <v>1</v>
      </c>
      <c r="L5236" s="91" t="str">
        <f t="shared" si="8"/>
        <v>Sat</v>
      </c>
      <c r="M5236" s="78" t="str">
        <f>IFERROR(VLOOKUP(A5236, Entries!A:B,2,false),"")</f>
        <v>BANDAI NAMCO</v>
      </c>
      <c r="N5236" s="23" t="str">
        <f>IFERROR(VLOOKUP(A5236, Entries!A:K,11,false),"")</f>
        <v/>
      </c>
    </row>
    <row r="5237">
      <c r="A5237" s="78" t="s">
        <v>3979</v>
      </c>
      <c r="B5237" s="78" t="s">
        <v>25</v>
      </c>
      <c r="C5237" s="85">
        <v>45352.0</v>
      </c>
      <c r="D5237" s="85">
        <v>45353.0</v>
      </c>
      <c r="E5237" s="86">
        <v>45.29</v>
      </c>
      <c r="F5237" s="87">
        <v>60.13</v>
      </c>
      <c r="G5237" s="88">
        <f t="shared" si="1"/>
        <v>14.84</v>
      </c>
      <c r="H5237" s="89">
        <f t="shared" si="10"/>
        <v>0.246798603</v>
      </c>
      <c r="I5237" s="78" t="s">
        <v>6075</v>
      </c>
      <c r="J5237" s="78" t="s">
        <v>69</v>
      </c>
      <c r="K5237" s="58">
        <f t="shared" si="14"/>
        <v>1</v>
      </c>
      <c r="L5237" s="91" t="str">
        <f t="shared" si="8"/>
        <v>Sat</v>
      </c>
      <c r="M5237" s="78" t="str">
        <f>IFERROR(VLOOKUP(A5237, Entries!A:B,2,false),"")</f>
        <v>Square Enix</v>
      </c>
      <c r="N5237" s="23" t="str">
        <f>IFERROR(VLOOKUP(A5237, Entries!A:K,11,false),"")</f>
        <v/>
      </c>
    </row>
    <row r="5238">
      <c r="A5238" s="78" t="s">
        <v>3979</v>
      </c>
      <c r="B5238" s="78" t="s">
        <v>25</v>
      </c>
      <c r="C5238" s="85">
        <v>45352.0</v>
      </c>
      <c r="D5238" s="85">
        <v>45353.0</v>
      </c>
      <c r="E5238" s="86">
        <v>45.29</v>
      </c>
      <c r="F5238" s="87">
        <v>60.13</v>
      </c>
      <c r="G5238" s="88">
        <f t="shared" si="1"/>
        <v>14.84</v>
      </c>
      <c r="H5238" s="89">
        <f t="shared" si="10"/>
        <v>0.246798603</v>
      </c>
      <c r="I5238" s="78" t="s">
        <v>6076</v>
      </c>
      <c r="J5238" s="78" t="s">
        <v>69</v>
      </c>
      <c r="K5238" s="58">
        <f t="shared" si="14"/>
        <v>1</v>
      </c>
      <c r="L5238" s="91" t="str">
        <f t="shared" si="8"/>
        <v>Sat</v>
      </c>
      <c r="M5238" s="78" t="str">
        <f>IFERROR(VLOOKUP(A5238, Entries!A:B,2,false),"")</f>
        <v>Square Enix</v>
      </c>
      <c r="N5238" s="23" t="str">
        <f>IFERROR(VLOOKUP(A5238, Entries!A:K,11,false),"")</f>
        <v/>
      </c>
    </row>
    <row r="5239">
      <c r="A5239" s="78" t="s">
        <v>6024</v>
      </c>
      <c r="B5239" s="78" t="s">
        <v>27</v>
      </c>
      <c r="C5239" s="85">
        <v>45353.0</v>
      </c>
      <c r="D5239" s="85">
        <v>45354.0</v>
      </c>
      <c r="E5239" s="86">
        <v>50.06</v>
      </c>
      <c r="F5239" s="87">
        <v>62.56</v>
      </c>
      <c r="G5239" s="88">
        <f t="shared" si="1"/>
        <v>12.5</v>
      </c>
      <c r="H5239" s="89">
        <f t="shared" si="10"/>
        <v>0.1998081841</v>
      </c>
      <c r="J5239" s="78" t="s">
        <v>69</v>
      </c>
      <c r="K5239" s="58">
        <f t="shared" si="14"/>
        <v>1</v>
      </c>
      <c r="L5239" s="91" t="str">
        <f t="shared" si="8"/>
        <v>Sun</v>
      </c>
      <c r="M5239" s="78" t="str">
        <f>IFERROR(VLOOKUP(A5239, Entries!A:B,2,false),"")</f>
        <v>BANDAI NAMCO</v>
      </c>
      <c r="N5239" s="23" t="str">
        <f>IFERROR(VLOOKUP(A5239, Entries!A:K,11,false),"")</f>
        <v/>
      </c>
    </row>
    <row r="5240">
      <c r="A5240" s="78" t="s">
        <v>6024</v>
      </c>
      <c r="B5240" s="78" t="s">
        <v>27</v>
      </c>
      <c r="C5240" s="85">
        <v>45354.0</v>
      </c>
      <c r="D5240" s="85">
        <v>45355.0</v>
      </c>
      <c r="E5240" s="86">
        <v>48.9</v>
      </c>
      <c r="F5240" s="87">
        <v>62.56</v>
      </c>
      <c r="G5240" s="88">
        <f t="shared" si="1"/>
        <v>13.66</v>
      </c>
      <c r="H5240" s="89">
        <f t="shared" si="10"/>
        <v>0.2183503836</v>
      </c>
      <c r="I5240" s="78" t="s">
        <v>6077</v>
      </c>
      <c r="J5240" s="78" t="s">
        <v>69</v>
      </c>
      <c r="K5240" s="58">
        <f t="shared" si="14"/>
        <v>1</v>
      </c>
      <c r="L5240" s="91" t="str">
        <f t="shared" si="8"/>
        <v>Mon</v>
      </c>
      <c r="M5240" s="78" t="str">
        <f>IFERROR(VLOOKUP(A5240, Entries!A:B,2,false),"")</f>
        <v>BANDAI NAMCO</v>
      </c>
      <c r="N5240" s="23" t="str">
        <f>IFERROR(VLOOKUP(A5240, Entries!A:K,11,false),"")</f>
        <v/>
      </c>
    </row>
    <row r="5241">
      <c r="A5241" s="78" t="s">
        <v>4085</v>
      </c>
      <c r="B5241" s="78" t="s">
        <v>27</v>
      </c>
      <c r="C5241" s="85">
        <v>45354.0</v>
      </c>
      <c r="D5241" s="85">
        <v>45356.0</v>
      </c>
      <c r="E5241" s="86">
        <v>6.39</v>
      </c>
      <c r="F5241" s="87">
        <v>7.31</v>
      </c>
      <c r="G5241" s="88">
        <f t="shared" si="1"/>
        <v>0.92</v>
      </c>
      <c r="H5241" s="89">
        <f t="shared" si="10"/>
        <v>0.1258549932</v>
      </c>
      <c r="I5241" s="78" t="s">
        <v>6078</v>
      </c>
      <c r="J5241" s="78" t="s">
        <v>69</v>
      </c>
      <c r="K5241" s="58">
        <f t="shared" si="14"/>
        <v>2</v>
      </c>
      <c r="L5241" s="91" t="str">
        <f t="shared" si="8"/>
        <v>Tue</v>
      </c>
      <c r="M5241" s="78" t="str">
        <f>IFERROR(VLOOKUP(A5241, Entries!A:B,2,false),"")</f>
        <v>Bethesda Softworks</v>
      </c>
      <c r="N5241" s="23" t="str">
        <f>IFERROR(VLOOKUP(A5241, Entries!A:K,11,false),"")</f>
        <v/>
      </c>
    </row>
    <row r="5242">
      <c r="A5242" s="78" t="s">
        <v>3771</v>
      </c>
      <c r="B5242" s="78" t="s">
        <v>27</v>
      </c>
      <c r="C5242" s="85">
        <v>45354.0</v>
      </c>
      <c r="D5242" s="85">
        <v>45354.0</v>
      </c>
      <c r="E5242" s="86">
        <v>9.39</v>
      </c>
      <c r="F5242" s="87">
        <v>10.89</v>
      </c>
      <c r="G5242" s="88">
        <f t="shared" si="1"/>
        <v>1.5</v>
      </c>
      <c r="H5242" s="89">
        <f t="shared" si="10"/>
        <v>0.1377410468</v>
      </c>
      <c r="I5242" s="78" t="s">
        <v>6079</v>
      </c>
      <c r="J5242" s="78" t="s">
        <v>69</v>
      </c>
      <c r="K5242" s="58">
        <f t="shared" si="14"/>
        <v>0</v>
      </c>
      <c r="L5242" s="91" t="str">
        <f t="shared" si="8"/>
        <v>Sun</v>
      </c>
      <c r="M5242" s="78" t="str">
        <f>IFERROR(VLOOKUP(A5242, Entries!A:B,2,false),"")</f>
        <v>Good Shepherd Entertainment</v>
      </c>
      <c r="N5242" s="23" t="str">
        <f>IFERROR(VLOOKUP(A5242, Entries!A:K,11,false),"")</f>
        <v/>
      </c>
    </row>
    <row r="5243">
      <c r="A5243" s="78" t="s">
        <v>4252</v>
      </c>
      <c r="B5243" s="78" t="s">
        <v>27</v>
      </c>
      <c r="C5243" s="85">
        <v>45354.0</v>
      </c>
      <c r="D5243" s="85">
        <v>45357.0</v>
      </c>
      <c r="E5243" s="86">
        <v>23.39</v>
      </c>
      <c r="F5243" s="87">
        <v>38.55</v>
      </c>
      <c r="G5243" s="88">
        <f t="shared" si="1"/>
        <v>15.16</v>
      </c>
      <c r="H5243" s="89">
        <f t="shared" si="10"/>
        <v>0.3932555123</v>
      </c>
      <c r="I5243" s="78" t="s">
        <v>6080</v>
      </c>
      <c r="J5243" s="78" t="s">
        <v>69</v>
      </c>
      <c r="K5243" s="58">
        <f t="shared" si="14"/>
        <v>3</v>
      </c>
      <c r="L5243" s="91" t="str">
        <f t="shared" si="8"/>
        <v>Wed</v>
      </c>
      <c r="M5243" s="78" t="str">
        <f>IFERROR(VLOOKUP(A5243, Entries!A:B,2,false),"")</f>
        <v>PlayStation</v>
      </c>
      <c r="N5243" s="23" t="str">
        <f>IFERROR(VLOOKUP(A5243, Entries!A:K,11,false),"")</f>
        <v/>
      </c>
    </row>
    <row r="5244">
      <c r="A5244" s="78" t="s">
        <v>6022</v>
      </c>
      <c r="B5244" s="78" t="s">
        <v>27</v>
      </c>
      <c r="C5244" s="85">
        <v>45354.0</v>
      </c>
      <c r="D5244" s="85">
        <v>45355.0</v>
      </c>
      <c r="E5244" s="86">
        <v>9.89</v>
      </c>
      <c r="F5244" s="87">
        <v>10.88</v>
      </c>
      <c r="G5244" s="88">
        <f t="shared" si="1"/>
        <v>0.99</v>
      </c>
      <c r="H5244" s="89">
        <f t="shared" si="10"/>
        <v>0.09099264706</v>
      </c>
      <c r="I5244" s="78" t="s">
        <v>6081</v>
      </c>
      <c r="J5244" s="78" t="s">
        <v>69</v>
      </c>
      <c r="K5244" s="58">
        <f t="shared" si="14"/>
        <v>1</v>
      </c>
      <c r="L5244" s="91" t="str">
        <f t="shared" si="8"/>
        <v>Mon</v>
      </c>
      <c r="M5244" s="78" t="str">
        <f>IFERROR(VLOOKUP(A5244, Entries!A:B,2,false),"")</f>
        <v>Paradox Interactive</v>
      </c>
      <c r="N5244" s="23" t="str">
        <f>IFERROR(VLOOKUP(A5244, Entries!A:K,11,false),"")</f>
        <v/>
      </c>
    </row>
    <row r="5245">
      <c r="A5245" s="78" t="s">
        <v>3771</v>
      </c>
      <c r="B5245" s="78" t="s">
        <v>27</v>
      </c>
      <c r="C5245" s="85">
        <v>45354.0</v>
      </c>
      <c r="D5245" s="85">
        <v>45389.0</v>
      </c>
      <c r="E5245" s="86">
        <v>9.39</v>
      </c>
      <c r="F5245" s="87">
        <v>10.52</v>
      </c>
      <c r="G5245" s="88">
        <f t="shared" si="1"/>
        <v>1.13</v>
      </c>
      <c r="H5245" s="89">
        <f t="shared" si="10"/>
        <v>0.1074144487</v>
      </c>
      <c r="I5245" s="78" t="s">
        <v>6082</v>
      </c>
      <c r="J5245" s="78" t="s">
        <v>69</v>
      </c>
      <c r="K5245" s="58">
        <f t="shared" si="14"/>
        <v>35</v>
      </c>
      <c r="L5245" s="91" t="str">
        <f t="shared" si="8"/>
        <v>Sun</v>
      </c>
      <c r="M5245" s="78" t="str">
        <f>IFERROR(VLOOKUP(A5245, Entries!A:B,2,false),"")</f>
        <v>Good Shepherd Entertainment</v>
      </c>
      <c r="N5245" s="23" t="str">
        <f>IFERROR(VLOOKUP(A5245, Entries!A:K,11,false),"")</f>
        <v/>
      </c>
    </row>
    <row r="5246">
      <c r="A5246" s="78" t="s">
        <v>1909</v>
      </c>
      <c r="B5246" s="78" t="s">
        <v>27</v>
      </c>
      <c r="C5246" s="85">
        <v>45354.0</v>
      </c>
      <c r="D5246" s="85">
        <v>45367.0</v>
      </c>
      <c r="E5246" s="86">
        <v>2.09</v>
      </c>
      <c r="F5246" s="87">
        <v>3.59</v>
      </c>
      <c r="G5246" s="88">
        <f t="shared" si="1"/>
        <v>1.5</v>
      </c>
      <c r="H5246" s="89">
        <f t="shared" si="10"/>
        <v>0.4178272981</v>
      </c>
      <c r="I5246" s="78" t="s">
        <v>6083</v>
      </c>
      <c r="J5246" s="78" t="s">
        <v>69</v>
      </c>
      <c r="K5246" s="58">
        <f t="shared" si="14"/>
        <v>13</v>
      </c>
      <c r="L5246" s="91" t="str">
        <f t="shared" si="8"/>
        <v>Sat</v>
      </c>
      <c r="M5246" s="78" t="str">
        <f>IFERROR(VLOOKUP(A5246, Entries!A:B,2,false),"")</f>
        <v>PlayWay</v>
      </c>
      <c r="N5246" s="23" t="str">
        <f>IFERROR(VLOOKUP(A5246, Entries!A:K,11,false),"")</f>
        <v/>
      </c>
    </row>
    <row r="5247">
      <c r="A5247" s="78" t="s">
        <v>6024</v>
      </c>
      <c r="B5247" s="78" t="s">
        <v>27</v>
      </c>
      <c r="C5247" s="85">
        <v>45355.0</v>
      </c>
      <c r="D5247" s="85">
        <v>45358.0</v>
      </c>
      <c r="E5247" s="86">
        <v>50.29</v>
      </c>
      <c r="F5247" s="87">
        <v>62.74</v>
      </c>
      <c r="G5247" s="88">
        <f t="shared" si="1"/>
        <v>12.45</v>
      </c>
      <c r="H5247" s="89">
        <f t="shared" si="10"/>
        <v>0.1984379981</v>
      </c>
      <c r="J5247" s="78" t="s">
        <v>69</v>
      </c>
      <c r="K5247" s="58">
        <f t="shared" si="14"/>
        <v>3</v>
      </c>
      <c r="L5247" s="91" t="str">
        <f t="shared" si="8"/>
        <v>Thu</v>
      </c>
      <c r="M5247" s="78" t="str">
        <f>IFERROR(VLOOKUP(A5247, Entries!A:B,2,false),"")</f>
        <v>BANDAI NAMCO</v>
      </c>
      <c r="N5247" s="23" t="str">
        <f>IFERROR(VLOOKUP(A5247, Entries!A:K,11,false),"")</f>
        <v/>
      </c>
    </row>
    <row r="5248">
      <c r="A5248" s="78" t="s">
        <v>6022</v>
      </c>
      <c r="B5248" s="78" t="s">
        <v>27</v>
      </c>
      <c r="C5248" s="85">
        <v>45355.0</v>
      </c>
      <c r="D5248" s="85">
        <v>45356.0</v>
      </c>
      <c r="E5248" s="86">
        <v>9.89</v>
      </c>
      <c r="F5248" s="87">
        <v>11.49</v>
      </c>
      <c r="G5248" s="88">
        <f t="shared" si="1"/>
        <v>1.6</v>
      </c>
      <c r="H5248" s="89">
        <f t="shared" si="10"/>
        <v>0.1392515231</v>
      </c>
      <c r="I5248" s="78" t="s">
        <v>6084</v>
      </c>
      <c r="J5248" s="78" t="s">
        <v>69</v>
      </c>
      <c r="K5248" s="58">
        <f t="shared" si="14"/>
        <v>1</v>
      </c>
      <c r="L5248" s="91" t="str">
        <f t="shared" si="8"/>
        <v>Tue</v>
      </c>
      <c r="M5248" s="78" t="str">
        <f>IFERROR(VLOOKUP(A5248, Entries!A:B,2,false),"")</f>
        <v>Paradox Interactive</v>
      </c>
      <c r="N5248" s="23" t="str">
        <f>IFERROR(VLOOKUP(A5248, Entries!A:K,11,false),"")</f>
        <v/>
      </c>
    </row>
    <row r="5249">
      <c r="A5249" s="78" t="s">
        <v>6024</v>
      </c>
      <c r="B5249" s="78" t="s">
        <v>27</v>
      </c>
      <c r="C5249" s="85">
        <v>45356.0</v>
      </c>
      <c r="D5249" s="85">
        <v>45364.0</v>
      </c>
      <c r="E5249" s="86">
        <v>48.0</v>
      </c>
      <c r="F5249" s="87">
        <v>62.86</v>
      </c>
      <c r="G5249" s="88">
        <f t="shared" si="1"/>
        <v>14.86</v>
      </c>
      <c r="H5249" s="89">
        <f t="shared" si="10"/>
        <v>0.2363983455</v>
      </c>
      <c r="I5249" s="78" t="s">
        <v>6085</v>
      </c>
      <c r="J5249" s="78" t="s">
        <v>69</v>
      </c>
      <c r="K5249" s="58">
        <f t="shared" si="14"/>
        <v>8</v>
      </c>
      <c r="L5249" s="91" t="str">
        <f t="shared" si="8"/>
        <v>Wed</v>
      </c>
      <c r="M5249" s="78" t="str">
        <f>IFERROR(VLOOKUP(A5249, Entries!A:B,2,false),"")</f>
        <v>BANDAI NAMCO</v>
      </c>
      <c r="N5249" s="23" t="str">
        <f>IFERROR(VLOOKUP(A5249, Entries!A:K,11,false),"")</f>
        <v/>
      </c>
    </row>
    <row r="5250">
      <c r="A5250" s="78" t="s">
        <v>6022</v>
      </c>
      <c r="B5250" s="78" t="s">
        <v>27</v>
      </c>
      <c r="C5250" s="85">
        <v>45356.0</v>
      </c>
      <c r="D5250" s="85">
        <v>45356.0</v>
      </c>
      <c r="E5250" s="86">
        <v>9.33</v>
      </c>
      <c r="F5250" s="87">
        <v>11.79</v>
      </c>
      <c r="G5250" s="88">
        <f t="shared" si="1"/>
        <v>2.46</v>
      </c>
      <c r="H5250" s="89">
        <f t="shared" si="10"/>
        <v>0.2086513995</v>
      </c>
      <c r="I5250" s="78" t="s">
        <v>6086</v>
      </c>
      <c r="J5250" s="78" t="s">
        <v>69</v>
      </c>
      <c r="K5250" s="58">
        <f t="shared" si="14"/>
        <v>0</v>
      </c>
      <c r="L5250" s="91" t="str">
        <f t="shared" si="8"/>
        <v>Tue</v>
      </c>
      <c r="M5250" s="78" t="str">
        <f>IFERROR(VLOOKUP(A5250, Entries!A:B,2,false),"")</f>
        <v>Paradox Interactive</v>
      </c>
      <c r="N5250" s="23" t="str">
        <f>IFERROR(VLOOKUP(A5250, Entries!A:K,11,false),"")</f>
        <v/>
      </c>
    </row>
    <row r="5251">
      <c r="A5251" s="78" t="s">
        <v>4085</v>
      </c>
      <c r="B5251" s="78" t="s">
        <v>27</v>
      </c>
      <c r="C5251" s="85">
        <v>45356.0</v>
      </c>
      <c r="D5251" s="85">
        <v>45360.0</v>
      </c>
      <c r="E5251" s="86">
        <v>5.9</v>
      </c>
      <c r="F5251" s="87">
        <v>7.31</v>
      </c>
      <c r="G5251" s="88">
        <f t="shared" si="1"/>
        <v>1.41</v>
      </c>
      <c r="H5251" s="89">
        <f t="shared" si="10"/>
        <v>0.1928864569</v>
      </c>
      <c r="I5251" s="78" t="s">
        <v>6087</v>
      </c>
      <c r="J5251" s="78" t="s">
        <v>69</v>
      </c>
      <c r="K5251" s="58">
        <f t="shared" si="14"/>
        <v>4</v>
      </c>
      <c r="L5251" s="91" t="str">
        <f t="shared" si="8"/>
        <v>Sat</v>
      </c>
      <c r="M5251" s="78" t="str">
        <f>IFERROR(VLOOKUP(A5251, Entries!A:B,2,false),"")</f>
        <v>Bethesda Softworks</v>
      </c>
      <c r="N5251" s="23" t="str">
        <f>IFERROR(VLOOKUP(A5251, Entries!A:K,11,false),"")</f>
        <v/>
      </c>
    </row>
    <row r="5252">
      <c r="A5252" s="78" t="s">
        <v>6022</v>
      </c>
      <c r="B5252" s="78" t="s">
        <v>27</v>
      </c>
      <c r="C5252" s="85">
        <v>45356.0</v>
      </c>
      <c r="D5252" s="85">
        <v>45356.0</v>
      </c>
      <c r="E5252" s="86">
        <v>8.86</v>
      </c>
      <c r="F5252" s="87">
        <v>12.18</v>
      </c>
      <c r="G5252" s="88">
        <f t="shared" si="1"/>
        <v>3.32</v>
      </c>
      <c r="H5252" s="89">
        <f t="shared" si="10"/>
        <v>0.2725779967</v>
      </c>
      <c r="I5252" s="78" t="s">
        <v>6088</v>
      </c>
      <c r="J5252" s="78" t="s">
        <v>69</v>
      </c>
      <c r="K5252" s="58">
        <f t="shared" si="14"/>
        <v>0</v>
      </c>
      <c r="L5252" s="91" t="str">
        <f t="shared" si="8"/>
        <v>Tue</v>
      </c>
      <c r="M5252" s="78" t="str">
        <f>IFERROR(VLOOKUP(A5252, Entries!A:B,2,false),"")</f>
        <v>Paradox Interactive</v>
      </c>
      <c r="N5252" s="23" t="str">
        <f>IFERROR(VLOOKUP(A5252, Entries!A:K,11,false),"")</f>
        <v/>
      </c>
    </row>
    <row r="5253">
      <c r="A5253" s="78" t="s">
        <v>5676</v>
      </c>
      <c r="B5253" s="78" t="s">
        <v>27</v>
      </c>
      <c r="C5253" s="85">
        <v>45356.0</v>
      </c>
      <c r="D5253" s="85">
        <v>45360.0</v>
      </c>
      <c r="E5253" s="86">
        <v>40.59</v>
      </c>
      <c r="F5253" s="87">
        <v>44.79</v>
      </c>
      <c r="G5253" s="88">
        <f t="shared" si="1"/>
        <v>4.2</v>
      </c>
      <c r="H5253" s="89">
        <f t="shared" si="10"/>
        <v>0.09377093101</v>
      </c>
      <c r="I5253" s="78" t="s">
        <v>6089</v>
      </c>
      <c r="J5253" s="78" t="s">
        <v>69</v>
      </c>
      <c r="K5253" s="58">
        <f t="shared" si="14"/>
        <v>4</v>
      </c>
      <c r="L5253" s="91" t="str">
        <f t="shared" si="8"/>
        <v>Sat</v>
      </c>
      <c r="M5253" s="78" t="str">
        <f>IFERROR(VLOOKUP(A5253, Entries!A:B,2,false),"")</f>
        <v>Bethesda Softworks</v>
      </c>
      <c r="N5253" s="23" t="str">
        <f>IFERROR(VLOOKUP(A5253, Entries!A:K,11,false),"")</f>
        <v/>
      </c>
    </row>
    <row r="5254">
      <c r="A5254" s="78" t="s">
        <v>6022</v>
      </c>
      <c r="B5254" s="78" t="s">
        <v>27</v>
      </c>
      <c r="C5254" s="85">
        <v>45356.0</v>
      </c>
      <c r="D5254" s="85">
        <v>45356.0</v>
      </c>
      <c r="E5254" s="86">
        <v>9.89</v>
      </c>
      <c r="F5254" s="87">
        <v>12.41</v>
      </c>
      <c r="G5254" s="88">
        <f t="shared" si="1"/>
        <v>2.52</v>
      </c>
      <c r="H5254" s="89">
        <f t="shared" si="10"/>
        <v>0.2030620467</v>
      </c>
      <c r="I5254" s="78" t="s">
        <v>6090</v>
      </c>
      <c r="J5254" s="78" t="s">
        <v>69</v>
      </c>
      <c r="K5254" s="58">
        <f t="shared" si="14"/>
        <v>0</v>
      </c>
      <c r="L5254" s="91" t="str">
        <f t="shared" si="8"/>
        <v>Tue</v>
      </c>
      <c r="M5254" s="78" t="str">
        <f>IFERROR(VLOOKUP(A5254, Entries!A:B,2,false),"")</f>
        <v>Paradox Interactive</v>
      </c>
      <c r="N5254" s="23" t="str">
        <f>IFERROR(VLOOKUP(A5254, Entries!A:K,11,false),"")</f>
        <v/>
      </c>
    </row>
    <row r="5255">
      <c r="A5255" s="94" t="s">
        <v>5615</v>
      </c>
      <c r="B5255" s="78" t="s">
        <v>27</v>
      </c>
      <c r="C5255" s="85">
        <v>45356.0</v>
      </c>
      <c r="D5255" s="85">
        <v>45549.0</v>
      </c>
      <c r="E5255" s="86">
        <v>3.99</v>
      </c>
      <c r="F5255" s="87">
        <v>4.23</v>
      </c>
      <c r="G5255" s="88">
        <f t="shared" si="1"/>
        <v>0.24</v>
      </c>
      <c r="H5255" s="89">
        <f t="shared" si="10"/>
        <v>0.05673758865</v>
      </c>
      <c r="I5255" s="78" t="s">
        <v>6091</v>
      </c>
      <c r="J5255" s="78" t="s">
        <v>69</v>
      </c>
      <c r="K5255" s="58">
        <f t="shared" si="14"/>
        <v>193</v>
      </c>
      <c r="L5255" s="91" t="str">
        <f t="shared" si="8"/>
        <v>Sat</v>
      </c>
      <c r="M5255" s="78" t="str">
        <f>IFERROR(VLOOKUP(A5255, Entries!A:B,2,false),"")</f>
        <v>Bethesda Softworks</v>
      </c>
      <c r="N5255" s="23" t="str">
        <f>IFERROR(VLOOKUP(A5255, Entries!A:K,11,false),"")</f>
        <v/>
      </c>
    </row>
    <row r="5256">
      <c r="A5256" s="78" t="s">
        <v>2339</v>
      </c>
      <c r="B5256" s="78" t="s">
        <v>35</v>
      </c>
      <c r="C5256" s="85">
        <v>45356.0</v>
      </c>
      <c r="D5256" s="85">
        <v>45357.0</v>
      </c>
      <c r="E5256" s="86">
        <v>1.93</v>
      </c>
      <c r="F5256" s="87">
        <v>3.08</v>
      </c>
      <c r="G5256" s="88">
        <f t="shared" si="1"/>
        <v>1.15</v>
      </c>
      <c r="H5256" s="89">
        <f t="shared" si="10"/>
        <v>0.3733766234</v>
      </c>
      <c r="I5256" s="78" t="s">
        <v>6092</v>
      </c>
      <c r="J5256" s="78" t="s">
        <v>69</v>
      </c>
      <c r="K5256" s="58">
        <f t="shared" si="14"/>
        <v>1</v>
      </c>
      <c r="L5256" s="91" t="str">
        <f t="shared" si="8"/>
        <v>Wed</v>
      </c>
      <c r="M5256" s="78" t="str">
        <f>IFERROR(VLOOKUP(A5256, Entries!A:B,2,false),"")</f>
        <v>PlayWay</v>
      </c>
      <c r="N5256" s="23" t="str">
        <f>IFERROR(VLOOKUP(A5256, Entries!A:K,11,false),"")</f>
        <v/>
      </c>
    </row>
    <row r="5257">
      <c r="A5257" s="78" t="s">
        <v>2339</v>
      </c>
      <c r="B5257" s="78" t="s">
        <v>35</v>
      </c>
      <c r="C5257" s="85">
        <v>45356.0</v>
      </c>
      <c r="D5257" s="85">
        <v>45357.0</v>
      </c>
      <c r="E5257" s="86">
        <v>1.93</v>
      </c>
      <c r="F5257" s="87">
        <v>3.08</v>
      </c>
      <c r="G5257" s="88">
        <f t="shared" si="1"/>
        <v>1.15</v>
      </c>
      <c r="H5257" s="89">
        <f t="shared" si="10"/>
        <v>0.3733766234</v>
      </c>
      <c r="I5257" s="78" t="s">
        <v>6093</v>
      </c>
      <c r="J5257" s="78" t="s">
        <v>69</v>
      </c>
      <c r="K5257" s="58">
        <f t="shared" si="14"/>
        <v>1</v>
      </c>
      <c r="L5257" s="91" t="str">
        <f t="shared" si="8"/>
        <v>Wed</v>
      </c>
      <c r="M5257" s="78" t="str">
        <f>IFERROR(VLOOKUP(A5257, Entries!A:B,2,false),"")</f>
        <v>PlayWay</v>
      </c>
      <c r="N5257" s="23" t="str">
        <f>IFERROR(VLOOKUP(A5257, Entries!A:K,11,false),"")</f>
        <v/>
      </c>
    </row>
    <row r="5258">
      <c r="A5258" s="78" t="s">
        <v>2339</v>
      </c>
      <c r="B5258" s="78" t="s">
        <v>35</v>
      </c>
      <c r="C5258" s="85">
        <v>45356.0</v>
      </c>
      <c r="D5258" s="85">
        <v>45357.0</v>
      </c>
      <c r="E5258" s="86">
        <v>1.93</v>
      </c>
      <c r="F5258" s="87">
        <v>3.08</v>
      </c>
      <c r="G5258" s="88">
        <f t="shared" si="1"/>
        <v>1.15</v>
      </c>
      <c r="H5258" s="89">
        <f t="shared" si="10"/>
        <v>0.3733766234</v>
      </c>
      <c r="I5258" s="78" t="s">
        <v>6094</v>
      </c>
      <c r="J5258" s="78" t="s">
        <v>69</v>
      </c>
      <c r="K5258" s="58">
        <f t="shared" si="14"/>
        <v>1</v>
      </c>
      <c r="L5258" s="91" t="str">
        <f t="shared" si="8"/>
        <v>Wed</v>
      </c>
      <c r="M5258" s="78" t="str">
        <f>IFERROR(VLOOKUP(A5258, Entries!A:B,2,false),"")</f>
        <v>PlayWay</v>
      </c>
      <c r="N5258" s="23" t="str">
        <f>IFERROR(VLOOKUP(A5258, Entries!A:K,11,false),"")</f>
        <v/>
      </c>
    </row>
    <row r="5259">
      <c r="A5259" s="78" t="s">
        <v>1922</v>
      </c>
      <c r="B5259" s="78" t="s">
        <v>21</v>
      </c>
      <c r="C5259" s="85">
        <v>45356.0</v>
      </c>
      <c r="D5259" s="85">
        <v>45363.0</v>
      </c>
      <c r="E5259" s="86">
        <v>11.49</v>
      </c>
      <c r="F5259" s="87">
        <v>14.19</v>
      </c>
      <c r="G5259" s="88">
        <f t="shared" si="1"/>
        <v>2.7</v>
      </c>
      <c r="H5259" s="89">
        <f t="shared" si="10"/>
        <v>0.1902748414</v>
      </c>
      <c r="I5259" s="78" t="s">
        <v>6095</v>
      </c>
      <c r="J5259" s="78" t="s">
        <v>69</v>
      </c>
      <c r="K5259" s="58">
        <f t="shared" si="14"/>
        <v>7</v>
      </c>
      <c r="L5259" s="91" t="str">
        <f t="shared" si="8"/>
        <v>Tue</v>
      </c>
      <c r="M5259" s="78" t="str">
        <f>IFERROR(VLOOKUP(A5259, Entries!A:B,2,false),"")</f>
        <v>Rebellion</v>
      </c>
      <c r="N5259" s="23" t="str">
        <f>IFERROR(VLOOKUP(A5259, Entries!A:K,11,false),"")</f>
        <v/>
      </c>
    </row>
    <row r="5260">
      <c r="A5260" s="78" t="s">
        <v>6022</v>
      </c>
      <c r="B5260" s="78" t="s">
        <v>27</v>
      </c>
      <c r="C5260" s="85">
        <v>45356.0</v>
      </c>
      <c r="D5260" s="85">
        <v>45356.0</v>
      </c>
      <c r="E5260" s="86">
        <v>9.89</v>
      </c>
      <c r="F5260" s="87">
        <v>12.45</v>
      </c>
      <c r="G5260" s="88">
        <f t="shared" si="1"/>
        <v>2.56</v>
      </c>
      <c r="H5260" s="89">
        <f t="shared" si="10"/>
        <v>0.20562249</v>
      </c>
      <c r="I5260" s="78" t="s">
        <v>6096</v>
      </c>
      <c r="J5260" s="78" t="s">
        <v>69</v>
      </c>
      <c r="K5260" s="58">
        <f t="shared" si="14"/>
        <v>0</v>
      </c>
      <c r="L5260" s="91" t="str">
        <f t="shared" si="8"/>
        <v>Tue</v>
      </c>
      <c r="M5260" s="78" t="str">
        <f>IFERROR(VLOOKUP(A5260, Entries!A:B,2,false),"")</f>
        <v>Paradox Interactive</v>
      </c>
      <c r="N5260" s="23" t="str">
        <f>IFERROR(VLOOKUP(A5260, Entries!A:K,11,false),"")</f>
        <v/>
      </c>
    </row>
    <row r="5261">
      <c r="A5261" s="78" t="s">
        <v>6022</v>
      </c>
      <c r="B5261" s="78" t="s">
        <v>27</v>
      </c>
      <c r="C5261" s="85">
        <v>45357.0</v>
      </c>
      <c r="D5261" s="85">
        <v>45357.0</v>
      </c>
      <c r="E5261" s="86">
        <v>9.89</v>
      </c>
      <c r="F5261" s="87">
        <v>12.46</v>
      </c>
      <c r="G5261" s="88">
        <f t="shared" si="1"/>
        <v>2.57</v>
      </c>
      <c r="H5261" s="89">
        <f t="shared" si="10"/>
        <v>0.2062600321</v>
      </c>
      <c r="I5261" s="78" t="s">
        <v>6097</v>
      </c>
      <c r="J5261" s="78" t="s">
        <v>69</v>
      </c>
      <c r="K5261" s="58">
        <f t="shared" si="14"/>
        <v>0</v>
      </c>
      <c r="L5261" s="91" t="str">
        <f t="shared" si="8"/>
        <v>Wed</v>
      </c>
      <c r="M5261" s="78" t="str">
        <f>IFERROR(VLOOKUP(A5261, Entries!A:B,2,false),"")</f>
        <v>Paradox Interactive</v>
      </c>
      <c r="N5261" s="23" t="str">
        <f>IFERROR(VLOOKUP(A5261, Entries!A:K,11,false),"")</f>
        <v/>
      </c>
    </row>
    <row r="5262">
      <c r="A5262" s="78" t="s">
        <v>6022</v>
      </c>
      <c r="B5262" s="78" t="s">
        <v>27</v>
      </c>
      <c r="C5262" s="85">
        <v>45357.0</v>
      </c>
      <c r="D5262" s="85">
        <v>45357.0</v>
      </c>
      <c r="E5262" s="86">
        <v>9.38</v>
      </c>
      <c r="F5262" s="87">
        <v>12.49</v>
      </c>
      <c r="G5262" s="88">
        <f t="shared" si="1"/>
        <v>3.11</v>
      </c>
      <c r="H5262" s="89">
        <f t="shared" si="10"/>
        <v>0.2489991994</v>
      </c>
      <c r="I5262" s="78" t="s">
        <v>6098</v>
      </c>
      <c r="J5262" s="78" t="s">
        <v>69</v>
      </c>
      <c r="K5262" s="58">
        <f t="shared" si="14"/>
        <v>0</v>
      </c>
      <c r="L5262" s="91" t="str">
        <f t="shared" si="8"/>
        <v>Wed</v>
      </c>
      <c r="M5262" s="78" t="str">
        <f>IFERROR(VLOOKUP(A5262, Entries!A:B,2,false),"")</f>
        <v>Paradox Interactive</v>
      </c>
      <c r="N5262" s="23" t="str">
        <f>IFERROR(VLOOKUP(A5262, Entries!A:K,11,false),"")</f>
        <v/>
      </c>
    </row>
    <row r="5263">
      <c r="A5263" s="78" t="s">
        <v>6022</v>
      </c>
      <c r="B5263" s="78" t="s">
        <v>27</v>
      </c>
      <c r="C5263" s="85">
        <v>45357.0</v>
      </c>
      <c r="D5263" s="85">
        <v>45357.0</v>
      </c>
      <c r="E5263" s="86">
        <v>9.89</v>
      </c>
      <c r="F5263" s="87">
        <v>12.55</v>
      </c>
      <c r="G5263" s="88">
        <f t="shared" si="1"/>
        <v>2.66</v>
      </c>
      <c r="H5263" s="89">
        <f t="shared" si="10"/>
        <v>0.2119521912</v>
      </c>
      <c r="I5263" s="78" t="s">
        <v>6099</v>
      </c>
      <c r="J5263" s="78" t="s">
        <v>69</v>
      </c>
      <c r="K5263" s="58">
        <f t="shared" si="14"/>
        <v>0</v>
      </c>
      <c r="L5263" s="91" t="str">
        <f t="shared" si="8"/>
        <v>Wed</v>
      </c>
      <c r="M5263" s="78" t="str">
        <f>IFERROR(VLOOKUP(A5263, Entries!A:B,2,false),"")</f>
        <v>Paradox Interactive</v>
      </c>
      <c r="N5263" s="23" t="str">
        <f>IFERROR(VLOOKUP(A5263, Entries!A:K,11,false),"")</f>
        <v/>
      </c>
    </row>
    <row r="5264">
      <c r="A5264" s="78" t="s">
        <v>2339</v>
      </c>
      <c r="B5264" s="78" t="s">
        <v>35</v>
      </c>
      <c r="C5264" s="85">
        <v>45357.0</v>
      </c>
      <c r="D5264" s="85">
        <v>45357.0</v>
      </c>
      <c r="E5264" s="86">
        <v>1.93</v>
      </c>
      <c r="F5264" s="87">
        <v>2.64</v>
      </c>
      <c r="G5264" s="88">
        <f t="shared" si="1"/>
        <v>0.71</v>
      </c>
      <c r="H5264" s="89">
        <f t="shared" si="10"/>
        <v>0.2689393939</v>
      </c>
      <c r="I5264" s="78" t="s">
        <v>6100</v>
      </c>
      <c r="J5264" s="78" t="s">
        <v>69</v>
      </c>
      <c r="K5264" s="58">
        <f t="shared" si="14"/>
        <v>0</v>
      </c>
      <c r="L5264" s="91" t="str">
        <f t="shared" si="8"/>
        <v>Wed</v>
      </c>
      <c r="M5264" s="78" t="str">
        <f>IFERROR(VLOOKUP(A5264, Entries!A:B,2,false),"")</f>
        <v>PlayWay</v>
      </c>
      <c r="N5264" s="23" t="str">
        <f>IFERROR(VLOOKUP(A5264, Entries!A:K,11,false),"")</f>
        <v/>
      </c>
    </row>
    <row r="5265">
      <c r="A5265" s="78" t="s">
        <v>2339</v>
      </c>
      <c r="B5265" s="78" t="s">
        <v>35</v>
      </c>
      <c r="C5265" s="85">
        <v>45357.0</v>
      </c>
      <c r="D5265" s="85">
        <v>45363.0</v>
      </c>
      <c r="E5265" s="86">
        <v>1.93</v>
      </c>
      <c r="F5265" s="87">
        <v>2.7</v>
      </c>
      <c r="G5265" s="88">
        <f t="shared" si="1"/>
        <v>0.77</v>
      </c>
      <c r="H5265" s="89">
        <f t="shared" si="10"/>
        <v>0.2851851852</v>
      </c>
      <c r="I5265" s="78" t="s">
        <v>6101</v>
      </c>
      <c r="J5265" s="78" t="s">
        <v>69</v>
      </c>
      <c r="K5265" s="58">
        <f t="shared" si="14"/>
        <v>6</v>
      </c>
      <c r="L5265" s="91" t="str">
        <f t="shared" si="8"/>
        <v>Tue</v>
      </c>
      <c r="M5265" s="78" t="str">
        <f>IFERROR(VLOOKUP(A5265, Entries!A:B,2,false),"")</f>
        <v>PlayWay</v>
      </c>
      <c r="N5265" s="23" t="str">
        <f>IFERROR(VLOOKUP(A5265, Entries!A:K,11,false),"")</f>
        <v/>
      </c>
    </row>
    <row r="5266">
      <c r="A5266" s="78" t="s">
        <v>2339</v>
      </c>
      <c r="B5266" s="78" t="s">
        <v>35</v>
      </c>
      <c r="C5266" s="85">
        <v>45357.0</v>
      </c>
      <c r="D5266" s="85">
        <v>45363.0</v>
      </c>
      <c r="E5266" s="86">
        <v>1.93</v>
      </c>
      <c r="F5266" s="87">
        <v>2.7</v>
      </c>
      <c r="G5266" s="88">
        <f t="shared" si="1"/>
        <v>0.77</v>
      </c>
      <c r="H5266" s="89">
        <f t="shared" si="10"/>
        <v>0.2851851852</v>
      </c>
      <c r="I5266" s="78" t="s">
        <v>6102</v>
      </c>
      <c r="J5266" s="78" t="s">
        <v>69</v>
      </c>
      <c r="K5266" s="58">
        <f t="shared" si="14"/>
        <v>6</v>
      </c>
      <c r="L5266" s="91" t="str">
        <f t="shared" si="8"/>
        <v>Tue</v>
      </c>
      <c r="M5266" s="78" t="str">
        <f>IFERROR(VLOOKUP(A5266, Entries!A:B,2,false),"")</f>
        <v>PlayWay</v>
      </c>
      <c r="N5266" s="23" t="str">
        <f>IFERROR(VLOOKUP(A5266, Entries!A:K,11,false),"")</f>
        <v/>
      </c>
    </row>
    <row r="5267">
      <c r="A5267" s="78" t="s">
        <v>6022</v>
      </c>
      <c r="B5267" s="78" t="s">
        <v>27</v>
      </c>
      <c r="C5267" s="85">
        <v>45357.0</v>
      </c>
      <c r="D5267" s="85">
        <v>45357.0</v>
      </c>
      <c r="E5267" s="86">
        <v>9.89</v>
      </c>
      <c r="F5267" s="87">
        <v>12.73</v>
      </c>
      <c r="G5267" s="88">
        <f t="shared" si="1"/>
        <v>2.84</v>
      </c>
      <c r="H5267" s="89">
        <f t="shared" si="10"/>
        <v>0.2230950511</v>
      </c>
      <c r="I5267" s="78" t="s">
        <v>6103</v>
      </c>
      <c r="J5267" s="78" t="s">
        <v>69</v>
      </c>
      <c r="K5267" s="58">
        <f t="shared" si="14"/>
        <v>0</v>
      </c>
      <c r="L5267" s="91" t="str">
        <f t="shared" si="8"/>
        <v>Wed</v>
      </c>
      <c r="M5267" s="78" t="str">
        <f>IFERROR(VLOOKUP(A5267, Entries!A:B,2,false),"")</f>
        <v>Paradox Interactive</v>
      </c>
      <c r="N5267" s="23" t="str">
        <f>IFERROR(VLOOKUP(A5267, Entries!A:K,11,false),"")</f>
        <v/>
      </c>
    </row>
    <row r="5268">
      <c r="A5268" s="78" t="s">
        <v>6022</v>
      </c>
      <c r="B5268" s="78" t="s">
        <v>27</v>
      </c>
      <c r="C5268" s="85">
        <v>45357.0</v>
      </c>
      <c r="D5268" s="85">
        <v>45357.0</v>
      </c>
      <c r="E5268" s="86">
        <v>9.89</v>
      </c>
      <c r="F5268" s="87">
        <v>12.21</v>
      </c>
      <c r="G5268" s="88">
        <f t="shared" si="1"/>
        <v>2.32</v>
      </c>
      <c r="H5268" s="89">
        <f t="shared" si="10"/>
        <v>0.19000819</v>
      </c>
      <c r="I5268" s="78" t="s">
        <v>6104</v>
      </c>
      <c r="J5268" s="78" t="s">
        <v>69</v>
      </c>
      <c r="K5268" s="58">
        <f t="shared" si="14"/>
        <v>0</v>
      </c>
      <c r="L5268" s="91" t="str">
        <f t="shared" si="8"/>
        <v>Wed</v>
      </c>
      <c r="M5268" s="78" t="str">
        <f>IFERROR(VLOOKUP(A5268, Entries!A:B,2,false),"")</f>
        <v>Paradox Interactive</v>
      </c>
      <c r="N5268" s="23" t="str">
        <f>IFERROR(VLOOKUP(A5268, Entries!A:K,11,false),"")</f>
        <v/>
      </c>
    </row>
    <row r="5269">
      <c r="A5269" s="78" t="s">
        <v>4252</v>
      </c>
      <c r="B5269" s="78" t="s">
        <v>25</v>
      </c>
      <c r="C5269" s="85">
        <v>45357.0</v>
      </c>
      <c r="D5269" s="85">
        <v>45358.0</v>
      </c>
      <c r="E5269" s="86">
        <v>33.93</v>
      </c>
      <c r="F5269" s="87">
        <v>38.55</v>
      </c>
      <c r="G5269" s="88">
        <f t="shared" si="1"/>
        <v>4.62</v>
      </c>
      <c r="H5269" s="89">
        <f t="shared" si="10"/>
        <v>0.119844358</v>
      </c>
      <c r="I5269" s="78" t="s">
        <v>6105</v>
      </c>
      <c r="J5269" s="78" t="s">
        <v>69</v>
      </c>
      <c r="K5269" s="58">
        <f t="shared" si="14"/>
        <v>1</v>
      </c>
      <c r="L5269" s="91" t="str">
        <f t="shared" si="8"/>
        <v>Thu</v>
      </c>
      <c r="M5269" s="78" t="str">
        <f>IFERROR(VLOOKUP(A5269, Entries!A:B,2,false),"")</f>
        <v>PlayStation</v>
      </c>
      <c r="N5269" s="23" t="str">
        <f>IFERROR(VLOOKUP(A5269, Entries!A:K,11,false),"")</f>
        <v/>
      </c>
    </row>
    <row r="5270">
      <c r="A5270" s="78" t="s">
        <v>6022</v>
      </c>
      <c r="B5270" s="78" t="s">
        <v>27</v>
      </c>
      <c r="C5270" s="85">
        <v>45357.0</v>
      </c>
      <c r="D5270" s="85">
        <v>45358.0</v>
      </c>
      <c r="E5270" s="86">
        <v>9.83</v>
      </c>
      <c r="F5270" s="87">
        <v>11.98</v>
      </c>
      <c r="G5270" s="88">
        <f t="shared" si="1"/>
        <v>2.15</v>
      </c>
      <c r="H5270" s="89">
        <f t="shared" si="10"/>
        <v>0.1794657763</v>
      </c>
      <c r="I5270" s="78" t="s">
        <v>6106</v>
      </c>
      <c r="J5270" s="78" t="s">
        <v>69</v>
      </c>
      <c r="K5270" s="58">
        <f t="shared" si="14"/>
        <v>1</v>
      </c>
      <c r="L5270" s="91" t="str">
        <f t="shared" si="8"/>
        <v>Thu</v>
      </c>
      <c r="M5270" s="78" t="str">
        <f>IFERROR(VLOOKUP(A5270, Entries!A:B,2,false),"")</f>
        <v>Paradox Interactive</v>
      </c>
      <c r="N5270" s="23" t="str">
        <f>IFERROR(VLOOKUP(A5270, Entries!A:K,11,false),"")</f>
        <v/>
      </c>
    </row>
    <row r="5271">
      <c r="A5271" s="78" t="s">
        <v>6022</v>
      </c>
      <c r="B5271" s="78" t="s">
        <v>27</v>
      </c>
      <c r="C5271" s="85">
        <v>45357.0</v>
      </c>
      <c r="D5271" s="85">
        <v>45358.0</v>
      </c>
      <c r="E5271" s="86">
        <v>9.83</v>
      </c>
      <c r="F5271" s="87">
        <v>11.98</v>
      </c>
      <c r="G5271" s="88">
        <f t="shared" si="1"/>
        <v>2.15</v>
      </c>
      <c r="H5271" s="89">
        <f t="shared" si="10"/>
        <v>0.1794657763</v>
      </c>
      <c r="I5271" s="78" t="s">
        <v>6107</v>
      </c>
      <c r="J5271" s="78" t="s">
        <v>69</v>
      </c>
      <c r="K5271" s="58">
        <f t="shared" si="14"/>
        <v>1</v>
      </c>
      <c r="L5271" s="91" t="str">
        <f t="shared" si="8"/>
        <v>Thu</v>
      </c>
      <c r="M5271" s="78" t="str">
        <f>IFERROR(VLOOKUP(A5271, Entries!A:B,2,false),"")</f>
        <v>Paradox Interactive</v>
      </c>
      <c r="N5271" s="23" t="str">
        <f>IFERROR(VLOOKUP(A5271, Entries!A:K,11,false),"")</f>
        <v/>
      </c>
    </row>
    <row r="5272">
      <c r="A5272" s="78" t="s">
        <v>4252</v>
      </c>
      <c r="B5272" s="78" t="s">
        <v>25</v>
      </c>
      <c r="C5272" s="85">
        <v>45358.0</v>
      </c>
      <c r="D5272" s="85">
        <v>45360.0</v>
      </c>
      <c r="E5272" s="86">
        <v>33.93</v>
      </c>
      <c r="F5272" s="87">
        <v>38.55</v>
      </c>
      <c r="G5272" s="88">
        <f t="shared" si="1"/>
        <v>4.62</v>
      </c>
      <c r="H5272" s="89">
        <f t="shared" si="10"/>
        <v>0.119844358</v>
      </c>
      <c r="I5272" s="78" t="s">
        <v>6108</v>
      </c>
      <c r="J5272" s="78" t="s">
        <v>69</v>
      </c>
      <c r="K5272" s="58">
        <f t="shared" si="14"/>
        <v>2</v>
      </c>
      <c r="L5272" s="91" t="str">
        <f t="shared" si="8"/>
        <v>Sat</v>
      </c>
      <c r="M5272" s="78" t="str">
        <f>IFERROR(VLOOKUP(A5272, Entries!A:B,2,false),"")</f>
        <v>PlayStation</v>
      </c>
      <c r="N5272" s="23" t="str">
        <f>IFERROR(VLOOKUP(A5272, Entries!A:K,11,false),"")</f>
        <v/>
      </c>
    </row>
    <row r="5273">
      <c r="A5273" s="78" t="s">
        <v>6022</v>
      </c>
      <c r="B5273" s="78" t="s">
        <v>27</v>
      </c>
      <c r="C5273" s="85">
        <v>45358.0</v>
      </c>
      <c r="D5273" s="85">
        <v>45359.0</v>
      </c>
      <c r="E5273" s="86">
        <v>9.89</v>
      </c>
      <c r="F5273" s="87">
        <v>11.57</v>
      </c>
      <c r="G5273" s="88">
        <f t="shared" si="1"/>
        <v>1.68</v>
      </c>
      <c r="H5273" s="89">
        <f t="shared" si="10"/>
        <v>0.1452031115</v>
      </c>
      <c r="I5273" s="78" t="s">
        <v>6109</v>
      </c>
      <c r="J5273" s="78" t="s">
        <v>69</v>
      </c>
      <c r="K5273" s="58">
        <f t="shared" si="14"/>
        <v>1</v>
      </c>
      <c r="L5273" s="91" t="str">
        <f t="shared" si="8"/>
        <v>Fri</v>
      </c>
      <c r="M5273" s="78" t="str">
        <f>IFERROR(VLOOKUP(A5273, Entries!A:B,2,false),"")</f>
        <v>Paradox Interactive</v>
      </c>
      <c r="N5273" s="23" t="str">
        <f>IFERROR(VLOOKUP(A5273, Entries!A:K,11,false),"")</f>
        <v/>
      </c>
    </row>
    <row r="5274">
      <c r="A5274" s="78" t="s">
        <v>6022</v>
      </c>
      <c r="B5274" s="78" t="s">
        <v>27</v>
      </c>
      <c r="C5274" s="85">
        <v>45358.0</v>
      </c>
      <c r="D5274" s="85">
        <v>45359.0</v>
      </c>
      <c r="E5274" s="86">
        <v>9.89</v>
      </c>
      <c r="F5274" s="87">
        <v>12.18</v>
      </c>
      <c r="G5274" s="88">
        <f t="shared" si="1"/>
        <v>2.29</v>
      </c>
      <c r="H5274" s="89">
        <f t="shared" si="10"/>
        <v>0.1880131363</v>
      </c>
      <c r="I5274" s="78" t="s">
        <v>6110</v>
      </c>
      <c r="J5274" s="78" t="s">
        <v>69</v>
      </c>
      <c r="K5274" s="58">
        <f t="shared" si="14"/>
        <v>1</v>
      </c>
      <c r="L5274" s="91" t="str">
        <f t="shared" si="8"/>
        <v>Fri</v>
      </c>
      <c r="M5274" s="78" t="str">
        <f>IFERROR(VLOOKUP(A5274, Entries!A:B,2,false),"")</f>
        <v>Paradox Interactive</v>
      </c>
      <c r="N5274" s="23" t="str">
        <f>IFERROR(VLOOKUP(A5274, Entries!A:K,11,false),"")</f>
        <v/>
      </c>
    </row>
    <row r="5275">
      <c r="A5275" s="78" t="s">
        <v>6111</v>
      </c>
      <c r="B5275" s="78" t="s">
        <v>27</v>
      </c>
      <c r="C5275" s="85">
        <v>45359.0</v>
      </c>
      <c r="D5275" s="85">
        <v>45367.0</v>
      </c>
      <c r="E5275" s="86">
        <v>3.13</v>
      </c>
      <c r="F5275" s="87">
        <v>4.29</v>
      </c>
      <c r="G5275" s="88">
        <f t="shared" si="1"/>
        <v>1.16</v>
      </c>
      <c r="H5275" s="89">
        <f t="shared" si="10"/>
        <v>0.2703962704</v>
      </c>
      <c r="I5275" s="78" t="s">
        <v>6112</v>
      </c>
      <c r="J5275" s="78" t="s">
        <v>69</v>
      </c>
      <c r="K5275" s="58">
        <f t="shared" si="14"/>
        <v>8</v>
      </c>
      <c r="L5275" s="91" t="str">
        <f t="shared" si="8"/>
        <v>Sat</v>
      </c>
      <c r="M5275" s="78" t="str">
        <f>IFERROR(VLOOKUP(A5275, Entries!A:B,2,false),"")</f>
        <v/>
      </c>
      <c r="N5275" s="23" t="str">
        <f>IFERROR(VLOOKUP(A5275, Entries!A:K,11,false),"")</f>
        <v/>
      </c>
    </row>
    <row r="5276">
      <c r="A5276" s="78" t="s">
        <v>4252</v>
      </c>
      <c r="B5276" s="78" t="s">
        <v>25</v>
      </c>
      <c r="C5276" s="85">
        <v>45360.0</v>
      </c>
      <c r="D5276" s="85">
        <v>45362.0</v>
      </c>
      <c r="E5276" s="86">
        <v>33.93</v>
      </c>
      <c r="F5276" s="87">
        <v>38.55</v>
      </c>
      <c r="G5276" s="88">
        <f t="shared" si="1"/>
        <v>4.62</v>
      </c>
      <c r="H5276" s="89">
        <f t="shared" si="10"/>
        <v>0.119844358</v>
      </c>
      <c r="I5276" s="78" t="s">
        <v>6113</v>
      </c>
      <c r="J5276" s="78" t="s">
        <v>69</v>
      </c>
      <c r="K5276" s="58">
        <f t="shared" si="14"/>
        <v>2</v>
      </c>
      <c r="L5276" s="91" t="str">
        <f t="shared" si="8"/>
        <v>Mon</v>
      </c>
      <c r="M5276" s="78" t="str">
        <f>IFERROR(VLOOKUP(A5276, Entries!A:B,2,false),"")</f>
        <v>PlayStation</v>
      </c>
      <c r="N5276" s="23" t="str">
        <f>IFERROR(VLOOKUP(A5276, Entries!A:K,11,false),"")</f>
        <v/>
      </c>
    </row>
    <row r="5277">
      <c r="A5277" s="78" t="s">
        <v>4928</v>
      </c>
      <c r="B5277" s="78" t="s">
        <v>19</v>
      </c>
      <c r="C5277" s="85">
        <v>45360.0</v>
      </c>
      <c r="D5277" s="85">
        <v>45360.0</v>
      </c>
      <c r="E5277" s="86">
        <v>28.21</v>
      </c>
      <c r="F5277" s="87">
        <v>33.6</v>
      </c>
      <c r="G5277" s="88">
        <f t="shared" si="1"/>
        <v>5.39</v>
      </c>
      <c r="H5277" s="89">
        <f t="shared" si="10"/>
        <v>0.1604166667</v>
      </c>
      <c r="I5277" s="78" t="s">
        <v>6114</v>
      </c>
      <c r="J5277" s="78" t="s">
        <v>69</v>
      </c>
      <c r="K5277" s="58">
        <f t="shared" si="14"/>
        <v>0</v>
      </c>
      <c r="L5277" s="91" t="str">
        <f t="shared" si="8"/>
        <v>Sat</v>
      </c>
      <c r="M5277" s="78" t="str">
        <f>IFERROR(VLOOKUP(A5277, Entries!A:B,2,false),"")</f>
        <v>Eleventh Hour Games</v>
      </c>
      <c r="N5277" s="23" t="str">
        <f>IFERROR(VLOOKUP(A5277, Entries!A:K,11,false),"")</f>
        <v/>
      </c>
      <c r="P5277" s="78" t="s">
        <v>6115</v>
      </c>
    </row>
    <row r="5278">
      <c r="A5278" s="78" t="s">
        <v>383</v>
      </c>
      <c r="B5278" s="78" t="s">
        <v>19</v>
      </c>
      <c r="C5278" s="85">
        <v>45360.0</v>
      </c>
      <c r="D5278" s="85">
        <v>45360.0</v>
      </c>
      <c r="E5278" s="86">
        <v>0.0</v>
      </c>
      <c r="F5278" s="87">
        <v>0.82</v>
      </c>
      <c r="G5278" s="88">
        <f t="shared" si="1"/>
        <v>0.82</v>
      </c>
      <c r="H5278" s="89">
        <f t="shared" si="10"/>
        <v>1</v>
      </c>
      <c r="I5278" s="78" t="s">
        <v>6116</v>
      </c>
      <c r="J5278" s="78" t="s">
        <v>69</v>
      </c>
      <c r="K5278" s="58">
        <f t="shared" si="14"/>
        <v>0</v>
      </c>
      <c r="L5278" s="91" t="str">
        <f t="shared" si="8"/>
        <v>Sat</v>
      </c>
      <c r="M5278" s="78" t="str">
        <f>IFERROR(VLOOKUP(A5278, Entries!A:B,2,false),"")</f>
        <v>Wired Productions</v>
      </c>
      <c r="N5278" s="23" t="str">
        <f>IFERROR(VLOOKUP(A5278, Entries!A:K,11,false),"")</f>
        <v/>
      </c>
      <c r="P5278" s="78" t="s">
        <v>6115</v>
      </c>
    </row>
    <row r="5279">
      <c r="A5279" s="78" t="s">
        <v>4928</v>
      </c>
      <c r="B5279" s="78" t="s">
        <v>19</v>
      </c>
      <c r="C5279" s="85">
        <v>45360.0</v>
      </c>
      <c r="D5279" s="85">
        <v>45360.0</v>
      </c>
      <c r="E5279" s="86">
        <v>28.21</v>
      </c>
      <c r="F5279" s="87">
        <v>33.61</v>
      </c>
      <c r="G5279" s="88">
        <f t="shared" si="1"/>
        <v>5.4</v>
      </c>
      <c r="H5279" s="89">
        <f t="shared" si="10"/>
        <v>0.1606664683</v>
      </c>
      <c r="I5279" s="78" t="s">
        <v>6117</v>
      </c>
      <c r="J5279" s="78" t="s">
        <v>69</v>
      </c>
      <c r="K5279" s="58">
        <f t="shared" si="14"/>
        <v>0</v>
      </c>
      <c r="L5279" s="91" t="str">
        <f t="shared" si="8"/>
        <v>Sat</v>
      </c>
      <c r="M5279" s="78" t="str">
        <f>IFERROR(VLOOKUP(A5279, Entries!A:B,2,false),"")</f>
        <v>Eleventh Hour Games</v>
      </c>
      <c r="N5279" s="23" t="str">
        <f>IFERROR(VLOOKUP(A5279, Entries!A:K,11,false),"")</f>
        <v/>
      </c>
    </row>
    <row r="5280">
      <c r="A5280" s="78" t="s">
        <v>4085</v>
      </c>
      <c r="B5280" s="78" t="s">
        <v>27</v>
      </c>
      <c r="C5280" s="85">
        <v>45360.0</v>
      </c>
      <c r="D5280" s="85">
        <v>45362.0</v>
      </c>
      <c r="E5280" s="86">
        <v>6.39</v>
      </c>
      <c r="F5280" s="87">
        <v>7.31</v>
      </c>
      <c r="G5280" s="88">
        <f t="shared" si="1"/>
        <v>0.92</v>
      </c>
      <c r="H5280" s="89">
        <f t="shared" si="10"/>
        <v>0.1258549932</v>
      </c>
      <c r="I5280" s="78" t="s">
        <v>6118</v>
      </c>
      <c r="J5280" s="78" t="s">
        <v>69</v>
      </c>
      <c r="K5280" s="58">
        <f t="shared" si="14"/>
        <v>2</v>
      </c>
      <c r="L5280" s="91" t="str">
        <f t="shared" si="8"/>
        <v>Mon</v>
      </c>
      <c r="M5280" s="78" t="str">
        <f>IFERROR(VLOOKUP(A5280, Entries!A:B,2,false),"")</f>
        <v>Bethesda Softworks</v>
      </c>
      <c r="N5280" s="23" t="str">
        <f>IFERROR(VLOOKUP(A5280, Entries!A:K,11,false),"")</f>
        <v/>
      </c>
    </row>
    <row r="5281">
      <c r="A5281" s="78" t="s">
        <v>383</v>
      </c>
      <c r="B5281" s="78" t="s">
        <v>19</v>
      </c>
      <c r="C5281" s="85">
        <v>45360.0</v>
      </c>
      <c r="D5281" s="85">
        <v>45360.0</v>
      </c>
      <c r="E5281" s="86">
        <v>0.0</v>
      </c>
      <c r="F5281" s="87">
        <v>0.82</v>
      </c>
      <c r="G5281" s="88">
        <f t="shared" si="1"/>
        <v>0.82</v>
      </c>
      <c r="H5281" s="89">
        <f t="shared" si="10"/>
        <v>1</v>
      </c>
      <c r="I5281" s="78" t="s">
        <v>6119</v>
      </c>
      <c r="J5281" s="78" t="s">
        <v>69</v>
      </c>
      <c r="K5281" s="58">
        <f t="shared" si="14"/>
        <v>0</v>
      </c>
      <c r="L5281" s="91" t="str">
        <f t="shared" si="8"/>
        <v>Sat</v>
      </c>
      <c r="M5281" s="78" t="str">
        <f>IFERROR(VLOOKUP(A5281, Entries!A:B,2,false),"")</f>
        <v>Wired Productions</v>
      </c>
      <c r="N5281" s="23" t="str">
        <f>IFERROR(VLOOKUP(A5281, Entries!A:K,11,false),"")</f>
        <v/>
      </c>
    </row>
    <row r="5282">
      <c r="A5282" s="78" t="s">
        <v>4928</v>
      </c>
      <c r="B5282" s="78" t="s">
        <v>19</v>
      </c>
      <c r="C5282" s="85">
        <v>45360.0</v>
      </c>
      <c r="D5282" s="85">
        <v>45361.0</v>
      </c>
      <c r="E5282" s="86">
        <v>29.99</v>
      </c>
      <c r="F5282" s="87">
        <v>33.61</v>
      </c>
      <c r="G5282" s="88">
        <f t="shared" si="1"/>
        <v>3.62</v>
      </c>
      <c r="H5282" s="89">
        <f t="shared" si="10"/>
        <v>0.1077060399</v>
      </c>
      <c r="I5282" s="78" t="s">
        <v>6120</v>
      </c>
      <c r="J5282" s="78" t="s">
        <v>69</v>
      </c>
      <c r="K5282" s="58">
        <f t="shared" si="14"/>
        <v>1</v>
      </c>
      <c r="L5282" s="91" t="str">
        <f t="shared" si="8"/>
        <v>Sun</v>
      </c>
      <c r="M5282" s="78" t="str">
        <f>IFERROR(VLOOKUP(A5282, Entries!A:B,2,false),"")</f>
        <v>Eleventh Hour Games</v>
      </c>
      <c r="N5282" s="23" t="str">
        <f>IFERROR(VLOOKUP(A5282, Entries!A:K,11,false),"")</f>
        <v/>
      </c>
    </row>
    <row r="5283">
      <c r="A5283" s="78" t="s">
        <v>383</v>
      </c>
      <c r="B5283" s="78" t="s">
        <v>19</v>
      </c>
      <c r="C5283" s="85">
        <v>45360.0</v>
      </c>
      <c r="D5283" s="85">
        <v>45360.0</v>
      </c>
      <c r="E5283" s="86">
        <v>0.0</v>
      </c>
      <c r="F5283" s="87">
        <v>0.82</v>
      </c>
      <c r="G5283" s="88">
        <f t="shared" si="1"/>
        <v>0.82</v>
      </c>
      <c r="H5283" s="89">
        <f t="shared" si="10"/>
        <v>1</v>
      </c>
      <c r="I5283" s="78" t="s">
        <v>6121</v>
      </c>
      <c r="J5283" s="78" t="s">
        <v>69</v>
      </c>
      <c r="K5283" s="58">
        <f t="shared" si="14"/>
        <v>0</v>
      </c>
      <c r="L5283" s="91" t="str">
        <f t="shared" si="8"/>
        <v>Sat</v>
      </c>
      <c r="M5283" s="78" t="str">
        <f>IFERROR(VLOOKUP(A5283, Entries!A:B,2,false),"")</f>
        <v>Wired Productions</v>
      </c>
      <c r="N5283" s="23" t="str">
        <f>IFERROR(VLOOKUP(A5283, Entries!A:K,11,false),"")</f>
        <v/>
      </c>
    </row>
    <row r="5284">
      <c r="A5284" s="78" t="s">
        <v>5676</v>
      </c>
      <c r="B5284" s="78" t="s">
        <v>27</v>
      </c>
      <c r="C5284" s="85">
        <v>45360.0</v>
      </c>
      <c r="D5284" s="85">
        <v>45361.0</v>
      </c>
      <c r="E5284" s="86">
        <v>40.59</v>
      </c>
      <c r="F5284" s="87">
        <v>46.71</v>
      </c>
      <c r="G5284" s="88">
        <f t="shared" si="1"/>
        <v>6.12</v>
      </c>
      <c r="H5284" s="89">
        <f t="shared" si="10"/>
        <v>0.1310211946</v>
      </c>
      <c r="I5284" s="78" t="s">
        <v>6122</v>
      </c>
      <c r="J5284" s="78" t="s">
        <v>69</v>
      </c>
      <c r="K5284" s="58">
        <f t="shared" si="14"/>
        <v>1</v>
      </c>
      <c r="L5284" s="91" t="str">
        <f t="shared" si="8"/>
        <v>Sun</v>
      </c>
      <c r="M5284" s="78" t="str">
        <f>IFERROR(VLOOKUP(A5284, Entries!A:B,2,false),"")</f>
        <v>Bethesda Softworks</v>
      </c>
      <c r="N5284" s="23" t="str">
        <f>IFERROR(VLOOKUP(A5284, Entries!A:K,11,false),"")</f>
        <v/>
      </c>
    </row>
    <row r="5285">
      <c r="A5285" s="78" t="s">
        <v>6123</v>
      </c>
      <c r="B5285" s="78" t="s">
        <v>22</v>
      </c>
      <c r="C5285" s="85">
        <v>45360.0</v>
      </c>
      <c r="D5285" s="85">
        <v>45362.0</v>
      </c>
      <c r="E5285" s="86">
        <v>19.07</v>
      </c>
      <c r="F5285" s="87">
        <v>27.54</v>
      </c>
      <c r="G5285" s="88">
        <f t="shared" si="1"/>
        <v>8.47</v>
      </c>
      <c r="H5285" s="89">
        <f t="shared" si="10"/>
        <v>0.3075526507</v>
      </c>
      <c r="I5285" s="78" t="s">
        <v>6124</v>
      </c>
      <c r="J5285" s="78" t="s">
        <v>69</v>
      </c>
      <c r="K5285" s="58">
        <f t="shared" si="14"/>
        <v>2</v>
      </c>
      <c r="L5285" s="91" t="str">
        <f t="shared" si="8"/>
        <v>Mon</v>
      </c>
      <c r="M5285" s="78" t="str">
        <f>IFERROR(VLOOKUP(A5285, Entries!A:B,2,false),"")</f>
        <v>Owlcat Games</v>
      </c>
      <c r="N5285" s="23" t="str">
        <f>IFERROR(VLOOKUP(A5285, Entries!A:K,11,false),"")</f>
        <v/>
      </c>
    </row>
    <row r="5286">
      <c r="A5286" s="78" t="s">
        <v>4928</v>
      </c>
      <c r="B5286" s="78" t="s">
        <v>19</v>
      </c>
      <c r="C5286" s="85">
        <v>45361.0</v>
      </c>
      <c r="D5286" s="85">
        <v>45361.0</v>
      </c>
      <c r="E5286" s="86">
        <v>29.99</v>
      </c>
      <c r="F5286" s="87">
        <v>33.61</v>
      </c>
      <c r="G5286" s="88">
        <f t="shared" si="1"/>
        <v>3.62</v>
      </c>
      <c r="H5286" s="89">
        <f t="shared" si="10"/>
        <v>0.1077060399</v>
      </c>
      <c r="I5286" s="78" t="s">
        <v>6125</v>
      </c>
      <c r="J5286" s="78" t="s">
        <v>69</v>
      </c>
      <c r="K5286" s="58">
        <f t="shared" si="14"/>
        <v>0</v>
      </c>
      <c r="L5286" s="91" t="str">
        <f t="shared" si="8"/>
        <v>Sun</v>
      </c>
      <c r="M5286" s="78" t="str">
        <f>IFERROR(VLOOKUP(A5286, Entries!A:B,2,false),"")</f>
        <v>Eleventh Hour Games</v>
      </c>
      <c r="N5286" s="23" t="str">
        <f>IFERROR(VLOOKUP(A5286, Entries!A:K,11,false),"")</f>
        <v/>
      </c>
    </row>
    <row r="5287">
      <c r="A5287" s="78" t="s">
        <v>383</v>
      </c>
      <c r="B5287" s="78" t="s">
        <v>19</v>
      </c>
      <c r="C5287" s="85">
        <v>45361.0</v>
      </c>
      <c r="D5287" s="85">
        <v>45362.0</v>
      </c>
      <c r="E5287" s="86">
        <v>0.0</v>
      </c>
      <c r="F5287" s="87">
        <v>0.82</v>
      </c>
      <c r="G5287" s="88">
        <f t="shared" si="1"/>
        <v>0.82</v>
      </c>
      <c r="H5287" s="89">
        <f t="shared" si="10"/>
        <v>1</v>
      </c>
      <c r="I5287" s="78" t="s">
        <v>6126</v>
      </c>
      <c r="J5287" s="78" t="s">
        <v>69</v>
      </c>
      <c r="K5287" s="58">
        <f t="shared" si="14"/>
        <v>1</v>
      </c>
      <c r="L5287" s="91" t="str">
        <f t="shared" si="8"/>
        <v>Mon</v>
      </c>
      <c r="M5287" s="78" t="str">
        <f>IFERROR(VLOOKUP(A5287, Entries!A:B,2,false),"")</f>
        <v>Wired Productions</v>
      </c>
      <c r="N5287" s="23" t="str">
        <f>IFERROR(VLOOKUP(A5287, Entries!A:K,11,false),"")</f>
        <v/>
      </c>
    </row>
    <row r="5288">
      <c r="A5288" s="78" t="s">
        <v>5676</v>
      </c>
      <c r="B5288" s="78" t="s">
        <v>27</v>
      </c>
      <c r="C5288" s="85">
        <v>45361.0</v>
      </c>
      <c r="D5288" s="85">
        <v>45361.0</v>
      </c>
      <c r="E5288" s="86">
        <v>40.59</v>
      </c>
      <c r="F5288" s="87">
        <v>46.71</v>
      </c>
      <c r="G5288" s="88">
        <f t="shared" si="1"/>
        <v>6.12</v>
      </c>
      <c r="H5288" s="89">
        <f t="shared" si="10"/>
        <v>0.1310211946</v>
      </c>
      <c r="I5288" s="78" t="s">
        <v>6127</v>
      </c>
      <c r="J5288" s="78" t="s">
        <v>69</v>
      </c>
      <c r="K5288" s="58">
        <f t="shared" si="14"/>
        <v>0</v>
      </c>
      <c r="L5288" s="91" t="str">
        <f t="shared" si="8"/>
        <v>Sun</v>
      </c>
      <c r="M5288" s="78" t="str">
        <f>IFERROR(VLOOKUP(A5288, Entries!A:B,2,false),"")</f>
        <v>Bethesda Softworks</v>
      </c>
      <c r="N5288" s="23" t="str">
        <f>IFERROR(VLOOKUP(A5288, Entries!A:K,11,false),"")</f>
        <v/>
      </c>
    </row>
    <row r="5289">
      <c r="A5289" s="78" t="s">
        <v>5676</v>
      </c>
      <c r="B5289" s="78" t="s">
        <v>27</v>
      </c>
      <c r="C5289" s="85">
        <v>45361.0</v>
      </c>
      <c r="D5289" s="85">
        <v>45380.0</v>
      </c>
      <c r="E5289" s="86">
        <v>40.59</v>
      </c>
      <c r="F5289" s="87">
        <v>41.37</v>
      </c>
      <c r="G5289" s="88">
        <f t="shared" si="1"/>
        <v>0.78</v>
      </c>
      <c r="H5289" s="89">
        <f t="shared" si="10"/>
        <v>0.0188542422</v>
      </c>
      <c r="I5289" s="78" t="s">
        <v>6128</v>
      </c>
      <c r="J5289" s="78" t="s">
        <v>69</v>
      </c>
      <c r="K5289" s="58">
        <f t="shared" si="14"/>
        <v>19</v>
      </c>
      <c r="L5289" s="91" t="str">
        <f t="shared" si="8"/>
        <v>Fri</v>
      </c>
      <c r="M5289" s="78" t="str">
        <f>IFERROR(VLOOKUP(A5289, Entries!A:B,2,false),"")</f>
        <v>Bethesda Softworks</v>
      </c>
      <c r="N5289" s="23" t="str">
        <f>IFERROR(VLOOKUP(A5289, Entries!A:K,11,false),"")</f>
        <v/>
      </c>
    </row>
    <row r="5290">
      <c r="A5290" s="78" t="s">
        <v>4928</v>
      </c>
      <c r="B5290" s="78" t="s">
        <v>19</v>
      </c>
      <c r="C5290" s="85">
        <v>45361.0</v>
      </c>
      <c r="D5290" s="85">
        <v>45361.0</v>
      </c>
      <c r="E5290" s="86">
        <v>28.21</v>
      </c>
      <c r="F5290" s="87">
        <v>36.84</v>
      </c>
      <c r="G5290" s="88">
        <f t="shared" si="1"/>
        <v>8.63</v>
      </c>
      <c r="H5290" s="89">
        <f t="shared" si="10"/>
        <v>0.2342562432</v>
      </c>
      <c r="I5290" s="78" t="s">
        <v>6129</v>
      </c>
      <c r="J5290" s="78" t="s">
        <v>69</v>
      </c>
      <c r="K5290" s="58">
        <f t="shared" si="14"/>
        <v>0</v>
      </c>
      <c r="L5290" s="91" t="str">
        <f t="shared" si="8"/>
        <v>Sun</v>
      </c>
      <c r="M5290" s="78" t="str">
        <f>IFERROR(VLOOKUP(A5290, Entries!A:B,2,false),"")</f>
        <v>Eleventh Hour Games</v>
      </c>
      <c r="N5290" s="23" t="str">
        <f>IFERROR(VLOOKUP(A5290, Entries!A:K,11,false),"")</f>
        <v/>
      </c>
      <c r="P5290" s="78" t="s">
        <v>4333</v>
      </c>
    </row>
    <row r="5291">
      <c r="A5291" s="78" t="s">
        <v>383</v>
      </c>
      <c r="B5291" s="78" t="s">
        <v>19</v>
      </c>
      <c r="C5291" s="85">
        <v>45361.0</v>
      </c>
      <c r="D5291" s="85">
        <v>45362.0</v>
      </c>
      <c r="E5291" s="86">
        <v>0.0</v>
      </c>
      <c r="F5291" s="87">
        <v>0.82</v>
      </c>
      <c r="G5291" s="88">
        <f t="shared" si="1"/>
        <v>0.82</v>
      </c>
      <c r="H5291" s="89">
        <f t="shared" si="10"/>
        <v>1</v>
      </c>
      <c r="I5291" s="78" t="s">
        <v>6130</v>
      </c>
      <c r="J5291" s="78" t="s">
        <v>69</v>
      </c>
      <c r="K5291" s="58">
        <f t="shared" si="14"/>
        <v>1</v>
      </c>
      <c r="L5291" s="91" t="str">
        <f t="shared" si="8"/>
        <v>Mon</v>
      </c>
      <c r="M5291" s="78" t="str">
        <f>IFERROR(VLOOKUP(A5291, Entries!A:B,2,false),"")</f>
        <v>Wired Productions</v>
      </c>
      <c r="N5291" s="23" t="str">
        <f>IFERROR(VLOOKUP(A5291, Entries!A:K,11,false),"")</f>
        <v/>
      </c>
    </row>
    <row r="5292">
      <c r="A5292" s="78" t="s">
        <v>4928</v>
      </c>
      <c r="B5292" s="78" t="s">
        <v>19</v>
      </c>
      <c r="C5292" s="85">
        <v>45361.0</v>
      </c>
      <c r="D5292" s="85">
        <v>45367.0</v>
      </c>
      <c r="E5292" s="86">
        <v>28.21</v>
      </c>
      <c r="F5292" s="87">
        <v>34.85</v>
      </c>
      <c r="G5292" s="88">
        <f t="shared" si="1"/>
        <v>6.64</v>
      </c>
      <c r="H5292" s="89">
        <f t="shared" si="10"/>
        <v>0.1905308465</v>
      </c>
      <c r="I5292" s="78" t="s">
        <v>6131</v>
      </c>
      <c r="J5292" s="78" t="s">
        <v>69</v>
      </c>
      <c r="K5292" s="58">
        <f t="shared" si="14"/>
        <v>6</v>
      </c>
      <c r="L5292" s="91" t="str">
        <f t="shared" si="8"/>
        <v>Sat</v>
      </c>
      <c r="M5292" s="78" t="str">
        <f>IFERROR(VLOOKUP(A5292, Entries!A:B,2,false),"")</f>
        <v>Eleventh Hour Games</v>
      </c>
      <c r="N5292" s="23" t="str">
        <f>IFERROR(VLOOKUP(A5292, Entries!A:K,11,false),"")</f>
        <v/>
      </c>
    </row>
    <row r="5293">
      <c r="A5293" s="78" t="s">
        <v>383</v>
      </c>
      <c r="B5293" s="78" t="s">
        <v>19</v>
      </c>
      <c r="C5293" s="85">
        <v>45361.0</v>
      </c>
      <c r="D5293" s="85">
        <v>45362.0</v>
      </c>
      <c r="E5293" s="86">
        <v>0.0</v>
      </c>
      <c r="F5293" s="87">
        <v>0.82</v>
      </c>
      <c r="G5293" s="88">
        <f t="shared" si="1"/>
        <v>0.82</v>
      </c>
      <c r="H5293" s="89">
        <f t="shared" si="10"/>
        <v>1</v>
      </c>
      <c r="I5293" s="78" t="s">
        <v>6132</v>
      </c>
      <c r="J5293" s="78" t="s">
        <v>69</v>
      </c>
      <c r="K5293" s="58">
        <f t="shared" si="14"/>
        <v>1</v>
      </c>
      <c r="L5293" s="91" t="str">
        <f t="shared" si="8"/>
        <v>Mon</v>
      </c>
      <c r="M5293" s="78" t="str">
        <f>IFERROR(VLOOKUP(A5293, Entries!A:B,2,false),"")</f>
        <v>Wired Productions</v>
      </c>
      <c r="N5293" s="23" t="str">
        <f>IFERROR(VLOOKUP(A5293, Entries!A:K,11,false),"")</f>
        <v/>
      </c>
    </row>
    <row r="5294">
      <c r="A5294" s="78" t="s">
        <v>4252</v>
      </c>
      <c r="B5294" s="78" t="s">
        <v>25</v>
      </c>
      <c r="C5294" s="85">
        <v>45362.0</v>
      </c>
      <c r="D5294" s="85">
        <v>45362.0</v>
      </c>
      <c r="E5294" s="86">
        <v>33.94</v>
      </c>
      <c r="F5294" s="87">
        <v>38.55</v>
      </c>
      <c r="G5294" s="88">
        <f t="shared" si="1"/>
        <v>4.61</v>
      </c>
      <c r="H5294" s="89">
        <f t="shared" si="10"/>
        <v>0.1195849546</v>
      </c>
      <c r="I5294" s="78" t="s">
        <v>6133</v>
      </c>
      <c r="J5294" s="78" t="s">
        <v>69</v>
      </c>
      <c r="K5294" s="58">
        <f t="shared" si="14"/>
        <v>0</v>
      </c>
      <c r="L5294" s="91" t="str">
        <f t="shared" si="8"/>
        <v>Mon</v>
      </c>
      <c r="M5294" s="78" t="str">
        <f>IFERROR(VLOOKUP(A5294, Entries!A:B,2,false),"")</f>
        <v>PlayStation</v>
      </c>
      <c r="N5294" s="23" t="str">
        <f>IFERROR(VLOOKUP(A5294, Entries!A:K,11,false),"")</f>
        <v/>
      </c>
    </row>
    <row r="5295">
      <c r="A5295" s="78" t="s">
        <v>6123</v>
      </c>
      <c r="B5295" s="78" t="s">
        <v>22</v>
      </c>
      <c r="C5295" s="85">
        <v>45362.0</v>
      </c>
      <c r="D5295" s="85">
        <v>45362.0</v>
      </c>
      <c r="E5295" s="86">
        <v>19.07</v>
      </c>
      <c r="F5295" s="87">
        <v>24.98</v>
      </c>
      <c r="G5295" s="88">
        <f t="shared" si="1"/>
        <v>5.91</v>
      </c>
      <c r="H5295" s="89">
        <f t="shared" si="10"/>
        <v>0.2365892714</v>
      </c>
      <c r="I5295" s="78" t="s">
        <v>6134</v>
      </c>
      <c r="J5295" s="78" t="s">
        <v>69</v>
      </c>
      <c r="K5295" s="58">
        <f t="shared" si="14"/>
        <v>0</v>
      </c>
      <c r="L5295" s="91" t="str">
        <f t="shared" si="8"/>
        <v>Mon</v>
      </c>
      <c r="M5295" s="78" t="str">
        <f>IFERROR(VLOOKUP(A5295, Entries!A:B,2,false),"")</f>
        <v>Owlcat Games</v>
      </c>
      <c r="N5295" s="23" t="str">
        <f>IFERROR(VLOOKUP(A5295, Entries!A:K,11,false),"")</f>
        <v/>
      </c>
    </row>
    <row r="5296">
      <c r="A5296" s="78" t="s">
        <v>4085</v>
      </c>
      <c r="B5296" s="78" t="s">
        <v>27</v>
      </c>
      <c r="C5296" s="85">
        <v>45362.0</v>
      </c>
      <c r="D5296" s="85">
        <v>45364.0</v>
      </c>
      <c r="E5296" s="86">
        <v>4.92</v>
      </c>
      <c r="F5296" s="87">
        <v>7.31</v>
      </c>
      <c r="G5296" s="88">
        <f t="shared" si="1"/>
        <v>2.39</v>
      </c>
      <c r="H5296" s="89">
        <f t="shared" si="10"/>
        <v>0.3269493844</v>
      </c>
      <c r="I5296" s="78" t="s">
        <v>6135</v>
      </c>
      <c r="J5296" s="78" t="s">
        <v>69</v>
      </c>
      <c r="K5296" s="58">
        <f t="shared" si="14"/>
        <v>2</v>
      </c>
      <c r="L5296" s="91" t="str">
        <f t="shared" si="8"/>
        <v>Wed</v>
      </c>
      <c r="M5296" s="78" t="str">
        <f>IFERROR(VLOOKUP(A5296, Entries!A:B,2,false),"")</f>
        <v>Bethesda Softworks</v>
      </c>
      <c r="N5296" s="23" t="str">
        <f>IFERROR(VLOOKUP(A5296, Entries!A:K,11,false),"")</f>
        <v/>
      </c>
    </row>
    <row r="5297">
      <c r="A5297" s="78" t="s">
        <v>4926</v>
      </c>
      <c r="B5297" s="78" t="s">
        <v>27</v>
      </c>
      <c r="C5297" s="85">
        <v>45362.0</v>
      </c>
      <c r="D5297" s="85">
        <v>45362.0</v>
      </c>
      <c r="E5297" s="86">
        <v>7.59</v>
      </c>
      <c r="F5297" s="87">
        <v>8.35</v>
      </c>
      <c r="G5297" s="88">
        <f t="shared" si="1"/>
        <v>0.76</v>
      </c>
      <c r="H5297" s="89">
        <f t="shared" si="10"/>
        <v>0.09101796407</v>
      </c>
      <c r="I5297" s="78" t="s">
        <v>6136</v>
      </c>
      <c r="J5297" s="78" t="s">
        <v>69</v>
      </c>
      <c r="K5297" s="58">
        <f t="shared" si="14"/>
        <v>0</v>
      </c>
      <c r="L5297" s="91" t="str">
        <f t="shared" si="8"/>
        <v>Mon</v>
      </c>
      <c r="M5297" s="78" t="str">
        <f>IFERROR(VLOOKUP(A5297, Entries!A:B,2,false),"")</f>
        <v>Bethesda Softworks</v>
      </c>
      <c r="N5297" s="23" t="str">
        <f>IFERROR(VLOOKUP(A5297, Entries!A:K,11,false),"")</f>
        <v/>
      </c>
    </row>
    <row r="5298">
      <c r="A5298" s="78" t="s">
        <v>4991</v>
      </c>
      <c r="B5298" s="78" t="s">
        <v>21</v>
      </c>
      <c r="C5298" s="85">
        <v>45362.0</v>
      </c>
      <c r="D5298" s="85">
        <v>45368.0</v>
      </c>
      <c r="E5298" s="86">
        <v>21.97</v>
      </c>
      <c r="F5298" s="87">
        <v>25.1</v>
      </c>
      <c r="G5298" s="88">
        <f t="shared" si="1"/>
        <v>3.13</v>
      </c>
      <c r="H5298" s="89">
        <f t="shared" si="10"/>
        <v>0.1247011952</v>
      </c>
      <c r="I5298" s="78" t="s">
        <v>6137</v>
      </c>
      <c r="J5298" s="78" t="s">
        <v>69</v>
      </c>
      <c r="K5298" s="58">
        <f t="shared" si="14"/>
        <v>6</v>
      </c>
      <c r="L5298" s="91" t="str">
        <f t="shared" si="8"/>
        <v>Sun</v>
      </c>
      <c r="M5298" s="78" t="str">
        <f>IFERROR(VLOOKUP(A5298, Entries!A:B,2,false),"")</f>
        <v>Red Barrels</v>
      </c>
      <c r="N5298" s="23" t="str">
        <f>IFERROR(VLOOKUP(A5298, Entries!A:K,11,false),"")</f>
        <v/>
      </c>
    </row>
    <row r="5299">
      <c r="A5299" s="78" t="s">
        <v>6123</v>
      </c>
      <c r="B5299" s="78" t="s">
        <v>22</v>
      </c>
      <c r="C5299" s="85">
        <v>45362.0</v>
      </c>
      <c r="D5299" s="85">
        <v>45363.0</v>
      </c>
      <c r="E5299" s="86">
        <v>19.07</v>
      </c>
      <c r="F5299" s="87">
        <v>24.95</v>
      </c>
      <c r="G5299" s="88">
        <f t="shared" si="1"/>
        <v>5.88</v>
      </c>
      <c r="H5299" s="89">
        <f t="shared" si="10"/>
        <v>0.2356713427</v>
      </c>
      <c r="I5299" s="78" t="s">
        <v>6138</v>
      </c>
      <c r="J5299" s="78" t="s">
        <v>69</v>
      </c>
      <c r="K5299" s="58">
        <f t="shared" si="14"/>
        <v>1</v>
      </c>
      <c r="L5299" s="91" t="str">
        <f t="shared" si="8"/>
        <v>Tue</v>
      </c>
      <c r="M5299" s="78" t="str">
        <f>IFERROR(VLOOKUP(A5299, Entries!A:B,2,false),"")</f>
        <v>Owlcat Games</v>
      </c>
      <c r="N5299" s="23" t="str">
        <f>IFERROR(VLOOKUP(A5299, Entries!A:K,11,false),"")</f>
        <v/>
      </c>
    </row>
    <row r="5300">
      <c r="A5300" s="78" t="s">
        <v>4926</v>
      </c>
      <c r="B5300" s="78" t="s">
        <v>27</v>
      </c>
      <c r="C5300" s="85">
        <v>45362.0</v>
      </c>
      <c r="D5300" s="85">
        <v>45363.0</v>
      </c>
      <c r="E5300" s="86">
        <v>7.09</v>
      </c>
      <c r="F5300" s="87">
        <v>7.79</v>
      </c>
      <c r="G5300" s="88">
        <f t="shared" si="1"/>
        <v>0.7</v>
      </c>
      <c r="H5300" s="89">
        <f t="shared" si="10"/>
        <v>0.08985879332</v>
      </c>
      <c r="I5300" s="78" t="s">
        <v>6139</v>
      </c>
      <c r="J5300" s="78" t="s">
        <v>69</v>
      </c>
      <c r="K5300" s="58">
        <f t="shared" si="14"/>
        <v>1</v>
      </c>
      <c r="L5300" s="91" t="str">
        <f t="shared" si="8"/>
        <v>Tue</v>
      </c>
      <c r="M5300" s="78" t="str">
        <f>IFERROR(VLOOKUP(A5300, Entries!A:B,2,false),"")</f>
        <v>Bethesda Softworks</v>
      </c>
      <c r="N5300" s="23" t="str">
        <f>IFERROR(VLOOKUP(A5300, Entries!A:K,11,false),"")</f>
        <v/>
      </c>
    </row>
    <row r="5301">
      <c r="A5301" s="78" t="s">
        <v>6123</v>
      </c>
      <c r="B5301" s="78" t="s">
        <v>22</v>
      </c>
      <c r="C5301" s="85">
        <v>45363.0</v>
      </c>
      <c r="D5301" s="85">
        <v>45364.0</v>
      </c>
      <c r="E5301" s="86">
        <v>19.08</v>
      </c>
      <c r="F5301" s="87">
        <v>24.69</v>
      </c>
      <c r="G5301" s="88">
        <f t="shared" si="1"/>
        <v>5.61</v>
      </c>
      <c r="H5301" s="89">
        <f t="shared" si="10"/>
        <v>0.227217497</v>
      </c>
      <c r="I5301" s="78" t="s">
        <v>6140</v>
      </c>
      <c r="J5301" s="78" t="s">
        <v>69</v>
      </c>
      <c r="K5301" s="58">
        <f t="shared" si="14"/>
        <v>1</v>
      </c>
      <c r="L5301" s="91" t="str">
        <f t="shared" si="8"/>
        <v>Wed</v>
      </c>
      <c r="M5301" s="78" t="str">
        <f>IFERROR(VLOOKUP(A5301, Entries!A:B,2,false),"")</f>
        <v>Owlcat Games</v>
      </c>
      <c r="N5301" s="23" t="str">
        <f>IFERROR(VLOOKUP(A5301, Entries!A:K,11,false),"")</f>
        <v/>
      </c>
    </row>
    <row r="5302">
      <c r="A5302" s="78" t="s">
        <v>5817</v>
      </c>
      <c r="B5302" s="78" t="s">
        <v>35</v>
      </c>
      <c r="C5302" s="85">
        <v>45363.0</v>
      </c>
      <c r="D5302" s="85">
        <v>45802.0</v>
      </c>
      <c r="E5302" s="86">
        <v>20.66</v>
      </c>
      <c r="F5302" s="87">
        <v>20.12</v>
      </c>
      <c r="G5302" s="88">
        <f t="shared" si="1"/>
        <v>-0.54</v>
      </c>
      <c r="H5302" s="89">
        <f t="shared" si="10"/>
        <v>-0.0268389662</v>
      </c>
      <c r="I5302" s="103" t="s">
        <v>6141</v>
      </c>
      <c r="J5302" s="78" t="s">
        <v>69</v>
      </c>
      <c r="K5302" s="58">
        <f t="shared" si="14"/>
        <v>439</v>
      </c>
      <c r="L5302" s="91" t="str">
        <f t="shared" si="8"/>
        <v>Sun</v>
      </c>
      <c r="M5302" s="78" t="str">
        <f>IFERROR(VLOOKUP(A5302, Entries!A:B,2,false),"")</f>
        <v>IO Interactive</v>
      </c>
      <c r="N5302" s="23" t="str">
        <f>IFERROR(VLOOKUP(A5302, Entries!A:K,11,false),"")</f>
        <v/>
      </c>
    </row>
    <row r="5303">
      <c r="A5303" s="78" t="s">
        <v>4926</v>
      </c>
      <c r="B5303" s="78" t="s">
        <v>27</v>
      </c>
      <c r="C5303" s="85">
        <v>45363.0</v>
      </c>
      <c r="D5303" s="85">
        <v>45363.0</v>
      </c>
      <c r="E5303" s="86">
        <v>7.59</v>
      </c>
      <c r="F5303" s="87">
        <v>8.22</v>
      </c>
      <c r="G5303" s="88">
        <f t="shared" si="1"/>
        <v>0.63</v>
      </c>
      <c r="H5303" s="89">
        <f t="shared" si="10"/>
        <v>0.07664233577</v>
      </c>
      <c r="I5303" s="78" t="s">
        <v>6142</v>
      </c>
      <c r="J5303" s="78" t="s">
        <v>69</v>
      </c>
      <c r="K5303" s="58">
        <f t="shared" si="14"/>
        <v>0</v>
      </c>
      <c r="L5303" s="91" t="str">
        <f t="shared" si="8"/>
        <v>Tue</v>
      </c>
      <c r="M5303" s="78" t="str">
        <f>IFERROR(VLOOKUP(A5303, Entries!A:B,2,false),"")</f>
        <v>Bethesda Softworks</v>
      </c>
      <c r="N5303" s="23" t="str">
        <f>IFERROR(VLOOKUP(A5303, Entries!A:K,11,false),"")</f>
        <v/>
      </c>
    </row>
    <row r="5304">
      <c r="A5304" s="78" t="s">
        <v>4926</v>
      </c>
      <c r="B5304" s="78" t="s">
        <v>27</v>
      </c>
      <c r="C5304" s="85">
        <v>45363.0</v>
      </c>
      <c r="D5304" s="85">
        <v>45385.0</v>
      </c>
      <c r="E5304" s="86">
        <v>7.59</v>
      </c>
      <c r="F5304" s="87">
        <v>8.46</v>
      </c>
      <c r="G5304" s="88">
        <f t="shared" si="1"/>
        <v>0.87</v>
      </c>
      <c r="H5304" s="89">
        <f t="shared" si="10"/>
        <v>0.1028368794</v>
      </c>
      <c r="I5304" s="78" t="s">
        <v>6143</v>
      </c>
      <c r="J5304" s="78" t="s">
        <v>69</v>
      </c>
      <c r="K5304" s="58">
        <f t="shared" si="14"/>
        <v>22</v>
      </c>
      <c r="L5304" s="91" t="str">
        <f t="shared" si="8"/>
        <v>Wed</v>
      </c>
      <c r="M5304" s="78" t="str">
        <f>IFERROR(VLOOKUP(A5304, Entries!A:B,2,false),"")</f>
        <v>Bethesda Softworks</v>
      </c>
      <c r="N5304" s="23" t="str">
        <f>IFERROR(VLOOKUP(A5304, Entries!A:K,11,false),"")</f>
        <v/>
      </c>
    </row>
    <row r="5305">
      <c r="A5305" s="94" t="s">
        <v>3370</v>
      </c>
      <c r="B5305" s="78" t="s">
        <v>30</v>
      </c>
      <c r="C5305" s="85">
        <v>45363.0</v>
      </c>
      <c r="D5305" s="85">
        <v>45471.0</v>
      </c>
      <c r="E5305" s="86">
        <v>13.35</v>
      </c>
      <c r="F5305" s="87">
        <v>14.55</v>
      </c>
      <c r="G5305" s="88">
        <f t="shared" si="1"/>
        <v>1.2</v>
      </c>
      <c r="H5305" s="89">
        <f t="shared" si="10"/>
        <v>0.0824742268</v>
      </c>
      <c r="I5305" s="78" t="s">
        <v>6144</v>
      </c>
      <c r="J5305" s="78" t="s">
        <v>69</v>
      </c>
      <c r="K5305" s="58">
        <f t="shared" si="14"/>
        <v>108</v>
      </c>
      <c r="L5305" s="91" t="str">
        <f t="shared" si="8"/>
        <v>Fri</v>
      </c>
      <c r="M5305" s="78" t="str">
        <f>IFERROR(VLOOKUP(A5305, Entries!A:B,2,false),"")</f>
        <v>THQ Nordic</v>
      </c>
      <c r="N5305" s="23" t="str">
        <f>IFERROR(VLOOKUP(A5305, Entries!A:K,11,false),"")</f>
        <v/>
      </c>
    </row>
    <row r="5306">
      <c r="A5306" s="78" t="s">
        <v>1922</v>
      </c>
      <c r="B5306" s="78" t="s">
        <v>19</v>
      </c>
      <c r="C5306" s="85">
        <v>45363.0</v>
      </c>
      <c r="D5306" s="85">
        <v>45389.0</v>
      </c>
      <c r="E5306" s="86">
        <v>13.05</v>
      </c>
      <c r="F5306" s="87">
        <v>21.22</v>
      </c>
      <c r="G5306" s="88">
        <f t="shared" si="1"/>
        <v>8.17</v>
      </c>
      <c r="H5306" s="89">
        <f t="shared" si="10"/>
        <v>0.3850141376</v>
      </c>
      <c r="I5306" s="78" t="s">
        <v>6145</v>
      </c>
      <c r="J5306" s="78" t="s">
        <v>69</v>
      </c>
      <c r="K5306" s="58">
        <f t="shared" si="14"/>
        <v>26</v>
      </c>
      <c r="L5306" s="91" t="str">
        <f t="shared" si="8"/>
        <v>Sun</v>
      </c>
      <c r="M5306" s="78" t="str">
        <f>IFERROR(VLOOKUP(A5306, Entries!A:B,2,false),"")</f>
        <v>Rebellion</v>
      </c>
      <c r="N5306" s="23" t="str">
        <f>IFERROR(VLOOKUP(A5306, Entries!A:K,11,false),"")</f>
        <v/>
      </c>
    </row>
    <row r="5307">
      <c r="A5307" s="78" t="s">
        <v>383</v>
      </c>
      <c r="B5307" s="78" t="s">
        <v>19</v>
      </c>
      <c r="C5307" s="85">
        <v>45363.0</v>
      </c>
      <c r="D5307" s="85">
        <v>45377.0</v>
      </c>
      <c r="E5307" s="86">
        <v>0.0</v>
      </c>
      <c r="F5307" s="87">
        <v>0.98</v>
      </c>
      <c r="G5307" s="88">
        <f t="shared" si="1"/>
        <v>0.98</v>
      </c>
      <c r="H5307" s="89">
        <f t="shared" si="10"/>
        <v>1</v>
      </c>
      <c r="I5307" s="78" t="s">
        <v>6146</v>
      </c>
      <c r="J5307" s="78" t="s">
        <v>69</v>
      </c>
      <c r="K5307" s="58">
        <f t="shared" si="14"/>
        <v>14</v>
      </c>
      <c r="L5307" s="91" t="str">
        <f t="shared" si="8"/>
        <v>Tue</v>
      </c>
      <c r="M5307" s="78" t="str">
        <f>IFERROR(VLOOKUP(A5307, Entries!A:B,2,false),"")</f>
        <v>Wired Productions</v>
      </c>
      <c r="N5307" s="23" t="str">
        <f>IFERROR(VLOOKUP(A5307, Entries!A:K,11,false),"")</f>
        <v/>
      </c>
    </row>
    <row r="5308">
      <c r="A5308" s="78" t="s">
        <v>2339</v>
      </c>
      <c r="B5308" s="78" t="s">
        <v>35</v>
      </c>
      <c r="C5308" s="85">
        <v>45363.0</v>
      </c>
      <c r="D5308" s="85">
        <v>45363.0</v>
      </c>
      <c r="E5308" s="86">
        <v>1.82</v>
      </c>
      <c r="F5308" s="87">
        <v>2.7</v>
      </c>
      <c r="G5308" s="88">
        <f t="shared" si="1"/>
        <v>0.88</v>
      </c>
      <c r="H5308" s="89">
        <f t="shared" si="10"/>
        <v>0.3259259259</v>
      </c>
      <c r="I5308" s="78" t="s">
        <v>6147</v>
      </c>
      <c r="J5308" s="78" t="s">
        <v>69</v>
      </c>
      <c r="K5308" s="58">
        <f t="shared" si="14"/>
        <v>0</v>
      </c>
      <c r="L5308" s="91" t="str">
        <f t="shared" si="8"/>
        <v>Tue</v>
      </c>
      <c r="M5308" s="78" t="str">
        <f>IFERROR(VLOOKUP(A5308, Entries!A:B,2,false),"")</f>
        <v>PlayWay</v>
      </c>
      <c r="N5308" s="23" t="str">
        <f>IFERROR(VLOOKUP(A5308, Entries!A:K,11,false),"")</f>
        <v/>
      </c>
    </row>
    <row r="5309">
      <c r="A5309" s="78" t="s">
        <v>2339</v>
      </c>
      <c r="B5309" s="78" t="s">
        <v>35</v>
      </c>
      <c r="C5309" s="85">
        <v>45363.0</v>
      </c>
      <c r="D5309" s="85">
        <v>45363.0</v>
      </c>
      <c r="E5309" s="86">
        <v>1.82</v>
      </c>
      <c r="F5309" s="87">
        <v>2.7</v>
      </c>
      <c r="G5309" s="88">
        <f t="shared" si="1"/>
        <v>0.88</v>
      </c>
      <c r="H5309" s="89">
        <f t="shared" si="10"/>
        <v>0.3259259259</v>
      </c>
      <c r="I5309" s="78" t="s">
        <v>6148</v>
      </c>
      <c r="J5309" s="78" t="s">
        <v>69</v>
      </c>
      <c r="K5309" s="58">
        <f t="shared" si="14"/>
        <v>0</v>
      </c>
      <c r="L5309" s="91" t="str">
        <f t="shared" si="8"/>
        <v>Tue</v>
      </c>
      <c r="M5309" s="78" t="str">
        <f>IFERROR(VLOOKUP(A5309, Entries!A:B,2,false),"")</f>
        <v>PlayWay</v>
      </c>
      <c r="N5309" s="23" t="str">
        <f>IFERROR(VLOOKUP(A5309, Entries!A:K,11,false),"")</f>
        <v/>
      </c>
    </row>
    <row r="5310">
      <c r="A5310" s="78" t="s">
        <v>2339</v>
      </c>
      <c r="B5310" s="78" t="s">
        <v>35</v>
      </c>
      <c r="C5310" s="85">
        <v>45363.0</v>
      </c>
      <c r="D5310" s="85">
        <v>45363.0</v>
      </c>
      <c r="E5310" s="86">
        <v>1.82</v>
      </c>
      <c r="F5310" s="87">
        <v>2.7</v>
      </c>
      <c r="G5310" s="88">
        <f t="shared" si="1"/>
        <v>0.88</v>
      </c>
      <c r="H5310" s="89">
        <f t="shared" si="10"/>
        <v>0.3259259259</v>
      </c>
      <c r="I5310" s="78" t="s">
        <v>6149</v>
      </c>
      <c r="J5310" s="78" t="s">
        <v>69</v>
      </c>
      <c r="K5310" s="58">
        <f t="shared" si="14"/>
        <v>0</v>
      </c>
      <c r="L5310" s="91" t="str">
        <f t="shared" si="8"/>
        <v>Tue</v>
      </c>
      <c r="M5310" s="78" t="str">
        <f>IFERROR(VLOOKUP(A5310, Entries!A:B,2,false),"")</f>
        <v>PlayWay</v>
      </c>
      <c r="N5310" s="23" t="str">
        <f>IFERROR(VLOOKUP(A5310, Entries!A:K,11,false),"")</f>
        <v/>
      </c>
    </row>
    <row r="5311">
      <c r="A5311" s="78" t="s">
        <v>2339</v>
      </c>
      <c r="B5311" s="78" t="s">
        <v>35</v>
      </c>
      <c r="C5311" s="85">
        <v>45363.0</v>
      </c>
      <c r="D5311" s="85">
        <v>45364.0</v>
      </c>
      <c r="E5311" s="86">
        <v>1.82</v>
      </c>
      <c r="F5311" s="87">
        <v>2.7</v>
      </c>
      <c r="G5311" s="88">
        <f t="shared" si="1"/>
        <v>0.88</v>
      </c>
      <c r="H5311" s="89">
        <f t="shared" si="10"/>
        <v>0.3259259259</v>
      </c>
      <c r="I5311" s="78" t="s">
        <v>6150</v>
      </c>
      <c r="J5311" s="78" t="s">
        <v>69</v>
      </c>
      <c r="K5311" s="58">
        <f t="shared" si="14"/>
        <v>1</v>
      </c>
      <c r="L5311" s="91" t="str">
        <f t="shared" si="8"/>
        <v>Wed</v>
      </c>
      <c r="M5311" s="78" t="str">
        <f>IFERROR(VLOOKUP(A5311, Entries!A:B,2,false),"")</f>
        <v>PlayWay</v>
      </c>
      <c r="N5311" s="23" t="str">
        <f>IFERROR(VLOOKUP(A5311, Entries!A:K,11,false),"")</f>
        <v/>
      </c>
    </row>
    <row r="5312">
      <c r="A5312" s="78" t="s">
        <v>2339</v>
      </c>
      <c r="B5312" s="78" t="s">
        <v>35</v>
      </c>
      <c r="C5312" s="85">
        <v>45363.0</v>
      </c>
      <c r="D5312" s="85">
        <v>45364.0</v>
      </c>
      <c r="E5312" s="86">
        <v>1.82</v>
      </c>
      <c r="F5312" s="87">
        <v>2.7</v>
      </c>
      <c r="G5312" s="88">
        <f t="shared" si="1"/>
        <v>0.88</v>
      </c>
      <c r="H5312" s="89">
        <f t="shared" si="10"/>
        <v>0.3259259259</v>
      </c>
      <c r="I5312" s="78" t="s">
        <v>6151</v>
      </c>
      <c r="J5312" s="78" t="s">
        <v>69</v>
      </c>
      <c r="K5312" s="58">
        <f t="shared" si="14"/>
        <v>1</v>
      </c>
      <c r="L5312" s="91" t="str">
        <f t="shared" si="8"/>
        <v>Wed</v>
      </c>
      <c r="M5312" s="78" t="str">
        <f>IFERROR(VLOOKUP(A5312, Entries!A:B,2,false),"")</f>
        <v>PlayWay</v>
      </c>
      <c r="N5312" s="23" t="str">
        <f>IFERROR(VLOOKUP(A5312, Entries!A:K,11,false),"")</f>
        <v/>
      </c>
    </row>
    <row r="5313">
      <c r="A5313" s="78" t="s">
        <v>2339</v>
      </c>
      <c r="B5313" s="78" t="s">
        <v>35</v>
      </c>
      <c r="C5313" s="85">
        <v>45363.0</v>
      </c>
      <c r="D5313" s="85">
        <v>45364.0</v>
      </c>
      <c r="E5313" s="86">
        <v>1.82</v>
      </c>
      <c r="F5313" s="87">
        <v>2.7</v>
      </c>
      <c r="G5313" s="88">
        <f t="shared" si="1"/>
        <v>0.88</v>
      </c>
      <c r="H5313" s="89">
        <f t="shared" si="10"/>
        <v>0.3259259259</v>
      </c>
      <c r="I5313" s="78" t="s">
        <v>6152</v>
      </c>
      <c r="J5313" s="78" t="s">
        <v>69</v>
      </c>
      <c r="K5313" s="58">
        <f t="shared" si="14"/>
        <v>1</v>
      </c>
      <c r="L5313" s="91" t="str">
        <f t="shared" si="8"/>
        <v>Wed</v>
      </c>
      <c r="M5313" s="78" t="str">
        <f>IFERROR(VLOOKUP(A5313, Entries!A:B,2,false),"")</f>
        <v>PlayWay</v>
      </c>
      <c r="N5313" s="23" t="str">
        <f>IFERROR(VLOOKUP(A5313, Entries!A:K,11,false),"")</f>
        <v/>
      </c>
    </row>
    <row r="5314">
      <c r="A5314" s="78" t="s">
        <v>2339</v>
      </c>
      <c r="B5314" s="78" t="s">
        <v>35</v>
      </c>
      <c r="C5314" s="85">
        <v>45364.0</v>
      </c>
      <c r="D5314" s="85">
        <v>45364.0</v>
      </c>
      <c r="E5314" s="86">
        <v>1.82</v>
      </c>
      <c r="F5314" s="87">
        <v>2.7</v>
      </c>
      <c r="G5314" s="88">
        <f t="shared" si="1"/>
        <v>0.88</v>
      </c>
      <c r="H5314" s="89">
        <f t="shared" si="10"/>
        <v>0.3259259259</v>
      </c>
      <c r="I5314" s="78" t="s">
        <v>6153</v>
      </c>
      <c r="J5314" s="78" t="s">
        <v>69</v>
      </c>
      <c r="K5314" s="58">
        <f t="shared" si="14"/>
        <v>0</v>
      </c>
      <c r="L5314" s="91" t="str">
        <f t="shared" si="8"/>
        <v>Wed</v>
      </c>
      <c r="M5314" s="78" t="str">
        <f>IFERROR(VLOOKUP(A5314, Entries!A:B,2,false),"")</f>
        <v>PlayWay</v>
      </c>
      <c r="N5314" s="23" t="str">
        <f>IFERROR(VLOOKUP(A5314, Entries!A:K,11,false),"")</f>
        <v/>
      </c>
    </row>
    <row r="5315">
      <c r="A5315" s="78" t="s">
        <v>2339</v>
      </c>
      <c r="B5315" s="78" t="s">
        <v>35</v>
      </c>
      <c r="C5315" s="85">
        <v>45364.0</v>
      </c>
      <c r="D5315" s="85">
        <v>45364.0</v>
      </c>
      <c r="E5315" s="86">
        <v>1.82</v>
      </c>
      <c r="F5315" s="87">
        <v>2.7</v>
      </c>
      <c r="G5315" s="88">
        <f t="shared" si="1"/>
        <v>0.88</v>
      </c>
      <c r="H5315" s="89">
        <f t="shared" si="10"/>
        <v>0.3259259259</v>
      </c>
      <c r="I5315" s="78" t="s">
        <v>6154</v>
      </c>
      <c r="J5315" s="78" t="s">
        <v>69</v>
      </c>
      <c r="K5315" s="58">
        <f t="shared" si="14"/>
        <v>0</v>
      </c>
      <c r="L5315" s="91" t="str">
        <f t="shared" si="8"/>
        <v>Wed</v>
      </c>
      <c r="M5315" s="78" t="str">
        <f>IFERROR(VLOOKUP(A5315, Entries!A:B,2,false),"")</f>
        <v>PlayWay</v>
      </c>
      <c r="N5315" s="23" t="str">
        <f>IFERROR(VLOOKUP(A5315, Entries!A:K,11,false),"")</f>
        <v/>
      </c>
    </row>
    <row r="5316">
      <c r="A5316" s="78" t="s">
        <v>2339</v>
      </c>
      <c r="B5316" s="78" t="s">
        <v>35</v>
      </c>
      <c r="C5316" s="85">
        <v>45364.0</v>
      </c>
      <c r="D5316" s="85">
        <v>45364.0</v>
      </c>
      <c r="E5316" s="86">
        <v>1.82</v>
      </c>
      <c r="F5316" s="87">
        <v>2.7</v>
      </c>
      <c r="G5316" s="88">
        <f t="shared" si="1"/>
        <v>0.88</v>
      </c>
      <c r="H5316" s="89">
        <f t="shared" si="10"/>
        <v>0.3259259259</v>
      </c>
      <c r="I5316" s="78" t="s">
        <v>6155</v>
      </c>
      <c r="J5316" s="78" t="s">
        <v>69</v>
      </c>
      <c r="K5316" s="58">
        <f t="shared" si="14"/>
        <v>0</v>
      </c>
      <c r="L5316" s="91" t="str">
        <f t="shared" si="8"/>
        <v>Wed</v>
      </c>
      <c r="M5316" s="78" t="str">
        <f>IFERROR(VLOOKUP(A5316, Entries!A:B,2,false),"")</f>
        <v>PlayWay</v>
      </c>
      <c r="N5316" s="23" t="str">
        <f>IFERROR(VLOOKUP(A5316, Entries!A:K,11,false),"")</f>
        <v/>
      </c>
    </row>
    <row r="5317">
      <c r="A5317" s="78" t="s">
        <v>6123</v>
      </c>
      <c r="B5317" s="78" t="s">
        <v>22</v>
      </c>
      <c r="C5317" s="85">
        <v>45364.0</v>
      </c>
      <c r="D5317" s="85">
        <v>45364.0</v>
      </c>
      <c r="E5317" s="86">
        <v>19.11</v>
      </c>
      <c r="F5317" s="87">
        <v>24.69</v>
      </c>
      <c r="G5317" s="88">
        <f t="shared" si="1"/>
        <v>5.58</v>
      </c>
      <c r="H5317" s="89">
        <f t="shared" si="10"/>
        <v>0.2260024301</v>
      </c>
      <c r="I5317" s="78" t="s">
        <v>6156</v>
      </c>
      <c r="J5317" s="78" t="s">
        <v>69</v>
      </c>
      <c r="K5317" s="58">
        <f t="shared" si="14"/>
        <v>0</v>
      </c>
      <c r="L5317" s="91" t="str">
        <f t="shared" si="8"/>
        <v>Wed</v>
      </c>
      <c r="M5317" s="78" t="str">
        <f>IFERROR(VLOOKUP(A5317, Entries!A:B,2,false),"")</f>
        <v>Owlcat Games</v>
      </c>
      <c r="N5317" s="23" t="str">
        <f>IFERROR(VLOOKUP(A5317, Entries!A:K,11,false),"")</f>
        <v/>
      </c>
    </row>
    <row r="5318">
      <c r="A5318" s="78" t="s">
        <v>2339</v>
      </c>
      <c r="B5318" s="78" t="s">
        <v>35</v>
      </c>
      <c r="C5318" s="85">
        <v>45364.0</v>
      </c>
      <c r="D5318" s="85">
        <v>45364.0</v>
      </c>
      <c r="E5318" s="86">
        <v>1.82</v>
      </c>
      <c r="F5318" s="87">
        <v>2.7</v>
      </c>
      <c r="G5318" s="88">
        <f t="shared" si="1"/>
        <v>0.88</v>
      </c>
      <c r="H5318" s="89">
        <f t="shared" si="10"/>
        <v>0.3259259259</v>
      </c>
      <c r="I5318" s="78" t="s">
        <v>6157</v>
      </c>
      <c r="J5318" s="78" t="s">
        <v>69</v>
      </c>
      <c r="K5318" s="58">
        <f t="shared" si="14"/>
        <v>0</v>
      </c>
      <c r="L5318" s="91" t="str">
        <f t="shared" si="8"/>
        <v>Wed</v>
      </c>
      <c r="M5318" s="78" t="str">
        <f>IFERROR(VLOOKUP(A5318, Entries!A:B,2,false),"")</f>
        <v>PlayWay</v>
      </c>
      <c r="N5318" s="23" t="str">
        <f>IFERROR(VLOOKUP(A5318, Entries!A:K,11,false),"")</f>
        <v/>
      </c>
    </row>
    <row r="5319">
      <c r="A5319" s="78" t="s">
        <v>2339</v>
      </c>
      <c r="B5319" s="78" t="s">
        <v>35</v>
      </c>
      <c r="C5319" s="85">
        <v>45364.0</v>
      </c>
      <c r="D5319" s="85">
        <v>45364.0</v>
      </c>
      <c r="E5319" s="86">
        <v>1.82</v>
      </c>
      <c r="F5319" s="87">
        <v>2.7</v>
      </c>
      <c r="G5319" s="88">
        <f t="shared" si="1"/>
        <v>0.88</v>
      </c>
      <c r="H5319" s="89">
        <f t="shared" si="10"/>
        <v>0.3259259259</v>
      </c>
      <c r="I5319" s="78" t="s">
        <v>6158</v>
      </c>
      <c r="J5319" s="78" t="s">
        <v>69</v>
      </c>
      <c r="K5319" s="58">
        <f t="shared" si="14"/>
        <v>0</v>
      </c>
      <c r="L5319" s="91" t="str">
        <f t="shared" si="8"/>
        <v>Wed</v>
      </c>
      <c r="M5319" s="78" t="str">
        <f>IFERROR(VLOOKUP(A5319, Entries!A:B,2,false),"")</f>
        <v>PlayWay</v>
      </c>
      <c r="N5319" s="23" t="str">
        <f>IFERROR(VLOOKUP(A5319, Entries!A:K,11,false),"")</f>
        <v/>
      </c>
    </row>
    <row r="5320">
      <c r="A5320" s="78" t="s">
        <v>2339</v>
      </c>
      <c r="B5320" s="78" t="s">
        <v>35</v>
      </c>
      <c r="C5320" s="85">
        <v>45364.0</v>
      </c>
      <c r="D5320" s="85">
        <v>45364.0</v>
      </c>
      <c r="E5320" s="86">
        <v>1.82</v>
      </c>
      <c r="F5320" s="87">
        <v>2.7</v>
      </c>
      <c r="G5320" s="88">
        <f t="shared" si="1"/>
        <v>0.88</v>
      </c>
      <c r="H5320" s="89">
        <f t="shared" si="10"/>
        <v>0.3259259259</v>
      </c>
      <c r="I5320" s="78" t="s">
        <v>6159</v>
      </c>
      <c r="J5320" s="78" t="s">
        <v>69</v>
      </c>
      <c r="K5320" s="58">
        <f t="shared" si="14"/>
        <v>0</v>
      </c>
      <c r="L5320" s="91" t="str">
        <f t="shared" si="8"/>
        <v>Wed</v>
      </c>
      <c r="M5320" s="78" t="str">
        <f>IFERROR(VLOOKUP(A5320, Entries!A:B,2,false),"")</f>
        <v>PlayWay</v>
      </c>
      <c r="N5320" s="23" t="str">
        <f>IFERROR(VLOOKUP(A5320, Entries!A:K,11,false),"")</f>
        <v/>
      </c>
    </row>
    <row r="5321">
      <c r="A5321" s="94" t="s">
        <v>1596</v>
      </c>
      <c r="B5321" s="78" t="s">
        <v>32</v>
      </c>
      <c r="C5321" s="85">
        <v>45364.0</v>
      </c>
      <c r="D5321" s="85">
        <v>45428.0</v>
      </c>
      <c r="E5321" s="86">
        <v>37.13</v>
      </c>
      <c r="F5321" s="87">
        <v>40.4</v>
      </c>
      <c r="G5321" s="88">
        <f t="shared" si="1"/>
        <v>3.27</v>
      </c>
      <c r="H5321" s="89">
        <f t="shared" si="10"/>
        <v>0.08094059406</v>
      </c>
      <c r="I5321" s="78" t="s">
        <v>6160</v>
      </c>
      <c r="J5321" s="78" t="s">
        <v>69</v>
      </c>
      <c r="K5321" s="58">
        <f t="shared" si="14"/>
        <v>64</v>
      </c>
      <c r="L5321" s="91" t="str">
        <f t="shared" si="8"/>
        <v>Thu</v>
      </c>
      <c r="M5321" s="78" t="str">
        <f>IFERROR(VLOOKUP(A5321, Entries!A:B,2,false),"")</f>
        <v>505 Games</v>
      </c>
      <c r="N5321" s="23" t="str">
        <f>IFERROR(VLOOKUP(A5321, Entries!A:K,11,false),"")</f>
        <v/>
      </c>
    </row>
    <row r="5322">
      <c r="A5322" s="78" t="s">
        <v>2339</v>
      </c>
      <c r="B5322" s="78" t="s">
        <v>22</v>
      </c>
      <c r="C5322" s="85">
        <v>45364.0</v>
      </c>
      <c r="D5322" s="85">
        <v>45365.0</v>
      </c>
      <c r="E5322" s="86">
        <v>2.15</v>
      </c>
      <c r="F5322" s="87">
        <v>2.7</v>
      </c>
      <c r="G5322" s="88">
        <f t="shared" si="1"/>
        <v>0.55</v>
      </c>
      <c r="H5322" s="89">
        <f t="shared" si="10"/>
        <v>0.2037037037</v>
      </c>
      <c r="I5322" s="78" t="s">
        <v>6161</v>
      </c>
      <c r="J5322" s="78" t="s">
        <v>69</v>
      </c>
      <c r="K5322" s="58">
        <f t="shared" si="14"/>
        <v>1</v>
      </c>
      <c r="L5322" s="91" t="str">
        <f t="shared" si="8"/>
        <v>Thu</v>
      </c>
      <c r="M5322" s="78" t="str">
        <f>IFERROR(VLOOKUP(A5322, Entries!A:B,2,false),"")</f>
        <v>PlayWay</v>
      </c>
      <c r="N5322" s="23" t="str">
        <f>IFERROR(VLOOKUP(A5322, Entries!A:K,11,false),"")</f>
        <v/>
      </c>
    </row>
    <row r="5323">
      <c r="A5323" s="78" t="s">
        <v>2339</v>
      </c>
      <c r="B5323" s="78" t="s">
        <v>22</v>
      </c>
      <c r="C5323" s="85">
        <v>45364.0</v>
      </c>
      <c r="D5323" s="85">
        <v>45365.0</v>
      </c>
      <c r="E5323" s="86">
        <v>2.15</v>
      </c>
      <c r="F5323" s="87">
        <v>2.7</v>
      </c>
      <c r="G5323" s="88">
        <f t="shared" si="1"/>
        <v>0.55</v>
      </c>
      <c r="H5323" s="89">
        <f t="shared" si="10"/>
        <v>0.2037037037</v>
      </c>
      <c r="I5323" s="78" t="s">
        <v>6162</v>
      </c>
      <c r="J5323" s="78" t="s">
        <v>69</v>
      </c>
      <c r="K5323" s="58">
        <f t="shared" si="14"/>
        <v>1</v>
      </c>
      <c r="L5323" s="91" t="str">
        <f t="shared" si="8"/>
        <v>Thu</v>
      </c>
      <c r="M5323" s="78" t="str">
        <f>IFERROR(VLOOKUP(A5323, Entries!A:B,2,false),"")</f>
        <v>PlayWay</v>
      </c>
      <c r="N5323" s="23" t="str">
        <f>IFERROR(VLOOKUP(A5323, Entries!A:K,11,false),"")</f>
        <v/>
      </c>
    </row>
    <row r="5324">
      <c r="A5324" s="78" t="s">
        <v>2339</v>
      </c>
      <c r="B5324" s="78" t="s">
        <v>22</v>
      </c>
      <c r="C5324" s="85">
        <v>45364.0</v>
      </c>
      <c r="D5324" s="85">
        <v>45368.0</v>
      </c>
      <c r="E5324" s="86">
        <v>2.15</v>
      </c>
      <c r="F5324" s="87">
        <v>2.85</v>
      </c>
      <c r="G5324" s="88">
        <f t="shared" si="1"/>
        <v>0.7</v>
      </c>
      <c r="H5324" s="89">
        <f t="shared" si="10"/>
        <v>0.2456140351</v>
      </c>
      <c r="I5324" s="78" t="s">
        <v>6163</v>
      </c>
      <c r="J5324" s="78" t="s">
        <v>69</v>
      </c>
      <c r="K5324" s="58">
        <f t="shared" si="14"/>
        <v>4</v>
      </c>
      <c r="L5324" s="91" t="str">
        <f t="shared" si="8"/>
        <v>Sun</v>
      </c>
      <c r="M5324" s="78" t="str">
        <f>IFERROR(VLOOKUP(A5324, Entries!A:B,2,false),"")</f>
        <v>PlayWay</v>
      </c>
      <c r="N5324" s="23" t="str">
        <f>IFERROR(VLOOKUP(A5324, Entries!A:K,11,false),"")</f>
        <v/>
      </c>
    </row>
    <row r="5325">
      <c r="A5325" s="78" t="s">
        <v>6123</v>
      </c>
      <c r="B5325" s="78" t="s">
        <v>22</v>
      </c>
      <c r="C5325" s="85">
        <v>45364.0</v>
      </c>
      <c r="D5325" s="85">
        <v>45365.0</v>
      </c>
      <c r="E5325" s="86">
        <v>19.11</v>
      </c>
      <c r="F5325" s="87">
        <v>25.31</v>
      </c>
      <c r="G5325" s="88">
        <f t="shared" si="1"/>
        <v>6.2</v>
      </c>
      <c r="H5325" s="89">
        <f t="shared" si="10"/>
        <v>0.2449624654</v>
      </c>
      <c r="I5325" s="78" t="s">
        <v>6164</v>
      </c>
      <c r="J5325" s="78" t="s">
        <v>69</v>
      </c>
      <c r="K5325" s="58">
        <f t="shared" si="14"/>
        <v>1</v>
      </c>
      <c r="L5325" s="91" t="str">
        <f t="shared" si="8"/>
        <v>Thu</v>
      </c>
      <c r="M5325" s="78" t="str">
        <f>IFERROR(VLOOKUP(A5325, Entries!A:B,2,false),"")</f>
        <v>Owlcat Games</v>
      </c>
      <c r="N5325" s="23" t="str">
        <f>IFERROR(VLOOKUP(A5325, Entries!A:K,11,false),"")</f>
        <v/>
      </c>
    </row>
    <row r="5326">
      <c r="A5326" s="78" t="s">
        <v>6024</v>
      </c>
      <c r="B5326" s="78" t="s">
        <v>27</v>
      </c>
      <c r="C5326" s="85">
        <v>45364.0</v>
      </c>
      <c r="D5326" s="85">
        <v>45366.0</v>
      </c>
      <c r="E5326" s="86">
        <v>48.69</v>
      </c>
      <c r="F5326" s="87">
        <v>62.9</v>
      </c>
      <c r="G5326" s="88">
        <f t="shared" si="1"/>
        <v>14.21</v>
      </c>
      <c r="H5326" s="89">
        <f t="shared" si="10"/>
        <v>0.2259141494</v>
      </c>
      <c r="I5326" s="78" t="s">
        <v>6165</v>
      </c>
      <c r="J5326" s="78" t="s">
        <v>69</v>
      </c>
      <c r="K5326" s="58">
        <f t="shared" si="14"/>
        <v>2</v>
      </c>
      <c r="L5326" s="91" t="str">
        <f t="shared" si="8"/>
        <v>Fri</v>
      </c>
      <c r="M5326" s="78" t="str">
        <f>IFERROR(VLOOKUP(A5326, Entries!A:B,2,false),"")</f>
        <v>BANDAI NAMCO</v>
      </c>
      <c r="N5326" s="23" t="str">
        <f>IFERROR(VLOOKUP(A5326, Entries!A:K,11,false),"")</f>
        <v/>
      </c>
    </row>
    <row r="5327">
      <c r="A5327" s="78" t="s">
        <v>4085</v>
      </c>
      <c r="B5327" s="78" t="s">
        <v>27</v>
      </c>
      <c r="C5327" s="85">
        <v>45365.0</v>
      </c>
      <c r="D5327" s="85">
        <v>45368.0</v>
      </c>
      <c r="E5327" s="86">
        <v>6.39</v>
      </c>
      <c r="F5327" s="87">
        <v>7.31</v>
      </c>
      <c r="G5327" s="88">
        <f t="shared" si="1"/>
        <v>0.92</v>
      </c>
      <c r="H5327" s="89">
        <f t="shared" si="10"/>
        <v>0.1258549932</v>
      </c>
      <c r="I5327" s="78" t="s">
        <v>6166</v>
      </c>
      <c r="J5327" s="78" t="s">
        <v>69</v>
      </c>
      <c r="K5327" s="58">
        <f t="shared" si="14"/>
        <v>3</v>
      </c>
      <c r="L5327" s="91" t="str">
        <f t="shared" si="8"/>
        <v>Sun</v>
      </c>
      <c r="M5327" s="78" t="str">
        <f>IFERROR(VLOOKUP(A5327, Entries!A:B,2,false),"")</f>
        <v>Bethesda Softworks</v>
      </c>
      <c r="N5327" s="23" t="str">
        <f>IFERROR(VLOOKUP(A5327, Entries!A:K,11,false),"")</f>
        <v/>
      </c>
    </row>
    <row r="5328">
      <c r="A5328" s="78" t="s">
        <v>4085</v>
      </c>
      <c r="B5328" s="78" t="s">
        <v>27</v>
      </c>
      <c r="C5328" s="85">
        <v>45365.0</v>
      </c>
      <c r="D5328" s="85">
        <v>45368.0</v>
      </c>
      <c r="E5328" s="86">
        <v>6.39</v>
      </c>
      <c r="F5328" s="87">
        <v>7.31</v>
      </c>
      <c r="G5328" s="88">
        <f t="shared" si="1"/>
        <v>0.92</v>
      </c>
      <c r="H5328" s="89">
        <f t="shared" si="10"/>
        <v>0.1258549932</v>
      </c>
      <c r="I5328" s="78" t="s">
        <v>6167</v>
      </c>
      <c r="J5328" s="78" t="s">
        <v>69</v>
      </c>
      <c r="K5328" s="58">
        <f t="shared" si="14"/>
        <v>3</v>
      </c>
      <c r="L5328" s="91" t="str">
        <f t="shared" si="8"/>
        <v>Sun</v>
      </c>
      <c r="M5328" s="78" t="str">
        <f>IFERROR(VLOOKUP(A5328, Entries!A:B,2,false),"")</f>
        <v>Bethesda Softworks</v>
      </c>
      <c r="N5328" s="23" t="str">
        <f>IFERROR(VLOOKUP(A5328, Entries!A:K,11,false),"")</f>
        <v/>
      </c>
    </row>
    <row r="5329">
      <c r="A5329" s="78" t="s">
        <v>6024</v>
      </c>
      <c r="B5329" s="78" t="s">
        <v>27</v>
      </c>
      <c r="C5329" s="85">
        <v>45366.0</v>
      </c>
      <c r="D5329" s="85">
        <v>45367.0</v>
      </c>
      <c r="E5329" s="86">
        <v>49.69</v>
      </c>
      <c r="F5329" s="87">
        <v>62.9</v>
      </c>
      <c r="G5329" s="88">
        <f t="shared" si="1"/>
        <v>13.21</v>
      </c>
      <c r="H5329" s="89">
        <f t="shared" si="10"/>
        <v>0.2100158983</v>
      </c>
      <c r="I5329" s="78" t="s">
        <v>6168</v>
      </c>
      <c r="J5329" s="78" t="s">
        <v>69</v>
      </c>
      <c r="K5329" s="58">
        <f t="shared" si="14"/>
        <v>1</v>
      </c>
      <c r="L5329" s="91" t="str">
        <f t="shared" si="8"/>
        <v>Sat</v>
      </c>
      <c r="M5329" s="78" t="str">
        <f>IFERROR(VLOOKUP(A5329, Entries!A:B,2,false),"")</f>
        <v>BANDAI NAMCO</v>
      </c>
      <c r="N5329" s="23" t="str">
        <f>IFERROR(VLOOKUP(A5329, Entries!A:K,11,false),"")</f>
        <v/>
      </c>
    </row>
    <row r="5330">
      <c r="A5330" s="94" t="s">
        <v>4252</v>
      </c>
      <c r="B5330" s="78" t="s">
        <v>27</v>
      </c>
      <c r="C5330" s="85">
        <v>45366.0</v>
      </c>
      <c r="D5330" s="85">
        <v>45409.0</v>
      </c>
      <c r="E5330" s="86">
        <v>23.39</v>
      </c>
      <c r="F5330" s="87">
        <v>24.68</v>
      </c>
      <c r="G5330" s="88">
        <f t="shared" si="1"/>
        <v>1.29</v>
      </c>
      <c r="H5330" s="89">
        <f t="shared" si="10"/>
        <v>0.05226904376</v>
      </c>
      <c r="I5330" s="78" t="s">
        <v>6169</v>
      </c>
      <c r="J5330" s="78" t="s">
        <v>69</v>
      </c>
      <c r="K5330" s="58">
        <f t="shared" si="14"/>
        <v>43</v>
      </c>
      <c r="L5330" s="91" t="str">
        <f t="shared" si="8"/>
        <v>Sat</v>
      </c>
      <c r="M5330" s="78" t="str">
        <f>IFERROR(VLOOKUP(A5330, Entries!A:B,2,false),"")</f>
        <v>PlayStation</v>
      </c>
      <c r="N5330" s="23" t="str">
        <f>IFERROR(VLOOKUP(A5330, Entries!A:K,11,false),"")</f>
        <v/>
      </c>
    </row>
    <row r="5331">
      <c r="A5331" s="78" t="s">
        <v>6123</v>
      </c>
      <c r="B5331" s="78" t="s">
        <v>22</v>
      </c>
      <c r="C5331" s="85">
        <v>45366.0</v>
      </c>
      <c r="D5331" s="85">
        <v>45368.0</v>
      </c>
      <c r="E5331" s="86">
        <v>19.14</v>
      </c>
      <c r="F5331" s="87">
        <v>24.66</v>
      </c>
      <c r="G5331" s="88">
        <f t="shared" si="1"/>
        <v>5.52</v>
      </c>
      <c r="H5331" s="89">
        <f t="shared" si="10"/>
        <v>0.2238442822</v>
      </c>
      <c r="I5331" s="78" t="s">
        <v>6170</v>
      </c>
      <c r="J5331" s="78" t="s">
        <v>69</v>
      </c>
      <c r="K5331" s="58">
        <f t="shared" si="14"/>
        <v>2</v>
      </c>
      <c r="L5331" s="91" t="str">
        <f t="shared" si="8"/>
        <v>Sun</v>
      </c>
      <c r="M5331" s="78" t="str">
        <f>IFERROR(VLOOKUP(A5331, Entries!A:B,2,false),"")</f>
        <v>Owlcat Games</v>
      </c>
      <c r="N5331" s="23" t="str">
        <f>IFERROR(VLOOKUP(A5331, Entries!A:K,11,false),"")</f>
        <v/>
      </c>
    </row>
    <row r="5332">
      <c r="A5332" s="78" t="s">
        <v>6024</v>
      </c>
      <c r="B5332" s="78" t="s">
        <v>27</v>
      </c>
      <c r="C5332" s="85">
        <v>45367.0</v>
      </c>
      <c r="D5332" s="85">
        <v>45368.0</v>
      </c>
      <c r="E5332" s="86">
        <v>48.45</v>
      </c>
      <c r="F5332" s="87">
        <v>62.9</v>
      </c>
      <c r="G5332" s="88">
        <f t="shared" si="1"/>
        <v>14.45</v>
      </c>
      <c r="H5332" s="89">
        <f t="shared" si="10"/>
        <v>0.2297297297</v>
      </c>
      <c r="I5332" s="78" t="s">
        <v>6171</v>
      </c>
      <c r="J5332" s="78" t="s">
        <v>69</v>
      </c>
      <c r="K5332" s="58">
        <f t="shared" si="14"/>
        <v>1</v>
      </c>
      <c r="L5332" s="91" t="str">
        <f t="shared" si="8"/>
        <v>Sun</v>
      </c>
      <c r="M5332" s="78" t="str">
        <f>IFERROR(VLOOKUP(A5332, Entries!A:B,2,false),"")</f>
        <v>BANDAI NAMCO</v>
      </c>
      <c r="N5332" s="23" t="str">
        <f>IFERROR(VLOOKUP(A5332, Entries!A:K,11,false),"")</f>
        <v/>
      </c>
    </row>
    <row r="5333">
      <c r="A5333" s="94" t="s">
        <v>6172</v>
      </c>
      <c r="B5333" s="78" t="s">
        <v>27</v>
      </c>
      <c r="C5333" s="85">
        <v>45367.0</v>
      </c>
      <c r="D5333" s="85">
        <v>45485.0</v>
      </c>
      <c r="E5333" s="86">
        <v>20.49</v>
      </c>
      <c r="F5333" s="87">
        <v>23.56</v>
      </c>
      <c r="G5333" s="88">
        <f t="shared" si="1"/>
        <v>3.07</v>
      </c>
      <c r="H5333" s="89">
        <f t="shared" si="10"/>
        <v>0.1303056027</v>
      </c>
      <c r="I5333" s="78" t="s">
        <v>6173</v>
      </c>
      <c r="J5333" s="78" t="s">
        <v>69</v>
      </c>
      <c r="K5333" s="58">
        <f t="shared" si="14"/>
        <v>118</v>
      </c>
      <c r="L5333" s="91" t="str">
        <f t="shared" si="8"/>
        <v>Fri</v>
      </c>
      <c r="M5333" s="78" t="str">
        <f>IFERROR(VLOOKUP(A5333, Entries!A:B,2,false),"")</f>
        <v>SEGA</v>
      </c>
      <c r="N5333" s="23" t="str">
        <f>IFERROR(VLOOKUP(A5333, Entries!A:K,11,false),"")</f>
        <v/>
      </c>
    </row>
    <row r="5334">
      <c r="A5334" s="78" t="s">
        <v>6111</v>
      </c>
      <c r="B5334" s="78" t="s">
        <v>27</v>
      </c>
      <c r="C5334" s="85">
        <v>45367.0</v>
      </c>
      <c r="D5334" s="85">
        <v>45375.0</v>
      </c>
      <c r="E5334" s="86">
        <v>3.19</v>
      </c>
      <c r="F5334" s="87">
        <v>3.4</v>
      </c>
      <c r="G5334" s="88">
        <f t="shared" si="1"/>
        <v>0.21</v>
      </c>
      <c r="H5334" s="89">
        <f t="shared" si="10"/>
        <v>0.06176470588</v>
      </c>
      <c r="I5334" s="78" t="s">
        <v>6174</v>
      </c>
      <c r="J5334" s="78" t="s">
        <v>69</v>
      </c>
      <c r="K5334" s="58">
        <f t="shared" si="14"/>
        <v>8</v>
      </c>
      <c r="L5334" s="91" t="str">
        <f t="shared" si="8"/>
        <v>Sun</v>
      </c>
      <c r="M5334" s="78" t="str">
        <f>IFERROR(VLOOKUP(A5334, Entries!A:B,2,false),"")</f>
        <v/>
      </c>
      <c r="N5334" s="23" t="str">
        <f>IFERROR(VLOOKUP(A5334, Entries!A:K,11,false),"")</f>
        <v/>
      </c>
    </row>
    <row r="5335">
      <c r="A5335" s="78" t="s">
        <v>4928</v>
      </c>
      <c r="B5335" s="78" t="s">
        <v>19</v>
      </c>
      <c r="C5335" s="85">
        <v>45367.0</v>
      </c>
      <c r="D5335" s="85">
        <v>45368.0</v>
      </c>
      <c r="E5335" s="86">
        <v>28.21</v>
      </c>
      <c r="F5335" s="87">
        <v>32.25</v>
      </c>
      <c r="G5335" s="88">
        <f t="shared" si="1"/>
        <v>4.04</v>
      </c>
      <c r="H5335" s="89">
        <f t="shared" si="10"/>
        <v>0.1252713178</v>
      </c>
      <c r="I5335" s="78" t="s">
        <v>6175</v>
      </c>
      <c r="J5335" s="78" t="s">
        <v>69</v>
      </c>
      <c r="K5335" s="58">
        <f t="shared" si="14"/>
        <v>1</v>
      </c>
      <c r="L5335" s="91" t="str">
        <f t="shared" si="8"/>
        <v>Sun</v>
      </c>
      <c r="M5335" s="78" t="str">
        <f>IFERROR(VLOOKUP(A5335, Entries!A:B,2,false),"")</f>
        <v>Eleventh Hour Games</v>
      </c>
      <c r="N5335" s="23" t="str">
        <f>IFERROR(VLOOKUP(A5335, Entries!A:K,11,false),"")</f>
        <v/>
      </c>
    </row>
    <row r="5336">
      <c r="A5336" s="78" t="s">
        <v>6176</v>
      </c>
      <c r="B5336" s="78" t="s">
        <v>19</v>
      </c>
      <c r="C5336" s="85">
        <v>45367.0</v>
      </c>
      <c r="D5336" s="85">
        <v>45368.0</v>
      </c>
      <c r="E5336" s="86">
        <v>0.0</v>
      </c>
      <c r="F5336" s="87">
        <v>0.61</v>
      </c>
      <c r="G5336" s="88">
        <f t="shared" si="1"/>
        <v>0.61</v>
      </c>
      <c r="H5336" s="89">
        <f t="shared" si="10"/>
        <v>1</v>
      </c>
      <c r="I5336" s="78" t="s">
        <v>6177</v>
      </c>
      <c r="J5336" s="78" t="s">
        <v>69</v>
      </c>
      <c r="K5336" s="58">
        <f t="shared" si="14"/>
        <v>1</v>
      </c>
      <c r="L5336" s="91" t="str">
        <f t="shared" si="8"/>
        <v>Sun</v>
      </c>
      <c r="M5336" s="78" t="str">
        <f>IFERROR(VLOOKUP(A5336, Entries!A:B,2,false),"")</f>
        <v/>
      </c>
      <c r="N5336" s="23" t="str">
        <f>IFERROR(VLOOKUP(A5336, Entries!A:K,11,false),"")</f>
        <v/>
      </c>
    </row>
    <row r="5337">
      <c r="A5337" s="78" t="s">
        <v>4716</v>
      </c>
      <c r="B5337" s="78" t="s">
        <v>21</v>
      </c>
      <c r="C5337" s="85">
        <v>45368.0</v>
      </c>
      <c r="D5337" s="85">
        <v>45371.0</v>
      </c>
      <c r="E5337" s="86">
        <v>12.41</v>
      </c>
      <c r="F5337" s="87">
        <v>16.22</v>
      </c>
      <c r="G5337" s="88">
        <f t="shared" si="1"/>
        <v>3.81</v>
      </c>
      <c r="H5337" s="89">
        <f t="shared" si="10"/>
        <v>0.2348951911</v>
      </c>
      <c r="I5337" s="78" t="s">
        <v>6178</v>
      </c>
      <c r="J5337" s="78" t="s">
        <v>69</v>
      </c>
      <c r="K5337" s="58">
        <f t="shared" si="14"/>
        <v>3</v>
      </c>
      <c r="L5337" s="91" t="str">
        <f t="shared" si="8"/>
        <v>Wed</v>
      </c>
      <c r="M5337" s="78" t="str">
        <f>IFERROR(VLOOKUP(A5337, Entries!A:B,2,false),"")</f>
        <v>Kepler Interactive</v>
      </c>
      <c r="N5337" s="23" t="str">
        <f>IFERROR(VLOOKUP(A5337, Entries!A:K,11,false),"")</f>
        <v/>
      </c>
    </row>
    <row r="5338">
      <c r="A5338" s="78" t="s">
        <v>6123</v>
      </c>
      <c r="B5338" s="78" t="s">
        <v>22</v>
      </c>
      <c r="C5338" s="85">
        <v>45368.0</v>
      </c>
      <c r="D5338" s="85">
        <v>45370.0</v>
      </c>
      <c r="E5338" s="86">
        <v>19.16</v>
      </c>
      <c r="F5338" s="87">
        <v>24.69</v>
      </c>
      <c r="G5338" s="88">
        <f t="shared" si="1"/>
        <v>5.53</v>
      </c>
      <c r="H5338" s="89">
        <f t="shared" si="10"/>
        <v>0.2239773188</v>
      </c>
      <c r="I5338" s="78" t="s">
        <v>6179</v>
      </c>
      <c r="J5338" s="78" t="s">
        <v>69</v>
      </c>
      <c r="K5338" s="58">
        <f t="shared" si="14"/>
        <v>2</v>
      </c>
      <c r="L5338" s="91" t="str">
        <f t="shared" si="8"/>
        <v>Tue</v>
      </c>
      <c r="M5338" s="78" t="str">
        <f>IFERROR(VLOOKUP(A5338, Entries!A:B,2,false),"")</f>
        <v>Owlcat Games</v>
      </c>
      <c r="N5338" s="23" t="str">
        <f>IFERROR(VLOOKUP(A5338, Entries!A:K,11,false),"")</f>
        <v/>
      </c>
    </row>
    <row r="5339">
      <c r="A5339" s="78" t="s">
        <v>4085</v>
      </c>
      <c r="B5339" s="78" t="s">
        <v>27</v>
      </c>
      <c r="C5339" s="85">
        <v>45368.0</v>
      </c>
      <c r="D5339" s="85">
        <v>45372.0</v>
      </c>
      <c r="E5339" s="86">
        <v>6.19</v>
      </c>
      <c r="F5339" s="87">
        <v>7.3</v>
      </c>
      <c r="G5339" s="88">
        <f t="shared" si="1"/>
        <v>1.11</v>
      </c>
      <c r="H5339" s="89">
        <f t="shared" si="10"/>
        <v>0.1520547945</v>
      </c>
      <c r="I5339" s="78" t="s">
        <v>6180</v>
      </c>
      <c r="J5339" s="78" t="s">
        <v>69</v>
      </c>
      <c r="K5339" s="58">
        <f t="shared" si="14"/>
        <v>4</v>
      </c>
      <c r="L5339" s="91" t="str">
        <f t="shared" si="8"/>
        <v>Thu</v>
      </c>
      <c r="M5339" s="78" t="str">
        <f>IFERROR(VLOOKUP(A5339, Entries!A:B,2,false),"")</f>
        <v>Bethesda Softworks</v>
      </c>
      <c r="N5339" s="23" t="str">
        <f>IFERROR(VLOOKUP(A5339, Entries!A:K,11,false),"")</f>
        <v/>
      </c>
    </row>
    <row r="5340">
      <c r="A5340" s="94" t="s">
        <v>4991</v>
      </c>
      <c r="B5340" s="78" t="s">
        <v>21</v>
      </c>
      <c r="C5340" s="85">
        <v>45368.0</v>
      </c>
      <c r="D5340" s="85">
        <v>45442.0</v>
      </c>
      <c r="E5340" s="86">
        <v>24.08</v>
      </c>
      <c r="F5340" s="87">
        <v>24.24</v>
      </c>
      <c r="G5340" s="88">
        <f t="shared" si="1"/>
        <v>0.16</v>
      </c>
      <c r="H5340" s="89">
        <f t="shared" si="10"/>
        <v>0.006600660066</v>
      </c>
      <c r="I5340" s="78" t="s">
        <v>6181</v>
      </c>
      <c r="J5340" s="78" t="s">
        <v>69</v>
      </c>
      <c r="K5340" s="58">
        <f t="shared" si="14"/>
        <v>74</v>
      </c>
      <c r="L5340" s="91" t="str">
        <f t="shared" si="8"/>
        <v>Thu</v>
      </c>
      <c r="M5340" s="78" t="str">
        <f>IFERROR(VLOOKUP(A5340, Entries!A:B,2,false),"")</f>
        <v>Red Barrels</v>
      </c>
      <c r="N5340" s="23" t="str">
        <f>IFERROR(VLOOKUP(A5340, Entries!A:K,11,false),"")</f>
        <v/>
      </c>
    </row>
    <row r="5341">
      <c r="A5341" s="78" t="s">
        <v>6024</v>
      </c>
      <c r="B5341" s="78" t="s">
        <v>27</v>
      </c>
      <c r="C5341" s="85">
        <v>45368.0</v>
      </c>
      <c r="D5341" s="85">
        <v>45373.0</v>
      </c>
      <c r="E5341" s="86">
        <v>50.29</v>
      </c>
      <c r="F5341" s="87">
        <v>62.9</v>
      </c>
      <c r="G5341" s="88">
        <f t="shared" si="1"/>
        <v>12.61</v>
      </c>
      <c r="H5341" s="89">
        <f t="shared" si="10"/>
        <v>0.2004769475</v>
      </c>
      <c r="I5341" s="78" t="s">
        <v>6182</v>
      </c>
      <c r="J5341" s="78" t="s">
        <v>69</v>
      </c>
      <c r="K5341" s="58">
        <f t="shared" si="14"/>
        <v>5</v>
      </c>
      <c r="L5341" s="91" t="str">
        <f t="shared" si="8"/>
        <v>Fri</v>
      </c>
      <c r="M5341" s="78" t="str">
        <f>IFERROR(VLOOKUP(A5341, Entries!A:B,2,false),"")</f>
        <v>BANDAI NAMCO</v>
      </c>
      <c r="N5341" s="23" t="str">
        <f>IFERROR(VLOOKUP(A5341, Entries!A:K,11,false),"")</f>
        <v/>
      </c>
    </row>
    <row r="5342">
      <c r="A5342" s="78" t="s">
        <v>4928</v>
      </c>
      <c r="B5342" s="78" t="s">
        <v>19</v>
      </c>
      <c r="C5342" s="85">
        <v>45368.0</v>
      </c>
      <c r="D5342" s="85">
        <v>45373.0</v>
      </c>
      <c r="E5342" s="86">
        <v>28.21</v>
      </c>
      <c r="F5342" s="87">
        <v>0.0</v>
      </c>
      <c r="G5342" s="88">
        <f t="shared" si="1"/>
        <v>-28.21</v>
      </c>
      <c r="H5342" s="89" t="str">
        <f t="shared" si="10"/>
        <v/>
      </c>
      <c r="I5342" s="78" t="s">
        <v>6183</v>
      </c>
      <c r="J5342" s="78" t="s">
        <v>69</v>
      </c>
      <c r="K5342" s="58">
        <f t="shared" si="14"/>
        <v>5</v>
      </c>
      <c r="L5342" s="91" t="str">
        <f t="shared" si="8"/>
        <v>Fri</v>
      </c>
      <c r="M5342" s="78" t="str">
        <f>IFERROR(VLOOKUP(A5342, Entries!A:B,2,false),"")</f>
        <v>Eleventh Hour Games</v>
      </c>
      <c r="N5342" s="23" t="str">
        <f>IFERROR(VLOOKUP(A5342, Entries!A:K,11,false),"")</f>
        <v/>
      </c>
    </row>
    <row r="5343">
      <c r="A5343" s="78" t="s">
        <v>6176</v>
      </c>
      <c r="B5343" s="78" t="s">
        <v>19</v>
      </c>
      <c r="C5343" s="85">
        <v>45368.0</v>
      </c>
      <c r="D5343" s="85">
        <v>45369.0</v>
      </c>
      <c r="E5343" s="86">
        <v>0.0</v>
      </c>
      <c r="F5343" s="87">
        <v>0.81</v>
      </c>
      <c r="G5343" s="88">
        <f t="shared" si="1"/>
        <v>0.81</v>
      </c>
      <c r="H5343" s="89">
        <f t="shared" si="10"/>
        <v>1</v>
      </c>
      <c r="I5343" s="78" t="s">
        <v>6183</v>
      </c>
      <c r="J5343" s="78" t="s">
        <v>69</v>
      </c>
      <c r="K5343" s="58">
        <f t="shared" si="14"/>
        <v>1</v>
      </c>
      <c r="L5343" s="91" t="str">
        <f t="shared" si="8"/>
        <v>Mon</v>
      </c>
      <c r="M5343" s="78" t="str">
        <f>IFERROR(VLOOKUP(A5343, Entries!A:B,2,false),"")</f>
        <v/>
      </c>
      <c r="N5343" s="23" t="str">
        <f>IFERROR(VLOOKUP(A5343, Entries!A:K,11,false),"")</f>
        <v/>
      </c>
    </row>
    <row r="5344">
      <c r="A5344" s="78" t="s">
        <v>2101</v>
      </c>
      <c r="B5344" s="78" t="s">
        <v>18</v>
      </c>
      <c r="C5344" s="85">
        <v>45369.0</v>
      </c>
      <c r="D5344" s="25"/>
      <c r="E5344" s="86">
        <v>20.98</v>
      </c>
      <c r="F5344" s="88"/>
      <c r="G5344" s="88">
        <f t="shared" si="1"/>
        <v>-20.98</v>
      </c>
      <c r="H5344" s="89" t="str">
        <f t="shared" si="10"/>
        <v/>
      </c>
      <c r="I5344" s="103" t="s">
        <v>6184</v>
      </c>
      <c r="J5344" s="78" t="s">
        <v>1129</v>
      </c>
      <c r="K5344" s="58" t="str">
        <f t="shared" si="14"/>
        <v/>
      </c>
      <c r="L5344" s="91" t="str">
        <f t="shared" si="8"/>
        <v/>
      </c>
      <c r="M5344" s="78" t="str">
        <f>IFERROR(VLOOKUP(A5344, Entries!A:B,2,false),"")</f>
        <v>Offworld Industries</v>
      </c>
      <c r="N5344" s="23" t="str">
        <f>IFERROR(VLOOKUP(A5344, Entries!A:K,11,false),"")</f>
        <v/>
      </c>
    </row>
    <row r="5345">
      <c r="A5345" s="78" t="s">
        <v>2339</v>
      </c>
      <c r="B5345" s="78" t="s">
        <v>26</v>
      </c>
      <c r="C5345" s="85">
        <v>45369.0</v>
      </c>
      <c r="D5345" s="85">
        <v>45375.0</v>
      </c>
      <c r="E5345" s="86">
        <v>1.91</v>
      </c>
      <c r="F5345" s="87">
        <v>2.77</v>
      </c>
      <c r="G5345" s="88">
        <f t="shared" si="1"/>
        <v>0.86</v>
      </c>
      <c r="H5345" s="89">
        <f t="shared" si="10"/>
        <v>0.3104693141</v>
      </c>
      <c r="I5345" s="78" t="s">
        <v>6185</v>
      </c>
      <c r="J5345" s="78" t="s">
        <v>69</v>
      </c>
      <c r="K5345" s="58">
        <f t="shared" si="14"/>
        <v>6</v>
      </c>
      <c r="L5345" s="91" t="str">
        <f t="shared" si="8"/>
        <v>Sun</v>
      </c>
      <c r="M5345" s="78" t="str">
        <f>IFERROR(VLOOKUP(A5345, Entries!A:B,2,false),"")</f>
        <v>PlayWay</v>
      </c>
      <c r="N5345" s="23" t="str">
        <f>IFERROR(VLOOKUP(A5345, Entries!A:K,11,false),"")</f>
        <v/>
      </c>
    </row>
    <row r="5346">
      <c r="A5346" s="78" t="s">
        <v>6186</v>
      </c>
      <c r="B5346" s="78" t="s">
        <v>26</v>
      </c>
      <c r="C5346" s="85">
        <v>45369.0</v>
      </c>
      <c r="D5346" s="85">
        <v>45375.0</v>
      </c>
      <c r="E5346" s="86">
        <v>0.0</v>
      </c>
      <c r="F5346" s="87">
        <v>0.2</v>
      </c>
      <c r="G5346" s="88">
        <f t="shared" si="1"/>
        <v>0.2</v>
      </c>
      <c r="H5346" s="89">
        <f t="shared" si="10"/>
        <v>1</v>
      </c>
      <c r="I5346" s="78" t="s">
        <v>6187</v>
      </c>
      <c r="J5346" s="78" t="s">
        <v>69</v>
      </c>
      <c r="K5346" s="58">
        <f t="shared" si="14"/>
        <v>6</v>
      </c>
      <c r="L5346" s="91" t="str">
        <f t="shared" si="8"/>
        <v>Sun</v>
      </c>
      <c r="M5346" s="78" t="str">
        <f>IFERROR(VLOOKUP(A5346, Entries!A:B,2,false),"")</f>
        <v/>
      </c>
      <c r="N5346" s="23" t="str">
        <f>IFERROR(VLOOKUP(A5346, Entries!A:K,11,false),"")</f>
        <v/>
      </c>
    </row>
    <row r="5347">
      <c r="A5347" s="78" t="s">
        <v>6188</v>
      </c>
      <c r="B5347" s="78" t="s">
        <v>23</v>
      </c>
      <c r="C5347" s="85">
        <v>45370.0</v>
      </c>
      <c r="D5347" s="85">
        <v>45373.0</v>
      </c>
      <c r="E5347" s="86">
        <v>15.82</v>
      </c>
      <c r="F5347" s="87">
        <v>18.59</v>
      </c>
      <c r="G5347" s="88">
        <f t="shared" si="1"/>
        <v>2.77</v>
      </c>
      <c r="H5347" s="89">
        <f t="shared" si="10"/>
        <v>0.1490048413</v>
      </c>
      <c r="I5347" s="78" t="s">
        <v>6189</v>
      </c>
      <c r="J5347" s="78" t="s">
        <v>69</v>
      </c>
      <c r="K5347" s="58">
        <f t="shared" si="14"/>
        <v>3</v>
      </c>
      <c r="L5347" s="91" t="str">
        <f t="shared" si="8"/>
        <v>Fri</v>
      </c>
      <c r="M5347" s="78" t="str">
        <f>IFERROR(VLOOKUP(A5347, Entries!A:B,2,false),"")</f>
        <v>Focus Home Interactive</v>
      </c>
      <c r="N5347" s="23" t="str">
        <f>IFERROR(VLOOKUP(A5347, Entries!A:K,11,false),"")</f>
        <v/>
      </c>
    </row>
    <row r="5348">
      <c r="A5348" s="78" t="s">
        <v>6123</v>
      </c>
      <c r="B5348" s="78" t="s">
        <v>22</v>
      </c>
      <c r="C5348" s="85">
        <v>45370.0</v>
      </c>
      <c r="D5348" s="85">
        <v>45375.0</v>
      </c>
      <c r="E5348" s="86">
        <v>19.17</v>
      </c>
      <c r="F5348" s="87">
        <v>24.69</v>
      </c>
      <c r="G5348" s="88">
        <f t="shared" si="1"/>
        <v>5.52</v>
      </c>
      <c r="H5348" s="89">
        <f t="shared" si="10"/>
        <v>0.2235722965</v>
      </c>
      <c r="I5348" s="78" t="s">
        <v>6190</v>
      </c>
      <c r="J5348" s="78" t="s">
        <v>69</v>
      </c>
      <c r="K5348" s="58">
        <f t="shared" si="14"/>
        <v>5</v>
      </c>
      <c r="L5348" s="91" t="str">
        <f t="shared" si="8"/>
        <v>Sun</v>
      </c>
      <c r="M5348" s="78" t="str">
        <f>IFERROR(VLOOKUP(A5348, Entries!A:B,2,false),"")</f>
        <v>Owlcat Games</v>
      </c>
      <c r="N5348" s="23" t="str">
        <f>IFERROR(VLOOKUP(A5348, Entries!A:K,11,false),"")</f>
        <v/>
      </c>
    </row>
    <row r="5349">
      <c r="A5349" s="94" t="s">
        <v>6191</v>
      </c>
      <c r="B5349" s="78" t="s">
        <v>22</v>
      </c>
      <c r="C5349" s="85">
        <v>45370.0</v>
      </c>
      <c r="D5349" s="85">
        <v>45405.0</v>
      </c>
      <c r="E5349" s="86">
        <v>24.91</v>
      </c>
      <c r="F5349" s="87">
        <v>29.0</v>
      </c>
      <c r="G5349" s="88">
        <f t="shared" si="1"/>
        <v>4.09</v>
      </c>
      <c r="H5349" s="89">
        <f t="shared" si="10"/>
        <v>0.1410344828</v>
      </c>
      <c r="I5349" s="78" t="s">
        <v>561</v>
      </c>
      <c r="J5349" s="78" t="s">
        <v>69</v>
      </c>
      <c r="K5349" s="58">
        <f t="shared" si="14"/>
        <v>35</v>
      </c>
      <c r="L5349" s="91" t="str">
        <f t="shared" si="8"/>
        <v>Tue</v>
      </c>
      <c r="M5349" s="78" t="str">
        <f>IFERROR(VLOOKUP(A5349, Entries!A:B,2,false),"")</f>
        <v>Owlcat Games</v>
      </c>
      <c r="N5349" s="23" t="str">
        <f>IFERROR(VLOOKUP(A5349, Entries!A:K,11,false),"")</f>
        <v/>
      </c>
    </row>
    <row r="5350">
      <c r="A5350" s="78" t="s">
        <v>5922</v>
      </c>
      <c r="B5350" s="78" t="s">
        <v>27</v>
      </c>
      <c r="C5350" s="85">
        <v>45371.0</v>
      </c>
      <c r="D5350" s="25"/>
      <c r="E5350" s="86">
        <v>34.39</v>
      </c>
      <c r="F5350" s="88"/>
      <c r="G5350" s="88">
        <f t="shared" si="1"/>
        <v>-34.39</v>
      </c>
      <c r="H5350" s="89" t="str">
        <f t="shared" si="10"/>
        <v/>
      </c>
      <c r="I5350" s="103" t="s">
        <v>6192</v>
      </c>
      <c r="J5350" s="78" t="s">
        <v>1129</v>
      </c>
      <c r="K5350" s="58" t="str">
        <f t="shared" si="14"/>
        <v/>
      </c>
      <c r="L5350" s="91" t="str">
        <f t="shared" si="8"/>
        <v/>
      </c>
      <c r="M5350" s="78" t="str">
        <f>IFERROR(VLOOKUP(A5350, Entries!A:B,2,false),"")</f>
        <v>Square Enix</v>
      </c>
      <c r="N5350" s="23" t="str">
        <f>IFERROR(VLOOKUP(A5350, Entries!A:K,11,false),"")</f>
        <v/>
      </c>
    </row>
    <row r="5351">
      <c r="A5351" s="78" t="s">
        <v>4085</v>
      </c>
      <c r="B5351" s="78" t="s">
        <v>27</v>
      </c>
      <c r="C5351" s="85">
        <v>45372.0</v>
      </c>
      <c r="D5351" s="85">
        <v>45374.0</v>
      </c>
      <c r="E5351" s="86">
        <v>5.57</v>
      </c>
      <c r="F5351" s="87">
        <v>7.3</v>
      </c>
      <c r="G5351" s="88">
        <f t="shared" si="1"/>
        <v>1.73</v>
      </c>
      <c r="H5351" s="89">
        <f t="shared" si="10"/>
        <v>0.2369863014</v>
      </c>
      <c r="I5351" s="78" t="s">
        <v>6193</v>
      </c>
      <c r="J5351" s="78" t="s">
        <v>69</v>
      </c>
      <c r="K5351" s="58">
        <f t="shared" si="14"/>
        <v>2</v>
      </c>
      <c r="L5351" s="91" t="str">
        <f t="shared" si="8"/>
        <v>Sat</v>
      </c>
      <c r="M5351" s="78" t="str">
        <f>IFERROR(VLOOKUP(A5351, Entries!A:B,2,false),"")</f>
        <v>Bethesda Softworks</v>
      </c>
      <c r="N5351" s="23" t="str">
        <f>IFERROR(VLOOKUP(A5351, Entries!A:K,11,false),"")</f>
        <v/>
      </c>
    </row>
    <row r="5352">
      <c r="A5352" s="78" t="s">
        <v>4494</v>
      </c>
      <c r="B5352" s="78" t="s">
        <v>27</v>
      </c>
      <c r="C5352" s="85">
        <v>45372.0</v>
      </c>
      <c r="D5352" s="85">
        <v>45378.0</v>
      </c>
      <c r="E5352" s="86">
        <v>5.79</v>
      </c>
      <c r="F5352" s="87">
        <v>9.08</v>
      </c>
      <c r="G5352" s="88">
        <f t="shared" si="1"/>
        <v>3.29</v>
      </c>
      <c r="H5352" s="89">
        <f t="shared" si="10"/>
        <v>0.3623348018</v>
      </c>
      <c r="I5352" s="78" t="s">
        <v>6194</v>
      </c>
      <c r="J5352" s="78" t="s">
        <v>69</v>
      </c>
      <c r="K5352" s="58">
        <f t="shared" si="14"/>
        <v>6</v>
      </c>
      <c r="L5352" s="91" t="str">
        <f t="shared" si="8"/>
        <v>Wed</v>
      </c>
      <c r="M5352" s="78" t="str">
        <f>IFERROR(VLOOKUP(A5352, Entries!A:B,2,false),"")</f>
        <v>Skystone Games</v>
      </c>
      <c r="N5352" s="23" t="str">
        <f>IFERROR(VLOOKUP(A5352, Entries!A:K,11,false),"")</f>
        <v/>
      </c>
    </row>
    <row r="5353">
      <c r="A5353" s="78" t="s">
        <v>1909</v>
      </c>
      <c r="B5353" s="78" t="s">
        <v>35</v>
      </c>
      <c r="C5353" s="85">
        <v>45372.0</v>
      </c>
      <c r="D5353" s="85">
        <v>45375.0</v>
      </c>
      <c r="E5353" s="86">
        <v>2.61</v>
      </c>
      <c r="F5353" s="87">
        <v>3.58</v>
      </c>
      <c r="G5353" s="88">
        <f t="shared" si="1"/>
        <v>0.97</v>
      </c>
      <c r="H5353" s="89">
        <f t="shared" si="10"/>
        <v>0.2709497207</v>
      </c>
      <c r="I5353" s="78" t="s">
        <v>6195</v>
      </c>
      <c r="J5353" s="78" t="s">
        <v>69</v>
      </c>
      <c r="K5353" s="58">
        <f t="shared" si="14"/>
        <v>3</v>
      </c>
      <c r="L5353" s="91" t="str">
        <f t="shared" si="8"/>
        <v>Sun</v>
      </c>
      <c r="M5353" s="78" t="str">
        <f>IFERROR(VLOOKUP(A5353, Entries!A:B,2,false),"")</f>
        <v>PlayWay</v>
      </c>
      <c r="N5353" s="23" t="str">
        <f>IFERROR(VLOOKUP(A5353, Entries!A:K,11,false),"")</f>
        <v/>
      </c>
    </row>
    <row r="5354">
      <c r="A5354" s="78" t="s">
        <v>1909</v>
      </c>
      <c r="B5354" s="78" t="s">
        <v>35</v>
      </c>
      <c r="C5354" s="85">
        <v>45372.0</v>
      </c>
      <c r="D5354" s="85">
        <v>45380.0</v>
      </c>
      <c r="E5354" s="86">
        <v>2.61</v>
      </c>
      <c r="F5354" s="87">
        <v>3.27</v>
      </c>
      <c r="G5354" s="88">
        <f t="shared" si="1"/>
        <v>0.66</v>
      </c>
      <c r="H5354" s="89">
        <f t="shared" si="10"/>
        <v>0.2018348624</v>
      </c>
      <c r="I5354" s="78" t="s">
        <v>6196</v>
      </c>
      <c r="J5354" s="78" t="s">
        <v>69</v>
      </c>
      <c r="K5354" s="58">
        <f t="shared" si="14"/>
        <v>8</v>
      </c>
      <c r="L5354" s="91" t="str">
        <f t="shared" si="8"/>
        <v>Fri</v>
      </c>
      <c r="M5354" s="78" t="str">
        <f>IFERROR(VLOOKUP(A5354, Entries!A:B,2,false),"")</f>
        <v>PlayWay</v>
      </c>
      <c r="N5354" s="23" t="str">
        <f>IFERROR(VLOOKUP(A5354, Entries!A:K,11,false),"")</f>
        <v/>
      </c>
    </row>
    <row r="5355">
      <c r="A5355" s="78" t="s">
        <v>1909</v>
      </c>
      <c r="B5355" s="78" t="s">
        <v>35</v>
      </c>
      <c r="C5355" s="85">
        <v>45372.0</v>
      </c>
      <c r="D5355" s="85">
        <v>45384.0</v>
      </c>
      <c r="E5355" s="86">
        <v>2.61</v>
      </c>
      <c r="F5355" s="87">
        <v>3.27</v>
      </c>
      <c r="G5355" s="88">
        <f t="shared" si="1"/>
        <v>0.66</v>
      </c>
      <c r="H5355" s="89">
        <f t="shared" si="10"/>
        <v>0.2018348624</v>
      </c>
      <c r="I5355" s="78" t="s">
        <v>6197</v>
      </c>
      <c r="J5355" s="78" t="s">
        <v>69</v>
      </c>
      <c r="K5355" s="58">
        <f t="shared" si="14"/>
        <v>12</v>
      </c>
      <c r="L5355" s="91" t="str">
        <f t="shared" si="8"/>
        <v>Tue</v>
      </c>
      <c r="M5355" s="78" t="str">
        <f>IFERROR(VLOOKUP(A5355, Entries!A:B,2,false),"")</f>
        <v>PlayWay</v>
      </c>
      <c r="N5355" s="23" t="str">
        <f>IFERROR(VLOOKUP(A5355, Entries!A:K,11,false),"")</f>
        <v/>
      </c>
    </row>
    <row r="5356">
      <c r="A5356" s="78" t="s">
        <v>6024</v>
      </c>
      <c r="B5356" s="78" t="s">
        <v>27</v>
      </c>
      <c r="C5356" s="85">
        <v>45373.0</v>
      </c>
      <c r="D5356" s="85">
        <v>45382.0</v>
      </c>
      <c r="E5356" s="86">
        <v>50.09</v>
      </c>
      <c r="F5356" s="87">
        <v>62.9</v>
      </c>
      <c r="G5356" s="88">
        <f t="shared" si="1"/>
        <v>12.81</v>
      </c>
      <c r="H5356" s="89">
        <f t="shared" si="10"/>
        <v>0.2036565978</v>
      </c>
      <c r="I5356" s="78" t="s">
        <v>6198</v>
      </c>
      <c r="J5356" s="78" t="s">
        <v>69</v>
      </c>
      <c r="K5356" s="58">
        <f t="shared" si="14"/>
        <v>9</v>
      </c>
      <c r="L5356" s="91" t="str">
        <f t="shared" si="8"/>
        <v>Sun</v>
      </c>
      <c r="M5356" s="78" t="str">
        <f>IFERROR(VLOOKUP(A5356, Entries!A:B,2,false),"")</f>
        <v>BANDAI NAMCO</v>
      </c>
      <c r="N5356" s="23" t="str">
        <f>IFERROR(VLOOKUP(A5356, Entries!A:K,11,false),"")</f>
        <v/>
      </c>
    </row>
    <row r="5357">
      <c r="A5357" s="78" t="s">
        <v>6188</v>
      </c>
      <c r="B5357" s="78" t="s">
        <v>23</v>
      </c>
      <c r="C5357" s="85">
        <v>45373.0</v>
      </c>
      <c r="D5357" s="85">
        <v>45374.0</v>
      </c>
      <c r="E5357" s="86">
        <v>15.84</v>
      </c>
      <c r="F5357" s="87">
        <v>18.59</v>
      </c>
      <c r="G5357" s="88">
        <f t="shared" si="1"/>
        <v>2.75</v>
      </c>
      <c r="H5357" s="89">
        <f t="shared" si="10"/>
        <v>0.1479289941</v>
      </c>
      <c r="I5357" s="78" t="s">
        <v>6199</v>
      </c>
      <c r="J5357" s="78" t="s">
        <v>69</v>
      </c>
      <c r="K5357" s="58">
        <f t="shared" si="14"/>
        <v>1</v>
      </c>
      <c r="L5357" s="91" t="str">
        <f t="shared" si="8"/>
        <v>Sat</v>
      </c>
      <c r="M5357" s="78" t="str">
        <f>IFERROR(VLOOKUP(A5357, Entries!A:B,2,false),"")</f>
        <v>Focus Home Interactive</v>
      </c>
      <c r="N5357" s="23" t="str">
        <f>IFERROR(VLOOKUP(A5357, Entries!A:K,11,false),"")</f>
        <v/>
      </c>
    </row>
    <row r="5358">
      <c r="A5358" s="78" t="s">
        <v>6176</v>
      </c>
      <c r="B5358" s="78" t="s">
        <v>19</v>
      </c>
      <c r="C5358" s="85">
        <v>45374.0</v>
      </c>
      <c r="D5358" s="85">
        <v>45374.0</v>
      </c>
      <c r="E5358" s="86">
        <v>0.0</v>
      </c>
      <c r="F5358" s="87">
        <v>0.81</v>
      </c>
      <c r="G5358" s="88">
        <f t="shared" si="1"/>
        <v>0.81</v>
      </c>
      <c r="H5358" s="89">
        <f t="shared" si="10"/>
        <v>1</v>
      </c>
      <c r="I5358" s="78" t="s">
        <v>6200</v>
      </c>
      <c r="J5358" s="78" t="s">
        <v>69</v>
      </c>
      <c r="K5358" s="58">
        <f t="shared" si="14"/>
        <v>0</v>
      </c>
      <c r="L5358" s="91" t="str">
        <f t="shared" si="8"/>
        <v>Sat</v>
      </c>
      <c r="M5358" s="78" t="str">
        <f>IFERROR(VLOOKUP(A5358, Entries!A:B,2,false),"")</f>
        <v/>
      </c>
      <c r="N5358" s="23" t="str">
        <f>IFERROR(VLOOKUP(A5358, Entries!A:K,11,false),"")</f>
        <v/>
      </c>
    </row>
    <row r="5359">
      <c r="A5359" s="78" t="s">
        <v>4928</v>
      </c>
      <c r="B5359" s="78" t="s">
        <v>19</v>
      </c>
      <c r="C5359" s="85">
        <v>45374.0</v>
      </c>
      <c r="D5359" s="85">
        <v>45374.0</v>
      </c>
      <c r="E5359" s="86">
        <v>28.21</v>
      </c>
      <c r="F5359" s="87">
        <v>34.68</v>
      </c>
      <c r="G5359" s="88">
        <f t="shared" si="1"/>
        <v>6.47</v>
      </c>
      <c r="H5359" s="89">
        <f t="shared" si="10"/>
        <v>0.1865628604</v>
      </c>
      <c r="I5359" s="78" t="s">
        <v>6201</v>
      </c>
      <c r="J5359" s="78" t="s">
        <v>69</v>
      </c>
      <c r="K5359" s="58">
        <f t="shared" si="14"/>
        <v>0</v>
      </c>
      <c r="L5359" s="91" t="str">
        <f t="shared" si="8"/>
        <v>Sat</v>
      </c>
      <c r="M5359" s="78" t="str">
        <f>IFERROR(VLOOKUP(A5359, Entries!A:B,2,false),"")</f>
        <v>Eleventh Hour Games</v>
      </c>
      <c r="N5359" s="23" t="str">
        <f>IFERROR(VLOOKUP(A5359, Entries!A:K,11,false),"")</f>
        <v/>
      </c>
    </row>
    <row r="5360">
      <c r="A5360" s="78" t="s">
        <v>6188</v>
      </c>
      <c r="B5360" s="78" t="s">
        <v>23</v>
      </c>
      <c r="C5360" s="85">
        <v>45374.0</v>
      </c>
      <c r="D5360" s="85">
        <v>45374.0</v>
      </c>
      <c r="E5360" s="86">
        <v>15.91</v>
      </c>
      <c r="F5360" s="87">
        <v>18.59</v>
      </c>
      <c r="G5360" s="88">
        <f t="shared" si="1"/>
        <v>2.68</v>
      </c>
      <c r="H5360" s="89">
        <f t="shared" si="10"/>
        <v>0.1441635288</v>
      </c>
      <c r="I5360" s="78" t="s">
        <v>6202</v>
      </c>
      <c r="J5360" s="78" t="s">
        <v>69</v>
      </c>
      <c r="K5360" s="58">
        <f t="shared" si="14"/>
        <v>0</v>
      </c>
      <c r="L5360" s="91" t="str">
        <f t="shared" si="8"/>
        <v>Sat</v>
      </c>
      <c r="M5360" s="78" t="str">
        <f>IFERROR(VLOOKUP(A5360, Entries!A:B,2,false),"")</f>
        <v>Focus Home Interactive</v>
      </c>
      <c r="N5360" s="23" t="str">
        <f>IFERROR(VLOOKUP(A5360, Entries!A:K,11,false),"")</f>
        <v/>
      </c>
    </row>
    <row r="5361">
      <c r="A5361" s="78" t="s">
        <v>4928</v>
      </c>
      <c r="B5361" s="78" t="s">
        <v>19</v>
      </c>
      <c r="C5361" s="85">
        <v>45374.0</v>
      </c>
      <c r="D5361" s="85">
        <v>45374.0</v>
      </c>
      <c r="E5361" s="86">
        <v>28.21</v>
      </c>
      <c r="F5361" s="87">
        <v>34.68</v>
      </c>
      <c r="G5361" s="88">
        <f t="shared" si="1"/>
        <v>6.47</v>
      </c>
      <c r="H5361" s="89">
        <f t="shared" si="10"/>
        <v>0.1865628604</v>
      </c>
      <c r="I5361" s="78" t="s">
        <v>6203</v>
      </c>
      <c r="J5361" s="78" t="s">
        <v>69</v>
      </c>
      <c r="K5361" s="58">
        <f t="shared" si="14"/>
        <v>0</v>
      </c>
      <c r="L5361" s="91" t="str">
        <f t="shared" si="8"/>
        <v>Sat</v>
      </c>
      <c r="M5361" s="78" t="str">
        <f>IFERROR(VLOOKUP(A5361, Entries!A:B,2,false),"")</f>
        <v>Eleventh Hour Games</v>
      </c>
      <c r="N5361" s="23" t="str">
        <f>IFERROR(VLOOKUP(A5361, Entries!A:K,11,false),"")</f>
        <v/>
      </c>
    </row>
    <row r="5362">
      <c r="A5362" s="78" t="s">
        <v>4928</v>
      </c>
      <c r="B5362" s="78" t="s">
        <v>19</v>
      </c>
      <c r="C5362" s="85">
        <v>45374.0</v>
      </c>
      <c r="D5362" s="85">
        <v>45375.0</v>
      </c>
      <c r="E5362" s="86">
        <v>28.21</v>
      </c>
      <c r="F5362" s="87">
        <v>35.77</v>
      </c>
      <c r="G5362" s="88">
        <f t="shared" si="1"/>
        <v>7.56</v>
      </c>
      <c r="H5362" s="89">
        <f t="shared" si="10"/>
        <v>0.2113502935</v>
      </c>
      <c r="I5362" s="78" t="s">
        <v>6204</v>
      </c>
      <c r="J5362" s="78" t="s">
        <v>69</v>
      </c>
      <c r="K5362" s="58">
        <f t="shared" si="14"/>
        <v>1</v>
      </c>
      <c r="L5362" s="91" t="str">
        <f t="shared" si="8"/>
        <v>Sun</v>
      </c>
      <c r="M5362" s="78" t="str">
        <f>IFERROR(VLOOKUP(A5362, Entries!A:B,2,false),"")</f>
        <v>Eleventh Hour Games</v>
      </c>
      <c r="N5362" s="23" t="str">
        <f>IFERROR(VLOOKUP(A5362, Entries!A:K,11,false),"")</f>
        <v/>
      </c>
    </row>
    <row r="5363">
      <c r="A5363" s="78" t="s">
        <v>6188</v>
      </c>
      <c r="B5363" s="78" t="s">
        <v>23</v>
      </c>
      <c r="C5363" s="85">
        <v>45374.0</v>
      </c>
      <c r="D5363" s="85">
        <v>45374.0</v>
      </c>
      <c r="E5363" s="86">
        <v>15.91</v>
      </c>
      <c r="F5363" s="87">
        <v>18.59</v>
      </c>
      <c r="G5363" s="88">
        <f t="shared" si="1"/>
        <v>2.68</v>
      </c>
      <c r="H5363" s="89">
        <f t="shared" si="10"/>
        <v>0.1441635288</v>
      </c>
      <c r="I5363" s="78" t="s">
        <v>6205</v>
      </c>
      <c r="J5363" s="78" t="s">
        <v>69</v>
      </c>
      <c r="K5363" s="58">
        <f t="shared" si="14"/>
        <v>0</v>
      </c>
      <c r="L5363" s="91" t="str">
        <f t="shared" si="8"/>
        <v>Sat</v>
      </c>
      <c r="M5363" s="78" t="str">
        <f>IFERROR(VLOOKUP(A5363, Entries!A:B,2,false),"")</f>
        <v>Focus Home Interactive</v>
      </c>
      <c r="N5363" s="23" t="str">
        <f>IFERROR(VLOOKUP(A5363, Entries!A:K,11,false),"")</f>
        <v/>
      </c>
    </row>
    <row r="5364">
      <c r="A5364" s="78" t="s">
        <v>4085</v>
      </c>
      <c r="B5364" s="78" t="s">
        <v>27</v>
      </c>
      <c r="C5364" s="85">
        <v>45374.0</v>
      </c>
      <c r="D5364" s="85">
        <v>45375.0</v>
      </c>
      <c r="E5364" s="86">
        <v>6.25</v>
      </c>
      <c r="F5364" s="87">
        <v>7.3</v>
      </c>
      <c r="G5364" s="88">
        <f t="shared" si="1"/>
        <v>1.05</v>
      </c>
      <c r="H5364" s="89">
        <f t="shared" si="10"/>
        <v>0.1438356164</v>
      </c>
      <c r="I5364" s="78" t="s">
        <v>6206</v>
      </c>
      <c r="J5364" s="78" t="s">
        <v>69</v>
      </c>
      <c r="K5364" s="58">
        <f t="shared" si="14"/>
        <v>1</v>
      </c>
      <c r="L5364" s="91" t="str">
        <f t="shared" si="8"/>
        <v>Sun</v>
      </c>
      <c r="M5364" s="78" t="str">
        <f>IFERROR(VLOOKUP(A5364, Entries!A:B,2,false),"")</f>
        <v>Bethesda Softworks</v>
      </c>
      <c r="N5364" s="23" t="str">
        <f>IFERROR(VLOOKUP(A5364, Entries!A:K,11,false),"")</f>
        <v/>
      </c>
    </row>
    <row r="5365">
      <c r="A5365" s="78" t="s">
        <v>6188</v>
      </c>
      <c r="B5365" s="78" t="s">
        <v>23</v>
      </c>
      <c r="C5365" s="85">
        <v>45374.0</v>
      </c>
      <c r="D5365" s="85">
        <v>45375.0</v>
      </c>
      <c r="E5365" s="86">
        <v>15.91</v>
      </c>
      <c r="F5365" s="87">
        <v>18.59</v>
      </c>
      <c r="G5365" s="88">
        <f t="shared" si="1"/>
        <v>2.68</v>
      </c>
      <c r="H5365" s="89">
        <f t="shared" si="10"/>
        <v>0.1441635288</v>
      </c>
      <c r="I5365" s="78" t="s">
        <v>6207</v>
      </c>
      <c r="J5365" s="78" t="s">
        <v>69</v>
      </c>
      <c r="K5365" s="58">
        <f t="shared" si="14"/>
        <v>1</v>
      </c>
      <c r="L5365" s="91" t="str">
        <f t="shared" si="8"/>
        <v>Sun</v>
      </c>
      <c r="M5365" s="78" t="str">
        <f>IFERROR(VLOOKUP(A5365, Entries!A:B,2,false),"")</f>
        <v>Focus Home Interactive</v>
      </c>
      <c r="N5365" s="23" t="str">
        <f>IFERROR(VLOOKUP(A5365, Entries!A:K,11,false),"")</f>
        <v/>
      </c>
    </row>
    <row r="5366">
      <c r="A5366" s="78" t="s">
        <v>5817</v>
      </c>
      <c r="B5366" s="78" t="s">
        <v>22</v>
      </c>
      <c r="C5366" s="85">
        <v>45375.0</v>
      </c>
      <c r="D5366" s="85">
        <v>45375.0</v>
      </c>
      <c r="E5366" s="86">
        <v>12.73</v>
      </c>
      <c r="F5366" s="87">
        <v>17.87</v>
      </c>
      <c r="G5366" s="88">
        <f t="shared" si="1"/>
        <v>5.14</v>
      </c>
      <c r="H5366" s="89">
        <f t="shared" si="10"/>
        <v>0.2876329043</v>
      </c>
      <c r="I5366" s="78" t="s">
        <v>6208</v>
      </c>
      <c r="J5366" s="78" t="s">
        <v>69</v>
      </c>
      <c r="K5366" s="58">
        <f t="shared" si="14"/>
        <v>0</v>
      </c>
      <c r="L5366" s="91" t="str">
        <f t="shared" si="8"/>
        <v>Sun</v>
      </c>
      <c r="M5366" s="78" t="str">
        <f>IFERROR(VLOOKUP(A5366, Entries!A:B,2,false),"")</f>
        <v>IO Interactive</v>
      </c>
      <c r="N5366" s="23" t="str">
        <f>IFERROR(VLOOKUP(A5366, Entries!A:K,11,false),"")</f>
        <v/>
      </c>
    </row>
    <row r="5367">
      <c r="A5367" s="78" t="s">
        <v>4085</v>
      </c>
      <c r="B5367" s="78" t="s">
        <v>27</v>
      </c>
      <c r="C5367" s="85">
        <v>45375.0</v>
      </c>
      <c r="D5367" s="85">
        <v>45375.0</v>
      </c>
      <c r="E5367" s="86">
        <v>5.77</v>
      </c>
      <c r="F5367" s="87">
        <v>7.3</v>
      </c>
      <c r="G5367" s="88">
        <f t="shared" si="1"/>
        <v>1.53</v>
      </c>
      <c r="H5367" s="89">
        <f t="shared" si="10"/>
        <v>0.2095890411</v>
      </c>
      <c r="I5367" s="78" t="s">
        <v>6209</v>
      </c>
      <c r="J5367" s="78" t="s">
        <v>69</v>
      </c>
      <c r="K5367" s="58">
        <f t="shared" si="14"/>
        <v>0</v>
      </c>
      <c r="L5367" s="91" t="str">
        <f t="shared" si="8"/>
        <v>Sun</v>
      </c>
      <c r="M5367" s="78" t="str">
        <f>IFERROR(VLOOKUP(A5367, Entries!A:B,2,false),"")</f>
        <v>Bethesda Softworks</v>
      </c>
      <c r="N5367" s="23" t="str">
        <f>IFERROR(VLOOKUP(A5367, Entries!A:K,11,false),"")</f>
        <v/>
      </c>
    </row>
    <row r="5368">
      <c r="A5368" s="78" t="s">
        <v>6188</v>
      </c>
      <c r="B5368" s="78" t="s">
        <v>23</v>
      </c>
      <c r="C5368" s="85">
        <v>45375.0</v>
      </c>
      <c r="D5368" s="85">
        <v>45376.0</v>
      </c>
      <c r="E5368" s="86">
        <v>15.91</v>
      </c>
      <c r="F5368" s="87">
        <v>18.59</v>
      </c>
      <c r="G5368" s="88">
        <f t="shared" si="1"/>
        <v>2.68</v>
      </c>
      <c r="H5368" s="89">
        <f t="shared" si="10"/>
        <v>0.1441635288</v>
      </c>
      <c r="I5368" s="78" t="s">
        <v>6210</v>
      </c>
      <c r="J5368" s="78" t="s">
        <v>69</v>
      </c>
      <c r="K5368" s="58">
        <f t="shared" si="14"/>
        <v>1</v>
      </c>
      <c r="L5368" s="91" t="str">
        <f t="shared" si="8"/>
        <v>Mon</v>
      </c>
      <c r="M5368" s="78" t="str">
        <f>IFERROR(VLOOKUP(A5368, Entries!A:B,2,false),"")</f>
        <v>Focus Home Interactive</v>
      </c>
      <c r="N5368" s="23" t="str">
        <f>IFERROR(VLOOKUP(A5368, Entries!A:K,11,false),"")</f>
        <v/>
      </c>
    </row>
    <row r="5369">
      <c r="A5369" s="78" t="s">
        <v>4928</v>
      </c>
      <c r="B5369" s="78" t="s">
        <v>19</v>
      </c>
      <c r="C5369" s="85">
        <v>45375.0</v>
      </c>
      <c r="D5369" s="85">
        <v>45378.0</v>
      </c>
      <c r="E5369" s="86">
        <v>28.21</v>
      </c>
      <c r="F5369" s="87">
        <v>34.1</v>
      </c>
      <c r="G5369" s="88">
        <f t="shared" si="1"/>
        <v>5.89</v>
      </c>
      <c r="H5369" s="89">
        <f t="shared" si="10"/>
        <v>0.1727272727</v>
      </c>
      <c r="I5369" s="78" t="s">
        <v>6211</v>
      </c>
      <c r="J5369" s="78" t="s">
        <v>69</v>
      </c>
      <c r="K5369" s="58">
        <f t="shared" si="14"/>
        <v>3</v>
      </c>
      <c r="L5369" s="91" t="str">
        <f t="shared" si="8"/>
        <v>Wed</v>
      </c>
      <c r="M5369" s="78" t="str">
        <f>IFERROR(VLOOKUP(A5369, Entries!A:B,2,false),"")</f>
        <v>Eleventh Hour Games</v>
      </c>
      <c r="N5369" s="23" t="str">
        <f>IFERROR(VLOOKUP(A5369, Entries!A:K,11,false),"")</f>
        <v/>
      </c>
    </row>
    <row r="5370">
      <c r="A5370" s="78" t="s">
        <v>5817</v>
      </c>
      <c r="B5370" s="78" t="s">
        <v>22</v>
      </c>
      <c r="C5370" s="85">
        <v>45375.0</v>
      </c>
      <c r="D5370" s="85">
        <v>45375.0</v>
      </c>
      <c r="E5370" s="86">
        <v>12.73</v>
      </c>
      <c r="F5370" s="87">
        <v>17.87</v>
      </c>
      <c r="G5370" s="88">
        <f t="shared" si="1"/>
        <v>5.14</v>
      </c>
      <c r="H5370" s="89">
        <f t="shared" si="10"/>
        <v>0.2876329043</v>
      </c>
      <c r="I5370" s="78" t="s">
        <v>6212</v>
      </c>
      <c r="J5370" s="78" t="s">
        <v>69</v>
      </c>
      <c r="K5370" s="58">
        <f t="shared" si="14"/>
        <v>0</v>
      </c>
      <c r="L5370" s="91" t="str">
        <f t="shared" si="8"/>
        <v>Sun</v>
      </c>
      <c r="M5370" s="78" t="str">
        <f>IFERROR(VLOOKUP(A5370, Entries!A:B,2,false),"")</f>
        <v>IO Interactive</v>
      </c>
      <c r="N5370" s="23" t="str">
        <f>IFERROR(VLOOKUP(A5370, Entries!A:K,11,false),"")</f>
        <v/>
      </c>
    </row>
    <row r="5371">
      <c r="A5371" s="78" t="s">
        <v>4085</v>
      </c>
      <c r="B5371" s="78" t="s">
        <v>27</v>
      </c>
      <c r="C5371" s="85">
        <v>45375.0</v>
      </c>
      <c r="D5371" s="85">
        <v>45376.0</v>
      </c>
      <c r="E5371" s="86">
        <v>6.39</v>
      </c>
      <c r="F5371" s="87">
        <v>7.3</v>
      </c>
      <c r="G5371" s="88">
        <f t="shared" si="1"/>
        <v>0.91</v>
      </c>
      <c r="H5371" s="89">
        <f t="shared" si="10"/>
        <v>0.1246575342</v>
      </c>
      <c r="I5371" s="78" t="s">
        <v>6213</v>
      </c>
      <c r="J5371" s="78" t="s">
        <v>69</v>
      </c>
      <c r="K5371" s="58">
        <f t="shared" si="14"/>
        <v>1</v>
      </c>
      <c r="L5371" s="91" t="str">
        <f t="shared" si="8"/>
        <v>Mon</v>
      </c>
      <c r="M5371" s="78" t="str">
        <f>IFERROR(VLOOKUP(A5371, Entries!A:B,2,false),"")</f>
        <v>Bethesda Softworks</v>
      </c>
      <c r="N5371" s="23" t="str">
        <f>IFERROR(VLOOKUP(A5371, Entries!A:K,11,false),"")</f>
        <v/>
      </c>
    </row>
    <row r="5372">
      <c r="A5372" s="78" t="s">
        <v>5817</v>
      </c>
      <c r="B5372" s="78" t="s">
        <v>22</v>
      </c>
      <c r="C5372" s="85">
        <v>45375.0</v>
      </c>
      <c r="D5372" s="85">
        <v>45376.0</v>
      </c>
      <c r="E5372" s="86">
        <v>12.73</v>
      </c>
      <c r="F5372" s="87">
        <v>17.87</v>
      </c>
      <c r="G5372" s="88">
        <f t="shared" si="1"/>
        <v>5.14</v>
      </c>
      <c r="H5372" s="89">
        <f t="shared" si="10"/>
        <v>0.2876329043</v>
      </c>
      <c r="I5372" s="78" t="s">
        <v>6214</v>
      </c>
      <c r="J5372" s="78" t="s">
        <v>69</v>
      </c>
      <c r="K5372" s="58">
        <f t="shared" si="14"/>
        <v>1</v>
      </c>
      <c r="L5372" s="91" t="str">
        <f t="shared" si="8"/>
        <v>Mon</v>
      </c>
      <c r="M5372" s="78" t="str">
        <f>IFERROR(VLOOKUP(A5372, Entries!A:B,2,false),"")</f>
        <v>IO Interactive</v>
      </c>
      <c r="N5372" s="23" t="str">
        <f>IFERROR(VLOOKUP(A5372, Entries!A:K,11,false),"")</f>
        <v/>
      </c>
    </row>
    <row r="5373">
      <c r="A5373" s="78" t="s">
        <v>4085</v>
      </c>
      <c r="B5373" s="78" t="s">
        <v>27</v>
      </c>
      <c r="C5373" s="85">
        <v>45376.0</v>
      </c>
      <c r="D5373" s="85">
        <v>45377.0</v>
      </c>
      <c r="E5373" s="86">
        <v>6.39</v>
      </c>
      <c r="F5373" s="87">
        <v>7.3</v>
      </c>
      <c r="G5373" s="88">
        <f t="shared" si="1"/>
        <v>0.91</v>
      </c>
      <c r="H5373" s="89">
        <f t="shared" si="10"/>
        <v>0.1246575342</v>
      </c>
      <c r="I5373" s="78" t="s">
        <v>6215</v>
      </c>
      <c r="J5373" s="78" t="s">
        <v>69</v>
      </c>
      <c r="K5373" s="58">
        <f t="shared" si="14"/>
        <v>1</v>
      </c>
      <c r="L5373" s="91" t="str">
        <f t="shared" si="8"/>
        <v>Tue</v>
      </c>
      <c r="M5373" s="78" t="str">
        <f>IFERROR(VLOOKUP(A5373, Entries!A:B,2,false),"")</f>
        <v>Bethesda Softworks</v>
      </c>
      <c r="N5373" s="23" t="str">
        <f>IFERROR(VLOOKUP(A5373, Entries!A:K,11,false),"")</f>
        <v/>
      </c>
    </row>
    <row r="5374">
      <c r="A5374" s="78" t="s">
        <v>4085</v>
      </c>
      <c r="B5374" s="78" t="s">
        <v>27</v>
      </c>
      <c r="C5374" s="85">
        <v>45377.0</v>
      </c>
      <c r="D5374" s="85">
        <v>45378.0</v>
      </c>
      <c r="E5374" s="86">
        <v>5.65</v>
      </c>
      <c r="F5374" s="87">
        <v>7.3</v>
      </c>
      <c r="G5374" s="88">
        <f t="shared" si="1"/>
        <v>1.65</v>
      </c>
      <c r="H5374" s="89">
        <f t="shared" si="10"/>
        <v>0.2260273973</v>
      </c>
      <c r="I5374" s="78" t="s">
        <v>6216</v>
      </c>
      <c r="J5374" s="78" t="s">
        <v>69</v>
      </c>
      <c r="K5374" s="58">
        <f t="shared" si="14"/>
        <v>1</v>
      </c>
      <c r="L5374" s="91" t="str">
        <f t="shared" si="8"/>
        <v>Wed</v>
      </c>
      <c r="M5374" s="78" t="str">
        <f>IFERROR(VLOOKUP(A5374, Entries!A:B,2,false),"")</f>
        <v>Bethesda Softworks</v>
      </c>
      <c r="N5374" s="23" t="str">
        <f>IFERROR(VLOOKUP(A5374, Entries!A:K,11,false),"")</f>
        <v/>
      </c>
    </row>
    <row r="5375">
      <c r="A5375" s="78" t="s">
        <v>4085</v>
      </c>
      <c r="B5375" s="78" t="s">
        <v>27</v>
      </c>
      <c r="C5375" s="85">
        <v>45378.0</v>
      </c>
      <c r="D5375" s="85">
        <v>45378.0</v>
      </c>
      <c r="E5375" s="86">
        <v>5.64</v>
      </c>
      <c r="F5375" s="87">
        <v>7.3</v>
      </c>
      <c r="G5375" s="88">
        <f t="shared" si="1"/>
        <v>1.66</v>
      </c>
      <c r="H5375" s="89">
        <f t="shared" si="10"/>
        <v>0.2273972603</v>
      </c>
      <c r="I5375" s="78" t="s">
        <v>6217</v>
      </c>
      <c r="J5375" s="78" t="s">
        <v>69</v>
      </c>
      <c r="K5375" s="58">
        <f t="shared" si="14"/>
        <v>0</v>
      </c>
      <c r="L5375" s="91" t="str">
        <f t="shared" si="8"/>
        <v>Wed</v>
      </c>
      <c r="M5375" s="78" t="str">
        <f>IFERROR(VLOOKUP(A5375, Entries!A:B,2,false),"")</f>
        <v>Bethesda Softworks</v>
      </c>
      <c r="N5375" s="23" t="str">
        <f>IFERROR(VLOOKUP(A5375, Entries!A:K,11,false),"")</f>
        <v/>
      </c>
    </row>
    <row r="5376">
      <c r="A5376" s="78" t="s">
        <v>4928</v>
      </c>
      <c r="B5376" s="78" t="s">
        <v>19</v>
      </c>
      <c r="C5376" s="85">
        <v>45378.0</v>
      </c>
      <c r="D5376" s="85">
        <v>45378.0</v>
      </c>
      <c r="E5376" s="86">
        <v>28.21</v>
      </c>
      <c r="F5376" s="87">
        <v>34.72</v>
      </c>
      <c r="G5376" s="88">
        <f t="shared" si="1"/>
        <v>6.51</v>
      </c>
      <c r="H5376" s="89">
        <f t="shared" si="10"/>
        <v>0.1875</v>
      </c>
      <c r="I5376" s="78" t="s">
        <v>6218</v>
      </c>
      <c r="J5376" s="78" t="s">
        <v>69</v>
      </c>
      <c r="K5376" s="58">
        <f t="shared" si="14"/>
        <v>0</v>
      </c>
      <c r="L5376" s="91" t="str">
        <f t="shared" si="8"/>
        <v>Wed</v>
      </c>
      <c r="M5376" s="78" t="str">
        <f>IFERROR(VLOOKUP(A5376, Entries!A:B,2,false),"")</f>
        <v>Eleventh Hour Games</v>
      </c>
      <c r="N5376" s="23" t="str">
        <f>IFERROR(VLOOKUP(A5376, Entries!A:K,11,false),"")</f>
        <v/>
      </c>
    </row>
    <row r="5377">
      <c r="A5377" s="78" t="s">
        <v>4928</v>
      </c>
      <c r="B5377" s="78" t="s">
        <v>19</v>
      </c>
      <c r="C5377" s="85">
        <v>45378.0</v>
      </c>
      <c r="D5377" s="85">
        <v>45378.0</v>
      </c>
      <c r="E5377" s="86">
        <v>28.21</v>
      </c>
      <c r="F5377" s="87">
        <v>34.93</v>
      </c>
      <c r="G5377" s="88">
        <f t="shared" si="1"/>
        <v>6.72</v>
      </c>
      <c r="H5377" s="89">
        <f t="shared" si="10"/>
        <v>0.1923847695</v>
      </c>
      <c r="I5377" s="78" t="s">
        <v>6219</v>
      </c>
      <c r="J5377" s="78" t="s">
        <v>69</v>
      </c>
      <c r="K5377" s="58">
        <f t="shared" si="14"/>
        <v>0</v>
      </c>
      <c r="L5377" s="91" t="str">
        <f t="shared" si="8"/>
        <v>Wed</v>
      </c>
      <c r="M5377" s="78" t="str">
        <f>IFERROR(VLOOKUP(A5377, Entries!A:B,2,false),"")</f>
        <v>Eleventh Hour Games</v>
      </c>
      <c r="N5377" s="23" t="str">
        <f>IFERROR(VLOOKUP(A5377, Entries!A:K,11,false),"")</f>
        <v/>
      </c>
    </row>
    <row r="5378">
      <c r="A5378" s="78" t="s">
        <v>5933</v>
      </c>
      <c r="B5378" s="78" t="s">
        <v>25</v>
      </c>
      <c r="C5378" s="85">
        <v>45378.0</v>
      </c>
      <c r="D5378" s="85">
        <v>45378.0</v>
      </c>
      <c r="E5378" s="86">
        <v>24.61</v>
      </c>
      <c r="F5378" s="87">
        <v>31.19</v>
      </c>
      <c r="G5378" s="88">
        <f t="shared" si="1"/>
        <v>6.58</v>
      </c>
      <c r="H5378" s="89">
        <f t="shared" si="10"/>
        <v>0.2109650529</v>
      </c>
      <c r="I5378" s="78" t="s">
        <v>6220</v>
      </c>
      <c r="J5378" s="78" t="s">
        <v>69</v>
      </c>
      <c r="K5378" s="58">
        <f t="shared" si="14"/>
        <v>0</v>
      </c>
      <c r="L5378" s="91" t="str">
        <f t="shared" si="8"/>
        <v>Wed</v>
      </c>
      <c r="M5378" s="78" t="str">
        <f>IFERROR(VLOOKUP(A5378, Entries!A:B,2,false),"")</f>
        <v>Pocketpair</v>
      </c>
      <c r="N5378" s="23" t="str">
        <f>IFERROR(VLOOKUP(A5378, Entries!A:K,11,false),"")</f>
        <v/>
      </c>
    </row>
    <row r="5379">
      <c r="A5379" s="78" t="s">
        <v>5933</v>
      </c>
      <c r="B5379" s="78" t="s">
        <v>25</v>
      </c>
      <c r="C5379" s="85">
        <v>45378.0</v>
      </c>
      <c r="D5379" s="85">
        <v>45378.0</v>
      </c>
      <c r="E5379" s="86">
        <v>24.61</v>
      </c>
      <c r="F5379" s="87">
        <v>31.19</v>
      </c>
      <c r="G5379" s="88">
        <f t="shared" si="1"/>
        <v>6.58</v>
      </c>
      <c r="H5379" s="89">
        <f t="shared" si="10"/>
        <v>0.2109650529</v>
      </c>
      <c r="I5379" s="78" t="s">
        <v>6221</v>
      </c>
      <c r="J5379" s="78" t="s">
        <v>69</v>
      </c>
      <c r="K5379" s="58">
        <f t="shared" si="14"/>
        <v>0</v>
      </c>
      <c r="L5379" s="91" t="str">
        <f t="shared" si="8"/>
        <v>Wed</v>
      </c>
      <c r="M5379" s="78" t="str">
        <f>IFERROR(VLOOKUP(A5379, Entries!A:B,2,false),"")</f>
        <v>Pocketpair</v>
      </c>
      <c r="N5379" s="23" t="str">
        <f>IFERROR(VLOOKUP(A5379, Entries!A:K,11,false),"")</f>
        <v/>
      </c>
    </row>
    <row r="5380">
      <c r="A5380" s="78" t="s">
        <v>5933</v>
      </c>
      <c r="B5380" s="78" t="s">
        <v>25</v>
      </c>
      <c r="C5380" s="85">
        <v>45378.0</v>
      </c>
      <c r="D5380" s="85">
        <v>45378.0</v>
      </c>
      <c r="E5380" s="86">
        <v>24.61</v>
      </c>
      <c r="F5380" s="87">
        <v>31.21</v>
      </c>
      <c r="G5380" s="88">
        <f t="shared" si="1"/>
        <v>6.6</v>
      </c>
      <c r="H5380" s="89">
        <f t="shared" si="10"/>
        <v>0.2114706825</v>
      </c>
      <c r="I5380" s="78" t="s">
        <v>6222</v>
      </c>
      <c r="J5380" s="78" t="s">
        <v>69</v>
      </c>
      <c r="K5380" s="58">
        <f t="shared" si="14"/>
        <v>0</v>
      </c>
      <c r="L5380" s="91" t="str">
        <f t="shared" si="8"/>
        <v>Wed</v>
      </c>
      <c r="M5380" s="78" t="str">
        <f>IFERROR(VLOOKUP(A5380, Entries!A:B,2,false),"")</f>
        <v>Pocketpair</v>
      </c>
      <c r="N5380" s="23" t="str">
        <f>IFERROR(VLOOKUP(A5380, Entries!A:K,11,false),"")</f>
        <v/>
      </c>
    </row>
    <row r="5381">
      <c r="A5381" s="78" t="s">
        <v>5933</v>
      </c>
      <c r="B5381" s="78" t="s">
        <v>25</v>
      </c>
      <c r="C5381" s="85">
        <v>45378.0</v>
      </c>
      <c r="D5381" s="85">
        <v>45378.0</v>
      </c>
      <c r="E5381" s="86">
        <v>25.25</v>
      </c>
      <c r="F5381" s="87">
        <v>31.2</v>
      </c>
      <c r="G5381" s="88">
        <f t="shared" si="1"/>
        <v>5.95</v>
      </c>
      <c r="H5381" s="89">
        <f t="shared" si="10"/>
        <v>0.1907051282</v>
      </c>
      <c r="I5381" s="78" t="s">
        <v>6223</v>
      </c>
      <c r="J5381" s="78" t="s">
        <v>69</v>
      </c>
      <c r="K5381" s="58">
        <f t="shared" si="14"/>
        <v>0</v>
      </c>
      <c r="L5381" s="91" t="str">
        <f t="shared" si="8"/>
        <v>Wed</v>
      </c>
      <c r="M5381" s="78" t="str">
        <f>IFERROR(VLOOKUP(A5381, Entries!A:B,2,false),"")</f>
        <v>Pocketpair</v>
      </c>
      <c r="N5381" s="23" t="str">
        <f>IFERROR(VLOOKUP(A5381, Entries!A:K,11,false),"")</f>
        <v/>
      </c>
    </row>
    <row r="5382">
      <c r="A5382" s="78" t="s">
        <v>5933</v>
      </c>
      <c r="B5382" s="78" t="s">
        <v>25</v>
      </c>
      <c r="C5382" s="85">
        <v>45378.0</v>
      </c>
      <c r="D5382" s="85">
        <v>45378.0</v>
      </c>
      <c r="E5382" s="86">
        <v>25.25</v>
      </c>
      <c r="F5382" s="87">
        <v>31.2</v>
      </c>
      <c r="G5382" s="88">
        <f t="shared" si="1"/>
        <v>5.95</v>
      </c>
      <c r="H5382" s="89">
        <f t="shared" si="10"/>
        <v>0.1907051282</v>
      </c>
      <c r="I5382" s="78" t="s">
        <v>6224</v>
      </c>
      <c r="J5382" s="78" t="s">
        <v>69</v>
      </c>
      <c r="K5382" s="58">
        <f t="shared" si="14"/>
        <v>0</v>
      </c>
      <c r="L5382" s="91" t="str">
        <f t="shared" si="8"/>
        <v>Wed</v>
      </c>
      <c r="M5382" s="78" t="str">
        <f>IFERROR(VLOOKUP(A5382, Entries!A:B,2,false),"")</f>
        <v>Pocketpair</v>
      </c>
      <c r="N5382" s="23" t="str">
        <f>IFERROR(VLOOKUP(A5382, Entries!A:K,11,false),"")</f>
        <v/>
      </c>
    </row>
    <row r="5383">
      <c r="A5383" s="78" t="s">
        <v>5933</v>
      </c>
      <c r="B5383" s="78" t="s">
        <v>25</v>
      </c>
      <c r="C5383" s="85">
        <v>45378.0</v>
      </c>
      <c r="D5383" s="85">
        <v>45378.0</v>
      </c>
      <c r="E5383" s="86">
        <v>25.23</v>
      </c>
      <c r="F5383" s="87">
        <v>31.2</v>
      </c>
      <c r="G5383" s="88">
        <f t="shared" si="1"/>
        <v>5.97</v>
      </c>
      <c r="H5383" s="89">
        <f t="shared" si="10"/>
        <v>0.1913461538</v>
      </c>
      <c r="I5383" s="78" t="s">
        <v>6225</v>
      </c>
      <c r="J5383" s="78" t="s">
        <v>69</v>
      </c>
      <c r="K5383" s="58">
        <f t="shared" si="14"/>
        <v>0</v>
      </c>
      <c r="L5383" s="91" t="str">
        <f t="shared" si="8"/>
        <v>Wed</v>
      </c>
      <c r="M5383" s="78" t="str">
        <f>IFERROR(VLOOKUP(A5383, Entries!A:B,2,false),"")</f>
        <v>Pocketpair</v>
      </c>
      <c r="N5383" s="23" t="str">
        <f>IFERROR(VLOOKUP(A5383, Entries!A:K,11,false),"")</f>
        <v/>
      </c>
    </row>
    <row r="5384">
      <c r="A5384" s="78" t="s">
        <v>4494</v>
      </c>
      <c r="B5384" s="78" t="s">
        <v>27</v>
      </c>
      <c r="C5384" s="85">
        <v>45378.0</v>
      </c>
      <c r="D5384" s="85">
        <v>45379.0</v>
      </c>
      <c r="E5384" s="86">
        <v>5.23</v>
      </c>
      <c r="F5384" s="87">
        <v>9.08</v>
      </c>
      <c r="G5384" s="88">
        <f t="shared" si="1"/>
        <v>3.85</v>
      </c>
      <c r="H5384" s="89">
        <f t="shared" si="10"/>
        <v>0.4240088106</v>
      </c>
      <c r="I5384" s="78" t="s">
        <v>6226</v>
      </c>
      <c r="J5384" s="78" t="s">
        <v>69</v>
      </c>
      <c r="K5384" s="58">
        <f t="shared" si="14"/>
        <v>1</v>
      </c>
      <c r="L5384" s="91" t="str">
        <f t="shared" si="8"/>
        <v>Thu</v>
      </c>
      <c r="M5384" s="78" t="str">
        <f>IFERROR(VLOOKUP(A5384, Entries!A:B,2,false),"")</f>
        <v>Skystone Games</v>
      </c>
      <c r="N5384" s="23" t="str">
        <f>IFERROR(VLOOKUP(A5384, Entries!A:K,11,false),"")</f>
        <v/>
      </c>
    </row>
    <row r="5385">
      <c r="A5385" s="78" t="s">
        <v>4928</v>
      </c>
      <c r="B5385" s="78" t="s">
        <v>19</v>
      </c>
      <c r="C5385" s="85">
        <v>45378.0</v>
      </c>
      <c r="D5385" s="85">
        <v>45380.0</v>
      </c>
      <c r="E5385" s="86">
        <v>28.21</v>
      </c>
      <c r="F5385" s="87">
        <v>34.97</v>
      </c>
      <c r="G5385" s="88">
        <f t="shared" si="1"/>
        <v>6.76</v>
      </c>
      <c r="H5385" s="89">
        <f t="shared" si="10"/>
        <v>0.1933085502</v>
      </c>
      <c r="I5385" s="78" t="s">
        <v>6227</v>
      </c>
      <c r="J5385" s="78" t="s">
        <v>69</v>
      </c>
      <c r="K5385" s="58">
        <f t="shared" si="14"/>
        <v>2</v>
      </c>
      <c r="L5385" s="91" t="str">
        <f t="shared" si="8"/>
        <v>Fri</v>
      </c>
      <c r="M5385" s="78" t="str">
        <f>IFERROR(VLOOKUP(A5385, Entries!A:B,2,false),"")</f>
        <v>Eleventh Hour Games</v>
      </c>
      <c r="N5385" s="23" t="str">
        <f>IFERROR(VLOOKUP(A5385, Entries!A:K,11,false),"")</f>
        <v/>
      </c>
    </row>
    <row r="5386">
      <c r="A5386" s="78" t="s">
        <v>5933</v>
      </c>
      <c r="B5386" s="78" t="s">
        <v>25</v>
      </c>
      <c r="C5386" s="85">
        <v>45378.0</v>
      </c>
      <c r="D5386" s="85">
        <v>45378.0</v>
      </c>
      <c r="E5386" s="86">
        <v>25.23</v>
      </c>
      <c r="F5386" s="87">
        <v>31.07</v>
      </c>
      <c r="G5386" s="88">
        <f t="shared" si="1"/>
        <v>5.84</v>
      </c>
      <c r="H5386" s="89">
        <f t="shared" si="10"/>
        <v>0.187962665</v>
      </c>
      <c r="I5386" s="78" t="s">
        <v>6228</v>
      </c>
      <c r="J5386" s="78" t="s">
        <v>69</v>
      </c>
      <c r="K5386" s="58">
        <f t="shared" si="14"/>
        <v>0</v>
      </c>
      <c r="L5386" s="91" t="str">
        <f t="shared" si="8"/>
        <v>Wed</v>
      </c>
      <c r="M5386" s="78" t="str">
        <f>IFERROR(VLOOKUP(A5386, Entries!A:B,2,false),"")</f>
        <v>Pocketpair</v>
      </c>
      <c r="N5386" s="23" t="str">
        <f>IFERROR(VLOOKUP(A5386, Entries!A:K,11,false),"")</f>
        <v/>
      </c>
    </row>
    <row r="5387">
      <c r="A5387" s="78" t="s">
        <v>5933</v>
      </c>
      <c r="B5387" s="78" t="s">
        <v>25</v>
      </c>
      <c r="C5387" s="85">
        <v>45378.0</v>
      </c>
      <c r="D5387" s="85">
        <v>45378.0</v>
      </c>
      <c r="E5387" s="86">
        <v>25.25</v>
      </c>
      <c r="F5387" s="87">
        <v>31.08</v>
      </c>
      <c r="G5387" s="88">
        <f t="shared" si="1"/>
        <v>5.83</v>
      </c>
      <c r="H5387" s="89">
        <f t="shared" si="10"/>
        <v>0.1875804376</v>
      </c>
      <c r="I5387" s="78" t="s">
        <v>6229</v>
      </c>
      <c r="J5387" s="78" t="s">
        <v>69</v>
      </c>
      <c r="K5387" s="58">
        <f t="shared" si="14"/>
        <v>0</v>
      </c>
      <c r="L5387" s="91" t="str">
        <f t="shared" si="8"/>
        <v>Wed</v>
      </c>
      <c r="M5387" s="78" t="str">
        <f>IFERROR(VLOOKUP(A5387, Entries!A:B,2,false),"")</f>
        <v>Pocketpair</v>
      </c>
      <c r="N5387" s="23" t="str">
        <f>IFERROR(VLOOKUP(A5387, Entries!A:K,11,false),"")</f>
        <v/>
      </c>
    </row>
    <row r="5388">
      <c r="A5388" s="78" t="s">
        <v>5933</v>
      </c>
      <c r="B5388" s="78" t="s">
        <v>25</v>
      </c>
      <c r="C5388" s="85">
        <v>45378.0</v>
      </c>
      <c r="D5388" s="85">
        <v>45379.0</v>
      </c>
      <c r="E5388" s="86">
        <v>25.25</v>
      </c>
      <c r="F5388" s="87">
        <v>31.09</v>
      </c>
      <c r="G5388" s="88">
        <f t="shared" si="1"/>
        <v>5.84</v>
      </c>
      <c r="H5388" s="89">
        <f t="shared" si="10"/>
        <v>0.1878417498</v>
      </c>
      <c r="I5388" s="78" t="s">
        <v>6230</v>
      </c>
      <c r="J5388" s="78" t="s">
        <v>69</v>
      </c>
      <c r="K5388" s="58">
        <f t="shared" si="14"/>
        <v>1</v>
      </c>
      <c r="L5388" s="91" t="str">
        <f t="shared" si="8"/>
        <v>Thu</v>
      </c>
      <c r="M5388" s="78" t="str">
        <f>IFERROR(VLOOKUP(A5388, Entries!A:B,2,false),"")</f>
        <v>Pocketpair</v>
      </c>
      <c r="N5388" s="23" t="str">
        <f>IFERROR(VLOOKUP(A5388, Entries!A:K,11,false),"")</f>
        <v/>
      </c>
    </row>
    <row r="5389">
      <c r="A5389" s="78" t="s">
        <v>4085</v>
      </c>
      <c r="B5389" s="78" t="s">
        <v>27</v>
      </c>
      <c r="C5389" s="85">
        <v>45378.0</v>
      </c>
      <c r="D5389" s="85">
        <v>45380.0</v>
      </c>
      <c r="E5389" s="86">
        <v>6.39</v>
      </c>
      <c r="F5389" s="87">
        <v>7.3</v>
      </c>
      <c r="G5389" s="88">
        <f t="shared" si="1"/>
        <v>0.91</v>
      </c>
      <c r="H5389" s="89">
        <f t="shared" si="10"/>
        <v>0.1246575342</v>
      </c>
      <c r="I5389" s="78" t="s">
        <v>6231</v>
      </c>
      <c r="J5389" s="78" t="s">
        <v>69</v>
      </c>
      <c r="K5389" s="58">
        <f t="shared" si="14"/>
        <v>2</v>
      </c>
      <c r="L5389" s="91" t="str">
        <f t="shared" si="8"/>
        <v>Fri</v>
      </c>
      <c r="M5389" s="78" t="str">
        <f>IFERROR(VLOOKUP(A5389, Entries!A:B,2,false),"")</f>
        <v>Bethesda Softworks</v>
      </c>
      <c r="N5389" s="23" t="str">
        <f>IFERROR(VLOOKUP(A5389, Entries!A:K,11,false),"")</f>
        <v/>
      </c>
    </row>
    <row r="5390">
      <c r="A5390" s="78" t="s">
        <v>6111</v>
      </c>
      <c r="B5390" s="78" t="s">
        <v>27</v>
      </c>
      <c r="C5390" s="85">
        <v>45378.0</v>
      </c>
      <c r="D5390" s="85">
        <v>45383.0</v>
      </c>
      <c r="E5390" s="86">
        <v>3.19</v>
      </c>
      <c r="F5390" s="87">
        <v>3.99</v>
      </c>
      <c r="G5390" s="88">
        <f t="shared" si="1"/>
        <v>0.8</v>
      </c>
      <c r="H5390" s="89">
        <f t="shared" si="10"/>
        <v>0.2005012531</v>
      </c>
      <c r="I5390" s="78" t="s">
        <v>6232</v>
      </c>
      <c r="J5390" s="78" t="s">
        <v>69</v>
      </c>
      <c r="K5390" s="58">
        <f t="shared" si="14"/>
        <v>5</v>
      </c>
      <c r="L5390" s="91" t="str">
        <f t="shared" si="8"/>
        <v>Mon</v>
      </c>
      <c r="M5390" s="78" t="str">
        <f>IFERROR(VLOOKUP(A5390, Entries!A:B,2,false),"")</f>
        <v/>
      </c>
      <c r="N5390" s="23" t="str">
        <f>IFERROR(VLOOKUP(A5390, Entries!A:K,11,false),"")</f>
        <v/>
      </c>
    </row>
    <row r="5391">
      <c r="A5391" s="78" t="s">
        <v>5618</v>
      </c>
      <c r="B5391" s="78" t="s">
        <v>22</v>
      </c>
      <c r="C5391" s="85">
        <v>45379.0</v>
      </c>
      <c r="D5391" s="85">
        <v>45381.0</v>
      </c>
      <c r="E5391" s="86">
        <v>4.05</v>
      </c>
      <c r="F5391" s="87">
        <v>5.63</v>
      </c>
      <c r="G5391" s="88">
        <f t="shared" si="1"/>
        <v>1.58</v>
      </c>
      <c r="H5391" s="89">
        <f t="shared" si="10"/>
        <v>0.2806394316</v>
      </c>
      <c r="I5391" s="78" t="s">
        <v>6233</v>
      </c>
      <c r="J5391" s="78" t="s">
        <v>69</v>
      </c>
      <c r="K5391" s="58">
        <f t="shared" si="14"/>
        <v>2</v>
      </c>
      <c r="L5391" s="91" t="str">
        <f t="shared" si="8"/>
        <v>Sat</v>
      </c>
      <c r="M5391" s="78" t="str">
        <f>IFERROR(VLOOKUP(A5391, Entries!A:B,2,false),"")</f>
        <v/>
      </c>
      <c r="N5391" s="23" t="str">
        <f>IFERROR(VLOOKUP(A5391, Entries!A:K,11,false),"")</f>
        <v/>
      </c>
    </row>
    <row r="5392">
      <c r="A5392" s="78" t="s">
        <v>5817</v>
      </c>
      <c r="B5392" s="78" t="s">
        <v>22</v>
      </c>
      <c r="C5392" s="85">
        <v>45379.0</v>
      </c>
      <c r="D5392" s="85">
        <v>45379.0</v>
      </c>
      <c r="E5392" s="86">
        <v>12.72</v>
      </c>
      <c r="F5392" s="87">
        <v>17.87</v>
      </c>
      <c r="G5392" s="88">
        <f t="shared" si="1"/>
        <v>5.15</v>
      </c>
      <c r="H5392" s="89">
        <f t="shared" si="10"/>
        <v>0.2881925014</v>
      </c>
      <c r="I5392" s="78" t="s">
        <v>6234</v>
      </c>
      <c r="J5392" s="78" t="s">
        <v>69</v>
      </c>
      <c r="K5392" s="58">
        <f t="shared" si="14"/>
        <v>0</v>
      </c>
      <c r="L5392" s="91" t="str">
        <f t="shared" si="8"/>
        <v>Thu</v>
      </c>
      <c r="M5392" s="78" t="str">
        <f>IFERROR(VLOOKUP(A5392, Entries!A:B,2,false),"")</f>
        <v>IO Interactive</v>
      </c>
      <c r="N5392" s="23" t="str">
        <f>IFERROR(VLOOKUP(A5392, Entries!A:K,11,false),"")</f>
        <v/>
      </c>
    </row>
    <row r="5393">
      <c r="A5393" s="78" t="s">
        <v>4494</v>
      </c>
      <c r="B5393" s="78" t="s">
        <v>27</v>
      </c>
      <c r="C5393" s="85">
        <v>45379.0</v>
      </c>
      <c r="D5393" s="85">
        <v>45380.0</v>
      </c>
      <c r="E5393" s="86">
        <v>5.79</v>
      </c>
      <c r="F5393" s="87">
        <v>9.08</v>
      </c>
      <c r="G5393" s="88">
        <f t="shared" si="1"/>
        <v>3.29</v>
      </c>
      <c r="H5393" s="89">
        <f t="shared" si="10"/>
        <v>0.3623348018</v>
      </c>
      <c r="I5393" s="78" t="s">
        <v>6235</v>
      </c>
      <c r="J5393" s="78" t="s">
        <v>69</v>
      </c>
      <c r="K5393" s="58">
        <f t="shared" si="14"/>
        <v>1</v>
      </c>
      <c r="L5393" s="91" t="str">
        <f t="shared" si="8"/>
        <v>Fri</v>
      </c>
      <c r="M5393" s="78" t="str">
        <f>IFERROR(VLOOKUP(A5393, Entries!A:B,2,false),"")</f>
        <v>Skystone Games</v>
      </c>
      <c r="N5393" s="23" t="str">
        <f>IFERROR(VLOOKUP(A5393, Entries!A:K,11,false),"")</f>
        <v/>
      </c>
    </row>
    <row r="5394">
      <c r="A5394" s="94" t="s">
        <v>4168</v>
      </c>
      <c r="B5394" s="78" t="s">
        <v>21</v>
      </c>
      <c r="C5394" s="85">
        <v>45379.0</v>
      </c>
      <c r="D5394" s="85">
        <v>45560.0</v>
      </c>
      <c r="E5394" s="86">
        <v>3.66</v>
      </c>
      <c r="F5394" s="87">
        <v>4.29</v>
      </c>
      <c r="G5394" s="88">
        <f t="shared" si="1"/>
        <v>0.63</v>
      </c>
      <c r="H5394" s="89">
        <f t="shared" si="10"/>
        <v>0.1468531469</v>
      </c>
      <c r="I5394" s="78" t="s">
        <v>6236</v>
      </c>
      <c r="J5394" s="78" t="s">
        <v>69</v>
      </c>
      <c r="K5394" s="58">
        <f t="shared" si="14"/>
        <v>181</v>
      </c>
      <c r="L5394" s="91" t="str">
        <f t="shared" si="8"/>
        <v>Wed</v>
      </c>
      <c r="M5394" s="78" t="str">
        <f>IFERROR(VLOOKUP(A5394, Entries!A:B,2,false),"")</f>
        <v>DANGEN Entertainment</v>
      </c>
      <c r="N5394" s="23" t="str">
        <f>IFERROR(VLOOKUP(A5394, Entries!A:K,11,false),"")</f>
        <v/>
      </c>
    </row>
    <row r="5395">
      <c r="A5395" s="78" t="s">
        <v>4085</v>
      </c>
      <c r="B5395" s="78" t="s">
        <v>27</v>
      </c>
      <c r="C5395" s="85">
        <v>45380.0</v>
      </c>
      <c r="D5395" s="85">
        <v>45382.0</v>
      </c>
      <c r="E5395" s="86">
        <v>6.39</v>
      </c>
      <c r="F5395" s="87">
        <v>7.3</v>
      </c>
      <c r="G5395" s="88">
        <f t="shared" si="1"/>
        <v>0.91</v>
      </c>
      <c r="H5395" s="89">
        <f t="shared" si="10"/>
        <v>0.1246575342</v>
      </c>
      <c r="I5395" s="78" t="s">
        <v>6237</v>
      </c>
      <c r="J5395" s="78" t="s">
        <v>69</v>
      </c>
      <c r="K5395" s="58">
        <f t="shared" si="14"/>
        <v>2</v>
      </c>
      <c r="L5395" s="91" t="str">
        <f t="shared" si="8"/>
        <v>Sun</v>
      </c>
      <c r="M5395" s="78" t="str">
        <f>IFERROR(VLOOKUP(A5395, Entries!A:B,2,false),"")</f>
        <v>Bethesda Softworks</v>
      </c>
      <c r="N5395" s="23" t="str">
        <f>IFERROR(VLOOKUP(A5395, Entries!A:K,11,false),"")</f>
        <v/>
      </c>
    </row>
    <row r="5396">
      <c r="A5396" s="78" t="s">
        <v>5613</v>
      </c>
      <c r="B5396" s="78" t="s">
        <v>22</v>
      </c>
      <c r="C5396" s="85">
        <v>45380.0</v>
      </c>
      <c r="D5396" s="85">
        <v>45388.0</v>
      </c>
      <c r="E5396" s="86">
        <v>12.17</v>
      </c>
      <c r="F5396" s="87">
        <v>19.39</v>
      </c>
      <c r="G5396" s="88">
        <f t="shared" si="1"/>
        <v>7.22</v>
      </c>
      <c r="H5396" s="89">
        <f t="shared" si="10"/>
        <v>0.372356885</v>
      </c>
      <c r="I5396" s="78" t="s">
        <v>6238</v>
      </c>
      <c r="J5396" s="78" t="s">
        <v>69</v>
      </c>
      <c r="K5396" s="58">
        <f t="shared" si="14"/>
        <v>8</v>
      </c>
      <c r="L5396" s="91" t="str">
        <f t="shared" si="8"/>
        <v>Sat</v>
      </c>
      <c r="M5396" s="78" t="str">
        <f>IFERROR(VLOOKUP(A5396, Entries!A:B,2,false),"")</f>
        <v>Shiro Games</v>
      </c>
      <c r="N5396" s="23" t="str">
        <f>IFERROR(VLOOKUP(A5396, Entries!A:K,11,false),"")</f>
        <v/>
      </c>
    </row>
    <row r="5397">
      <c r="A5397" s="78" t="s">
        <v>5817</v>
      </c>
      <c r="B5397" s="78" t="s">
        <v>22</v>
      </c>
      <c r="C5397" s="85">
        <v>45380.0</v>
      </c>
      <c r="D5397" s="85">
        <v>45380.0</v>
      </c>
      <c r="E5397" s="86">
        <v>12.76</v>
      </c>
      <c r="F5397" s="87">
        <v>17.87</v>
      </c>
      <c r="G5397" s="88">
        <f t="shared" si="1"/>
        <v>5.11</v>
      </c>
      <c r="H5397" s="89">
        <f t="shared" si="10"/>
        <v>0.285954113</v>
      </c>
      <c r="I5397" s="78" t="s">
        <v>6239</v>
      </c>
      <c r="J5397" s="78" t="s">
        <v>69</v>
      </c>
      <c r="K5397" s="58">
        <f t="shared" si="14"/>
        <v>0</v>
      </c>
      <c r="L5397" s="91" t="str">
        <f t="shared" si="8"/>
        <v>Fri</v>
      </c>
      <c r="M5397" s="78" t="str">
        <f>IFERROR(VLOOKUP(A5397, Entries!A:B,2,false),"")</f>
        <v>IO Interactive</v>
      </c>
      <c r="N5397" s="23" t="str">
        <f>IFERROR(VLOOKUP(A5397, Entries!A:K,11,false),"")</f>
        <v/>
      </c>
    </row>
    <row r="5398">
      <c r="A5398" s="78" t="s">
        <v>4494</v>
      </c>
      <c r="B5398" s="78" t="s">
        <v>27</v>
      </c>
      <c r="C5398" s="85">
        <v>45380.0</v>
      </c>
      <c r="D5398" s="85">
        <v>45381.0</v>
      </c>
      <c r="E5398" s="86">
        <v>5.79</v>
      </c>
      <c r="F5398" s="78">
        <v>9.08</v>
      </c>
      <c r="G5398" s="88">
        <f t="shared" si="1"/>
        <v>3.29</v>
      </c>
      <c r="H5398" s="89">
        <f t="shared" si="10"/>
        <v>0.3623348018</v>
      </c>
      <c r="I5398" s="78" t="s">
        <v>6240</v>
      </c>
      <c r="J5398" s="78" t="s">
        <v>69</v>
      </c>
      <c r="K5398" s="58">
        <f t="shared" si="14"/>
        <v>1</v>
      </c>
      <c r="L5398" s="91" t="str">
        <f t="shared" si="8"/>
        <v>Sat</v>
      </c>
      <c r="M5398" s="78" t="str">
        <f>IFERROR(VLOOKUP(A5398, Entries!A:B,2,false),"")</f>
        <v>Skystone Games</v>
      </c>
      <c r="N5398" s="23" t="str">
        <f>IFERROR(VLOOKUP(A5398, Entries!A:K,11,false),"")</f>
        <v/>
      </c>
    </row>
    <row r="5399">
      <c r="A5399" s="78" t="s">
        <v>1338</v>
      </c>
      <c r="B5399" s="78" t="s">
        <v>25</v>
      </c>
      <c r="C5399" s="85">
        <v>45380.0</v>
      </c>
      <c r="D5399" s="85">
        <v>45382.0</v>
      </c>
      <c r="E5399" s="86">
        <v>9.39</v>
      </c>
      <c r="F5399" s="87">
        <v>10.6</v>
      </c>
      <c r="G5399" s="88">
        <f t="shared" si="1"/>
        <v>1.21</v>
      </c>
      <c r="H5399" s="89">
        <f t="shared" si="10"/>
        <v>0.1141509434</v>
      </c>
      <c r="J5399" s="78" t="s">
        <v>69</v>
      </c>
      <c r="K5399" s="58">
        <f t="shared" si="14"/>
        <v>2</v>
      </c>
      <c r="L5399" s="91" t="str">
        <f t="shared" si="8"/>
        <v>Sun</v>
      </c>
      <c r="M5399" s="78" t="str">
        <f>IFERROR(VLOOKUP(A5399, Entries!A:B,2,false),"")</f>
        <v>SEGA</v>
      </c>
      <c r="N5399" s="23" t="str">
        <f>IFERROR(VLOOKUP(A5399, Entries!A:K,11,false),"")</f>
        <v/>
      </c>
    </row>
    <row r="5400">
      <c r="A5400" s="78" t="s">
        <v>5676</v>
      </c>
      <c r="B5400" s="78" t="s">
        <v>27</v>
      </c>
      <c r="C5400" s="85">
        <v>45380.0</v>
      </c>
      <c r="D5400" s="85">
        <v>45381.0</v>
      </c>
      <c r="E5400" s="86">
        <v>36.53</v>
      </c>
      <c r="F5400" s="87">
        <v>40.31</v>
      </c>
      <c r="G5400" s="88">
        <f t="shared" si="1"/>
        <v>3.78</v>
      </c>
      <c r="H5400" s="89">
        <f t="shared" si="10"/>
        <v>0.09377325726</v>
      </c>
      <c r="I5400" s="78" t="s">
        <v>6241</v>
      </c>
      <c r="J5400" s="78" t="s">
        <v>69</v>
      </c>
      <c r="K5400" s="58">
        <f t="shared" si="14"/>
        <v>1</v>
      </c>
      <c r="L5400" s="91" t="str">
        <f t="shared" si="8"/>
        <v>Sat</v>
      </c>
      <c r="M5400" s="78" t="str">
        <f>IFERROR(VLOOKUP(A5400, Entries!A:B,2,false),"")</f>
        <v>Bethesda Softworks</v>
      </c>
      <c r="N5400" s="23" t="str">
        <f>IFERROR(VLOOKUP(A5400, Entries!A:K,11,false),"")</f>
        <v/>
      </c>
    </row>
    <row r="5401">
      <c r="A5401" s="78" t="s">
        <v>4928</v>
      </c>
      <c r="B5401" s="78" t="s">
        <v>19</v>
      </c>
      <c r="C5401" s="85">
        <v>45380.0</v>
      </c>
      <c r="D5401" s="85">
        <v>45382.0</v>
      </c>
      <c r="E5401" s="86">
        <v>28.21</v>
      </c>
      <c r="F5401" s="87">
        <v>34.32</v>
      </c>
      <c r="G5401" s="88">
        <f t="shared" si="1"/>
        <v>6.11</v>
      </c>
      <c r="H5401" s="89">
        <f t="shared" si="10"/>
        <v>0.178030303</v>
      </c>
      <c r="I5401" s="78" t="s">
        <v>6242</v>
      </c>
      <c r="J5401" s="78" t="s">
        <v>69</v>
      </c>
      <c r="K5401" s="58">
        <f t="shared" si="14"/>
        <v>2</v>
      </c>
      <c r="L5401" s="91" t="str">
        <f t="shared" si="8"/>
        <v>Sun</v>
      </c>
      <c r="M5401" s="78" t="str">
        <f>IFERROR(VLOOKUP(A5401, Entries!A:B,2,false),"")</f>
        <v>Eleventh Hour Games</v>
      </c>
      <c r="N5401" s="23" t="str">
        <f>IFERROR(VLOOKUP(A5401, Entries!A:K,11,false),"")</f>
        <v/>
      </c>
    </row>
    <row r="5402">
      <c r="A5402" s="78" t="s">
        <v>6243</v>
      </c>
      <c r="B5402" s="78" t="s">
        <v>19</v>
      </c>
      <c r="C5402" s="85">
        <v>45381.0</v>
      </c>
      <c r="D5402" s="85">
        <v>45382.0</v>
      </c>
      <c r="E5402" s="86">
        <v>6.76</v>
      </c>
      <c r="F5402" s="87">
        <v>8.16</v>
      </c>
      <c r="G5402" s="88">
        <f t="shared" si="1"/>
        <v>1.4</v>
      </c>
      <c r="H5402" s="89">
        <f t="shared" si="10"/>
        <v>0.1715686275</v>
      </c>
      <c r="I5402" s="78" t="s">
        <v>6244</v>
      </c>
      <c r="J5402" s="78" t="s">
        <v>69</v>
      </c>
      <c r="K5402" s="58">
        <f t="shared" si="14"/>
        <v>1</v>
      </c>
      <c r="L5402" s="91" t="str">
        <f t="shared" si="8"/>
        <v>Sun</v>
      </c>
      <c r="M5402" s="78" t="str">
        <f>IFERROR(VLOOKUP(A5402, Entries!A:B,2,false),"")</f>
        <v/>
      </c>
      <c r="N5402" s="23" t="str">
        <f>IFERROR(VLOOKUP(A5402, Entries!A:K,11,false),"")</f>
        <v/>
      </c>
    </row>
    <row r="5403">
      <c r="A5403" s="94" t="s">
        <v>6245</v>
      </c>
      <c r="B5403" s="78" t="s">
        <v>21</v>
      </c>
      <c r="C5403" s="85">
        <v>45382.0</v>
      </c>
      <c r="D5403" s="85">
        <v>45395.0</v>
      </c>
      <c r="E5403" s="86">
        <v>43.0</v>
      </c>
      <c r="F5403" s="87">
        <v>48.29</v>
      </c>
      <c r="G5403" s="88">
        <f t="shared" si="1"/>
        <v>5.29</v>
      </c>
      <c r="H5403" s="89">
        <f t="shared" si="10"/>
        <v>0.10954649</v>
      </c>
      <c r="I5403" s="78" t="s">
        <v>6246</v>
      </c>
      <c r="J5403" s="78" t="s">
        <v>69</v>
      </c>
      <c r="K5403" s="58">
        <f t="shared" si="14"/>
        <v>13</v>
      </c>
      <c r="L5403" s="91" t="str">
        <f t="shared" si="8"/>
        <v>Sat</v>
      </c>
      <c r="M5403" s="78" t="str">
        <f>IFERROR(VLOOKUP(A5403, Entries!A:B,2,false),"")</f>
        <v/>
      </c>
      <c r="N5403" s="23" t="str">
        <f>IFERROR(VLOOKUP(A5403, Entries!A:K,11,false),"")</f>
        <v/>
      </c>
    </row>
    <row r="5404">
      <c r="A5404" s="94" t="s">
        <v>6247</v>
      </c>
      <c r="B5404" s="78" t="s">
        <v>25</v>
      </c>
      <c r="C5404" s="85">
        <v>45382.0</v>
      </c>
      <c r="D5404" s="85">
        <v>45529.0</v>
      </c>
      <c r="E5404" s="86">
        <v>14.67</v>
      </c>
      <c r="F5404" s="87">
        <v>16.86</v>
      </c>
      <c r="G5404" s="88">
        <f t="shared" si="1"/>
        <v>2.19</v>
      </c>
      <c r="H5404" s="89">
        <f t="shared" si="10"/>
        <v>0.1298932384</v>
      </c>
      <c r="I5404" s="78" t="s">
        <v>6248</v>
      </c>
      <c r="J5404" s="78" t="s">
        <v>69</v>
      </c>
      <c r="K5404" s="58">
        <f t="shared" si="14"/>
        <v>147</v>
      </c>
      <c r="L5404" s="91" t="str">
        <f t="shared" si="8"/>
        <v>Sun</v>
      </c>
      <c r="M5404" s="78" t="str">
        <f>IFERROR(VLOOKUP(A5404, Entries!A:B,2,false),"")</f>
        <v/>
      </c>
      <c r="N5404" s="23" t="str">
        <f>IFERROR(VLOOKUP(A5404, Entries!A:K,11,false),"")</f>
        <v/>
      </c>
    </row>
    <row r="5405">
      <c r="A5405" s="78" t="s">
        <v>4928</v>
      </c>
      <c r="B5405" s="78" t="s">
        <v>19</v>
      </c>
      <c r="C5405" s="85">
        <v>45382.0</v>
      </c>
      <c r="D5405" s="85">
        <v>45387.0</v>
      </c>
      <c r="E5405" s="86">
        <v>28.21</v>
      </c>
      <c r="F5405" s="87">
        <v>34.81</v>
      </c>
      <c r="G5405" s="88">
        <f t="shared" si="1"/>
        <v>6.6</v>
      </c>
      <c r="H5405" s="89">
        <f t="shared" si="10"/>
        <v>0.1896006895</v>
      </c>
      <c r="I5405" s="78" t="s">
        <v>6249</v>
      </c>
      <c r="J5405" s="78" t="s">
        <v>69</v>
      </c>
      <c r="K5405" s="58">
        <f t="shared" si="14"/>
        <v>5</v>
      </c>
      <c r="L5405" s="91" t="str">
        <f t="shared" si="8"/>
        <v>Fri</v>
      </c>
      <c r="M5405" s="78" t="str">
        <f>IFERROR(VLOOKUP(A5405, Entries!A:B,2,false),"")</f>
        <v>Eleventh Hour Games</v>
      </c>
      <c r="N5405" s="23" t="str">
        <f>IFERROR(VLOOKUP(A5405, Entries!A:K,11,false),"")</f>
        <v/>
      </c>
    </row>
    <row r="5406">
      <c r="A5406" s="78" t="s">
        <v>6024</v>
      </c>
      <c r="B5406" s="78" t="s">
        <v>27</v>
      </c>
      <c r="C5406" s="85">
        <v>45382.0</v>
      </c>
      <c r="D5406" s="85">
        <v>45383.0</v>
      </c>
      <c r="E5406" s="86">
        <v>49.82</v>
      </c>
      <c r="F5406" s="87">
        <v>62.9</v>
      </c>
      <c r="G5406" s="88">
        <f t="shared" si="1"/>
        <v>13.08</v>
      </c>
      <c r="H5406" s="89">
        <f t="shared" si="10"/>
        <v>0.2079491256</v>
      </c>
      <c r="I5406" s="78" t="s">
        <v>6250</v>
      </c>
      <c r="J5406" s="78" t="s">
        <v>69</v>
      </c>
      <c r="K5406" s="58">
        <f t="shared" si="14"/>
        <v>1</v>
      </c>
      <c r="L5406" s="91" t="str">
        <f t="shared" si="8"/>
        <v>Mon</v>
      </c>
      <c r="M5406" s="78" t="str">
        <f>IFERROR(VLOOKUP(A5406, Entries!A:B,2,false),"")</f>
        <v>BANDAI NAMCO</v>
      </c>
      <c r="N5406" s="23" t="str">
        <f>IFERROR(VLOOKUP(A5406, Entries!A:K,11,false),"")</f>
        <v/>
      </c>
    </row>
    <row r="5407">
      <c r="A5407" s="78" t="s">
        <v>4085</v>
      </c>
      <c r="B5407" s="78" t="s">
        <v>27</v>
      </c>
      <c r="C5407" s="85">
        <v>45382.0</v>
      </c>
      <c r="D5407" s="85">
        <v>45383.0</v>
      </c>
      <c r="E5407" s="86">
        <v>6.39</v>
      </c>
      <c r="F5407" s="87">
        <v>7.3</v>
      </c>
      <c r="G5407" s="88">
        <f t="shared" si="1"/>
        <v>0.91</v>
      </c>
      <c r="H5407" s="89">
        <f t="shared" si="10"/>
        <v>0.1246575342</v>
      </c>
      <c r="I5407" s="78" t="s">
        <v>6251</v>
      </c>
      <c r="J5407" s="78" t="s">
        <v>69</v>
      </c>
      <c r="K5407" s="58">
        <f t="shared" si="14"/>
        <v>1</v>
      </c>
      <c r="L5407" s="91" t="str">
        <f t="shared" si="8"/>
        <v>Mon</v>
      </c>
      <c r="M5407" s="78" t="str">
        <f>IFERROR(VLOOKUP(A5407, Entries!A:B,2,false),"")</f>
        <v>Bethesda Softworks</v>
      </c>
      <c r="N5407" s="23" t="str">
        <f>IFERROR(VLOOKUP(A5407, Entries!A:K,11,false),"")</f>
        <v/>
      </c>
    </row>
    <row r="5408">
      <c r="A5408" s="78" t="s">
        <v>4494</v>
      </c>
      <c r="B5408" s="78" t="s">
        <v>27</v>
      </c>
      <c r="C5408" s="85">
        <v>45382.0</v>
      </c>
      <c r="D5408" s="85">
        <v>45383.0</v>
      </c>
      <c r="E5408" s="86">
        <v>8.19</v>
      </c>
      <c r="F5408" s="87">
        <v>8.99</v>
      </c>
      <c r="G5408" s="88">
        <f t="shared" si="1"/>
        <v>0.8</v>
      </c>
      <c r="H5408" s="89">
        <f t="shared" si="10"/>
        <v>0.08898776418</v>
      </c>
      <c r="I5408" s="78" t="s">
        <v>6252</v>
      </c>
      <c r="J5408" s="78" t="s">
        <v>69</v>
      </c>
      <c r="K5408" s="58">
        <f t="shared" si="14"/>
        <v>1</v>
      </c>
      <c r="L5408" s="91" t="str">
        <f t="shared" si="8"/>
        <v>Mon</v>
      </c>
      <c r="M5408" s="78" t="str">
        <f>IFERROR(VLOOKUP(A5408, Entries!A:B,2,false),"")</f>
        <v>Skystone Games</v>
      </c>
      <c r="N5408" s="23" t="str">
        <f>IFERROR(VLOOKUP(A5408, Entries!A:K,11,false),"")</f>
        <v/>
      </c>
    </row>
    <row r="5409">
      <c r="A5409" s="78" t="s">
        <v>6111</v>
      </c>
      <c r="B5409" s="78" t="s">
        <v>27</v>
      </c>
      <c r="C5409" s="85">
        <v>45383.0</v>
      </c>
      <c r="D5409" s="85">
        <v>45385.0</v>
      </c>
      <c r="E5409" s="86">
        <v>3.19</v>
      </c>
      <c r="F5409" s="87">
        <v>3.99</v>
      </c>
      <c r="G5409" s="88">
        <f t="shared" si="1"/>
        <v>0.8</v>
      </c>
      <c r="H5409" s="89">
        <f t="shared" si="10"/>
        <v>0.2005012531</v>
      </c>
      <c r="I5409" s="78" t="s">
        <v>6253</v>
      </c>
      <c r="J5409" s="78" t="s">
        <v>69</v>
      </c>
      <c r="K5409" s="58">
        <f t="shared" si="14"/>
        <v>2</v>
      </c>
      <c r="L5409" s="91" t="str">
        <f t="shared" si="8"/>
        <v>Wed</v>
      </c>
      <c r="M5409" s="78" t="str">
        <f>IFERROR(VLOOKUP(A5409, Entries!A:B,2,false),"")</f>
        <v/>
      </c>
      <c r="N5409" s="23" t="str">
        <f>IFERROR(VLOOKUP(A5409, Entries!A:K,11,false),"")</f>
        <v/>
      </c>
    </row>
    <row r="5410">
      <c r="A5410" s="78" t="s">
        <v>6254</v>
      </c>
      <c r="B5410" s="78" t="s">
        <v>17</v>
      </c>
      <c r="C5410" s="85">
        <v>45383.0</v>
      </c>
      <c r="D5410" s="85">
        <v>45388.0</v>
      </c>
      <c r="E5410" s="86">
        <v>17.4</v>
      </c>
      <c r="F5410" s="87">
        <v>21.45</v>
      </c>
      <c r="G5410" s="88">
        <f t="shared" si="1"/>
        <v>4.05</v>
      </c>
      <c r="H5410" s="89">
        <f t="shared" si="10"/>
        <v>0.1888111888</v>
      </c>
      <c r="I5410" s="78" t="s">
        <v>6255</v>
      </c>
      <c r="J5410" s="78" t="s">
        <v>69</v>
      </c>
      <c r="K5410" s="58">
        <f t="shared" si="14"/>
        <v>5</v>
      </c>
      <c r="L5410" s="91" t="str">
        <f t="shared" si="8"/>
        <v>Sat</v>
      </c>
      <c r="M5410" s="78" t="str">
        <f>IFERROR(VLOOKUP(A5410, Entries!A:B,2,false),"")</f>
        <v/>
      </c>
      <c r="N5410" s="23" t="str">
        <f>IFERROR(VLOOKUP(A5410, Entries!A:K,11,false),"")</f>
        <v/>
      </c>
    </row>
    <row r="5411">
      <c r="A5411" s="78" t="s">
        <v>6024</v>
      </c>
      <c r="B5411" s="78" t="s">
        <v>27</v>
      </c>
      <c r="C5411" s="85">
        <v>45383.0</v>
      </c>
      <c r="D5411" s="85">
        <v>45394.0</v>
      </c>
      <c r="E5411" s="86">
        <v>49.79</v>
      </c>
      <c r="F5411" s="87">
        <v>58.38</v>
      </c>
      <c r="G5411" s="88">
        <f t="shared" si="1"/>
        <v>8.59</v>
      </c>
      <c r="H5411" s="89">
        <f t="shared" si="10"/>
        <v>0.1471394313</v>
      </c>
      <c r="I5411" s="78" t="s">
        <v>6256</v>
      </c>
      <c r="J5411" s="78" t="s">
        <v>69</v>
      </c>
      <c r="K5411" s="58">
        <f t="shared" si="14"/>
        <v>11</v>
      </c>
      <c r="L5411" s="91" t="str">
        <f t="shared" si="8"/>
        <v>Fri</v>
      </c>
      <c r="M5411" s="78" t="str">
        <f>IFERROR(VLOOKUP(A5411, Entries!A:B,2,false),"")</f>
        <v>BANDAI NAMCO</v>
      </c>
      <c r="N5411" s="23" t="str">
        <f>IFERROR(VLOOKUP(A5411, Entries!A:K,11,false),"")</f>
        <v/>
      </c>
    </row>
    <row r="5412">
      <c r="A5412" s="78" t="s">
        <v>4085</v>
      </c>
      <c r="B5412" s="78" t="s">
        <v>27</v>
      </c>
      <c r="C5412" s="85">
        <v>45383.0</v>
      </c>
      <c r="D5412" s="85">
        <v>45383.0</v>
      </c>
      <c r="E5412" s="86">
        <v>6.39</v>
      </c>
      <c r="F5412" s="87">
        <v>7.3</v>
      </c>
      <c r="G5412" s="88">
        <f t="shared" si="1"/>
        <v>0.91</v>
      </c>
      <c r="H5412" s="89">
        <f t="shared" si="10"/>
        <v>0.1246575342</v>
      </c>
      <c r="I5412" s="78" t="s">
        <v>6257</v>
      </c>
      <c r="J5412" s="78" t="s">
        <v>69</v>
      </c>
      <c r="K5412" s="58">
        <f t="shared" si="14"/>
        <v>0</v>
      </c>
      <c r="L5412" s="91" t="str">
        <f t="shared" si="8"/>
        <v>Mon</v>
      </c>
      <c r="M5412" s="78" t="str">
        <f>IFERROR(VLOOKUP(A5412, Entries!A:B,2,false),"")</f>
        <v>Bethesda Softworks</v>
      </c>
      <c r="N5412" s="23" t="str">
        <f>IFERROR(VLOOKUP(A5412, Entries!A:K,11,false),"")</f>
        <v/>
      </c>
    </row>
    <row r="5413">
      <c r="A5413" s="78" t="s">
        <v>4085</v>
      </c>
      <c r="B5413" s="78" t="s">
        <v>27</v>
      </c>
      <c r="C5413" s="85">
        <v>45384.0</v>
      </c>
      <c r="D5413" s="85">
        <v>45384.0</v>
      </c>
      <c r="E5413" s="86">
        <v>6.39</v>
      </c>
      <c r="F5413" s="87">
        <v>7.3</v>
      </c>
      <c r="G5413" s="88">
        <f t="shared" si="1"/>
        <v>0.91</v>
      </c>
      <c r="H5413" s="89">
        <f t="shared" si="10"/>
        <v>0.1246575342</v>
      </c>
      <c r="J5413" s="78" t="s">
        <v>69</v>
      </c>
      <c r="K5413" s="58">
        <f t="shared" si="14"/>
        <v>0</v>
      </c>
      <c r="L5413" s="91" t="str">
        <f t="shared" si="8"/>
        <v>Tue</v>
      </c>
      <c r="M5413" s="78" t="str">
        <f>IFERROR(VLOOKUP(A5413, Entries!A:B,2,false),"")</f>
        <v>Bethesda Softworks</v>
      </c>
      <c r="N5413" s="23" t="str">
        <f>IFERROR(VLOOKUP(A5413, Entries!A:K,11,false),"")</f>
        <v/>
      </c>
    </row>
    <row r="5414">
      <c r="A5414" s="78" t="s">
        <v>3979</v>
      </c>
      <c r="B5414" s="78" t="s">
        <v>25</v>
      </c>
      <c r="C5414" s="85">
        <v>45384.0</v>
      </c>
      <c r="D5414" s="85">
        <v>45384.0</v>
      </c>
      <c r="E5414" s="86">
        <v>31.76</v>
      </c>
      <c r="F5414" s="87">
        <v>39.15</v>
      </c>
      <c r="G5414" s="88">
        <f t="shared" si="1"/>
        <v>7.39</v>
      </c>
      <c r="H5414" s="89">
        <f t="shared" si="10"/>
        <v>0.188761175</v>
      </c>
      <c r="I5414" s="78" t="s">
        <v>6258</v>
      </c>
      <c r="J5414" s="78" t="s">
        <v>69</v>
      </c>
      <c r="K5414" s="58">
        <f t="shared" si="14"/>
        <v>0</v>
      </c>
      <c r="L5414" s="91" t="str">
        <f t="shared" si="8"/>
        <v>Tue</v>
      </c>
      <c r="M5414" s="78" t="str">
        <f>IFERROR(VLOOKUP(A5414, Entries!A:B,2,false),"")</f>
        <v>Square Enix</v>
      </c>
      <c r="N5414" s="23" t="str">
        <f>IFERROR(VLOOKUP(A5414, Entries!A:K,11,false),"")</f>
        <v/>
      </c>
    </row>
    <row r="5415">
      <c r="A5415" s="78" t="s">
        <v>3979</v>
      </c>
      <c r="B5415" s="78" t="s">
        <v>25</v>
      </c>
      <c r="C5415" s="85">
        <v>45384.0</v>
      </c>
      <c r="D5415" s="85">
        <v>45384.0</v>
      </c>
      <c r="E5415" s="86">
        <v>31.76</v>
      </c>
      <c r="F5415" s="87">
        <v>39.15</v>
      </c>
      <c r="G5415" s="88">
        <f t="shared" si="1"/>
        <v>7.39</v>
      </c>
      <c r="H5415" s="89">
        <f t="shared" si="10"/>
        <v>0.188761175</v>
      </c>
      <c r="I5415" s="78" t="s">
        <v>6259</v>
      </c>
      <c r="J5415" s="78" t="s">
        <v>69</v>
      </c>
      <c r="K5415" s="58">
        <f t="shared" si="14"/>
        <v>0</v>
      </c>
      <c r="L5415" s="91" t="str">
        <f t="shared" si="8"/>
        <v>Tue</v>
      </c>
      <c r="M5415" s="78" t="str">
        <f>IFERROR(VLOOKUP(A5415, Entries!A:B,2,false),"")</f>
        <v>Square Enix</v>
      </c>
      <c r="N5415" s="23" t="str">
        <f>IFERROR(VLOOKUP(A5415, Entries!A:K,11,false),"")</f>
        <v/>
      </c>
    </row>
    <row r="5416">
      <c r="A5416" s="78" t="s">
        <v>3979</v>
      </c>
      <c r="B5416" s="78" t="s">
        <v>25</v>
      </c>
      <c r="C5416" s="85">
        <v>45384.0</v>
      </c>
      <c r="D5416" s="85">
        <v>45384.0</v>
      </c>
      <c r="E5416" s="86">
        <v>31.77</v>
      </c>
      <c r="F5416" s="87">
        <v>39.15</v>
      </c>
      <c r="G5416" s="88">
        <f t="shared" si="1"/>
        <v>7.38</v>
      </c>
      <c r="H5416" s="89">
        <f t="shared" si="10"/>
        <v>0.1885057471</v>
      </c>
      <c r="I5416" s="78" t="s">
        <v>6260</v>
      </c>
      <c r="J5416" s="78" t="s">
        <v>69</v>
      </c>
      <c r="K5416" s="58">
        <f t="shared" si="14"/>
        <v>0</v>
      </c>
      <c r="L5416" s="91" t="str">
        <f t="shared" si="8"/>
        <v>Tue</v>
      </c>
      <c r="M5416" s="78" t="str">
        <f>IFERROR(VLOOKUP(A5416, Entries!A:B,2,false),"")</f>
        <v>Square Enix</v>
      </c>
      <c r="N5416" s="23" t="str">
        <f>IFERROR(VLOOKUP(A5416, Entries!A:K,11,false),"")</f>
        <v/>
      </c>
    </row>
    <row r="5417">
      <c r="A5417" s="94" t="s">
        <v>3979</v>
      </c>
      <c r="B5417" s="78" t="s">
        <v>25</v>
      </c>
      <c r="C5417" s="85">
        <v>45384.0</v>
      </c>
      <c r="D5417" s="85">
        <v>45394.0</v>
      </c>
      <c r="E5417" s="86">
        <v>31.76</v>
      </c>
      <c r="F5417" s="87">
        <v>39.05</v>
      </c>
      <c r="G5417" s="88">
        <f t="shared" si="1"/>
        <v>7.29</v>
      </c>
      <c r="H5417" s="89">
        <f t="shared" si="10"/>
        <v>0.1866837388</v>
      </c>
      <c r="I5417" s="78" t="s">
        <v>6261</v>
      </c>
      <c r="J5417" s="78" t="s">
        <v>69</v>
      </c>
      <c r="K5417" s="58">
        <f t="shared" si="14"/>
        <v>10</v>
      </c>
      <c r="L5417" s="91" t="str">
        <f t="shared" si="8"/>
        <v>Fri</v>
      </c>
      <c r="M5417" s="78" t="str">
        <f>IFERROR(VLOOKUP(A5417, Entries!A:B,2,false),"")</f>
        <v>Square Enix</v>
      </c>
      <c r="N5417" s="23" t="str">
        <f>IFERROR(VLOOKUP(A5417, Entries!A:K,11,false),"")</f>
        <v/>
      </c>
    </row>
    <row r="5418">
      <c r="A5418" s="94" t="s">
        <v>3979</v>
      </c>
      <c r="B5418" s="78" t="s">
        <v>25</v>
      </c>
      <c r="C5418" s="85">
        <v>45384.0</v>
      </c>
      <c r="D5418" s="85">
        <v>45401.0</v>
      </c>
      <c r="E5418" s="86">
        <v>31.76</v>
      </c>
      <c r="F5418" s="87">
        <v>39.46</v>
      </c>
      <c r="G5418" s="88">
        <f t="shared" si="1"/>
        <v>7.7</v>
      </c>
      <c r="H5418" s="89">
        <f t="shared" si="10"/>
        <v>0.1951343132</v>
      </c>
      <c r="I5418" s="78" t="s">
        <v>6262</v>
      </c>
      <c r="J5418" s="78" t="s">
        <v>69</v>
      </c>
      <c r="K5418" s="58">
        <f t="shared" si="14"/>
        <v>17</v>
      </c>
      <c r="L5418" s="91" t="str">
        <f t="shared" si="8"/>
        <v>Fri</v>
      </c>
      <c r="M5418" s="78" t="str">
        <f>IFERROR(VLOOKUP(A5418, Entries!A:B,2,false),"")</f>
        <v>Square Enix</v>
      </c>
      <c r="N5418" s="23" t="str">
        <f>IFERROR(VLOOKUP(A5418, Entries!A:K,11,false),"")</f>
        <v/>
      </c>
    </row>
    <row r="5419">
      <c r="A5419" s="94" t="s">
        <v>3979</v>
      </c>
      <c r="B5419" s="78" t="s">
        <v>25</v>
      </c>
      <c r="C5419" s="85">
        <v>45384.0</v>
      </c>
      <c r="D5419" s="85">
        <v>45402.0</v>
      </c>
      <c r="E5419" s="86">
        <v>31.77</v>
      </c>
      <c r="F5419" s="87">
        <v>37.63</v>
      </c>
      <c r="G5419" s="88">
        <f t="shared" si="1"/>
        <v>5.86</v>
      </c>
      <c r="H5419" s="89">
        <f t="shared" si="10"/>
        <v>0.1557268137</v>
      </c>
      <c r="I5419" s="78" t="s">
        <v>6263</v>
      </c>
      <c r="J5419" s="78" t="s">
        <v>69</v>
      </c>
      <c r="K5419" s="58">
        <f t="shared" si="14"/>
        <v>18</v>
      </c>
      <c r="L5419" s="91" t="str">
        <f t="shared" si="8"/>
        <v>Sat</v>
      </c>
      <c r="M5419" s="78" t="str">
        <f>IFERROR(VLOOKUP(A5419, Entries!A:B,2,false),"")</f>
        <v>Square Enix</v>
      </c>
      <c r="N5419" s="23" t="str">
        <f>IFERROR(VLOOKUP(A5419, Entries!A:K,11,false),"")</f>
        <v/>
      </c>
    </row>
    <row r="5420">
      <c r="A5420" s="78" t="s">
        <v>4085</v>
      </c>
      <c r="B5420" s="78" t="s">
        <v>27</v>
      </c>
      <c r="C5420" s="85">
        <v>45384.0</v>
      </c>
      <c r="D5420" s="85">
        <v>45384.0</v>
      </c>
      <c r="E5420" s="86">
        <v>6.39</v>
      </c>
      <c r="F5420" s="87">
        <v>7.3</v>
      </c>
      <c r="G5420" s="88">
        <f t="shared" si="1"/>
        <v>0.91</v>
      </c>
      <c r="H5420" s="89">
        <f t="shared" si="10"/>
        <v>0.1246575342</v>
      </c>
      <c r="I5420" s="78" t="s">
        <v>6264</v>
      </c>
      <c r="J5420" s="78" t="s">
        <v>69</v>
      </c>
      <c r="K5420" s="58">
        <f t="shared" si="14"/>
        <v>0</v>
      </c>
      <c r="L5420" s="91" t="str">
        <f t="shared" si="8"/>
        <v>Tue</v>
      </c>
      <c r="M5420" s="78" t="str">
        <f>IFERROR(VLOOKUP(A5420, Entries!A:B,2,false),"")</f>
        <v>Bethesda Softworks</v>
      </c>
      <c r="N5420" s="23" t="str">
        <f>IFERROR(VLOOKUP(A5420, Entries!A:K,11,false),"")</f>
        <v/>
      </c>
    </row>
    <row r="5421">
      <c r="A5421" s="94" t="s">
        <v>3979</v>
      </c>
      <c r="B5421" s="78" t="s">
        <v>25</v>
      </c>
      <c r="C5421" s="85">
        <v>45384.0</v>
      </c>
      <c r="D5421" s="85">
        <v>45402.0</v>
      </c>
      <c r="E5421" s="86">
        <v>31.75</v>
      </c>
      <c r="F5421" s="87">
        <v>36.77</v>
      </c>
      <c r="G5421" s="88">
        <f t="shared" si="1"/>
        <v>5.02</v>
      </c>
      <c r="H5421" s="89">
        <f t="shared" si="10"/>
        <v>0.1365243405</v>
      </c>
      <c r="I5421" s="78" t="s">
        <v>6265</v>
      </c>
      <c r="J5421" s="78" t="s">
        <v>69</v>
      </c>
      <c r="K5421" s="58">
        <f t="shared" si="14"/>
        <v>18</v>
      </c>
      <c r="L5421" s="91" t="str">
        <f t="shared" si="8"/>
        <v>Sat</v>
      </c>
      <c r="M5421" s="78" t="str">
        <f>IFERROR(VLOOKUP(A5421, Entries!A:B,2,false),"")</f>
        <v>Square Enix</v>
      </c>
      <c r="N5421" s="23" t="str">
        <f>IFERROR(VLOOKUP(A5421, Entries!A:K,11,false),"")</f>
        <v/>
      </c>
    </row>
    <row r="5422">
      <c r="A5422" s="94" t="s">
        <v>3979</v>
      </c>
      <c r="B5422" s="78" t="s">
        <v>25</v>
      </c>
      <c r="C5422" s="85">
        <v>45384.0</v>
      </c>
      <c r="D5422" s="85">
        <v>45726.0</v>
      </c>
      <c r="E5422" s="86">
        <v>31.75</v>
      </c>
      <c r="F5422" s="87">
        <v>32.99</v>
      </c>
      <c r="G5422" s="88">
        <f t="shared" si="1"/>
        <v>1.24</v>
      </c>
      <c r="H5422" s="102">
        <v>0.3299</v>
      </c>
      <c r="I5422" s="78" t="s">
        <v>6266</v>
      </c>
      <c r="J5422" s="78" t="s">
        <v>69</v>
      </c>
      <c r="K5422" s="58">
        <f t="shared" si="14"/>
        <v>342</v>
      </c>
      <c r="L5422" s="91" t="str">
        <f t="shared" si="8"/>
        <v>Mon</v>
      </c>
      <c r="M5422" s="78" t="str">
        <f>IFERROR(VLOOKUP(A5422, Entries!A:B,2,false),"")</f>
        <v>Square Enix</v>
      </c>
      <c r="N5422" s="23" t="str">
        <f>IFERROR(VLOOKUP(A5422, Entries!A:K,11,false),"")</f>
        <v/>
      </c>
    </row>
    <row r="5423">
      <c r="A5423" s="78" t="s">
        <v>3979</v>
      </c>
      <c r="B5423" s="78" t="s">
        <v>25</v>
      </c>
      <c r="C5423" s="85">
        <v>45384.0</v>
      </c>
      <c r="D5423" s="25"/>
      <c r="E5423" s="86">
        <v>31.75</v>
      </c>
      <c r="F5423" s="88"/>
      <c r="G5423" s="88">
        <f t="shared" si="1"/>
        <v>-31.75</v>
      </c>
      <c r="H5423" s="89" t="str">
        <f t="shared" ref="H5423:H6357" si="15">IFERROR(G5423/F5423,"")</f>
        <v/>
      </c>
      <c r="I5423" s="103" t="s">
        <v>6267</v>
      </c>
      <c r="J5423" s="78" t="s">
        <v>1129</v>
      </c>
      <c r="K5423" s="58" t="str">
        <f t="shared" si="14"/>
        <v/>
      </c>
      <c r="L5423" s="91" t="str">
        <f t="shared" si="8"/>
        <v/>
      </c>
      <c r="M5423" s="78" t="str">
        <f>IFERROR(VLOOKUP(A5423, Entries!A:B,2,false),"")</f>
        <v>Square Enix</v>
      </c>
      <c r="N5423" s="23" t="str">
        <f>IFERROR(VLOOKUP(A5423, Entries!A:K,11,false),"")</f>
        <v/>
      </c>
    </row>
    <row r="5424">
      <c r="A5424" s="78" t="s">
        <v>3979</v>
      </c>
      <c r="B5424" s="78" t="s">
        <v>25</v>
      </c>
      <c r="C5424" s="85">
        <v>45384.0</v>
      </c>
      <c r="D5424" s="25"/>
      <c r="E5424" s="86">
        <v>31.75</v>
      </c>
      <c r="F5424" s="88"/>
      <c r="G5424" s="88">
        <f t="shared" si="1"/>
        <v>-31.75</v>
      </c>
      <c r="H5424" s="89" t="str">
        <f t="shared" si="15"/>
        <v/>
      </c>
      <c r="I5424" s="103" t="s">
        <v>6268</v>
      </c>
      <c r="J5424" s="78" t="s">
        <v>1129</v>
      </c>
      <c r="K5424" s="58" t="str">
        <f t="shared" si="14"/>
        <v/>
      </c>
      <c r="L5424" s="91" t="str">
        <f t="shared" si="8"/>
        <v/>
      </c>
      <c r="M5424" s="78" t="str">
        <f>IFERROR(VLOOKUP(A5424, Entries!A:B,2,false),"")</f>
        <v>Square Enix</v>
      </c>
      <c r="N5424" s="23" t="str">
        <f>IFERROR(VLOOKUP(A5424, Entries!A:K,11,false),"")</f>
        <v/>
      </c>
    </row>
    <row r="5425">
      <c r="A5425" s="78" t="s">
        <v>3979</v>
      </c>
      <c r="B5425" s="78" t="s">
        <v>25</v>
      </c>
      <c r="C5425" s="85">
        <v>45384.0</v>
      </c>
      <c r="D5425" s="25"/>
      <c r="E5425" s="86">
        <v>31.75</v>
      </c>
      <c r="F5425" s="88"/>
      <c r="G5425" s="88">
        <f t="shared" si="1"/>
        <v>-31.75</v>
      </c>
      <c r="H5425" s="89" t="str">
        <f t="shared" si="15"/>
        <v/>
      </c>
      <c r="I5425" s="103" t="s">
        <v>6269</v>
      </c>
      <c r="J5425" s="78" t="s">
        <v>1129</v>
      </c>
      <c r="K5425" s="58" t="str">
        <f t="shared" si="14"/>
        <v/>
      </c>
      <c r="L5425" s="91" t="str">
        <f t="shared" si="8"/>
        <v/>
      </c>
      <c r="M5425" s="78" t="str">
        <f>IFERROR(VLOOKUP(A5425, Entries!A:B,2,false),"")</f>
        <v>Square Enix</v>
      </c>
      <c r="N5425" s="23" t="str">
        <f>IFERROR(VLOOKUP(A5425, Entries!A:K,11,false),"")</f>
        <v/>
      </c>
    </row>
    <row r="5426">
      <c r="A5426" s="78" t="s">
        <v>4085</v>
      </c>
      <c r="B5426" s="78" t="s">
        <v>27</v>
      </c>
      <c r="C5426" s="85">
        <v>45384.0</v>
      </c>
      <c r="D5426" s="85">
        <v>45384.0</v>
      </c>
      <c r="E5426" s="86">
        <v>6.39</v>
      </c>
      <c r="F5426" s="87">
        <v>7.3</v>
      </c>
      <c r="G5426" s="88">
        <f t="shared" si="1"/>
        <v>0.91</v>
      </c>
      <c r="H5426" s="89">
        <f t="shared" si="15"/>
        <v>0.1246575342</v>
      </c>
      <c r="I5426" s="78" t="s">
        <v>6270</v>
      </c>
      <c r="J5426" s="78" t="s">
        <v>69</v>
      </c>
      <c r="K5426" s="58">
        <f t="shared" si="14"/>
        <v>0</v>
      </c>
      <c r="L5426" s="91" t="str">
        <f t="shared" si="8"/>
        <v>Tue</v>
      </c>
      <c r="M5426" s="78" t="str">
        <f>IFERROR(VLOOKUP(A5426, Entries!A:B,2,false),"")</f>
        <v>Bethesda Softworks</v>
      </c>
      <c r="N5426" s="23" t="str">
        <f>IFERROR(VLOOKUP(A5426, Entries!A:K,11,false),"")</f>
        <v/>
      </c>
    </row>
    <row r="5427">
      <c r="A5427" s="78" t="s">
        <v>4085</v>
      </c>
      <c r="B5427" s="78" t="s">
        <v>27</v>
      </c>
      <c r="C5427" s="85">
        <v>45384.0</v>
      </c>
      <c r="D5427" s="85">
        <v>45385.0</v>
      </c>
      <c r="E5427" s="86">
        <v>6.39</v>
      </c>
      <c r="F5427" s="87">
        <v>7.3</v>
      </c>
      <c r="G5427" s="88">
        <f t="shared" si="1"/>
        <v>0.91</v>
      </c>
      <c r="H5427" s="89">
        <f t="shared" si="15"/>
        <v>0.1246575342</v>
      </c>
      <c r="I5427" s="78" t="s">
        <v>6271</v>
      </c>
      <c r="J5427" s="78" t="s">
        <v>69</v>
      </c>
      <c r="K5427" s="58">
        <f t="shared" si="14"/>
        <v>1</v>
      </c>
      <c r="L5427" s="91" t="str">
        <f t="shared" si="8"/>
        <v>Wed</v>
      </c>
      <c r="M5427" s="78" t="str">
        <f>IFERROR(VLOOKUP(A5427, Entries!A:B,2,false),"")</f>
        <v>Bethesda Softworks</v>
      </c>
      <c r="N5427" s="23" t="str">
        <f>IFERROR(VLOOKUP(A5427, Entries!A:K,11,false),"")</f>
        <v/>
      </c>
    </row>
    <row r="5428">
      <c r="A5428" s="78" t="s">
        <v>6272</v>
      </c>
      <c r="B5428" s="78" t="s">
        <v>25</v>
      </c>
      <c r="C5428" s="85">
        <v>45385.0</v>
      </c>
      <c r="D5428" s="85">
        <v>45386.0</v>
      </c>
      <c r="E5428" s="86">
        <v>0.0</v>
      </c>
      <c r="F5428" s="87">
        <v>0.56</v>
      </c>
      <c r="G5428" s="88">
        <f t="shared" si="1"/>
        <v>0.56</v>
      </c>
      <c r="H5428" s="89">
        <f t="shared" si="15"/>
        <v>1</v>
      </c>
      <c r="I5428" s="78" t="s">
        <v>6273</v>
      </c>
      <c r="J5428" s="78" t="s">
        <v>69</v>
      </c>
      <c r="K5428" s="58">
        <f t="shared" si="14"/>
        <v>1</v>
      </c>
      <c r="L5428" s="91" t="str">
        <f t="shared" si="8"/>
        <v>Thu</v>
      </c>
      <c r="M5428" s="78" t="str">
        <f>IFERROR(VLOOKUP(A5428, Entries!A:B,2,false),"")</f>
        <v/>
      </c>
      <c r="N5428" s="23" t="str">
        <f>IFERROR(VLOOKUP(A5428, Entries!A:K,11,false),"")</f>
        <v/>
      </c>
    </row>
    <row r="5429">
      <c r="A5429" s="78" t="s">
        <v>6274</v>
      </c>
      <c r="B5429" s="78" t="s">
        <v>27</v>
      </c>
      <c r="C5429" s="85">
        <v>45385.0</v>
      </c>
      <c r="D5429" s="85">
        <v>45385.0</v>
      </c>
      <c r="E5429" s="86">
        <v>7.53</v>
      </c>
      <c r="F5429" s="87">
        <v>8.98</v>
      </c>
      <c r="G5429" s="88">
        <f t="shared" si="1"/>
        <v>1.45</v>
      </c>
      <c r="H5429" s="89">
        <f t="shared" si="15"/>
        <v>0.1614699332</v>
      </c>
      <c r="I5429" s="78" t="s">
        <v>6275</v>
      </c>
      <c r="J5429" s="78" t="s">
        <v>69</v>
      </c>
      <c r="K5429" s="58">
        <f t="shared" si="14"/>
        <v>0</v>
      </c>
      <c r="L5429" s="91" t="str">
        <f t="shared" si="8"/>
        <v>Wed</v>
      </c>
      <c r="M5429" s="78" t="str">
        <f>IFERROR(VLOOKUP(A5429, Entries!A:B,2,false),"")</f>
        <v>Bethesda Softworks</v>
      </c>
      <c r="N5429" s="23" t="str">
        <f>IFERROR(VLOOKUP(A5429, Entries!A:K,11,false),"")</f>
        <v/>
      </c>
    </row>
    <row r="5430">
      <c r="A5430" s="78" t="s">
        <v>4085</v>
      </c>
      <c r="B5430" s="78" t="s">
        <v>27</v>
      </c>
      <c r="C5430" s="85">
        <v>45385.0</v>
      </c>
      <c r="D5430" s="85">
        <v>45385.0</v>
      </c>
      <c r="E5430" s="86">
        <v>6.39</v>
      </c>
      <c r="F5430" s="87">
        <v>7.3</v>
      </c>
      <c r="G5430" s="88">
        <f t="shared" si="1"/>
        <v>0.91</v>
      </c>
      <c r="H5430" s="89">
        <f t="shared" si="15"/>
        <v>0.1246575342</v>
      </c>
      <c r="I5430" s="78" t="s">
        <v>6276</v>
      </c>
      <c r="J5430" s="78" t="s">
        <v>69</v>
      </c>
      <c r="K5430" s="58">
        <f t="shared" si="14"/>
        <v>0</v>
      </c>
      <c r="L5430" s="91" t="str">
        <f t="shared" si="8"/>
        <v>Wed</v>
      </c>
      <c r="M5430" s="78" t="str">
        <f>IFERROR(VLOOKUP(A5430, Entries!A:B,2,false),"")</f>
        <v>Bethesda Softworks</v>
      </c>
      <c r="N5430" s="23" t="str">
        <f>IFERROR(VLOOKUP(A5430, Entries!A:K,11,false),"")</f>
        <v/>
      </c>
    </row>
    <row r="5431">
      <c r="A5431" s="78" t="s">
        <v>6274</v>
      </c>
      <c r="B5431" s="78" t="s">
        <v>27</v>
      </c>
      <c r="C5431" s="85">
        <v>45385.0</v>
      </c>
      <c r="D5431" s="85">
        <v>45388.0</v>
      </c>
      <c r="E5431" s="86">
        <v>7.59</v>
      </c>
      <c r="F5431" s="87">
        <v>8.42</v>
      </c>
      <c r="G5431" s="88">
        <f t="shared" si="1"/>
        <v>0.83</v>
      </c>
      <c r="H5431" s="89">
        <f t="shared" si="15"/>
        <v>0.09857482185</v>
      </c>
      <c r="I5431" s="78" t="s">
        <v>6277</v>
      </c>
      <c r="J5431" s="78" t="s">
        <v>69</v>
      </c>
      <c r="K5431" s="58">
        <f t="shared" si="14"/>
        <v>3</v>
      </c>
      <c r="L5431" s="91" t="str">
        <f t="shared" si="8"/>
        <v>Sat</v>
      </c>
      <c r="M5431" s="78" t="str">
        <f>IFERROR(VLOOKUP(A5431, Entries!A:B,2,false),"")</f>
        <v>Bethesda Softworks</v>
      </c>
      <c r="N5431" s="23" t="str">
        <f>IFERROR(VLOOKUP(A5431, Entries!A:K,11,false),"")</f>
        <v/>
      </c>
    </row>
    <row r="5432">
      <c r="A5432" s="78" t="s">
        <v>6274</v>
      </c>
      <c r="B5432" s="78" t="s">
        <v>27</v>
      </c>
      <c r="C5432" s="85">
        <v>45385.0</v>
      </c>
      <c r="D5432" s="85">
        <v>45388.0</v>
      </c>
      <c r="E5432" s="86">
        <v>7.59</v>
      </c>
      <c r="F5432" s="87">
        <v>8.42</v>
      </c>
      <c r="G5432" s="88">
        <f t="shared" si="1"/>
        <v>0.83</v>
      </c>
      <c r="H5432" s="89">
        <f t="shared" si="15"/>
        <v>0.09857482185</v>
      </c>
      <c r="I5432" s="78" t="s">
        <v>6278</v>
      </c>
      <c r="J5432" s="78" t="s">
        <v>69</v>
      </c>
      <c r="K5432" s="58">
        <f t="shared" si="14"/>
        <v>3</v>
      </c>
      <c r="L5432" s="91" t="str">
        <f t="shared" si="8"/>
        <v>Sat</v>
      </c>
      <c r="M5432" s="78" t="str">
        <f>IFERROR(VLOOKUP(A5432, Entries!A:B,2,false),"")</f>
        <v>Bethesda Softworks</v>
      </c>
      <c r="N5432" s="23" t="str">
        <f>IFERROR(VLOOKUP(A5432, Entries!A:K,11,false),"")</f>
        <v/>
      </c>
    </row>
    <row r="5433">
      <c r="A5433" s="78" t="s">
        <v>4926</v>
      </c>
      <c r="B5433" s="78" t="s">
        <v>27</v>
      </c>
      <c r="C5433" s="85">
        <v>45385.0</v>
      </c>
      <c r="D5433" s="85">
        <v>45385.0</v>
      </c>
      <c r="E5433" s="86">
        <v>7.59</v>
      </c>
      <c r="F5433" s="87">
        <v>8.46</v>
      </c>
      <c r="G5433" s="88">
        <f t="shared" si="1"/>
        <v>0.87</v>
      </c>
      <c r="H5433" s="89">
        <f t="shared" si="15"/>
        <v>0.1028368794</v>
      </c>
      <c r="I5433" s="78" t="s">
        <v>6279</v>
      </c>
      <c r="J5433" s="78" t="s">
        <v>69</v>
      </c>
      <c r="K5433" s="58">
        <f t="shared" si="14"/>
        <v>0</v>
      </c>
      <c r="L5433" s="91" t="str">
        <f t="shared" si="8"/>
        <v>Wed</v>
      </c>
      <c r="M5433" s="78" t="str">
        <f>IFERROR(VLOOKUP(A5433, Entries!A:B,2,false),"")</f>
        <v>Bethesda Softworks</v>
      </c>
      <c r="N5433" s="23" t="str">
        <f>IFERROR(VLOOKUP(A5433, Entries!A:K,11,false),"")</f>
        <v/>
      </c>
    </row>
    <row r="5434">
      <c r="A5434" s="94" t="s">
        <v>6111</v>
      </c>
      <c r="B5434" s="78" t="s">
        <v>27</v>
      </c>
      <c r="C5434" s="85">
        <v>45385.0</v>
      </c>
      <c r="D5434" s="85">
        <v>45519.0</v>
      </c>
      <c r="E5434" s="86">
        <v>3.19</v>
      </c>
      <c r="F5434" s="87">
        <v>4.36</v>
      </c>
      <c r="G5434" s="88">
        <f t="shared" si="1"/>
        <v>1.17</v>
      </c>
      <c r="H5434" s="89">
        <f t="shared" si="15"/>
        <v>0.2683486239</v>
      </c>
      <c r="I5434" s="78" t="s">
        <v>6280</v>
      </c>
      <c r="J5434" s="78" t="s">
        <v>69</v>
      </c>
      <c r="K5434" s="58">
        <f t="shared" si="14"/>
        <v>134</v>
      </c>
      <c r="L5434" s="91" t="str">
        <f t="shared" si="8"/>
        <v>Thu</v>
      </c>
      <c r="M5434" s="78" t="str">
        <f>IFERROR(VLOOKUP(A5434, Entries!A:B,2,false),"")</f>
        <v/>
      </c>
      <c r="N5434" s="23" t="str">
        <f>IFERROR(VLOOKUP(A5434, Entries!A:K,11,false),"")</f>
        <v/>
      </c>
    </row>
    <row r="5435">
      <c r="A5435" s="78" t="s">
        <v>4085</v>
      </c>
      <c r="B5435" s="78" t="s">
        <v>27</v>
      </c>
      <c r="C5435" s="85">
        <v>45385.0</v>
      </c>
      <c r="D5435" s="85">
        <v>45385.0</v>
      </c>
      <c r="E5435" s="86">
        <v>6.39</v>
      </c>
      <c r="F5435" s="87">
        <v>7.3</v>
      </c>
      <c r="G5435" s="88">
        <f t="shared" si="1"/>
        <v>0.91</v>
      </c>
      <c r="H5435" s="89">
        <f t="shared" si="15"/>
        <v>0.1246575342</v>
      </c>
      <c r="I5435" s="78" t="s">
        <v>6281</v>
      </c>
      <c r="J5435" s="78" t="s">
        <v>69</v>
      </c>
      <c r="K5435" s="58">
        <f t="shared" si="14"/>
        <v>0</v>
      </c>
      <c r="L5435" s="91" t="str">
        <f t="shared" si="8"/>
        <v>Wed</v>
      </c>
      <c r="M5435" s="78" t="str">
        <f>IFERROR(VLOOKUP(A5435, Entries!A:B,2,false),"")</f>
        <v>Bethesda Softworks</v>
      </c>
      <c r="N5435" s="23" t="str">
        <f>IFERROR(VLOOKUP(A5435, Entries!A:K,11,false),"")</f>
        <v/>
      </c>
    </row>
    <row r="5436">
      <c r="A5436" s="78" t="s">
        <v>4085</v>
      </c>
      <c r="B5436" s="78" t="s">
        <v>27</v>
      </c>
      <c r="C5436" s="85">
        <v>45385.0</v>
      </c>
      <c r="D5436" s="85">
        <v>45386.0</v>
      </c>
      <c r="E5436" s="86">
        <v>6.39</v>
      </c>
      <c r="F5436" s="87">
        <v>7.3</v>
      </c>
      <c r="G5436" s="88">
        <f t="shared" si="1"/>
        <v>0.91</v>
      </c>
      <c r="H5436" s="89">
        <f t="shared" si="15"/>
        <v>0.1246575342</v>
      </c>
      <c r="I5436" s="78" t="s">
        <v>6282</v>
      </c>
      <c r="J5436" s="78" t="s">
        <v>69</v>
      </c>
      <c r="K5436" s="58">
        <f t="shared" si="14"/>
        <v>1</v>
      </c>
      <c r="L5436" s="91" t="str">
        <f t="shared" si="8"/>
        <v>Thu</v>
      </c>
      <c r="M5436" s="78" t="str">
        <f>IFERROR(VLOOKUP(A5436, Entries!A:B,2,false),"")</f>
        <v>Bethesda Softworks</v>
      </c>
      <c r="N5436" s="23" t="str">
        <f>IFERROR(VLOOKUP(A5436, Entries!A:K,11,false),"")</f>
        <v/>
      </c>
    </row>
    <row r="5437">
      <c r="A5437" s="78" t="s">
        <v>4085</v>
      </c>
      <c r="B5437" s="78" t="s">
        <v>27</v>
      </c>
      <c r="C5437" s="85">
        <v>45385.0</v>
      </c>
      <c r="D5437" s="85">
        <v>45386.0</v>
      </c>
      <c r="E5437" s="86">
        <v>6.39</v>
      </c>
      <c r="F5437" s="87">
        <v>7.3</v>
      </c>
      <c r="G5437" s="88">
        <f t="shared" si="1"/>
        <v>0.91</v>
      </c>
      <c r="H5437" s="89">
        <f t="shared" si="15"/>
        <v>0.1246575342</v>
      </c>
      <c r="I5437" s="78" t="s">
        <v>6283</v>
      </c>
      <c r="J5437" s="78" t="s">
        <v>69</v>
      </c>
      <c r="K5437" s="58">
        <f t="shared" si="14"/>
        <v>1</v>
      </c>
      <c r="L5437" s="91" t="str">
        <f t="shared" si="8"/>
        <v>Thu</v>
      </c>
      <c r="M5437" s="78" t="str">
        <f>IFERROR(VLOOKUP(A5437, Entries!A:B,2,false),"")</f>
        <v>Bethesda Softworks</v>
      </c>
      <c r="N5437" s="23" t="str">
        <f>IFERROR(VLOOKUP(A5437, Entries!A:K,11,false),"")</f>
        <v/>
      </c>
    </row>
    <row r="5438">
      <c r="A5438" s="78" t="s">
        <v>4926</v>
      </c>
      <c r="B5438" s="78" t="s">
        <v>27</v>
      </c>
      <c r="C5438" s="85">
        <v>45385.0</v>
      </c>
      <c r="D5438" s="85">
        <v>45385.0</v>
      </c>
      <c r="E5438" s="86">
        <v>7.53</v>
      </c>
      <c r="F5438" s="87">
        <v>9.72</v>
      </c>
      <c r="G5438" s="88">
        <f t="shared" si="1"/>
        <v>2.19</v>
      </c>
      <c r="H5438" s="89">
        <f t="shared" si="15"/>
        <v>0.225308642</v>
      </c>
      <c r="I5438" s="78" t="s">
        <v>6284</v>
      </c>
      <c r="J5438" s="78" t="s">
        <v>69</v>
      </c>
      <c r="K5438" s="58">
        <f t="shared" si="14"/>
        <v>0</v>
      </c>
      <c r="L5438" s="91" t="str">
        <f t="shared" si="8"/>
        <v>Wed</v>
      </c>
      <c r="M5438" s="78" t="str">
        <f>IFERROR(VLOOKUP(A5438, Entries!A:B,2,false),"")</f>
        <v>Bethesda Softworks</v>
      </c>
      <c r="N5438" s="23" t="str">
        <f>IFERROR(VLOOKUP(A5438, Entries!A:K,11,false),"")</f>
        <v/>
      </c>
    </row>
    <row r="5439">
      <c r="A5439" s="78" t="s">
        <v>4926</v>
      </c>
      <c r="B5439" s="78" t="s">
        <v>27</v>
      </c>
      <c r="C5439" s="85">
        <v>45385.0</v>
      </c>
      <c r="D5439" s="85">
        <v>45386.0</v>
      </c>
      <c r="E5439" s="86">
        <v>7.59</v>
      </c>
      <c r="F5439" s="87">
        <v>9.72</v>
      </c>
      <c r="G5439" s="88">
        <f t="shared" si="1"/>
        <v>2.13</v>
      </c>
      <c r="H5439" s="89">
        <f t="shared" si="15"/>
        <v>0.2191358025</v>
      </c>
      <c r="I5439" s="78" t="s">
        <v>6285</v>
      </c>
      <c r="J5439" s="78" t="s">
        <v>69</v>
      </c>
      <c r="K5439" s="58">
        <f t="shared" si="14"/>
        <v>1</v>
      </c>
      <c r="L5439" s="91" t="str">
        <f t="shared" si="8"/>
        <v>Thu</v>
      </c>
      <c r="M5439" s="78" t="str">
        <f>IFERROR(VLOOKUP(A5439, Entries!A:B,2,false),"")</f>
        <v>Bethesda Softworks</v>
      </c>
      <c r="N5439" s="23" t="str">
        <f>IFERROR(VLOOKUP(A5439, Entries!A:K,11,false),"")</f>
        <v/>
      </c>
    </row>
    <row r="5440">
      <c r="A5440" s="78" t="s">
        <v>4085</v>
      </c>
      <c r="B5440" s="78" t="s">
        <v>27</v>
      </c>
      <c r="C5440" s="85">
        <v>45385.0</v>
      </c>
      <c r="D5440" s="85">
        <v>45386.0</v>
      </c>
      <c r="E5440" s="86">
        <v>6.39</v>
      </c>
      <c r="F5440" s="87">
        <v>7.3</v>
      </c>
      <c r="G5440" s="88">
        <f t="shared" si="1"/>
        <v>0.91</v>
      </c>
      <c r="H5440" s="89">
        <f t="shared" si="15"/>
        <v>0.1246575342</v>
      </c>
      <c r="I5440" s="78" t="s">
        <v>6286</v>
      </c>
      <c r="J5440" s="78" t="s">
        <v>69</v>
      </c>
      <c r="K5440" s="58">
        <f t="shared" si="14"/>
        <v>1</v>
      </c>
      <c r="L5440" s="91" t="str">
        <f t="shared" si="8"/>
        <v>Thu</v>
      </c>
      <c r="M5440" s="78" t="str">
        <f>IFERROR(VLOOKUP(A5440, Entries!A:B,2,false),"")</f>
        <v>Bethesda Softworks</v>
      </c>
      <c r="N5440" s="23" t="str">
        <f>IFERROR(VLOOKUP(A5440, Entries!A:K,11,false),"")</f>
        <v/>
      </c>
    </row>
    <row r="5441">
      <c r="A5441" s="78" t="s">
        <v>4085</v>
      </c>
      <c r="B5441" s="78" t="s">
        <v>27</v>
      </c>
      <c r="C5441" s="85">
        <v>45385.0</v>
      </c>
      <c r="D5441" s="85">
        <v>45387.0</v>
      </c>
      <c r="E5441" s="86">
        <v>6.39</v>
      </c>
      <c r="F5441" s="87">
        <v>7.3</v>
      </c>
      <c r="G5441" s="88">
        <f t="shared" si="1"/>
        <v>0.91</v>
      </c>
      <c r="H5441" s="89">
        <f t="shared" si="15"/>
        <v>0.1246575342</v>
      </c>
      <c r="I5441" s="78" t="s">
        <v>6287</v>
      </c>
      <c r="J5441" s="78" t="s">
        <v>69</v>
      </c>
      <c r="K5441" s="58">
        <f t="shared" si="14"/>
        <v>2</v>
      </c>
      <c r="L5441" s="91" t="str">
        <f t="shared" si="8"/>
        <v>Fri</v>
      </c>
      <c r="M5441" s="78" t="str">
        <f>IFERROR(VLOOKUP(A5441, Entries!A:B,2,false),"")</f>
        <v>Bethesda Softworks</v>
      </c>
      <c r="N5441" s="23" t="str">
        <f>IFERROR(VLOOKUP(A5441, Entries!A:K,11,false),"")</f>
        <v/>
      </c>
    </row>
    <row r="5442">
      <c r="A5442" s="78" t="s">
        <v>4085</v>
      </c>
      <c r="B5442" s="78" t="s">
        <v>27</v>
      </c>
      <c r="C5442" s="85">
        <v>45385.0</v>
      </c>
      <c r="D5442" s="85">
        <v>45387.0</v>
      </c>
      <c r="E5442" s="86">
        <v>6.39</v>
      </c>
      <c r="F5442" s="87">
        <v>7.3</v>
      </c>
      <c r="G5442" s="88">
        <f t="shared" si="1"/>
        <v>0.91</v>
      </c>
      <c r="H5442" s="89">
        <f t="shared" si="15"/>
        <v>0.1246575342</v>
      </c>
      <c r="I5442" s="78" t="s">
        <v>6288</v>
      </c>
      <c r="J5442" s="78" t="s">
        <v>69</v>
      </c>
      <c r="K5442" s="58">
        <f t="shared" si="14"/>
        <v>2</v>
      </c>
      <c r="L5442" s="91" t="str">
        <f t="shared" si="8"/>
        <v>Fri</v>
      </c>
      <c r="M5442" s="78" t="str">
        <f>IFERROR(VLOOKUP(A5442, Entries!A:B,2,false),"")</f>
        <v>Bethesda Softworks</v>
      </c>
      <c r="N5442" s="23" t="str">
        <f>IFERROR(VLOOKUP(A5442, Entries!A:K,11,false),"")</f>
        <v/>
      </c>
    </row>
    <row r="5443">
      <c r="A5443" s="78" t="s">
        <v>4926</v>
      </c>
      <c r="B5443" s="78" t="s">
        <v>27</v>
      </c>
      <c r="C5443" s="85">
        <v>45386.0</v>
      </c>
      <c r="D5443" s="85">
        <v>45386.0</v>
      </c>
      <c r="E5443" s="86">
        <v>7.56</v>
      </c>
      <c r="F5443" s="87">
        <v>9.72</v>
      </c>
      <c r="G5443" s="88">
        <f t="shared" si="1"/>
        <v>2.16</v>
      </c>
      <c r="H5443" s="89">
        <f t="shared" si="15"/>
        <v>0.2222222222</v>
      </c>
      <c r="I5443" s="78" t="s">
        <v>6289</v>
      </c>
      <c r="J5443" s="78" t="s">
        <v>69</v>
      </c>
      <c r="K5443" s="58">
        <f t="shared" si="14"/>
        <v>0</v>
      </c>
      <c r="L5443" s="91" t="str">
        <f t="shared" si="8"/>
        <v>Thu</v>
      </c>
      <c r="M5443" s="78" t="str">
        <f>IFERROR(VLOOKUP(A5443, Entries!A:B,2,false),"")</f>
        <v>Bethesda Softworks</v>
      </c>
      <c r="N5443" s="23" t="str">
        <f>IFERROR(VLOOKUP(A5443, Entries!A:K,11,false),"")</f>
        <v/>
      </c>
    </row>
    <row r="5444">
      <c r="A5444" s="78" t="s">
        <v>4926</v>
      </c>
      <c r="B5444" s="78" t="s">
        <v>27</v>
      </c>
      <c r="C5444" s="85">
        <v>45386.0</v>
      </c>
      <c r="D5444" s="85">
        <v>45388.0</v>
      </c>
      <c r="E5444" s="86">
        <v>7.56</v>
      </c>
      <c r="F5444" s="87">
        <v>9.04</v>
      </c>
      <c r="G5444" s="88">
        <f t="shared" si="1"/>
        <v>1.48</v>
      </c>
      <c r="H5444" s="89">
        <f t="shared" si="15"/>
        <v>0.1637168142</v>
      </c>
      <c r="I5444" s="78" t="s">
        <v>6290</v>
      </c>
      <c r="J5444" s="78" t="s">
        <v>69</v>
      </c>
      <c r="K5444" s="58">
        <f t="shared" si="14"/>
        <v>2</v>
      </c>
      <c r="L5444" s="91" t="str">
        <f t="shared" si="8"/>
        <v>Sat</v>
      </c>
      <c r="M5444" s="78" t="str">
        <f>IFERROR(VLOOKUP(A5444, Entries!A:B,2,false),"")</f>
        <v>Bethesda Softworks</v>
      </c>
      <c r="N5444" s="23" t="str">
        <f>IFERROR(VLOOKUP(A5444, Entries!A:K,11,false),"")</f>
        <v/>
      </c>
    </row>
    <row r="5445">
      <c r="A5445" s="78" t="s">
        <v>4926</v>
      </c>
      <c r="B5445" s="78" t="s">
        <v>27</v>
      </c>
      <c r="C5445" s="85">
        <v>45386.0</v>
      </c>
      <c r="D5445" s="85">
        <v>45388.0</v>
      </c>
      <c r="E5445" s="86">
        <v>7.53</v>
      </c>
      <c r="F5445" s="87">
        <v>9.04</v>
      </c>
      <c r="G5445" s="88">
        <f t="shared" si="1"/>
        <v>1.51</v>
      </c>
      <c r="H5445" s="89">
        <f t="shared" si="15"/>
        <v>0.1670353982</v>
      </c>
      <c r="I5445" s="78" t="s">
        <v>6291</v>
      </c>
      <c r="J5445" s="78" t="s">
        <v>69</v>
      </c>
      <c r="K5445" s="58">
        <f t="shared" si="14"/>
        <v>2</v>
      </c>
      <c r="L5445" s="91" t="str">
        <f t="shared" si="8"/>
        <v>Sat</v>
      </c>
      <c r="M5445" s="78" t="str">
        <f>IFERROR(VLOOKUP(A5445, Entries!A:B,2,false),"")</f>
        <v>Bethesda Softworks</v>
      </c>
      <c r="N5445" s="23" t="str">
        <f>IFERROR(VLOOKUP(A5445, Entries!A:K,11,false),"")</f>
        <v/>
      </c>
    </row>
    <row r="5446">
      <c r="A5446" s="78" t="s">
        <v>163</v>
      </c>
      <c r="B5446" s="78" t="s">
        <v>22</v>
      </c>
      <c r="C5446" s="85">
        <v>45386.0</v>
      </c>
      <c r="D5446" s="85">
        <v>45387.0</v>
      </c>
      <c r="E5446" s="86">
        <v>2.32</v>
      </c>
      <c r="F5446" s="87">
        <v>2.78</v>
      </c>
      <c r="G5446" s="88">
        <f t="shared" si="1"/>
        <v>0.46</v>
      </c>
      <c r="H5446" s="89">
        <f t="shared" si="15"/>
        <v>0.1654676259</v>
      </c>
      <c r="I5446" s="78" t="s">
        <v>6292</v>
      </c>
      <c r="J5446" s="78" t="s">
        <v>69</v>
      </c>
      <c r="K5446" s="58">
        <f t="shared" si="14"/>
        <v>1</v>
      </c>
      <c r="L5446" s="91" t="str">
        <f t="shared" si="8"/>
        <v>Fri</v>
      </c>
      <c r="M5446" s="78" t="str">
        <f>IFERROR(VLOOKUP(A5446, Entries!A:B,2,false),"")</f>
        <v>Square Enix</v>
      </c>
      <c r="N5446" s="23" t="str">
        <f>IFERROR(VLOOKUP(A5446, Entries!A:K,11,false),"")</f>
        <v/>
      </c>
    </row>
    <row r="5447">
      <c r="A5447" s="78" t="s">
        <v>163</v>
      </c>
      <c r="B5447" s="78" t="s">
        <v>22</v>
      </c>
      <c r="C5447" s="85">
        <v>45386.0</v>
      </c>
      <c r="D5447" s="85">
        <v>45388.0</v>
      </c>
      <c r="E5447" s="86">
        <v>2.33</v>
      </c>
      <c r="F5447" s="87">
        <v>2.78</v>
      </c>
      <c r="G5447" s="88">
        <f t="shared" si="1"/>
        <v>0.45</v>
      </c>
      <c r="H5447" s="89">
        <f t="shared" si="15"/>
        <v>0.1618705036</v>
      </c>
      <c r="I5447" s="78" t="s">
        <v>6293</v>
      </c>
      <c r="J5447" s="78" t="s">
        <v>69</v>
      </c>
      <c r="K5447" s="58">
        <f t="shared" si="14"/>
        <v>2</v>
      </c>
      <c r="L5447" s="91" t="str">
        <f t="shared" si="8"/>
        <v>Sat</v>
      </c>
      <c r="M5447" s="78" t="str">
        <f>IFERROR(VLOOKUP(A5447, Entries!A:B,2,false),"")</f>
        <v>Square Enix</v>
      </c>
      <c r="N5447" s="23" t="str">
        <f>IFERROR(VLOOKUP(A5447, Entries!A:K,11,false),"")</f>
        <v/>
      </c>
    </row>
    <row r="5448">
      <c r="A5448" s="94" t="s">
        <v>6294</v>
      </c>
      <c r="B5448" s="78" t="s">
        <v>21</v>
      </c>
      <c r="C5448" s="85">
        <v>45386.0</v>
      </c>
      <c r="D5448" s="85">
        <v>45467.0</v>
      </c>
      <c r="E5448" s="86">
        <v>16.6</v>
      </c>
      <c r="F5448" s="87">
        <v>17.86</v>
      </c>
      <c r="G5448" s="88">
        <f t="shared" si="1"/>
        <v>1.26</v>
      </c>
      <c r="H5448" s="89">
        <f t="shared" si="15"/>
        <v>0.07054871221</v>
      </c>
      <c r="I5448" s="78" t="s">
        <v>6295</v>
      </c>
      <c r="J5448" s="78" t="s">
        <v>69</v>
      </c>
      <c r="K5448" s="58">
        <f t="shared" si="14"/>
        <v>81</v>
      </c>
      <c r="L5448" s="91" t="str">
        <f t="shared" si="8"/>
        <v>Mon</v>
      </c>
      <c r="M5448" s="78" t="str">
        <f>IFERROR(VLOOKUP(A5448, Entries!A:B,2,false),"")</f>
        <v/>
      </c>
      <c r="N5448" s="23" t="str">
        <f>IFERROR(VLOOKUP(A5448, Entries!A:K,11,false),"")</f>
        <v/>
      </c>
    </row>
    <row r="5449">
      <c r="A5449" s="78" t="s">
        <v>4085</v>
      </c>
      <c r="B5449" s="78" t="s">
        <v>27</v>
      </c>
      <c r="C5449" s="85">
        <v>45387.0</v>
      </c>
      <c r="D5449" s="85">
        <v>45387.0</v>
      </c>
      <c r="E5449" s="86">
        <v>6.39</v>
      </c>
      <c r="F5449" s="87">
        <v>7.3</v>
      </c>
      <c r="G5449" s="88">
        <f t="shared" si="1"/>
        <v>0.91</v>
      </c>
      <c r="H5449" s="89">
        <f t="shared" si="15"/>
        <v>0.1246575342</v>
      </c>
      <c r="I5449" s="78" t="s">
        <v>6296</v>
      </c>
      <c r="J5449" s="78" t="s">
        <v>69</v>
      </c>
      <c r="K5449" s="58">
        <f t="shared" si="14"/>
        <v>0</v>
      </c>
      <c r="L5449" s="91" t="str">
        <f t="shared" si="8"/>
        <v>Fri</v>
      </c>
      <c r="M5449" s="78" t="str">
        <f>IFERROR(VLOOKUP(A5449, Entries!A:B,2,false),"")</f>
        <v>Bethesda Softworks</v>
      </c>
      <c r="N5449" s="23" t="str">
        <f>IFERROR(VLOOKUP(A5449, Entries!A:K,11,false),"")</f>
        <v/>
      </c>
    </row>
    <row r="5450">
      <c r="A5450" s="78" t="s">
        <v>4085</v>
      </c>
      <c r="B5450" s="78" t="s">
        <v>27</v>
      </c>
      <c r="C5450" s="85">
        <v>45387.0</v>
      </c>
      <c r="D5450" s="85">
        <v>45387.0</v>
      </c>
      <c r="E5450" s="86">
        <v>6.39</v>
      </c>
      <c r="F5450" s="87">
        <v>7.3</v>
      </c>
      <c r="G5450" s="88">
        <f t="shared" si="1"/>
        <v>0.91</v>
      </c>
      <c r="H5450" s="89">
        <f t="shared" si="15"/>
        <v>0.1246575342</v>
      </c>
      <c r="I5450" s="78" t="s">
        <v>6297</v>
      </c>
      <c r="J5450" s="78" t="s">
        <v>69</v>
      </c>
      <c r="K5450" s="58">
        <f t="shared" si="14"/>
        <v>0</v>
      </c>
      <c r="L5450" s="91" t="str">
        <f t="shared" si="8"/>
        <v>Fri</v>
      </c>
      <c r="M5450" s="78" t="str">
        <f>IFERROR(VLOOKUP(A5450, Entries!A:B,2,false),"")</f>
        <v>Bethesda Softworks</v>
      </c>
      <c r="N5450" s="23" t="str">
        <f>IFERROR(VLOOKUP(A5450, Entries!A:K,11,false),"")</f>
        <v/>
      </c>
    </row>
    <row r="5451">
      <c r="A5451" s="78" t="s">
        <v>5161</v>
      </c>
      <c r="B5451" s="78" t="s">
        <v>22</v>
      </c>
      <c r="C5451" s="85">
        <v>45387.0</v>
      </c>
      <c r="D5451" s="85">
        <v>45390.0</v>
      </c>
      <c r="E5451" s="86">
        <v>2.02</v>
      </c>
      <c r="F5451" s="87">
        <v>3.14</v>
      </c>
      <c r="G5451" s="88">
        <f t="shared" si="1"/>
        <v>1.12</v>
      </c>
      <c r="H5451" s="89">
        <f t="shared" si="15"/>
        <v>0.3566878981</v>
      </c>
      <c r="I5451" s="78" t="s">
        <v>6298</v>
      </c>
      <c r="J5451" s="78" t="s">
        <v>69</v>
      </c>
      <c r="K5451" s="58">
        <f t="shared" si="14"/>
        <v>3</v>
      </c>
      <c r="L5451" s="91" t="str">
        <f t="shared" si="8"/>
        <v>Mon</v>
      </c>
      <c r="M5451" s="78" t="str">
        <f>IFERROR(VLOOKUP(A5451, Entries!A:B,2,false),"")</f>
        <v>Daedalic Entertainment</v>
      </c>
      <c r="N5451" s="23" t="str">
        <f>IFERROR(VLOOKUP(A5451, Entries!A:K,11,false),"")</f>
        <v/>
      </c>
    </row>
    <row r="5452">
      <c r="A5452" s="78" t="s">
        <v>5161</v>
      </c>
      <c r="B5452" s="78" t="s">
        <v>22</v>
      </c>
      <c r="C5452" s="85">
        <v>45387.0</v>
      </c>
      <c r="D5452" s="85">
        <v>45390.0</v>
      </c>
      <c r="E5452" s="86">
        <v>2.02</v>
      </c>
      <c r="F5452" s="87">
        <v>3.14</v>
      </c>
      <c r="G5452" s="88">
        <f t="shared" si="1"/>
        <v>1.12</v>
      </c>
      <c r="H5452" s="89">
        <f t="shared" si="15"/>
        <v>0.3566878981</v>
      </c>
      <c r="I5452" s="78" t="s">
        <v>6299</v>
      </c>
      <c r="J5452" s="78" t="s">
        <v>69</v>
      </c>
      <c r="K5452" s="58">
        <f t="shared" si="14"/>
        <v>3</v>
      </c>
      <c r="L5452" s="91" t="str">
        <f t="shared" si="8"/>
        <v>Mon</v>
      </c>
      <c r="M5452" s="78" t="str">
        <f>IFERROR(VLOOKUP(A5452, Entries!A:B,2,false),"")</f>
        <v>Daedalic Entertainment</v>
      </c>
      <c r="N5452" s="23" t="str">
        <f>IFERROR(VLOOKUP(A5452, Entries!A:K,11,false),"")</f>
        <v/>
      </c>
    </row>
    <row r="5453">
      <c r="A5453" s="78" t="s">
        <v>4928</v>
      </c>
      <c r="B5453" s="78" t="s">
        <v>19</v>
      </c>
      <c r="C5453" s="85">
        <v>45387.0</v>
      </c>
      <c r="D5453" s="85">
        <v>45387.0</v>
      </c>
      <c r="E5453" s="86">
        <v>28.21</v>
      </c>
      <c r="F5453" s="87">
        <v>34.81</v>
      </c>
      <c r="G5453" s="88">
        <f t="shared" si="1"/>
        <v>6.6</v>
      </c>
      <c r="H5453" s="89">
        <f t="shared" si="15"/>
        <v>0.1896006895</v>
      </c>
      <c r="J5453" s="78" t="s">
        <v>69</v>
      </c>
      <c r="K5453" s="58">
        <f t="shared" si="14"/>
        <v>0</v>
      </c>
      <c r="L5453" s="91" t="str">
        <f t="shared" si="8"/>
        <v>Fri</v>
      </c>
      <c r="M5453" s="78" t="str">
        <f>IFERROR(VLOOKUP(A5453, Entries!A:B,2,false),"")</f>
        <v>Eleventh Hour Games</v>
      </c>
      <c r="N5453" s="23" t="str">
        <f>IFERROR(VLOOKUP(A5453, Entries!A:K,11,false),"")</f>
        <v/>
      </c>
    </row>
    <row r="5454">
      <c r="A5454" s="78" t="s">
        <v>4928</v>
      </c>
      <c r="B5454" s="78" t="s">
        <v>19</v>
      </c>
      <c r="C5454" s="85">
        <v>45387.0</v>
      </c>
      <c r="D5454" s="85">
        <v>45389.0</v>
      </c>
      <c r="E5454" s="86">
        <v>28.21</v>
      </c>
      <c r="F5454" s="87">
        <v>34.81</v>
      </c>
      <c r="G5454" s="88">
        <f t="shared" si="1"/>
        <v>6.6</v>
      </c>
      <c r="H5454" s="89">
        <f t="shared" si="15"/>
        <v>0.1896006895</v>
      </c>
      <c r="I5454" s="78" t="s">
        <v>6300</v>
      </c>
      <c r="J5454" s="78" t="s">
        <v>69</v>
      </c>
      <c r="K5454" s="58">
        <f t="shared" si="14"/>
        <v>2</v>
      </c>
      <c r="L5454" s="91" t="str">
        <f t="shared" si="8"/>
        <v>Sun</v>
      </c>
      <c r="M5454" s="78" t="str">
        <f>IFERROR(VLOOKUP(A5454, Entries!A:B,2,false),"")</f>
        <v>Eleventh Hour Games</v>
      </c>
      <c r="N5454" s="23" t="str">
        <f>IFERROR(VLOOKUP(A5454, Entries!A:K,11,false),"")</f>
        <v/>
      </c>
    </row>
    <row r="5455">
      <c r="A5455" s="78" t="s">
        <v>4085</v>
      </c>
      <c r="B5455" s="78" t="s">
        <v>27</v>
      </c>
      <c r="C5455" s="85">
        <v>45387.0</v>
      </c>
      <c r="D5455" s="85">
        <v>45388.0</v>
      </c>
      <c r="E5455" s="86">
        <v>6.36</v>
      </c>
      <c r="F5455" s="87">
        <v>7.3</v>
      </c>
      <c r="G5455" s="88">
        <f t="shared" si="1"/>
        <v>0.94</v>
      </c>
      <c r="H5455" s="89">
        <f t="shared" si="15"/>
        <v>0.1287671233</v>
      </c>
      <c r="I5455" s="78" t="s">
        <v>6301</v>
      </c>
      <c r="J5455" s="78" t="s">
        <v>69</v>
      </c>
      <c r="K5455" s="58">
        <f t="shared" si="14"/>
        <v>1</v>
      </c>
      <c r="L5455" s="91" t="str">
        <f t="shared" si="8"/>
        <v>Sat</v>
      </c>
      <c r="M5455" s="78" t="str">
        <f>IFERROR(VLOOKUP(A5455, Entries!A:B,2,false),"")</f>
        <v>Bethesda Softworks</v>
      </c>
      <c r="N5455" s="23" t="str">
        <f>IFERROR(VLOOKUP(A5455, Entries!A:K,11,false),"")</f>
        <v/>
      </c>
    </row>
    <row r="5456">
      <c r="A5456" s="78" t="s">
        <v>4085</v>
      </c>
      <c r="B5456" s="78" t="s">
        <v>27</v>
      </c>
      <c r="C5456" s="85">
        <v>45387.0</v>
      </c>
      <c r="D5456" s="85">
        <v>45388.0</v>
      </c>
      <c r="E5456" s="86">
        <v>6.36</v>
      </c>
      <c r="F5456" s="87">
        <v>7.3</v>
      </c>
      <c r="G5456" s="88">
        <f t="shared" si="1"/>
        <v>0.94</v>
      </c>
      <c r="H5456" s="89">
        <f t="shared" si="15"/>
        <v>0.1287671233</v>
      </c>
      <c r="I5456" s="78" t="s">
        <v>6302</v>
      </c>
      <c r="J5456" s="78" t="s">
        <v>69</v>
      </c>
      <c r="K5456" s="58">
        <f t="shared" si="14"/>
        <v>1</v>
      </c>
      <c r="L5456" s="91" t="str">
        <f t="shared" si="8"/>
        <v>Sat</v>
      </c>
      <c r="M5456" s="78" t="str">
        <f>IFERROR(VLOOKUP(A5456, Entries!A:B,2,false),"")</f>
        <v>Bethesda Softworks</v>
      </c>
      <c r="N5456" s="23" t="str">
        <f>IFERROR(VLOOKUP(A5456, Entries!A:K,11,false),"")</f>
        <v/>
      </c>
    </row>
    <row r="5457">
      <c r="A5457" s="78" t="s">
        <v>4085</v>
      </c>
      <c r="B5457" s="78" t="s">
        <v>27</v>
      </c>
      <c r="C5457" s="85">
        <v>45388.0</v>
      </c>
      <c r="D5457" s="85">
        <v>45389.0</v>
      </c>
      <c r="E5457" s="86">
        <v>6.36</v>
      </c>
      <c r="F5457" s="87">
        <v>7.3</v>
      </c>
      <c r="G5457" s="88">
        <f t="shared" si="1"/>
        <v>0.94</v>
      </c>
      <c r="H5457" s="89">
        <f t="shared" si="15"/>
        <v>0.1287671233</v>
      </c>
      <c r="I5457" s="78" t="s">
        <v>6303</v>
      </c>
      <c r="J5457" s="78" t="s">
        <v>69</v>
      </c>
      <c r="K5457" s="58">
        <f t="shared" si="14"/>
        <v>1</v>
      </c>
      <c r="L5457" s="91" t="str">
        <f t="shared" si="8"/>
        <v>Sun</v>
      </c>
      <c r="M5457" s="78" t="str">
        <f>IFERROR(VLOOKUP(A5457, Entries!A:B,2,false),"")</f>
        <v>Bethesda Softworks</v>
      </c>
      <c r="N5457" s="23" t="str">
        <f>IFERROR(VLOOKUP(A5457, Entries!A:K,11,false),"")</f>
        <v/>
      </c>
    </row>
    <row r="5458">
      <c r="A5458" s="78" t="s">
        <v>4085</v>
      </c>
      <c r="B5458" s="78" t="s">
        <v>27</v>
      </c>
      <c r="C5458" s="85">
        <v>45388.0</v>
      </c>
      <c r="D5458" s="85">
        <v>45389.0</v>
      </c>
      <c r="E5458" s="86">
        <v>6.36</v>
      </c>
      <c r="F5458" s="87">
        <v>7.3</v>
      </c>
      <c r="G5458" s="88">
        <f t="shared" si="1"/>
        <v>0.94</v>
      </c>
      <c r="H5458" s="89">
        <f t="shared" si="15"/>
        <v>0.1287671233</v>
      </c>
      <c r="I5458" s="78" t="s">
        <v>6304</v>
      </c>
      <c r="J5458" s="78" t="s">
        <v>69</v>
      </c>
      <c r="K5458" s="58">
        <f t="shared" si="14"/>
        <v>1</v>
      </c>
      <c r="L5458" s="91" t="str">
        <f t="shared" si="8"/>
        <v>Sun</v>
      </c>
      <c r="M5458" s="78" t="str">
        <f>IFERROR(VLOOKUP(A5458, Entries!A:B,2,false),"")</f>
        <v>Bethesda Softworks</v>
      </c>
      <c r="N5458" s="23" t="str">
        <f>IFERROR(VLOOKUP(A5458, Entries!A:K,11,false),"")</f>
        <v/>
      </c>
    </row>
    <row r="5459">
      <c r="A5459" s="78" t="s">
        <v>6274</v>
      </c>
      <c r="B5459" s="78" t="s">
        <v>27</v>
      </c>
      <c r="C5459" s="85">
        <v>45388.0</v>
      </c>
      <c r="D5459" s="85">
        <v>45388.0</v>
      </c>
      <c r="E5459" s="86">
        <v>7.59</v>
      </c>
      <c r="F5459" s="87">
        <v>8.65</v>
      </c>
      <c r="G5459" s="88">
        <f t="shared" si="1"/>
        <v>1.06</v>
      </c>
      <c r="H5459" s="89">
        <f t="shared" si="15"/>
        <v>0.1225433526</v>
      </c>
      <c r="I5459" s="78" t="s">
        <v>6305</v>
      </c>
      <c r="J5459" s="78" t="s">
        <v>69</v>
      </c>
      <c r="K5459" s="58">
        <f t="shared" si="14"/>
        <v>0</v>
      </c>
      <c r="L5459" s="91" t="str">
        <f t="shared" si="8"/>
        <v>Sat</v>
      </c>
      <c r="M5459" s="78" t="str">
        <f>IFERROR(VLOOKUP(A5459, Entries!A:B,2,false),"")</f>
        <v>Bethesda Softworks</v>
      </c>
      <c r="N5459" s="23" t="str">
        <f>IFERROR(VLOOKUP(A5459, Entries!A:K,11,false),"")</f>
        <v/>
      </c>
    </row>
    <row r="5460">
      <c r="A5460" s="78" t="s">
        <v>6274</v>
      </c>
      <c r="B5460" s="78" t="s">
        <v>27</v>
      </c>
      <c r="C5460" s="85">
        <v>45388.0</v>
      </c>
      <c r="D5460" s="85">
        <v>45388.0</v>
      </c>
      <c r="E5460" s="86">
        <v>7.59</v>
      </c>
      <c r="F5460" s="87">
        <v>8.69</v>
      </c>
      <c r="G5460" s="88">
        <f t="shared" si="1"/>
        <v>1.1</v>
      </c>
      <c r="H5460" s="89">
        <f t="shared" si="15"/>
        <v>0.1265822785</v>
      </c>
      <c r="I5460" s="78" t="s">
        <v>6306</v>
      </c>
      <c r="J5460" s="78" t="s">
        <v>69</v>
      </c>
      <c r="K5460" s="58">
        <f t="shared" si="14"/>
        <v>0</v>
      </c>
      <c r="L5460" s="91" t="str">
        <f t="shared" si="8"/>
        <v>Sat</v>
      </c>
      <c r="M5460" s="78" t="str">
        <f>IFERROR(VLOOKUP(A5460, Entries!A:B,2,false),"")</f>
        <v>Bethesda Softworks</v>
      </c>
      <c r="N5460" s="23" t="str">
        <f>IFERROR(VLOOKUP(A5460, Entries!A:K,11,false),"")</f>
        <v/>
      </c>
    </row>
    <row r="5461">
      <c r="A5461" s="78" t="s">
        <v>4926</v>
      </c>
      <c r="B5461" s="78" t="s">
        <v>27</v>
      </c>
      <c r="C5461" s="85">
        <v>45388.0</v>
      </c>
      <c r="D5461" s="85">
        <v>45388.0</v>
      </c>
      <c r="E5461" s="86">
        <v>7.59</v>
      </c>
      <c r="F5461" s="87">
        <v>9.68</v>
      </c>
      <c r="G5461" s="88">
        <f t="shared" si="1"/>
        <v>2.09</v>
      </c>
      <c r="H5461" s="89">
        <f t="shared" si="15"/>
        <v>0.2159090909</v>
      </c>
      <c r="I5461" s="78" t="s">
        <v>6307</v>
      </c>
      <c r="J5461" s="78" t="s">
        <v>69</v>
      </c>
      <c r="K5461" s="58">
        <f t="shared" si="14"/>
        <v>0</v>
      </c>
      <c r="L5461" s="91" t="str">
        <f t="shared" si="8"/>
        <v>Sat</v>
      </c>
      <c r="M5461" s="78" t="str">
        <f>IFERROR(VLOOKUP(A5461, Entries!A:B,2,false),"")</f>
        <v>Bethesda Softworks</v>
      </c>
      <c r="N5461" s="23" t="str">
        <f>IFERROR(VLOOKUP(A5461, Entries!A:K,11,false),"")</f>
        <v/>
      </c>
    </row>
    <row r="5462">
      <c r="A5462" s="78" t="s">
        <v>4926</v>
      </c>
      <c r="B5462" s="78" t="s">
        <v>27</v>
      </c>
      <c r="C5462" s="85">
        <v>45388.0</v>
      </c>
      <c r="D5462" s="85">
        <v>45389.0</v>
      </c>
      <c r="E5462" s="86">
        <v>7.59</v>
      </c>
      <c r="F5462" s="87">
        <v>9.5</v>
      </c>
      <c r="G5462" s="88">
        <f t="shared" si="1"/>
        <v>1.91</v>
      </c>
      <c r="H5462" s="89">
        <f t="shared" si="15"/>
        <v>0.2010526316</v>
      </c>
      <c r="I5462" s="78" t="s">
        <v>6308</v>
      </c>
      <c r="J5462" s="78" t="s">
        <v>69</v>
      </c>
      <c r="K5462" s="58">
        <f t="shared" si="14"/>
        <v>1</v>
      </c>
      <c r="L5462" s="91" t="str">
        <f t="shared" si="8"/>
        <v>Sun</v>
      </c>
      <c r="M5462" s="78" t="str">
        <f>IFERROR(VLOOKUP(A5462, Entries!A:B,2,false),"")</f>
        <v>Bethesda Softworks</v>
      </c>
      <c r="N5462" s="23" t="str">
        <f>IFERROR(VLOOKUP(A5462, Entries!A:K,11,false),"")</f>
        <v/>
      </c>
    </row>
    <row r="5463">
      <c r="A5463" s="78" t="s">
        <v>6274</v>
      </c>
      <c r="B5463" s="78" t="s">
        <v>27</v>
      </c>
      <c r="C5463" s="85">
        <v>45388.0</v>
      </c>
      <c r="D5463" s="85">
        <v>45388.0</v>
      </c>
      <c r="E5463" s="86">
        <v>7.59</v>
      </c>
      <c r="F5463" s="87">
        <v>8.69</v>
      </c>
      <c r="G5463" s="88">
        <f t="shared" si="1"/>
        <v>1.1</v>
      </c>
      <c r="H5463" s="89">
        <f t="shared" si="15"/>
        <v>0.1265822785</v>
      </c>
      <c r="I5463" s="78" t="s">
        <v>6309</v>
      </c>
      <c r="J5463" s="78" t="s">
        <v>69</v>
      </c>
      <c r="K5463" s="58">
        <f t="shared" si="14"/>
        <v>0</v>
      </c>
      <c r="L5463" s="91" t="str">
        <f t="shared" si="8"/>
        <v>Sat</v>
      </c>
      <c r="M5463" s="78" t="str">
        <f>IFERROR(VLOOKUP(A5463, Entries!A:B,2,false),"")</f>
        <v>Bethesda Softworks</v>
      </c>
      <c r="N5463" s="23" t="str">
        <f>IFERROR(VLOOKUP(A5463, Entries!A:K,11,false),"")</f>
        <v/>
      </c>
    </row>
    <row r="5464">
      <c r="A5464" s="78" t="s">
        <v>6274</v>
      </c>
      <c r="B5464" s="78" t="s">
        <v>27</v>
      </c>
      <c r="C5464" s="85">
        <v>45388.0</v>
      </c>
      <c r="D5464" s="85">
        <v>45388.0</v>
      </c>
      <c r="E5464" s="86">
        <v>7.59</v>
      </c>
      <c r="F5464" s="87">
        <v>8.73</v>
      </c>
      <c r="G5464" s="88">
        <f t="shared" si="1"/>
        <v>1.14</v>
      </c>
      <c r="H5464" s="89">
        <f t="shared" si="15"/>
        <v>0.1305841924</v>
      </c>
      <c r="I5464" s="78" t="s">
        <v>6310</v>
      </c>
      <c r="J5464" s="78" t="s">
        <v>69</v>
      </c>
      <c r="K5464" s="58">
        <f t="shared" si="14"/>
        <v>0</v>
      </c>
      <c r="L5464" s="91" t="str">
        <f t="shared" si="8"/>
        <v>Sat</v>
      </c>
      <c r="M5464" s="78" t="str">
        <f>IFERROR(VLOOKUP(A5464, Entries!A:B,2,false),"")</f>
        <v>Bethesda Softworks</v>
      </c>
      <c r="N5464" s="23" t="str">
        <f>IFERROR(VLOOKUP(A5464, Entries!A:K,11,false),"")</f>
        <v/>
      </c>
    </row>
    <row r="5465">
      <c r="A5465" s="78" t="s">
        <v>6274</v>
      </c>
      <c r="B5465" s="78" t="s">
        <v>27</v>
      </c>
      <c r="C5465" s="85">
        <v>45388.0</v>
      </c>
      <c r="D5465" s="85">
        <v>45388.0</v>
      </c>
      <c r="E5465" s="86">
        <v>7.59</v>
      </c>
      <c r="F5465" s="87">
        <v>8.73</v>
      </c>
      <c r="G5465" s="88">
        <f t="shared" si="1"/>
        <v>1.14</v>
      </c>
      <c r="H5465" s="89">
        <f t="shared" si="15"/>
        <v>0.1305841924</v>
      </c>
      <c r="I5465" s="78" t="s">
        <v>6311</v>
      </c>
      <c r="J5465" s="78" t="s">
        <v>69</v>
      </c>
      <c r="K5465" s="58">
        <f t="shared" si="14"/>
        <v>0</v>
      </c>
      <c r="L5465" s="91" t="str">
        <f t="shared" si="8"/>
        <v>Sat</v>
      </c>
      <c r="M5465" s="78" t="str">
        <f>IFERROR(VLOOKUP(A5465, Entries!A:B,2,false),"")</f>
        <v>Bethesda Softworks</v>
      </c>
      <c r="N5465" s="23" t="str">
        <f>IFERROR(VLOOKUP(A5465, Entries!A:K,11,false),"")</f>
        <v/>
      </c>
    </row>
    <row r="5466">
      <c r="A5466" s="78" t="s">
        <v>6274</v>
      </c>
      <c r="B5466" s="78" t="s">
        <v>27</v>
      </c>
      <c r="C5466" s="85">
        <v>45388.0</v>
      </c>
      <c r="D5466" s="85">
        <v>45388.0</v>
      </c>
      <c r="E5466" s="86">
        <v>7.59</v>
      </c>
      <c r="F5466" s="87">
        <v>8.73</v>
      </c>
      <c r="G5466" s="88">
        <f t="shared" si="1"/>
        <v>1.14</v>
      </c>
      <c r="H5466" s="89">
        <f t="shared" si="15"/>
        <v>0.1305841924</v>
      </c>
      <c r="I5466" s="78" t="s">
        <v>6312</v>
      </c>
      <c r="J5466" s="78" t="s">
        <v>69</v>
      </c>
      <c r="K5466" s="58">
        <f t="shared" si="14"/>
        <v>0</v>
      </c>
      <c r="L5466" s="91" t="str">
        <f t="shared" si="8"/>
        <v>Sat</v>
      </c>
      <c r="M5466" s="78" t="str">
        <f>IFERROR(VLOOKUP(A5466, Entries!A:B,2,false),"")</f>
        <v>Bethesda Softworks</v>
      </c>
      <c r="N5466" s="23" t="str">
        <f>IFERROR(VLOOKUP(A5466, Entries!A:K,11,false),"")</f>
        <v/>
      </c>
    </row>
    <row r="5467">
      <c r="A5467" s="78" t="s">
        <v>6274</v>
      </c>
      <c r="B5467" s="78" t="s">
        <v>27</v>
      </c>
      <c r="C5467" s="85">
        <v>45388.0</v>
      </c>
      <c r="D5467" s="85">
        <v>45388.0</v>
      </c>
      <c r="E5467" s="86">
        <v>7.54</v>
      </c>
      <c r="F5467" s="87">
        <v>8.73</v>
      </c>
      <c r="G5467" s="88">
        <f t="shared" si="1"/>
        <v>1.19</v>
      </c>
      <c r="H5467" s="89">
        <f t="shared" si="15"/>
        <v>0.1363115693</v>
      </c>
      <c r="I5467" s="78" t="s">
        <v>6313</v>
      </c>
      <c r="J5467" s="78" t="s">
        <v>69</v>
      </c>
      <c r="K5467" s="58">
        <f t="shared" si="14"/>
        <v>0</v>
      </c>
      <c r="L5467" s="91" t="str">
        <f t="shared" si="8"/>
        <v>Sat</v>
      </c>
      <c r="M5467" s="78" t="str">
        <f>IFERROR(VLOOKUP(A5467, Entries!A:B,2,false),"")</f>
        <v>Bethesda Softworks</v>
      </c>
      <c r="N5467" s="23" t="str">
        <f>IFERROR(VLOOKUP(A5467, Entries!A:K,11,false),"")</f>
        <v/>
      </c>
    </row>
    <row r="5468">
      <c r="A5468" s="78" t="s">
        <v>6274</v>
      </c>
      <c r="B5468" s="78" t="s">
        <v>27</v>
      </c>
      <c r="C5468" s="85">
        <v>45388.0</v>
      </c>
      <c r="D5468" s="85">
        <v>45389.0</v>
      </c>
      <c r="E5468" s="86">
        <v>7.54</v>
      </c>
      <c r="F5468" s="87">
        <v>8.73</v>
      </c>
      <c r="G5468" s="88">
        <f t="shared" si="1"/>
        <v>1.19</v>
      </c>
      <c r="H5468" s="89">
        <f t="shared" si="15"/>
        <v>0.1363115693</v>
      </c>
      <c r="I5468" s="78" t="s">
        <v>6314</v>
      </c>
      <c r="J5468" s="78" t="s">
        <v>69</v>
      </c>
      <c r="K5468" s="58">
        <f t="shared" si="14"/>
        <v>1</v>
      </c>
      <c r="L5468" s="91" t="str">
        <f t="shared" si="8"/>
        <v>Sun</v>
      </c>
      <c r="M5468" s="78" t="str">
        <f>IFERROR(VLOOKUP(A5468, Entries!A:B,2,false),"")</f>
        <v>Bethesda Softworks</v>
      </c>
      <c r="N5468" s="23" t="str">
        <f>IFERROR(VLOOKUP(A5468, Entries!A:K,11,false),"")</f>
        <v/>
      </c>
    </row>
    <row r="5469">
      <c r="A5469" s="78" t="s">
        <v>6274</v>
      </c>
      <c r="B5469" s="78" t="s">
        <v>27</v>
      </c>
      <c r="C5469" s="85">
        <v>45388.0</v>
      </c>
      <c r="D5469" s="85">
        <v>45389.0</v>
      </c>
      <c r="E5469" s="86">
        <v>7.54</v>
      </c>
      <c r="F5469" s="87">
        <v>8.76</v>
      </c>
      <c r="G5469" s="88">
        <f t="shared" si="1"/>
        <v>1.22</v>
      </c>
      <c r="H5469" s="89">
        <f t="shared" si="15"/>
        <v>0.1392694064</v>
      </c>
      <c r="I5469" s="78" t="s">
        <v>6315</v>
      </c>
      <c r="J5469" s="78" t="s">
        <v>69</v>
      </c>
      <c r="K5469" s="58">
        <f t="shared" si="14"/>
        <v>1</v>
      </c>
      <c r="L5469" s="91" t="str">
        <f t="shared" si="8"/>
        <v>Sun</v>
      </c>
      <c r="M5469" s="78" t="str">
        <f>IFERROR(VLOOKUP(A5469, Entries!A:B,2,false),"")</f>
        <v>Bethesda Softworks</v>
      </c>
      <c r="N5469" s="23" t="str">
        <f>IFERROR(VLOOKUP(A5469, Entries!A:K,11,false),"")</f>
        <v/>
      </c>
    </row>
    <row r="5470">
      <c r="A5470" s="78" t="s">
        <v>4085</v>
      </c>
      <c r="B5470" s="78" t="s">
        <v>27</v>
      </c>
      <c r="C5470" s="85">
        <v>45389.0</v>
      </c>
      <c r="D5470" s="85">
        <v>45389.0</v>
      </c>
      <c r="E5470" s="86">
        <v>6.39</v>
      </c>
      <c r="F5470" s="87">
        <v>7.3</v>
      </c>
      <c r="G5470" s="88">
        <f t="shared" si="1"/>
        <v>0.91</v>
      </c>
      <c r="H5470" s="89">
        <f t="shared" si="15"/>
        <v>0.1246575342</v>
      </c>
      <c r="I5470" s="78" t="s">
        <v>6316</v>
      </c>
      <c r="J5470" s="78" t="s">
        <v>69</v>
      </c>
      <c r="K5470" s="58">
        <f t="shared" si="14"/>
        <v>0</v>
      </c>
      <c r="L5470" s="91" t="str">
        <f t="shared" si="8"/>
        <v>Sun</v>
      </c>
      <c r="M5470" s="78" t="str">
        <f>IFERROR(VLOOKUP(A5470, Entries!A:B,2,false),"")</f>
        <v>Bethesda Softworks</v>
      </c>
      <c r="N5470" s="23" t="str">
        <f>IFERROR(VLOOKUP(A5470, Entries!A:K,11,false),"")</f>
        <v/>
      </c>
    </row>
    <row r="5471">
      <c r="A5471" s="78" t="s">
        <v>6274</v>
      </c>
      <c r="B5471" s="78" t="s">
        <v>27</v>
      </c>
      <c r="C5471" s="85">
        <v>45389.0</v>
      </c>
      <c r="D5471" s="85">
        <v>45389.0</v>
      </c>
      <c r="E5471" s="86">
        <v>7.59</v>
      </c>
      <c r="F5471" s="87">
        <v>8.76</v>
      </c>
      <c r="G5471" s="88">
        <f t="shared" si="1"/>
        <v>1.17</v>
      </c>
      <c r="H5471" s="89">
        <f t="shared" si="15"/>
        <v>0.1335616438</v>
      </c>
      <c r="I5471" s="78" t="s">
        <v>6317</v>
      </c>
      <c r="J5471" s="78" t="s">
        <v>69</v>
      </c>
      <c r="K5471" s="58">
        <f t="shared" si="14"/>
        <v>0</v>
      </c>
      <c r="L5471" s="91" t="str">
        <f t="shared" si="8"/>
        <v>Sun</v>
      </c>
      <c r="M5471" s="78" t="str">
        <f>IFERROR(VLOOKUP(A5471, Entries!A:B,2,false),"")</f>
        <v>Bethesda Softworks</v>
      </c>
      <c r="N5471" s="23" t="str">
        <f>IFERROR(VLOOKUP(A5471, Entries!A:K,11,false),"")</f>
        <v/>
      </c>
    </row>
    <row r="5472">
      <c r="A5472" s="78" t="s">
        <v>4926</v>
      </c>
      <c r="B5472" s="78" t="s">
        <v>27</v>
      </c>
      <c r="C5472" s="85">
        <v>45389.0</v>
      </c>
      <c r="D5472" s="85">
        <v>45390.0</v>
      </c>
      <c r="E5472" s="86">
        <v>7.59</v>
      </c>
      <c r="F5472" s="87">
        <v>9.04</v>
      </c>
      <c r="G5472" s="88">
        <f t="shared" si="1"/>
        <v>1.45</v>
      </c>
      <c r="H5472" s="89">
        <f t="shared" si="15"/>
        <v>0.1603982301</v>
      </c>
      <c r="I5472" s="78" t="s">
        <v>6318</v>
      </c>
      <c r="J5472" s="78" t="s">
        <v>69</v>
      </c>
      <c r="K5472" s="58">
        <f t="shared" si="14"/>
        <v>1</v>
      </c>
      <c r="L5472" s="91" t="str">
        <f t="shared" si="8"/>
        <v>Mon</v>
      </c>
      <c r="M5472" s="78" t="str">
        <f>IFERROR(VLOOKUP(A5472, Entries!A:B,2,false),"")</f>
        <v>Bethesda Softworks</v>
      </c>
      <c r="N5472" s="23" t="str">
        <f>IFERROR(VLOOKUP(A5472, Entries!A:K,11,false),"")</f>
        <v/>
      </c>
    </row>
    <row r="5473">
      <c r="A5473" s="78" t="s">
        <v>4926</v>
      </c>
      <c r="B5473" s="78" t="s">
        <v>27</v>
      </c>
      <c r="C5473" s="85">
        <v>45389.0</v>
      </c>
      <c r="D5473" s="85">
        <v>45391.0</v>
      </c>
      <c r="E5473" s="86">
        <v>7.59</v>
      </c>
      <c r="F5473" s="87">
        <v>9.49</v>
      </c>
      <c r="G5473" s="88">
        <f t="shared" si="1"/>
        <v>1.9</v>
      </c>
      <c r="H5473" s="89">
        <f t="shared" si="15"/>
        <v>0.2002107482</v>
      </c>
      <c r="I5473" s="78" t="s">
        <v>6319</v>
      </c>
      <c r="J5473" s="78" t="s">
        <v>69</v>
      </c>
      <c r="K5473" s="58">
        <f t="shared" si="14"/>
        <v>2</v>
      </c>
      <c r="L5473" s="91" t="str">
        <f t="shared" si="8"/>
        <v>Tue</v>
      </c>
      <c r="M5473" s="78" t="str">
        <f>IFERROR(VLOOKUP(A5473, Entries!A:B,2,false),"")</f>
        <v>Bethesda Softworks</v>
      </c>
      <c r="N5473" s="23" t="str">
        <f>IFERROR(VLOOKUP(A5473, Entries!A:K,11,false),"")</f>
        <v/>
      </c>
    </row>
    <row r="5474">
      <c r="A5474" s="78" t="s">
        <v>4085</v>
      </c>
      <c r="B5474" s="78" t="s">
        <v>27</v>
      </c>
      <c r="C5474" s="85">
        <v>45389.0</v>
      </c>
      <c r="D5474" s="85">
        <v>45389.0</v>
      </c>
      <c r="E5474" s="86">
        <v>6.39</v>
      </c>
      <c r="F5474" s="87">
        <v>7.3</v>
      </c>
      <c r="G5474" s="88">
        <f t="shared" si="1"/>
        <v>0.91</v>
      </c>
      <c r="H5474" s="89">
        <f t="shared" si="15"/>
        <v>0.1246575342</v>
      </c>
      <c r="I5474" s="78" t="s">
        <v>6320</v>
      </c>
      <c r="J5474" s="78" t="s">
        <v>69</v>
      </c>
      <c r="K5474" s="58">
        <f t="shared" si="14"/>
        <v>0</v>
      </c>
      <c r="L5474" s="91" t="str">
        <f t="shared" si="8"/>
        <v>Sun</v>
      </c>
      <c r="M5474" s="78" t="str">
        <f>IFERROR(VLOOKUP(A5474, Entries!A:B,2,false),"")</f>
        <v>Bethesda Softworks</v>
      </c>
      <c r="N5474" s="23" t="str">
        <f>IFERROR(VLOOKUP(A5474, Entries!A:K,11,false),"")</f>
        <v/>
      </c>
    </row>
    <row r="5475">
      <c r="A5475" s="78" t="s">
        <v>4085</v>
      </c>
      <c r="B5475" s="78" t="s">
        <v>27</v>
      </c>
      <c r="C5475" s="85">
        <v>45389.0</v>
      </c>
      <c r="D5475" s="85">
        <v>45389.0</v>
      </c>
      <c r="E5475" s="86">
        <v>6.39</v>
      </c>
      <c r="F5475" s="87">
        <v>7.3</v>
      </c>
      <c r="G5475" s="88">
        <f t="shared" si="1"/>
        <v>0.91</v>
      </c>
      <c r="H5475" s="89">
        <f t="shared" si="15"/>
        <v>0.1246575342</v>
      </c>
      <c r="I5475" s="78" t="s">
        <v>6321</v>
      </c>
      <c r="J5475" s="78" t="s">
        <v>69</v>
      </c>
      <c r="K5475" s="58">
        <f t="shared" si="14"/>
        <v>0</v>
      </c>
      <c r="L5475" s="91" t="str">
        <f t="shared" si="8"/>
        <v>Sun</v>
      </c>
      <c r="M5475" s="78" t="str">
        <f>IFERROR(VLOOKUP(A5475, Entries!A:B,2,false),"")</f>
        <v>Bethesda Softworks</v>
      </c>
      <c r="N5475" s="23" t="str">
        <f>IFERROR(VLOOKUP(A5475, Entries!A:K,11,false),"")</f>
        <v/>
      </c>
    </row>
    <row r="5476">
      <c r="A5476" s="78" t="s">
        <v>6274</v>
      </c>
      <c r="B5476" s="78" t="s">
        <v>27</v>
      </c>
      <c r="C5476" s="85">
        <v>45389.0</v>
      </c>
      <c r="D5476" s="85">
        <v>45389.0</v>
      </c>
      <c r="E5476" s="86">
        <v>7.59</v>
      </c>
      <c r="F5476" s="87">
        <v>8.98</v>
      </c>
      <c r="G5476" s="88">
        <f t="shared" si="1"/>
        <v>1.39</v>
      </c>
      <c r="H5476" s="89">
        <f t="shared" si="15"/>
        <v>0.1547884187</v>
      </c>
      <c r="I5476" s="78" t="s">
        <v>6322</v>
      </c>
      <c r="J5476" s="78" t="s">
        <v>69</v>
      </c>
      <c r="K5476" s="58">
        <f t="shared" si="14"/>
        <v>0</v>
      </c>
      <c r="L5476" s="91" t="str">
        <f t="shared" si="8"/>
        <v>Sun</v>
      </c>
      <c r="M5476" s="78" t="str">
        <f>IFERROR(VLOOKUP(A5476, Entries!A:B,2,false),"")</f>
        <v>Bethesda Softworks</v>
      </c>
      <c r="N5476" s="23" t="str">
        <f>IFERROR(VLOOKUP(A5476, Entries!A:K,11,false),"")</f>
        <v/>
      </c>
    </row>
    <row r="5477">
      <c r="A5477" s="78" t="s">
        <v>6274</v>
      </c>
      <c r="B5477" s="78" t="s">
        <v>27</v>
      </c>
      <c r="C5477" s="85">
        <v>45389.0</v>
      </c>
      <c r="D5477" s="85">
        <v>45389.0</v>
      </c>
      <c r="E5477" s="86">
        <v>7.59</v>
      </c>
      <c r="F5477" s="87">
        <v>8.98</v>
      </c>
      <c r="G5477" s="88">
        <f t="shared" si="1"/>
        <v>1.39</v>
      </c>
      <c r="H5477" s="89">
        <f t="shared" si="15"/>
        <v>0.1547884187</v>
      </c>
      <c r="I5477" s="78" t="s">
        <v>6323</v>
      </c>
      <c r="J5477" s="78" t="s">
        <v>69</v>
      </c>
      <c r="K5477" s="58">
        <f t="shared" si="14"/>
        <v>0</v>
      </c>
      <c r="L5477" s="91" t="str">
        <f t="shared" si="8"/>
        <v>Sun</v>
      </c>
      <c r="M5477" s="78" t="str">
        <f>IFERROR(VLOOKUP(A5477, Entries!A:B,2,false),"")</f>
        <v>Bethesda Softworks</v>
      </c>
      <c r="N5477" s="23" t="str">
        <f>IFERROR(VLOOKUP(A5477, Entries!A:K,11,false),"")</f>
        <v/>
      </c>
    </row>
    <row r="5478">
      <c r="A5478" s="78" t="s">
        <v>4566</v>
      </c>
      <c r="B5478" s="78" t="s">
        <v>27</v>
      </c>
      <c r="C5478" s="85">
        <v>45389.0</v>
      </c>
      <c r="D5478" s="85">
        <v>45389.0</v>
      </c>
      <c r="E5478" s="86">
        <v>17.49</v>
      </c>
      <c r="F5478" s="87">
        <v>25.89</v>
      </c>
      <c r="G5478" s="88">
        <f t="shared" si="1"/>
        <v>8.4</v>
      </c>
      <c r="H5478" s="89">
        <f t="shared" si="15"/>
        <v>0.3244495944</v>
      </c>
      <c r="I5478" s="78" t="s">
        <v>6324</v>
      </c>
      <c r="J5478" s="78" t="s">
        <v>69</v>
      </c>
      <c r="K5478" s="58">
        <f t="shared" si="14"/>
        <v>0</v>
      </c>
      <c r="L5478" s="91" t="str">
        <f t="shared" si="8"/>
        <v>Sun</v>
      </c>
      <c r="M5478" s="78" t="str">
        <f>IFERROR(VLOOKUP(A5478, Entries!A:B,2,false),"")</f>
        <v>2K</v>
      </c>
      <c r="N5478" s="23" t="str">
        <f>IFERROR(VLOOKUP(A5478, Entries!A:K,11,false),"")</f>
        <v/>
      </c>
    </row>
    <row r="5479">
      <c r="A5479" s="78" t="s">
        <v>4566</v>
      </c>
      <c r="B5479" s="78" t="s">
        <v>27</v>
      </c>
      <c r="C5479" s="85">
        <v>45389.0</v>
      </c>
      <c r="D5479" s="85">
        <v>45389.0</v>
      </c>
      <c r="E5479" s="86">
        <v>17.49</v>
      </c>
      <c r="F5479" s="87">
        <v>23.07</v>
      </c>
      <c r="G5479" s="88">
        <f t="shared" si="1"/>
        <v>5.58</v>
      </c>
      <c r="H5479" s="89">
        <f t="shared" si="15"/>
        <v>0.2418725618</v>
      </c>
      <c r="I5479" s="78" t="s">
        <v>6325</v>
      </c>
      <c r="J5479" s="78" t="s">
        <v>69</v>
      </c>
      <c r="K5479" s="58">
        <f t="shared" si="14"/>
        <v>0</v>
      </c>
      <c r="L5479" s="91" t="str">
        <f t="shared" si="8"/>
        <v>Sun</v>
      </c>
      <c r="M5479" s="78" t="str">
        <f>IFERROR(VLOOKUP(A5479, Entries!A:B,2,false),"")</f>
        <v>2K</v>
      </c>
      <c r="N5479" s="23" t="str">
        <f>IFERROR(VLOOKUP(A5479, Entries!A:K,11,false),"")</f>
        <v/>
      </c>
    </row>
    <row r="5480">
      <c r="A5480" s="78" t="s">
        <v>3771</v>
      </c>
      <c r="B5480" s="78" t="s">
        <v>27</v>
      </c>
      <c r="C5480" s="85">
        <v>45389.0</v>
      </c>
      <c r="D5480" s="85">
        <v>45391.0</v>
      </c>
      <c r="E5480" s="86">
        <v>9.09</v>
      </c>
      <c r="F5480" s="87">
        <v>10.5</v>
      </c>
      <c r="G5480" s="88">
        <f t="shared" si="1"/>
        <v>1.41</v>
      </c>
      <c r="H5480" s="89">
        <f t="shared" si="15"/>
        <v>0.1342857143</v>
      </c>
      <c r="I5480" s="78" t="s">
        <v>6326</v>
      </c>
      <c r="J5480" s="78" t="s">
        <v>69</v>
      </c>
      <c r="K5480" s="58">
        <f t="shared" si="14"/>
        <v>2</v>
      </c>
      <c r="L5480" s="91" t="str">
        <f t="shared" si="8"/>
        <v>Tue</v>
      </c>
      <c r="M5480" s="78" t="str">
        <f>IFERROR(VLOOKUP(A5480, Entries!A:B,2,false),"")</f>
        <v>Good Shepherd Entertainment</v>
      </c>
      <c r="N5480" s="23" t="str">
        <f>IFERROR(VLOOKUP(A5480, Entries!A:K,11,false),"")</f>
        <v/>
      </c>
    </row>
    <row r="5481">
      <c r="A5481" s="78" t="s">
        <v>6274</v>
      </c>
      <c r="B5481" s="78" t="s">
        <v>27</v>
      </c>
      <c r="C5481" s="85">
        <v>45389.0</v>
      </c>
      <c r="D5481" s="85">
        <v>45389.0</v>
      </c>
      <c r="E5481" s="86">
        <v>7.59</v>
      </c>
      <c r="F5481" s="87">
        <v>8.98</v>
      </c>
      <c r="G5481" s="88">
        <f t="shared" si="1"/>
        <v>1.39</v>
      </c>
      <c r="H5481" s="89">
        <f t="shared" si="15"/>
        <v>0.1547884187</v>
      </c>
      <c r="I5481" s="78" t="s">
        <v>6327</v>
      </c>
      <c r="J5481" s="78" t="s">
        <v>69</v>
      </c>
      <c r="K5481" s="58">
        <f t="shared" si="14"/>
        <v>0</v>
      </c>
      <c r="L5481" s="91" t="str">
        <f t="shared" si="8"/>
        <v>Sun</v>
      </c>
      <c r="M5481" s="78" t="str">
        <f>IFERROR(VLOOKUP(A5481, Entries!A:B,2,false),"")</f>
        <v>Bethesda Softworks</v>
      </c>
      <c r="N5481" s="23" t="str">
        <f>IFERROR(VLOOKUP(A5481, Entries!A:K,11,false),"")</f>
        <v/>
      </c>
    </row>
    <row r="5482">
      <c r="A5482" s="78" t="s">
        <v>6274</v>
      </c>
      <c r="B5482" s="78" t="s">
        <v>27</v>
      </c>
      <c r="C5482" s="85">
        <v>45389.0</v>
      </c>
      <c r="D5482" s="85">
        <v>45389.0</v>
      </c>
      <c r="E5482" s="86">
        <v>7.59</v>
      </c>
      <c r="F5482" s="87">
        <v>8.98</v>
      </c>
      <c r="G5482" s="88">
        <f t="shared" si="1"/>
        <v>1.39</v>
      </c>
      <c r="H5482" s="89">
        <f t="shared" si="15"/>
        <v>0.1547884187</v>
      </c>
      <c r="I5482" s="78" t="s">
        <v>6328</v>
      </c>
      <c r="J5482" s="78" t="s">
        <v>69</v>
      </c>
      <c r="K5482" s="58">
        <f t="shared" si="14"/>
        <v>0</v>
      </c>
      <c r="L5482" s="91" t="str">
        <f t="shared" si="8"/>
        <v>Sun</v>
      </c>
      <c r="M5482" s="78" t="str">
        <f>IFERROR(VLOOKUP(A5482, Entries!A:B,2,false),"")</f>
        <v>Bethesda Softworks</v>
      </c>
      <c r="N5482" s="23" t="str">
        <f>IFERROR(VLOOKUP(A5482, Entries!A:K,11,false),"")</f>
        <v/>
      </c>
    </row>
    <row r="5483">
      <c r="A5483" s="78" t="s">
        <v>6274</v>
      </c>
      <c r="B5483" s="78" t="s">
        <v>27</v>
      </c>
      <c r="C5483" s="85">
        <v>45389.0</v>
      </c>
      <c r="D5483" s="85">
        <v>45390.0</v>
      </c>
      <c r="E5483" s="86">
        <v>7.59</v>
      </c>
      <c r="F5483" s="87">
        <v>8.99</v>
      </c>
      <c r="G5483" s="88">
        <f t="shared" si="1"/>
        <v>1.4</v>
      </c>
      <c r="H5483" s="89">
        <f t="shared" si="15"/>
        <v>0.1557285873</v>
      </c>
      <c r="I5483" s="78" t="s">
        <v>6329</v>
      </c>
      <c r="J5483" s="78" t="s">
        <v>69</v>
      </c>
      <c r="K5483" s="58">
        <f t="shared" si="14"/>
        <v>1</v>
      </c>
      <c r="L5483" s="91" t="str">
        <f t="shared" si="8"/>
        <v>Mon</v>
      </c>
      <c r="M5483" s="78" t="str">
        <f>IFERROR(VLOOKUP(A5483, Entries!A:B,2,false),"")</f>
        <v>Bethesda Softworks</v>
      </c>
      <c r="N5483" s="23" t="str">
        <f>IFERROR(VLOOKUP(A5483, Entries!A:K,11,false),"")</f>
        <v/>
      </c>
    </row>
    <row r="5484">
      <c r="A5484" s="78" t="s">
        <v>4566</v>
      </c>
      <c r="B5484" s="78" t="s">
        <v>27</v>
      </c>
      <c r="C5484" s="85">
        <v>45389.0</v>
      </c>
      <c r="D5484" s="85">
        <v>45389.0</v>
      </c>
      <c r="E5484" s="86">
        <v>17.49</v>
      </c>
      <c r="F5484" s="87">
        <v>23.07</v>
      </c>
      <c r="G5484" s="88">
        <f t="shared" si="1"/>
        <v>5.58</v>
      </c>
      <c r="H5484" s="89">
        <f t="shared" si="15"/>
        <v>0.2418725618</v>
      </c>
      <c r="I5484" s="78" t="s">
        <v>6330</v>
      </c>
      <c r="J5484" s="78" t="s">
        <v>69</v>
      </c>
      <c r="K5484" s="58">
        <f t="shared" si="14"/>
        <v>0</v>
      </c>
      <c r="L5484" s="91" t="str">
        <f t="shared" si="8"/>
        <v>Sun</v>
      </c>
      <c r="M5484" s="78" t="str">
        <f>IFERROR(VLOOKUP(A5484, Entries!A:B,2,false),"")</f>
        <v>2K</v>
      </c>
      <c r="N5484" s="23" t="str">
        <f>IFERROR(VLOOKUP(A5484, Entries!A:K,11,false),"")</f>
        <v/>
      </c>
    </row>
    <row r="5485">
      <c r="A5485" s="78" t="s">
        <v>4928</v>
      </c>
      <c r="B5485" s="78" t="s">
        <v>19</v>
      </c>
      <c r="C5485" s="85">
        <v>45389.0</v>
      </c>
      <c r="D5485" s="85">
        <v>45392.0</v>
      </c>
      <c r="E5485" s="86">
        <v>28.21</v>
      </c>
      <c r="F5485" s="87">
        <v>34.81</v>
      </c>
      <c r="G5485" s="88">
        <f t="shared" si="1"/>
        <v>6.6</v>
      </c>
      <c r="H5485" s="89">
        <f t="shared" si="15"/>
        <v>0.1896006895</v>
      </c>
      <c r="I5485" s="78" t="s">
        <v>6331</v>
      </c>
      <c r="J5485" s="78" t="s">
        <v>69</v>
      </c>
      <c r="K5485" s="58">
        <f t="shared" si="14"/>
        <v>3</v>
      </c>
      <c r="L5485" s="91" t="str">
        <f t="shared" si="8"/>
        <v>Wed</v>
      </c>
      <c r="M5485" s="78" t="str">
        <f>IFERROR(VLOOKUP(A5485, Entries!A:B,2,false),"")</f>
        <v>Eleventh Hour Games</v>
      </c>
      <c r="N5485" s="23" t="str">
        <f>IFERROR(VLOOKUP(A5485, Entries!A:K,11,false),"")</f>
        <v/>
      </c>
    </row>
    <row r="5486">
      <c r="A5486" s="78" t="s">
        <v>4085</v>
      </c>
      <c r="B5486" s="78" t="s">
        <v>27</v>
      </c>
      <c r="C5486" s="85">
        <v>45389.0</v>
      </c>
      <c r="D5486" s="85">
        <v>45390.0</v>
      </c>
      <c r="E5486" s="86">
        <v>6.39</v>
      </c>
      <c r="F5486" s="87">
        <v>7.31</v>
      </c>
      <c r="G5486" s="88">
        <f t="shared" si="1"/>
        <v>0.92</v>
      </c>
      <c r="H5486" s="89">
        <f t="shared" si="15"/>
        <v>0.1258549932</v>
      </c>
      <c r="I5486" s="78" t="s">
        <v>6332</v>
      </c>
      <c r="J5486" s="78" t="s">
        <v>69</v>
      </c>
      <c r="K5486" s="58">
        <f t="shared" si="14"/>
        <v>1</v>
      </c>
      <c r="L5486" s="91" t="str">
        <f t="shared" si="8"/>
        <v>Mon</v>
      </c>
      <c r="M5486" s="78" t="str">
        <f>IFERROR(VLOOKUP(A5486, Entries!A:B,2,false),"")</f>
        <v>Bethesda Softworks</v>
      </c>
      <c r="N5486" s="23" t="str">
        <f>IFERROR(VLOOKUP(A5486, Entries!A:K,11,false),"")</f>
        <v/>
      </c>
    </row>
    <row r="5487">
      <c r="A5487" s="78" t="s">
        <v>4085</v>
      </c>
      <c r="B5487" s="78" t="s">
        <v>27</v>
      </c>
      <c r="C5487" s="85">
        <v>45389.0</v>
      </c>
      <c r="D5487" s="85">
        <v>45390.0</v>
      </c>
      <c r="E5487" s="86">
        <v>6.39</v>
      </c>
      <c r="F5487" s="87">
        <v>7.31</v>
      </c>
      <c r="G5487" s="88">
        <f t="shared" si="1"/>
        <v>0.92</v>
      </c>
      <c r="H5487" s="89">
        <f t="shared" si="15"/>
        <v>0.1258549932</v>
      </c>
      <c r="I5487" s="78" t="s">
        <v>6333</v>
      </c>
      <c r="J5487" s="78" t="s">
        <v>69</v>
      </c>
      <c r="K5487" s="58">
        <f t="shared" si="14"/>
        <v>1</v>
      </c>
      <c r="L5487" s="91" t="str">
        <f t="shared" si="8"/>
        <v>Mon</v>
      </c>
      <c r="M5487" s="78" t="str">
        <f>IFERROR(VLOOKUP(A5487, Entries!A:B,2,false),"")</f>
        <v>Bethesda Softworks</v>
      </c>
      <c r="N5487" s="23" t="str">
        <f>IFERROR(VLOOKUP(A5487, Entries!A:K,11,false),"")</f>
        <v/>
      </c>
    </row>
    <row r="5488">
      <c r="A5488" s="78" t="s">
        <v>4085</v>
      </c>
      <c r="B5488" s="78" t="s">
        <v>27</v>
      </c>
      <c r="C5488" s="85">
        <v>45389.0</v>
      </c>
      <c r="D5488" s="85">
        <v>45390.0</v>
      </c>
      <c r="E5488" s="86">
        <v>6.39</v>
      </c>
      <c r="F5488" s="87">
        <v>7.31</v>
      </c>
      <c r="G5488" s="88">
        <f t="shared" si="1"/>
        <v>0.92</v>
      </c>
      <c r="H5488" s="89">
        <f t="shared" si="15"/>
        <v>0.1258549932</v>
      </c>
      <c r="I5488" s="78" t="s">
        <v>6334</v>
      </c>
      <c r="J5488" s="78" t="s">
        <v>69</v>
      </c>
      <c r="K5488" s="58">
        <f t="shared" si="14"/>
        <v>1</v>
      </c>
      <c r="L5488" s="91" t="str">
        <f t="shared" si="8"/>
        <v>Mon</v>
      </c>
      <c r="M5488" s="78" t="str">
        <f>IFERROR(VLOOKUP(A5488, Entries!A:B,2,false),"")</f>
        <v>Bethesda Softworks</v>
      </c>
      <c r="N5488" s="23" t="str">
        <f>IFERROR(VLOOKUP(A5488, Entries!A:K,11,false),"")</f>
        <v/>
      </c>
    </row>
    <row r="5489">
      <c r="A5489" s="78" t="s">
        <v>6274</v>
      </c>
      <c r="B5489" s="78" t="s">
        <v>27</v>
      </c>
      <c r="C5489" s="85">
        <v>45389.0</v>
      </c>
      <c r="D5489" s="85">
        <v>45389.0</v>
      </c>
      <c r="E5489" s="86">
        <v>7.57</v>
      </c>
      <c r="F5489" s="87">
        <v>8.99</v>
      </c>
      <c r="G5489" s="88">
        <f t="shared" si="1"/>
        <v>1.42</v>
      </c>
      <c r="H5489" s="89">
        <f t="shared" si="15"/>
        <v>0.1579532814</v>
      </c>
      <c r="I5489" s="78" t="s">
        <v>6335</v>
      </c>
      <c r="J5489" s="78" t="s">
        <v>69</v>
      </c>
      <c r="K5489" s="58">
        <f t="shared" si="14"/>
        <v>0</v>
      </c>
      <c r="L5489" s="91" t="str">
        <f t="shared" si="8"/>
        <v>Sun</v>
      </c>
      <c r="M5489" s="78" t="str">
        <f>IFERROR(VLOOKUP(A5489, Entries!A:B,2,false),"")</f>
        <v>Bethesda Softworks</v>
      </c>
      <c r="N5489" s="23" t="str">
        <f>IFERROR(VLOOKUP(A5489, Entries!A:K,11,false),"")</f>
        <v/>
      </c>
    </row>
    <row r="5490">
      <c r="A5490" s="78" t="s">
        <v>6274</v>
      </c>
      <c r="B5490" s="78" t="s">
        <v>27</v>
      </c>
      <c r="C5490" s="85">
        <v>45389.0</v>
      </c>
      <c r="D5490" s="85">
        <v>45390.0</v>
      </c>
      <c r="E5490" s="86">
        <v>7.57</v>
      </c>
      <c r="F5490" s="87">
        <v>8.99</v>
      </c>
      <c r="G5490" s="88">
        <f t="shared" si="1"/>
        <v>1.42</v>
      </c>
      <c r="H5490" s="89">
        <f t="shared" si="15"/>
        <v>0.1579532814</v>
      </c>
      <c r="I5490" s="78" t="s">
        <v>6336</v>
      </c>
      <c r="J5490" s="78" t="s">
        <v>69</v>
      </c>
      <c r="K5490" s="58">
        <f t="shared" si="14"/>
        <v>1</v>
      </c>
      <c r="L5490" s="91" t="str">
        <f t="shared" si="8"/>
        <v>Mon</v>
      </c>
      <c r="M5490" s="78" t="str">
        <f>IFERROR(VLOOKUP(A5490, Entries!A:B,2,false),"")</f>
        <v>Bethesda Softworks</v>
      </c>
      <c r="N5490" s="23" t="str">
        <f>IFERROR(VLOOKUP(A5490, Entries!A:K,11,false),"")</f>
        <v/>
      </c>
    </row>
    <row r="5491">
      <c r="A5491" s="78" t="s">
        <v>6274</v>
      </c>
      <c r="B5491" s="78" t="s">
        <v>27</v>
      </c>
      <c r="C5491" s="85">
        <v>45389.0</v>
      </c>
      <c r="D5491" s="85">
        <v>45390.0</v>
      </c>
      <c r="E5491" s="86">
        <v>7.57</v>
      </c>
      <c r="F5491" s="87">
        <v>8.02</v>
      </c>
      <c r="G5491" s="88">
        <f t="shared" si="1"/>
        <v>0.45</v>
      </c>
      <c r="H5491" s="89">
        <f t="shared" si="15"/>
        <v>0.05610972569</v>
      </c>
      <c r="I5491" s="78" t="s">
        <v>6337</v>
      </c>
      <c r="J5491" s="78" t="s">
        <v>69</v>
      </c>
      <c r="K5491" s="58">
        <f t="shared" si="14"/>
        <v>1</v>
      </c>
      <c r="L5491" s="91" t="str">
        <f t="shared" si="8"/>
        <v>Mon</v>
      </c>
      <c r="M5491" s="78" t="str">
        <f>IFERROR(VLOOKUP(A5491, Entries!A:B,2,false),"")</f>
        <v>Bethesda Softworks</v>
      </c>
      <c r="N5491" s="23" t="str">
        <f>IFERROR(VLOOKUP(A5491, Entries!A:K,11,false),"")</f>
        <v/>
      </c>
    </row>
    <row r="5492">
      <c r="A5492" s="78" t="s">
        <v>4566</v>
      </c>
      <c r="B5492" s="78" t="s">
        <v>27</v>
      </c>
      <c r="C5492" s="85">
        <v>45389.0</v>
      </c>
      <c r="D5492" s="85">
        <v>45390.0</v>
      </c>
      <c r="E5492" s="86">
        <v>17.49</v>
      </c>
      <c r="F5492" s="87">
        <v>23.07</v>
      </c>
      <c r="G5492" s="88">
        <f t="shared" si="1"/>
        <v>5.58</v>
      </c>
      <c r="H5492" s="89">
        <f t="shared" si="15"/>
        <v>0.2418725618</v>
      </c>
      <c r="I5492" s="78" t="s">
        <v>6338</v>
      </c>
      <c r="J5492" s="78" t="s">
        <v>69</v>
      </c>
      <c r="K5492" s="58">
        <f t="shared" si="14"/>
        <v>1</v>
      </c>
      <c r="L5492" s="91" t="str">
        <f t="shared" si="8"/>
        <v>Mon</v>
      </c>
      <c r="M5492" s="78" t="str">
        <f>IFERROR(VLOOKUP(A5492, Entries!A:B,2,false),"")</f>
        <v>2K</v>
      </c>
      <c r="N5492" s="23" t="str">
        <f>IFERROR(VLOOKUP(A5492, Entries!A:K,11,false),"")</f>
        <v/>
      </c>
    </row>
    <row r="5493">
      <c r="A5493" s="78" t="s">
        <v>4566</v>
      </c>
      <c r="B5493" s="78" t="s">
        <v>27</v>
      </c>
      <c r="C5493" s="85">
        <v>45390.0</v>
      </c>
      <c r="D5493" s="85">
        <v>45390.0</v>
      </c>
      <c r="E5493" s="86">
        <v>17.49</v>
      </c>
      <c r="F5493" s="87">
        <v>23.07</v>
      </c>
      <c r="G5493" s="88">
        <f t="shared" si="1"/>
        <v>5.58</v>
      </c>
      <c r="H5493" s="89">
        <f t="shared" si="15"/>
        <v>0.2418725618</v>
      </c>
      <c r="I5493" s="78" t="s">
        <v>6339</v>
      </c>
      <c r="J5493" s="78" t="s">
        <v>69</v>
      </c>
      <c r="K5493" s="58">
        <f t="shared" si="14"/>
        <v>0</v>
      </c>
      <c r="L5493" s="91" t="str">
        <f t="shared" si="8"/>
        <v>Mon</v>
      </c>
      <c r="M5493" s="78" t="str">
        <f>IFERROR(VLOOKUP(A5493, Entries!A:B,2,false),"")</f>
        <v>2K</v>
      </c>
      <c r="N5493" s="23" t="str">
        <f>IFERROR(VLOOKUP(A5493, Entries!A:K,11,false),"")</f>
        <v/>
      </c>
    </row>
    <row r="5494">
      <c r="A5494" s="78" t="s">
        <v>6274</v>
      </c>
      <c r="B5494" s="78" t="s">
        <v>27</v>
      </c>
      <c r="C5494" s="85">
        <v>45389.0</v>
      </c>
      <c r="D5494" s="85">
        <v>45390.0</v>
      </c>
      <c r="E5494" s="86">
        <v>7.59</v>
      </c>
      <c r="F5494" s="87">
        <v>8.02</v>
      </c>
      <c r="G5494" s="88">
        <f t="shared" si="1"/>
        <v>0.43</v>
      </c>
      <c r="H5494" s="89">
        <f t="shared" si="15"/>
        <v>0.0536159601</v>
      </c>
      <c r="I5494" s="78" t="s">
        <v>6340</v>
      </c>
      <c r="J5494" s="78" t="s">
        <v>69</v>
      </c>
      <c r="K5494" s="58">
        <f t="shared" si="14"/>
        <v>1</v>
      </c>
      <c r="L5494" s="91" t="str">
        <f t="shared" si="8"/>
        <v>Mon</v>
      </c>
      <c r="M5494" s="78" t="str">
        <f>IFERROR(VLOOKUP(A5494, Entries!A:B,2,false),"")</f>
        <v>Bethesda Softworks</v>
      </c>
      <c r="N5494" s="23" t="str">
        <f>IFERROR(VLOOKUP(A5494, Entries!A:K,11,false),"")</f>
        <v/>
      </c>
    </row>
    <row r="5495">
      <c r="A5495" s="78" t="s">
        <v>6274</v>
      </c>
      <c r="B5495" s="78" t="s">
        <v>27</v>
      </c>
      <c r="C5495" s="85">
        <v>45389.0</v>
      </c>
      <c r="D5495" s="85">
        <v>45390.0</v>
      </c>
      <c r="E5495" s="86">
        <v>7.59</v>
      </c>
      <c r="F5495" s="87">
        <v>8.02</v>
      </c>
      <c r="G5495" s="88">
        <f t="shared" si="1"/>
        <v>0.43</v>
      </c>
      <c r="H5495" s="89">
        <f t="shared" si="15"/>
        <v>0.0536159601</v>
      </c>
      <c r="I5495" s="78" t="s">
        <v>6341</v>
      </c>
      <c r="J5495" s="78" t="s">
        <v>69</v>
      </c>
      <c r="K5495" s="58">
        <f t="shared" si="14"/>
        <v>1</v>
      </c>
      <c r="L5495" s="91" t="str">
        <f t="shared" si="8"/>
        <v>Mon</v>
      </c>
      <c r="M5495" s="78" t="str">
        <f>IFERROR(VLOOKUP(A5495, Entries!A:B,2,false),"")</f>
        <v>Bethesda Softworks</v>
      </c>
      <c r="N5495" s="23" t="str">
        <f>IFERROR(VLOOKUP(A5495, Entries!A:K,11,false),"")</f>
        <v/>
      </c>
    </row>
    <row r="5496">
      <c r="A5496" s="78" t="s">
        <v>6274</v>
      </c>
      <c r="B5496" s="78" t="s">
        <v>27</v>
      </c>
      <c r="C5496" s="85">
        <v>45389.0</v>
      </c>
      <c r="D5496" s="85">
        <v>45390.0</v>
      </c>
      <c r="E5496" s="86">
        <v>7.59</v>
      </c>
      <c r="F5496" s="87">
        <v>8.02</v>
      </c>
      <c r="G5496" s="88">
        <f t="shared" si="1"/>
        <v>0.43</v>
      </c>
      <c r="H5496" s="89">
        <f t="shared" si="15"/>
        <v>0.0536159601</v>
      </c>
      <c r="I5496" s="78" t="s">
        <v>6342</v>
      </c>
      <c r="J5496" s="78" t="s">
        <v>69</v>
      </c>
      <c r="K5496" s="58">
        <f t="shared" si="14"/>
        <v>1</v>
      </c>
      <c r="L5496" s="91" t="str">
        <f t="shared" si="8"/>
        <v>Mon</v>
      </c>
      <c r="M5496" s="78" t="str">
        <f>IFERROR(VLOOKUP(A5496, Entries!A:B,2,false),"")</f>
        <v>Bethesda Softworks</v>
      </c>
      <c r="N5496" s="23" t="str">
        <f>IFERROR(VLOOKUP(A5496, Entries!A:K,11,false),"")</f>
        <v/>
      </c>
    </row>
    <row r="5497">
      <c r="A5497" s="78" t="s">
        <v>4566</v>
      </c>
      <c r="B5497" s="78" t="s">
        <v>27</v>
      </c>
      <c r="C5497" s="85">
        <v>45390.0</v>
      </c>
      <c r="D5497" s="85">
        <v>45390.0</v>
      </c>
      <c r="E5497" s="86">
        <v>17.49</v>
      </c>
      <c r="F5497" s="87">
        <v>23.07</v>
      </c>
      <c r="G5497" s="88">
        <f t="shared" si="1"/>
        <v>5.58</v>
      </c>
      <c r="H5497" s="89">
        <f t="shared" si="15"/>
        <v>0.2418725618</v>
      </c>
      <c r="I5497" s="78" t="s">
        <v>6343</v>
      </c>
      <c r="J5497" s="78" t="s">
        <v>69</v>
      </c>
      <c r="K5497" s="58">
        <f t="shared" si="14"/>
        <v>0</v>
      </c>
      <c r="L5497" s="91" t="str">
        <f t="shared" si="8"/>
        <v>Mon</v>
      </c>
      <c r="M5497" s="78" t="str">
        <f>IFERROR(VLOOKUP(A5497, Entries!A:B,2,false),"")</f>
        <v>2K</v>
      </c>
      <c r="N5497" s="23" t="str">
        <f>IFERROR(VLOOKUP(A5497, Entries!A:K,11,false),"")</f>
        <v/>
      </c>
    </row>
    <row r="5498">
      <c r="A5498" s="78" t="s">
        <v>4566</v>
      </c>
      <c r="B5498" s="78" t="s">
        <v>27</v>
      </c>
      <c r="C5498" s="85">
        <v>45390.0</v>
      </c>
      <c r="D5498" s="85">
        <v>45390.0</v>
      </c>
      <c r="E5498" s="86">
        <v>17.49</v>
      </c>
      <c r="F5498" s="87">
        <v>23.07</v>
      </c>
      <c r="G5498" s="88">
        <f t="shared" si="1"/>
        <v>5.58</v>
      </c>
      <c r="H5498" s="89">
        <f t="shared" si="15"/>
        <v>0.2418725618</v>
      </c>
      <c r="I5498" s="78" t="s">
        <v>6344</v>
      </c>
      <c r="J5498" s="78" t="s">
        <v>69</v>
      </c>
      <c r="K5498" s="58">
        <f t="shared" si="14"/>
        <v>0</v>
      </c>
      <c r="L5498" s="91" t="str">
        <f t="shared" si="8"/>
        <v>Mon</v>
      </c>
      <c r="M5498" s="78" t="str">
        <f>IFERROR(VLOOKUP(A5498, Entries!A:B,2,false),"")</f>
        <v>2K</v>
      </c>
      <c r="N5498" s="23" t="str">
        <f>IFERROR(VLOOKUP(A5498, Entries!A:K,11,false),"")</f>
        <v/>
      </c>
    </row>
    <row r="5499">
      <c r="A5499" s="78" t="s">
        <v>4566</v>
      </c>
      <c r="B5499" s="78" t="s">
        <v>27</v>
      </c>
      <c r="C5499" s="85">
        <v>45390.0</v>
      </c>
      <c r="D5499" s="85">
        <v>45391.0</v>
      </c>
      <c r="E5499" s="86">
        <v>17.49</v>
      </c>
      <c r="F5499" s="87">
        <v>23.1</v>
      </c>
      <c r="G5499" s="88">
        <f t="shared" si="1"/>
        <v>5.61</v>
      </c>
      <c r="H5499" s="89">
        <f t="shared" si="15"/>
        <v>0.2428571429</v>
      </c>
      <c r="I5499" s="78" t="s">
        <v>6345</v>
      </c>
      <c r="J5499" s="78" t="s">
        <v>69</v>
      </c>
      <c r="K5499" s="58">
        <f t="shared" si="14"/>
        <v>1</v>
      </c>
      <c r="L5499" s="91" t="str">
        <f t="shared" si="8"/>
        <v>Tue</v>
      </c>
      <c r="M5499" s="78" t="str">
        <f>IFERROR(VLOOKUP(A5499, Entries!A:B,2,false),"")</f>
        <v>2K</v>
      </c>
      <c r="N5499" s="23" t="str">
        <f>IFERROR(VLOOKUP(A5499, Entries!A:K,11,false),"")</f>
        <v/>
      </c>
    </row>
    <row r="5500">
      <c r="A5500" s="78" t="s">
        <v>6346</v>
      </c>
      <c r="B5500" s="78" t="s">
        <v>35</v>
      </c>
      <c r="C5500" s="85">
        <v>45390.0</v>
      </c>
      <c r="D5500" s="85">
        <v>46188.0</v>
      </c>
      <c r="E5500" s="86">
        <v>10.8</v>
      </c>
      <c r="F5500" s="87">
        <v>11.62</v>
      </c>
      <c r="G5500" s="88">
        <f t="shared" si="1"/>
        <v>0.82</v>
      </c>
      <c r="H5500" s="89">
        <f t="shared" si="15"/>
        <v>0.07056798623</v>
      </c>
      <c r="I5500" s="103" t="s">
        <v>6347</v>
      </c>
      <c r="J5500" s="78" t="s">
        <v>69</v>
      </c>
      <c r="K5500" s="58">
        <f t="shared" si="14"/>
        <v>798</v>
      </c>
      <c r="L5500" s="91" t="str">
        <f t="shared" si="8"/>
        <v>Mon</v>
      </c>
      <c r="M5500" s="78" t="str">
        <f>IFERROR(VLOOKUP(A5500, Entries!A:B,2,false),"")</f>
        <v/>
      </c>
      <c r="N5500" s="23" t="str">
        <f>IFERROR(VLOOKUP(A5500, Entries!A:K,11,false),"")</f>
        <v/>
      </c>
      <c r="P5500" s="78" t="s">
        <v>6348</v>
      </c>
      <c r="Q5500" s="78" t="s">
        <v>6349</v>
      </c>
    </row>
    <row r="5501">
      <c r="A5501" s="78" t="s">
        <v>1729</v>
      </c>
      <c r="B5501" s="78" t="s">
        <v>19</v>
      </c>
      <c r="C5501" s="85">
        <v>45390.0</v>
      </c>
      <c r="D5501" s="85">
        <v>45391.0</v>
      </c>
      <c r="E5501" s="86">
        <v>5.16</v>
      </c>
      <c r="F5501" s="87">
        <v>8.42</v>
      </c>
      <c r="G5501" s="88">
        <f t="shared" si="1"/>
        <v>3.26</v>
      </c>
      <c r="H5501" s="89">
        <f t="shared" si="15"/>
        <v>0.3871733967</v>
      </c>
      <c r="I5501" s="78" t="s">
        <v>6350</v>
      </c>
      <c r="J5501" s="78" t="s">
        <v>69</v>
      </c>
      <c r="K5501" s="58">
        <f t="shared" si="14"/>
        <v>1</v>
      </c>
      <c r="L5501" s="91" t="str">
        <f t="shared" si="8"/>
        <v>Tue</v>
      </c>
      <c r="M5501" s="78" t="str">
        <f>IFERROR(VLOOKUP(A5501, Entries!A:B,2,false),"")</f>
        <v>Focus Home Interactive</v>
      </c>
      <c r="N5501" s="23" t="str">
        <f>IFERROR(VLOOKUP(A5501, Entries!A:K,11,false),"")</f>
        <v/>
      </c>
      <c r="P5501" s="78" t="s">
        <v>6348</v>
      </c>
      <c r="Q5501" s="78" t="s">
        <v>6349</v>
      </c>
    </row>
    <row r="5502">
      <c r="A5502" s="78" t="s">
        <v>6274</v>
      </c>
      <c r="B5502" s="78" t="s">
        <v>27</v>
      </c>
      <c r="C5502" s="85">
        <v>45390.0</v>
      </c>
      <c r="D5502" s="85">
        <v>45390.0</v>
      </c>
      <c r="E5502" s="86">
        <v>7.43</v>
      </c>
      <c r="F5502" s="87">
        <v>7.95</v>
      </c>
      <c r="G5502" s="88">
        <f t="shared" si="1"/>
        <v>0.52</v>
      </c>
      <c r="H5502" s="89">
        <f t="shared" si="15"/>
        <v>0.06540880503</v>
      </c>
      <c r="I5502" s="78" t="s">
        <v>6351</v>
      </c>
      <c r="J5502" s="78" t="s">
        <v>69</v>
      </c>
      <c r="K5502" s="58">
        <f t="shared" si="14"/>
        <v>0</v>
      </c>
      <c r="L5502" s="91" t="str">
        <f t="shared" si="8"/>
        <v>Mon</v>
      </c>
      <c r="M5502" s="78" t="str">
        <f>IFERROR(VLOOKUP(A5502, Entries!A:B,2,false),"")</f>
        <v>Bethesda Softworks</v>
      </c>
      <c r="N5502" s="23" t="str">
        <f>IFERROR(VLOOKUP(A5502, Entries!A:K,11,false),"")</f>
        <v/>
      </c>
      <c r="P5502" s="78" t="s">
        <v>6348</v>
      </c>
      <c r="Q5502" s="78" t="s">
        <v>6349</v>
      </c>
    </row>
    <row r="5503">
      <c r="A5503" s="78" t="s">
        <v>6274</v>
      </c>
      <c r="B5503" s="78" t="s">
        <v>27</v>
      </c>
      <c r="C5503" s="85">
        <v>45390.0</v>
      </c>
      <c r="D5503" s="85">
        <v>45390.0</v>
      </c>
      <c r="E5503" s="86">
        <v>7.43</v>
      </c>
      <c r="F5503" s="87">
        <v>7.96</v>
      </c>
      <c r="G5503" s="88">
        <f t="shared" si="1"/>
        <v>0.53</v>
      </c>
      <c r="H5503" s="89">
        <f t="shared" si="15"/>
        <v>0.06658291457</v>
      </c>
      <c r="I5503" s="78" t="s">
        <v>6352</v>
      </c>
      <c r="J5503" s="78" t="s">
        <v>69</v>
      </c>
      <c r="K5503" s="58">
        <f t="shared" si="14"/>
        <v>0</v>
      </c>
      <c r="L5503" s="91" t="str">
        <f t="shared" si="8"/>
        <v>Mon</v>
      </c>
      <c r="M5503" s="78" t="str">
        <f>IFERROR(VLOOKUP(A5503, Entries!A:B,2,false),"")</f>
        <v>Bethesda Softworks</v>
      </c>
      <c r="N5503" s="23" t="str">
        <f>IFERROR(VLOOKUP(A5503, Entries!A:K,11,false),"")</f>
        <v/>
      </c>
    </row>
    <row r="5504">
      <c r="A5504" s="78" t="s">
        <v>6274</v>
      </c>
      <c r="B5504" s="78" t="s">
        <v>27</v>
      </c>
      <c r="C5504" s="85">
        <v>45390.0</v>
      </c>
      <c r="D5504" s="85">
        <v>45391.0</v>
      </c>
      <c r="E5504" s="86">
        <v>7.43</v>
      </c>
      <c r="F5504" s="87">
        <v>7.96</v>
      </c>
      <c r="G5504" s="88">
        <f t="shared" si="1"/>
        <v>0.53</v>
      </c>
      <c r="H5504" s="89">
        <f t="shared" si="15"/>
        <v>0.06658291457</v>
      </c>
      <c r="I5504" s="78" t="s">
        <v>6353</v>
      </c>
      <c r="J5504" s="78" t="s">
        <v>69</v>
      </c>
      <c r="K5504" s="58">
        <f t="shared" si="14"/>
        <v>1</v>
      </c>
      <c r="L5504" s="91" t="str">
        <f t="shared" si="8"/>
        <v>Tue</v>
      </c>
      <c r="M5504" s="78" t="str">
        <f>IFERROR(VLOOKUP(A5504, Entries!A:B,2,false),"")</f>
        <v>Bethesda Softworks</v>
      </c>
      <c r="N5504" s="23" t="str">
        <f>IFERROR(VLOOKUP(A5504, Entries!A:K,11,false),"")</f>
        <v/>
      </c>
    </row>
    <row r="5505">
      <c r="A5505" s="78" t="s">
        <v>4085</v>
      </c>
      <c r="B5505" s="78" t="s">
        <v>27</v>
      </c>
      <c r="C5505" s="85">
        <v>45390.0</v>
      </c>
      <c r="D5505" s="85">
        <v>45390.0</v>
      </c>
      <c r="E5505" s="86">
        <v>6.39</v>
      </c>
      <c r="F5505" s="87">
        <v>7.29</v>
      </c>
      <c r="G5505" s="88">
        <f t="shared" si="1"/>
        <v>0.9</v>
      </c>
      <c r="H5505" s="89">
        <f t="shared" si="15"/>
        <v>0.1234567901</v>
      </c>
      <c r="I5505" s="78" t="s">
        <v>6354</v>
      </c>
      <c r="J5505" s="78" t="s">
        <v>69</v>
      </c>
      <c r="K5505" s="58">
        <f t="shared" si="14"/>
        <v>0</v>
      </c>
      <c r="L5505" s="91" t="str">
        <f t="shared" si="8"/>
        <v>Mon</v>
      </c>
      <c r="M5505" s="78" t="str">
        <f>IFERROR(VLOOKUP(A5505, Entries!A:B,2,false),"")</f>
        <v>Bethesda Softworks</v>
      </c>
      <c r="N5505" s="23" t="str">
        <f>IFERROR(VLOOKUP(A5505, Entries!A:K,11,false),"")</f>
        <v/>
      </c>
    </row>
    <row r="5506">
      <c r="A5506" s="78" t="s">
        <v>4085</v>
      </c>
      <c r="B5506" s="78" t="s">
        <v>27</v>
      </c>
      <c r="C5506" s="85">
        <v>45390.0</v>
      </c>
      <c r="D5506" s="85">
        <v>45391.0</v>
      </c>
      <c r="E5506" s="86">
        <v>6.39</v>
      </c>
      <c r="F5506" s="87">
        <v>7.29</v>
      </c>
      <c r="G5506" s="88">
        <f t="shared" si="1"/>
        <v>0.9</v>
      </c>
      <c r="H5506" s="89">
        <f t="shared" si="15"/>
        <v>0.1234567901</v>
      </c>
      <c r="I5506" s="78" t="s">
        <v>6355</v>
      </c>
      <c r="J5506" s="78" t="s">
        <v>69</v>
      </c>
      <c r="K5506" s="58">
        <f t="shared" si="14"/>
        <v>1</v>
      </c>
      <c r="L5506" s="91" t="str">
        <f t="shared" si="8"/>
        <v>Tue</v>
      </c>
      <c r="M5506" s="78" t="str">
        <f>IFERROR(VLOOKUP(A5506, Entries!A:B,2,false),"")</f>
        <v>Bethesda Softworks</v>
      </c>
      <c r="N5506" s="23" t="str">
        <f>IFERROR(VLOOKUP(A5506, Entries!A:K,11,false),"")</f>
        <v/>
      </c>
    </row>
    <row r="5507">
      <c r="A5507" s="78" t="s">
        <v>4085</v>
      </c>
      <c r="B5507" s="78" t="s">
        <v>27</v>
      </c>
      <c r="C5507" s="85">
        <v>45390.0</v>
      </c>
      <c r="D5507" s="85">
        <v>45391.0</v>
      </c>
      <c r="E5507" s="86">
        <v>6.39</v>
      </c>
      <c r="F5507" s="87">
        <v>7.29</v>
      </c>
      <c r="G5507" s="88">
        <f t="shared" si="1"/>
        <v>0.9</v>
      </c>
      <c r="H5507" s="89">
        <f t="shared" si="15"/>
        <v>0.1234567901</v>
      </c>
      <c r="I5507" s="78" t="s">
        <v>6356</v>
      </c>
      <c r="J5507" s="78" t="s">
        <v>69</v>
      </c>
      <c r="K5507" s="58">
        <f t="shared" si="14"/>
        <v>1</v>
      </c>
      <c r="L5507" s="91" t="str">
        <f t="shared" si="8"/>
        <v>Tue</v>
      </c>
      <c r="M5507" s="78" t="str">
        <f>IFERROR(VLOOKUP(A5507, Entries!A:B,2,false),"")</f>
        <v>Bethesda Softworks</v>
      </c>
      <c r="N5507" s="23" t="str">
        <f>IFERROR(VLOOKUP(A5507, Entries!A:K,11,false),"")</f>
        <v/>
      </c>
    </row>
    <row r="5508">
      <c r="A5508" s="78" t="s">
        <v>5161</v>
      </c>
      <c r="B5508" s="78" t="s">
        <v>22</v>
      </c>
      <c r="C5508" s="85">
        <v>45390.0</v>
      </c>
      <c r="D5508" s="85">
        <v>45395.0</v>
      </c>
      <c r="E5508" s="86">
        <v>2.03</v>
      </c>
      <c r="F5508" s="87">
        <v>3.02</v>
      </c>
      <c r="G5508" s="88">
        <f t="shared" si="1"/>
        <v>0.99</v>
      </c>
      <c r="H5508" s="89">
        <f t="shared" si="15"/>
        <v>0.3278145695</v>
      </c>
      <c r="I5508" s="78" t="s">
        <v>6357</v>
      </c>
      <c r="J5508" s="78" t="s">
        <v>69</v>
      </c>
      <c r="K5508" s="58">
        <f t="shared" si="14"/>
        <v>5</v>
      </c>
      <c r="L5508" s="91" t="str">
        <f t="shared" si="8"/>
        <v>Sat</v>
      </c>
      <c r="M5508" s="78" t="str">
        <f>IFERROR(VLOOKUP(A5508, Entries!A:B,2,false),"")</f>
        <v>Daedalic Entertainment</v>
      </c>
      <c r="N5508" s="23" t="str">
        <f>IFERROR(VLOOKUP(A5508, Entries!A:K,11,false),"")</f>
        <v/>
      </c>
    </row>
    <row r="5509">
      <c r="A5509" s="94" t="s">
        <v>5161</v>
      </c>
      <c r="B5509" s="78" t="s">
        <v>22</v>
      </c>
      <c r="C5509" s="85">
        <v>45390.0</v>
      </c>
      <c r="D5509" s="85">
        <v>45398.0</v>
      </c>
      <c r="E5509" s="86">
        <v>2.03</v>
      </c>
      <c r="F5509" s="87">
        <v>3.02</v>
      </c>
      <c r="G5509" s="88">
        <f t="shared" si="1"/>
        <v>0.99</v>
      </c>
      <c r="H5509" s="89">
        <f t="shared" si="15"/>
        <v>0.3278145695</v>
      </c>
      <c r="I5509" s="78" t="s">
        <v>6358</v>
      </c>
      <c r="J5509" s="78" t="s">
        <v>69</v>
      </c>
      <c r="K5509" s="58">
        <f t="shared" si="14"/>
        <v>8</v>
      </c>
      <c r="L5509" s="91" t="str">
        <f t="shared" si="8"/>
        <v>Tue</v>
      </c>
      <c r="M5509" s="78" t="str">
        <f>IFERROR(VLOOKUP(A5509, Entries!A:B,2,false),"")</f>
        <v>Daedalic Entertainment</v>
      </c>
      <c r="N5509" s="23" t="str">
        <f>IFERROR(VLOOKUP(A5509, Entries!A:K,11,false),"")</f>
        <v/>
      </c>
    </row>
    <row r="5510">
      <c r="A5510" s="94" t="s">
        <v>5161</v>
      </c>
      <c r="B5510" s="78" t="s">
        <v>22</v>
      </c>
      <c r="C5510" s="85">
        <v>45390.0</v>
      </c>
      <c r="D5510" s="85">
        <v>45398.0</v>
      </c>
      <c r="E5510" s="86">
        <v>2.02</v>
      </c>
      <c r="F5510" s="87">
        <v>3.02</v>
      </c>
      <c r="G5510" s="88">
        <f t="shared" si="1"/>
        <v>1</v>
      </c>
      <c r="H5510" s="89">
        <f t="shared" si="15"/>
        <v>0.3311258278</v>
      </c>
      <c r="I5510" s="78" t="s">
        <v>6359</v>
      </c>
      <c r="J5510" s="78" t="s">
        <v>69</v>
      </c>
      <c r="K5510" s="58">
        <f t="shared" si="14"/>
        <v>8</v>
      </c>
      <c r="L5510" s="91" t="str">
        <f t="shared" si="8"/>
        <v>Tue</v>
      </c>
      <c r="M5510" s="78" t="str">
        <f>IFERROR(VLOOKUP(A5510, Entries!A:B,2,false),"")</f>
        <v>Daedalic Entertainment</v>
      </c>
      <c r="N5510" s="23" t="str">
        <f>IFERROR(VLOOKUP(A5510, Entries!A:K,11,false),"")</f>
        <v/>
      </c>
    </row>
    <row r="5511">
      <c r="A5511" s="78" t="s">
        <v>4926</v>
      </c>
      <c r="B5511" s="78" t="s">
        <v>27</v>
      </c>
      <c r="C5511" s="85">
        <v>45390.0</v>
      </c>
      <c r="D5511" s="85">
        <v>45391.0</v>
      </c>
      <c r="E5511" s="86">
        <v>7.59</v>
      </c>
      <c r="F5511" s="87">
        <v>9.5</v>
      </c>
      <c r="G5511" s="88">
        <f t="shared" si="1"/>
        <v>1.91</v>
      </c>
      <c r="H5511" s="89">
        <f t="shared" si="15"/>
        <v>0.2010526316</v>
      </c>
      <c r="I5511" s="78" t="s">
        <v>6360</v>
      </c>
      <c r="J5511" s="78" t="s">
        <v>69</v>
      </c>
      <c r="K5511" s="58">
        <f t="shared" si="14"/>
        <v>1</v>
      </c>
      <c r="L5511" s="91" t="str">
        <f t="shared" si="8"/>
        <v>Tue</v>
      </c>
      <c r="M5511" s="78" t="str">
        <f>IFERROR(VLOOKUP(A5511, Entries!A:B,2,false),"")</f>
        <v>Bethesda Softworks</v>
      </c>
      <c r="N5511" s="23" t="str">
        <f>IFERROR(VLOOKUP(A5511, Entries!A:K,11,false),"")</f>
        <v/>
      </c>
    </row>
    <row r="5512">
      <c r="A5512" s="78" t="s">
        <v>4926</v>
      </c>
      <c r="B5512" s="78" t="s">
        <v>27</v>
      </c>
      <c r="C5512" s="85">
        <v>45390.0</v>
      </c>
      <c r="D5512" s="85">
        <v>45391.0</v>
      </c>
      <c r="E5512" s="86">
        <v>7.59</v>
      </c>
      <c r="F5512" s="87">
        <v>9.5</v>
      </c>
      <c r="G5512" s="88">
        <f t="shared" si="1"/>
        <v>1.91</v>
      </c>
      <c r="H5512" s="89">
        <f t="shared" si="15"/>
        <v>0.2010526316</v>
      </c>
      <c r="I5512" s="78" t="s">
        <v>6361</v>
      </c>
      <c r="J5512" s="78" t="s">
        <v>69</v>
      </c>
      <c r="K5512" s="58">
        <f t="shared" si="14"/>
        <v>1</v>
      </c>
      <c r="L5512" s="91" t="str">
        <f t="shared" si="8"/>
        <v>Tue</v>
      </c>
      <c r="M5512" s="78" t="str">
        <f>IFERROR(VLOOKUP(A5512, Entries!A:B,2,false),"")</f>
        <v>Bethesda Softworks</v>
      </c>
      <c r="N5512" s="23" t="str">
        <f>IFERROR(VLOOKUP(A5512, Entries!A:K,11,false),"")</f>
        <v/>
      </c>
    </row>
    <row r="5513">
      <c r="A5513" s="78" t="s">
        <v>4926</v>
      </c>
      <c r="B5513" s="78" t="s">
        <v>27</v>
      </c>
      <c r="C5513" s="85">
        <v>45390.0</v>
      </c>
      <c r="D5513" s="85">
        <v>45391.0</v>
      </c>
      <c r="E5513" s="86">
        <v>7.59</v>
      </c>
      <c r="F5513" s="87">
        <v>9.5</v>
      </c>
      <c r="G5513" s="88">
        <f t="shared" si="1"/>
        <v>1.91</v>
      </c>
      <c r="H5513" s="89">
        <f t="shared" si="15"/>
        <v>0.2010526316</v>
      </c>
      <c r="I5513" s="78" t="s">
        <v>6362</v>
      </c>
      <c r="J5513" s="78" t="s">
        <v>69</v>
      </c>
      <c r="K5513" s="58">
        <f t="shared" si="14"/>
        <v>1</v>
      </c>
      <c r="L5513" s="91" t="str">
        <f t="shared" si="8"/>
        <v>Tue</v>
      </c>
      <c r="M5513" s="78" t="str">
        <f>IFERROR(VLOOKUP(A5513, Entries!A:B,2,false),"")</f>
        <v>Bethesda Softworks</v>
      </c>
      <c r="N5513" s="23" t="str">
        <f>IFERROR(VLOOKUP(A5513, Entries!A:K,11,false),"")</f>
        <v/>
      </c>
    </row>
    <row r="5514">
      <c r="A5514" s="78" t="s">
        <v>6274</v>
      </c>
      <c r="B5514" s="78" t="s">
        <v>27</v>
      </c>
      <c r="C5514" s="85">
        <v>45391.0</v>
      </c>
      <c r="D5514" s="85">
        <v>45394.0</v>
      </c>
      <c r="E5514" s="86">
        <v>7.59</v>
      </c>
      <c r="F5514" s="87">
        <v>9.0</v>
      </c>
      <c r="G5514" s="88">
        <f t="shared" si="1"/>
        <v>1.41</v>
      </c>
      <c r="H5514" s="89">
        <f t="shared" si="15"/>
        <v>0.1566666667</v>
      </c>
      <c r="I5514" s="78" t="s">
        <v>6363</v>
      </c>
      <c r="J5514" s="78" t="s">
        <v>69</v>
      </c>
      <c r="K5514" s="58">
        <f t="shared" si="14"/>
        <v>3</v>
      </c>
      <c r="L5514" s="91" t="str">
        <f t="shared" si="8"/>
        <v>Fri</v>
      </c>
      <c r="M5514" s="78" t="str">
        <f>IFERROR(VLOOKUP(A5514, Entries!A:B,2,false),"")</f>
        <v>Bethesda Softworks</v>
      </c>
      <c r="N5514" s="23" t="str">
        <f>IFERROR(VLOOKUP(A5514, Entries!A:K,11,false),"")</f>
        <v/>
      </c>
    </row>
    <row r="5515">
      <c r="A5515" s="78" t="s">
        <v>6274</v>
      </c>
      <c r="B5515" s="78" t="s">
        <v>27</v>
      </c>
      <c r="C5515" s="85">
        <v>45391.0</v>
      </c>
      <c r="D5515" s="85">
        <v>45394.0</v>
      </c>
      <c r="E5515" s="86">
        <v>7.59</v>
      </c>
      <c r="F5515" s="87">
        <v>9.0</v>
      </c>
      <c r="G5515" s="88">
        <f t="shared" si="1"/>
        <v>1.41</v>
      </c>
      <c r="H5515" s="89">
        <f t="shared" si="15"/>
        <v>0.1566666667</v>
      </c>
      <c r="I5515" s="78" t="s">
        <v>6364</v>
      </c>
      <c r="J5515" s="78" t="s">
        <v>69</v>
      </c>
      <c r="K5515" s="58">
        <f t="shared" si="14"/>
        <v>3</v>
      </c>
      <c r="L5515" s="91" t="str">
        <f t="shared" si="8"/>
        <v>Fri</v>
      </c>
      <c r="M5515" s="78" t="str">
        <f>IFERROR(VLOOKUP(A5515, Entries!A:B,2,false),"")</f>
        <v>Bethesda Softworks</v>
      </c>
      <c r="N5515" s="23" t="str">
        <f>IFERROR(VLOOKUP(A5515, Entries!A:K,11,false),"")</f>
        <v/>
      </c>
    </row>
    <row r="5516">
      <c r="A5516" s="78" t="s">
        <v>6274</v>
      </c>
      <c r="B5516" s="78" t="s">
        <v>27</v>
      </c>
      <c r="C5516" s="85">
        <v>45391.0</v>
      </c>
      <c r="D5516" s="85">
        <v>45394.0</v>
      </c>
      <c r="E5516" s="86">
        <v>7.59</v>
      </c>
      <c r="F5516" s="87">
        <v>9.01</v>
      </c>
      <c r="G5516" s="88">
        <f t="shared" si="1"/>
        <v>1.42</v>
      </c>
      <c r="H5516" s="89">
        <f t="shared" si="15"/>
        <v>0.1576026637</v>
      </c>
      <c r="I5516" s="78" t="s">
        <v>6365</v>
      </c>
      <c r="J5516" s="78" t="s">
        <v>69</v>
      </c>
      <c r="K5516" s="58">
        <f t="shared" si="14"/>
        <v>3</v>
      </c>
      <c r="L5516" s="91" t="str">
        <f t="shared" si="8"/>
        <v>Fri</v>
      </c>
      <c r="M5516" s="78" t="str">
        <f>IFERROR(VLOOKUP(A5516, Entries!A:B,2,false),"")</f>
        <v>Bethesda Softworks</v>
      </c>
      <c r="N5516" s="23" t="str">
        <f>IFERROR(VLOOKUP(A5516, Entries!A:K,11,false),"")</f>
        <v/>
      </c>
    </row>
    <row r="5517">
      <c r="A5517" s="78" t="s">
        <v>4085</v>
      </c>
      <c r="B5517" s="78" t="s">
        <v>27</v>
      </c>
      <c r="C5517" s="85">
        <v>45391.0</v>
      </c>
      <c r="D5517" s="85">
        <v>45391.0</v>
      </c>
      <c r="E5517" s="86">
        <v>6.39</v>
      </c>
      <c r="F5517" s="87">
        <v>7.29</v>
      </c>
      <c r="G5517" s="88">
        <f t="shared" si="1"/>
        <v>0.9</v>
      </c>
      <c r="H5517" s="89">
        <f t="shared" si="15"/>
        <v>0.1234567901</v>
      </c>
      <c r="I5517" s="78" t="s">
        <v>6366</v>
      </c>
      <c r="J5517" s="78" t="s">
        <v>69</v>
      </c>
      <c r="K5517" s="58">
        <f t="shared" si="14"/>
        <v>0</v>
      </c>
      <c r="L5517" s="91" t="str">
        <f t="shared" si="8"/>
        <v>Tue</v>
      </c>
      <c r="M5517" s="78" t="str">
        <f>IFERROR(VLOOKUP(A5517, Entries!A:B,2,false),"")</f>
        <v>Bethesda Softworks</v>
      </c>
      <c r="N5517" s="23" t="str">
        <f>IFERROR(VLOOKUP(A5517, Entries!A:K,11,false),"")</f>
        <v/>
      </c>
    </row>
    <row r="5518">
      <c r="A5518" s="78" t="s">
        <v>4085</v>
      </c>
      <c r="B5518" s="78" t="s">
        <v>27</v>
      </c>
      <c r="C5518" s="85">
        <v>45391.0</v>
      </c>
      <c r="D5518" s="85">
        <v>45391.0</v>
      </c>
      <c r="E5518" s="86">
        <v>6.39</v>
      </c>
      <c r="F5518" s="87">
        <v>7.29</v>
      </c>
      <c r="G5518" s="88">
        <f t="shared" si="1"/>
        <v>0.9</v>
      </c>
      <c r="H5518" s="89">
        <f t="shared" si="15"/>
        <v>0.1234567901</v>
      </c>
      <c r="I5518" s="78" t="s">
        <v>6367</v>
      </c>
      <c r="J5518" s="78" t="s">
        <v>69</v>
      </c>
      <c r="K5518" s="58">
        <f t="shared" si="14"/>
        <v>0</v>
      </c>
      <c r="L5518" s="91" t="str">
        <f t="shared" si="8"/>
        <v>Tue</v>
      </c>
      <c r="M5518" s="78" t="str">
        <f>IFERROR(VLOOKUP(A5518, Entries!A:B,2,false),"")</f>
        <v>Bethesda Softworks</v>
      </c>
      <c r="N5518" s="23" t="str">
        <f>IFERROR(VLOOKUP(A5518, Entries!A:K,11,false),"")</f>
        <v/>
      </c>
    </row>
    <row r="5519">
      <c r="A5519" s="78" t="s">
        <v>4085</v>
      </c>
      <c r="B5519" s="78" t="s">
        <v>27</v>
      </c>
      <c r="C5519" s="85">
        <v>45391.0</v>
      </c>
      <c r="D5519" s="85">
        <v>45391.0</v>
      </c>
      <c r="E5519" s="86">
        <v>6.39</v>
      </c>
      <c r="F5519" s="87">
        <v>7.29</v>
      </c>
      <c r="G5519" s="88">
        <f t="shared" si="1"/>
        <v>0.9</v>
      </c>
      <c r="H5519" s="89">
        <f t="shared" si="15"/>
        <v>0.1234567901</v>
      </c>
      <c r="I5519" s="78" t="s">
        <v>6368</v>
      </c>
      <c r="J5519" s="78" t="s">
        <v>69</v>
      </c>
      <c r="K5519" s="58">
        <f t="shared" si="14"/>
        <v>0</v>
      </c>
      <c r="L5519" s="91" t="str">
        <f t="shared" si="8"/>
        <v>Tue</v>
      </c>
      <c r="M5519" s="78" t="str">
        <f>IFERROR(VLOOKUP(A5519, Entries!A:B,2,false),"")</f>
        <v>Bethesda Softworks</v>
      </c>
      <c r="N5519" s="23" t="str">
        <f>IFERROR(VLOOKUP(A5519, Entries!A:K,11,false),"")</f>
        <v/>
      </c>
    </row>
    <row r="5520">
      <c r="A5520" s="78" t="s">
        <v>4566</v>
      </c>
      <c r="B5520" s="78" t="s">
        <v>27</v>
      </c>
      <c r="C5520" s="85">
        <v>45391.0</v>
      </c>
      <c r="D5520" s="85">
        <v>45391.0</v>
      </c>
      <c r="E5520" s="86">
        <v>17.49</v>
      </c>
      <c r="F5520" s="87">
        <v>23.1</v>
      </c>
      <c r="G5520" s="88">
        <f t="shared" si="1"/>
        <v>5.61</v>
      </c>
      <c r="H5520" s="89">
        <f t="shared" si="15"/>
        <v>0.2428571429</v>
      </c>
      <c r="I5520" s="78" t="s">
        <v>6369</v>
      </c>
      <c r="J5520" s="78" t="s">
        <v>69</v>
      </c>
      <c r="K5520" s="58">
        <f t="shared" si="14"/>
        <v>0</v>
      </c>
      <c r="L5520" s="91" t="str">
        <f t="shared" si="8"/>
        <v>Tue</v>
      </c>
      <c r="M5520" s="78" t="str">
        <f>IFERROR(VLOOKUP(A5520, Entries!A:B,2,false),"")</f>
        <v>2K</v>
      </c>
      <c r="N5520" s="23" t="str">
        <f>IFERROR(VLOOKUP(A5520, Entries!A:K,11,false),"")</f>
        <v/>
      </c>
    </row>
    <row r="5521">
      <c r="A5521" s="78" t="s">
        <v>4926</v>
      </c>
      <c r="B5521" s="78" t="s">
        <v>27</v>
      </c>
      <c r="C5521" s="85">
        <v>45391.0</v>
      </c>
      <c r="D5521" s="85">
        <v>45391.0</v>
      </c>
      <c r="E5521" s="86">
        <v>7.59</v>
      </c>
      <c r="F5521" s="87">
        <v>9.49</v>
      </c>
      <c r="G5521" s="88">
        <f t="shared" si="1"/>
        <v>1.9</v>
      </c>
      <c r="H5521" s="89">
        <f t="shared" si="15"/>
        <v>0.2002107482</v>
      </c>
      <c r="I5521" s="78" t="s">
        <v>6370</v>
      </c>
      <c r="J5521" s="78" t="s">
        <v>69</v>
      </c>
      <c r="K5521" s="58">
        <f t="shared" si="14"/>
        <v>0</v>
      </c>
      <c r="L5521" s="91" t="str">
        <f t="shared" si="8"/>
        <v>Tue</v>
      </c>
      <c r="M5521" s="78" t="str">
        <f>IFERROR(VLOOKUP(A5521, Entries!A:B,2,false),"")</f>
        <v>Bethesda Softworks</v>
      </c>
      <c r="N5521" s="23" t="str">
        <f>IFERROR(VLOOKUP(A5521, Entries!A:K,11,false),"")</f>
        <v/>
      </c>
    </row>
    <row r="5522">
      <c r="A5522" s="78" t="s">
        <v>4926</v>
      </c>
      <c r="B5522" s="78" t="s">
        <v>27</v>
      </c>
      <c r="C5522" s="85">
        <v>45391.0</v>
      </c>
      <c r="D5522" s="85">
        <v>45391.0</v>
      </c>
      <c r="E5522" s="86">
        <v>7.59</v>
      </c>
      <c r="F5522" s="87">
        <v>9.49</v>
      </c>
      <c r="G5522" s="88">
        <f t="shared" si="1"/>
        <v>1.9</v>
      </c>
      <c r="H5522" s="89">
        <f t="shared" si="15"/>
        <v>0.2002107482</v>
      </c>
      <c r="I5522" s="78" t="s">
        <v>6371</v>
      </c>
      <c r="J5522" s="78" t="s">
        <v>69</v>
      </c>
      <c r="K5522" s="58">
        <f t="shared" si="14"/>
        <v>0</v>
      </c>
      <c r="L5522" s="91" t="str">
        <f t="shared" si="8"/>
        <v>Tue</v>
      </c>
      <c r="M5522" s="78" t="str">
        <f>IFERROR(VLOOKUP(A5522, Entries!A:B,2,false),"")</f>
        <v>Bethesda Softworks</v>
      </c>
      <c r="N5522" s="23" t="str">
        <f>IFERROR(VLOOKUP(A5522, Entries!A:K,11,false),"")</f>
        <v/>
      </c>
    </row>
    <row r="5523">
      <c r="A5523" s="78" t="s">
        <v>6006</v>
      </c>
      <c r="B5523" s="78" t="s">
        <v>19</v>
      </c>
      <c r="C5523" s="85">
        <v>45391.0</v>
      </c>
      <c r="D5523" s="85">
        <v>45393.0</v>
      </c>
      <c r="E5523" s="86">
        <v>37.13</v>
      </c>
      <c r="F5523" s="87">
        <v>44.82</v>
      </c>
      <c r="G5523" s="88">
        <f t="shared" si="1"/>
        <v>7.69</v>
      </c>
      <c r="H5523" s="89">
        <f t="shared" si="15"/>
        <v>0.1715751896</v>
      </c>
      <c r="I5523" s="78" t="s">
        <v>6372</v>
      </c>
      <c r="J5523" s="78" t="s">
        <v>69</v>
      </c>
      <c r="K5523" s="58">
        <f t="shared" si="14"/>
        <v>2</v>
      </c>
      <c r="L5523" s="91" t="str">
        <f t="shared" si="8"/>
        <v>Thu</v>
      </c>
      <c r="M5523" s="78" t="str">
        <f>IFERROR(VLOOKUP(A5523, Entries!A:B,2,false),"")</f>
        <v>Bethesda Softworks</v>
      </c>
      <c r="N5523" s="23" t="str">
        <f>IFERROR(VLOOKUP(A5523, Entries!A:K,11,false),"")</f>
        <v/>
      </c>
    </row>
    <row r="5524">
      <c r="A5524" s="78" t="s">
        <v>4566</v>
      </c>
      <c r="B5524" s="78" t="s">
        <v>27</v>
      </c>
      <c r="C5524" s="85">
        <v>45391.0</v>
      </c>
      <c r="D5524" s="85">
        <v>45392.0</v>
      </c>
      <c r="E5524" s="86">
        <v>17.49</v>
      </c>
      <c r="F5524" s="87">
        <v>23.1</v>
      </c>
      <c r="G5524" s="88">
        <f t="shared" si="1"/>
        <v>5.61</v>
      </c>
      <c r="H5524" s="89">
        <f t="shared" si="15"/>
        <v>0.2428571429</v>
      </c>
      <c r="I5524" s="78" t="s">
        <v>6373</v>
      </c>
      <c r="J5524" s="78" t="s">
        <v>69</v>
      </c>
      <c r="K5524" s="58">
        <f t="shared" si="14"/>
        <v>1</v>
      </c>
      <c r="L5524" s="91" t="str">
        <f t="shared" si="8"/>
        <v>Wed</v>
      </c>
      <c r="M5524" s="78" t="str">
        <f>IFERROR(VLOOKUP(A5524, Entries!A:B,2,false),"")</f>
        <v>2K</v>
      </c>
      <c r="N5524" s="23" t="str">
        <f>IFERROR(VLOOKUP(A5524, Entries!A:K,11,false),"")</f>
        <v/>
      </c>
    </row>
    <row r="5525">
      <c r="A5525" s="78" t="s">
        <v>1729</v>
      </c>
      <c r="B5525" s="78" t="s">
        <v>19</v>
      </c>
      <c r="C5525" s="85">
        <v>45391.0</v>
      </c>
      <c r="D5525" s="85">
        <v>45392.0</v>
      </c>
      <c r="E5525" s="86">
        <v>5.14</v>
      </c>
      <c r="F5525" s="87">
        <v>8.42</v>
      </c>
      <c r="G5525" s="88">
        <f t="shared" si="1"/>
        <v>3.28</v>
      </c>
      <c r="H5525" s="89">
        <f t="shared" si="15"/>
        <v>0.3895486936</v>
      </c>
      <c r="I5525" s="78" t="s">
        <v>6374</v>
      </c>
      <c r="J5525" s="78" t="s">
        <v>69</v>
      </c>
      <c r="K5525" s="58">
        <f t="shared" si="14"/>
        <v>1</v>
      </c>
      <c r="L5525" s="91" t="str">
        <f t="shared" si="8"/>
        <v>Wed</v>
      </c>
      <c r="M5525" s="78" t="str">
        <f>IFERROR(VLOOKUP(A5525, Entries!A:B,2,false),"")</f>
        <v>Focus Home Interactive</v>
      </c>
      <c r="N5525" s="23" t="str">
        <f>IFERROR(VLOOKUP(A5525, Entries!A:K,11,false),"")</f>
        <v/>
      </c>
    </row>
    <row r="5526">
      <c r="A5526" s="78" t="s">
        <v>4085</v>
      </c>
      <c r="B5526" s="78" t="s">
        <v>27</v>
      </c>
      <c r="C5526" s="85">
        <v>45392.0</v>
      </c>
      <c r="D5526" s="85">
        <v>45392.0</v>
      </c>
      <c r="E5526" s="86">
        <v>6.39</v>
      </c>
      <c r="F5526" s="87">
        <v>7.3</v>
      </c>
      <c r="G5526" s="88">
        <f t="shared" si="1"/>
        <v>0.91</v>
      </c>
      <c r="H5526" s="89">
        <f t="shared" si="15"/>
        <v>0.1246575342</v>
      </c>
      <c r="I5526" s="78" t="s">
        <v>6375</v>
      </c>
      <c r="J5526" s="78" t="s">
        <v>69</v>
      </c>
      <c r="K5526" s="58">
        <f t="shared" si="14"/>
        <v>0</v>
      </c>
      <c r="L5526" s="91" t="str">
        <f t="shared" si="8"/>
        <v>Wed</v>
      </c>
      <c r="M5526" s="78" t="str">
        <f>IFERROR(VLOOKUP(A5526, Entries!A:B,2,false),"")</f>
        <v>Bethesda Softworks</v>
      </c>
      <c r="N5526" s="23" t="str">
        <f>IFERROR(VLOOKUP(A5526, Entries!A:K,11,false),"")</f>
        <v/>
      </c>
    </row>
    <row r="5527">
      <c r="A5527" s="78" t="s">
        <v>4085</v>
      </c>
      <c r="B5527" s="78" t="s">
        <v>27</v>
      </c>
      <c r="C5527" s="85">
        <v>45392.0</v>
      </c>
      <c r="D5527" s="85">
        <v>45392.0</v>
      </c>
      <c r="E5527" s="86">
        <v>6.39</v>
      </c>
      <c r="F5527" s="87">
        <v>7.3</v>
      </c>
      <c r="G5527" s="88">
        <f t="shared" si="1"/>
        <v>0.91</v>
      </c>
      <c r="H5527" s="89">
        <f t="shared" si="15"/>
        <v>0.1246575342</v>
      </c>
      <c r="I5527" s="78" t="s">
        <v>6376</v>
      </c>
      <c r="J5527" s="78" t="s">
        <v>69</v>
      </c>
      <c r="K5527" s="58">
        <f t="shared" si="14"/>
        <v>0</v>
      </c>
      <c r="L5527" s="91" t="str">
        <f t="shared" si="8"/>
        <v>Wed</v>
      </c>
      <c r="M5527" s="78" t="str">
        <f>IFERROR(VLOOKUP(A5527, Entries!A:B,2,false),"")</f>
        <v>Bethesda Softworks</v>
      </c>
      <c r="N5527" s="23" t="str">
        <f>IFERROR(VLOOKUP(A5527, Entries!A:K,11,false),"")</f>
        <v/>
      </c>
    </row>
    <row r="5528">
      <c r="A5528" s="78" t="s">
        <v>4085</v>
      </c>
      <c r="B5528" s="78" t="s">
        <v>27</v>
      </c>
      <c r="C5528" s="85">
        <v>45392.0</v>
      </c>
      <c r="D5528" s="85">
        <v>45393.0</v>
      </c>
      <c r="E5528" s="86">
        <v>6.39</v>
      </c>
      <c r="F5528" s="87">
        <v>7.3</v>
      </c>
      <c r="G5528" s="88">
        <f t="shared" si="1"/>
        <v>0.91</v>
      </c>
      <c r="H5528" s="89">
        <f t="shared" si="15"/>
        <v>0.1246575342</v>
      </c>
      <c r="I5528" s="78" t="s">
        <v>6377</v>
      </c>
      <c r="J5528" s="78" t="s">
        <v>69</v>
      </c>
      <c r="K5528" s="58">
        <f t="shared" si="14"/>
        <v>1</v>
      </c>
      <c r="L5528" s="91" t="str">
        <f t="shared" si="8"/>
        <v>Thu</v>
      </c>
      <c r="M5528" s="78" t="str">
        <f>IFERROR(VLOOKUP(A5528, Entries!A:B,2,false),"")</f>
        <v>Bethesda Softworks</v>
      </c>
      <c r="N5528" s="23" t="str">
        <f>IFERROR(VLOOKUP(A5528, Entries!A:K,11,false),"")</f>
        <v/>
      </c>
    </row>
    <row r="5529">
      <c r="A5529" s="78" t="s">
        <v>4926</v>
      </c>
      <c r="B5529" s="78" t="s">
        <v>27</v>
      </c>
      <c r="C5529" s="85">
        <v>45392.0</v>
      </c>
      <c r="D5529" s="85">
        <v>45392.0</v>
      </c>
      <c r="E5529" s="86">
        <v>7.59</v>
      </c>
      <c r="F5529" s="87">
        <v>9.68</v>
      </c>
      <c r="G5529" s="88">
        <f t="shared" si="1"/>
        <v>2.09</v>
      </c>
      <c r="H5529" s="89">
        <f t="shared" si="15"/>
        <v>0.2159090909</v>
      </c>
      <c r="I5529" s="78" t="s">
        <v>6378</v>
      </c>
      <c r="J5529" s="78" t="s">
        <v>69</v>
      </c>
      <c r="K5529" s="58">
        <f t="shared" si="14"/>
        <v>0</v>
      </c>
      <c r="L5529" s="91" t="str">
        <f t="shared" si="8"/>
        <v>Wed</v>
      </c>
      <c r="M5529" s="78" t="str">
        <f>IFERROR(VLOOKUP(A5529, Entries!A:B,2,false),"")</f>
        <v>Bethesda Softworks</v>
      </c>
      <c r="N5529" s="23" t="str">
        <f>IFERROR(VLOOKUP(A5529, Entries!A:K,11,false),"")</f>
        <v/>
      </c>
    </row>
    <row r="5530">
      <c r="A5530" s="78" t="s">
        <v>4926</v>
      </c>
      <c r="B5530" s="78" t="s">
        <v>27</v>
      </c>
      <c r="C5530" s="85">
        <v>45392.0</v>
      </c>
      <c r="D5530" s="85">
        <v>45392.0</v>
      </c>
      <c r="E5530" s="86">
        <v>7.59</v>
      </c>
      <c r="F5530" s="87">
        <v>9.68</v>
      </c>
      <c r="G5530" s="88">
        <f t="shared" si="1"/>
        <v>2.09</v>
      </c>
      <c r="H5530" s="89">
        <f t="shared" si="15"/>
        <v>0.2159090909</v>
      </c>
      <c r="I5530" s="78" t="s">
        <v>6379</v>
      </c>
      <c r="J5530" s="78" t="s">
        <v>69</v>
      </c>
      <c r="K5530" s="58">
        <f t="shared" si="14"/>
        <v>0</v>
      </c>
      <c r="L5530" s="91" t="str">
        <f t="shared" si="8"/>
        <v>Wed</v>
      </c>
      <c r="M5530" s="78" t="str">
        <f>IFERROR(VLOOKUP(A5530, Entries!A:B,2,false),"")</f>
        <v>Bethesda Softworks</v>
      </c>
      <c r="N5530" s="23" t="str">
        <f>IFERROR(VLOOKUP(A5530, Entries!A:K,11,false),"")</f>
        <v/>
      </c>
    </row>
    <row r="5531">
      <c r="A5531" s="78" t="s">
        <v>6380</v>
      </c>
      <c r="B5531" s="78" t="s">
        <v>27</v>
      </c>
      <c r="C5531" s="85">
        <v>45392.0</v>
      </c>
      <c r="D5531" s="85">
        <v>45392.0</v>
      </c>
      <c r="E5531" s="86">
        <v>13.09</v>
      </c>
      <c r="F5531" s="87">
        <v>14.0</v>
      </c>
      <c r="G5531" s="88">
        <f t="shared" si="1"/>
        <v>0.91</v>
      </c>
      <c r="H5531" s="89">
        <f t="shared" si="15"/>
        <v>0.065</v>
      </c>
      <c r="I5531" s="78" t="s">
        <v>6381</v>
      </c>
      <c r="J5531" s="78" t="s">
        <v>69</v>
      </c>
      <c r="K5531" s="58">
        <f t="shared" si="14"/>
        <v>0</v>
      </c>
      <c r="L5531" s="91" t="str">
        <f t="shared" si="8"/>
        <v>Wed</v>
      </c>
      <c r="M5531" s="78" t="str">
        <f>IFERROR(VLOOKUP(A5531, Entries!A:B,2,false),"")</f>
        <v/>
      </c>
      <c r="N5531" s="23" t="str">
        <f>IFERROR(VLOOKUP(A5531, Entries!A:K,11,false),"")</f>
        <v/>
      </c>
    </row>
    <row r="5532">
      <c r="A5532" s="78" t="s">
        <v>1729</v>
      </c>
      <c r="B5532" s="78" t="s">
        <v>19</v>
      </c>
      <c r="C5532" s="85">
        <v>45392.0</v>
      </c>
      <c r="D5532" s="85">
        <v>45394.0</v>
      </c>
      <c r="E5532" s="86">
        <v>5.13</v>
      </c>
      <c r="F5532" s="87">
        <v>8.45</v>
      </c>
      <c r="G5532" s="88">
        <f t="shared" si="1"/>
        <v>3.32</v>
      </c>
      <c r="H5532" s="89">
        <f t="shared" si="15"/>
        <v>0.3928994083</v>
      </c>
      <c r="I5532" s="78" t="s">
        <v>6382</v>
      </c>
      <c r="J5532" s="78" t="s">
        <v>69</v>
      </c>
      <c r="K5532" s="58">
        <f t="shared" si="14"/>
        <v>2</v>
      </c>
      <c r="L5532" s="91" t="str">
        <f t="shared" si="8"/>
        <v>Fri</v>
      </c>
      <c r="M5532" s="78" t="str">
        <f>IFERROR(VLOOKUP(A5532, Entries!A:B,2,false),"")</f>
        <v>Focus Home Interactive</v>
      </c>
      <c r="N5532" s="23" t="str">
        <f>IFERROR(VLOOKUP(A5532, Entries!A:K,11,false),"")</f>
        <v/>
      </c>
    </row>
    <row r="5533">
      <c r="A5533" s="78" t="s">
        <v>4926</v>
      </c>
      <c r="B5533" s="78" t="s">
        <v>27</v>
      </c>
      <c r="C5533" s="85">
        <v>45392.0</v>
      </c>
      <c r="D5533" s="85">
        <v>45392.0</v>
      </c>
      <c r="E5533" s="86">
        <v>7.59</v>
      </c>
      <c r="F5533" s="87">
        <v>9.46</v>
      </c>
      <c r="G5533" s="88">
        <f t="shared" si="1"/>
        <v>1.87</v>
      </c>
      <c r="H5533" s="89">
        <f t="shared" si="15"/>
        <v>0.1976744186</v>
      </c>
      <c r="I5533" s="78" t="s">
        <v>6383</v>
      </c>
      <c r="J5533" s="78" t="s">
        <v>69</v>
      </c>
      <c r="K5533" s="58">
        <f t="shared" si="14"/>
        <v>0</v>
      </c>
      <c r="L5533" s="91" t="str">
        <f t="shared" si="8"/>
        <v>Wed</v>
      </c>
      <c r="M5533" s="78" t="str">
        <f>IFERROR(VLOOKUP(A5533, Entries!A:B,2,false),"")</f>
        <v>Bethesda Softworks</v>
      </c>
      <c r="N5533" s="23" t="str">
        <f>IFERROR(VLOOKUP(A5533, Entries!A:K,11,false),"")</f>
        <v/>
      </c>
    </row>
    <row r="5534">
      <c r="A5534" s="78" t="s">
        <v>4926</v>
      </c>
      <c r="B5534" s="78" t="s">
        <v>27</v>
      </c>
      <c r="C5534" s="85">
        <v>45392.0</v>
      </c>
      <c r="D5534" s="85">
        <v>45392.0</v>
      </c>
      <c r="E5534" s="86">
        <v>7.59</v>
      </c>
      <c r="F5534" s="87">
        <v>9.48</v>
      </c>
      <c r="G5534" s="88">
        <f t="shared" si="1"/>
        <v>1.89</v>
      </c>
      <c r="H5534" s="89">
        <f t="shared" si="15"/>
        <v>0.1993670886</v>
      </c>
      <c r="I5534" s="78" t="s">
        <v>6384</v>
      </c>
      <c r="J5534" s="78" t="s">
        <v>69</v>
      </c>
      <c r="K5534" s="58">
        <f t="shared" si="14"/>
        <v>0</v>
      </c>
      <c r="L5534" s="91" t="str">
        <f t="shared" si="8"/>
        <v>Wed</v>
      </c>
      <c r="M5534" s="78" t="str">
        <f>IFERROR(VLOOKUP(A5534, Entries!A:B,2,false),"")</f>
        <v>Bethesda Softworks</v>
      </c>
      <c r="N5534" s="23" t="str">
        <f>IFERROR(VLOOKUP(A5534, Entries!A:K,11,false),"")</f>
        <v/>
      </c>
    </row>
    <row r="5535">
      <c r="A5535" s="78" t="s">
        <v>4926</v>
      </c>
      <c r="B5535" s="78" t="s">
        <v>27</v>
      </c>
      <c r="C5535" s="85">
        <v>45392.0</v>
      </c>
      <c r="D5535" s="85">
        <v>45392.0</v>
      </c>
      <c r="E5535" s="86">
        <v>7.59</v>
      </c>
      <c r="F5535" s="87">
        <v>9.48</v>
      </c>
      <c r="G5535" s="88">
        <f t="shared" si="1"/>
        <v>1.89</v>
      </c>
      <c r="H5535" s="89">
        <f t="shared" si="15"/>
        <v>0.1993670886</v>
      </c>
      <c r="I5535" s="78" t="s">
        <v>6385</v>
      </c>
      <c r="J5535" s="78" t="s">
        <v>69</v>
      </c>
      <c r="K5535" s="58">
        <f t="shared" si="14"/>
        <v>0</v>
      </c>
      <c r="L5535" s="91" t="str">
        <f t="shared" si="8"/>
        <v>Wed</v>
      </c>
      <c r="M5535" s="78" t="str">
        <f>IFERROR(VLOOKUP(A5535, Entries!A:B,2,false),"")</f>
        <v>Bethesda Softworks</v>
      </c>
      <c r="N5535" s="23" t="str">
        <f>IFERROR(VLOOKUP(A5535, Entries!A:K,11,false),"")</f>
        <v/>
      </c>
    </row>
    <row r="5536">
      <c r="A5536" s="78" t="s">
        <v>6006</v>
      </c>
      <c r="B5536" s="78" t="s">
        <v>21</v>
      </c>
      <c r="C5536" s="85">
        <v>45392.0</v>
      </c>
      <c r="D5536" s="85">
        <v>45396.0</v>
      </c>
      <c r="E5536" s="86">
        <v>34.74</v>
      </c>
      <c r="F5536" s="87">
        <v>41.98</v>
      </c>
      <c r="G5536" s="88">
        <f t="shared" si="1"/>
        <v>7.24</v>
      </c>
      <c r="H5536" s="89">
        <f t="shared" si="15"/>
        <v>0.1724630777</v>
      </c>
      <c r="I5536" s="78" t="s">
        <v>6386</v>
      </c>
      <c r="J5536" s="78" t="s">
        <v>69</v>
      </c>
      <c r="K5536" s="58">
        <f t="shared" si="14"/>
        <v>4</v>
      </c>
      <c r="L5536" s="91" t="str">
        <f t="shared" si="8"/>
        <v>Sun</v>
      </c>
      <c r="M5536" s="78" t="str">
        <f>IFERROR(VLOOKUP(A5536, Entries!A:B,2,false),"")</f>
        <v>Bethesda Softworks</v>
      </c>
      <c r="N5536" s="23" t="str">
        <f>IFERROR(VLOOKUP(A5536, Entries!A:K,11,false),"")</f>
        <v/>
      </c>
    </row>
    <row r="5537">
      <c r="A5537" s="78" t="s">
        <v>6380</v>
      </c>
      <c r="B5537" s="78" t="s">
        <v>27</v>
      </c>
      <c r="C5537" s="85">
        <v>45392.0</v>
      </c>
      <c r="D5537" s="85">
        <v>45802.0</v>
      </c>
      <c r="E5537" s="86">
        <v>13.09</v>
      </c>
      <c r="F5537" s="87">
        <v>14.66</v>
      </c>
      <c r="G5537" s="88">
        <f t="shared" si="1"/>
        <v>1.57</v>
      </c>
      <c r="H5537" s="89">
        <f t="shared" si="15"/>
        <v>0.1070941337</v>
      </c>
      <c r="I5537" s="103" t="s">
        <v>6387</v>
      </c>
      <c r="J5537" s="78" t="s">
        <v>69</v>
      </c>
      <c r="K5537" s="58">
        <f t="shared" si="14"/>
        <v>410</v>
      </c>
      <c r="L5537" s="91" t="str">
        <f t="shared" si="8"/>
        <v>Sun</v>
      </c>
      <c r="M5537" s="78" t="str">
        <f>IFERROR(VLOOKUP(A5537, Entries!A:B,2,false),"")</f>
        <v/>
      </c>
      <c r="N5537" s="23" t="str">
        <f>IFERROR(VLOOKUP(A5537, Entries!A:K,11,false),"")</f>
        <v/>
      </c>
    </row>
    <row r="5538">
      <c r="A5538" s="78" t="s">
        <v>4926</v>
      </c>
      <c r="B5538" s="78" t="s">
        <v>27</v>
      </c>
      <c r="C5538" s="85">
        <v>45392.0</v>
      </c>
      <c r="D5538" s="85">
        <v>45392.0</v>
      </c>
      <c r="E5538" s="86">
        <v>7.49</v>
      </c>
      <c r="F5538" s="87">
        <v>9.48</v>
      </c>
      <c r="G5538" s="88">
        <f t="shared" si="1"/>
        <v>1.99</v>
      </c>
      <c r="H5538" s="89">
        <f t="shared" si="15"/>
        <v>0.2099156118</v>
      </c>
      <c r="I5538" s="78" t="s">
        <v>6388</v>
      </c>
      <c r="J5538" s="78" t="s">
        <v>69</v>
      </c>
      <c r="K5538" s="58">
        <f t="shared" si="14"/>
        <v>0</v>
      </c>
      <c r="L5538" s="91" t="str">
        <f t="shared" si="8"/>
        <v>Wed</v>
      </c>
      <c r="M5538" s="78" t="str">
        <f>IFERROR(VLOOKUP(A5538, Entries!A:B,2,false),"")</f>
        <v>Bethesda Softworks</v>
      </c>
      <c r="N5538" s="23" t="str">
        <f>IFERROR(VLOOKUP(A5538, Entries!A:K,11,false),"")</f>
        <v/>
      </c>
    </row>
    <row r="5539">
      <c r="A5539" s="78" t="s">
        <v>4926</v>
      </c>
      <c r="B5539" s="78" t="s">
        <v>27</v>
      </c>
      <c r="C5539" s="85">
        <v>45392.0</v>
      </c>
      <c r="D5539" s="85">
        <v>45393.0</v>
      </c>
      <c r="E5539" s="86">
        <v>7.49</v>
      </c>
      <c r="F5539" s="87">
        <v>9.49</v>
      </c>
      <c r="G5539" s="88">
        <f t="shared" si="1"/>
        <v>2</v>
      </c>
      <c r="H5539" s="89">
        <f t="shared" si="15"/>
        <v>0.210748156</v>
      </c>
      <c r="I5539" s="78" t="s">
        <v>6389</v>
      </c>
      <c r="J5539" s="78" t="s">
        <v>69</v>
      </c>
      <c r="K5539" s="58">
        <f t="shared" si="14"/>
        <v>1</v>
      </c>
      <c r="L5539" s="91" t="str">
        <f t="shared" si="8"/>
        <v>Thu</v>
      </c>
      <c r="M5539" s="78" t="str">
        <f>IFERROR(VLOOKUP(A5539, Entries!A:B,2,false),"")</f>
        <v>Bethesda Softworks</v>
      </c>
      <c r="N5539" s="23" t="str">
        <f>IFERROR(VLOOKUP(A5539, Entries!A:K,11,false),"")</f>
        <v/>
      </c>
    </row>
    <row r="5540">
      <c r="A5540" s="78" t="s">
        <v>4926</v>
      </c>
      <c r="B5540" s="78" t="s">
        <v>27</v>
      </c>
      <c r="C5540" s="85">
        <v>45392.0</v>
      </c>
      <c r="D5540" s="85">
        <v>45393.0</v>
      </c>
      <c r="E5540" s="86">
        <v>7.49</v>
      </c>
      <c r="F5540" s="87">
        <v>9.49</v>
      </c>
      <c r="G5540" s="88">
        <f t="shared" si="1"/>
        <v>2</v>
      </c>
      <c r="H5540" s="89">
        <f t="shared" si="15"/>
        <v>0.210748156</v>
      </c>
      <c r="I5540" s="78" t="s">
        <v>6390</v>
      </c>
      <c r="J5540" s="78" t="s">
        <v>69</v>
      </c>
      <c r="K5540" s="58">
        <f t="shared" si="14"/>
        <v>1</v>
      </c>
      <c r="L5540" s="91" t="str">
        <f t="shared" si="8"/>
        <v>Thu</v>
      </c>
      <c r="M5540" s="78" t="str">
        <f>IFERROR(VLOOKUP(A5540, Entries!A:B,2,false),"")</f>
        <v>Bethesda Softworks</v>
      </c>
      <c r="N5540" s="23" t="str">
        <f>IFERROR(VLOOKUP(A5540, Entries!A:K,11,false),"")</f>
        <v/>
      </c>
    </row>
    <row r="5541">
      <c r="A5541" s="78" t="s">
        <v>4926</v>
      </c>
      <c r="B5541" s="78" t="s">
        <v>27</v>
      </c>
      <c r="C5541" s="85">
        <v>45392.0</v>
      </c>
      <c r="D5541" s="85">
        <v>45393.0</v>
      </c>
      <c r="E5541" s="86">
        <v>7.49</v>
      </c>
      <c r="F5541" s="87">
        <v>9.49</v>
      </c>
      <c r="G5541" s="88">
        <f t="shared" si="1"/>
        <v>2</v>
      </c>
      <c r="H5541" s="89">
        <f t="shared" si="15"/>
        <v>0.210748156</v>
      </c>
      <c r="I5541" s="78" t="s">
        <v>6391</v>
      </c>
      <c r="J5541" s="78" t="s">
        <v>69</v>
      </c>
      <c r="K5541" s="58">
        <f t="shared" si="14"/>
        <v>1</v>
      </c>
      <c r="L5541" s="91" t="str">
        <f t="shared" si="8"/>
        <v>Thu</v>
      </c>
      <c r="M5541" s="78" t="str">
        <f>IFERROR(VLOOKUP(A5541, Entries!A:B,2,false),"")</f>
        <v>Bethesda Softworks</v>
      </c>
      <c r="N5541" s="23" t="str">
        <f>IFERROR(VLOOKUP(A5541, Entries!A:K,11,false),"")</f>
        <v/>
      </c>
    </row>
    <row r="5542">
      <c r="A5542" s="78" t="s">
        <v>4926</v>
      </c>
      <c r="B5542" s="78" t="s">
        <v>27</v>
      </c>
      <c r="C5542" s="85">
        <v>45392.0</v>
      </c>
      <c r="D5542" s="85">
        <v>45393.0</v>
      </c>
      <c r="E5542" s="86">
        <v>7.49</v>
      </c>
      <c r="F5542" s="87">
        <v>9.49</v>
      </c>
      <c r="G5542" s="88">
        <f t="shared" si="1"/>
        <v>2</v>
      </c>
      <c r="H5542" s="89">
        <f t="shared" si="15"/>
        <v>0.210748156</v>
      </c>
      <c r="I5542" s="78" t="s">
        <v>6392</v>
      </c>
      <c r="J5542" s="78" t="s">
        <v>69</v>
      </c>
      <c r="K5542" s="58">
        <f t="shared" si="14"/>
        <v>1</v>
      </c>
      <c r="L5542" s="91" t="str">
        <f t="shared" si="8"/>
        <v>Thu</v>
      </c>
      <c r="M5542" s="78" t="str">
        <f>IFERROR(VLOOKUP(A5542, Entries!A:B,2,false),"")</f>
        <v>Bethesda Softworks</v>
      </c>
      <c r="N5542" s="23" t="str">
        <f>IFERROR(VLOOKUP(A5542, Entries!A:K,11,false),"")</f>
        <v/>
      </c>
    </row>
    <row r="5543">
      <c r="A5543" s="78" t="s">
        <v>4928</v>
      </c>
      <c r="B5543" s="78" t="s">
        <v>19</v>
      </c>
      <c r="C5543" s="85">
        <v>45393.0</v>
      </c>
      <c r="D5543" s="85">
        <v>45393.0</v>
      </c>
      <c r="E5543" s="86">
        <v>28.21</v>
      </c>
      <c r="F5543" s="87">
        <v>34.85</v>
      </c>
      <c r="G5543" s="88">
        <f t="shared" si="1"/>
        <v>6.64</v>
      </c>
      <c r="H5543" s="89">
        <f t="shared" si="15"/>
        <v>0.1905308465</v>
      </c>
      <c r="I5543" s="78" t="s">
        <v>6393</v>
      </c>
      <c r="J5543" s="78" t="s">
        <v>69</v>
      </c>
      <c r="K5543" s="58">
        <f t="shared" si="14"/>
        <v>0</v>
      </c>
      <c r="L5543" s="91" t="str">
        <f t="shared" si="8"/>
        <v>Thu</v>
      </c>
      <c r="M5543" s="78" t="str">
        <f>IFERROR(VLOOKUP(A5543, Entries!A:B,2,false),"")</f>
        <v>Eleventh Hour Games</v>
      </c>
      <c r="N5543" s="23" t="str">
        <f>IFERROR(VLOOKUP(A5543, Entries!A:K,11,false),"")</f>
        <v/>
      </c>
    </row>
    <row r="5544">
      <c r="A5544" s="78" t="s">
        <v>6394</v>
      </c>
      <c r="B5544" s="78" t="s">
        <v>19</v>
      </c>
      <c r="C5544" s="85">
        <v>45393.0</v>
      </c>
      <c r="D5544" s="85">
        <v>45393.0</v>
      </c>
      <c r="E5544" s="86">
        <v>0.0</v>
      </c>
      <c r="F5544" s="87">
        <v>0.47</v>
      </c>
      <c r="G5544" s="88">
        <f t="shared" si="1"/>
        <v>0.47</v>
      </c>
      <c r="H5544" s="89">
        <f t="shared" si="15"/>
        <v>1</v>
      </c>
      <c r="I5544" s="78" t="s">
        <v>6395</v>
      </c>
      <c r="J5544" s="78" t="s">
        <v>69</v>
      </c>
      <c r="K5544" s="58">
        <f t="shared" si="14"/>
        <v>0</v>
      </c>
      <c r="L5544" s="91" t="str">
        <f t="shared" si="8"/>
        <v>Thu</v>
      </c>
      <c r="M5544" s="78" t="str">
        <f>IFERROR(VLOOKUP(A5544, Entries!A:B,2,false),"")</f>
        <v/>
      </c>
      <c r="N5544" s="23" t="str">
        <f>IFERROR(VLOOKUP(A5544, Entries!A:K,11,false),"")</f>
        <v/>
      </c>
    </row>
    <row r="5545">
      <c r="A5545" s="78" t="s">
        <v>4926</v>
      </c>
      <c r="B5545" s="78" t="s">
        <v>27</v>
      </c>
      <c r="C5545" s="85">
        <v>45393.0</v>
      </c>
      <c r="D5545" s="85">
        <v>45393.0</v>
      </c>
      <c r="E5545" s="86">
        <v>7.54</v>
      </c>
      <c r="F5545" s="87">
        <v>9.49</v>
      </c>
      <c r="G5545" s="88">
        <f t="shared" si="1"/>
        <v>1.95</v>
      </c>
      <c r="H5545" s="89">
        <f t="shared" si="15"/>
        <v>0.2054794521</v>
      </c>
      <c r="I5545" s="78" t="s">
        <v>6396</v>
      </c>
      <c r="J5545" s="78" t="s">
        <v>69</v>
      </c>
      <c r="K5545" s="58">
        <f t="shared" si="14"/>
        <v>0</v>
      </c>
      <c r="L5545" s="91" t="str">
        <f t="shared" si="8"/>
        <v>Thu</v>
      </c>
      <c r="M5545" s="78" t="str">
        <f>IFERROR(VLOOKUP(A5545, Entries!A:B,2,false),"")</f>
        <v>Bethesda Softworks</v>
      </c>
      <c r="N5545" s="23" t="str">
        <f>IFERROR(VLOOKUP(A5545, Entries!A:K,11,false),"")</f>
        <v/>
      </c>
    </row>
    <row r="5546">
      <c r="A5546" s="78" t="s">
        <v>4926</v>
      </c>
      <c r="B5546" s="78" t="s">
        <v>27</v>
      </c>
      <c r="C5546" s="85">
        <v>45393.0</v>
      </c>
      <c r="D5546" s="85">
        <v>45393.0</v>
      </c>
      <c r="E5546" s="86">
        <v>7.54</v>
      </c>
      <c r="F5546" s="87">
        <v>9.49</v>
      </c>
      <c r="G5546" s="88">
        <f t="shared" si="1"/>
        <v>1.95</v>
      </c>
      <c r="H5546" s="89">
        <f t="shared" si="15"/>
        <v>0.2054794521</v>
      </c>
      <c r="I5546" s="78" t="s">
        <v>6397</v>
      </c>
      <c r="J5546" s="78" t="s">
        <v>69</v>
      </c>
      <c r="K5546" s="58">
        <f t="shared" si="14"/>
        <v>0</v>
      </c>
      <c r="L5546" s="91" t="str">
        <f t="shared" si="8"/>
        <v>Thu</v>
      </c>
      <c r="M5546" s="78" t="str">
        <f>IFERROR(VLOOKUP(A5546, Entries!A:B,2,false),"")</f>
        <v>Bethesda Softworks</v>
      </c>
      <c r="N5546" s="23" t="str">
        <f>IFERROR(VLOOKUP(A5546, Entries!A:K,11,false),"")</f>
        <v/>
      </c>
    </row>
    <row r="5547">
      <c r="A5547" s="78" t="s">
        <v>4926</v>
      </c>
      <c r="B5547" s="78" t="s">
        <v>27</v>
      </c>
      <c r="C5547" s="85">
        <v>45393.0</v>
      </c>
      <c r="D5547" s="85">
        <v>45393.0</v>
      </c>
      <c r="E5547" s="86">
        <v>7.55</v>
      </c>
      <c r="F5547" s="87">
        <v>9.49</v>
      </c>
      <c r="G5547" s="88">
        <f t="shared" si="1"/>
        <v>1.94</v>
      </c>
      <c r="H5547" s="89">
        <f t="shared" si="15"/>
        <v>0.2044257113</v>
      </c>
      <c r="I5547" s="78" t="s">
        <v>6398</v>
      </c>
      <c r="J5547" s="78" t="s">
        <v>69</v>
      </c>
      <c r="K5547" s="58">
        <f t="shared" si="14"/>
        <v>0</v>
      </c>
      <c r="L5547" s="91" t="str">
        <f t="shared" si="8"/>
        <v>Thu</v>
      </c>
      <c r="M5547" s="78" t="str">
        <f>IFERROR(VLOOKUP(A5547, Entries!A:B,2,false),"")</f>
        <v>Bethesda Softworks</v>
      </c>
      <c r="N5547" s="23" t="str">
        <f>IFERROR(VLOOKUP(A5547, Entries!A:K,11,false),"")</f>
        <v/>
      </c>
    </row>
    <row r="5548">
      <c r="A5548" s="78" t="s">
        <v>4085</v>
      </c>
      <c r="B5548" s="78" t="s">
        <v>27</v>
      </c>
      <c r="C5548" s="85">
        <v>45393.0</v>
      </c>
      <c r="D5548" s="85">
        <v>45393.0</v>
      </c>
      <c r="E5548" s="86">
        <v>6.39</v>
      </c>
      <c r="F5548" s="87">
        <v>7.3</v>
      </c>
      <c r="G5548" s="88">
        <f t="shared" si="1"/>
        <v>0.91</v>
      </c>
      <c r="H5548" s="89">
        <f t="shared" si="15"/>
        <v>0.1246575342</v>
      </c>
      <c r="I5548" s="78" t="s">
        <v>6399</v>
      </c>
      <c r="J5548" s="78" t="s">
        <v>69</v>
      </c>
      <c r="K5548" s="58">
        <f t="shared" si="14"/>
        <v>0</v>
      </c>
      <c r="L5548" s="91" t="str">
        <f t="shared" si="8"/>
        <v>Thu</v>
      </c>
      <c r="M5548" s="78" t="str">
        <f>IFERROR(VLOOKUP(A5548, Entries!A:B,2,false),"")</f>
        <v>Bethesda Softworks</v>
      </c>
      <c r="N5548" s="23" t="str">
        <f>IFERROR(VLOOKUP(A5548, Entries!A:K,11,false),"")</f>
        <v/>
      </c>
    </row>
    <row r="5549">
      <c r="A5549" s="78" t="s">
        <v>4085</v>
      </c>
      <c r="B5549" s="78" t="s">
        <v>27</v>
      </c>
      <c r="C5549" s="85">
        <v>45393.0</v>
      </c>
      <c r="D5549" s="85">
        <v>45394.0</v>
      </c>
      <c r="E5549" s="86">
        <v>6.39</v>
      </c>
      <c r="F5549" s="87">
        <v>7.3</v>
      </c>
      <c r="G5549" s="88">
        <f t="shared" si="1"/>
        <v>0.91</v>
      </c>
      <c r="H5549" s="89">
        <f t="shared" si="15"/>
        <v>0.1246575342</v>
      </c>
      <c r="I5549" s="78" t="s">
        <v>6400</v>
      </c>
      <c r="J5549" s="78" t="s">
        <v>69</v>
      </c>
      <c r="K5549" s="58">
        <f t="shared" si="14"/>
        <v>1</v>
      </c>
      <c r="L5549" s="91" t="str">
        <f t="shared" si="8"/>
        <v>Fri</v>
      </c>
      <c r="M5549" s="78" t="str">
        <f>IFERROR(VLOOKUP(A5549, Entries!A:B,2,false),"")</f>
        <v>Bethesda Softworks</v>
      </c>
      <c r="N5549" s="23" t="str">
        <f>IFERROR(VLOOKUP(A5549, Entries!A:K,11,false),"")</f>
        <v/>
      </c>
    </row>
    <row r="5550">
      <c r="A5550" s="78" t="s">
        <v>4566</v>
      </c>
      <c r="B5550" s="78" t="s">
        <v>27</v>
      </c>
      <c r="C5550" s="85">
        <v>45393.0</v>
      </c>
      <c r="D5550" s="85">
        <v>45395.0</v>
      </c>
      <c r="E5550" s="86">
        <v>17.49</v>
      </c>
      <c r="F5550" s="87">
        <v>23.1</v>
      </c>
      <c r="G5550" s="88">
        <f t="shared" si="1"/>
        <v>5.61</v>
      </c>
      <c r="H5550" s="89">
        <f t="shared" si="15"/>
        <v>0.2428571429</v>
      </c>
      <c r="I5550" s="78" t="s">
        <v>6401</v>
      </c>
      <c r="J5550" s="78" t="s">
        <v>69</v>
      </c>
      <c r="K5550" s="58">
        <f t="shared" si="14"/>
        <v>2</v>
      </c>
      <c r="L5550" s="91" t="str">
        <f t="shared" si="8"/>
        <v>Sat</v>
      </c>
      <c r="M5550" s="78" t="str">
        <f>IFERROR(VLOOKUP(A5550, Entries!A:B,2,false),"")</f>
        <v>2K</v>
      </c>
      <c r="N5550" s="23" t="str">
        <f>IFERROR(VLOOKUP(A5550, Entries!A:K,11,false),"")</f>
        <v/>
      </c>
    </row>
    <row r="5551">
      <c r="A5551" s="78" t="s">
        <v>4926</v>
      </c>
      <c r="B5551" s="78" t="s">
        <v>27</v>
      </c>
      <c r="C5551" s="85">
        <v>45393.0</v>
      </c>
      <c r="D5551" s="85">
        <v>45393.0</v>
      </c>
      <c r="E5551" s="86">
        <v>7.48</v>
      </c>
      <c r="F5551" s="87">
        <v>9.49</v>
      </c>
      <c r="G5551" s="88">
        <f t="shared" si="1"/>
        <v>2.01</v>
      </c>
      <c r="H5551" s="89">
        <f t="shared" si="15"/>
        <v>0.2118018967</v>
      </c>
      <c r="I5551" s="78" t="s">
        <v>6402</v>
      </c>
      <c r="J5551" s="78" t="s">
        <v>69</v>
      </c>
      <c r="K5551" s="58">
        <f t="shared" si="14"/>
        <v>0</v>
      </c>
      <c r="L5551" s="91" t="str">
        <f t="shared" si="8"/>
        <v>Thu</v>
      </c>
      <c r="M5551" s="78" t="str">
        <f>IFERROR(VLOOKUP(A5551, Entries!A:B,2,false),"")</f>
        <v>Bethesda Softworks</v>
      </c>
      <c r="N5551" s="23" t="str">
        <f>IFERROR(VLOOKUP(A5551, Entries!A:K,11,false),"")</f>
        <v/>
      </c>
    </row>
    <row r="5552">
      <c r="A5552" s="78" t="s">
        <v>4926</v>
      </c>
      <c r="B5552" s="78" t="s">
        <v>27</v>
      </c>
      <c r="C5552" s="85">
        <v>45393.0</v>
      </c>
      <c r="D5552" s="85">
        <v>45393.0</v>
      </c>
      <c r="E5552" s="86">
        <v>7.48</v>
      </c>
      <c r="F5552" s="87">
        <v>9.49</v>
      </c>
      <c r="G5552" s="88">
        <f t="shared" si="1"/>
        <v>2.01</v>
      </c>
      <c r="H5552" s="89">
        <f t="shared" si="15"/>
        <v>0.2118018967</v>
      </c>
      <c r="I5552" s="78" t="s">
        <v>6403</v>
      </c>
      <c r="J5552" s="78" t="s">
        <v>69</v>
      </c>
      <c r="K5552" s="58">
        <f t="shared" si="14"/>
        <v>0</v>
      </c>
      <c r="L5552" s="91" t="str">
        <f t="shared" si="8"/>
        <v>Thu</v>
      </c>
      <c r="M5552" s="78" t="str">
        <f>IFERROR(VLOOKUP(A5552, Entries!A:B,2,false),"")</f>
        <v>Bethesda Softworks</v>
      </c>
      <c r="N5552" s="23" t="str">
        <f>IFERROR(VLOOKUP(A5552, Entries!A:K,11,false),"")</f>
        <v/>
      </c>
    </row>
    <row r="5553">
      <c r="A5553" s="78" t="s">
        <v>4926</v>
      </c>
      <c r="B5553" s="78" t="s">
        <v>27</v>
      </c>
      <c r="C5553" s="85">
        <v>45393.0</v>
      </c>
      <c r="D5553" s="85">
        <v>45393.0</v>
      </c>
      <c r="E5553" s="86">
        <v>7.48</v>
      </c>
      <c r="F5553" s="87">
        <v>9.49</v>
      </c>
      <c r="G5553" s="88">
        <f t="shared" si="1"/>
        <v>2.01</v>
      </c>
      <c r="H5553" s="89">
        <f t="shared" si="15"/>
        <v>0.2118018967</v>
      </c>
      <c r="I5553" s="78" t="s">
        <v>6404</v>
      </c>
      <c r="J5553" s="78" t="s">
        <v>69</v>
      </c>
      <c r="K5553" s="58">
        <f t="shared" si="14"/>
        <v>0</v>
      </c>
      <c r="L5553" s="91" t="str">
        <f t="shared" si="8"/>
        <v>Thu</v>
      </c>
      <c r="M5553" s="78" t="str">
        <f>IFERROR(VLOOKUP(A5553, Entries!A:B,2,false),"")</f>
        <v>Bethesda Softworks</v>
      </c>
      <c r="N5553" s="23" t="str">
        <f>IFERROR(VLOOKUP(A5553, Entries!A:K,11,false),"")</f>
        <v/>
      </c>
    </row>
    <row r="5554">
      <c r="A5554" s="78" t="s">
        <v>4926</v>
      </c>
      <c r="B5554" s="78" t="s">
        <v>27</v>
      </c>
      <c r="C5554" s="85">
        <v>45393.0</v>
      </c>
      <c r="D5554" s="85">
        <v>45393.0</v>
      </c>
      <c r="E5554" s="86">
        <v>7.48</v>
      </c>
      <c r="F5554" s="87">
        <v>9.5</v>
      </c>
      <c r="G5554" s="88">
        <f t="shared" si="1"/>
        <v>2.02</v>
      </c>
      <c r="H5554" s="89">
        <f t="shared" si="15"/>
        <v>0.2126315789</v>
      </c>
      <c r="I5554" s="78" t="s">
        <v>6405</v>
      </c>
      <c r="J5554" s="78" t="s">
        <v>69</v>
      </c>
      <c r="K5554" s="58">
        <f t="shared" si="14"/>
        <v>0</v>
      </c>
      <c r="L5554" s="91" t="str">
        <f t="shared" si="8"/>
        <v>Thu</v>
      </c>
      <c r="M5554" s="78" t="str">
        <f>IFERROR(VLOOKUP(A5554, Entries!A:B,2,false),"")</f>
        <v>Bethesda Softworks</v>
      </c>
      <c r="N5554" s="23" t="str">
        <f>IFERROR(VLOOKUP(A5554, Entries!A:K,11,false),"")</f>
        <v/>
      </c>
    </row>
    <row r="5555">
      <c r="A5555" s="78" t="s">
        <v>4926</v>
      </c>
      <c r="B5555" s="78" t="s">
        <v>27</v>
      </c>
      <c r="C5555" s="85">
        <v>45393.0</v>
      </c>
      <c r="D5555" s="85">
        <v>45393.0</v>
      </c>
      <c r="E5555" s="86">
        <v>7.49</v>
      </c>
      <c r="F5555" s="87">
        <v>9.5</v>
      </c>
      <c r="G5555" s="88">
        <f t="shared" si="1"/>
        <v>2.01</v>
      </c>
      <c r="H5555" s="89">
        <f t="shared" si="15"/>
        <v>0.2115789474</v>
      </c>
      <c r="I5555" s="78" t="s">
        <v>6406</v>
      </c>
      <c r="J5555" s="78" t="s">
        <v>69</v>
      </c>
      <c r="K5555" s="58">
        <f t="shared" si="14"/>
        <v>0</v>
      </c>
      <c r="L5555" s="91" t="str">
        <f t="shared" si="8"/>
        <v>Thu</v>
      </c>
      <c r="M5555" s="78" t="str">
        <f>IFERROR(VLOOKUP(A5555, Entries!A:B,2,false),"")</f>
        <v>Bethesda Softworks</v>
      </c>
      <c r="N5555" s="23" t="str">
        <f>IFERROR(VLOOKUP(A5555, Entries!A:K,11,false),"")</f>
        <v/>
      </c>
    </row>
    <row r="5556">
      <c r="A5556" s="78" t="s">
        <v>5676</v>
      </c>
      <c r="B5556" s="78" t="s">
        <v>25</v>
      </c>
      <c r="C5556" s="85">
        <v>45393.0</v>
      </c>
      <c r="D5556" s="85">
        <v>45393.0</v>
      </c>
      <c r="E5556" s="86">
        <v>36.82</v>
      </c>
      <c r="F5556" s="87">
        <v>41.97</v>
      </c>
      <c r="G5556" s="88">
        <f t="shared" si="1"/>
        <v>5.15</v>
      </c>
      <c r="H5556" s="89">
        <f t="shared" si="15"/>
        <v>0.1227066953</v>
      </c>
      <c r="I5556" s="78" t="s">
        <v>6407</v>
      </c>
      <c r="J5556" s="78" t="s">
        <v>69</v>
      </c>
      <c r="K5556" s="58">
        <f t="shared" si="14"/>
        <v>0</v>
      </c>
      <c r="L5556" s="91" t="str">
        <f t="shared" si="8"/>
        <v>Thu</v>
      </c>
      <c r="M5556" s="78" t="str">
        <f>IFERROR(VLOOKUP(A5556, Entries!A:B,2,false),"")</f>
        <v>Bethesda Softworks</v>
      </c>
      <c r="N5556" s="23" t="str">
        <f>IFERROR(VLOOKUP(A5556, Entries!A:K,11,false),"")</f>
        <v/>
      </c>
      <c r="P5556" s="78" t="s">
        <v>6408</v>
      </c>
      <c r="Q5556" s="78" t="s">
        <v>6409</v>
      </c>
    </row>
    <row r="5557">
      <c r="A5557" s="78" t="s">
        <v>5676</v>
      </c>
      <c r="B5557" s="78" t="s">
        <v>25</v>
      </c>
      <c r="C5557" s="85">
        <v>45393.0</v>
      </c>
      <c r="D5557" s="85">
        <v>45394.0</v>
      </c>
      <c r="E5557" s="86">
        <v>36.82</v>
      </c>
      <c r="F5557" s="87">
        <v>41.96</v>
      </c>
      <c r="G5557" s="88">
        <f t="shared" si="1"/>
        <v>5.14</v>
      </c>
      <c r="H5557" s="89">
        <f t="shared" si="15"/>
        <v>0.1224976168</v>
      </c>
      <c r="I5557" s="78" t="s">
        <v>6410</v>
      </c>
      <c r="J5557" s="78" t="s">
        <v>69</v>
      </c>
      <c r="K5557" s="58">
        <f t="shared" si="14"/>
        <v>1</v>
      </c>
      <c r="L5557" s="91" t="str">
        <f t="shared" si="8"/>
        <v>Fri</v>
      </c>
      <c r="M5557" s="78" t="str">
        <f>IFERROR(VLOOKUP(A5557, Entries!A:B,2,false),"")</f>
        <v>Bethesda Softworks</v>
      </c>
      <c r="N5557" s="23" t="str">
        <f>IFERROR(VLOOKUP(A5557, Entries!A:K,11,false),"")</f>
        <v/>
      </c>
    </row>
    <row r="5558">
      <c r="A5558" s="78" t="s">
        <v>4926</v>
      </c>
      <c r="B5558" s="78" t="s">
        <v>27</v>
      </c>
      <c r="C5558" s="85">
        <v>45393.0</v>
      </c>
      <c r="D5558" s="85">
        <v>45393.0</v>
      </c>
      <c r="E5558" s="86">
        <v>7.59</v>
      </c>
      <c r="F5558" s="87">
        <v>9.5</v>
      </c>
      <c r="G5558" s="88">
        <f t="shared" si="1"/>
        <v>1.91</v>
      </c>
      <c r="H5558" s="89">
        <f t="shared" si="15"/>
        <v>0.2010526316</v>
      </c>
      <c r="I5558" s="78" t="s">
        <v>6411</v>
      </c>
      <c r="J5558" s="78" t="s">
        <v>69</v>
      </c>
      <c r="K5558" s="58">
        <f t="shared" si="14"/>
        <v>0</v>
      </c>
      <c r="L5558" s="91" t="str">
        <f t="shared" si="8"/>
        <v>Thu</v>
      </c>
      <c r="M5558" s="78" t="str">
        <f>IFERROR(VLOOKUP(A5558, Entries!A:B,2,false),"")</f>
        <v>Bethesda Softworks</v>
      </c>
      <c r="N5558" s="23" t="str">
        <f>IFERROR(VLOOKUP(A5558, Entries!A:K,11,false),"")</f>
        <v/>
      </c>
    </row>
    <row r="5559">
      <c r="A5559" s="78" t="s">
        <v>4926</v>
      </c>
      <c r="B5559" s="78" t="s">
        <v>27</v>
      </c>
      <c r="C5559" s="85">
        <v>45393.0</v>
      </c>
      <c r="D5559" s="85">
        <v>45393.0</v>
      </c>
      <c r="E5559" s="86">
        <v>7.59</v>
      </c>
      <c r="F5559" s="87">
        <v>9.5</v>
      </c>
      <c r="G5559" s="88">
        <f t="shared" si="1"/>
        <v>1.91</v>
      </c>
      <c r="H5559" s="89">
        <f t="shared" si="15"/>
        <v>0.2010526316</v>
      </c>
      <c r="I5559" s="78" t="s">
        <v>6412</v>
      </c>
      <c r="J5559" s="78" t="s">
        <v>69</v>
      </c>
      <c r="K5559" s="58">
        <f t="shared" si="14"/>
        <v>0</v>
      </c>
      <c r="L5559" s="91" t="str">
        <f t="shared" si="8"/>
        <v>Thu</v>
      </c>
      <c r="M5559" s="78" t="str">
        <f>IFERROR(VLOOKUP(A5559, Entries!A:B,2,false),"")</f>
        <v>Bethesda Softworks</v>
      </c>
      <c r="N5559" s="23" t="str">
        <f>IFERROR(VLOOKUP(A5559, Entries!A:K,11,false),"")</f>
        <v/>
      </c>
    </row>
    <row r="5560">
      <c r="A5560" s="78" t="s">
        <v>4926</v>
      </c>
      <c r="B5560" s="78" t="s">
        <v>27</v>
      </c>
      <c r="C5560" s="85">
        <v>45393.0</v>
      </c>
      <c r="D5560" s="85">
        <v>45393.0</v>
      </c>
      <c r="E5560" s="86">
        <v>7.59</v>
      </c>
      <c r="F5560" s="87">
        <v>9.77</v>
      </c>
      <c r="G5560" s="88">
        <f t="shared" si="1"/>
        <v>2.18</v>
      </c>
      <c r="H5560" s="89">
        <f t="shared" si="15"/>
        <v>0.2231320368</v>
      </c>
      <c r="I5560" s="78" t="s">
        <v>6413</v>
      </c>
      <c r="J5560" s="78" t="s">
        <v>69</v>
      </c>
      <c r="K5560" s="58">
        <f t="shared" si="14"/>
        <v>0</v>
      </c>
      <c r="L5560" s="91" t="str">
        <f t="shared" si="8"/>
        <v>Thu</v>
      </c>
      <c r="M5560" s="78" t="str">
        <f>IFERROR(VLOOKUP(A5560, Entries!A:B,2,false),"")</f>
        <v>Bethesda Softworks</v>
      </c>
      <c r="N5560" s="23" t="str">
        <f>IFERROR(VLOOKUP(A5560, Entries!A:K,11,false),"")</f>
        <v/>
      </c>
    </row>
    <row r="5561">
      <c r="A5561" s="78" t="s">
        <v>4494</v>
      </c>
      <c r="B5561" s="78" t="s">
        <v>27</v>
      </c>
      <c r="C5561" s="85">
        <v>45393.0</v>
      </c>
      <c r="D5561" s="85">
        <v>45394.0</v>
      </c>
      <c r="E5561" s="86">
        <v>8.19</v>
      </c>
      <c r="F5561" s="87">
        <v>10.65</v>
      </c>
      <c r="G5561" s="88">
        <f t="shared" si="1"/>
        <v>2.46</v>
      </c>
      <c r="H5561" s="89">
        <f t="shared" si="15"/>
        <v>0.2309859155</v>
      </c>
      <c r="I5561" s="78" t="s">
        <v>6414</v>
      </c>
      <c r="J5561" s="78" t="s">
        <v>69</v>
      </c>
      <c r="K5561" s="58">
        <f t="shared" si="14"/>
        <v>1</v>
      </c>
      <c r="L5561" s="91" t="str">
        <f t="shared" si="8"/>
        <v>Fri</v>
      </c>
      <c r="M5561" s="78" t="str">
        <f>IFERROR(VLOOKUP(A5561, Entries!A:B,2,false),"")</f>
        <v>Skystone Games</v>
      </c>
      <c r="N5561" s="23" t="str">
        <f>IFERROR(VLOOKUP(A5561, Entries!A:K,11,false),"")</f>
        <v/>
      </c>
    </row>
    <row r="5562">
      <c r="A5562" s="78" t="s">
        <v>4926</v>
      </c>
      <c r="B5562" s="78" t="s">
        <v>27</v>
      </c>
      <c r="C5562" s="85">
        <v>45393.0</v>
      </c>
      <c r="D5562" s="85">
        <v>45393.0</v>
      </c>
      <c r="E5562" s="86">
        <v>7.89</v>
      </c>
      <c r="F5562" s="87">
        <v>10.69</v>
      </c>
      <c r="G5562" s="88">
        <f t="shared" si="1"/>
        <v>2.8</v>
      </c>
      <c r="H5562" s="89">
        <f t="shared" si="15"/>
        <v>0.2619270346</v>
      </c>
      <c r="I5562" s="78" t="s">
        <v>6415</v>
      </c>
      <c r="J5562" s="78" t="s">
        <v>69</v>
      </c>
      <c r="K5562" s="58">
        <f t="shared" si="14"/>
        <v>0</v>
      </c>
      <c r="L5562" s="91" t="str">
        <f t="shared" si="8"/>
        <v>Thu</v>
      </c>
      <c r="M5562" s="78" t="str">
        <f>IFERROR(VLOOKUP(A5562, Entries!A:B,2,false),"")</f>
        <v>Bethesda Softworks</v>
      </c>
      <c r="N5562" s="23" t="str">
        <f>IFERROR(VLOOKUP(A5562, Entries!A:K,11,false),"")</f>
        <v/>
      </c>
    </row>
    <row r="5563">
      <c r="A5563" s="78" t="s">
        <v>4926</v>
      </c>
      <c r="B5563" s="78" t="s">
        <v>27</v>
      </c>
      <c r="C5563" s="85">
        <v>45393.0</v>
      </c>
      <c r="D5563" s="85">
        <v>45393.0</v>
      </c>
      <c r="E5563" s="86">
        <v>7.89</v>
      </c>
      <c r="F5563" s="87">
        <v>10.69</v>
      </c>
      <c r="G5563" s="88">
        <f t="shared" si="1"/>
        <v>2.8</v>
      </c>
      <c r="H5563" s="89">
        <f t="shared" si="15"/>
        <v>0.2619270346</v>
      </c>
      <c r="I5563" s="78" t="s">
        <v>6416</v>
      </c>
      <c r="J5563" s="78" t="s">
        <v>69</v>
      </c>
      <c r="K5563" s="58">
        <f t="shared" si="14"/>
        <v>0</v>
      </c>
      <c r="L5563" s="91" t="str">
        <f t="shared" si="8"/>
        <v>Thu</v>
      </c>
      <c r="M5563" s="78" t="str">
        <f>IFERROR(VLOOKUP(A5563, Entries!A:B,2,false),"")</f>
        <v>Bethesda Softworks</v>
      </c>
      <c r="N5563" s="23" t="str">
        <f>IFERROR(VLOOKUP(A5563, Entries!A:K,11,false),"")</f>
        <v/>
      </c>
    </row>
    <row r="5564">
      <c r="A5564" s="78" t="s">
        <v>4926</v>
      </c>
      <c r="B5564" s="78" t="s">
        <v>27</v>
      </c>
      <c r="C5564" s="85">
        <v>45393.0</v>
      </c>
      <c r="D5564" s="85">
        <v>45393.0</v>
      </c>
      <c r="E5564" s="86">
        <v>7.89</v>
      </c>
      <c r="F5564" s="87">
        <v>10.69</v>
      </c>
      <c r="G5564" s="88">
        <f t="shared" si="1"/>
        <v>2.8</v>
      </c>
      <c r="H5564" s="89">
        <f t="shared" si="15"/>
        <v>0.2619270346</v>
      </c>
      <c r="I5564" s="78" t="s">
        <v>6417</v>
      </c>
      <c r="J5564" s="78" t="s">
        <v>69</v>
      </c>
      <c r="K5564" s="58">
        <f t="shared" si="14"/>
        <v>0</v>
      </c>
      <c r="L5564" s="91" t="str">
        <f t="shared" si="8"/>
        <v>Thu</v>
      </c>
      <c r="M5564" s="78" t="str">
        <f>IFERROR(VLOOKUP(A5564, Entries!A:B,2,false),"")</f>
        <v>Bethesda Softworks</v>
      </c>
      <c r="N5564" s="23" t="str">
        <f>IFERROR(VLOOKUP(A5564, Entries!A:K,11,false),"")</f>
        <v/>
      </c>
    </row>
    <row r="5565">
      <c r="A5565" s="78" t="s">
        <v>4926</v>
      </c>
      <c r="B5565" s="78" t="s">
        <v>27</v>
      </c>
      <c r="C5565" s="85">
        <v>45393.0</v>
      </c>
      <c r="D5565" s="85">
        <v>45393.0</v>
      </c>
      <c r="E5565" s="86">
        <v>7.89</v>
      </c>
      <c r="F5565" s="87">
        <v>10.69</v>
      </c>
      <c r="G5565" s="88">
        <f t="shared" si="1"/>
        <v>2.8</v>
      </c>
      <c r="H5565" s="89">
        <f t="shared" si="15"/>
        <v>0.2619270346</v>
      </c>
      <c r="I5565" s="78" t="s">
        <v>6418</v>
      </c>
      <c r="J5565" s="78" t="s">
        <v>69</v>
      </c>
      <c r="K5565" s="58">
        <f t="shared" si="14"/>
        <v>0</v>
      </c>
      <c r="L5565" s="91" t="str">
        <f t="shared" si="8"/>
        <v>Thu</v>
      </c>
      <c r="M5565" s="78" t="str">
        <f>IFERROR(VLOOKUP(A5565, Entries!A:B,2,false),"")</f>
        <v>Bethesda Softworks</v>
      </c>
      <c r="N5565" s="23" t="str">
        <f>IFERROR(VLOOKUP(A5565, Entries!A:K,11,false),"")</f>
        <v/>
      </c>
    </row>
    <row r="5566">
      <c r="A5566" s="78" t="s">
        <v>4926</v>
      </c>
      <c r="B5566" s="78" t="s">
        <v>27</v>
      </c>
      <c r="C5566" s="85">
        <v>45393.0</v>
      </c>
      <c r="D5566" s="85">
        <v>45393.0</v>
      </c>
      <c r="E5566" s="86">
        <v>7.89</v>
      </c>
      <c r="F5566" s="87">
        <v>10.69</v>
      </c>
      <c r="G5566" s="88">
        <f t="shared" si="1"/>
        <v>2.8</v>
      </c>
      <c r="H5566" s="89">
        <f t="shared" si="15"/>
        <v>0.2619270346</v>
      </c>
      <c r="I5566" s="78" t="s">
        <v>6419</v>
      </c>
      <c r="J5566" s="78" t="s">
        <v>69</v>
      </c>
      <c r="K5566" s="58">
        <f t="shared" si="14"/>
        <v>0</v>
      </c>
      <c r="L5566" s="91" t="str">
        <f t="shared" si="8"/>
        <v>Thu</v>
      </c>
      <c r="M5566" s="78" t="str">
        <f>IFERROR(VLOOKUP(A5566, Entries!A:B,2,false),"")</f>
        <v>Bethesda Softworks</v>
      </c>
      <c r="N5566" s="23" t="str">
        <f>IFERROR(VLOOKUP(A5566, Entries!A:K,11,false),"")</f>
        <v/>
      </c>
    </row>
    <row r="5567">
      <c r="A5567" s="78" t="s">
        <v>4928</v>
      </c>
      <c r="B5567" s="78" t="s">
        <v>19</v>
      </c>
      <c r="C5567" s="85">
        <v>45393.0</v>
      </c>
      <c r="D5567" s="85">
        <v>45393.0</v>
      </c>
      <c r="E5567" s="86">
        <v>28.21</v>
      </c>
      <c r="F5567" s="87">
        <v>34.9</v>
      </c>
      <c r="G5567" s="88">
        <f t="shared" si="1"/>
        <v>6.69</v>
      </c>
      <c r="H5567" s="89">
        <f t="shared" si="15"/>
        <v>0.1916905444</v>
      </c>
      <c r="I5567" s="78" t="s">
        <v>6420</v>
      </c>
      <c r="J5567" s="78" t="s">
        <v>69</v>
      </c>
      <c r="K5567" s="58">
        <f t="shared" si="14"/>
        <v>0</v>
      </c>
      <c r="L5567" s="91" t="str">
        <f t="shared" si="8"/>
        <v>Thu</v>
      </c>
      <c r="M5567" s="78" t="str">
        <f>IFERROR(VLOOKUP(A5567, Entries!A:B,2,false),"")</f>
        <v>Eleventh Hour Games</v>
      </c>
      <c r="N5567" s="23" t="str">
        <f>IFERROR(VLOOKUP(A5567, Entries!A:K,11,false),"")</f>
        <v/>
      </c>
    </row>
    <row r="5568">
      <c r="A5568" s="94" t="s">
        <v>6421</v>
      </c>
      <c r="B5568" s="78" t="s">
        <v>19</v>
      </c>
      <c r="C5568" s="85">
        <v>45393.0</v>
      </c>
      <c r="D5568" s="85">
        <v>45401.0</v>
      </c>
      <c r="E5568" s="86">
        <v>0.0</v>
      </c>
      <c r="F5568" s="87">
        <v>0.2</v>
      </c>
      <c r="G5568" s="88">
        <f t="shared" si="1"/>
        <v>0.2</v>
      </c>
      <c r="H5568" s="89">
        <f t="shared" si="15"/>
        <v>1</v>
      </c>
      <c r="I5568" s="78" t="s">
        <v>6422</v>
      </c>
      <c r="J5568" s="78" t="s">
        <v>69</v>
      </c>
      <c r="K5568" s="58">
        <f t="shared" si="14"/>
        <v>8</v>
      </c>
      <c r="L5568" s="91" t="str">
        <f t="shared" si="8"/>
        <v>Fri</v>
      </c>
      <c r="M5568" s="78" t="str">
        <f>IFERROR(VLOOKUP(A5568, Entries!A:B,2,false),"")</f>
        <v/>
      </c>
      <c r="N5568" s="23" t="str">
        <f>IFERROR(VLOOKUP(A5568, Entries!A:K,11,false),"")</f>
        <v/>
      </c>
    </row>
    <row r="5569">
      <c r="A5569" s="78" t="s">
        <v>4926</v>
      </c>
      <c r="B5569" s="78" t="s">
        <v>27</v>
      </c>
      <c r="C5569" s="85">
        <v>45393.0</v>
      </c>
      <c r="D5569" s="85">
        <v>45393.0</v>
      </c>
      <c r="E5569" s="86">
        <v>7.88</v>
      </c>
      <c r="F5569" s="87">
        <v>10.69</v>
      </c>
      <c r="G5569" s="88">
        <f t="shared" si="1"/>
        <v>2.81</v>
      </c>
      <c r="H5569" s="89">
        <f t="shared" si="15"/>
        <v>0.2628624883</v>
      </c>
      <c r="I5569" s="78" t="s">
        <v>6423</v>
      </c>
      <c r="J5569" s="78" t="s">
        <v>69</v>
      </c>
      <c r="K5569" s="58">
        <f t="shared" si="14"/>
        <v>0</v>
      </c>
      <c r="L5569" s="91" t="str">
        <f t="shared" si="8"/>
        <v>Thu</v>
      </c>
      <c r="M5569" s="78" t="str">
        <f>IFERROR(VLOOKUP(A5569, Entries!A:B,2,false),"")</f>
        <v>Bethesda Softworks</v>
      </c>
      <c r="N5569" s="23" t="str">
        <f>IFERROR(VLOOKUP(A5569, Entries!A:K,11,false),"")</f>
        <v/>
      </c>
    </row>
    <row r="5570">
      <c r="A5570" s="78" t="s">
        <v>4926</v>
      </c>
      <c r="B5570" s="78" t="s">
        <v>27</v>
      </c>
      <c r="C5570" s="85">
        <v>45393.0</v>
      </c>
      <c r="D5570" s="85">
        <v>45394.0</v>
      </c>
      <c r="E5570" s="86">
        <v>7.88</v>
      </c>
      <c r="F5570" s="87">
        <v>10.0</v>
      </c>
      <c r="G5570" s="88">
        <f t="shared" si="1"/>
        <v>2.12</v>
      </c>
      <c r="H5570" s="89">
        <f t="shared" si="15"/>
        <v>0.212</v>
      </c>
      <c r="I5570" s="78" t="s">
        <v>6424</v>
      </c>
      <c r="J5570" s="78" t="s">
        <v>69</v>
      </c>
      <c r="K5570" s="58">
        <f t="shared" si="14"/>
        <v>1</v>
      </c>
      <c r="L5570" s="91" t="str">
        <f t="shared" si="8"/>
        <v>Fri</v>
      </c>
      <c r="M5570" s="78" t="str">
        <f>IFERROR(VLOOKUP(A5570, Entries!A:B,2,false),"")</f>
        <v>Bethesda Softworks</v>
      </c>
      <c r="N5570" s="23" t="str">
        <f>IFERROR(VLOOKUP(A5570, Entries!A:K,11,false),"")</f>
        <v/>
      </c>
    </row>
    <row r="5571">
      <c r="A5571" s="78" t="s">
        <v>4926</v>
      </c>
      <c r="B5571" s="78" t="s">
        <v>27</v>
      </c>
      <c r="C5571" s="85">
        <v>45393.0</v>
      </c>
      <c r="D5571" s="85">
        <v>45394.0</v>
      </c>
      <c r="E5571" s="86">
        <v>7.88</v>
      </c>
      <c r="F5571" s="87">
        <v>8.63</v>
      </c>
      <c r="G5571" s="88">
        <f t="shared" si="1"/>
        <v>0.75</v>
      </c>
      <c r="H5571" s="89">
        <f t="shared" si="15"/>
        <v>0.08690614137</v>
      </c>
      <c r="I5571" s="78" t="s">
        <v>6425</v>
      </c>
      <c r="J5571" s="78" t="s">
        <v>69</v>
      </c>
      <c r="K5571" s="58">
        <f t="shared" si="14"/>
        <v>1</v>
      </c>
      <c r="L5571" s="91" t="str">
        <f t="shared" si="8"/>
        <v>Fri</v>
      </c>
      <c r="M5571" s="78" t="str">
        <f>IFERROR(VLOOKUP(A5571, Entries!A:B,2,false),"")</f>
        <v>Bethesda Softworks</v>
      </c>
      <c r="N5571" s="23" t="str">
        <f>IFERROR(VLOOKUP(A5571, Entries!A:K,11,false),"")</f>
        <v/>
      </c>
    </row>
    <row r="5572">
      <c r="A5572" s="78" t="s">
        <v>4926</v>
      </c>
      <c r="B5572" s="78" t="s">
        <v>27</v>
      </c>
      <c r="C5572" s="85">
        <v>45393.0</v>
      </c>
      <c r="D5572" s="85">
        <v>45395.0</v>
      </c>
      <c r="E5572" s="86">
        <v>7.88</v>
      </c>
      <c r="F5572" s="87">
        <v>8.33</v>
      </c>
      <c r="G5572" s="88">
        <f t="shared" si="1"/>
        <v>0.45</v>
      </c>
      <c r="H5572" s="89">
        <f t="shared" si="15"/>
        <v>0.05402160864</v>
      </c>
      <c r="I5572" s="78" t="s">
        <v>6426</v>
      </c>
      <c r="J5572" s="78" t="s">
        <v>69</v>
      </c>
      <c r="K5572" s="58">
        <f t="shared" si="14"/>
        <v>2</v>
      </c>
      <c r="L5572" s="91" t="str">
        <f t="shared" si="8"/>
        <v>Sat</v>
      </c>
      <c r="M5572" s="78" t="str">
        <f>IFERROR(VLOOKUP(A5572, Entries!A:B,2,false),"")</f>
        <v>Bethesda Softworks</v>
      </c>
      <c r="N5572" s="23" t="str">
        <f>IFERROR(VLOOKUP(A5572, Entries!A:K,11,false),"")</f>
        <v/>
      </c>
    </row>
    <row r="5573">
      <c r="A5573" s="94" t="s">
        <v>4926</v>
      </c>
      <c r="B5573" s="78" t="s">
        <v>27</v>
      </c>
      <c r="C5573" s="85">
        <v>45393.0</v>
      </c>
      <c r="D5573" s="85">
        <v>45395.0</v>
      </c>
      <c r="E5573" s="86">
        <v>7.87</v>
      </c>
      <c r="F5573" s="87">
        <v>8.03</v>
      </c>
      <c r="G5573" s="88">
        <f t="shared" si="1"/>
        <v>0.16</v>
      </c>
      <c r="H5573" s="89">
        <f t="shared" si="15"/>
        <v>0.0199252802</v>
      </c>
      <c r="I5573" s="78" t="s">
        <v>6427</v>
      </c>
      <c r="J5573" s="78" t="s">
        <v>69</v>
      </c>
      <c r="K5573" s="58">
        <f t="shared" si="14"/>
        <v>2</v>
      </c>
      <c r="L5573" s="91" t="str">
        <f t="shared" si="8"/>
        <v>Sat</v>
      </c>
      <c r="M5573" s="78" t="str">
        <f>IFERROR(VLOOKUP(A5573, Entries!A:B,2,false),"")</f>
        <v>Bethesda Softworks</v>
      </c>
      <c r="N5573" s="23" t="str">
        <f>IFERROR(VLOOKUP(A5573, Entries!A:K,11,false),"")</f>
        <v/>
      </c>
    </row>
    <row r="5574">
      <c r="A5574" s="78" t="s">
        <v>4928</v>
      </c>
      <c r="B5574" s="78" t="s">
        <v>19</v>
      </c>
      <c r="C5574" s="85">
        <v>45393.0</v>
      </c>
      <c r="D5574" s="85">
        <v>45394.0</v>
      </c>
      <c r="E5574" s="86">
        <v>28.21</v>
      </c>
      <c r="F5574" s="87">
        <v>34.95</v>
      </c>
      <c r="G5574" s="88">
        <f t="shared" si="1"/>
        <v>6.74</v>
      </c>
      <c r="H5574" s="89">
        <f t="shared" si="15"/>
        <v>0.1928469242</v>
      </c>
      <c r="I5574" s="78" t="s">
        <v>6428</v>
      </c>
      <c r="J5574" s="78" t="s">
        <v>69</v>
      </c>
      <c r="K5574" s="58">
        <f t="shared" si="14"/>
        <v>1</v>
      </c>
      <c r="L5574" s="91" t="str">
        <f t="shared" si="8"/>
        <v>Fri</v>
      </c>
      <c r="M5574" s="78" t="str">
        <f>IFERROR(VLOOKUP(A5574, Entries!A:B,2,false),"")</f>
        <v>Eleventh Hour Games</v>
      </c>
      <c r="N5574" s="23" t="str">
        <f>IFERROR(VLOOKUP(A5574, Entries!A:K,11,false),"")</f>
        <v/>
      </c>
    </row>
    <row r="5575">
      <c r="A5575" s="94" t="s">
        <v>6429</v>
      </c>
      <c r="B5575" s="78" t="s">
        <v>19</v>
      </c>
      <c r="C5575" s="85">
        <v>45393.0</v>
      </c>
      <c r="D5575" s="85">
        <v>45413.0</v>
      </c>
      <c r="E5575" s="86">
        <v>0.0</v>
      </c>
      <c r="F5575" s="87">
        <v>0.23</v>
      </c>
      <c r="G5575" s="88">
        <f t="shared" si="1"/>
        <v>0.23</v>
      </c>
      <c r="H5575" s="89">
        <f t="shared" si="15"/>
        <v>1</v>
      </c>
      <c r="I5575" s="78" t="s">
        <v>6430</v>
      </c>
      <c r="J5575" s="78" t="s">
        <v>69</v>
      </c>
      <c r="K5575" s="58">
        <f t="shared" si="14"/>
        <v>20</v>
      </c>
      <c r="L5575" s="91" t="str">
        <f t="shared" si="8"/>
        <v>Wed</v>
      </c>
      <c r="M5575" s="78" t="str">
        <f>IFERROR(VLOOKUP(A5575, Entries!A:B,2,false),"")</f>
        <v/>
      </c>
      <c r="N5575" s="23" t="str">
        <f>IFERROR(VLOOKUP(A5575, Entries!A:K,11,false),"")</f>
        <v/>
      </c>
    </row>
    <row r="5576">
      <c r="A5576" s="94" t="s">
        <v>1729</v>
      </c>
      <c r="B5576" s="78" t="s">
        <v>19</v>
      </c>
      <c r="C5576" s="85">
        <v>45394.0</v>
      </c>
      <c r="D5576" s="85">
        <v>45421.0</v>
      </c>
      <c r="E5576" s="86">
        <v>5.2</v>
      </c>
      <c r="F5576" s="87">
        <v>8.44</v>
      </c>
      <c r="G5576" s="88">
        <f t="shared" si="1"/>
        <v>3.24</v>
      </c>
      <c r="H5576" s="89">
        <f t="shared" si="15"/>
        <v>0.3838862559</v>
      </c>
      <c r="I5576" s="78" t="s">
        <v>6431</v>
      </c>
      <c r="J5576" s="78" t="s">
        <v>69</v>
      </c>
      <c r="K5576" s="58">
        <f t="shared" si="14"/>
        <v>27</v>
      </c>
      <c r="L5576" s="91" t="str">
        <f t="shared" si="8"/>
        <v>Thu</v>
      </c>
      <c r="M5576" s="78" t="str">
        <f>IFERROR(VLOOKUP(A5576, Entries!A:B,2,false),"")</f>
        <v>Focus Home Interactive</v>
      </c>
      <c r="N5576" s="23" t="str">
        <f>IFERROR(VLOOKUP(A5576, Entries!A:K,11,false),"")</f>
        <v/>
      </c>
    </row>
    <row r="5577">
      <c r="A5577" s="78" t="s">
        <v>4085</v>
      </c>
      <c r="B5577" s="78" t="s">
        <v>27</v>
      </c>
      <c r="C5577" s="85">
        <v>45394.0</v>
      </c>
      <c r="D5577" s="85">
        <v>45394.0</v>
      </c>
      <c r="E5577" s="86">
        <v>6.33</v>
      </c>
      <c r="F5577" s="87">
        <v>7.31</v>
      </c>
      <c r="G5577" s="88">
        <f t="shared" si="1"/>
        <v>0.98</v>
      </c>
      <c r="H5577" s="89">
        <f t="shared" si="15"/>
        <v>0.1340629275</v>
      </c>
      <c r="I5577" s="78" t="s">
        <v>6432</v>
      </c>
      <c r="J5577" s="78" t="s">
        <v>69</v>
      </c>
      <c r="K5577" s="58">
        <f t="shared" si="14"/>
        <v>0</v>
      </c>
      <c r="L5577" s="91" t="str">
        <f t="shared" si="8"/>
        <v>Fri</v>
      </c>
      <c r="M5577" s="78" t="str">
        <f>IFERROR(VLOOKUP(A5577, Entries!A:B,2,false),"")</f>
        <v>Bethesda Softworks</v>
      </c>
      <c r="N5577" s="23" t="str">
        <f>IFERROR(VLOOKUP(A5577, Entries!A:K,11,false),"")</f>
        <v/>
      </c>
    </row>
    <row r="5578">
      <c r="A5578" s="78" t="s">
        <v>4085</v>
      </c>
      <c r="B5578" s="78" t="s">
        <v>27</v>
      </c>
      <c r="C5578" s="85">
        <v>45394.0</v>
      </c>
      <c r="D5578" s="85">
        <v>45394.0</v>
      </c>
      <c r="E5578" s="86">
        <v>6.33</v>
      </c>
      <c r="F5578" s="87">
        <v>7.31</v>
      </c>
      <c r="G5578" s="88">
        <f t="shared" si="1"/>
        <v>0.98</v>
      </c>
      <c r="H5578" s="89">
        <f t="shared" si="15"/>
        <v>0.1340629275</v>
      </c>
      <c r="I5578" s="78" t="s">
        <v>6433</v>
      </c>
      <c r="J5578" s="78" t="s">
        <v>69</v>
      </c>
      <c r="K5578" s="58">
        <f t="shared" si="14"/>
        <v>0</v>
      </c>
      <c r="L5578" s="91" t="str">
        <f t="shared" si="8"/>
        <v>Fri</v>
      </c>
      <c r="M5578" s="78" t="str">
        <f>IFERROR(VLOOKUP(A5578, Entries!A:B,2,false),"")</f>
        <v>Bethesda Softworks</v>
      </c>
      <c r="N5578" s="23" t="str">
        <f>IFERROR(VLOOKUP(A5578, Entries!A:K,11,false),"")</f>
        <v/>
      </c>
    </row>
    <row r="5579">
      <c r="A5579" s="94" t="s">
        <v>4928</v>
      </c>
      <c r="B5579" s="78" t="s">
        <v>19</v>
      </c>
      <c r="C5579" s="85">
        <v>45394.0</v>
      </c>
      <c r="D5579" s="85">
        <v>45395.0</v>
      </c>
      <c r="E5579" s="86">
        <v>28.28</v>
      </c>
      <c r="F5579" s="87">
        <v>34.71</v>
      </c>
      <c r="G5579" s="88">
        <f t="shared" si="1"/>
        <v>6.43</v>
      </c>
      <c r="H5579" s="89">
        <f t="shared" si="15"/>
        <v>0.1852492077</v>
      </c>
      <c r="I5579" s="78" t="s">
        <v>6434</v>
      </c>
      <c r="J5579" s="78" t="s">
        <v>69</v>
      </c>
      <c r="K5579" s="58">
        <f t="shared" si="14"/>
        <v>1</v>
      </c>
      <c r="L5579" s="91" t="str">
        <f t="shared" si="8"/>
        <v>Sat</v>
      </c>
      <c r="M5579" s="78" t="str">
        <f>IFERROR(VLOOKUP(A5579, Entries!A:B,2,false),"")</f>
        <v>Eleventh Hour Games</v>
      </c>
      <c r="N5579" s="23" t="str">
        <f>IFERROR(VLOOKUP(A5579, Entries!A:K,11,false),"")</f>
        <v/>
      </c>
    </row>
    <row r="5580">
      <c r="A5580" s="94" t="s">
        <v>6435</v>
      </c>
      <c r="B5580" s="78" t="s">
        <v>19</v>
      </c>
      <c r="C5580" s="85">
        <v>45394.0</v>
      </c>
      <c r="D5580" s="85">
        <v>45415.0</v>
      </c>
      <c r="E5580" s="86">
        <v>0.0</v>
      </c>
      <c r="F5580" s="87">
        <v>2.34</v>
      </c>
      <c r="G5580" s="88">
        <f t="shared" si="1"/>
        <v>2.34</v>
      </c>
      <c r="H5580" s="89">
        <f t="shared" si="15"/>
        <v>1</v>
      </c>
      <c r="I5580" s="78" t="s">
        <v>6436</v>
      </c>
      <c r="J5580" s="78" t="s">
        <v>69</v>
      </c>
      <c r="K5580" s="58">
        <f t="shared" si="14"/>
        <v>21</v>
      </c>
      <c r="L5580" s="91" t="str">
        <f t="shared" si="8"/>
        <v>Fri</v>
      </c>
      <c r="M5580" s="78" t="str">
        <f>IFERROR(VLOOKUP(A5580, Entries!A:B,2,false),"")</f>
        <v/>
      </c>
      <c r="N5580" s="23" t="str">
        <f>IFERROR(VLOOKUP(A5580, Entries!A:K,11,false),"")</f>
        <v/>
      </c>
    </row>
    <row r="5581">
      <c r="A5581" s="78" t="s">
        <v>4926</v>
      </c>
      <c r="B5581" s="78" t="s">
        <v>27</v>
      </c>
      <c r="C5581" s="85">
        <v>45394.0</v>
      </c>
      <c r="D5581" s="85">
        <v>45394.0</v>
      </c>
      <c r="E5581" s="86">
        <v>7.89</v>
      </c>
      <c r="F5581" s="87">
        <v>8.33</v>
      </c>
      <c r="G5581" s="88">
        <f t="shared" si="1"/>
        <v>0.44</v>
      </c>
      <c r="H5581" s="89">
        <f t="shared" si="15"/>
        <v>0.05282112845</v>
      </c>
      <c r="I5581" s="78" t="s">
        <v>6437</v>
      </c>
      <c r="J5581" s="78" t="s">
        <v>69</v>
      </c>
      <c r="K5581" s="58">
        <f t="shared" si="14"/>
        <v>0</v>
      </c>
      <c r="L5581" s="91" t="str">
        <f t="shared" si="8"/>
        <v>Fri</v>
      </c>
      <c r="M5581" s="78" t="str">
        <f>IFERROR(VLOOKUP(A5581, Entries!A:B,2,false),"")</f>
        <v>Bethesda Softworks</v>
      </c>
      <c r="N5581" s="23" t="str">
        <f>IFERROR(VLOOKUP(A5581, Entries!A:K,11,false),"")</f>
        <v/>
      </c>
    </row>
    <row r="5582">
      <c r="A5582" s="94" t="s">
        <v>4926</v>
      </c>
      <c r="B5582" s="78" t="s">
        <v>27</v>
      </c>
      <c r="C5582" s="85">
        <v>45394.0</v>
      </c>
      <c r="D5582" s="85">
        <v>45395.0</v>
      </c>
      <c r="E5582" s="86">
        <v>7.89</v>
      </c>
      <c r="F5582" s="87">
        <v>8.03</v>
      </c>
      <c r="G5582" s="88">
        <f t="shared" si="1"/>
        <v>0.14</v>
      </c>
      <c r="H5582" s="89">
        <f t="shared" si="15"/>
        <v>0.01743462017</v>
      </c>
      <c r="I5582" s="78" t="s">
        <v>6438</v>
      </c>
      <c r="J5582" s="78" t="s">
        <v>69</v>
      </c>
      <c r="K5582" s="58">
        <f t="shared" si="14"/>
        <v>1</v>
      </c>
      <c r="L5582" s="91" t="str">
        <f t="shared" si="8"/>
        <v>Sat</v>
      </c>
      <c r="M5582" s="78" t="str">
        <f>IFERROR(VLOOKUP(A5582, Entries!A:B,2,false),"")</f>
        <v>Bethesda Softworks</v>
      </c>
      <c r="N5582" s="23" t="str">
        <f>IFERROR(VLOOKUP(A5582, Entries!A:K,11,false),"")</f>
        <v/>
      </c>
    </row>
    <row r="5583">
      <c r="A5583" s="94" t="s">
        <v>4926</v>
      </c>
      <c r="B5583" s="78" t="s">
        <v>22</v>
      </c>
      <c r="C5583" s="85">
        <v>45394.0</v>
      </c>
      <c r="D5583" s="85">
        <v>45396.0</v>
      </c>
      <c r="E5583" s="86">
        <v>7.01</v>
      </c>
      <c r="F5583" s="87">
        <v>8.01</v>
      </c>
      <c r="G5583" s="88">
        <f t="shared" si="1"/>
        <v>1</v>
      </c>
      <c r="H5583" s="89">
        <f t="shared" si="15"/>
        <v>0.1248439451</v>
      </c>
      <c r="I5583" s="78" t="s">
        <v>6439</v>
      </c>
      <c r="J5583" s="78" t="s">
        <v>69</v>
      </c>
      <c r="K5583" s="58">
        <f t="shared" si="14"/>
        <v>2</v>
      </c>
      <c r="L5583" s="91" t="str">
        <f t="shared" si="8"/>
        <v>Sun</v>
      </c>
      <c r="M5583" s="78" t="str">
        <f>IFERROR(VLOOKUP(A5583, Entries!A:B,2,false),"")</f>
        <v>Bethesda Softworks</v>
      </c>
      <c r="N5583" s="23" t="str">
        <f>IFERROR(VLOOKUP(A5583, Entries!A:K,11,false),"")</f>
        <v/>
      </c>
    </row>
    <row r="5584">
      <c r="A5584" s="94" t="s">
        <v>4926</v>
      </c>
      <c r="B5584" s="78" t="s">
        <v>22</v>
      </c>
      <c r="C5584" s="85">
        <v>45394.0</v>
      </c>
      <c r="D5584" s="85">
        <v>45396.0</v>
      </c>
      <c r="E5584" s="86">
        <v>7.01</v>
      </c>
      <c r="F5584" s="87">
        <v>8.01</v>
      </c>
      <c r="G5584" s="88">
        <f t="shared" si="1"/>
        <v>1</v>
      </c>
      <c r="H5584" s="89">
        <f t="shared" si="15"/>
        <v>0.1248439451</v>
      </c>
      <c r="I5584" s="78" t="s">
        <v>6440</v>
      </c>
      <c r="J5584" s="78" t="s">
        <v>69</v>
      </c>
      <c r="K5584" s="58">
        <f t="shared" si="14"/>
        <v>2</v>
      </c>
      <c r="L5584" s="91" t="str">
        <f t="shared" si="8"/>
        <v>Sun</v>
      </c>
      <c r="M5584" s="78" t="str">
        <f>IFERROR(VLOOKUP(A5584, Entries!A:B,2,false),"")</f>
        <v>Bethesda Softworks</v>
      </c>
      <c r="N5584" s="23" t="str">
        <f>IFERROR(VLOOKUP(A5584, Entries!A:K,11,false),"")</f>
        <v/>
      </c>
    </row>
    <row r="5585">
      <c r="A5585" s="94" t="s">
        <v>1922</v>
      </c>
      <c r="B5585" s="78" t="s">
        <v>19</v>
      </c>
      <c r="C5585" s="85">
        <v>45394.0</v>
      </c>
      <c r="D5585" s="85">
        <v>45396.0</v>
      </c>
      <c r="E5585" s="86">
        <v>12.2</v>
      </c>
      <c r="F5585" s="87">
        <v>26.88</v>
      </c>
      <c r="G5585" s="88">
        <f t="shared" si="1"/>
        <v>14.68</v>
      </c>
      <c r="H5585" s="89">
        <f t="shared" si="15"/>
        <v>0.5461309524</v>
      </c>
      <c r="I5585" s="78" t="s">
        <v>6441</v>
      </c>
      <c r="J5585" s="78" t="s">
        <v>69</v>
      </c>
      <c r="K5585" s="58">
        <f t="shared" si="14"/>
        <v>2</v>
      </c>
      <c r="L5585" s="91" t="str">
        <f t="shared" si="8"/>
        <v>Sun</v>
      </c>
      <c r="M5585" s="78" t="str">
        <f>IFERROR(VLOOKUP(A5585, Entries!A:B,2,false),"")</f>
        <v>Rebellion</v>
      </c>
      <c r="N5585" s="23" t="str">
        <f>IFERROR(VLOOKUP(A5585, Entries!A:K,11,false),"")</f>
        <v/>
      </c>
    </row>
    <row r="5586">
      <c r="A5586" s="94" t="s">
        <v>1580</v>
      </c>
      <c r="B5586" s="78" t="s">
        <v>19</v>
      </c>
      <c r="C5586" s="85">
        <v>45394.0</v>
      </c>
      <c r="D5586" s="85">
        <v>45404.0</v>
      </c>
      <c r="E5586" s="86">
        <v>0.0</v>
      </c>
      <c r="F5586" s="87">
        <v>0.04</v>
      </c>
      <c r="G5586" s="88">
        <f t="shared" si="1"/>
        <v>0.04</v>
      </c>
      <c r="H5586" s="89">
        <f t="shared" si="15"/>
        <v>1</v>
      </c>
      <c r="I5586" s="78" t="s">
        <v>6442</v>
      </c>
      <c r="J5586" s="78" t="s">
        <v>69</v>
      </c>
      <c r="K5586" s="58">
        <f t="shared" si="14"/>
        <v>10</v>
      </c>
      <c r="L5586" s="91" t="str">
        <f t="shared" si="8"/>
        <v>Mon</v>
      </c>
      <c r="M5586" s="78" t="str">
        <f>IFERROR(VLOOKUP(A5586, Entries!A:B,2,false),"")</f>
        <v>Curve Digital</v>
      </c>
      <c r="N5586" s="23" t="str">
        <f>IFERROR(VLOOKUP(A5586, Entries!A:K,11,false),"")</f>
        <v/>
      </c>
    </row>
    <row r="5587">
      <c r="A5587" s="94" t="s">
        <v>6024</v>
      </c>
      <c r="B5587" s="78" t="s">
        <v>27</v>
      </c>
      <c r="C5587" s="85">
        <v>45394.0</v>
      </c>
      <c r="D5587" s="85">
        <v>45396.0</v>
      </c>
      <c r="E5587" s="86">
        <v>50.23</v>
      </c>
      <c r="F5587" s="87">
        <v>58.38</v>
      </c>
      <c r="G5587" s="88">
        <f t="shared" si="1"/>
        <v>8.15</v>
      </c>
      <c r="H5587" s="89">
        <f t="shared" si="15"/>
        <v>0.1396026036</v>
      </c>
      <c r="I5587" s="78" t="s">
        <v>6443</v>
      </c>
      <c r="J5587" s="78" t="s">
        <v>69</v>
      </c>
      <c r="K5587" s="58">
        <f t="shared" si="14"/>
        <v>2</v>
      </c>
      <c r="L5587" s="91" t="str">
        <f t="shared" si="8"/>
        <v>Sun</v>
      </c>
      <c r="M5587" s="78" t="str">
        <f>IFERROR(VLOOKUP(A5587, Entries!A:B,2,false),"")</f>
        <v>BANDAI NAMCO</v>
      </c>
      <c r="N5587" s="23" t="str">
        <f>IFERROR(VLOOKUP(A5587, Entries!A:K,11,false),"")</f>
        <v/>
      </c>
    </row>
    <row r="5588">
      <c r="A5588" s="78" t="s">
        <v>2339</v>
      </c>
      <c r="B5588" s="78" t="s">
        <v>26</v>
      </c>
      <c r="C5588" s="85">
        <v>45394.0</v>
      </c>
      <c r="D5588" s="85">
        <v>45395.0</v>
      </c>
      <c r="E5588" s="86">
        <v>1.99</v>
      </c>
      <c r="F5588" s="87">
        <v>2.33</v>
      </c>
      <c r="G5588" s="88">
        <f t="shared" si="1"/>
        <v>0.34</v>
      </c>
      <c r="H5588" s="89">
        <f t="shared" si="15"/>
        <v>0.1459227468</v>
      </c>
      <c r="I5588" s="78" t="s">
        <v>6444</v>
      </c>
      <c r="J5588" s="78" t="s">
        <v>69</v>
      </c>
      <c r="K5588" s="58">
        <f t="shared" si="14"/>
        <v>1</v>
      </c>
      <c r="L5588" s="91" t="str">
        <f t="shared" si="8"/>
        <v>Sat</v>
      </c>
      <c r="M5588" s="78" t="str">
        <f>IFERROR(VLOOKUP(A5588, Entries!A:B,2,false),"")</f>
        <v>PlayWay</v>
      </c>
      <c r="N5588" s="23" t="str">
        <f>IFERROR(VLOOKUP(A5588, Entries!A:K,11,false),"")</f>
        <v/>
      </c>
    </row>
    <row r="5589">
      <c r="A5589" s="78" t="s">
        <v>6274</v>
      </c>
      <c r="B5589" s="78" t="s">
        <v>27</v>
      </c>
      <c r="C5589" s="85">
        <v>45394.0</v>
      </c>
      <c r="D5589" s="85">
        <v>45394.0</v>
      </c>
      <c r="E5589" s="86">
        <v>7.59</v>
      </c>
      <c r="F5589" s="87">
        <v>9.01</v>
      </c>
      <c r="G5589" s="88">
        <f t="shared" si="1"/>
        <v>1.42</v>
      </c>
      <c r="H5589" s="89">
        <f t="shared" si="15"/>
        <v>0.1576026637</v>
      </c>
      <c r="I5589" s="78" t="s">
        <v>6445</v>
      </c>
      <c r="J5589" s="78" t="s">
        <v>69</v>
      </c>
      <c r="K5589" s="58">
        <f t="shared" si="14"/>
        <v>0</v>
      </c>
      <c r="L5589" s="91" t="str">
        <f t="shared" si="8"/>
        <v>Fri</v>
      </c>
      <c r="M5589" s="78" t="str">
        <f>IFERROR(VLOOKUP(A5589, Entries!A:B,2,false),"")</f>
        <v>Bethesda Softworks</v>
      </c>
      <c r="N5589" s="23" t="str">
        <f>IFERROR(VLOOKUP(A5589, Entries!A:K,11,false),"")</f>
        <v/>
      </c>
    </row>
    <row r="5590">
      <c r="A5590" s="94" t="s">
        <v>6274</v>
      </c>
      <c r="B5590" s="78" t="s">
        <v>27</v>
      </c>
      <c r="C5590" s="85">
        <v>45394.0</v>
      </c>
      <c r="D5590" s="85">
        <v>45394.0</v>
      </c>
      <c r="E5590" s="86">
        <v>7.59</v>
      </c>
      <c r="F5590" s="87">
        <v>9.01</v>
      </c>
      <c r="G5590" s="88">
        <f t="shared" si="1"/>
        <v>1.42</v>
      </c>
      <c r="H5590" s="89">
        <f t="shared" si="15"/>
        <v>0.1576026637</v>
      </c>
      <c r="I5590" s="78" t="s">
        <v>6446</v>
      </c>
      <c r="J5590" s="78" t="s">
        <v>69</v>
      </c>
      <c r="K5590" s="58">
        <f t="shared" si="14"/>
        <v>0</v>
      </c>
      <c r="L5590" s="91" t="str">
        <f t="shared" si="8"/>
        <v>Fri</v>
      </c>
      <c r="M5590" s="78" t="str">
        <f>IFERROR(VLOOKUP(A5590, Entries!A:B,2,false),"")</f>
        <v>Bethesda Softworks</v>
      </c>
      <c r="N5590" s="23" t="str">
        <f>IFERROR(VLOOKUP(A5590, Entries!A:K,11,false),"")</f>
        <v/>
      </c>
    </row>
    <row r="5591">
      <c r="A5591" s="94" t="s">
        <v>6274</v>
      </c>
      <c r="B5591" s="78" t="s">
        <v>27</v>
      </c>
      <c r="C5591" s="85">
        <v>45394.0</v>
      </c>
      <c r="D5591" s="85">
        <v>45395.0</v>
      </c>
      <c r="E5591" s="86">
        <v>7.59</v>
      </c>
      <c r="F5591" s="87">
        <v>9.01</v>
      </c>
      <c r="G5591" s="88">
        <f t="shared" si="1"/>
        <v>1.42</v>
      </c>
      <c r="H5591" s="89">
        <f t="shared" si="15"/>
        <v>0.1576026637</v>
      </c>
      <c r="I5591" s="78" t="s">
        <v>6447</v>
      </c>
      <c r="J5591" s="78" t="s">
        <v>69</v>
      </c>
      <c r="K5591" s="58">
        <f t="shared" si="14"/>
        <v>1</v>
      </c>
      <c r="L5591" s="91" t="str">
        <f t="shared" si="8"/>
        <v>Sat</v>
      </c>
      <c r="M5591" s="78" t="str">
        <f>IFERROR(VLOOKUP(A5591, Entries!A:B,2,false),"")</f>
        <v>Bethesda Softworks</v>
      </c>
      <c r="N5591" s="23" t="str">
        <f>IFERROR(VLOOKUP(A5591, Entries!A:K,11,false),"")</f>
        <v/>
      </c>
    </row>
    <row r="5592">
      <c r="A5592" s="78" t="s">
        <v>5676</v>
      </c>
      <c r="B5592" s="78" t="s">
        <v>25</v>
      </c>
      <c r="C5592" s="85">
        <v>45394.0</v>
      </c>
      <c r="D5592" s="85">
        <v>45395.0</v>
      </c>
      <c r="E5592" s="86">
        <v>36.8</v>
      </c>
      <c r="F5592" s="87">
        <v>41.96</v>
      </c>
      <c r="G5592" s="88">
        <f t="shared" si="1"/>
        <v>5.16</v>
      </c>
      <c r="H5592" s="89">
        <f t="shared" si="15"/>
        <v>0.1229742612</v>
      </c>
      <c r="I5592" s="78" t="s">
        <v>6448</v>
      </c>
      <c r="J5592" s="78" t="s">
        <v>69</v>
      </c>
      <c r="K5592" s="58">
        <f t="shared" si="14"/>
        <v>1</v>
      </c>
      <c r="L5592" s="91" t="str">
        <f t="shared" si="8"/>
        <v>Sat</v>
      </c>
      <c r="M5592" s="78" t="str">
        <f>IFERROR(VLOOKUP(A5592, Entries!A:B,2,false),"")</f>
        <v>Bethesda Softworks</v>
      </c>
      <c r="N5592" s="23" t="str">
        <f>IFERROR(VLOOKUP(A5592, Entries!A:K,11,false),"")</f>
        <v/>
      </c>
    </row>
    <row r="5593">
      <c r="A5593" s="94" t="s">
        <v>5676</v>
      </c>
      <c r="B5593" s="78" t="s">
        <v>25</v>
      </c>
      <c r="C5593" s="85">
        <v>45394.0</v>
      </c>
      <c r="D5593" s="85">
        <v>45395.0</v>
      </c>
      <c r="E5593" s="86">
        <v>36.8</v>
      </c>
      <c r="F5593" s="87">
        <v>42.0</v>
      </c>
      <c r="G5593" s="88">
        <f t="shared" si="1"/>
        <v>5.2</v>
      </c>
      <c r="H5593" s="89">
        <f t="shared" si="15"/>
        <v>0.1238095238</v>
      </c>
      <c r="I5593" s="78" t="s">
        <v>6449</v>
      </c>
      <c r="J5593" s="78" t="s">
        <v>69</v>
      </c>
      <c r="K5593" s="58">
        <f t="shared" si="14"/>
        <v>1</v>
      </c>
      <c r="L5593" s="91" t="str">
        <f t="shared" si="8"/>
        <v>Sat</v>
      </c>
      <c r="M5593" s="78" t="str">
        <f>IFERROR(VLOOKUP(A5593, Entries!A:B,2,false),"")</f>
        <v>Bethesda Softworks</v>
      </c>
      <c r="N5593" s="23" t="str">
        <f>IFERROR(VLOOKUP(A5593, Entries!A:K,11,false),"")</f>
        <v/>
      </c>
    </row>
    <row r="5594">
      <c r="A5594" s="94" t="s">
        <v>5676</v>
      </c>
      <c r="B5594" s="78" t="s">
        <v>25</v>
      </c>
      <c r="C5594" s="85">
        <v>45394.0</v>
      </c>
      <c r="D5594" s="85">
        <v>45396.0</v>
      </c>
      <c r="E5594" s="86">
        <v>36.81</v>
      </c>
      <c r="F5594" s="87">
        <v>42.0</v>
      </c>
      <c r="G5594" s="88">
        <f t="shared" si="1"/>
        <v>5.19</v>
      </c>
      <c r="H5594" s="89">
        <f t="shared" si="15"/>
        <v>0.1235714286</v>
      </c>
      <c r="I5594" s="78" t="s">
        <v>6450</v>
      </c>
      <c r="J5594" s="78" t="s">
        <v>69</v>
      </c>
      <c r="K5594" s="58">
        <f t="shared" si="14"/>
        <v>2</v>
      </c>
      <c r="L5594" s="91" t="str">
        <f t="shared" si="8"/>
        <v>Sun</v>
      </c>
      <c r="M5594" s="78" t="str">
        <f>IFERROR(VLOOKUP(A5594, Entries!A:B,2,false),"")</f>
        <v>Bethesda Softworks</v>
      </c>
      <c r="N5594" s="23" t="str">
        <f>IFERROR(VLOOKUP(A5594, Entries!A:K,11,false),"")</f>
        <v/>
      </c>
    </row>
    <row r="5595">
      <c r="A5595" s="94" t="s">
        <v>4085</v>
      </c>
      <c r="B5595" s="78" t="s">
        <v>27</v>
      </c>
      <c r="C5595" s="85">
        <v>45394.0</v>
      </c>
      <c r="D5595" s="85">
        <v>45394.0</v>
      </c>
      <c r="E5595" s="86">
        <v>6.39</v>
      </c>
      <c r="F5595" s="87">
        <v>7.31</v>
      </c>
      <c r="G5595" s="88">
        <f t="shared" si="1"/>
        <v>0.92</v>
      </c>
      <c r="H5595" s="89">
        <f t="shared" si="15"/>
        <v>0.1258549932</v>
      </c>
      <c r="I5595" s="78" t="s">
        <v>6451</v>
      </c>
      <c r="J5595" s="78" t="s">
        <v>69</v>
      </c>
      <c r="K5595" s="58">
        <f t="shared" si="14"/>
        <v>0</v>
      </c>
      <c r="L5595" s="91" t="str">
        <f t="shared" si="8"/>
        <v>Fri</v>
      </c>
      <c r="M5595" s="78" t="str">
        <f>IFERROR(VLOOKUP(A5595, Entries!A:B,2,false),"")</f>
        <v>Bethesda Softworks</v>
      </c>
      <c r="N5595" s="23" t="str">
        <f>IFERROR(VLOOKUP(A5595, Entries!A:K,11,false),"")</f>
        <v/>
      </c>
    </row>
    <row r="5596">
      <c r="A5596" s="78" t="s">
        <v>4085</v>
      </c>
      <c r="B5596" s="78" t="s">
        <v>27</v>
      </c>
      <c r="C5596" s="85">
        <v>45394.0</v>
      </c>
      <c r="D5596" s="85">
        <v>45395.0</v>
      </c>
      <c r="E5596" s="86">
        <v>6.39</v>
      </c>
      <c r="F5596" s="87">
        <v>7.31</v>
      </c>
      <c r="G5596" s="88">
        <f t="shared" si="1"/>
        <v>0.92</v>
      </c>
      <c r="H5596" s="89">
        <f t="shared" si="15"/>
        <v>0.1258549932</v>
      </c>
      <c r="I5596" s="78" t="s">
        <v>6452</v>
      </c>
      <c r="J5596" s="78" t="s">
        <v>69</v>
      </c>
      <c r="K5596" s="58">
        <f t="shared" si="14"/>
        <v>1</v>
      </c>
      <c r="L5596" s="91" t="str">
        <f t="shared" si="8"/>
        <v>Sat</v>
      </c>
      <c r="M5596" s="78" t="str">
        <f>IFERROR(VLOOKUP(A5596, Entries!A:B,2,false),"")</f>
        <v>Bethesda Softworks</v>
      </c>
      <c r="N5596" s="23" t="str">
        <f>IFERROR(VLOOKUP(A5596, Entries!A:K,11,false),"")</f>
        <v/>
      </c>
    </row>
    <row r="5597">
      <c r="A5597" s="94" t="s">
        <v>6274</v>
      </c>
      <c r="B5597" s="78" t="s">
        <v>27</v>
      </c>
      <c r="C5597" s="85">
        <v>45395.0</v>
      </c>
      <c r="D5597" s="85">
        <v>45395.0</v>
      </c>
      <c r="E5597" s="86">
        <v>7.46</v>
      </c>
      <c r="F5597" s="87">
        <v>9.01</v>
      </c>
      <c r="G5597" s="88">
        <f t="shared" si="1"/>
        <v>1.55</v>
      </c>
      <c r="H5597" s="89">
        <f t="shared" si="15"/>
        <v>0.1720310766</v>
      </c>
      <c r="I5597" s="78" t="s">
        <v>6453</v>
      </c>
      <c r="J5597" s="78" t="s">
        <v>69</v>
      </c>
      <c r="K5597" s="58">
        <f t="shared" si="14"/>
        <v>0</v>
      </c>
      <c r="L5597" s="91" t="str">
        <f t="shared" si="8"/>
        <v>Sat</v>
      </c>
      <c r="M5597" s="78" t="str">
        <f>IFERROR(VLOOKUP(A5597, Entries!A:B,2,false),"")</f>
        <v>Bethesda Softworks</v>
      </c>
      <c r="N5597" s="23" t="str">
        <f>IFERROR(VLOOKUP(A5597, Entries!A:K,11,false),"")</f>
        <v/>
      </c>
    </row>
    <row r="5598">
      <c r="A5598" s="94" t="s">
        <v>6274</v>
      </c>
      <c r="B5598" s="78" t="s">
        <v>27</v>
      </c>
      <c r="C5598" s="85">
        <v>45395.0</v>
      </c>
      <c r="D5598" s="85">
        <v>45395.0</v>
      </c>
      <c r="E5598" s="86">
        <v>7.46</v>
      </c>
      <c r="F5598" s="87">
        <v>9.01</v>
      </c>
      <c r="G5598" s="88">
        <f t="shared" si="1"/>
        <v>1.55</v>
      </c>
      <c r="H5598" s="89">
        <f t="shared" si="15"/>
        <v>0.1720310766</v>
      </c>
      <c r="I5598" s="78" t="s">
        <v>6454</v>
      </c>
      <c r="J5598" s="78" t="s">
        <v>69</v>
      </c>
      <c r="K5598" s="58">
        <f t="shared" si="14"/>
        <v>0</v>
      </c>
      <c r="L5598" s="91" t="str">
        <f t="shared" si="8"/>
        <v>Sat</v>
      </c>
      <c r="M5598" s="78" t="str">
        <f>IFERROR(VLOOKUP(A5598, Entries!A:B,2,false),"")</f>
        <v>Bethesda Softworks</v>
      </c>
      <c r="N5598" s="23" t="str">
        <f>IFERROR(VLOOKUP(A5598, Entries!A:K,11,false),"")</f>
        <v/>
      </c>
    </row>
    <row r="5599">
      <c r="A5599" s="94" t="s">
        <v>4085</v>
      </c>
      <c r="B5599" s="78" t="s">
        <v>27</v>
      </c>
      <c r="C5599" s="85">
        <v>45395.0</v>
      </c>
      <c r="D5599" s="85">
        <v>45395.0</v>
      </c>
      <c r="E5599" s="86">
        <v>6.39</v>
      </c>
      <c r="F5599" s="87">
        <v>7.31</v>
      </c>
      <c r="G5599" s="88">
        <f t="shared" si="1"/>
        <v>0.92</v>
      </c>
      <c r="H5599" s="89">
        <f t="shared" si="15"/>
        <v>0.1258549932</v>
      </c>
      <c r="I5599" s="78" t="s">
        <v>6455</v>
      </c>
      <c r="J5599" s="78" t="s">
        <v>69</v>
      </c>
      <c r="K5599" s="58">
        <f t="shared" si="14"/>
        <v>0</v>
      </c>
      <c r="L5599" s="91" t="str">
        <f t="shared" si="8"/>
        <v>Sat</v>
      </c>
      <c r="M5599" s="78" t="str">
        <f>IFERROR(VLOOKUP(A5599, Entries!A:B,2,false),"")</f>
        <v>Bethesda Softworks</v>
      </c>
      <c r="N5599" s="23" t="str">
        <f>IFERROR(VLOOKUP(A5599, Entries!A:K,11,false),"")</f>
        <v/>
      </c>
    </row>
    <row r="5600">
      <c r="A5600" s="94" t="s">
        <v>4085</v>
      </c>
      <c r="B5600" s="78" t="s">
        <v>27</v>
      </c>
      <c r="C5600" s="85">
        <v>45395.0</v>
      </c>
      <c r="D5600" s="85">
        <v>45395.0</v>
      </c>
      <c r="E5600" s="86">
        <v>6.39</v>
      </c>
      <c r="F5600" s="87">
        <v>7.31</v>
      </c>
      <c r="G5600" s="88">
        <f t="shared" si="1"/>
        <v>0.92</v>
      </c>
      <c r="H5600" s="89">
        <f t="shared" si="15"/>
        <v>0.1258549932</v>
      </c>
      <c r="I5600" s="78" t="s">
        <v>6456</v>
      </c>
      <c r="J5600" s="78" t="s">
        <v>69</v>
      </c>
      <c r="K5600" s="58">
        <f t="shared" si="14"/>
        <v>0</v>
      </c>
      <c r="L5600" s="91" t="str">
        <f t="shared" si="8"/>
        <v>Sat</v>
      </c>
      <c r="M5600" s="78" t="str">
        <f>IFERROR(VLOOKUP(A5600, Entries!A:B,2,false),"")</f>
        <v>Bethesda Softworks</v>
      </c>
      <c r="N5600" s="23" t="str">
        <f>IFERROR(VLOOKUP(A5600, Entries!A:K,11,false),"")</f>
        <v/>
      </c>
    </row>
    <row r="5601">
      <c r="A5601" s="94" t="s">
        <v>4085</v>
      </c>
      <c r="B5601" s="78" t="s">
        <v>27</v>
      </c>
      <c r="C5601" s="85">
        <v>45395.0</v>
      </c>
      <c r="D5601" s="85">
        <v>45396.0</v>
      </c>
      <c r="E5601" s="86">
        <v>6.39</v>
      </c>
      <c r="F5601" s="87">
        <v>7.31</v>
      </c>
      <c r="G5601" s="88">
        <f t="shared" si="1"/>
        <v>0.92</v>
      </c>
      <c r="H5601" s="89">
        <f t="shared" si="15"/>
        <v>0.1258549932</v>
      </c>
      <c r="I5601" s="78" t="s">
        <v>6457</v>
      </c>
      <c r="J5601" s="78" t="s">
        <v>69</v>
      </c>
      <c r="K5601" s="58">
        <f t="shared" si="14"/>
        <v>1</v>
      </c>
      <c r="L5601" s="91" t="str">
        <f t="shared" si="8"/>
        <v>Sun</v>
      </c>
      <c r="M5601" s="78" t="str">
        <f>IFERROR(VLOOKUP(A5601, Entries!A:B,2,false),"")</f>
        <v>Bethesda Softworks</v>
      </c>
      <c r="N5601" s="23" t="str">
        <f>IFERROR(VLOOKUP(A5601, Entries!A:K,11,false),"")</f>
        <v/>
      </c>
    </row>
    <row r="5602">
      <c r="A5602" s="94" t="s">
        <v>4928</v>
      </c>
      <c r="B5602" s="78" t="s">
        <v>19</v>
      </c>
      <c r="C5602" s="85">
        <v>45395.0</v>
      </c>
      <c r="D5602" s="85">
        <v>45397.0</v>
      </c>
      <c r="E5602" s="86">
        <v>28.48</v>
      </c>
      <c r="F5602" s="87">
        <v>34.99</v>
      </c>
      <c r="G5602" s="88">
        <f t="shared" si="1"/>
        <v>6.51</v>
      </c>
      <c r="H5602" s="89">
        <f t="shared" si="15"/>
        <v>0.186053158</v>
      </c>
      <c r="I5602" s="78" t="s">
        <v>6458</v>
      </c>
      <c r="J5602" s="78" t="s">
        <v>69</v>
      </c>
      <c r="K5602" s="58">
        <f t="shared" si="14"/>
        <v>2</v>
      </c>
      <c r="L5602" s="91" t="str">
        <f t="shared" si="8"/>
        <v>Mon</v>
      </c>
      <c r="M5602" s="78" t="str">
        <f>IFERROR(VLOOKUP(A5602, Entries!A:B,2,false),"")</f>
        <v>Eleventh Hour Games</v>
      </c>
      <c r="N5602" s="23" t="str">
        <f>IFERROR(VLOOKUP(A5602, Entries!A:K,11,false),"")</f>
        <v/>
      </c>
      <c r="P5602" s="78" t="s">
        <v>4442</v>
      </c>
    </row>
    <row r="5603">
      <c r="A5603" s="78" t="s">
        <v>383</v>
      </c>
      <c r="B5603" s="78" t="s">
        <v>19</v>
      </c>
      <c r="C5603" s="85">
        <v>45395.0</v>
      </c>
      <c r="D5603" s="85">
        <v>45395.0</v>
      </c>
      <c r="E5603" s="86">
        <v>0.0</v>
      </c>
      <c r="F5603" s="87">
        <v>0.98</v>
      </c>
      <c r="G5603" s="88">
        <f t="shared" si="1"/>
        <v>0.98</v>
      </c>
      <c r="H5603" s="89">
        <f t="shared" si="15"/>
        <v>1</v>
      </c>
      <c r="I5603" s="78" t="s">
        <v>6459</v>
      </c>
      <c r="J5603" s="78" t="s">
        <v>69</v>
      </c>
      <c r="K5603" s="58">
        <f t="shared" si="14"/>
        <v>0</v>
      </c>
      <c r="L5603" s="91" t="str">
        <f t="shared" si="8"/>
        <v>Sat</v>
      </c>
      <c r="M5603" s="78" t="str">
        <f>IFERROR(VLOOKUP(A5603, Entries!A:B,2,false),"")</f>
        <v>Wired Productions</v>
      </c>
      <c r="N5603" s="23" t="str">
        <f>IFERROR(VLOOKUP(A5603, Entries!A:K,11,false),"")</f>
        <v/>
      </c>
    </row>
    <row r="5604">
      <c r="A5604" s="94" t="s">
        <v>6274</v>
      </c>
      <c r="B5604" s="78" t="s">
        <v>27</v>
      </c>
      <c r="C5604" s="85">
        <v>45395.0</v>
      </c>
      <c r="D5604" s="85">
        <v>45395.0</v>
      </c>
      <c r="E5604" s="86">
        <v>7.59</v>
      </c>
      <c r="F5604" s="87">
        <v>9.01</v>
      </c>
      <c r="G5604" s="88">
        <f t="shared" si="1"/>
        <v>1.42</v>
      </c>
      <c r="H5604" s="89">
        <f t="shared" si="15"/>
        <v>0.1576026637</v>
      </c>
      <c r="I5604" s="78" t="s">
        <v>6460</v>
      </c>
      <c r="J5604" s="78" t="s">
        <v>69</v>
      </c>
      <c r="K5604" s="58">
        <f t="shared" si="14"/>
        <v>0</v>
      </c>
      <c r="L5604" s="91" t="str">
        <f t="shared" si="8"/>
        <v>Sat</v>
      </c>
      <c r="M5604" s="78" t="str">
        <f>IFERROR(VLOOKUP(A5604, Entries!A:B,2,false),"")</f>
        <v>Bethesda Softworks</v>
      </c>
      <c r="N5604" s="23" t="str">
        <f>IFERROR(VLOOKUP(A5604, Entries!A:K,11,false),"")</f>
        <v/>
      </c>
    </row>
    <row r="5605">
      <c r="A5605" s="94" t="s">
        <v>6274</v>
      </c>
      <c r="B5605" s="78" t="s">
        <v>27</v>
      </c>
      <c r="C5605" s="85">
        <v>45395.0</v>
      </c>
      <c r="D5605" s="85">
        <v>45395.0</v>
      </c>
      <c r="E5605" s="86">
        <v>7.59</v>
      </c>
      <c r="F5605" s="87">
        <v>8.13</v>
      </c>
      <c r="G5605" s="88">
        <f t="shared" si="1"/>
        <v>0.54</v>
      </c>
      <c r="H5605" s="89">
        <f t="shared" si="15"/>
        <v>0.06642066421</v>
      </c>
      <c r="I5605" s="78" t="s">
        <v>6461</v>
      </c>
      <c r="J5605" s="78" t="s">
        <v>69</v>
      </c>
      <c r="K5605" s="58">
        <f t="shared" si="14"/>
        <v>0</v>
      </c>
      <c r="L5605" s="91" t="str">
        <f t="shared" si="8"/>
        <v>Sat</v>
      </c>
      <c r="M5605" s="78" t="str">
        <f>IFERROR(VLOOKUP(A5605, Entries!A:B,2,false),"")</f>
        <v>Bethesda Softworks</v>
      </c>
      <c r="N5605" s="23" t="str">
        <f>IFERROR(VLOOKUP(A5605, Entries!A:K,11,false),"")</f>
        <v/>
      </c>
    </row>
    <row r="5606">
      <c r="A5606" s="94" t="s">
        <v>6274</v>
      </c>
      <c r="B5606" s="78" t="s">
        <v>27</v>
      </c>
      <c r="C5606" s="85">
        <v>45395.0</v>
      </c>
      <c r="D5606" s="85">
        <v>45395.0</v>
      </c>
      <c r="E5606" s="86">
        <v>7.52</v>
      </c>
      <c r="F5606" s="87">
        <v>8.13</v>
      </c>
      <c r="G5606" s="88">
        <f t="shared" si="1"/>
        <v>0.61</v>
      </c>
      <c r="H5606" s="89">
        <f t="shared" si="15"/>
        <v>0.07503075031</v>
      </c>
      <c r="I5606" s="78" t="s">
        <v>6462</v>
      </c>
      <c r="J5606" s="78" t="s">
        <v>69</v>
      </c>
      <c r="K5606" s="58">
        <f t="shared" si="14"/>
        <v>0</v>
      </c>
      <c r="L5606" s="91" t="str">
        <f t="shared" si="8"/>
        <v>Sat</v>
      </c>
      <c r="M5606" s="78" t="str">
        <f>IFERROR(VLOOKUP(A5606, Entries!A:B,2,false),"")</f>
        <v>Bethesda Softworks</v>
      </c>
      <c r="N5606" s="23" t="str">
        <f>IFERROR(VLOOKUP(A5606, Entries!A:K,11,false),"")</f>
        <v/>
      </c>
    </row>
    <row r="5607">
      <c r="A5607" s="94" t="s">
        <v>6274</v>
      </c>
      <c r="B5607" s="78" t="s">
        <v>27</v>
      </c>
      <c r="C5607" s="85">
        <v>45395.0</v>
      </c>
      <c r="D5607" s="85">
        <v>45395.0</v>
      </c>
      <c r="E5607" s="86">
        <v>7.52</v>
      </c>
      <c r="F5607" s="87">
        <v>8.86</v>
      </c>
      <c r="G5607" s="88">
        <f t="shared" si="1"/>
        <v>1.34</v>
      </c>
      <c r="H5607" s="89">
        <f t="shared" si="15"/>
        <v>0.151241535</v>
      </c>
      <c r="I5607" s="78" t="s">
        <v>6463</v>
      </c>
      <c r="J5607" s="78" t="s">
        <v>69</v>
      </c>
      <c r="K5607" s="58">
        <f t="shared" si="14"/>
        <v>0</v>
      </c>
      <c r="L5607" s="91" t="str">
        <f t="shared" si="8"/>
        <v>Sat</v>
      </c>
      <c r="M5607" s="78" t="str">
        <f>IFERROR(VLOOKUP(A5607, Entries!A:B,2,false),"")</f>
        <v>Bethesda Softworks</v>
      </c>
      <c r="N5607" s="23" t="str">
        <f>IFERROR(VLOOKUP(A5607, Entries!A:K,11,false),"")</f>
        <v/>
      </c>
    </row>
    <row r="5608">
      <c r="A5608" s="94" t="s">
        <v>6274</v>
      </c>
      <c r="B5608" s="78" t="s">
        <v>27</v>
      </c>
      <c r="C5608" s="85">
        <v>45395.0</v>
      </c>
      <c r="D5608" s="85">
        <v>45395.0</v>
      </c>
      <c r="E5608" s="86">
        <v>7.59</v>
      </c>
      <c r="F5608" s="87">
        <v>9.28</v>
      </c>
      <c r="G5608" s="88">
        <f t="shared" si="1"/>
        <v>1.69</v>
      </c>
      <c r="H5608" s="89">
        <f t="shared" si="15"/>
        <v>0.182112069</v>
      </c>
      <c r="I5608" s="78" t="s">
        <v>6464</v>
      </c>
      <c r="J5608" s="78" t="s">
        <v>69</v>
      </c>
      <c r="K5608" s="58">
        <f t="shared" si="14"/>
        <v>0</v>
      </c>
      <c r="L5608" s="91" t="str">
        <f t="shared" si="8"/>
        <v>Sat</v>
      </c>
      <c r="M5608" s="78" t="str">
        <f>IFERROR(VLOOKUP(A5608, Entries!A:B,2,false),"")</f>
        <v>Bethesda Softworks</v>
      </c>
      <c r="N5608" s="23" t="str">
        <f>IFERROR(VLOOKUP(A5608, Entries!A:K,11,false),"")</f>
        <v/>
      </c>
    </row>
    <row r="5609">
      <c r="A5609" s="94" t="s">
        <v>6274</v>
      </c>
      <c r="B5609" s="78" t="s">
        <v>27</v>
      </c>
      <c r="C5609" s="85">
        <v>45395.0</v>
      </c>
      <c r="D5609" s="85">
        <v>45395.0</v>
      </c>
      <c r="E5609" s="86">
        <v>7.59</v>
      </c>
      <c r="F5609" s="87">
        <v>9.28</v>
      </c>
      <c r="G5609" s="88">
        <f t="shared" si="1"/>
        <v>1.69</v>
      </c>
      <c r="H5609" s="89">
        <f t="shared" si="15"/>
        <v>0.182112069</v>
      </c>
      <c r="I5609" s="78" t="s">
        <v>6465</v>
      </c>
      <c r="J5609" s="78" t="s">
        <v>69</v>
      </c>
      <c r="K5609" s="58">
        <f t="shared" si="14"/>
        <v>0</v>
      </c>
      <c r="L5609" s="91" t="str">
        <f t="shared" si="8"/>
        <v>Sat</v>
      </c>
      <c r="M5609" s="78" t="str">
        <f>IFERROR(VLOOKUP(A5609, Entries!A:B,2,false),"")</f>
        <v>Bethesda Softworks</v>
      </c>
      <c r="N5609" s="23" t="str">
        <f>IFERROR(VLOOKUP(A5609, Entries!A:K,11,false),"")</f>
        <v/>
      </c>
    </row>
    <row r="5610">
      <c r="A5610" s="94" t="s">
        <v>6274</v>
      </c>
      <c r="B5610" s="78" t="s">
        <v>27</v>
      </c>
      <c r="C5610" s="85">
        <v>45395.0</v>
      </c>
      <c r="D5610" s="85">
        <v>45395.0</v>
      </c>
      <c r="E5610" s="86">
        <v>7.59</v>
      </c>
      <c r="F5610" s="87">
        <v>9.28</v>
      </c>
      <c r="G5610" s="88">
        <f t="shared" si="1"/>
        <v>1.69</v>
      </c>
      <c r="H5610" s="89">
        <f t="shared" si="15"/>
        <v>0.182112069</v>
      </c>
      <c r="I5610" s="78" t="s">
        <v>6466</v>
      </c>
      <c r="J5610" s="78" t="s">
        <v>69</v>
      </c>
      <c r="K5610" s="58">
        <f t="shared" si="14"/>
        <v>0</v>
      </c>
      <c r="L5610" s="91" t="str">
        <f t="shared" si="8"/>
        <v>Sat</v>
      </c>
      <c r="M5610" s="78" t="str">
        <f>IFERROR(VLOOKUP(A5610, Entries!A:B,2,false),"")</f>
        <v>Bethesda Softworks</v>
      </c>
      <c r="N5610" s="23" t="str">
        <f>IFERROR(VLOOKUP(A5610, Entries!A:K,11,false),"")</f>
        <v/>
      </c>
    </row>
    <row r="5611">
      <c r="A5611" s="94" t="s">
        <v>5676</v>
      </c>
      <c r="B5611" s="78" t="s">
        <v>25</v>
      </c>
      <c r="C5611" s="85">
        <v>45395.0</v>
      </c>
      <c r="D5611" s="85">
        <v>45420.0</v>
      </c>
      <c r="E5611" s="86">
        <v>36.82</v>
      </c>
      <c r="F5611" s="87">
        <v>39.21</v>
      </c>
      <c r="G5611" s="88">
        <f t="shared" si="1"/>
        <v>2.39</v>
      </c>
      <c r="H5611" s="89">
        <f t="shared" si="15"/>
        <v>0.06095383831</v>
      </c>
      <c r="I5611" s="78" t="s">
        <v>6467</v>
      </c>
      <c r="J5611" s="78" t="s">
        <v>69</v>
      </c>
      <c r="K5611" s="58">
        <f t="shared" si="14"/>
        <v>25</v>
      </c>
      <c r="L5611" s="91" t="str">
        <f t="shared" si="8"/>
        <v>Wed</v>
      </c>
      <c r="M5611" s="78" t="str">
        <f>IFERROR(VLOOKUP(A5611, Entries!A:B,2,false),"")</f>
        <v>Bethesda Softworks</v>
      </c>
      <c r="N5611" s="23" t="str">
        <f>IFERROR(VLOOKUP(A5611, Entries!A:K,11,false),"")</f>
        <v/>
      </c>
    </row>
    <row r="5612">
      <c r="A5612" s="94" t="s">
        <v>5676</v>
      </c>
      <c r="B5612" s="78" t="s">
        <v>25</v>
      </c>
      <c r="C5612" s="85">
        <v>45395.0</v>
      </c>
      <c r="D5612" s="85">
        <v>45422.0</v>
      </c>
      <c r="E5612" s="86">
        <v>36.82</v>
      </c>
      <c r="F5612" s="87">
        <v>39.3</v>
      </c>
      <c r="G5612" s="88">
        <f t="shared" si="1"/>
        <v>2.48</v>
      </c>
      <c r="H5612" s="89">
        <f t="shared" si="15"/>
        <v>0.0631043257</v>
      </c>
      <c r="I5612" s="78" t="s">
        <v>6468</v>
      </c>
      <c r="J5612" s="78" t="s">
        <v>69</v>
      </c>
      <c r="K5612" s="58">
        <f t="shared" si="14"/>
        <v>27</v>
      </c>
      <c r="L5612" s="91" t="str">
        <f t="shared" si="8"/>
        <v>Fri</v>
      </c>
      <c r="M5612" s="78" t="str">
        <f>IFERROR(VLOOKUP(A5612, Entries!A:B,2,false),"")</f>
        <v>Bethesda Softworks</v>
      </c>
      <c r="N5612" s="23" t="str">
        <f>IFERROR(VLOOKUP(A5612, Entries!A:K,11,false),"")</f>
        <v/>
      </c>
    </row>
    <row r="5613">
      <c r="A5613" s="94" t="s">
        <v>6274</v>
      </c>
      <c r="B5613" s="78" t="s">
        <v>27</v>
      </c>
      <c r="C5613" s="85">
        <v>45395.0</v>
      </c>
      <c r="D5613" s="85">
        <v>45396.0</v>
      </c>
      <c r="E5613" s="86">
        <v>7.49</v>
      </c>
      <c r="F5613" s="87">
        <v>9.29</v>
      </c>
      <c r="G5613" s="88">
        <f t="shared" si="1"/>
        <v>1.8</v>
      </c>
      <c r="H5613" s="89">
        <f t="shared" si="15"/>
        <v>0.1937567277</v>
      </c>
      <c r="I5613" s="78" t="s">
        <v>6469</v>
      </c>
      <c r="J5613" s="78" t="s">
        <v>69</v>
      </c>
      <c r="K5613" s="58">
        <f t="shared" si="14"/>
        <v>1</v>
      </c>
      <c r="L5613" s="91" t="str">
        <f t="shared" si="8"/>
        <v>Sun</v>
      </c>
      <c r="M5613" s="78" t="str">
        <f>IFERROR(VLOOKUP(A5613, Entries!A:B,2,false),"")</f>
        <v>Bethesda Softworks</v>
      </c>
      <c r="N5613" s="23" t="str">
        <f>IFERROR(VLOOKUP(A5613, Entries!A:K,11,false),"")</f>
        <v/>
      </c>
    </row>
    <row r="5614">
      <c r="A5614" s="94" t="s">
        <v>6274</v>
      </c>
      <c r="B5614" s="78" t="s">
        <v>27</v>
      </c>
      <c r="C5614" s="85">
        <v>45395.0</v>
      </c>
      <c r="D5614" s="85">
        <v>45396.0</v>
      </c>
      <c r="E5614" s="86">
        <v>7.49</v>
      </c>
      <c r="F5614" s="87">
        <v>9.29</v>
      </c>
      <c r="G5614" s="88">
        <f t="shared" si="1"/>
        <v>1.8</v>
      </c>
      <c r="H5614" s="89">
        <f t="shared" si="15"/>
        <v>0.1937567277</v>
      </c>
      <c r="I5614" s="78" t="s">
        <v>6470</v>
      </c>
      <c r="J5614" s="78" t="s">
        <v>69</v>
      </c>
      <c r="K5614" s="58">
        <f t="shared" si="14"/>
        <v>1</v>
      </c>
      <c r="L5614" s="91" t="str">
        <f t="shared" si="8"/>
        <v>Sun</v>
      </c>
      <c r="M5614" s="78" t="str">
        <f>IFERROR(VLOOKUP(A5614, Entries!A:B,2,false),"")</f>
        <v>Bethesda Softworks</v>
      </c>
      <c r="N5614" s="23" t="str">
        <f>IFERROR(VLOOKUP(A5614, Entries!A:K,11,false),"")</f>
        <v/>
      </c>
    </row>
    <row r="5615">
      <c r="A5615" s="94" t="s">
        <v>6274</v>
      </c>
      <c r="B5615" s="78" t="s">
        <v>27</v>
      </c>
      <c r="C5615" s="85">
        <v>45395.0</v>
      </c>
      <c r="D5615" s="85">
        <v>45396.0</v>
      </c>
      <c r="E5615" s="86">
        <v>7.5</v>
      </c>
      <c r="F5615" s="87">
        <v>9.3</v>
      </c>
      <c r="G5615" s="88">
        <f t="shared" si="1"/>
        <v>1.8</v>
      </c>
      <c r="H5615" s="89">
        <f t="shared" si="15"/>
        <v>0.1935483871</v>
      </c>
      <c r="I5615" s="78" t="s">
        <v>6471</v>
      </c>
      <c r="J5615" s="78" t="s">
        <v>69</v>
      </c>
      <c r="K5615" s="58">
        <f t="shared" si="14"/>
        <v>1</v>
      </c>
      <c r="L5615" s="91" t="str">
        <f t="shared" si="8"/>
        <v>Sun</v>
      </c>
      <c r="M5615" s="78" t="str">
        <f>IFERROR(VLOOKUP(A5615, Entries!A:B,2,false),"")</f>
        <v>Bethesda Softworks</v>
      </c>
      <c r="N5615" s="23" t="str">
        <f>IFERROR(VLOOKUP(A5615, Entries!A:K,11,false),"")</f>
        <v/>
      </c>
    </row>
    <row r="5616">
      <c r="A5616" s="94" t="s">
        <v>1922</v>
      </c>
      <c r="B5616" s="78" t="s">
        <v>19</v>
      </c>
      <c r="C5616" s="85">
        <v>45395.0</v>
      </c>
      <c r="D5616" s="85">
        <v>45396.0</v>
      </c>
      <c r="E5616" s="86">
        <v>12.29</v>
      </c>
      <c r="F5616" s="87">
        <v>21.36</v>
      </c>
      <c r="G5616" s="88">
        <f t="shared" si="1"/>
        <v>9.07</v>
      </c>
      <c r="H5616" s="89">
        <f t="shared" si="15"/>
        <v>0.4246254682</v>
      </c>
      <c r="I5616" s="78" t="s">
        <v>6472</v>
      </c>
      <c r="J5616" s="78" t="s">
        <v>69</v>
      </c>
      <c r="K5616" s="58">
        <f t="shared" si="14"/>
        <v>1</v>
      </c>
      <c r="L5616" s="91" t="str">
        <f t="shared" si="8"/>
        <v>Sun</v>
      </c>
      <c r="M5616" s="78" t="str">
        <f>IFERROR(VLOOKUP(A5616, Entries!A:B,2,false),"")</f>
        <v>Rebellion</v>
      </c>
      <c r="N5616" s="23" t="str">
        <f>IFERROR(VLOOKUP(A5616, Entries!A:K,11,false),"")</f>
        <v/>
      </c>
    </row>
    <row r="5617">
      <c r="A5617" s="94" t="s">
        <v>6473</v>
      </c>
      <c r="B5617" s="78" t="s">
        <v>19</v>
      </c>
      <c r="C5617" s="85">
        <v>45395.0</v>
      </c>
      <c r="D5617" s="85">
        <v>45399.0</v>
      </c>
      <c r="E5617" s="86">
        <v>0.0</v>
      </c>
      <c r="F5617" s="87">
        <v>0.02</v>
      </c>
      <c r="G5617" s="88">
        <f t="shared" si="1"/>
        <v>0.02</v>
      </c>
      <c r="H5617" s="89">
        <f t="shared" si="15"/>
        <v>1</v>
      </c>
      <c r="I5617" s="78" t="s">
        <v>6474</v>
      </c>
      <c r="J5617" s="78" t="s">
        <v>69</v>
      </c>
      <c r="K5617" s="58">
        <f t="shared" si="14"/>
        <v>4</v>
      </c>
      <c r="L5617" s="91" t="str">
        <f t="shared" si="8"/>
        <v>Wed</v>
      </c>
      <c r="M5617" s="78" t="str">
        <f>IFERROR(VLOOKUP(A5617, Entries!A:B,2,false),"")</f>
        <v/>
      </c>
      <c r="N5617" s="23" t="str">
        <f>IFERROR(VLOOKUP(A5617, Entries!A:K,11,false),"")</f>
        <v/>
      </c>
    </row>
    <row r="5618">
      <c r="A5618" s="94" t="s">
        <v>6274</v>
      </c>
      <c r="B5618" s="78" t="s">
        <v>27</v>
      </c>
      <c r="C5618" s="85">
        <v>45396.0</v>
      </c>
      <c r="D5618" s="85">
        <v>45396.0</v>
      </c>
      <c r="E5618" s="86">
        <v>7.45</v>
      </c>
      <c r="F5618" s="87">
        <v>9.3</v>
      </c>
      <c r="G5618" s="88">
        <f t="shared" si="1"/>
        <v>1.85</v>
      </c>
      <c r="H5618" s="89">
        <f t="shared" si="15"/>
        <v>0.1989247312</v>
      </c>
      <c r="I5618" s="78" t="s">
        <v>6475</v>
      </c>
      <c r="J5618" s="78" t="s">
        <v>69</v>
      </c>
      <c r="K5618" s="58">
        <f t="shared" si="14"/>
        <v>0</v>
      </c>
      <c r="L5618" s="91" t="str">
        <f t="shared" si="8"/>
        <v>Sun</v>
      </c>
      <c r="M5618" s="78" t="str">
        <f>IFERROR(VLOOKUP(A5618, Entries!A:B,2,false),"")</f>
        <v>Bethesda Softworks</v>
      </c>
      <c r="N5618" s="23" t="str">
        <f>IFERROR(VLOOKUP(A5618, Entries!A:K,11,false),"")</f>
        <v/>
      </c>
    </row>
    <row r="5619">
      <c r="A5619" s="94" t="s">
        <v>6274</v>
      </c>
      <c r="B5619" s="78" t="s">
        <v>27</v>
      </c>
      <c r="C5619" s="85">
        <v>45396.0</v>
      </c>
      <c r="D5619" s="85">
        <v>45396.0</v>
      </c>
      <c r="E5619" s="86">
        <v>7.45</v>
      </c>
      <c r="F5619" s="87">
        <v>9.3</v>
      </c>
      <c r="G5619" s="88">
        <f t="shared" si="1"/>
        <v>1.85</v>
      </c>
      <c r="H5619" s="89">
        <f t="shared" si="15"/>
        <v>0.1989247312</v>
      </c>
      <c r="I5619" s="78" t="s">
        <v>6476</v>
      </c>
      <c r="J5619" s="78" t="s">
        <v>69</v>
      </c>
      <c r="K5619" s="58">
        <f t="shared" si="14"/>
        <v>0</v>
      </c>
      <c r="L5619" s="91" t="str">
        <f t="shared" si="8"/>
        <v>Sun</v>
      </c>
      <c r="M5619" s="78" t="str">
        <f>IFERROR(VLOOKUP(A5619, Entries!A:B,2,false),"")</f>
        <v>Bethesda Softworks</v>
      </c>
      <c r="N5619" s="23" t="str">
        <f>IFERROR(VLOOKUP(A5619, Entries!A:K,11,false),"")</f>
        <v/>
      </c>
    </row>
    <row r="5620">
      <c r="A5620" s="94" t="s">
        <v>6274</v>
      </c>
      <c r="B5620" s="78" t="s">
        <v>27</v>
      </c>
      <c r="C5620" s="85">
        <v>45396.0</v>
      </c>
      <c r="D5620" s="85">
        <v>45396.0</v>
      </c>
      <c r="E5620" s="86">
        <v>7.46</v>
      </c>
      <c r="F5620" s="87">
        <v>9.31</v>
      </c>
      <c r="G5620" s="88">
        <f t="shared" si="1"/>
        <v>1.85</v>
      </c>
      <c r="H5620" s="89">
        <f t="shared" si="15"/>
        <v>0.1987110634</v>
      </c>
      <c r="I5620" s="78" t="s">
        <v>6477</v>
      </c>
      <c r="J5620" s="78" t="s">
        <v>69</v>
      </c>
      <c r="K5620" s="58">
        <f t="shared" si="14"/>
        <v>0</v>
      </c>
      <c r="L5620" s="91" t="str">
        <f t="shared" si="8"/>
        <v>Sun</v>
      </c>
      <c r="M5620" s="78" t="str">
        <f>IFERROR(VLOOKUP(A5620, Entries!A:B,2,false),"")</f>
        <v>Bethesda Softworks</v>
      </c>
      <c r="N5620" s="23" t="str">
        <f>IFERROR(VLOOKUP(A5620, Entries!A:K,11,false),"")</f>
        <v/>
      </c>
    </row>
    <row r="5621">
      <c r="A5621" s="94" t="s">
        <v>6024</v>
      </c>
      <c r="B5621" s="78" t="s">
        <v>27</v>
      </c>
      <c r="C5621" s="85">
        <v>45396.0</v>
      </c>
      <c r="D5621" s="85">
        <v>45400.0</v>
      </c>
      <c r="E5621" s="86">
        <v>50.29</v>
      </c>
      <c r="F5621" s="87">
        <v>58.41</v>
      </c>
      <c r="G5621" s="88">
        <f t="shared" si="1"/>
        <v>8.12</v>
      </c>
      <c r="H5621" s="89">
        <f t="shared" si="15"/>
        <v>0.1390172916</v>
      </c>
      <c r="I5621" s="78" t="s">
        <v>6478</v>
      </c>
      <c r="J5621" s="78" t="s">
        <v>69</v>
      </c>
      <c r="K5621" s="58">
        <f t="shared" si="14"/>
        <v>4</v>
      </c>
      <c r="L5621" s="91" t="str">
        <f t="shared" si="8"/>
        <v>Thu</v>
      </c>
      <c r="M5621" s="78" t="str">
        <f>IFERROR(VLOOKUP(A5621, Entries!A:B,2,false),"")</f>
        <v>BANDAI NAMCO</v>
      </c>
      <c r="N5621" s="23" t="str">
        <f>IFERROR(VLOOKUP(A5621, Entries!A:K,11,false),"")</f>
        <v/>
      </c>
    </row>
    <row r="5622">
      <c r="A5622" s="94" t="s">
        <v>4926</v>
      </c>
      <c r="B5622" s="78" t="s">
        <v>22</v>
      </c>
      <c r="C5622" s="85">
        <v>45396.0</v>
      </c>
      <c r="D5622" s="85">
        <v>45396.0</v>
      </c>
      <c r="E5622" s="86">
        <v>7.06</v>
      </c>
      <c r="F5622" s="87">
        <v>8.01</v>
      </c>
      <c r="G5622" s="88">
        <f t="shared" si="1"/>
        <v>0.95</v>
      </c>
      <c r="H5622" s="89">
        <f t="shared" si="15"/>
        <v>0.1186017478</v>
      </c>
      <c r="I5622" s="78" t="s">
        <v>6479</v>
      </c>
      <c r="J5622" s="78" t="s">
        <v>69</v>
      </c>
      <c r="K5622" s="58">
        <f t="shared" si="14"/>
        <v>0</v>
      </c>
      <c r="L5622" s="91" t="str">
        <f t="shared" si="8"/>
        <v>Sun</v>
      </c>
      <c r="M5622" s="78" t="str">
        <f>IFERROR(VLOOKUP(A5622, Entries!A:B,2,false),"")</f>
        <v>Bethesda Softworks</v>
      </c>
      <c r="N5622" s="23" t="str">
        <f>IFERROR(VLOOKUP(A5622, Entries!A:K,11,false),"")</f>
        <v/>
      </c>
    </row>
    <row r="5623">
      <c r="A5623" s="94" t="s">
        <v>4926</v>
      </c>
      <c r="B5623" s="78" t="s">
        <v>22</v>
      </c>
      <c r="C5623" s="85">
        <v>45396.0</v>
      </c>
      <c r="D5623" s="85">
        <v>45396.0</v>
      </c>
      <c r="E5623" s="86">
        <v>7.06</v>
      </c>
      <c r="F5623" s="87">
        <v>8.01</v>
      </c>
      <c r="G5623" s="88">
        <f t="shared" si="1"/>
        <v>0.95</v>
      </c>
      <c r="H5623" s="89">
        <f t="shared" si="15"/>
        <v>0.1186017478</v>
      </c>
      <c r="I5623" s="78" t="s">
        <v>6480</v>
      </c>
      <c r="J5623" s="78" t="s">
        <v>69</v>
      </c>
      <c r="K5623" s="58">
        <f t="shared" si="14"/>
        <v>0</v>
      </c>
      <c r="L5623" s="91" t="str">
        <f t="shared" si="8"/>
        <v>Sun</v>
      </c>
      <c r="M5623" s="78" t="str">
        <f>IFERROR(VLOOKUP(A5623, Entries!A:B,2,false),"")</f>
        <v>Bethesda Softworks</v>
      </c>
      <c r="N5623" s="23" t="str">
        <f>IFERROR(VLOOKUP(A5623, Entries!A:K,11,false),"")</f>
        <v/>
      </c>
    </row>
    <row r="5624">
      <c r="A5624" s="94" t="s">
        <v>4085</v>
      </c>
      <c r="B5624" s="78" t="s">
        <v>27</v>
      </c>
      <c r="C5624" s="85">
        <v>45396.0</v>
      </c>
      <c r="D5624" s="85">
        <v>45396.0</v>
      </c>
      <c r="E5624" s="86">
        <v>6.39</v>
      </c>
      <c r="F5624" s="87">
        <v>7.31</v>
      </c>
      <c r="G5624" s="88">
        <f t="shared" si="1"/>
        <v>0.92</v>
      </c>
      <c r="H5624" s="89">
        <f t="shared" si="15"/>
        <v>0.1258549932</v>
      </c>
      <c r="I5624" s="78" t="s">
        <v>6481</v>
      </c>
      <c r="J5624" s="78" t="s">
        <v>69</v>
      </c>
      <c r="K5624" s="58">
        <f t="shared" si="14"/>
        <v>0</v>
      </c>
      <c r="L5624" s="91" t="str">
        <f t="shared" si="8"/>
        <v>Sun</v>
      </c>
      <c r="M5624" s="78" t="str">
        <f>IFERROR(VLOOKUP(A5624, Entries!A:B,2,false),"")</f>
        <v>Bethesda Softworks</v>
      </c>
      <c r="N5624" s="23" t="str">
        <f>IFERROR(VLOOKUP(A5624, Entries!A:K,11,false),"")</f>
        <v/>
      </c>
    </row>
    <row r="5625">
      <c r="A5625" s="94" t="s">
        <v>6274</v>
      </c>
      <c r="B5625" s="78" t="s">
        <v>27</v>
      </c>
      <c r="C5625" s="85">
        <v>45396.0</v>
      </c>
      <c r="D5625" s="85">
        <v>45396.0</v>
      </c>
      <c r="E5625" s="86">
        <v>7.59</v>
      </c>
      <c r="F5625" s="87">
        <v>9.31</v>
      </c>
      <c r="G5625" s="88">
        <f t="shared" si="1"/>
        <v>1.72</v>
      </c>
      <c r="H5625" s="89">
        <f t="shared" si="15"/>
        <v>0.1847475832</v>
      </c>
      <c r="I5625" s="78" t="s">
        <v>6482</v>
      </c>
      <c r="J5625" s="78" t="s">
        <v>69</v>
      </c>
      <c r="K5625" s="58">
        <f t="shared" si="14"/>
        <v>0</v>
      </c>
      <c r="L5625" s="91" t="str">
        <f t="shared" si="8"/>
        <v>Sun</v>
      </c>
      <c r="M5625" s="78" t="str">
        <f>IFERROR(VLOOKUP(A5625, Entries!A:B,2,false),"")</f>
        <v>Bethesda Softworks</v>
      </c>
      <c r="N5625" s="23" t="str">
        <f>IFERROR(VLOOKUP(A5625, Entries!A:K,11,false),"")</f>
        <v/>
      </c>
    </row>
    <row r="5626">
      <c r="A5626" s="94" t="s">
        <v>4085</v>
      </c>
      <c r="B5626" s="78" t="s">
        <v>27</v>
      </c>
      <c r="C5626" s="85">
        <v>45396.0</v>
      </c>
      <c r="D5626" s="85">
        <v>45396.0</v>
      </c>
      <c r="E5626" s="86">
        <v>6.39</v>
      </c>
      <c r="F5626" s="87">
        <v>7.31</v>
      </c>
      <c r="G5626" s="88">
        <f t="shared" si="1"/>
        <v>0.92</v>
      </c>
      <c r="H5626" s="89">
        <f t="shared" si="15"/>
        <v>0.1258549932</v>
      </c>
      <c r="I5626" s="78" t="s">
        <v>6483</v>
      </c>
      <c r="J5626" s="78" t="s">
        <v>69</v>
      </c>
      <c r="K5626" s="58">
        <f t="shared" si="14"/>
        <v>0</v>
      </c>
      <c r="L5626" s="91" t="str">
        <f t="shared" si="8"/>
        <v>Sun</v>
      </c>
      <c r="M5626" s="78" t="str">
        <f>IFERROR(VLOOKUP(A5626, Entries!A:B,2,false),"")</f>
        <v>Bethesda Softworks</v>
      </c>
      <c r="N5626" s="23" t="str">
        <f>IFERROR(VLOOKUP(A5626, Entries!A:K,11,false),"")</f>
        <v/>
      </c>
    </row>
    <row r="5627">
      <c r="A5627" s="94" t="s">
        <v>6274</v>
      </c>
      <c r="B5627" s="78" t="s">
        <v>27</v>
      </c>
      <c r="C5627" s="85">
        <v>45396.0</v>
      </c>
      <c r="D5627" s="85">
        <v>45396.0</v>
      </c>
      <c r="E5627" s="86">
        <v>7.59</v>
      </c>
      <c r="F5627" s="87">
        <v>9.31</v>
      </c>
      <c r="G5627" s="88">
        <f t="shared" si="1"/>
        <v>1.72</v>
      </c>
      <c r="H5627" s="89">
        <f t="shared" si="15"/>
        <v>0.1847475832</v>
      </c>
      <c r="I5627" s="78" t="s">
        <v>6484</v>
      </c>
      <c r="J5627" s="78" t="s">
        <v>69</v>
      </c>
      <c r="K5627" s="58">
        <f t="shared" si="14"/>
        <v>0</v>
      </c>
      <c r="L5627" s="91" t="str">
        <f t="shared" si="8"/>
        <v>Sun</v>
      </c>
      <c r="M5627" s="78" t="str">
        <f>IFERROR(VLOOKUP(A5627, Entries!A:B,2,false),"")</f>
        <v>Bethesda Softworks</v>
      </c>
      <c r="N5627" s="23" t="str">
        <f>IFERROR(VLOOKUP(A5627, Entries!A:K,11,false),"")</f>
        <v/>
      </c>
    </row>
    <row r="5628">
      <c r="A5628" s="94" t="s">
        <v>6274</v>
      </c>
      <c r="B5628" s="78" t="s">
        <v>27</v>
      </c>
      <c r="C5628" s="85">
        <v>45396.0</v>
      </c>
      <c r="D5628" s="85">
        <v>45396.0</v>
      </c>
      <c r="E5628" s="86">
        <v>7.59</v>
      </c>
      <c r="F5628" s="87">
        <v>9.4</v>
      </c>
      <c r="G5628" s="88">
        <f t="shared" si="1"/>
        <v>1.81</v>
      </c>
      <c r="H5628" s="89">
        <f t="shared" si="15"/>
        <v>0.1925531915</v>
      </c>
      <c r="I5628" s="78" t="s">
        <v>6485</v>
      </c>
      <c r="J5628" s="78" t="s">
        <v>69</v>
      </c>
      <c r="K5628" s="58">
        <f t="shared" si="14"/>
        <v>0</v>
      </c>
      <c r="L5628" s="91" t="str">
        <f t="shared" si="8"/>
        <v>Sun</v>
      </c>
      <c r="M5628" s="78" t="str">
        <f>IFERROR(VLOOKUP(A5628, Entries!A:B,2,false),"")</f>
        <v>Bethesda Softworks</v>
      </c>
      <c r="N5628" s="23" t="str">
        <f>IFERROR(VLOOKUP(A5628, Entries!A:K,11,false),"")</f>
        <v/>
      </c>
    </row>
    <row r="5629">
      <c r="A5629" s="94" t="s">
        <v>1922</v>
      </c>
      <c r="B5629" s="78" t="s">
        <v>19</v>
      </c>
      <c r="C5629" s="85">
        <v>45396.0</v>
      </c>
      <c r="D5629" s="85">
        <v>45396.0</v>
      </c>
      <c r="E5629" s="86">
        <v>12.29</v>
      </c>
      <c r="F5629" s="87">
        <v>21.36</v>
      </c>
      <c r="G5629" s="88">
        <f t="shared" si="1"/>
        <v>9.07</v>
      </c>
      <c r="H5629" s="89">
        <f t="shared" si="15"/>
        <v>0.4246254682</v>
      </c>
      <c r="I5629" s="78" t="s">
        <v>6486</v>
      </c>
      <c r="J5629" s="78" t="s">
        <v>69</v>
      </c>
      <c r="K5629" s="58">
        <f t="shared" si="14"/>
        <v>0</v>
      </c>
      <c r="L5629" s="91" t="str">
        <f t="shared" si="8"/>
        <v>Sun</v>
      </c>
      <c r="M5629" s="78" t="str">
        <f>IFERROR(VLOOKUP(A5629, Entries!A:B,2,false),"")</f>
        <v>Rebellion</v>
      </c>
      <c r="N5629" s="23" t="str">
        <f>IFERROR(VLOOKUP(A5629, Entries!A:K,11,false),"")</f>
        <v/>
      </c>
    </row>
    <row r="5630">
      <c r="A5630" s="78" t="s">
        <v>6487</v>
      </c>
      <c r="B5630" s="78" t="s">
        <v>19</v>
      </c>
      <c r="C5630" s="85">
        <v>45396.0</v>
      </c>
      <c r="D5630" s="85">
        <v>45397.0</v>
      </c>
      <c r="E5630" s="86">
        <v>0.0</v>
      </c>
      <c r="F5630" s="87">
        <v>0.2</v>
      </c>
      <c r="G5630" s="88">
        <f t="shared" si="1"/>
        <v>0.2</v>
      </c>
      <c r="H5630" s="89">
        <f t="shared" si="15"/>
        <v>1</v>
      </c>
      <c r="I5630" s="78" t="s">
        <v>6488</v>
      </c>
      <c r="J5630" s="78" t="s">
        <v>69</v>
      </c>
      <c r="K5630" s="58">
        <f t="shared" si="14"/>
        <v>1</v>
      </c>
      <c r="L5630" s="91" t="str">
        <f t="shared" si="8"/>
        <v>Mon</v>
      </c>
      <c r="M5630" s="78" t="str">
        <f>IFERROR(VLOOKUP(A5630, Entries!A:B,2,false),"")</f>
        <v/>
      </c>
      <c r="N5630" s="23" t="str">
        <f>IFERROR(VLOOKUP(A5630, Entries!A:K,11,false),"")</f>
        <v/>
      </c>
    </row>
    <row r="5631">
      <c r="A5631" s="94" t="s">
        <v>4926</v>
      </c>
      <c r="B5631" s="78" t="s">
        <v>22</v>
      </c>
      <c r="C5631" s="85">
        <v>45396.0</v>
      </c>
      <c r="D5631" s="85">
        <v>45397.0</v>
      </c>
      <c r="E5631" s="86">
        <v>7.06</v>
      </c>
      <c r="F5631" s="87">
        <v>7.97</v>
      </c>
      <c r="G5631" s="88">
        <f t="shared" si="1"/>
        <v>0.91</v>
      </c>
      <c r="H5631" s="89">
        <f t="shared" si="15"/>
        <v>0.1141781681</v>
      </c>
      <c r="I5631" s="78" t="s">
        <v>6489</v>
      </c>
      <c r="J5631" s="78" t="s">
        <v>69</v>
      </c>
      <c r="K5631" s="58">
        <f t="shared" si="14"/>
        <v>1</v>
      </c>
      <c r="L5631" s="91" t="str">
        <f t="shared" si="8"/>
        <v>Mon</v>
      </c>
      <c r="M5631" s="78" t="str">
        <f>IFERROR(VLOOKUP(A5631, Entries!A:B,2,false),"")</f>
        <v>Bethesda Softworks</v>
      </c>
      <c r="N5631" s="23" t="str">
        <f>IFERROR(VLOOKUP(A5631, Entries!A:K,11,false),"")</f>
        <v/>
      </c>
    </row>
    <row r="5632">
      <c r="A5632" s="94" t="s">
        <v>4926</v>
      </c>
      <c r="B5632" s="78" t="s">
        <v>22</v>
      </c>
      <c r="C5632" s="85">
        <v>45396.0</v>
      </c>
      <c r="D5632" s="85">
        <v>45405.0</v>
      </c>
      <c r="E5632" s="86">
        <v>7.06</v>
      </c>
      <c r="F5632" s="87">
        <v>13.94</v>
      </c>
      <c r="G5632" s="88">
        <f t="shared" si="1"/>
        <v>6.88</v>
      </c>
      <c r="H5632" s="89">
        <f t="shared" si="15"/>
        <v>0.493543759</v>
      </c>
      <c r="I5632" s="78" t="s">
        <v>6490</v>
      </c>
      <c r="J5632" s="78" t="s">
        <v>69</v>
      </c>
      <c r="K5632" s="58">
        <f t="shared" si="14"/>
        <v>9</v>
      </c>
      <c r="L5632" s="91" t="str">
        <f t="shared" si="8"/>
        <v>Tue</v>
      </c>
      <c r="M5632" s="78" t="str">
        <f>IFERROR(VLOOKUP(A5632, Entries!A:B,2,false),"")</f>
        <v>Bethesda Softworks</v>
      </c>
      <c r="N5632" s="23" t="str">
        <f>IFERROR(VLOOKUP(A5632, Entries!A:K,11,false),"")</f>
        <v/>
      </c>
    </row>
    <row r="5633">
      <c r="A5633" s="94" t="s">
        <v>6274</v>
      </c>
      <c r="B5633" s="78" t="s">
        <v>27</v>
      </c>
      <c r="C5633" s="85">
        <v>45396.0</v>
      </c>
      <c r="D5633" s="85">
        <v>45397.0</v>
      </c>
      <c r="E5633" s="86">
        <v>7.55</v>
      </c>
      <c r="F5633" s="87">
        <v>9.41</v>
      </c>
      <c r="G5633" s="88">
        <f t="shared" si="1"/>
        <v>1.86</v>
      </c>
      <c r="H5633" s="89">
        <f t="shared" si="15"/>
        <v>0.1976620616</v>
      </c>
      <c r="I5633" s="78" t="s">
        <v>6491</v>
      </c>
      <c r="J5633" s="78" t="s">
        <v>69</v>
      </c>
      <c r="K5633" s="58">
        <f t="shared" si="14"/>
        <v>1</v>
      </c>
      <c r="L5633" s="91" t="str">
        <f t="shared" si="8"/>
        <v>Mon</v>
      </c>
      <c r="M5633" s="78" t="str">
        <f>IFERROR(VLOOKUP(A5633, Entries!A:B,2,false),"")</f>
        <v>Bethesda Softworks</v>
      </c>
      <c r="N5633" s="23" t="str">
        <f>IFERROR(VLOOKUP(A5633, Entries!A:K,11,false),"")</f>
        <v/>
      </c>
    </row>
    <row r="5634">
      <c r="A5634" s="94" t="s">
        <v>6274</v>
      </c>
      <c r="B5634" s="78" t="s">
        <v>27</v>
      </c>
      <c r="C5634" s="85">
        <v>45396.0</v>
      </c>
      <c r="D5634" s="85">
        <v>45397.0</v>
      </c>
      <c r="E5634" s="86">
        <v>7.56</v>
      </c>
      <c r="F5634" s="87">
        <v>9.41</v>
      </c>
      <c r="G5634" s="88">
        <f t="shared" si="1"/>
        <v>1.85</v>
      </c>
      <c r="H5634" s="89">
        <f t="shared" si="15"/>
        <v>0.1965993624</v>
      </c>
      <c r="I5634" s="78" t="s">
        <v>6492</v>
      </c>
      <c r="J5634" s="78" t="s">
        <v>69</v>
      </c>
      <c r="K5634" s="58">
        <f t="shared" si="14"/>
        <v>1</v>
      </c>
      <c r="L5634" s="91" t="str">
        <f t="shared" si="8"/>
        <v>Mon</v>
      </c>
      <c r="M5634" s="78" t="str">
        <f>IFERROR(VLOOKUP(A5634, Entries!A:B,2,false),"")</f>
        <v>Bethesda Softworks</v>
      </c>
      <c r="N5634" s="23" t="str">
        <f>IFERROR(VLOOKUP(A5634, Entries!A:K,11,false),"")</f>
        <v/>
      </c>
    </row>
    <row r="5635">
      <c r="A5635" s="94" t="s">
        <v>1922</v>
      </c>
      <c r="B5635" s="78" t="s">
        <v>19</v>
      </c>
      <c r="C5635" s="85">
        <v>45396.0</v>
      </c>
      <c r="D5635" s="85">
        <v>45396.0</v>
      </c>
      <c r="E5635" s="86">
        <v>12.29</v>
      </c>
      <c r="F5635" s="87">
        <v>21.36</v>
      </c>
      <c r="G5635" s="88">
        <f t="shared" si="1"/>
        <v>9.07</v>
      </c>
      <c r="H5635" s="89">
        <f t="shared" si="15"/>
        <v>0.4246254682</v>
      </c>
      <c r="I5635" s="78" t="s">
        <v>6493</v>
      </c>
      <c r="J5635" s="78" t="s">
        <v>69</v>
      </c>
      <c r="K5635" s="58">
        <f t="shared" si="14"/>
        <v>0</v>
      </c>
      <c r="L5635" s="91" t="str">
        <f t="shared" si="8"/>
        <v>Sun</v>
      </c>
      <c r="M5635" s="78" t="str">
        <f>IFERROR(VLOOKUP(A5635, Entries!A:B,2,false),"")</f>
        <v>Rebellion</v>
      </c>
      <c r="N5635" s="23" t="str">
        <f>IFERROR(VLOOKUP(A5635, Entries!A:K,11,false),"")</f>
        <v/>
      </c>
    </row>
    <row r="5636">
      <c r="A5636" s="94" t="s">
        <v>1580</v>
      </c>
      <c r="B5636" s="78" t="s">
        <v>19</v>
      </c>
      <c r="C5636" s="85">
        <v>45396.0</v>
      </c>
      <c r="D5636" s="85">
        <v>45405.0</v>
      </c>
      <c r="E5636" s="86">
        <v>0.0</v>
      </c>
      <c r="F5636" s="87">
        <v>0.04</v>
      </c>
      <c r="G5636" s="88">
        <f t="shared" si="1"/>
        <v>0.04</v>
      </c>
      <c r="H5636" s="89">
        <f t="shared" si="15"/>
        <v>1</v>
      </c>
      <c r="I5636" s="78" t="s">
        <v>6494</v>
      </c>
      <c r="J5636" s="78" t="s">
        <v>69</v>
      </c>
      <c r="K5636" s="58">
        <f t="shared" si="14"/>
        <v>9</v>
      </c>
      <c r="L5636" s="91" t="str">
        <f t="shared" si="8"/>
        <v>Tue</v>
      </c>
      <c r="M5636" s="78" t="str">
        <f>IFERROR(VLOOKUP(A5636, Entries!A:B,2,false),"")</f>
        <v>Curve Digital</v>
      </c>
      <c r="N5636" s="23" t="str">
        <f>IFERROR(VLOOKUP(A5636, Entries!A:K,11,false),"")</f>
        <v/>
      </c>
    </row>
    <row r="5637">
      <c r="A5637" s="94" t="s">
        <v>1922</v>
      </c>
      <c r="B5637" s="78" t="s">
        <v>19</v>
      </c>
      <c r="C5637" s="85">
        <v>45396.0</v>
      </c>
      <c r="D5637" s="85">
        <v>45398.0</v>
      </c>
      <c r="E5637" s="86">
        <v>12.29</v>
      </c>
      <c r="F5637" s="87">
        <v>21.36</v>
      </c>
      <c r="G5637" s="88">
        <f t="shared" si="1"/>
        <v>9.07</v>
      </c>
      <c r="H5637" s="89">
        <f t="shared" si="15"/>
        <v>0.4246254682</v>
      </c>
      <c r="I5637" s="78" t="s">
        <v>6495</v>
      </c>
      <c r="J5637" s="78" t="s">
        <v>69</v>
      </c>
      <c r="K5637" s="58">
        <f t="shared" si="14"/>
        <v>2</v>
      </c>
      <c r="L5637" s="91" t="str">
        <f t="shared" si="8"/>
        <v>Tue</v>
      </c>
      <c r="M5637" s="78" t="str">
        <f>IFERROR(VLOOKUP(A5637, Entries!A:B,2,false),"")</f>
        <v>Rebellion</v>
      </c>
      <c r="N5637" s="23" t="str">
        <f>IFERROR(VLOOKUP(A5637, Entries!A:K,11,false),"")</f>
        <v/>
      </c>
    </row>
    <row r="5638">
      <c r="A5638" s="94" t="s">
        <v>6473</v>
      </c>
      <c r="B5638" s="78" t="s">
        <v>19</v>
      </c>
      <c r="C5638" s="85">
        <v>45396.0</v>
      </c>
      <c r="D5638" s="85">
        <v>45401.0</v>
      </c>
      <c r="E5638" s="86">
        <v>0.0</v>
      </c>
      <c r="F5638" s="87">
        <v>0.02</v>
      </c>
      <c r="G5638" s="88">
        <f t="shared" si="1"/>
        <v>0.02</v>
      </c>
      <c r="H5638" s="89">
        <f t="shared" si="15"/>
        <v>1</v>
      </c>
      <c r="I5638" s="78" t="s">
        <v>6496</v>
      </c>
      <c r="J5638" s="78" t="s">
        <v>69</v>
      </c>
      <c r="K5638" s="58">
        <f t="shared" si="14"/>
        <v>5</v>
      </c>
      <c r="L5638" s="91" t="str">
        <f t="shared" si="8"/>
        <v>Fri</v>
      </c>
      <c r="M5638" s="78" t="str">
        <f>IFERROR(VLOOKUP(A5638, Entries!A:B,2,false),"")</f>
        <v/>
      </c>
      <c r="N5638" s="23" t="str">
        <f>IFERROR(VLOOKUP(A5638, Entries!A:K,11,false),"")</f>
        <v/>
      </c>
    </row>
    <row r="5639">
      <c r="A5639" s="94" t="s">
        <v>6274</v>
      </c>
      <c r="B5639" s="78" t="s">
        <v>27</v>
      </c>
      <c r="C5639" s="85">
        <v>45397.0</v>
      </c>
      <c r="D5639" s="85">
        <v>45398.0</v>
      </c>
      <c r="E5639" s="86">
        <v>7.46</v>
      </c>
      <c r="F5639" s="87">
        <v>9.02</v>
      </c>
      <c r="G5639" s="88">
        <f t="shared" si="1"/>
        <v>1.56</v>
      </c>
      <c r="H5639" s="89">
        <f t="shared" si="15"/>
        <v>0.1729490022</v>
      </c>
      <c r="I5639" s="78" t="s">
        <v>6497</v>
      </c>
      <c r="J5639" s="78" t="s">
        <v>69</v>
      </c>
      <c r="K5639" s="58">
        <f t="shared" si="14"/>
        <v>1</v>
      </c>
      <c r="L5639" s="91" t="str">
        <f t="shared" si="8"/>
        <v>Tue</v>
      </c>
      <c r="M5639" s="78" t="str">
        <f>IFERROR(VLOOKUP(A5639, Entries!A:B,2,false),"")</f>
        <v>Bethesda Softworks</v>
      </c>
      <c r="N5639" s="23" t="str">
        <f>IFERROR(VLOOKUP(A5639, Entries!A:K,11,false),"")</f>
        <v/>
      </c>
    </row>
    <row r="5640">
      <c r="A5640" s="94" t="s">
        <v>6274</v>
      </c>
      <c r="B5640" s="78" t="s">
        <v>27</v>
      </c>
      <c r="C5640" s="85">
        <v>45397.0</v>
      </c>
      <c r="D5640" s="85">
        <v>45398.0</v>
      </c>
      <c r="E5640" s="86">
        <v>7.59</v>
      </c>
      <c r="F5640" s="87">
        <v>9.02</v>
      </c>
      <c r="G5640" s="88">
        <f t="shared" si="1"/>
        <v>1.43</v>
      </c>
      <c r="H5640" s="89">
        <f t="shared" si="15"/>
        <v>0.1585365854</v>
      </c>
      <c r="I5640" s="78" t="s">
        <v>6498</v>
      </c>
      <c r="J5640" s="78" t="s">
        <v>69</v>
      </c>
      <c r="K5640" s="58">
        <f t="shared" si="14"/>
        <v>1</v>
      </c>
      <c r="L5640" s="91" t="str">
        <f t="shared" si="8"/>
        <v>Tue</v>
      </c>
      <c r="M5640" s="78" t="str">
        <f>IFERROR(VLOOKUP(A5640, Entries!A:B,2,false),"")</f>
        <v>Bethesda Softworks</v>
      </c>
      <c r="N5640" s="23" t="str">
        <f>IFERROR(VLOOKUP(A5640, Entries!A:K,11,false),"")</f>
        <v/>
      </c>
    </row>
    <row r="5641">
      <c r="A5641" s="94" t="s">
        <v>1922</v>
      </c>
      <c r="B5641" s="78" t="s">
        <v>19</v>
      </c>
      <c r="C5641" s="85">
        <v>45398.0</v>
      </c>
      <c r="D5641" s="85">
        <v>45402.0</v>
      </c>
      <c r="E5641" s="86">
        <v>12.29</v>
      </c>
      <c r="F5641" s="87">
        <v>21.35</v>
      </c>
      <c r="G5641" s="88">
        <f t="shared" si="1"/>
        <v>9.06</v>
      </c>
      <c r="H5641" s="89">
        <f t="shared" si="15"/>
        <v>0.4243559719</v>
      </c>
      <c r="I5641" s="78" t="s">
        <v>6499</v>
      </c>
      <c r="J5641" s="78" t="s">
        <v>69</v>
      </c>
      <c r="K5641" s="58">
        <f t="shared" si="14"/>
        <v>4</v>
      </c>
      <c r="L5641" s="91" t="str">
        <f t="shared" si="8"/>
        <v>Sat</v>
      </c>
      <c r="M5641" s="78" t="str">
        <f>IFERROR(VLOOKUP(A5641, Entries!A:B,2,false),"")</f>
        <v>Rebellion</v>
      </c>
      <c r="N5641" s="23" t="str">
        <f>IFERROR(VLOOKUP(A5641, Entries!A:K,11,false),"")</f>
        <v/>
      </c>
    </row>
    <row r="5642">
      <c r="A5642" s="94" t="s">
        <v>6473</v>
      </c>
      <c r="B5642" s="78" t="s">
        <v>19</v>
      </c>
      <c r="C5642" s="85">
        <v>45398.0</v>
      </c>
      <c r="D5642" s="85">
        <v>45401.0</v>
      </c>
      <c r="E5642" s="86">
        <v>0.0</v>
      </c>
      <c r="F5642" s="87">
        <v>0.02</v>
      </c>
      <c r="G5642" s="88">
        <f t="shared" si="1"/>
        <v>0.02</v>
      </c>
      <c r="H5642" s="89">
        <f t="shared" si="15"/>
        <v>1</v>
      </c>
      <c r="I5642" s="78" t="s">
        <v>6500</v>
      </c>
      <c r="J5642" s="78" t="s">
        <v>69</v>
      </c>
      <c r="K5642" s="58">
        <f t="shared" si="14"/>
        <v>3</v>
      </c>
      <c r="L5642" s="91" t="str">
        <f t="shared" si="8"/>
        <v>Fri</v>
      </c>
      <c r="M5642" s="78" t="str">
        <f>IFERROR(VLOOKUP(A5642, Entries!A:B,2,false),"")</f>
        <v/>
      </c>
      <c r="N5642" s="23" t="str">
        <f>IFERROR(VLOOKUP(A5642, Entries!A:K,11,false),"")</f>
        <v/>
      </c>
    </row>
    <row r="5643">
      <c r="A5643" s="78" t="s">
        <v>6501</v>
      </c>
      <c r="B5643" s="78" t="s">
        <v>17</v>
      </c>
      <c r="C5643" s="85">
        <v>45398.0</v>
      </c>
      <c r="D5643" s="85">
        <v>45401.0</v>
      </c>
      <c r="E5643" s="86">
        <v>7.35</v>
      </c>
      <c r="F5643" s="87">
        <v>9.28</v>
      </c>
      <c r="G5643" s="88">
        <f t="shared" si="1"/>
        <v>1.93</v>
      </c>
      <c r="H5643" s="89">
        <f t="shared" si="15"/>
        <v>0.2079741379</v>
      </c>
      <c r="I5643" s="78" t="s">
        <v>6502</v>
      </c>
      <c r="J5643" s="78" t="s">
        <v>69</v>
      </c>
      <c r="K5643" s="58">
        <f t="shared" si="14"/>
        <v>3</v>
      </c>
      <c r="L5643" s="91" t="str">
        <f t="shared" si="8"/>
        <v>Fri</v>
      </c>
      <c r="M5643" s="78" t="str">
        <f>IFERROR(VLOOKUP(A5643, Entries!A:B,2,false),"")</f>
        <v>Offworld Industries</v>
      </c>
      <c r="N5643" s="23" t="str">
        <f>IFERROR(VLOOKUP(A5643, Entries!A:K,11,false),"")</f>
        <v/>
      </c>
      <c r="P5643" s="78" t="s">
        <v>6503</v>
      </c>
    </row>
    <row r="5644">
      <c r="A5644" s="78" t="s">
        <v>6504</v>
      </c>
      <c r="B5644" s="78" t="s">
        <v>21</v>
      </c>
      <c r="C5644" s="85">
        <v>45401.0</v>
      </c>
      <c r="D5644" s="85">
        <v>45401.0</v>
      </c>
      <c r="E5644" s="86">
        <v>39.97</v>
      </c>
      <c r="F5644" s="87">
        <v>45.19</v>
      </c>
      <c r="G5644" s="88">
        <f t="shared" si="1"/>
        <v>5.22</v>
      </c>
      <c r="H5644" s="89">
        <f t="shared" si="15"/>
        <v>0.1155122815</v>
      </c>
      <c r="I5644" s="78" t="s">
        <v>6505</v>
      </c>
      <c r="J5644" s="78" t="s">
        <v>69</v>
      </c>
      <c r="K5644" s="58">
        <f t="shared" si="14"/>
        <v>0</v>
      </c>
      <c r="L5644" s="91" t="str">
        <f t="shared" si="8"/>
        <v>Fri</v>
      </c>
      <c r="M5644" s="78" t="str">
        <f>IFERROR(VLOOKUP(A5644, Entries!A:B,2,false),"")</f>
        <v/>
      </c>
      <c r="N5644" s="23" t="str">
        <f>IFERROR(VLOOKUP(A5644, Entries!A:K,11,false),"")</f>
        <v/>
      </c>
    </row>
    <row r="5645">
      <c r="A5645" s="94" t="s">
        <v>6274</v>
      </c>
      <c r="B5645" s="78" t="s">
        <v>27</v>
      </c>
      <c r="C5645" s="85">
        <v>45401.0</v>
      </c>
      <c r="D5645" s="85">
        <v>45401.0</v>
      </c>
      <c r="E5645" s="86">
        <v>6.52</v>
      </c>
      <c r="F5645" s="87">
        <v>9.69</v>
      </c>
      <c r="G5645" s="88">
        <f t="shared" si="1"/>
        <v>3.17</v>
      </c>
      <c r="H5645" s="89">
        <f t="shared" si="15"/>
        <v>0.3271413829</v>
      </c>
      <c r="I5645" s="78" t="s">
        <v>6506</v>
      </c>
      <c r="J5645" s="78" t="s">
        <v>69</v>
      </c>
      <c r="K5645" s="58">
        <f t="shared" si="14"/>
        <v>0</v>
      </c>
      <c r="L5645" s="91" t="str">
        <f t="shared" si="8"/>
        <v>Fri</v>
      </c>
      <c r="M5645" s="78" t="str">
        <f>IFERROR(VLOOKUP(A5645, Entries!A:B,2,false),"")</f>
        <v>Bethesda Softworks</v>
      </c>
      <c r="N5645" s="23" t="str">
        <f>IFERROR(VLOOKUP(A5645, Entries!A:K,11,false),"")</f>
        <v/>
      </c>
    </row>
    <row r="5646">
      <c r="A5646" s="94" t="s">
        <v>6274</v>
      </c>
      <c r="B5646" s="78" t="s">
        <v>27</v>
      </c>
      <c r="C5646" s="85">
        <v>45401.0</v>
      </c>
      <c r="D5646" s="85">
        <v>45401.0</v>
      </c>
      <c r="E5646" s="86">
        <v>6.52</v>
      </c>
      <c r="F5646" s="87">
        <v>8.12</v>
      </c>
      <c r="G5646" s="88">
        <f t="shared" si="1"/>
        <v>1.6</v>
      </c>
      <c r="H5646" s="89">
        <f t="shared" si="15"/>
        <v>0.197044335</v>
      </c>
      <c r="I5646" s="78" t="s">
        <v>6507</v>
      </c>
      <c r="J5646" s="78" t="s">
        <v>69</v>
      </c>
      <c r="K5646" s="58">
        <f t="shared" si="14"/>
        <v>0</v>
      </c>
      <c r="L5646" s="91" t="str">
        <f t="shared" si="8"/>
        <v>Fri</v>
      </c>
      <c r="M5646" s="78" t="str">
        <f>IFERROR(VLOOKUP(A5646, Entries!A:B,2,false),"")</f>
        <v>Bethesda Softworks</v>
      </c>
      <c r="N5646" s="23" t="str">
        <f>IFERROR(VLOOKUP(A5646, Entries!A:K,11,false),"")</f>
        <v/>
      </c>
    </row>
    <row r="5647">
      <c r="A5647" s="94" t="s">
        <v>6274</v>
      </c>
      <c r="B5647" s="78" t="s">
        <v>27</v>
      </c>
      <c r="C5647" s="85">
        <v>45401.0</v>
      </c>
      <c r="D5647" s="85">
        <v>45401.0</v>
      </c>
      <c r="E5647" s="86">
        <v>6.52</v>
      </c>
      <c r="F5647" s="87">
        <v>8.12</v>
      </c>
      <c r="G5647" s="88">
        <f t="shared" si="1"/>
        <v>1.6</v>
      </c>
      <c r="H5647" s="89">
        <f t="shared" si="15"/>
        <v>0.197044335</v>
      </c>
      <c r="I5647" s="78" t="s">
        <v>6508</v>
      </c>
      <c r="J5647" s="78" t="s">
        <v>69</v>
      </c>
      <c r="K5647" s="58">
        <f t="shared" si="14"/>
        <v>0</v>
      </c>
      <c r="L5647" s="91" t="str">
        <f t="shared" si="8"/>
        <v>Fri</v>
      </c>
      <c r="M5647" s="78" t="str">
        <f>IFERROR(VLOOKUP(A5647, Entries!A:B,2,false),"")</f>
        <v>Bethesda Softworks</v>
      </c>
      <c r="N5647" s="23" t="str">
        <f>IFERROR(VLOOKUP(A5647, Entries!A:K,11,false),"")</f>
        <v/>
      </c>
    </row>
    <row r="5648">
      <c r="A5648" s="94" t="s">
        <v>6274</v>
      </c>
      <c r="B5648" s="78" t="s">
        <v>27</v>
      </c>
      <c r="C5648" s="85">
        <v>45401.0</v>
      </c>
      <c r="D5648" s="85">
        <v>45401.0</v>
      </c>
      <c r="E5648" s="86">
        <v>6.52</v>
      </c>
      <c r="F5648" s="87">
        <v>8.12</v>
      </c>
      <c r="G5648" s="88">
        <f t="shared" si="1"/>
        <v>1.6</v>
      </c>
      <c r="H5648" s="89">
        <f t="shared" si="15"/>
        <v>0.197044335</v>
      </c>
      <c r="I5648" s="78" t="s">
        <v>6509</v>
      </c>
      <c r="J5648" s="78" t="s">
        <v>69</v>
      </c>
      <c r="K5648" s="58">
        <f t="shared" si="14"/>
        <v>0</v>
      </c>
      <c r="L5648" s="91" t="str">
        <f t="shared" si="8"/>
        <v>Fri</v>
      </c>
      <c r="M5648" s="78" t="str">
        <f>IFERROR(VLOOKUP(A5648, Entries!A:B,2,false),"")</f>
        <v>Bethesda Softworks</v>
      </c>
      <c r="N5648" s="23" t="str">
        <f>IFERROR(VLOOKUP(A5648, Entries!A:K,11,false),"")</f>
        <v/>
      </c>
    </row>
    <row r="5649">
      <c r="A5649" s="94" t="s">
        <v>6274</v>
      </c>
      <c r="B5649" s="78" t="s">
        <v>27</v>
      </c>
      <c r="C5649" s="85">
        <v>45401.0</v>
      </c>
      <c r="D5649" s="85">
        <v>45401.0</v>
      </c>
      <c r="E5649" s="86">
        <v>6.5</v>
      </c>
      <c r="F5649" s="87">
        <v>8.12</v>
      </c>
      <c r="G5649" s="88">
        <f t="shared" si="1"/>
        <v>1.62</v>
      </c>
      <c r="H5649" s="89">
        <f t="shared" si="15"/>
        <v>0.1995073892</v>
      </c>
      <c r="I5649" s="78" t="s">
        <v>6510</v>
      </c>
      <c r="J5649" s="78" t="s">
        <v>69</v>
      </c>
      <c r="K5649" s="58">
        <f t="shared" si="14"/>
        <v>0</v>
      </c>
      <c r="L5649" s="91" t="str">
        <f t="shared" si="8"/>
        <v>Fri</v>
      </c>
      <c r="M5649" s="78" t="str">
        <f>IFERROR(VLOOKUP(A5649, Entries!A:B,2,false),"")</f>
        <v>Bethesda Softworks</v>
      </c>
      <c r="N5649" s="23" t="str">
        <f>IFERROR(VLOOKUP(A5649, Entries!A:K,11,false),"")</f>
        <v/>
      </c>
    </row>
    <row r="5650">
      <c r="A5650" s="78" t="s">
        <v>4085</v>
      </c>
      <c r="B5650" s="78" t="s">
        <v>27</v>
      </c>
      <c r="C5650" s="85">
        <v>45401.0</v>
      </c>
      <c r="D5650" s="85">
        <v>45401.0</v>
      </c>
      <c r="E5650" s="86">
        <v>6.39</v>
      </c>
      <c r="F5650" s="87">
        <v>7.31</v>
      </c>
      <c r="G5650" s="88">
        <f t="shared" si="1"/>
        <v>0.92</v>
      </c>
      <c r="H5650" s="89">
        <f t="shared" si="15"/>
        <v>0.1258549932</v>
      </c>
      <c r="I5650" s="78" t="s">
        <v>6511</v>
      </c>
      <c r="J5650" s="78" t="s">
        <v>69</v>
      </c>
      <c r="K5650" s="58">
        <f t="shared" si="14"/>
        <v>0</v>
      </c>
      <c r="L5650" s="91" t="str">
        <f t="shared" si="8"/>
        <v>Fri</v>
      </c>
      <c r="M5650" s="78" t="str">
        <f>IFERROR(VLOOKUP(A5650, Entries!A:B,2,false),"")</f>
        <v>Bethesda Softworks</v>
      </c>
      <c r="N5650" s="23" t="str">
        <f>IFERROR(VLOOKUP(A5650, Entries!A:K,11,false),"")</f>
        <v/>
      </c>
    </row>
    <row r="5651">
      <c r="A5651" s="78" t="s">
        <v>4085</v>
      </c>
      <c r="B5651" s="78" t="s">
        <v>27</v>
      </c>
      <c r="C5651" s="85">
        <v>45401.0</v>
      </c>
      <c r="D5651" s="85">
        <v>45401.0</v>
      </c>
      <c r="E5651" s="86">
        <v>6.39</v>
      </c>
      <c r="F5651" s="87">
        <v>7.31</v>
      </c>
      <c r="G5651" s="88">
        <f t="shared" si="1"/>
        <v>0.92</v>
      </c>
      <c r="H5651" s="89">
        <f t="shared" si="15"/>
        <v>0.1258549932</v>
      </c>
      <c r="I5651" s="78" t="s">
        <v>6512</v>
      </c>
      <c r="J5651" s="78" t="s">
        <v>69</v>
      </c>
      <c r="K5651" s="58">
        <f t="shared" si="14"/>
        <v>0</v>
      </c>
      <c r="L5651" s="91" t="str">
        <f t="shared" si="8"/>
        <v>Fri</v>
      </c>
      <c r="M5651" s="78" t="str">
        <f>IFERROR(VLOOKUP(A5651, Entries!A:B,2,false),"")</f>
        <v>Bethesda Softworks</v>
      </c>
      <c r="N5651" s="23" t="str">
        <f>IFERROR(VLOOKUP(A5651, Entries!A:K,11,false),"")</f>
        <v/>
      </c>
    </row>
    <row r="5652">
      <c r="A5652" s="78" t="s">
        <v>6123</v>
      </c>
      <c r="B5652" s="78" t="s">
        <v>22</v>
      </c>
      <c r="C5652" s="85">
        <v>45401.0</v>
      </c>
      <c r="D5652" s="85">
        <v>45401.0</v>
      </c>
      <c r="E5652" s="86">
        <v>17.12</v>
      </c>
      <c r="F5652" s="87">
        <v>20.42</v>
      </c>
      <c r="G5652" s="88">
        <f t="shared" si="1"/>
        <v>3.3</v>
      </c>
      <c r="H5652" s="89">
        <f t="shared" si="15"/>
        <v>0.1616062684</v>
      </c>
      <c r="I5652" s="78" t="s">
        <v>6513</v>
      </c>
      <c r="J5652" s="78" t="s">
        <v>69</v>
      </c>
      <c r="K5652" s="58">
        <f t="shared" si="14"/>
        <v>0</v>
      </c>
      <c r="L5652" s="91" t="str">
        <f t="shared" si="8"/>
        <v>Fri</v>
      </c>
      <c r="M5652" s="78" t="str">
        <f>IFERROR(VLOOKUP(A5652, Entries!A:B,2,false),"")</f>
        <v>Owlcat Games</v>
      </c>
      <c r="N5652" s="23" t="str">
        <f>IFERROR(VLOOKUP(A5652, Entries!A:K,11,false),"")</f>
        <v/>
      </c>
    </row>
    <row r="5653">
      <c r="A5653" s="78" t="s">
        <v>1406</v>
      </c>
      <c r="B5653" s="78" t="s">
        <v>23</v>
      </c>
      <c r="C5653" s="85">
        <v>45401.0</v>
      </c>
      <c r="D5653" s="85">
        <v>45401.0</v>
      </c>
      <c r="E5653" s="86">
        <v>16.15</v>
      </c>
      <c r="F5653" s="87">
        <v>28.44</v>
      </c>
      <c r="G5653" s="88">
        <f t="shared" si="1"/>
        <v>12.29</v>
      </c>
      <c r="H5653" s="89">
        <f t="shared" si="15"/>
        <v>0.432137834</v>
      </c>
      <c r="I5653" s="78" t="s">
        <v>6514</v>
      </c>
      <c r="J5653" s="78" t="s">
        <v>69</v>
      </c>
      <c r="K5653" s="58">
        <f t="shared" si="14"/>
        <v>0</v>
      </c>
      <c r="L5653" s="91" t="str">
        <f t="shared" si="8"/>
        <v>Fri</v>
      </c>
      <c r="M5653" s="78" t="str">
        <f>IFERROR(VLOOKUP(A5653, Entries!A:B,2,false),"")</f>
        <v>Eugen Systems</v>
      </c>
      <c r="N5653" s="23" t="str">
        <f>IFERROR(VLOOKUP(A5653, Entries!A:K,11,false),"")</f>
        <v/>
      </c>
    </row>
    <row r="5654">
      <c r="A5654" s="78" t="s">
        <v>1389</v>
      </c>
      <c r="B5654" s="78" t="s">
        <v>23</v>
      </c>
      <c r="C5654" s="85">
        <v>45401.0</v>
      </c>
      <c r="D5654" s="85">
        <v>45401.0</v>
      </c>
      <c r="E5654" s="86">
        <v>8.13</v>
      </c>
      <c r="F5654" s="87">
        <v>12.97</v>
      </c>
      <c r="G5654" s="88">
        <f t="shared" si="1"/>
        <v>4.84</v>
      </c>
      <c r="H5654" s="89">
        <f t="shared" si="15"/>
        <v>0.3731688512</v>
      </c>
      <c r="I5654" s="78" t="s">
        <v>6515</v>
      </c>
      <c r="J5654" s="78" t="s">
        <v>69</v>
      </c>
      <c r="K5654" s="58">
        <f t="shared" si="14"/>
        <v>0</v>
      </c>
      <c r="L5654" s="91" t="str">
        <f t="shared" si="8"/>
        <v>Fri</v>
      </c>
      <c r="M5654" s="78" t="str">
        <f>IFERROR(VLOOKUP(A5654, Entries!A:B,2,false),"")</f>
        <v>Eugen Systems</v>
      </c>
      <c r="N5654" s="23" t="str">
        <f>IFERROR(VLOOKUP(A5654, Entries!A:K,11,false),"")</f>
        <v/>
      </c>
    </row>
    <row r="5655">
      <c r="A5655" s="78" t="s">
        <v>6123</v>
      </c>
      <c r="B5655" s="78" t="s">
        <v>22</v>
      </c>
      <c r="C5655" s="85">
        <v>45401.0</v>
      </c>
      <c r="D5655" s="85">
        <v>45401.0</v>
      </c>
      <c r="E5655" s="86">
        <v>17.12</v>
      </c>
      <c r="F5655" s="87">
        <v>20.42</v>
      </c>
      <c r="G5655" s="88">
        <f t="shared" si="1"/>
        <v>3.3</v>
      </c>
      <c r="H5655" s="89">
        <f t="shared" si="15"/>
        <v>0.1616062684</v>
      </c>
      <c r="I5655" s="78" t="s">
        <v>6516</v>
      </c>
      <c r="J5655" s="78" t="s">
        <v>69</v>
      </c>
      <c r="K5655" s="58">
        <f t="shared" si="14"/>
        <v>0</v>
      </c>
      <c r="L5655" s="91" t="str">
        <f t="shared" si="8"/>
        <v>Fri</v>
      </c>
      <c r="M5655" s="78" t="str">
        <f>IFERROR(VLOOKUP(A5655, Entries!A:B,2,false),"")</f>
        <v>Owlcat Games</v>
      </c>
      <c r="N5655" s="23" t="str">
        <f>IFERROR(VLOOKUP(A5655, Entries!A:K,11,false),"")</f>
        <v/>
      </c>
    </row>
    <row r="5656">
      <c r="A5656" s="78" t="s">
        <v>1406</v>
      </c>
      <c r="B5656" s="78" t="s">
        <v>23</v>
      </c>
      <c r="C5656" s="85">
        <v>45401.0</v>
      </c>
      <c r="D5656" s="85">
        <v>45402.0</v>
      </c>
      <c r="E5656" s="86">
        <v>16.15</v>
      </c>
      <c r="F5656" s="87">
        <v>24.49</v>
      </c>
      <c r="G5656" s="88">
        <f t="shared" si="1"/>
        <v>8.34</v>
      </c>
      <c r="H5656" s="89">
        <f t="shared" si="15"/>
        <v>0.3405471621</v>
      </c>
      <c r="I5656" s="78" t="s">
        <v>6517</v>
      </c>
      <c r="J5656" s="78" t="s">
        <v>69</v>
      </c>
      <c r="K5656" s="58">
        <f t="shared" si="14"/>
        <v>1</v>
      </c>
      <c r="L5656" s="91" t="str">
        <f t="shared" si="8"/>
        <v>Sat</v>
      </c>
      <c r="M5656" s="78" t="str">
        <f>IFERROR(VLOOKUP(A5656, Entries!A:B,2,false),"")</f>
        <v>Eugen Systems</v>
      </c>
      <c r="N5656" s="23" t="str">
        <f>IFERROR(VLOOKUP(A5656, Entries!A:K,11,false),"")</f>
        <v/>
      </c>
    </row>
    <row r="5657">
      <c r="A5657" s="78" t="s">
        <v>1034</v>
      </c>
      <c r="B5657" s="78" t="s">
        <v>23</v>
      </c>
      <c r="C5657" s="85">
        <v>45401.0</v>
      </c>
      <c r="D5657" s="85">
        <v>45401.0</v>
      </c>
      <c r="E5657" s="86">
        <v>6.12</v>
      </c>
      <c r="F5657" s="87">
        <v>8.63</v>
      </c>
      <c r="G5657" s="88">
        <f t="shared" si="1"/>
        <v>2.51</v>
      </c>
      <c r="H5657" s="89">
        <f t="shared" si="15"/>
        <v>0.2908458864</v>
      </c>
      <c r="I5657" s="78" t="s">
        <v>6518</v>
      </c>
      <c r="J5657" s="78" t="s">
        <v>69</v>
      </c>
      <c r="K5657" s="58">
        <f t="shared" si="14"/>
        <v>0</v>
      </c>
      <c r="L5657" s="91" t="str">
        <f t="shared" si="8"/>
        <v>Fri</v>
      </c>
      <c r="M5657" s="78" t="str">
        <f>IFERROR(VLOOKUP(A5657, Entries!A:B,2,false),"")</f>
        <v>Eugen Systems</v>
      </c>
      <c r="N5657" s="23" t="str">
        <f>IFERROR(VLOOKUP(A5657, Entries!A:K,11,false),"")</f>
        <v/>
      </c>
    </row>
    <row r="5658">
      <c r="A5658" s="78" t="s">
        <v>1387</v>
      </c>
      <c r="B5658" s="78" t="s">
        <v>23</v>
      </c>
      <c r="C5658" s="85">
        <v>45401.0</v>
      </c>
      <c r="D5658" s="85">
        <v>45403.0</v>
      </c>
      <c r="E5658" s="86">
        <v>3.83</v>
      </c>
      <c r="F5658" s="87">
        <v>5.66</v>
      </c>
      <c r="G5658" s="88">
        <f t="shared" si="1"/>
        <v>1.83</v>
      </c>
      <c r="H5658" s="89">
        <f t="shared" si="15"/>
        <v>0.3233215548</v>
      </c>
      <c r="I5658" s="78" t="s">
        <v>6519</v>
      </c>
      <c r="J5658" s="78" t="s">
        <v>69</v>
      </c>
      <c r="K5658" s="58">
        <f t="shared" si="14"/>
        <v>2</v>
      </c>
      <c r="L5658" s="91" t="str">
        <f t="shared" si="8"/>
        <v>Sun</v>
      </c>
      <c r="M5658" s="78" t="str">
        <f>IFERROR(VLOOKUP(A5658, Entries!A:B,2,false),"")</f>
        <v>Eugen Systems</v>
      </c>
      <c r="N5658" s="23" t="str">
        <f>IFERROR(VLOOKUP(A5658, Entries!A:K,11,false),"")</f>
        <v/>
      </c>
    </row>
    <row r="5659">
      <c r="A5659" s="78" t="s">
        <v>6123</v>
      </c>
      <c r="B5659" s="78" t="s">
        <v>22</v>
      </c>
      <c r="C5659" s="85">
        <v>45401.0</v>
      </c>
      <c r="D5659" s="85">
        <v>45401.0</v>
      </c>
      <c r="E5659" s="86">
        <v>17.12</v>
      </c>
      <c r="F5659" s="87">
        <v>20.42</v>
      </c>
      <c r="G5659" s="88">
        <f t="shared" si="1"/>
        <v>3.3</v>
      </c>
      <c r="H5659" s="89">
        <f t="shared" si="15"/>
        <v>0.1616062684</v>
      </c>
      <c r="I5659" s="78" t="s">
        <v>6520</v>
      </c>
      <c r="J5659" s="78" t="s">
        <v>69</v>
      </c>
      <c r="K5659" s="58">
        <f>IFERROR(DATEDIF(C5659,D5661,"D"), "")</f>
        <v>2</v>
      </c>
      <c r="L5659" s="91" t="str">
        <f t="shared" si="8"/>
        <v>Fri</v>
      </c>
      <c r="M5659" s="78" t="str">
        <f>IFERROR(VLOOKUP(A5659, Entries!A:B,2,false),"")</f>
        <v>Owlcat Games</v>
      </c>
      <c r="N5659" s="23" t="str">
        <f>IFERROR(VLOOKUP(A5659, Entries!A:K,11,false),"")</f>
        <v/>
      </c>
    </row>
    <row r="5660">
      <c r="A5660" s="78" t="s">
        <v>1389</v>
      </c>
      <c r="B5660" s="78" t="s">
        <v>23</v>
      </c>
      <c r="C5660" s="85">
        <v>45401.0</v>
      </c>
      <c r="D5660" s="85">
        <v>45401.0</v>
      </c>
      <c r="E5660" s="86">
        <v>8.13</v>
      </c>
      <c r="F5660" s="87">
        <v>12.94</v>
      </c>
      <c r="G5660" s="88">
        <f t="shared" si="1"/>
        <v>4.81</v>
      </c>
      <c r="H5660" s="89">
        <f t="shared" si="15"/>
        <v>0.3717156105</v>
      </c>
      <c r="I5660" s="78" t="s">
        <v>6521</v>
      </c>
      <c r="J5660" s="78" t="s">
        <v>69</v>
      </c>
      <c r="K5660" s="58">
        <f t="shared" ref="K5660:K6321" si="16">IFERROR(DATEDIF(C5660,D5660,"D"), "")</f>
        <v>0</v>
      </c>
      <c r="L5660" s="91" t="str">
        <f t="shared" si="8"/>
        <v>Fri</v>
      </c>
      <c r="M5660" s="78" t="str">
        <f>IFERROR(VLOOKUP(A5660, Entries!A:B,2,false),"")</f>
        <v>Eugen Systems</v>
      </c>
      <c r="N5660" s="23" t="str">
        <f>IFERROR(VLOOKUP(A5660, Entries!A:K,11,false),"")</f>
        <v/>
      </c>
    </row>
    <row r="5661">
      <c r="A5661" s="78" t="s">
        <v>5156</v>
      </c>
      <c r="B5661" s="78" t="s">
        <v>27</v>
      </c>
      <c r="C5661" s="85">
        <v>45401.0</v>
      </c>
      <c r="D5661" s="85">
        <v>45403.0</v>
      </c>
      <c r="E5661" s="86">
        <v>33.89</v>
      </c>
      <c r="F5661" s="87">
        <v>43.11</v>
      </c>
      <c r="G5661" s="88">
        <f t="shared" si="1"/>
        <v>9.22</v>
      </c>
      <c r="H5661" s="89">
        <f t="shared" si="15"/>
        <v>0.2138714915</v>
      </c>
      <c r="I5661" s="78" t="s">
        <v>6522</v>
      </c>
      <c r="J5661" s="78" t="s">
        <v>69</v>
      </c>
      <c r="K5661" s="58">
        <f t="shared" si="16"/>
        <v>2</v>
      </c>
      <c r="L5661" s="91" t="str">
        <f t="shared" si="8"/>
        <v>Sun</v>
      </c>
      <c r="M5661" s="78" t="str">
        <f>IFERROR(VLOOKUP(A5661, Entries!A:B,2,false),"")</f>
        <v>SEGA</v>
      </c>
      <c r="N5661" s="23" t="str">
        <f>IFERROR(VLOOKUP(A5661, Entries!A:K,11,false),"")</f>
        <v/>
      </c>
    </row>
    <row r="5662">
      <c r="A5662" s="78" t="s">
        <v>6188</v>
      </c>
      <c r="B5662" s="78" t="s">
        <v>23</v>
      </c>
      <c r="C5662" s="85">
        <v>45401.0</v>
      </c>
      <c r="D5662" s="85">
        <v>45565.0</v>
      </c>
      <c r="E5662" s="86">
        <v>16.25</v>
      </c>
      <c r="F5662" s="87">
        <v>17.83</v>
      </c>
      <c r="G5662" s="88">
        <f t="shared" si="1"/>
        <v>1.58</v>
      </c>
      <c r="H5662" s="89">
        <f t="shared" si="15"/>
        <v>0.08861469434</v>
      </c>
      <c r="I5662" s="78" t="s">
        <v>6523</v>
      </c>
      <c r="J5662" s="78" t="s">
        <v>69</v>
      </c>
      <c r="K5662" s="58">
        <f t="shared" si="16"/>
        <v>164</v>
      </c>
      <c r="L5662" s="91" t="str">
        <f t="shared" si="8"/>
        <v>Mon</v>
      </c>
      <c r="M5662" s="78" t="str">
        <f>IFERROR(VLOOKUP(A5662, Entries!A:B,2,false),"")</f>
        <v>Focus Home Interactive</v>
      </c>
      <c r="N5662" s="23" t="str">
        <f>IFERROR(VLOOKUP(A5662, Entries!A:K,11,false),"")</f>
        <v/>
      </c>
    </row>
    <row r="5663">
      <c r="A5663" s="78" t="s">
        <v>6123</v>
      </c>
      <c r="B5663" s="78" t="s">
        <v>22</v>
      </c>
      <c r="C5663" s="85">
        <v>45401.0</v>
      </c>
      <c r="D5663" s="85">
        <v>45401.0</v>
      </c>
      <c r="E5663" s="86">
        <v>17.12</v>
      </c>
      <c r="F5663" s="87">
        <v>20.42</v>
      </c>
      <c r="G5663" s="88">
        <f t="shared" si="1"/>
        <v>3.3</v>
      </c>
      <c r="H5663" s="89">
        <f t="shared" si="15"/>
        <v>0.1616062684</v>
      </c>
      <c r="I5663" s="78" t="s">
        <v>6524</v>
      </c>
      <c r="J5663" s="78" t="s">
        <v>69</v>
      </c>
      <c r="K5663" s="58">
        <f t="shared" si="16"/>
        <v>0</v>
      </c>
      <c r="L5663" s="91" t="str">
        <f t="shared" si="8"/>
        <v>Fri</v>
      </c>
      <c r="M5663" s="78" t="str">
        <f>IFERROR(VLOOKUP(A5663, Entries!A:B,2,false),"")</f>
        <v>Owlcat Games</v>
      </c>
      <c r="N5663" s="23" t="str">
        <f>IFERROR(VLOOKUP(A5663, Entries!A:K,11,false),"")</f>
        <v/>
      </c>
    </row>
    <row r="5664">
      <c r="A5664" s="78" t="s">
        <v>6123</v>
      </c>
      <c r="B5664" s="78" t="s">
        <v>22</v>
      </c>
      <c r="C5664" s="85">
        <v>45401.0</v>
      </c>
      <c r="D5664" s="85">
        <v>45401.0</v>
      </c>
      <c r="E5664" s="86">
        <v>17.12</v>
      </c>
      <c r="F5664" s="87">
        <v>20.42</v>
      </c>
      <c r="G5664" s="88">
        <f t="shared" si="1"/>
        <v>3.3</v>
      </c>
      <c r="H5664" s="89">
        <f t="shared" si="15"/>
        <v>0.1616062684</v>
      </c>
      <c r="I5664" s="78" t="s">
        <v>6525</v>
      </c>
      <c r="J5664" s="78" t="s">
        <v>69</v>
      </c>
      <c r="K5664" s="58">
        <f t="shared" si="16"/>
        <v>0</v>
      </c>
      <c r="L5664" s="91" t="str">
        <f t="shared" si="8"/>
        <v>Fri</v>
      </c>
      <c r="M5664" s="78" t="str">
        <f>IFERROR(VLOOKUP(A5664, Entries!A:B,2,false),"")</f>
        <v>Owlcat Games</v>
      </c>
      <c r="N5664" s="23" t="str">
        <f>IFERROR(VLOOKUP(A5664, Entries!A:K,11,false),"")</f>
        <v/>
      </c>
    </row>
    <row r="5665">
      <c r="A5665" s="78" t="s">
        <v>4085</v>
      </c>
      <c r="B5665" s="78" t="s">
        <v>27</v>
      </c>
      <c r="C5665" s="85">
        <v>45401.0</v>
      </c>
      <c r="D5665" s="85">
        <v>45402.0</v>
      </c>
      <c r="E5665" s="86">
        <v>6.39</v>
      </c>
      <c r="F5665" s="87">
        <v>7.31</v>
      </c>
      <c r="G5665" s="88">
        <f t="shared" si="1"/>
        <v>0.92</v>
      </c>
      <c r="H5665" s="89">
        <f t="shared" si="15"/>
        <v>0.1258549932</v>
      </c>
      <c r="I5665" s="78" t="s">
        <v>6526</v>
      </c>
      <c r="J5665" s="78" t="s">
        <v>69</v>
      </c>
      <c r="K5665" s="58">
        <f t="shared" si="16"/>
        <v>1</v>
      </c>
      <c r="L5665" s="91" t="str">
        <f t="shared" si="8"/>
        <v>Sat</v>
      </c>
      <c r="M5665" s="78" t="str">
        <f>IFERROR(VLOOKUP(A5665, Entries!A:B,2,false),"")</f>
        <v>Bethesda Softworks</v>
      </c>
      <c r="N5665" s="23" t="str">
        <f>IFERROR(VLOOKUP(A5665, Entries!A:K,11,false),"")</f>
        <v/>
      </c>
    </row>
    <row r="5666">
      <c r="A5666" s="78" t="s">
        <v>6123</v>
      </c>
      <c r="B5666" s="78" t="s">
        <v>22</v>
      </c>
      <c r="C5666" s="85">
        <v>45401.0</v>
      </c>
      <c r="D5666" s="85">
        <v>45401.0</v>
      </c>
      <c r="E5666" s="86">
        <v>17.12</v>
      </c>
      <c r="F5666" s="87">
        <v>20.43</v>
      </c>
      <c r="G5666" s="88">
        <f t="shared" si="1"/>
        <v>3.31</v>
      </c>
      <c r="H5666" s="89">
        <f t="shared" si="15"/>
        <v>0.1620166422</v>
      </c>
      <c r="I5666" s="78" t="s">
        <v>6527</v>
      </c>
      <c r="J5666" s="78" t="s">
        <v>69</v>
      </c>
      <c r="K5666" s="58">
        <f t="shared" si="16"/>
        <v>0</v>
      </c>
      <c r="L5666" s="91" t="str">
        <f t="shared" si="8"/>
        <v>Fri</v>
      </c>
      <c r="M5666" s="78" t="str">
        <f>IFERROR(VLOOKUP(A5666, Entries!A:B,2,false),"")</f>
        <v>Owlcat Games</v>
      </c>
      <c r="N5666" s="23" t="str">
        <f>IFERROR(VLOOKUP(A5666, Entries!A:K,11,false),"")</f>
        <v/>
      </c>
    </row>
    <row r="5667">
      <c r="A5667" s="78" t="s">
        <v>6123</v>
      </c>
      <c r="B5667" s="78" t="s">
        <v>22</v>
      </c>
      <c r="C5667" s="85">
        <v>45401.0</v>
      </c>
      <c r="D5667" s="85">
        <v>45401.0</v>
      </c>
      <c r="E5667" s="86">
        <v>17.12</v>
      </c>
      <c r="F5667" s="87">
        <v>20.43</v>
      </c>
      <c r="G5667" s="88">
        <f t="shared" si="1"/>
        <v>3.31</v>
      </c>
      <c r="H5667" s="89">
        <f t="shared" si="15"/>
        <v>0.1620166422</v>
      </c>
      <c r="I5667" s="78" t="s">
        <v>6528</v>
      </c>
      <c r="J5667" s="78" t="s">
        <v>69</v>
      </c>
      <c r="K5667" s="58">
        <f t="shared" si="16"/>
        <v>0</v>
      </c>
      <c r="L5667" s="91" t="str">
        <f t="shared" si="8"/>
        <v>Fri</v>
      </c>
      <c r="M5667" s="78" t="str">
        <f>IFERROR(VLOOKUP(A5667, Entries!A:B,2,false),"")</f>
        <v>Owlcat Games</v>
      </c>
      <c r="N5667" s="23" t="str">
        <f>IFERROR(VLOOKUP(A5667, Entries!A:K,11,false),"")</f>
        <v/>
      </c>
    </row>
    <row r="5668">
      <c r="A5668" s="78" t="s">
        <v>6529</v>
      </c>
      <c r="B5668" s="78" t="s">
        <v>22</v>
      </c>
      <c r="C5668" s="85">
        <v>45401.0</v>
      </c>
      <c r="D5668" s="85">
        <v>45402.0</v>
      </c>
      <c r="E5668" s="86">
        <v>8.8</v>
      </c>
      <c r="F5668" s="87">
        <v>18.26</v>
      </c>
      <c r="G5668" s="88">
        <f t="shared" si="1"/>
        <v>9.46</v>
      </c>
      <c r="H5668" s="89">
        <f t="shared" si="15"/>
        <v>0.5180722892</v>
      </c>
      <c r="I5668" s="78" t="s">
        <v>6530</v>
      </c>
      <c r="J5668" s="78" t="s">
        <v>69</v>
      </c>
      <c r="K5668" s="58">
        <f t="shared" si="16"/>
        <v>1</v>
      </c>
      <c r="L5668" s="91" t="str">
        <f t="shared" si="8"/>
        <v>Sat</v>
      </c>
      <c r="M5668" s="78" t="str">
        <f>IFERROR(VLOOKUP(A5668, Entries!A:B,2,false),"")</f>
        <v/>
      </c>
      <c r="N5668" s="23" t="str">
        <f>IFERROR(VLOOKUP(A5668, Entries!A:K,11,false),"")</f>
        <v/>
      </c>
    </row>
    <row r="5669">
      <c r="A5669" s="78" t="s">
        <v>6123</v>
      </c>
      <c r="B5669" s="78" t="s">
        <v>22</v>
      </c>
      <c r="C5669" s="85">
        <v>45401.0</v>
      </c>
      <c r="D5669" s="85">
        <v>45402.0</v>
      </c>
      <c r="E5669" s="86">
        <v>17.12</v>
      </c>
      <c r="F5669" s="87">
        <v>20.43</v>
      </c>
      <c r="G5669" s="88">
        <f t="shared" si="1"/>
        <v>3.31</v>
      </c>
      <c r="H5669" s="89">
        <f t="shared" si="15"/>
        <v>0.1620166422</v>
      </c>
      <c r="I5669" s="78" t="s">
        <v>6531</v>
      </c>
      <c r="J5669" s="78" t="s">
        <v>69</v>
      </c>
      <c r="K5669" s="58">
        <f t="shared" si="16"/>
        <v>1</v>
      </c>
      <c r="L5669" s="91" t="str">
        <f t="shared" si="8"/>
        <v>Sat</v>
      </c>
      <c r="M5669" s="78" t="str">
        <f>IFERROR(VLOOKUP(A5669, Entries!A:B,2,false),"")</f>
        <v>Owlcat Games</v>
      </c>
      <c r="N5669" s="23" t="str">
        <f>IFERROR(VLOOKUP(A5669, Entries!A:K,11,false),"")</f>
        <v/>
      </c>
    </row>
    <row r="5670">
      <c r="A5670" s="78" t="s">
        <v>6123</v>
      </c>
      <c r="B5670" s="78" t="s">
        <v>22</v>
      </c>
      <c r="C5670" s="85">
        <v>45401.0</v>
      </c>
      <c r="D5670" s="85">
        <v>45402.0</v>
      </c>
      <c r="E5670" s="86">
        <v>17.12</v>
      </c>
      <c r="F5670" s="87">
        <v>20.43</v>
      </c>
      <c r="G5670" s="88">
        <f t="shared" si="1"/>
        <v>3.31</v>
      </c>
      <c r="H5670" s="89">
        <f t="shared" si="15"/>
        <v>0.1620166422</v>
      </c>
      <c r="I5670" s="78" t="s">
        <v>6532</v>
      </c>
      <c r="J5670" s="78" t="s">
        <v>69</v>
      </c>
      <c r="K5670" s="58">
        <f t="shared" si="16"/>
        <v>1</v>
      </c>
      <c r="L5670" s="91" t="str">
        <f t="shared" si="8"/>
        <v>Sat</v>
      </c>
      <c r="M5670" s="78" t="str">
        <f>IFERROR(VLOOKUP(A5670, Entries!A:B,2,false),"")</f>
        <v>Owlcat Games</v>
      </c>
      <c r="N5670" s="23" t="str">
        <f>IFERROR(VLOOKUP(A5670, Entries!A:K,11,false),"")</f>
        <v/>
      </c>
    </row>
    <row r="5671">
      <c r="A5671" s="78" t="s">
        <v>6533</v>
      </c>
      <c r="B5671" s="78" t="s">
        <v>22</v>
      </c>
      <c r="C5671" s="85">
        <v>45401.0</v>
      </c>
      <c r="D5671" s="85">
        <v>45402.0</v>
      </c>
      <c r="E5671" s="86">
        <v>19.01</v>
      </c>
      <c r="F5671" s="87">
        <v>24.27</v>
      </c>
      <c r="G5671" s="88">
        <f t="shared" si="1"/>
        <v>5.26</v>
      </c>
      <c r="H5671" s="89">
        <f t="shared" si="15"/>
        <v>0.2167284714</v>
      </c>
      <c r="I5671" s="78" t="s">
        <v>6534</v>
      </c>
      <c r="J5671" s="78" t="s">
        <v>69</v>
      </c>
      <c r="K5671" s="58">
        <f t="shared" si="16"/>
        <v>1</v>
      </c>
      <c r="L5671" s="91" t="str">
        <f t="shared" si="8"/>
        <v>Sat</v>
      </c>
      <c r="M5671" s="78" t="str">
        <f>IFERROR(VLOOKUP(A5671, Entries!A:B,2,false),"")</f>
        <v>VOID Interactive</v>
      </c>
      <c r="N5671" s="23" t="str">
        <f>IFERROR(VLOOKUP(A5671, Entries!A:K,11,false),"")</f>
        <v/>
      </c>
    </row>
    <row r="5672">
      <c r="A5672" s="78" t="s">
        <v>1389</v>
      </c>
      <c r="B5672" s="78" t="s">
        <v>23</v>
      </c>
      <c r="C5672" s="85">
        <v>45401.0</v>
      </c>
      <c r="D5672" s="85">
        <v>45402.0</v>
      </c>
      <c r="E5672" s="86">
        <v>8.13</v>
      </c>
      <c r="F5672" s="87">
        <v>13.0</v>
      </c>
      <c r="G5672" s="88">
        <f t="shared" si="1"/>
        <v>4.87</v>
      </c>
      <c r="H5672" s="89">
        <f t="shared" si="15"/>
        <v>0.3746153846</v>
      </c>
      <c r="I5672" s="78" t="s">
        <v>6535</v>
      </c>
      <c r="J5672" s="78" t="s">
        <v>69</v>
      </c>
      <c r="K5672" s="58">
        <f t="shared" si="16"/>
        <v>1</v>
      </c>
      <c r="L5672" s="91" t="str">
        <f t="shared" si="8"/>
        <v>Sat</v>
      </c>
      <c r="M5672" s="78" t="str">
        <f>IFERROR(VLOOKUP(A5672, Entries!A:B,2,false),"")</f>
        <v>Eugen Systems</v>
      </c>
      <c r="N5672" s="23" t="str">
        <f>IFERROR(VLOOKUP(A5672, Entries!A:K,11,false),"")</f>
        <v/>
      </c>
    </row>
    <row r="5673">
      <c r="A5673" s="78" t="s">
        <v>1034</v>
      </c>
      <c r="B5673" s="78" t="s">
        <v>23</v>
      </c>
      <c r="C5673" s="85">
        <v>45401.0</v>
      </c>
      <c r="D5673" s="85">
        <v>45402.0</v>
      </c>
      <c r="E5673" s="86">
        <v>6.12</v>
      </c>
      <c r="F5673" s="87">
        <v>8.4</v>
      </c>
      <c r="G5673" s="88">
        <f t="shared" si="1"/>
        <v>2.28</v>
      </c>
      <c r="H5673" s="89">
        <f t="shared" si="15"/>
        <v>0.2714285714</v>
      </c>
      <c r="I5673" s="78" t="s">
        <v>6536</v>
      </c>
      <c r="J5673" s="78" t="s">
        <v>69</v>
      </c>
      <c r="K5673" s="58">
        <f t="shared" si="16"/>
        <v>1</v>
      </c>
      <c r="L5673" s="91" t="str">
        <f t="shared" si="8"/>
        <v>Sat</v>
      </c>
      <c r="M5673" s="78" t="str">
        <f>IFERROR(VLOOKUP(A5673, Entries!A:B,2,false),"")</f>
        <v>Eugen Systems</v>
      </c>
      <c r="N5673" s="23" t="str">
        <f>IFERROR(VLOOKUP(A5673, Entries!A:K,11,false),"")</f>
        <v/>
      </c>
    </row>
    <row r="5674">
      <c r="A5674" s="78" t="s">
        <v>5603</v>
      </c>
      <c r="B5674" s="78" t="s">
        <v>27</v>
      </c>
      <c r="C5674" s="85">
        <v>45401.0</v>
      </c>
      <c r="D5674" s="85">
        <v>45401.0</v>
      </c>
      <c r="E5674" s="86">
        <v>23.66</v>
      </c>
      <c r="F5674" s="87">
        <v>25.9</v>
      </c>
      <c r="G5674" s="88">
        <f t="shared" si="1"/>
        <v>2.24</v>
      </c>
      <c r="H5674" s="89">
        <f t="shared" si="15"/>
        <v>0.08648648649</v>
      </c>
      <c r="I5674" s="78" t="s">
        <v>6537</v>
      </c>
      <c r="J5674" s="78" t="s">
        <v>69</v>
      </c>
      <c r="K5674" s="58">
        <f t="shared" si="16"/>
        <v>0</v>
      </c>
      <c r="L5674" s="91" t="str">
        <f t="shared" si="8"/>
        <v>Fri</v>
      </c>
      <c r="M5674" s="78" t="str">
        <f>IFERROR(VLOOKUP(A5674, Entries!A:B,2,false),"")</f>
        <v>PlayStation</v>
      </c>
      <c r="N5674" s="23" t="str">
        <f>IFERROR(VLOOKUP(A5674, Entries!A:K,11,false),"")</f>
        <v/>
      </c>
    </row>
    <row r="5675">
      <c r="A5675" s="78" t="s">
        <v>4085</v>
      </c>
      <c r="B5675" s="78" t="s">
        <v>27</v>
      </c>
      <c r="C5675" s="85">
        <v>45401.0</v>
      </c>
      <c r="D5675" s="85">
        <v>45402.0</v>
      </c>
      <c r="E5675" s="86">
        <v>6.39</v>
      </c>
      <c r="F5675" s="87">
        <v>7.31</v>
      </c>
      <c r="G5675" s="88">
        <f t="shared" si="1"/>
        <v>0.92</v>
      </c>
      <c r="H5675" s="89">
        <f t="shared" si="15"/>
        <v>0.1258549932</v>
      </c>
      <c r="I5675" s="78" t="s">
        <v>6538</v>
      </c>
      <c r="J5675" s="78" t="s">
        <v>69</v>
      </c>
      <c r="K5675" s="58">
        <f t="shared" si="16"/>
        <v>1</v>
      </c>
      <c r="L5675" s="91" t="str">
        <f t="shared" si="8"/>
        <v>Sat</v>
      </c>
      <c r="M5675" s="78" t="str">
        <f>IFERROR(VLOOKUP(A5675, Entries!A:B,2,false),"")</f>
        <v>Bethesda Softworks</v>
      </c>
      <c r="N5675" s="23" t="str">
        <f>IFERROR(VLOOKUP(A5675, Entries!A:K,11,false),"")</f>
        <v/>
      </c>
    </row>
    <row r="5676">
      <c r="A5676" s="78" t="s">
        <v>4085</v>
      </c>
      <c r="B5676" s="78" t="s">
        <v>27</v>
      </c>
      <c r="C5676" s="85">
        <v>45401.0</v>
      </c>
      <c r="D5676" s="85">
        <v>45402.0</v>
      </c>
      <c r="E5676" s="86">
        <v>6.39</v>
      </c>
      <c r="F5676" s="87">
        <v>7.31</v>
      </c>
      <c r="G5676" s="88">
        <f t="shared" si="1"/>
        <v>0.92</v>
      </c>
      <c r="H5676" s="89">
        <f t="shared" si="15"/>
        <v>0.1258549932</v>
      </c>
      <c r="I5676" s="78" t="s">
        <v>6539</v>
      </c>
      <c r="J5676" s="78" t="s">
        <v>69</v>
      </c>
      <c r="K5676" s="58">
        <f t="shared" si="16"/>
        <v>1</v>
      </c>
      <c r="L5676" s="91" t="str">
        <f t="shared" si="8"/>
        <v>Sat</v>
      </c>
      <c r="M5676" s="78" t="str">
        <f>IFERROR(VLOOKUP(A5676, Entries!A:B,2,false),"")</f>
        <v>Bethesda Softworks</v>
      </c>
      <c r="N5676" s="23" t="str">
        <f>IFERROR(VLOOKUP(A5676, Entries!A:K,11,false),"")</f>
        <v/>
      </c>
    </row>
    <row r="5677">
      <c r="A5677" s="94" t="s">
        <v>6274</v>
      </c>
      <c r="B5677" s="78" t="s">
        <v>27</v>
      </c>
      <c r="C5677" s="85">
        <v>45401.0</v>
      </c>
      <c r="D5677" s="85">
        <v>45401.0</v>
      </c>
      <c r="E5677" s="86">
        <v>7.59</v>
      </c>
      <c r="F5677" s="87">
        <v>8.12</v>
      </c>
      <c r="G5677" s="88">
        <f t="shared" si="1"/>
        <v>0.53</v>
      </c>
      <c r="H5677" s="89">
        <f t="shared" si="15"/>
        <v>0.06527093596</v>
      </c>
      <c r="I5677" s="78" t="s">
        <v>6540</v>
      </c>
      <c r="J5677" s="78" t="s">
        <v>69</v>
      </c>
      <c r="K5677" s="58">
        <f t="shared" si="16"/>
        <v>0</v>
      </c>
      <c r="L5677" s="91" t="str">
        <f t="shared" si="8"/>
        <v>Fri</v>
      </c>
      <c r="M5677" s="78" t="str">
        <f>IFERROR(VLOOKUP(A5677, Entries!A:B,2,false),"")</f>
        <v>Bethesda Softworks</v>
      </c>
      <c r="N5677" s="23" t="str">
        <f>IFERROR(VLOOKUP(A5677, Entries!A:K,11,false),"")</f>
        <v/>
      </c>
    </row>
    <row r="5678">
      <c r="A5678" s="94" t="s">
        <v>6274</v>
      </c>
      <c r="B5678" s="78" t="s">
        <v>27</v>
      </c>
      <c r="C5678" s="85">
        <v>45401.0</v>
      </c>
      <c r="D5678" s="85">
        <v>45401.0</v>
      </c>
      <c r="E5678" s="86">
        <v>7.59</v>
      </c>
      <c r="F5678" s="87">
        <v>8.12</v>
      </c>
      <c r="G5678" s="88">
        <f t="shared" si="1"/>
        <v>0.53</v>
      </c>
      <c r="H5678" s="89">
        <f t="shared" si="15"/>
        <v>0.06527093596</v>
      </c>
      <c r="I5678" s="78" t="s">
        <v>6541</v>
      </c>
      <c r="J5678" s="78" t="s">
        <v>69</v>
      </c>
      <c r="K5678" s="58">
        <f t="shared" si="16"/>
        <v>0</v>
      </c>
      <c r="L5678" s="91" t="str">
        <f t="shared" si="8"/>
        <v>Fri</v>
      </c>
      <c r="M5678" s="78" t="str">
        <f>IFERROR(VLOOKUP(A5678, Entries!A:B,2,false),"")</f>
        <v>Bethesda Softworks</v>
      </c>
      <c r="N5678" s="23" t="str">
        <f>IFERROR(VLOOKUP(A5678, Entries!A:K,11,false),"")</f>
        <v/>
      </c>
    </row>
    <row r="5679">
      <c r="A5679" s="78" t="s">
        <v>4532</v>
      </c>
      <c r="B5679" s="78" t="s">
        <v>23</v>
      </c>
      <c r="C5679" s="85">
        <v>45401.0</v>
      </c>
      <c r="D5679" s="85">
        <v>45404.0</v>
      </c>
      <c r="E5679" s="86">
        <v>23.49</v>
      </c>
      <c r="F5679" s="87">
        <v>26.87</v>
      </c>
      <c r="G5679" s="88">
        <f t="shared" si="1"/>
        <v>3.38</v>
      </c>
      <c r="H5679" s="89">
        <f t="shared" si="15"/>
        <v>0.1257908448</v>
      </c>
      <c r="I5679" s="78" t="s">
        <v>6542</v>
      </c>
      <c r="J5679" s="78" t="s">
        <v>69</v>
      </c>
      <c r="K5679" s="58">
        <f t="shared" si="16"/>
        <v>3</v>
      </c>
      <c r="L5679" s="91" t="str">
        <f t="shared" si="8"/>
        <v>Mon</v>
      </c>
      <c r="M5679" s="78" t="str">
        <f>IFERROR(VLOOKUP(A5679, Entries!A:B,2,false),"")</f>
        <v>Eugen Systems</v>
      </c>
      <c r="N5679" s="23" t="str">
        <f>IFERROR(VLOOKUP(A5679, Entries!A:K,11,false),"")</f>
        <v/>
      </c>
    </row>
    <row r="5680">
      <c r="A5680" s="78" t="s">
        <v>4928</v>
      </c>
      <c r="B5680" s="78" t="s">
        <v>19</v>
      </c>
      <c r="C5680" s="85">
        <v>45401.0</v>
      </c>
      <c r="D5680" s="85">
        <v>45403.0</v>
      </c>
      <c r="E5680" s="86">
        <v>28.43</v>
      </c>
      <c r="F5680" s="87">
        <v>35.89</v>
      </c>
      <c r="G5680" s="88">
        <f t="shared" si="1"/>
        <v>7.46</v>
      </c>
      <c r="H5680" s="89">
        <f t="shared" si="15"/>
        <v>0.2078573419</v>
      </c>
      <c r="I5680" s="78" t="s">
        <v>6543</v>
      </c>
      <c r="J5680" s="78" t="s">
        <v>69</v>
      </c>
      <c r="K5680" s="58">
        <f t="shared" si="16"/>
        <v>2</v>
      </c>
      <c r="L5680" s="91" t="str">
        <f t="shared" si="8"/>
        <v>Sun</v>
      </c>
      <c r="M5680" s="78" t="str">
        <f>IFERROR(VLOOKUP(A5680, Entries!A:B,2,false),"")</f>
        <v>Eleventh Hour Games</v>
      </c>
      <c r="N5680" s="23" t="str">
        <f>IFERROR(VLOOKUP(A5680, Entries!A:K,11,false),"")</f>
        <v/>
      </c>
    </row>
    <row r="5681">
      <c r="A5681" s="78" t="s">
        <v>6394</v>
      </c>
      <c r="B5681" s="78" t="s">
        <v>19</v>
      </c>
      <c r="C5681" s="85">
        <v>45633.0</v>
      </c>
      <c r="D5681" s="85">
        <v>45640.0</v>
      </c>
      <c r="E5681" s="86">
        <v>0.0</v>
      </c>
      <c r="F5681" s="87">
        <v>0.33</v>
      </c>
      <c r="G5681" s="88">
        <f t="shared" si="1"/>
        <v>0.33</v>
      </c>
      <c r="H5681" s="89">
        <f t="shared" si="15"/>
        <v>1</v>
      </c>
      <c r="I5681" s="78" t="s">
        <v>6544</v>
      </c>
      <c r="J5681" s="78" t="s">
        <v>69</v>
      </c>
      <c r="K5681" s="58">
        <f t="shared" si="16"/>
        <v>7</v>
      </c>
      <c r="L5681" s="91" t="str">
        <f t="shared" si="8"/>
        <v>Sat</v>
      </c>
      <c r="M5681" s="78" t="str">
        <f>IFERROR(VLOOKUP(A5681, Entries!A:B,2,false),"")</f>
        <v/>
      </c>
      <c r="N5681" s="23" t="str">
        <f>IFERROR(VLOOKUP(A5681, Entries!A:K,11,false),"")</f>
        <v/>
      </c>
    </row>
    <row r="5682">
      <c r="A5682" s="78" t="s">
        <v>6533</v>
      </c>
      <c r="B5682" s="78" t="s">
        <v>22</v>
      </c>
      <c r="C5682" s="85">
        <v>45402.0</v>
      </c>
      <c r="D5682" s="85">
        <v>45402.0</v>
      </c>
      <c r="E5682" s="86">
        <v>19.07</v>
      </c>
      <c r="F5682" s="87">
        <v>24.42</v>
      </c>
      <c r="G5682" s="88">
        <f t="shared" si="1"/>
        <v>5.35</v>
      </c>
      <c r="H5682" s="89">
        <f t="shared" si="15"/>
        <v>0.2190827191</v>
      </c>
      <c r="I5682" s="78" t="s">
        <v>6545</v>
      </c>
      <c r="J5682" s="78" t="s">
        <v>69</v>
      </c>
      <c r="K5682" s="58">
        <f t="shared" si="16"/>
        <v>0</v>
      </c>
      <c r="L5682" s="91" t="str">
        <f t="shared" si="8"/>
        <v>Sat</v>
      </c>
      <c r="M5682" s="78" t="str">
        <f>IFERROR(VLOOKUP(A5682, Entries!A:B,2,false),"")</f>
        <v>VOID Interactive</v>
      </c>
      <c r="N5682" s="23" t="str">
        <f>IFERROR(VLOOKUP(A5682, Entries!A:K,11,false),"")</f>
        <v/>
      </c>
    </row>
    <row r="5683">
      <c r="A5683" s="78" t="s">
        <v>6123</v>
      </c>
      <c r="B5683" s="78" t="s">
        <v>22</v>
      </c>
      <c r="C5683" s="85">
        <v>45402.0</v>
      </c>
      <c r="D5683" s="85">
        <v>45402.0</v>
      </c>
      <c r="E5683" s="86">
        <v>17.17</v>
      </c>
      <c r="F5683" s="87">
        <v>20.71</v>
      </c>
      <c r="G5683" s="88">
        <f t="shared" si="1"/>
        <v>3.54</v>
      </c>
      <c r="H5683" s="89">
        <f t="shared" si="15"/>
        <v>0.1709319169</v>
      </c>
      <c r="I5683" s="78" t="s">
        <v>6546</v>
      </c>
      <c r="J5683" s="78" t="s">
        <v>69</v>
      </c>
      <c r="K5683" s="58">
        <f t="shared" si="16"/>
        <v>0</v>
      </c>
      <c r="L5683" s="91" t="str">
        <f t="shared" si="8"/>
        <v>Sat</v>
      </c>
      <c r="M5683" s="78" t="str">
        <f>IFERROR(VLOOKUP(A5683, Entries!A:B,2,false),"")</f>
        <v>Owlcat Games</v>
      </c>
      <c r="N5683" s="23" t="str">
        <f>IFERROR(VLOOKUP(A5683, Entries!A:K,11,false),"")</f>
        <v/>
      </c>
    </row>
    <row r="5684">
      <c r="A5684" s="78" t="s">
        <v>6123</v>
      </c>
      <c r="B5684" s="78" t="s">
        <v>22</v>
      </c>
      <c r="C5684" s="85">
        <v>45402.0</v>
      </c>
      <c r="D5684" s="85">
        <v>45402.0</v>
      </c>
      <c r="E5684" s="86">
        <v>17.18</v>
      </c>
      <c r="F5684" s="87">
        <v>20.71</v>
      </c>
      <c r="G5684" s="88">
        <f t="shared" si="1"/>
        <v>3.53</v>
      </c>
      <c r="H5684" s="89">
        <f t="shared" si="15"/>
        <v>0.1704490584</v>
      </c>
      <c r="I5684" s="78" t="s">
        <v>6547</v>
      </c>
      <c r="J5684" s="78" t="s">
        <v>69</v>
      </c>
      <c r="K5684" s="58">
        <f t="shared" si="16"/>
        <v>0</v>
      </c>
      <c r="L5684" s="91" t="str">
        <f t="shared" si="8"/>
        <v>Sat</v>
      </c>
      <c r="M5684" s="78" t="str">
        <f>IFERROR(VLOOKUP(A5684, Entries!A:B,2,false),"")</f>
        <v>Owlcat Games</v>
      </c>
      <c r="N5684" s="23" t="str">
        <f>IFERROR(VLOOKUP(A5684, Entries!A:K,11,false),"")</f>
        <v/>
      </c>
    </row>
    <row r="5685">
      <c r="A5685" s="78" t="s">
        <v>1034</v>
      </c>
      <c r="B5685" s="78" t="s">
        <v>23</v>
      </c>
      <c r="C5685" s="85">
        <v>45402.0</v>
      </c>
      <c r="D5685" s="85">
        <v>45402.0</v>
      </c>
      <c r="E5685" s="86">
        <v>6.14</v>
      </c>
      <c r="F5685" s="87">
        <v>7.21</v>
      </c>
      <c r="G5685" s="88">
        <f t="shared" si="1"/>
        <v>1.07</v>
      </c>
      <c r="H5685" s="89">
        <f t="shared" si="15"/>
        <v>0.1484049931</v>
      </c>
      <c r="I5685" s="78" t="s">
        <v>6548</v>
      </c>
      <c r="J5685" s="78" t="s">
        <v>69</v>
      </c>
      <c r="K5685" s="58">
        <f t="shared" si="16"/>
        <v>0</v>
      </c>
      <c r="L5685" s="91" t="str">
        <f t="shared" si="8"/>
        <v>Sat</v>
      </c>
      <c r="M5685" s="78" t="str">
        <f>IFERROR(VLOOKUP(A5685, Entries!A:B,2,false),"")</f>
        <v>Eugen Systems</v>
      </c>
      <c r="N5685" s="23" t="str">
        <f>IFERROR(VLOOKUP(A5685, Entries!A:K,11,false),"")</f>
        <v/>
      </c>
    </row>
    <row r="5686">
      <c r="A5686" s="78" t="s">
        <v>4085</v>
      </c>
      <c r="B5686" s="78" t="s">
        <v>27</v>
      </c>
      <c r="C5686" s="85">
        <v>45402.0</v>
      </c>
      <c r="D5686" s="85">
        <v>45402.0</v>
      </c>
      <c r="E5686" s="86">
        <v>6.3</v>
      </c>
      <c r="F5686" s="87">
        <v>7.31</v>
      </c>
      <c r="G5686" s="88">
        <f t="shared" si="1"/>
        <v>1.01</v>
      </c>
      <c r="H5686" s="89">
        <f t="shared" si="15"/>
        <v>0.1381668947</v>
      </c>
      <c r="I5686" s="78" t="s">
        <v>6549</v>
      </c>
      <c r="J5686" s="78" t="s">
        <v>69</v>
      </c>
      <c r="K5686" s="58">
        <f t="shared" si="16"/>
        <v>0</v>
      </c>
      <c r="L5686" s="91" t="str">
        <f t="shared" si="8"/>
        <v>Sat</v>
      </c>
      <c r="M5686" s="78" t="str">
        <f>IFERROR(VLOOKUP(A5686, Entries!A:B,2,false),"")</f>
        <v>Bethesda Softworks</v>
      </c>
      <c r="N5686" s="23" t="str">
        <f>IFERROR(VLOOKUP(A5686, Entries!A:K,11,false),"")</f>
        <v/>
      </c>
    </row>
    <row r="5687">
      <c r="A5687" s="78" t="s">
        <v>4085</v>
      </c>
      <c r="B5687" s="78" t="s">
        <v>27</v>
      </c>
      <c r="C5687" s="85">
        <v>45402.0</v>
      </c>
      <c r="D5687" s="85">
        <v>45402.0</v>
      </c>
      <c r="E5687" s="86">
        <v>6.3</v>
      </c>
      <c r="F5687" s="87">
        <v>7.31</v>
      </c>
      <c r="G5687" s="88">
        <f t="shared" si="1"/>
        <v>1.01</v>
      </c>
      <c r="H5687" s="89">
        <f t="shared" si="15"/>
        <v>0.1381668947</v>
      </c>
      <c r="I5687" s="78" t="s">
        <v>6550</v>
      </c>
      <c r="J5687" s="78" t="s">
        <v>69</v>
      </c>
      <c r="K5687" s="58">
        <f t="shared" si="16"/>
        <v>0</v>
      </c>
      <c r="L5687" s="91" t="str">
        <f t="shared" si="8"/>
        <v>Sat</v>
      </c>
      <c r="M5687" s="78" t="str">
        <f>IFERROR(VLOOKUP(A5687, Entries!A:B,2,false),"")</f>
        <v>Bethesda Softworks</v>
      </c>
      <c r="N5687" s="23" t="str">
        <f>IFERROR(VLOOKUP(A5687, Entries!A:K,11,false),"")</f>
        <v/>
      </c>
    </row>
    <row r="5688">
      <c r="A5688" s="78" t="s">
        <v>1389</v>
      </c>
      <c r="B5688" s="78" t="s">
        <v>23</v>
      </c>
      <c r="C5688" s="85">
        <v>45402.0</v>
      </c>
      <c r="D5688" s="85">
        <v>45402.0</v>
      </c>
      <c r="E5688" s="86">
        <v>8.15</v>
      </c>
      <c r="F5688" s="87">
        <v>9.2</v>
      </c>
      <c r="G5688" s="88">
        <f t="shared" si="1"/>
        <v>1.05</v>
      </c>
      <c r="H5688" s="89">
        <f t="shared" si="15"/>
        <v>0.1141304348</v>
      </c>
      <c r="I5688" s="78" t="s">
        <v>6551</v>
      </c>
      <c r="J5688" s="78" t="s">
        <v>69</v>
      </c>
      <c r="K5688" s="58">
        <f t="shared" si="16"/>
        <v>0</v>
      </c>
      <c r="L5688" s="91" t="str">
        <f t="shared" si="8"/>
        <v>Sat</v>
      </c>
      <c r="M5688" s="78" t="str">
        <f>IFERROR(VLOOKUP(A5688, Entries!A:B,2,false),"")</f>
        <v>Eugen Systems</v>
      </c>
      <c r="N5688" s="23" t="str">
        <f>IFERROR(VLOOKUP(A5688, Entries!A:K,11,false),"")</f>
        <v/>
      </c>
    </row>
    <row r="5689">
      <c r="A5689" s="94" t="s">
        <v>1922</v>
      </c>
      <c r="B5689" s="78" t="s">
        <v>19</v>
      </c>
      <c r="C5689" s="85">
        <v>45402.0</v>
      </c>
      <c r="D5689" s="85">
        <v>45402.0</v>
      </c>
      <c r="E5689" s="86">
        <v>12.95</v>
      </c>
      <c r="F5689" s="87">
        <v>21.36</v>
      </c>
      <c r="G5689" s="88">
        <f t="shared" si="1"/>
        <v>8.41</v>
      </c>
      <c r="H5689" s="89">
        <f t="shared" si="15"/>
        <v>0.3937265918</v>
      </c>
      <c r="I5689" s="78" t="s">
        <v>6552</v>
      </c>
      <c r="J5689" s="78" t="s">
        <v>69</v>
      </c>
      <c r="K5689" s="58">
        <f t="shared" si="16"/>
        <v>0</v>
      </c>
      <c r="L5689" s="91" t="str">
        <f t="shared" si="8"/>
        <v>Sat</v>
      </c>
      <c r="M5689" s="78" t="str">
        <f>IFERROR(VLOOKUP(A5689, Entries!A:B,2,false),"")</f>
        <v>Rebellion</v>
      </c>
      <c r="N5689" s="23" t="str">
        <f>IFERROR(VLOOKUP(A5689, Entries!A:K,11,false),"")</f>
        <v/>
      </c>
    </row>
    <row r="5690">
      <c r="A5690" s="78" t="s">
        <v>6533</v>
      </c>
      <c r="B5690" s="78" t="s">
        <v>22</v>
      </c>
      <c r="C5690" s="85">
        <v>45402.0</v>
      </c>
      <c r="D5690" s="85">
        <v>45402.0</v>
      </c>
      <c r="E5690" s="86">
        <v>19.07</v>
      </c>
      <c r="F5690" s="87">
        <v>23.73</v>
      </c>
      <c r="G5690" s="88">
        <f t="shared" si="1"/>
        <v>4.66</v>
      </c>
      <c r="H5690" s="89">
        <f t="shared" si="15"/>
        <v>0.1963758955</v>
      </c>
      <c r="I5690" s="78" t="s">
        <v>6553</v>
      </c>
      <c r="J5690" s="78" t="s">
        <v>69</v>
      </c>
      <c r="K5690" s="58">
        <f t="shared" si="16"/>
        <v>0</v>
      </c>
      <c r="L5690" s="91" t="str">
        <f t="shared" si="8"/>
        <v>Sat</v>
      </c>
      <c r="M5690" s="78" t="str">
        <f>IFERROR(VLOOKUP(A5690, Entries!A:B,2,false),"")</f>
        <v>VOID Interactive</v>
      </c>
      <c r="N5690" s="23" t="str">
        <f>IFERROR(VLOOKUP(A5690, Entries!A:K,11,false),"")</f>
        <v/>
      </c>
    </row>
    <row r="5691">
      <c r="A5691" s="78" t="s">
        <v>6554</v>
      </c>
      <c r="B5691" s="78" t="s">
        <v>19</v>
      </c>
      <c r="C5691" s="85">
        <v>45402.0</v>
      </c>
      <c r="D5691" s="85">
        <v>45404.0</v>
      </c>
      <c r="E5691" s="86">
        <v>0.0</v>
      </c>
      <c r="F5691" s="87">
        <v>0.13</v>
      </c>
      <c r="G5691" s="88">
        <f t="shared" si="1"/>
        <v>0.13</v>
      </c>
      <c r="H5691" s="89">
        <f t="shared" si="15"/>
        <v>1</v>
      </c>
      <c r="I5691" s="78" t="s">
        <v>6555</v>
      </c>
      <c r="J5691" s="78" t="s">
        <v>69</v>
      </c>
      <c r="K5691" s="58">
        <f t="shared" si="16"/>
        <v>2</v>
      </c>
      <c r="L5691" s="91" t="str">
        <f t="shared" si="8"/>
        <v>Mon</v>
      </c>
      <c r="M5691" s="78" t="str">
        <f>IFERROR(VLOOKUP(A5691, Entries!A:B,2,false),"")</f>
        <v/>
      </c>
      <c r="N5691" s="23" t="str">
        <f>IFERROR(VLOOKUP(A5691, Entries!A:K,11,false),"")</f>
        <v/>
      </c>
    </row>
    <row r="5692">
      <c r="A5692" s="78" t="s">
        <v>6533</v>
      </c>
      <c r="B5692" s="78" t="s">
        <v>22</v>
      </c>
      <c r="C5692" s="85">
        <v>45402.0</v>
      </c>
      <c r="D5692" s="85">
        <v>45402.0</v>
      </c>
      <c r="E5692" s="86">
        <v>19.07</v>
      </c>
      <c r="F5692" s="87">
        <v>24.42</v>
      </c>
      <c r="G5692" s="88">
        <f t="shared" si="1"/>
        <v>5.35</v>
      </c>
      <c r="H5692" s="89">
        <f t="shared" si="15"/>
        <v>0.2190827191</v>
      </c>
      <c r="I5692" s="78" t="s">
        <v>6556</v>
      </c>
      <c r="J5692" s="78" t="s">
        <v>69</v>
      </c>
      <c r="K5692" s="58">
        <f t="shared" si="16"/>
        <v>0</v>
      </c>
      <c r="L5692" s="91" t="str">
        <f t="shared" si="8"/>
        <v>Sat</v>
      </c>
      <c r="M5692" s="78" t="str">
        <f>IFERROR(VLOOKUP(A5692, Entries!A:B,2,false),"")</f>
        <v>VOID Interactive</v>
      </c>
      <c r="N5692" s="23" t="str">
        <f>IFERROR(VLOOKUP(A5692, Entries!A:K,11,false),"")</f>
        <v/>
      </c>
    </row>
    <row r="5693">
      <c r="A5693" s="78" t="s">
        <v>6533</v>
      </c>
      <c r="B5693" s="78" t="s">
        <v>22</v>
      </c>
      <c r="C5693" s="85">
        <v>45402.0</v>
      </c>
      <c r="D5693" s="85">
        <v>45402.0</v>
      </c>
      <c r="E5693" s="86">
        <v>19.07</v>
      </c>
      <c r="F5693" s="87">
        <v>24.42</v>
      </c>
      <c r="G5693" s="88">
        <f t="shared" si="1"/>
        <v>5.35</v>
      </c>
      <c r="H5693" s="89">
        <f t="shared" si="15"/>
        <v>0.2190827191</v>
      </c>
      <c r="I5693" s="78" t="s">
        <v>6557</v>
      </c>
      <c r="J5693" s="78" t="s">
        <v>69</v>
      </c>
      <c r="K5693" s="58">
        <f t="shared" si="16"/>
        <v>0</v>
      </c>
      <c r="L5693" s="91" t="str">
        <f t="shared" si="8"/>
        <v>Sat</v>
      </c>
      <c r="M5693" s="78" t="str">
        <f>IFERROR(VLOOKUP(A5693, Entries!A:B,2,false),"")</f>
        <v>VOID Interactive</v>
      </c>
      <c r="N5693" s="23" t="str">
        <f>IFERROR(VLOOKUP(A5693, Entries!A:K,11,false),"")</f>
        <v/>
      </c>
    </row>
    <row r="5694">
      <c r="A5694" s="78" t="s">
        <v>6123</v>
      </c>
      <c r="B5694" s="78" t="s">
        <v>22</v>
      </c>
      <c r="C5694" s="85">
        <v>45402.0</v>
      </c>
      <c r="D5694" s="85">
        <v>45402.0</v>
      </c>
      <c r="E5694" s="86">
        <v>17.18</v>
      </c>
      <c r="F5694" s="87">
        <v>20.71</v>
      </c>
      <c r="G5694" s="88">
        <f t="shared" si="1"/>
        <v>3.53</v>
      </c>
      <c r="H5694" s="89">
        <f t="shared" si="15"/>
        <v>0.1704490584</v>
      </c>
      <c r="I5694" s="78" t="s">
        <v>6558</v>
      </c>
      <c r="J5694" s="78" t="s">
        <v>69</v>
      </c>
      <c r="K5694" s="58">
        <f t="shared" si="16"/>
        <v>0</v>
      </c>
      <c r="L5694" s="91" t="str">
        <f t="shared" si="8"/>
        <v>Sat</v>
      </c>
      <c r="M5694" s="78" t="str">
        <f>IFERROR(VLOOKUP(A5694, Entries!A:B,2,false),"")</f>
        <v>Owlcat Games</v>
      </c>
      <c r="N5694" s="23" t="str">
        <f>IFERROR(VLOOKUP(A5694, Entries!A:K,11,false),"")</f>
        <v/>
      </c>
    </row>
    <row r="5695">
      <c r="A5695" s="78" t="s">
        <v>6123</v>
      </c>
      <c r="B5695" s="78" t="s">
        <v>22</v>
      </c>
      <c r="C5695" s="85">
        <v>45402.0</v>
      </c>
      <c r="D5695" s="85">
        <v>45402.0</v>
      </c>
      <c r="E5695" s="86">
        <v>17.17</v>
      </c>
      <c r="F5695" s="87">
        <v>20.71</v>
      </c>
      <c r="G5695" s="88">
        <f t="shared" si="1"/>
        <v>3.54</v>
      </c>
      <c r="H5695" s="89">
        <f t="shared" si="15"/>
        <v>0.1709319169</v>
      </c>
      <c r="I5695" s="78" t="s">
        <v>6559</v>
      </c>
      <c r="J5695" s="78" t="s">
        <v>69</v>
      </c>
      <c r="K5695" s="58">
        <f t="shared" si="16"/>
        <v>0</v>
      </c>
      <c r="L5695" s="91" t="str">
        <f t="shared" si="8"/>
        <v>Sat</v>
      </c>
      <c r="M5695" s="78" t="str">
        <f>IFERROR(VLOOKUP(A5695, Entries!A:B,2,false),"")</f>
        <v>Owlcat Games</v>
      </c>
      <c r="N5695" s="23" t="str">
        <f>IFERROR(VLOOKUP(A5695, Entries!A:K,11,false),"")</f>
        <v/>
      </c>
    </row>
    <row r="5696">
      <c r="A5696" s="78" t="s">
        <v>6123</v>
      </c>
      <c r="B5696" s="78" t="s">
        <v>22</v>
      </c>
      <c r="C5696" s="85">
        <v>45402.0</v>
      </c>
      <c r="D5696" s="85">
        <v>45402.0</v>
      </c>
      <c r="E5696" s="86">
        <v>17.17</v>
      </c>
      <c r="F5696" s="87">
        <v>20.75</v>
      </c>
      <c r="G5696" s="88">
        <f t="shared" si="1"/>
        <v>3.58</v>
      </c>
      <c r="H5696" s="89">
        <f t="shared" si="15"/>
        <v>0.1725301205</v>
      </c>
      <c r="I5696" s="78" t="s">
        <v>6560</v>
      </c>
      <c r="J5696" s="78" t="s">
        <v>69</v>
      </c>
      <c r="K5696" s="58">
        <f t="shared" si="16"/>
        <v>0</v>
      </c>
      <c r="L5696" s="91" t="str">
        <f t="shared" si="8"/>
        <v>Sat</v>
      </c>
      <c r="M5696" s="78" t="str">
        <f>IFERROR(VLOOKUP(A5696, Entries!A:B,2,false),"")</f>
        <v>Owlcat Games</v>
      </c>
      <c r="N5696" s="23" t="str">
        <f>IFERROR(VLOOKUP(A5696, Entries!A:K,11,false),"")</f>
        <v/>
      </c>
    </row>
    <row r="5697">
      <c r="A5697" s="78" t="s">
        <v>6123</v>
      </c>
      <c r="B5697" s="78" t="s">
        <v>22</v>
      </c>
      <c r="C5697" s="85">
        <v>45402.0</v>
      </c>
      <c r="D5697" s="85">
        <v>45402.0</v>
      </c>
      <c r="E5697" s="86">
        <v>17.17</v>
      </c>
      <c r="F5697" s="87">
        <v>20.75</v>
      </c>
      <c r="G5697" s="88">
        <f t="shared" si="1"/>
        <v>3.58</v>
      </c>
      <c r="H5697" s="89">
        <f t="shared" si="15"/>
        <v>0.1725301205</v>
      </c>
      <c r="I5697" s="78" t="s">
        <v>6561</v>
      </c>
      <c r="J5697" s="78" t="s">
        <v>69</v>
      </c>
      <c r="K5697" s="58">
        <f t="shared" si="16"/>
        <v>0</v>
      </c>
      <c r="L5697" s="91" t="str">
        <f t="shared" si="8"/>
        <v>Sat</v>
      </c>
      <c r="M5697" s="78" t="str">
        <f>IFERROR(VLOOKUP(A5697, Entries!A:B,2,false),"")</f>
        <v>Owlcat Games</v>
      </c>
      <c r="N5697" s="23" t="str">
        <f>IFERROR(VLOOKUP(A5697, Entries!A:K,11,false),"")</f>
        <v/>
      </c>
    </row>
    <row r="5698">
      <c r="A5698" s="78" t="s">
        <v>6533</v>
      </c>
      <c r="B5698" s="78" t="s">
        <v>22</v>
      </c>
      <c r="C5698" s="85">
        <v>45402.0</v>
      </c>
      <c r="D5698" s="85">
        <v>45402.0</v>
      </c>
      <c r="E5698" s="86">
        <v>19.07</v>
      </c>
      <c r="F5698" s="87">
        <v>24.42</v>
      </c>
      <c r="G5698" s="88">
        <f t="shared" si="1"/>
        <v>5.35</v>
      </c>
      <c r="H5698" s="89">
        <f t="shared" si="15"/>
        <v>0.2190827191</v>
      </c>
      <c r="I5698" s="78" t="s">
        <v>6562</v>
      </c>
      <c r="J5698" s="78" t="s">
        <v>69</v>
      </c>
      <c r="K5698" s="58">
        <f t="shared" si="16"/>
        <v>0</v>
      </c>
      <c r="L5698" s="91" t="str">
        <f t="shared" si="8"/>
        <v>Sat</v>
      </c>
      <c r="M5698" s="78" t="str">
        <f>IFERROR(VLOOKUP(A5698, Entries!A:B,2,false),"")</f>
        <v>VOID Interactive</v>
      </c>
      <c r="N5698" s="23" t="str">
        <f>IFERROR(VLOOKUP(A5698, Entries!A:K,11,false),"")</f>
        <v/>
      </c>
    </row>
    <row r="5699">
      <c r="A5699" s="78" t="s">
        <v>6533</v>
      </c>
      <c r="B5699" s="78" t="s">
        <v>22</v>
      </c>
      <c r="C5699" s="85">
        <v>45402.0</v>
      </c>
      <c r="D5699" s="85">
        <v>45402.0</v>
      </c>
      <c r="E5699" s="86">
        <v>19.07</v>
      </c>
      <c r="F5699" s="87">
        <v>24.42</v>
      </c>
      <c r="G5699" s="88">
        <f t="shared" si="1"/>
        <v>5.35</v>
      </c>
      <c r="H5699" s="89">
        <f t="shared" si="15"/>
        <v>0.2190827191</v>
      </c>
      <c r="I5699" s="78" t="s">
        <v>6563</v>
      </c>
      <c r="J5699" s="78" t="s">
        <v>69</v>
      </c>
      <c r="K5699" s="58">
        <f t="shared" si="16"/>
        <v>0</v>
      </c>
      <c r="L5699" s="91" t="str">
        <f t="shared" si="8"/>
        <v>Sat</v>
      </c>
      <c r="M5699" s="78" t="str">
        <f>IFERROR(VLOOKUP(A5699, Entries!A:B,2,false),"")</f>
        <v>VOID Interactive</v>
      </c>
      <c r="N5699" s="23" t="str">
        <f>IFERROR(VLOOKUP(A5699, Entries!A:K,11,false),"")</f>
        <v/>
      </c>
    </row>
    <row r="5700">
      <c r="A5700" s="78" t="s">
        <v>6533</v>
      </c>
      <c r="B5700" s="78" t="s">
        <v>22</v>
      </c>
      <c r="C5700" s="85">
        <v>45402.0</v>
      </c>
      <c r="D5700" s="85">
        <v>45402.0</v>
      </c>
      <c r="E5700" s="86">
        <v>19.06</v>
      </c>
      <c r="F5700" s="87">
        <v>24.42</v>
      </c>
      <c r="G5700" s="88">
        <f t="shared" si="1"/>
        <v>5.36</v>
      </c>
      <c r="H5700" s="89">
        <f t="shared" si="15"/>
        <v>0.2194922195</v>
      </c>
      <c r="I5700" s="78" t="s">
        <v>6564</v>
      </c>
      <c r="J5700" s="78" t="s">
        <v>69</v>
      </c>
      <c r="K5700" s="58">
        <f t="shared" si="16"/>
        <v>0</v>
      </c>
      <c r="L5700" s="91" t="str">
        <f t="shared" si="8"/>
        <v>Sat</v>
      </c>
      <c r="M5700" s="78" t="str">
        <f>IFERROR(VLOOKUP(A5700, Entries!A:B,2,false),"")</f>
        <v>VOID Interactive</v>
      </c>
      <c r="N5700" s="23" t="str">
        <f>IFERROR(VLOOKUP(A5700, Entries!A:K,11,false),"")</f>
        <v/>
      </c>
    </row>
    <row r="5701">
      <c r="A5701" s="78" t="s">
        <v>6274</v>
      </c>
      <c r="B5701" s="78" t="s">
        <v>27</v>
      </c>
      <c r="C5701" s="85">
        <v>45402.0</v>
      </c>
      <c r="D5701" s="85">
        <v>45402.0</v>
      </c>
      <c r="E5701" s="86">
        <v>7.42</v>
      </c>
      <c r="F5701" s="87">
        <v>8.13</v>
      </c>
      <c r="G5701" s="88">
        <f t="shared" si="1"/>
        <v>0.71</v>
      </c>
      <c r="H5701" s="89">
        <f t="shared" si="15"/>
        <v>0.08733087331</v>
      </c>
      <c r="I5701" s="78" t="s">
        <v>6565</v>
      </c>
      <c r="J5701" s="78" t="s">
        <v>69</v>
      </c>
      <c r="K5701" s="58">
        <f t="shared" si="16"/>
        <v>0</v>
      </c>
      <c r="L5701" s="91" t="str">
        <f t="shared" si="8"/>
        <v>Sat</v>
      </c>
      <c r="M5701" s="78" t="str">
        <f>IFERROR(VLOOKUP(A5701, Entries!A:B,2,false),"")</f>
        <v>Bethesda Softworks</v>
      </c>
      <c r="N5701" s="23" t="str">
        <f>IFERROR(VLOOKUP(A5701, Entries!A:K,11,false),"")</f>
        <v/>
      </c>
    </row>
    <row r="5702">
      <c r="A5702" s="78" t="s">
        <v>6274</v>
      </c>
      <c r="B5702" s="78" t="s">
        <v>27</v>
      </c>
      <c r="C5702" s="85">
        <v>45402.0</v>
      </c>
      <c r="D5702" s="85">
        <v>45402.0</v>
      </c>
      <c r="E5702" s="86">
        <v>7.42</v>
      </c>
      <c r="F5702" s="87">
        <v>8.13</v>
      </c>
      <c r="G5702" s="88">
        <f t="shared" si="1"/>
        <v>0.71</v>
      </c>
      <c r="H5702" s="89">
        <f t="shared" si="15"/>
        <v>0.08733087331</v>
      </c>
      <c r="I5702" s="78" t="s">
        <v>6566</v>
      </c>
      <c r="J5702" s="78" t="s">
        <v>69</v>
      </c>
      <c r="K5702" s="58">
        <f t="shared" si="16"/>
        <v>0</v>
      </c>
      <c r="L5702" s="91" t="str">
        <f t="shared" si="8"/>
        <v>Sat</v>
      </c>
      <c r="M5702" s="78" t="str">
        <f>IFERROR(VLOOKUP(A5702, Entries!A:B,2,false),"")</f>
        <v>Bethesda Softworks</v>
      </c>
      <c r="N5702" s="23" t="str">
        <f>IFERROR(VLOOKUP(A5702, Entries!A:K,11,false),"")</f>
        <v/>
      </c>
    </row>
    <row r="5703">
      <c r="A5703" s="78" t="s">
        <v>6123</v>
      </c>
      <c r="B5703" s="78" t="s">
        <v>22</v>
      </c>
      <c r="C5703" s="85">
        <v>45402.0</v>
      </c>
      <c r="D5703" s="85">
        <v>45402.0</v>
      </c>
      <c r="E5703" s="86">
        <v>17.18</v>
      </c>
      <c r="F5703" s="87">
        <v>20.75</v>
      </c>
      <c r="G5703" s="88">
        <f t="shared" si="1"/>
        <v>3.57</v>
      </c>
      <c r="H5703" s="89">
        <f t="shared" si="15"/>
        <v>0.1720481928</v>
      </c>
      <c r="I5703" s="78" t="s">
        <v>6567</v>
      </c>
      <c r="J5703" s="78" t="s">
        <v>69</v>
      </c>
      <c r="K5703" s="58">
        <f t="shared" si="16"/>
        <v>0</v>
      </c>
      <c r="L5703" s="91" t="str">
        <f t="shared" si="8"/>
        <v>Sat</v>
      </c>
      <c r="M5703" s="78" t="str">
        <f>IFERROR(VLOOKUP(A5703, Entries!A:B,2,false),"")</f>
        <v>Owlcat Games</v>
      </c>
      <c r="N5703" s="23" t="str">
        <f>IFERROR(VLOOKUP(A5703, Entries!A:K,11,false),"")</f>
        <v/>
      </c>
    </row>
    <row r="5704">
      <c r="A5704" s="78" t="s">
        <v>6123</v>
      </c>
      <c r="B5704" s="78" t="s">
        <v>22</v>
      </c>
      <c r="C5704" s="85">
        <v>45402.0</v>
      </c>
      <c r="D5704" s="85">
        <v>45402.0</v>
      </c>
      <c r="E5704" s="86">
        <v>17.17</v>
      </c>
      <c r="F5704" s="87">
        <v>20.67</v>
      </c>
      <c r="G5704" s="88">
        <f t="shared" si="1"/>
        <v>3.5</v>
      </c>
      <c r="H5704" s="89">
        <f t="shared" si="15"/>
        <v>0.1693275278</v>
      </c>
      <c r="I5704" s="78" t="s">
        <v>6568</v>
      </c>
      <c r="J5704" s="78" t="s">
        <v>69</v>
      </c>
      <c r="K5704" s="58">
        <f t="shared" si="16"/>
        <v>0</v>
      </c>
      <c r="L5704" s="91" t="str">
        <f t="shared" si="8"/>
        <v>Sat</v>
      </c>
      <c r="M5704" s="78" t="str">
        <f>IFERROR(VLOOKUP(A5704, Entries!A:B,2,false),"")</f>
        <v>Owlcat Games</v>
      </c>
      <c r="N5704" s="23" t="str">
        <f>IFERROR(VLOOKUP(A5704, Entries!A:K,11,false),"")</f>
        <v/>
      </c>
    </row>
    <row r="5705">
      <c r="A5705" s="78" t="s">
        <v>6123</v>
      </c>
      <c r="B5705" s="78" t="s">
        <v>22</v>
      </c>
      <c r="C5705" s="85">
        <v>45402.0</v>
      </c>
      <c r="D5705" s="85">
        <v>45402.0</v>
      </c>
      <c r="E5705" s="86">
        <v>17.17</v>
      </c>
      <c r="F5705" s="87">
        <v>20.67</v>
      </c>
      <c r="G5705" s="88">
        <f t="shared" si="1"/>
        <v>3.5</v>
      </c>
      <c r="H5705" s="89">
        <f t="shared" si="15"/>
        <v>0.1693275278</v>
      </c>
      <c r="I5705" s="78" t="s">
        <v>6569</v>
      </c>
      <c r="J5705" s="78" t="s">
        <v>69</v>
      </c>
      <c r="K5705" s="58">
        <f t="shared" si="16"/>
        <v>0</v>
      </c>
      <c r="L5705" s="91" t="str">
        <f t="shared" si="8"/>
        <v>Sat</v>
      </c>
      <c r="M5705" s="78" t="str">
        <f>IFERROR(VLOOKUP(A5705, Entries!A:B,2,false),"")</f>
        <v>Owlcat Games</v>
      </c>
      <c r="N5705" s="23" t="str">
        <f>IFERROR(VLOOKUP(A5705, Entries!A:K,11,false),"")</f>
        <v/>
      </c>
    </row>
    <row r="5706">
      <c r="A5706" s="78" t="s">
        <v>6123</v>
      </c>
      <c r="B5706" s="78" t="s">
        <v>22</v>
      </c>
      <c r="C5706" s="85">
        <v>45402.0</v>
      </c>
      <c r="D5706" s="85">
        <v>45402.0</v>
      </c>
      <c r="E5706" s="86">
        <v>17.17</v>
      </c>
      <c r="F5706" s="87">
        <v>21.3</v>
      </c>
      <c r="G5706" s="88">
        <f t="shared" si="1"/>
        <v>4.13</v>
      </c>
      <c r="H5706" s="89">
        <f t="shared" si="15"/>
        <v>0.1938967136</v>
      </c>
      <c r="I5706" s="78" t="s">
        <v>6570</v>
      </c>
      <c r="J5706" s="78" t="s">
        <v>69</v>
      </c>
      <c r="K5706" s="58">
        <f t="shared" si="16"/>
        <v>0</v>
      </c>
      <c r="L5706" s="91" t="str">
        <f t="shared" si="8"/>
        <v>Sat</v>
      </c>
      <c r="M5706" s="78" t="str">
        <f>IFERROR(VLOOKUP(A5706, Entries!A:B,2,false),"")</f>
        <v>Owlcat Games</v>
      </c>
      <c r="N5706" s="23" t="str">
        <f>IFERROR(VLOOKUP(A5706, Entries!A:K,11,false),"")</f>
        <v/>
      </c>
    </row>
    <row r="5707">
      <c r="A5707" s="78" t="s">
        <v>6533</v>
      </c>
      <c r="B5707" s="78" t="s">
        <v>22</v>
      </c>
      <c r="C5707" s="85">
        <v>45402.0</v>
      </c>
      <c r="D5707" s="85">
        <v>45402.0</v>
      </c>
      <c r="E5707" s="86">
        <v>19.07</v>
      </c>
      <c r="F5707" s="87">
        <v>24.42</v>
      </c>
      <c r="G5707" s="88">
        <f t="shared" si="1"/>
        <v>5.35</v>
      </c>
      <c r="H5707" s="89">
        <f t="shared" si="15"/>
        <v>0.2190827191</v>
      </c>
      <c r="I5707" s="78" t="s">
        <v>6571</v>
      </c>
      <c r="J5707" s="78" t="s">
        <v>69</v>
      </c>
      <c r="K5707" s="58">
        <f t="shared" si="16"/>
        <v>0</v>
      </c>
      <c r="L5707" s="91" t="str">
        <f t="shared" si="8"/>
        <v>Sat</v>
      </c>
      <c r="M5707" s="78" t="str">
        <f>IFERROR(VLOOKUP(A5707, Entries!A:B,2,false),"")</f>
        <v>VOID Interactive</v>
      </c>
      <c r="N5707" s="23" t="str">
        <f>IFERROR(VLOOKUP(A5707, Entries!A:K,11,false),"")</f>
        <v/>
      </c>
    </row>
    <row r="5708">
      <c r="A5708" s="78" t="s">
        <v>6533</v>
      </c>
      <c r="B5708" s="78" t="s">
        <v>22</v>
      </c>
      <c r="C5708" s="85">
        <v>45402.0</v>
      </c>
      <c r="D5708" s="85">
        <v>45403.0</v>
      </c>
      <c r="E5708" s="86">
        <v>19.07</v>
      </c>
      <c r="F5708" s="87">
        <v>24.42</v>
      </c>
      <c r="G5708" s="88">
        <f t="shared" si="1"/>
        <v>5.35</v>
      </c>
      <c r="H5708" s="89">
        <f t="shared" si="15"/>
        <v>0.2190827191</v>
      </c>
      <c r="I5708" s="78" t="s">
        <v>6572</v>
      </c>
      <c r="J5708" s="78" t="s">
        <v>69</v>
      </c>
      <c r="K5708" s="58">
        <f t="shared" si="16"/>
        <v>1</v>
      </c>
      <c r="L5708" s="91" t="str">
        <f t="shared" si="8"/>
        <v>Sun</v>
      </c>
      <c r="M5708" s="78" t="str">
        <f>IFERROR(VLOOKUP(A5708, Entries!A:B,2,false),"")</f>
        <v>VOID Interactive</v>
      </c>
      <c r="N5708" s="23" t="str">
        <f>IFERROR(VLOOKUP(A5708, Entries!A:K,11,false),"")</f>
        <v/>
      </c>
    </row>
    <row r="5709">
      <c r="A5709" s="78" t="s">
        <v>6533</v>
      </c>
      <c r="B5709" s="78" t="s">
        <v>22</v>
      </c>
      <c r="C5709" s="85">
        <v>45402.0</v>
      </c>
      <c r="D5709" s="85">
        <v>45403.0</v>
      </c>
      <c r="E5709" s="86">
        <v>19.06</v>
      </c>
      <c r="F5709" s="87">
        <v>24.42</v>
      </c>
      <c r="G5709" s="88">
        <f t="shared" si="1"/>
        <v>5.36</v>
      </c>
      <c r="H5709" s="89">
        <f t="shared" si="15"/>
        <v>0.2194922195</v>
      </c>
      <c r="I5709" s="78" t="s">
        <v>6573</v>
      </c>
      <c r="J5709" s="78" t="s">
        <v>69</v>
      </c>
      <c r="K5709" s="58">
        <f t="shared" si="16"/>
        <v>1</v>
      </c>
      <c r="L5709" s="91" t="str">
        <f t="shared" si="8"/>
        <v>Sun</v>
      </c>
      <c r="M5709" s="78" t="str">
        <f>IFERROR(VLOOKUP(A5709, Entries!A:B,2,false),"")</f>
        <v>VOID Interactive</v>
      </c>
      <c r="N5709" s="23" t="str">
        <f>IFERROR(VLOOKUP(A5709, Entries!A:K,11,false),"")</f>
        <v/>
      </c>
    </row>
    <row r="5710">
      <c r="A5710" s="78" t="s">
        <v>1406</v>
      </c>
      <c r="B5710" s="78" t="s">
        <v>23</v>
      </c>
      <c r="C5710" s="85">
        <v>45402.0</v>
      </c>
      <c r="D5710" s="85">
        <v>45402.0</v>
      </c>
      <c r="E5710" s="86">
        <v>16.2</v>
      </c>
      <c r="F5710" s="87">
        <v>21.48</v>
      </c>
      <c r="G5710" s="88">
        <f t="shared" si="1"/>
        <v>5.28</v>
      </c>
      <c r="H5710" s="89">
        <f t="shared" si="15"/>
        <v>0.2458100559</v>
      </c>
      <c r="I5710" s="78" t="s">
        <v>6574</v>
      </c>
      <c r="J5710" s="78" t="s">
        <v>69</v>
      </c>
      <c r="K5710" s="58">
        <f t="shared" si="16"/>
        <v>0</v>
      </c>
      <c r="L5710" s="91" t="str">
        <f t="shared" si="8"/>
        <v>Sat</v>
      </c>
      <c r="M5710" s="78" t="str">
        <f>IFERROR(VLOOKUP(A5710, Entries!A:B,2,false),"")</f>
        <v>Eugen Systems</v>
      </c>
      <c r="N5710" s="23" t="str">
        <f>IFERROR(VLOOKUP(A5710, Entries!A:K,11,false),"")</f>
        <v/>
      </c>
    </row>
    <row r="5711">
      <c r="A5711" s="78" t="s">
        <v>6123</v>
      </c>
      <c r="B5711" s="78" t="s">
        <v>22</v>
      </c>
      <c r="C5711" s="85">
        <v>45402.0</v>
      </c>
      <c r="D5711" s="85">
        <v>45402.0</v>
      </c>
      <c r="E5711" s="86">
        <v>17.18</v>
      </c>
      <c r="F5711" s="87">
        <v>20.6</v>
      </c>
      <c r="G5711" s="88">
        <f t="shared" si="1"/>
        <v>3.42</v>
      </c>
      <c r="H5711" s="89">
        <f t="shared" si="15"/>
        <v>0.1660194175</v>
      </c>
      <c r="I5711" s="78" t="s">
        <v>6575</v>
      </c>
      <c r="J5711" s="78" t="s">
        <v>69</v>
      </c>
      <c r="K5711" s="58">
        <f t="shared" si="16"/>
        <v>0</v>
      </c>
      <c r="L5711" s="91" t="str">
        <f t="shared" si="8"/>
        <v>Sat</v>
      </c>
      <c r="M5711" s="78" t="str">
        <f>IFERROR(VLOOKUP(A5711, Entries!A:B,2,false),"")</f>
        <v>Owlcat Games</v>
      </c>
      <c r="N5711" s="23" t="str">
        <f>IFERROR(VLOOKUP(A5711, Entries!A:K,11,false),"")</f>
        <v/>
      </c>
    </row>
    <row r="5712">
      <c r="A5712" s="78" t="s">
        <v>6123</v>
      </c>
      <c r="B5712" s="78" t="s">
        <v>22</v>
      </c>
      <c r="C5712" s="85">
        <v>45402.0</v>
      </c>
      <c r="D5712" s="85">
        <v>45402.0</v>
      </c>
      <c r="E5712" s="86">
        <v>17.17</v>
      </c>
      <c r="F5712" s="87">
        <v>20.6</v>
      </c>
      <c r="G5712" s="88">
        <f t="shared" si="1"/>
        <v>3.43</v>
      </c>
      <c r="H5712" s="89">
        <f t="shared" si="15"/>
        <v>0.1665048544</v>
      </c>
      <c r="I5712" s="78" t="s">
        <v>6576</v>
      </c>
      <c r="J5712" s="78" t="s">
        <v>69</v>
      </c>
      <c r="K5712" s="58">
        <f t="shared" si="16"/>
        <v>0</v>
      </c>
      <c r="L5712" s="91" t="str">
        <f t="shared" si="8"/>
        <v>Sat</v>
      </c>
      <c r="M5712" s="78" t="str">
        <f>IFERROR(VLOOKUP(A5712, Entries!A:B,2,false),"")</f>
        <v>Owlcat Games</v>
      </c>
      <c r="N5712" s="23" t="str">
        <f>IFERROR(VLOOKUP(A5712, Entries!A:K,11,false),"")</f>
        <v/>
      </c>
    </row>
    <row r="5713">
      <c r="A5713" s="78" t="s">
        <v>6123</v>
      </c>
      <c r="B5713" s="78" t="s">
        <v>22</v>
      </c>
      <c r="C5713" s="85">
        <v>45402.0</v>
      </c>
      <c r="D5713" s="85">
        <v>45402.0</v>
      </c>
      <c r="E5713" s="86">
        <v>17.17</v>
      </c>
      <c r="F5713" s="87">
        <v>20.71</v>
      </c>
      <c r="G5713" s="88">
        <f t="shared" si="1"/>
        <v>3.54</v>
      </c>
      <c r="H5713" s="89">
        <f t="shared" si="15"/>
        <v>0.1709319169</v>
      </c>
      <c r="I5713" s="78" t="s">
        <v>6577</v>
      </c>
      <c r="J5713" s="78" t="s">
        <v>69</v>
      </c>
      <c r="K5713" s="58">
        <f t="shared" si="16"/>
        <v>0</v>
      </c>
      <c r="L5713" s="91" t="str">
        <f t="shared" si="8"/>
        <v>Sat</v>
      </c>
      <c r="M5713" s="78" t="str">
        <f>IFERROR(VLOOKUP(A5713, Entries!A:B,2,false),"")</f>
        <v>Owlcat Games</v>
      </c>
      <c r="N5713" s="23" t="str">
        <f>IFERROR(VLOOKUP(A5713, Entries!A:K,11,false),"")</f>
        <v/>
      </c>
    </row>
    <row r="5714">
      <c r="A5714" s="78" t="s">
        <v>6123</v>
      </c>
      <c r="B5714" s="78" t="s">
        <v>22</v>
      </c>
      <c r="C5714" s="85">
        <v>45402.0</v>
      </c>
      <c r="D5714" s="85">
        <v>45402.0</v>
      </c>
      <c r="E5714" s="86">
        <v>17.17</v>
      </c>
      <c r="F5714" s="87">
        <v>20.71</v>
      </c>
      <c r="G5714" s="88">
        <f t="shared" si="1"/>
        <v>3.54</v>
      </c>
      <c r="H5714" s="89">
        <f t="shared" si="15"/>
        <v>0.1709319169</v>
      </c>
      <c r="I5714" s="78" t="s">
        <v>6578</v>
      </c>
      <c r="J5714" s="78" t="s">
        <v>69</v>
      </c>
      <c r="K5714" s="58">
        <f t="shared" si="16"/>
        <v>0</v>
      </c>
      <c r="L5714" s="91" t="str">
        <f t="shared" si="8"/>
        <v>Sat</v>
      </c>
      <c r="M5714" s="78" t="str">
        <f>IFERROR(VLOOKUP(A5714, Entries!A:B,2,false),"")</f>
        <v>Owlcat Games</v>
      </c>
      <c r="N5714" s="23" t="str">
        <f>IFERROR(VLOOKUP(A5714, Entries!A:K,11,false),"")</f>
        <v/>
      </c>
    </row>
    <row r="5715">
      <c r="A5715" s="78" t="s">
        <v>6123</v>
      </c>
      <c r="B5715" s="78" t="s">
        <v>22</v>
      </c>
      <c r="C5715" s="85">
        <v>45402.0</v>
      </c>
      <c r="D5715" s="85">
        <v>45402.0</v>
      </c>
      <c r="E5715" s="86">
        <v>17.17</v>
      </c>
      <c r="F5715" s="87">
        <v>20.74</v>
      </c>
      <c r="G5715" s="88">
        <f t="shared" si="1"/>
        <v>3.57</v>
      </c>
      <c r="H5715" s="89">
        <f t="shared" si="15"/>
        <v>0.1721311475</v>
      </c>
      <c r="I5715" s="78" t="s">
        <v>6579</v>
      </c>
      <c r="J5715" s="78" t="s">
        <v>69</v>
      </c>
      <c r="K5715" s="58">
        <f t="shared" si="16"/>
        <v>0</v>
      </c>
      <c r="L5715" s="91" t="str">
        <f t="shared" si="8"/>
        <v>Sat</v>
      </c>
      <c r="M5715" s="78" t="str">
        <f>IFERROR(VLOOKUP(A5715, Entries!A:B,2,false),"")</f>
        <v>Owlcat Games</v>
      </c>
      <c r="N5715" s="23" t="str">
        <f>IFERROR(VLOOKUP(A5715, Entries!A:K,11,false),"")</f>
        <v/>
      </c>
    </row>
    <row r="5716">
      <c r="A5716" s="78" t="s">
        <v>6123</v>
      </c>
      <c r="B5716" s="78" t="s">
        <v>22</v>
      </c>
      <c r="C5716" s="85">
        <v>45402.0</v>
      </c>
      <c r="D5716" s="85">
        <v>45402.0</v>
      </c>
      <c r="E5716" s="86">
        <v>17.17</v>
      </c>
      <c r="F5716" s="87">
        <v>20.75</v>
      </c>
      <c r="G5716" s="88">
        <f t="shared" si="1"/>
        <v>3.58</v>
      </c>
      <c r="H5716" s="89">
        <f t="shared" si="15"/>
        <v>0.1725301205</v>
      </c>
      <c r="I5716" s="78" t="s">
        <v>6580</v>
      </c>
      <c r="J5716" s="78" t="s">
        <v>69</v>
      </c>
      <c r="K5716" s="58">
        <f t="shared" si="16"/>
        <v>0</v>
      </c>
      <c r="L5716" s="91" t="str">
        <f t="shared" si="8"/>
        <v>Sat</v>
      </c>
      <c r="M5716" s="78" t="str">
        <f>IFERROR(VLOOKUP(A5716, Entries!A:B,2,false),"")</f>
        <v>Owlcat Games</v>
      </c>
      <c r="N5716" s="23" t="str">
        <f>IFERROR(VLOOKUP(A5716, Entries!A:K,11,false),"")</f>
        <v/>
      </c>
    </row>
    <row r="5717">
      <c r="A5717" s="78" t="s">
        <v>6123</v>
      </c>
      <c r="B5717" s="78" t="s">
        <v>22</v>
      </c>
      <c r="C5717" s="85">
        <v>45402.0</v>
      </c>
      <c r="D5717" s="85">
        <v>45402.0</v>
      </c>
      <c r="E5717" s="86">
        <v>17.18</v>
      </c>
      <c r="F5717" s="87">
        <v>20.75</v>
      </c>
      <c r="G5717" s="88">
        <f t="shared" si="1"/>
        <v>3.57</v>
      </c>
      <c r="H5717" s="89">
        <f t="shared" si="15"/>
        <v>0.1720481928</v>
      </c>
      <c r="I5717" s="78" t="s">
        <v>6581</v>
      </c>
      <c r="J5717" s="78" t="s">
        <v>69</v>
      </c>
      <c r="K5717" s="58">
        <f t="shared" si="16"/>
        <v>0</v>
      </c>
      <c r="L5717" s="91" t="str">
        <f t="shared" si="8"/>
        <v>Sat</v>
      </c>
      <c r="M5717" s="78" t="str">
        <f>IFERROR(VLOOKUP(A5717, Entries!A:B,2,false),"")</f>
        <v>Owlcat Games</v>
      </c>
      <c r="N5717" s="23" t="str">
        <f>IFERROR(VLOOKUP(A5717, Entries!A:K,11,false),"")</f>
        <v/>
      </c>
    </row>
    <row r="5718">
      <c r="A5718" s="78" t="s">
        <v>1034</v>
      </c>
      <c r="B5718" s="78" t="s">
        <v>23</v>
      </c>
      <c r="C5718" s="85">
        <v>45402.0</v>
      </c>
      <c r="D5718" s="85">
        <v>45402.0</v>
      </c>
      <c r="E5718" s="86">
        <v>6.14</v>
      </c>
      <c r="F5718" s="87">
        <v>7.22</v>
      </c>
      <c r="G5718" s="88">
        <f t="shared" si="1"/>
        <v>1.08</v>
      </c>
      <c r="H5718" s="89">
        <f t="shared" si="15"/>
        <v>0.1495844875</v>
      </c>
      <c r="I5718" s="78" t="s">
        <v>6582</v>
      </c>
      <c r="J5718" s="78" t="s">
        <v>69</v>
      </c>
      <c r="K5718" s="58">
        <f t="shared" si="16"/>
        <v>0</v>
      </c>
      <c r="L5718" s="91" t="str">
        <f t="shared" si="8"/>
        <v>Sat</v>
      </c>
      <c r="M5718" s="78" t="str">
        <f>IFERROR(VLOOKUP(A5718, Entries!A:B,2,false),"")</f>
        <v>Eugen Systems</v>
      </c>
      <c r="N5718" s="23" t="str">
        <f>IFERROR(VLOOKUP(A5718, Entries!A:K,11,false),"")</f>
        <v/>
      </c>
    </row>
    <row r="5719">
      <c r="A5719" s="78" t="s">
        <v>1406</v>
      </c>
      <c r="B5719" s="78" t="s">
        <v>23</v>
      </c>
      <c r="C5719" s="85">
        <v>45402.0</v>
      </c>
      <c r="D5719" s="85">
        <v>45403.0</v>
      </c>
      <c r="E5719" s="86">
        <v>16.2</v>
      </c>
      <c r="F5719" s="87">
        <v>21.5</v>
      </c>
      <c r="G5719" s="88">
        <f t="shared" si="1"/>
        <v>5.3</v>
      </c>
      <c r="H5719" s="89">
        <f t="shared" si="15"/>
        <v>0.2465116279</v>
      </c>
      <c r="I5719" s="78" t="s">
        <v>6583</v>
      </c>
      <c r="J5719" s="78" t="s">
        <v>69</v>
      </c>
      <c r="K5719" s="58">
        <f t="shared" si="16"/>
        <v>1</v>
      </c>
      <c r="L5719" s="91" t="str">
        <f t="shared" si="8"/>
        <v>Sun</v>
      </c>
      <c r="M5719" s="78" t="str">
        <f>IFERROR(VLOOKUP(A5719, Entries!A:B,2,false),"")</f>
        <v>Eugen Systems</v>
      </c>
      <c r="N5719" s="23" t="str">
        <f>IFERROR(VLOOKUP(A5719, Entries!A:K,11,false),"")</f>
        <v/>
      </c>
    </row>
    <row r="5720">
      <c r="A5720" s="78" t="s">
        <v>4226</v>
      </c>
      <c r="B5720" s="78" t="s">
        <v>23</v>
      </c>
      <c r="C5720" s="85">
        <v>45402.0</v>
      </c>
      <c r="D5720" s="85">
        <v>45402.0</v>
      </c>
      <c r="E5720" s="86">
        <v>12.75</v>
      </c>
      <c r="F5720" s="87">
        <v>17.15</v>
      </c>
      <c r="G5720" s="88">
        <f t="shared" si="1"/>
        <v>4.4</v>
      </c>
      <c r="H5720" s="89">
        <f t="shared" si="15"/>
        <v>0.2565597668</v>
      </c>
      <c r="I5720" s="78" t="s">
        <v>6584</v>
      </c>
      <c r="J5720" s="78" t="s">
        <v>69</v>
      </c>
      <c r="K5720" s="58">
        <f t="shared" si="16"/>
        <v>0</v>
      </c>
      <c r="L5720" s="91" t="str">
        <f t="shared" si="8"/>
        <v>Sat</v>
      </c>
      <c r="M5720" s="78" t="str">
        <f>IFERROR(VLOOKUP(A5720, Entries!A:B,2,false),"")</f>
        <v>BANDAI NAMCO</v>
      </c>
      <c r="N5720" s="23" t="str">
        <f>IFERROR(VLOOKUP(A5720, Entries!A:K,11,false),"")</f>
        <v/>
      </c>
    </row>
    <row r="5721">
      <c r="A5721" s="94" t="s">
        <v>1922</v>
      </c>
      <c r="B5721" s="78" t="s">
        <v>19</v>
      </c>
      <c r="C5721" s="85">
        <v>45402.0</v>
      </c>
      <c r="D5721" s="85">
        <v>45403.0</v>
      </c>
      <c r="E5721" s="86">
        <v>12.3</v>
      </c>
      <c r="F5721" s="87">
        <v>21.36</v>
      </c>
      <c r="G5721" s="88">
        <f t="shared" si="1"/>
        <v>9.06</v>
      </c>
      <c r="H5721" s="89">
        <f t="shared" si="15"/>
        <v>0.4241573034</v>
      </c>
      <c r="I5721" s="78" t="s">
        <v>6585</v>
      </c>
      <c r="J5721" s="78" t="s">
        <v>69</v>
      </c>
      <c r="K5721" s="58">
        <f t="shared" si="16"/>
        <v>1</v>
      </c>
      <c r="L5721" s="91" t="str">
        <f t="shared" si="8"/>
        <v>Sun</v>
      </c>
      <c r="M5721" s="78" t="str">
        <f>IFERROR(VLOOKUP(A5721, Entries!A:B,2,false),"")</f>
        <v>Rebellion</v>
      </c>
      <c r="N5721" s="23" t="str">
        <f>IFERROR(VLOOKUP(A5721, Entries!A:K,11,false),"")</f>
        <v/>
      </c>
    </row>
    <row r="5722">
      <c r="A5722" s="78" t="s">
        <v>6586</v>
      </c>
      <c r="B5722" s="78" t="s">
        <v>19</v>
      </c>
      <c r="C5722" s="85">
        <v>45402.0</v>
      </c>
      <c r="D5722" s="85">
        <v>45403.0</v>
      </c>
      <c r="E5722" s="86">
        <v>0.0</v>
      </c>
      <c r="F5722" s="87">
        <v>0.31</v>
      </c>
      <c r="G5722" s="88">
        <f t="shared" si="1"/>
        <v>0.31</v>
      </c>
      <c r="H5722" s="89">
        <f t="shared" si="15"/>
        <v>1</v>
      </c>
      <c r="I5722" s="78" t="s">
        <v>6587</v>
      </c>
      <c r="J5722" s="78" t="s">
        <v>69</v>
      </c>
      <c r="K5722" s="58">
        <f t="shared" si="16"/>
        <v>1</v>
      </c>
      <c r="L5722" s="91" t="str">
        <f t="shared" si="8"/>
        <v>Sun</v>
      </c>
      <c r="M5722" s="78" t="str">
        <f>IFERROR(VLOOKUP(A5722, Entries!A:B,2,false),"")</f>
        <v/>
      </c>
      <c r="N5722" s="23" t="str">
        <f>IFERROR(VLOOKUP(A5722, Entries!A:K,11,false),"")</f>
        <v/>
      </c>
    </row>
    <row r="5723">
      <c r="A5723" s="78" t="s">
        <v>1034</v>
      </c>
      <c r="B5723" s="78" t="s">
        <v>23</v>
      </c>
      <c r="C5723" s="85">
        <v>45402.0</v>
      </c>
      <c r="D5723" s="85">
        <v>45402.0</v>
      </c>
      <c r="E5723" s="86">
        <v>6.14</v>
      </c>
      <c r="F5723" s="87">
        <v>7.21</v>
      </c>
      <c r="G5723" s="88">
        <f t="shared" si="1"/>
        <v>1.07</v>
      </c>
      <c r="H5723" s="89">
        <f t="shared" si="15"/>
        <v>0.1484049931</v>
      </c>
      <c r="I5723" s="78" t="s">
        <v>6588</v>
      </c>
      <c r="J5723" s="78" t="s">
        <v>69</v>
      </c>
      <c r="K5723" s="58">
        <f t="shared" si="16"/>
        <v>0</v>
      </c>
      <c r="L5723" s="91" t="str">
        <f t="shared" si="8"/>
        <v>Sat</v>
      </c>
      <c r="M5723" s="78" t="str">
        <f>IFERROR(VLOOKUP(A5723, Entries!A:B,2,false),"")</f>
        <v>Eugen Systems</v>
      </c>
      <c r="N5723" s="23" t="str">
        <f>IFERROR(VLOOKUP(A5723, Entries!A:K,11,false),"")</f>
        <v/>
      </c>
    </row>
    <row r="5724">
      <c r="A5724" s="78" t="s">
        <v>6123</v>
      </c>
      <c r="B5724" s="78" t="s">
        <v>22</v>
      </c>
      <c r="C5724" s="85">
        <v>45402.0</v>
      </c>
      <c r="D5724" s="85">
        <v>45402.0</v>
      </c>
      <c r="E5724" s="86">
        <v>17.17</v>
      </c>
      <c r="F5724" s="87">
        <v>20.75</v>
      </c>
      <c r="G5724" s="88">
        <f t="shared" si="1"/>
        <v>3.58</v>
      </c>
      <c r="H5724" s="89">
        <f t="shared" si="15"/>
        <v>0.1725301205</v>
      </c>
      <c r="I5724" s="78" t="s">
        <v>6589</v>
      </c>
      <c r="J5724" s="78" t="s">
        <v>69</v>
      </c>
      <c r="K5724" s="58">
        <f t="shared" si="16"/>
        <v>0</v>
      </c>
      <c r="L5724" s="91" t="str">
        <f t="shared" si="8"/>
        <v>Sat</v>
      </c>
      <c r="M5724" s="78" t="str">
        <f>IFERROR(VLOOKUP(A5724, Entries!A:B,2,false),"")</f>
        <v>Owlcat Games</v>
      </c>
      <c r="N5724" s="23" t="str">
        <f>IFERROR(VLOOKUP(A5724, Entries!A:K,11,false),"")</f>
        <v/>
      </c>
    </row>
    <row r="5725">
      <c r="A5725" s="78" t="s">
        <v>6123</v>
      </c>
      <c r="B5725" s="78" t="s">
        <v>22</v>
      </c>
      <c r="C5725" s="85">
        <v>45402.0</v>
      </c>
      <c r="D5725" s="85">
        <v>45402.0</v>
      </c>
      <c r="E5725" s="86">
        <v>17.18</v>
      </c>
      <c r="F5725" s="87">
        <v>20.74</v>
      </c>
      <c r="G5725" s="88">
        <f t="shared" si="1"/>
        <v>3.56</v>
      </c>
      <c r="H5725" s="89">
        <f t="shared" si="15"/>
        <v>0.1716489875</v>
      </c>
      <c r="I5725" s="78" t="s">
        <v>6590</v>
      </c>
      <c r="J5725" s="78" t="s">
        <v>69</v>
      </c>
      <c r="K5725" s="58">
        <f t="shared" si="16"/>
        <v>0</v>
      </c>
      <c r="L5725" s="91" t="str">
        <f t="shared" si="8"/>
        <v>Sat</v>
      </c>
      <c r="M5725" s="78" t="str">
        <f>IFERROR(VLOOKUP(A5725, Entries!A:B,2,false),"")</f>
        <v>Owlcat Games</v>
      </c>
      <c r="N5725" s="23" t="str">
        <f>IFERROR(VLOOKUP(A5725, Entries!A:K,11,false),"")</f>
        <v/>
      </c>
    </row>
    <row r="5726">
      <c r="A5726" s="78" t="s">
        <v>6123</v>
      </c>
      <c r="B5726" s="78" t="s">
        <v>22</v>
      </c>
      <c r="C5726" s="85">
        <v>45402.0</v>
      </c>
      <c r="D5726" s="85">
        <v>45402.0</v>
      </c>
      <c r="E5726" s="86">
        <v>17.17</v>
      </c>
      <c r="F5726" s="87">
        <v>21.6</v>
      </c>
      <c r="G5726" s="88">
        <f t="shared" si="1"/>
        <v>4.43</v>
      </c>
      <c r="H5726" s="89">
        <f t="shared" si="15"/>
        <v>0.2050925926</v>
      </c>
      <c r="I5726" s="78" t="s">
        <v>6591</v>
      </c>
      <c r="J5726" s="78" t="s">
        <v>69</v>
      </c>
      <c r="K5726" s="58">
        <f t="shared" si="16"/>
        <v>0</v>
      </c>
      <c r="L5726" s="91" t="str">
        <f t="shared" si="8"/>
        <v>Sat</v>
      </c>
      <c r="M5726" s="78" t="str">
        <f>IFERROR(VLOOKUP(A5726, Entries!A:B,2,false),"")</f>
        <v>Owlcat Games</v>
      </c>
      <c r="N5726" s="23" t="str">
        <f>IFERROR(VLOOKUP(A5726, Entries!A:K,11,false),"")</f>
        <v/>
      </c>
    </row>
    <row r="5727">
      <c r="A5727" s="78" t="s">
        <v>6123</v>
      </c>
      <c r="B5727" s="78" t="s">
        <v>22</v>
      </c>
      <c r="C5727" s="85">
        <v>45402.0</v>
      </c>
      <c r="D5727" s="85">
        <v>45403.0</v>
      </c>
      <c r="E5727" s="86">
        <v>17.17</v>
      </c>
      <c r="F5727" s="87">
        <v>21.92</v>
      </c>
      <c r="G5727" s="88">
        <f t="shared" si="1"/>
        <v>4.75</v>
      </c>
      <c r="H5727" s="89">
        <f t="shared" si="15"/>
        <v>0.2166970803</v>
      </c>
      <c r="I5727" s="78" t="s">
        <v>6592</v>
      </c>
      <c r="J5727" s="78" t="s">
        <v>69</v>
      </c>
      <c r="K5727" s="58">
        <f t="shared" si="16"/>
        <v>1</v>
      </c>
      <c r="L5727" s="91" t="str">
        <f t="shared" si="8"/>
        <v>Sun</v>
      </c>
      <c r="M5727" s="78" t="str">
        <f>IFERROR(VLOOKUP(A5727, Entries!A:B,2,false),"")</f>
        <v>Owlcat Games</v>
      </c>
      <c r="N5727" s="23" t="str">
        <f>IFERROR(VLOOKUP(A5727, Entries!A:K,11,false),"")</f>
        <v/>
      </c>
    </row>
    <row r="5728">
      <c r="A5728" s="78" t="s">
        <v>1389</v>
      </c>
      <c r="B5728" s="78" t="s">
        <v>23</v>
      </c>
      <c r="C5728" s="85">
        <v>45402.0</v>
      </c>
      <c r="D5728" s="85">
        <v>45402.0</v>
      </c>
      <c r="E5728" s="86">
        <v>8.15</v>
      </c>
      <c r="F5728" s="87">
        <v>9.19</v>
      </c>
      <c r="G5728" s="88">
        <f t="shared" si="1"/>
        <v>1.04</v>
      </c>
      <c r="H5728" s="89">
        <f t="shared" si="15"/>
        <v>0.1131664853</v>
      </c>
      <c r="I5728" s="78" t="s">
        <v>6593</v>
      </c>
      <c r="J5728" s="78" t="s">
        <v>69</v>
      </c>
      <c r="K5728" s="58">
        <f t="shared" si="16"/>
        <v>0</v>
      </c>
      <c r="L5728" s="91" t="str">
        <f t="shared" si="8"/>
        <v>Sat</v>
      </c>
      <c r="M5728" s="78" t="str">
        <f>IFERROR(VLOOKUP(A5728, Entries!A:B,2,false),"")</f>
        <v>Eugen Systems</v>
      </c>
      <c r="N5728" s="23" t="str">
        <f>IFERROR(VLOOKUP(A5728, Entries!A:K,11,false),"")</f>
        <v/>
      </c>
    </row>
    <row r="5729">
      <c r="A5729" s="78" t="s">
        <v>4226</v>
      </c>
      <c r="B5729" s="78" t="s">
        <v>23</v>
      </c>
      <c r="C5729" s="85">
        <v>45402.0</v>
      </c>
      <c r="D5729" s="85">
        <v>45402.0</v>
      </c>
      <c r="E5729" s="86">
        <v>12.75</v>
      </c>
      <c r="F5729" s="87">
        <v>17.12</v>
      </c>
      <c r="G5729" s="88">
        <f t="shared" si="1"/>
        <v>4.37</v>
      </c>
      <c r="H5729" s="89">
        <f t="shared" si="15"/>
        <v>0.2552570093</v>
      </c>
      <c r="I5729" s="78" t="s">
        <v>6594</v>
      </c>
      <c r="J5729" s="78" t="s">
        <v>69</v>
      </c>
      <c r="K5729" s="58">
        <f t="shared" si="16"/>
        <v>0</v>
      </c>
      <c r="L5729" s="91" t="str">
        <f t="shared" si="8"/>
        <v>Sat</v>
      </c>
      <c r="M5729" s="78" t="str">
        <f>IFERROR(VLOOKUP(A5729, Entries!A:B,2,false),"")</f>
        <v>BANDAI NAMCO</v>
      </c>
      <c r="N5729" s="23" t="str">
        <f>IFERROR(VLOOKUP(A5729, Entries!A:K,11,false),"")</f>
        <v/>
      </c>
    </row>
    <row r="5730">
      <c r="A5730" s="78" t="s">
        <v>6123</v>
      </c>
      <c r="B5730" s="78" t="s">
        <v>22</v>
      </c>
      <c r="C5730" s="85">
        <v>45402.0</v>
      </c>
      <c r="D5730" s="85">
        <v>45403.0</v>
      </c>
      <c r="E5730" s="86">
        <v>17.18</v>
      </c>
      <c r="F5730" s="87">
        <v>21.46</v>
      </c>
      <c r="G5730" s="88">
        <f t="shared" si="1"/>
        <v>4.28</v>
      </c>
      <c r="H5730" s="89">
        <f t="shared" si="15"/>
        <v>0.1994408201</v>
      </c>
      <c r="I5730" s="78" t="s">
        <v>6595</v>
      </c>
      <c r="J5730" s="78" t="s">
        <v>69</v>
      </c>
      <c r="K5730" s="58">
        <f t="shared" si="16"/>
        <v>1</v>
      </c>
      <c r="L5730" s="91" t="str">
        <f t="shared" si="8"/>
        <v>Sun</v>
      </c>
      <c r="M5730" s="78" t="str">
        <f>IFERROR(VLOOKUP(A5730, Entries!A:B,2,false),"")</f>
        <v>Owlcat Games</v>
      </c>
      <c r="N5730" s="23" t="str">
        <f>IFERROR(VLOOKUP(A5730, Entries!A:K,11,false),"")</f>
        <v/>
      </c>
    </row>
    <row r="5731">
      <c r="A5731" s="78" t="s">
        <v>6123</v>
      </c>
      <c r="B5731" s="78" t="s">
        <v>22</v>
      </c>
      <c r="C5731" s="85">
        <v>45402.0</v>
      </c>
      <c r="D5731" s="85">
        <v>45403.0</v>
      </c>
      <c r="E5731" s="86">
        <v>17.17</v>
      </c>
      <c r="F5731" s="87">
        <v>21.46</v>
      </c>
      <c r="G5731" s="88">
        <f t="shared" si="1"/>
        <v>4.29</v>
      </c>
      <c r="H5731" s="89">
        <f t="shared" si="15"/>
        <v>0.1999068034</v>
      </c>
      <c r="I5731" s="78" t="s">
        <v>6596</v>
      </c>
      <c r="J5731" s="78" t="s">
        <v>69</v>
      </c>
      <c r="K5731" s="58">
        <f t="shared" si="16"/>
        <v>1</v>
      </c>
      <c r="L5731" s="91" t="str">
        <f t="shared" si="8"/>
        <v>Sun</v>
      </c>
      <c r="M5731" s="78" t="str">
        <f>IFERROR(VLOOKUP(A5731, Entries!A:B,2,false),"")</f>
        <v>Owlcat Games</v>
      </c>
      <c r="N5731" s="23" t="str">
        <f>IFERROR(VLOOKUP(A5731, Entries!A:K,11,false),"")</f>
        <v/>
      </c>
    </row>
    <row r="5732">
      <c r="A5732" s="78" t="s">
        <v>6123</v>
      </c>
      <c r="B5732" s="78" t="s">
        <v>22</v>
      </c>
      <c r="C5732" s="85">
        <v>45402.0</v>
      </c>
      <c r="D5732" s="85">
        <v>45404.0</v>
      </c>
      <c r="E5732" s="86">
        <v>17.17</v>
      </c>
      <c r="F5732" s="87">
        <v>20.49</v>
      </c>
      <c r="G5732" s="88">
        <f t="shared" si="1"/>
        <v>3.32</v>
      </c>
      <c r="H5732" s="89">
        <f t="shared" si="15"/>
        <v>0.1620302587</v>
      </c>
      <c r="I5732" s="78" t="s">
        <v>6597</v>
      </c>
      <c r="J5732" s="78" t="s">
        <v>69</v>
      </c>
      <c r="K5732" s="58">
        <f t="shared" si="16"/>
        <v>2</v>
      </c>
      <c r="L5732" s="91" t="str">
        <f t="shared" si="8"/>
        <v>Mon</v>
      </c>
      <c r="M5732" s="78" t="str">
        <f>IFERROR(VLOOKUP(A5732, Entries!A:B,2,false),"")</f>
        <v>Owlcat Games</v>
      </c>
      <c r="N5732" s="23" t="str">
        <f>IFERROR(VLOOKUP(A5732, Entries!A:K,11,false),"")</f>
        <v/>
      </c>
    </row>
    <row r="5733">
      <c r="A5733" s="78" t="s">
        <v>6123</v>
      </c>
      <c r="B5733" s="78" t="s">
        <v>22</v>
      </c>
      <c r="C5733" s="85">
        <v>45402.0</v>
      </c>
      <c r="D5733" s="85">
        <v>45404.0</v>
      </c>
      <c r="E5733" s="86">
        <v>17.17</v>
      </c>
      <c r="F5733" s="87">
        <v>20.51</v>
      </c>
      <c r="G5733" s="88">
        <f t="shared" si="1"/>
        <v>3.34</v>
      </c>
      <c r="H5733" s="89">
        <f t="shared" si="15"/>
        <v>0.1628473915</v>
      </c>
      <c r="I5733" s="78" t="s">
        <v>6598</v>
      </c>
      <c r="J5733" s="78" t="s">
        <v>69</v>
      </c>
      <c r="K5733" s="58">
        <f t="shared" si="16"/>
        <v>2</v>
      </c>
      <c r="L5733" s="91" t="str">
        <f t="shared" si="8"/>
        <v>Mon</v>
      </c>
      <c r="M5733" s="78" t="str">
        <f>IFERROR(VLOOKUP(A5733, Entries!A:B,2,false),"")</f>
        <v>Owlcat Games</v>
      </c>
      <c r="N5733" s="23" t="str">
        <f>IFERROR(VLOOKUP(A5733, Entries!A:K,11,false),"")</f>
        <v/>
      </c>
    </row>
    <row r="5734">
      <c r="A5734" s="78" t="s">
        <v>4226</v>
      </c>
      <c r="B5734" s="78" t="s">
        <v>23</v>
      </c>
      <c r="C5734" s="85">
        <v>45402.0</v>
      </c>
      <c r="D5734" s="85">
        <v>45404.0</v>
      </c>
      <c r="E5734" s="86">
        <v>12.75</v>
      </c>
      <c r="F5734" s="87">
        <v>16.89</v>
      </c>
      <c r="G5734" s="88">
        <f t="shared" si="1"/>
        <v>4.14</v>
      </c>
      <c r="H5734" s="89">
        <f t="shared" si="15"/>
        <v>0.2451154529</v>
      </c>
      <c r="I5734" s="78" t="s">
        <v>6599</v>
      </c>
      <c r="J5734" s="78" t="s">
        <v>69</v>
      </c>
      <c r="K5734" s="58">
        <f t="shared" si="16"/>
        <v>2</v>
      </c>
      <c r="L5734" s="91" t="str">
        <f t="shared" si="8"/>
        <v>Mon</v>
      </c>
      <c r="M5734" s="78" t="str">
        <f>IFERROR(VLOOKUP(A5734, Entries!A:B,2,false),"")</f>
        <v>BANDAI NAMCO</v>
      </c>
      <c r="N5734" s="23" t="str">
        <f>IFERROR(VLOOKUP(A5734, Entries!A:K,11,false),"")</f>
        <v/>
      </c>
    </row>
    <row r="5735">
      <c r="A5735" s="78" t="s">
        <v>6274</v>
      </c>
      <c r="B5735" s="78" t="s">
        <v>27</v>
      </c>
      <c r="C5735" s="85">
        <v>45402.0</v>
      </c>
      <c r="D5735" s="85">
        <v>45403.0</v>
      </c>
      <c r="E5735" s="86">
        <v>6.74</v>
      </c>
      <c r="F5735" s="87">
        <v>9.02</v>
      </c>
      <c r="G5735" s="88">
        <f t="shared" si="1"/>
        <v>2.28</v>
      </c>
      <c r="H5735" s="89">
        <f t="shared" si="15"/>
        <v>0.2527716186</v>
      </c>
      <c r="I5735" s="78" t="s">
        <v>6600</v>
      </c>
      <c r="J5735" s="78" t="s">
        <v>69</v>
      </c>
      <c r="K5735" s="58">
        <f t="shared" si="16"/>
        <v>1</v>
      </c>
      <c r="L5735" s="91" t="str">
        <f t="shared" si="8"/>
        <v>Sun</v>
      </c>
      <c r="M5735" s="78" t="str">
        <f>IFERROR(VLOOKUP(A5735, Entries!A:B,2,false),"")</f>
        <v>Bethesda Softworks</v>
      </c>
      <c r="N5735" s="23" t="str">
        <f>IFERROR(VLOOKUP(A5735, Entries!A:K,11,false),"")</f>
        <v/>
      </c>
    </row>
    <row r="5736">
      <c r="A5736" s="78" t="s">
        <v>6533</v>
      </c>
      <c r="B5736" s="78" t="s">
        <v>22</v>
      </c>
      <c r="C5736" s="85">
        <v>45403.0</v>
      </c>
      <c r="D5736" s="85">
        <v>45403.0</v>
      </c>
      <c r="E5736" s="86">
        <v>19.07</v>
      </c>
      <c r="F5736" s="87">
        <v>24.42</v>
      </c>
      <c r="G5736" s="88">
        <f t="shared" si="1"/>
        <v>5.35</v>
      </c>
      <c r="H5736" s="89">
        <f t="shared" si="15"/>
        <v>0.2190827191</v>
      </c>
      <c r="I5736" s="78" t="s">
        <v>6601</v>
      </c>
      <c r="J5736" s="78" t="s">
        <v>69</v>
      </c>
      <c r="K5736" s="58">
        <f t="shared" si="16"/>
        <v>0</v>
      </c>
      <c r="L5736" s="91" t="str">
        <f t="shared" si="8"/>
        <v>Sun</v>
      </c>
      <c r="M5736" s="78" t="str">
        <f>IFERROR(VLOOKUP(A5736, Entries!A:B,2,false),"")</f>
        <v>VOID Interactive</v>
      </c>
      <c r="N5736" s="23" t="str">
        <f>IFERROR(VLOOKUP(A5736, Entries!A:K,11,false),"")</f>
        <v/>
      </c>
    </row>
    <row r="5737">
      <c r="A5737" s="78" t="s">
        <v>6533</v>
      </c>
      <c r="B5737" s="78" t="s">
        <v>22</v>
      </c>
      <c r="C5737" s="85">
        <v>45403.0</v>
      </c>
      <c r="D5737" s="85">
        <v>45403.0</v>
      </c>
      <c r="E5737" s="86">
        <v>19.07</v>
      </c>
      <c r="F5737" s="87">
        <v>24.42</v>
      </c>
      <c r="G5737" s="88">
        <f t="shared" si="1"/>
        <v>5.35</v>
      </c>
      <c r="H5737" s="89">
        <f t="shared" si="15"/>
        <v>0.2190827191</v>
      </c>
      <c r="I5737" s="78" t="s">
        <v>6602</v>
      </c>
      <c r="J5737" s="78" t="s">
        <v>69</v>
      </c>
      <c r="K5737" s="58">
        <f t="shared" si="16"/>
        <v>0</v>
      </c>
      <c r="L5737" s="91" t="str">
        <f t="shared" si="8"/>
        <v>Sun</v>
      </c>
      <c r="M5737" s="78" t="str">
        <f>IFERROR(VLOOKUP(A5737, Entries!A:B,2,false),"")</f>
        <v>VOID Interactive</v>
      </c>
      <c r="N5737" s="23" t="str">
        <f>IFERROR(VLOOKUP(A5737, Entries!A:K,11,false),"")</f>
        <v/>
      </c>
    </row>
    <row r="5738">
      <c r="A5738" s="78" t="s">
        <v>1406</v>
      </c>
      <c r="B5738" s="78" t="s">
        <v>23</v>
      </c>
      <c r="C5738" s="85">
        <v>45403.0</v>
      </c>
      <c r="D5738" s="85">
        <v>45404.0</v>
      </c>
      <c r="E5738" s="86">
        <v>16.2</v>
      </c>
      <c r="F5738" s="87">
        <v>26.04</v>
      </c>
      <c r="G5738" s="88">
        <f t="shared" si="1"/>
        <v>9.84</v>
      </c>
      <c r="H5738" s="89">
        <f t="shared" si="15"/>
        <v>0.3778801843</v>
      </c>
      <c r="I5738" s="78" t="s">
        <v>6603</v>
      </c>
      <c r="J5738" s="78" t="s">
        <v>69</v>
      </c>
      <c r="K5738" s="58">
        <f t="shared" si="16"/>
        <v>1</v>
      </c>
      <c r="L5738" s="91" t="str">
        <f t="shared" si="8"/>
        <v>Mon</v>
      </c>
      <c r="M5738" s="78" t="str">
        <f>IFERROR(VLOOKUP(A5738, Entries!A:B,2,false),"")</f>
        <v>Eugen Systems</v>
      </c>
      <c r="N5738" s="23" t="str">
        <f>IFERROR(VLOOKUP(A5738, Entries!A:K,11,false),"")</f>
        <v/>
      </c>
    </row>
    <row r="5739">
      <c r="A5739" s="94" t="s">
        <v>1922</v>
      </c>
      <c r="B5739" s="78" t="s">
        <v>19</v>
      </c>
      <c r="C5739" s="85">
        <v>45403.0</v>
      </c>
      <c r="D5739" s="85">
        <v>45403.0</v>
      </c>
      <c r="E5739" s="86">
        <v>12.3</v>
      </c>
      <c r="F5739" s="87">
        <v>21.36</v>
      </c>
      <c r="G5739" s="88">
        <f t="shared" si="1"/>
        <v>9.06</v>
      </c>
      <c r="H5739" s="89">
        <f t="shared" si="15"/>
        <v>0.4241573034</v>
      </c>
      <c r="I5739" s="78" t="s">
        <v>6604</v>
      </c>
      <c r="J5739" s="78" t="s">
        <v>69</v>
      </c>
      <c r="K5739" s="58">
        <f t="shared" si="16"/>
        <v>0</v>
      </c>
      <c r="L5739" s="91" t="str">
        <f t="shared" si="8"/>
        <v>Sun</v>
      </c>
      <c r="M5739" s="78" t="str">
        <f>IFERROR(VLOOKUP(A5739, Entries!A:B,2,false),"")</f>
        <v>Rebellion</v>
      </c>
      <c r="N5739" s="23" t="str">
        <f>IFERROR(VLOOKUP(A5739, Entries!A:K,11,false),"")</f>
        <v/>
      </c>
    </row>
    <row r="5740">
      <c r="A5740" s="78" t="s">
        <v>6605</v>
      </c>
      <c r="B5740" s="78" t="s">
        <v>19</v>
      </c>
      <c r="C5740" s="85">
        <v>45403.0</v>
      </c>
      <c r="D5740" s="85">
        <v>45425.0</v>
      </c>
      <c r="E5740" s="86">
        <v>0.0</v>
      </c>
      <c r="F5740" s="87">
        <v>0.12</v>
      </c>
      <c r="G5740" s="88">
        <f t="shared" si="1"/>
        <v>0.12</v>
      </c>
      <c r="H5740" s="89">
        <f t="shared" si="15"/>
        <v>1</v>
      </c>
      <c r="I5740" s="78" t="s">
        <v>6606</v>
      </c>
      <c r="J5740" s="78" t="s">
        <v>69</v>
      </c>
      <c r="K5740" s="58">
        <f t="shared" si="16"/>
        <v>22</v>
      </c>
      <c r="L5740" s="91" t="str">
        <f t="shared" si="8"/>
        <v>Mon</v>
      </c>
      <c r="M5740" s="78" t="str">
        <f>IFERROR(VLOOKUP(A5740, Entries!A:B,2,false),"")</f>
        <v/>
      </c>
      <c r="N5740" s="23" t="str">
        <f>IFERROR(VLOOKUP(A5740, Entries!A:K,11,false),"")</f>
        <v/>
      </c>
    </row>
    <row r="5741">
      <c r="A5741" s="78" t="s">
        <v>5156</v>
      </c>
      <c r="B5741" s="78" t="s">
        <v>27</v>
      </c>
      <c r="C5741" s="85">
        <v>45403.0</v>
      </c>
      <c r="D5741" s="85">
        <v>45455.0</v>
      </c>
      <c r="E5741" s="86">
        <v>33.89</v>
      </c>
      <c r="F5741" s="87">
        <v>52.84</v>
      </c>
      <c r="G5741" s="88">
        <f t="shared" si="1"/>
        <v>18.95</v>
      </c>
      <c r="H5741" s="89">
        <f t="shared" si="15"/>
        <v>0.3586298259</v>
      </c>
      <c r="I5741" s="78" t="s">
        <v>6607</v>
      </c>
      <c r="J5741" s="78" t="s">
        <v>69</v>
      </c>
      <c r="K5741" s="58">
        <f t="shared" si="16"/>
        <v>52</v>
      </c>
      <c r="L5741" s="91" t="str">
        <f t="shared" si="8"/>
        <v>Wed</v>
      </c>
      <c r="M5741" s="78" t="str">
        <f>IFERROR(VLOOKUP(A5741, Entries!A:B,2,false),"")</f>
        <v>SEGA</v>
      </c>
      <c r="N5741" s="23" t="str">
        <f>IFERROR(VLOOKUP(A5741, Entries!A:K,11,false),"")</f>
        <v/>
      </c>
      <c r="P5741" s="78">
        <v>30.82</v>
      </c>
    </row>
    <row r="5742">
      <c r="A5742" s="78" t="s">
        <v>6274</v>
      </c>
      <c r="B5742" s="78" t="s">
        <v>27</v>
      </c>
      <c r="C5742" s="85">
        <v>45403.0</v>
      </c>
      <c r="D5742" s="85">
        <v>45403.0</v>
      </c>
      <c r="E5742" s="86">
        <v>7.59</v>
      </c>
      <c r="F5742" s="87">
        <v>9.02</v>
      </c>
      <c r="G5742" s="88">
        <f t="shared" si="1"/>
        <v>1.43</v>
      </c>
      <c r="H5742" s="89">
        <f t="shared" si="15"/>
        <v>0.1585365854</v>
      </c>
      <c r="I5742" s="78" t="s">
        <v>6608</v>
      </c>
      <c r="J5742" s="78" t="s">
        <v>69</v>
      </c>
      <c r="K5742" s="58">
        <f t="shared" si="16"/>
        <v>0</v>
      </c>
      <c r="L5742" s="91" t="str">
        <f t="shared" si="8"/>
        <v>Sun</v>
      </c>
      <c r="M5742" s="78" t="str">
        <f>IFERROR(VLOOKUP(A5742, Entries!A:B,2,false),"")</f>
        <v>Bethesda Softworks</v>
      </c>
      <c r="N5742" s="23" t="str">
        <f>IFERROR(VLOOKUP(A5742, Entries!A:K,11,false),"")</f>
        <v/>
      </c>
    </row>
    <row r="5743">
      <c r="A5743" s="78" t="s">
        <v>6274</v>
      </c>
      <c r="B5743" s="78" t="s">
        <v>27</v>
      </c>
      <c r="C5743" s="85">
        <v>45403.0</v>
      </c>
      <c r="D5743" s="85">
        <v>45403.0</v>
      </c>
      <c r="E5743" s="86">
        <v>7.06</v>
      </c>
      <c r="F5743" s="87">
        <v>9.02</v>
      </c>
      <c r="G5743" s="88">
        <f t="shared" si="1"/>
        <v>1.96</v>
      </c>
      <c r="H5743" s="89">
        <f t="shared" si="15"/>
        <v>0.2172949002</v>
      </c>
      <c r="I5743" s="78" t="s">
        <v>6609</v>
      </c>
      <c r="J5743" s="78" t="s">
        <v>69</v>
      </c>
      <c r="K5743" s="58">
        <f t="shared" si="16"/>
        <v>0</v>
      </c>
      <c r="L5743" s="91" t="str">
        <f t="shared" si="8"/>
        <v>Sun</v>
      </c>
      <c r="M5743" s="78" t="str">
        <f>IFERROR(VLOOKUP(A5743, Entries!A:B,2,false),"")</f>
        <v>Bethesda Softworks</v>
      </c>
      <c r="N5743" s="23" t="str">
        <f>IFERROR(VLOOKUP(A5743, Entries!A:K,11,false),"")</f>
        <v/>
      </c>
    </row>
    <row r="5744">
      <c r="A5744" s="78" t="s">
        <v>6274</v>
      </c>
      <c r="B5744" s="78" t="s">
        <v>27</v>
      </c>
      <c r="C5744" s="85">
        <v>45403.0</v>
      </c>
      <c r="D5744" s="85">
        <v>45403.0</v>
      </c>
      <c r="E5744" s="86">
        <v>7.22</v>
      </c>
      <c r="F5744" s="87">
        <v>9.03</v>
      </c>
      <c r="G5744" s="88">
        <f t="shared" si="1"/>
        <v>1.81</v>
      </c>
      <c r="H5744" s="89">
        <f t="shared" si="15"/>
        <v>0.2004429679</v>
      </c>
      <c r="I5744" s="78" t="s">
        <v>6610</v>
      </c>
      <c r="J5744" s="78" t="s">
        <v>69</v>
      </c>
      <c r="K5744" s="58">
        <f t="shared" si="16"/>
        <v>0</v>
      </c>
      <c r="L5744" s="91" t="str">
        <f t="shared" si="8"/>
        <v>Sun</v>
      </c>
      <c r="M5744" s="78" t="str">
        <f>IFERROR(VLOOKUP(A5744, Entries!A:B,2,false),"")</f>
        <v>Bethesda Softworks</v>
      </c>
      <c r="N5744" s="23" t="str">
        <f>IFERROR(VLOOKUP(A5744, Entries!A:K,11,false),"")</f>
        <v/>
      </c>
    </row>
    <row r="5745">
      <c r="A5745" s="78" t="s">
        <v>1389</v>
      </c>
      <c r="B5745" s="78" t="s">
        <v>23</v>
      </c>
      <c r="C5745" s="85">
        <v>45403.0</v>
      </c>
      <c r="D5745" s="85">
        <v>45404.0</v>
      </c>
      <c r="E5745" s="86">
        <v>8.15</v>
      </c>
      <c r="F5745" s="87">
        <v>12.86</v>
      </c>
      <c r="G5745" s="88">
        <f t="shared" si="1"/>
        <v>4.71</v>
      </c>
      <c r="H5745" s="89">
        <f t="shared" si="15"/>
        <v>0.366251944</v>
      </c>
      <c r="I5745" s="78" t="s">
        <v>6611</v>
      </c>
      <c r="J5745" s="78" t="s">
        <v>69</v>
      </c>
      <c r="K5745" s="58">
        <f t="shared" si="16"/>
        <v>1</v>
      </c>
      <c r="L5745" s="91" t="str">
        <f t="shared" si="8"/>
        <v>Mon</v>
      </c>
      <c r="M5745" s="78" t="str">
        <f>IFERROR(VLOOKUP(A5745, Entries!A:B,2,false),"")</f>
        <v>Eugen Systems</v>
      </c>
      <c r="N5745" s="23" t="str">
        <f>IFERROR(VLOOKUP(A5745, Entries!A:K,11,false),"")</f>
        <v/>
      </c>
    </row>
    <row r="5746">
      <c r="A5746" s="78" t="s">
        <v>4928</v>
      </c>
      <c r="B5746" s="78" t="s">
        <v>19</v>
      </c>
      <c r="C5746" s="85">
        <v>45403.0</v>
      </c>
      <c r="D5746" s="85">
        <v>45405.0</v>
      </c>
      <c r="E5746" s="86">
        <v>28.51</v>
      </c>
      <c r="F5746" s="87">
        <v>36.61</v>
      </c>
      <c r="G5746" s="88">
        <f t="shared" si="1"/>
        <v>8.1</v>
      </c>
      <c r="H5746" s="89">
        <f t="shared" si="15"/>
        <v>0.2212510243</v>
      </c>
      <c r="I5746" s="78" t="s">
        <v>6612</v>
      </c>
      <c r="J5746" s="78" t="s">
        <v>69</v>
      </c>
      <c r="K5746" s="58">
        <f t="shared" si="16"/>
        <v>2</v>
      </c>
      <c r="L5746" s="91" t="str">
        <f t="shared" si="8"/>
        <v>Tue</v>
      </c>
      <c r="M5746" s="78" t="str">
        <f>IFERROR(VLOOKUP(A5746, Entries!A:B,2,false),"")</f>
        <v>Eleventh Hour Games</v>
      </c>
      <c r="N5746" s="23" t="str">
        <f>IFERROR(VLOOKUP(A5746, Entries!A:K,11,false),"")</f>
        <v/>
      </c>
    </row>
    <row r="5747">
      <c r="A5747" s="78" t="s">
        <v>6533</v>
      </c>
      <c r="B5747" s="78" t="s">
        <v>22</v>
      </c>
      <c r="C5747" s="85">
        <v>45403.0</v>
      </c>
      <c r="D5747" s="85">
        <v>45404.0</v>
      </c>
      <c r="E5747" s="86">
        <v>19.07</v>
      </c>
      <c r="F5747" s="87">
        <v>24.29</v>
      </c>
      <c r="G5747" s="88">
        <f t="shared" si="1"/>
        <v>5.22</v>
      </c>
      <c r="H5747" s="89">
        <f t="shared" si="15"/>
        <v>0.2149032524</v>
      </c>
      <c r="I5747" s="78" t="s">
        <v>6613</v>
      </c>
      <c r="J5747" s="78" t="s">
        <v>69</v>
      </c>
      <c r="K5747" s="58">
        <f t="shared" si="16"/>
        <v>1</v>
      </c>
      <c r="L5747" s="91" t="str">
        <f t="shared" si="8"/>
        <v>Mon</v>
      </c>
      <c r="M5747" s="78" t="str">
        <f>IFERROR(VLOOKUP(A5747, Entries!A:B,2,false),"")</f>
        <v>VOID Interactive</v>
      </c>
      <c r="N5747" s="23" t="str">
        <f>IFERROR(VLOOKUP(A5747, Entries!A:K,11,false),"")</f>
        <v/>
      </c>
    </row>
    <row r="5748">
      <c r="A5748" s="78" t="s">
        <v>6533</v>
      </c>
      <c r="B5748" s="78" t="s">
        <v>22</v>
      </c>
      <c r="C5748" s="85">
        <v>45403.0</v>
      </c>
      <c r="D5748" s="85">
        <v>45404.0</v>
      </c>
      <c r="E5748" s="86">
        <v>19.07</v>
      </c>
      <c r="F5748" s="87">
        <v>24.44</v>
      </c>
      <c r="G5748" s="88">
        <f t="shared" si="1"/>
        <v>5.37</v>
      </c>
      <c r="H5748" s="89">
        <f t="shared" si="15"/>
        <v>0.2197217676</v>
      </c>
      <c r="I5748" s="78" t="s">
        <v>6614</v>
      </c>
      <c r="J5748" s="78" t="s">
        <v>69</v>
      </c>
      <c r="K5748" s="58">
        <f t="shared" si="16"/>
        <v>1</v>
      </c>
      <c r="L5748" s="91" t="str">
        <f t="shared" si="8"/>
        <v>Mon</v>
      </c>
      <c r="M5748" s="78" t="str">
        <f>IFERROR(VLOOKUP(A5748, Entries!A:B,2,false),"")</f>
        <v>VOID Interactive</v>
      </c>
      <c r="N5748" s="23" t="str">
        <f>IFERROR(VLOOKUP(A5748, Entries!A:K,11,false),"")</f>
        <v/>
      </c>
    </row>
    <row r="5749">
      <c r="A5749" s="78" t="s">
        <v>1387</v>
      </c>
      <c r="B5749" s="78" t="s">
        <v>23</v>
      </c>
      <c r="C5749" s="85">
        <v>45403.0</v>
      </c>
      <c r="D5749" s="85">
        <v>45414.0</v>
      </c>
      <c r="E5749" s="86">
        <v>4.11</v>
      </c>
      <c r="F5749" s="87">
        <v>5.67</v>
      </c>
      <c r="G5749" s="88">
        <f t="shared" si="1"/>
        <v>1.56</v>
      </c>
      <c r="H5749" s="89">
        <f t="shared" si="15"/>
        <v>0.2751322751</v>
      </c>
      <c r="I5749" s="78" t="s">
        <v>6615</v>
      </c>
      <c r="J5749" s="78" t="s">
        <v>69</v>
      </c>
      <c r="K5749" s="58">
        <f t="shared" si="16"/>
        <v>11</v>
      </c>
      <c r="L5749" s="91" t="str">
        <f t="shared" si="8"/>
        <v>Thu</v>
      </c>
      <c r="M5749" s="78" t="str">
        <f>IFERROR(VLOOKUP(A5749, Entries!A:B,2,false),"")</f>
        <v>Eugen Systems</v>
      </c>
      <c r="N5749" s="23" t="str">
        <f>IFERROR(VLOOKUP(A5749, Entries!A:K,11,false),"")</f>
        <v/>
      </c>
    </row>
    <row r="5750">
      <c r="A5750" s="94" t="s">
        <v>1922</v>
      </c>
      <c r="B5750" s="78" t="s">
        <v>19</v>
      </c>
      <c r="C5750" s="85">
        <v>45403.0</v>
      </c>
      <c r="D5750" s="85">
        <v>45404.0</v>
      </c>
      <c r="E5750" s="86">
        <v>12.3</v>
      </c>
      <c r="F5750" s="87">
        <v>21.36</v>
      </c>
      <c r="G5750" s="88">
        <f t="shared" si="1"/>
        <v>9.06</v>
      </c>
      <c r="H5750" s="89">
        <f t="shared" si="15"/>
        <v>0.4241573034</v>
      </c>
      <c r="I5750" s="78" t="s">
        <v>6616</v>
      </c>
      <c r="J5750" s="78" t="s">
        <v>69</v>
      </c>
      <c r="K5750" s="58">
        <f t="shared" si="16"/>
        <v>1</v>
      </c>
      <c r="L5750" s="91" t="str">
        <f t="shared" si="8"/>
        <v>Mon</v>
      </c>
      <c r="M5750" s="78" t="str">
        <f>IFERROR(VLOOKUP(A5750, Entries!A:B,2,false),"")</f>
        <v>Rebellion</v>
      </c>
      <c r="N5750" s="23" t="str">
        <f>IFERROR(VLOOKUP(A5750, Entries!A:K,11,false),"")</f>
        <v/>
      </c>
    </row>
    <row r="5751">
      <c r="A5751" s="78" t="s">
        <v>6473</v>
      </c>
      <c r="B5751" s="78" t="s">
        <v>19</v>
      </c>
      <c r="C5751" s="85">
        <v>45403.0</v>
      </c>
      <c r="D5751" s="85">
        <v>45408.0</v>
      </c>
      <c r="E5751" s="86">
        <v>0.0</v>
      </c>
      <c r="F5751" s="87">
        <v>0.04</v>
      </c>
      <c r="G5751" s="88">
        <f t="shared" si="1"/>
        <v>0.04</v>
      </c>
      <c r="H5751" s="89">
        <f t="shared" si="15"/>
        <v>1</v>
      </c>
      <c r="I5751" s="78" t="s">
        <v>6617</v>
      </c>
      <c r="J5751" s="78" t="s">
        <v>69</v>
      </c>
      <c r="K5751" s="58">
        <f t="shared" si="16"/>
        <v>5</v>
      </c>
      <c r="L5751" s="91" t="str">
        <f t="shared" si="8"/>
        <v>Fri</v>
      </c>
      <c r="M5751" s="78" t="str">
        <f>IFERROR(VLOOKUP(A5751, Entries!A:B,2,false),"")</f>
        <v/>
      </c>
      <c r="N5751" s="23" t="str">
        <f>IFERROR(VLOOKUP(A5751, Entries!A:K,11,false),"")</f>
        <v/>
      </c>
    </row>
    <row r="5752">
      <c r="A5752" s="78" t="s">
        <v>6274</v>
      </c>
      <c r="B5752" s="78" t="s">
        <v>27</v>
      </c>
      <c r="C5752" s="85">
        <v>45403.0</v>
      </c>
      <c r="D5752" s="85">
        <v>45403.0</v>
      </c>
      <c r="E5752" s="86">
        <v>7.04</v>
      </c>
      <c r="F5752" s="87">
        <v>9.02</v>
      </c>
      <c r="G5752" s="88">
        <f t="shared" si="1"/>
        <v>1.98</v>
      </c>
      <c r="H5752" s="89">
        <f t="shared" si="15"/>
        <v>0.2195121951</v>
      </c>
      <c r="I5752" s="78" t="s">
        <v>6618</v>
      </c>
      <c r="J5752" s="78" t="s">
        <v>69</v>
      </c>
      <c r="K5752" s="58">
        <f t="shared" si="16"/>
        <v>0</v>
      </c>
      <c r="L5752" s="91" t="str">
        <f t="shared" si="8"/>
        <v>Sun</v>
      </c>
      <c r="M5752" s="78" t="str">
        <f>IFERROR(VLOOKUP(A5752, Entries!A:B,2,false),"")</f>
        <v>Bethesda Softworks</v>
      </c>
      <c r="N5752" s="23" t="str">
        <f>IFERROR(VLOOKUP(A5752, Entries!A:K,11,false),"")</f>
        <v/>
      </c>
    </row>
    <row r="5753">
      <c r="A5753" s="78" t="s">
        <v>6274</v>
      </c>
      <c r="B5753" s="78" t="s">
        <v>27</v>
      </c>
      <c r="C5753" s="85">
        <v>45403.0</v>
      </c>
      <c r="D5753" s="85">
        <v>45404.0</v>
      </c>
      <c r="E5753" s="86">
        <v>7.04</v>
      </c>
      <c r="F5753" s="87">
        <v>9.02</v>
      </c>
      <c r="G5753" s="88">
        <f t="shared" si="1"/>
        <v>1.98</v>
      </c>
      <c r="H5753" s="89">
        <f t="shared" si="15"/>
        <v>0.2195121951</v>
      </c>
      <c r="I5753" s="78" t="s">
        <v>6619</v>
      </c>
      <c r="J5753" s="78" t="s">
        <v>69</v>
      </c>
      <c r="K5753" s="58">
        <f t="shared" si="16"/>
        <v>1</v>
      </c>
      <c r="L5753" s="91" t="str">
        <f t="shared" si="8"/>
        <v>Mon</v>
      </c>
      <c r="M5753" s="78" t="str">
        <f>IFERROR(VLOOKUP(A5753, Entries!A:B,2,false),"")</f>
        <v>Bethesda Softworks</v>
      </c>
      <c r="N5753" s="23" t="str">
        <f>IFERROR(VLOOKUP(A5753, Entries!A:K,11,false),"")</f>
        <v/>
      </c>
    </row>
    <row r="5754">
      <c r="A5754" s="78" t="s">
        <v>1406</v>
      </c>
      <c r="B5754" s="78" t="s">
        <v>23</v>
      </c>
      <c r="C5754" s="85">
        <v>45404.0</v>
      </c>
      <c r="D5754" s="85">
        <v>45459.0</v>
      </c>
      <c r="E5754" s="86">
        <v>16.2</v>
      </c>
      <c r="F5754" s="87">
        <v>24.19</v>
      </c>
      <c r="G5754" s="88">
        <f t="shared" si="1"/>
        <v>7.99</v>
      </c>
      <c r="H5754" s="89">
        <f t="shared" si="15"/>
        <v>0.3303017776</v>
      </c>
      <c r="I5754" s="78" t="s">
        <v>6620</v>
      </c>
      <c r="J5754" s="78" t="s">
        <v>69</v>
      </c>
      <c r="K5754" s="58">
        <f t="shared" si="16"/>
        <v>55</v>
      </c>
      <c r="L5754" s="91" t="str">
        <f t="shared" si="8"/>
        <v>Sun</v>
      </c>
      <c r="M5754" s="78" t="str">
        <f>IFERROR(VLOOKUP(A5754, Entries!A:B,2,false),"")</f>
        <v>Eugen Systems</v>
      </c>
      <c r="N5754" s="23" t="str">
        <f>IFERROR(VLOOKUP(A5754, Entries!A:K,11,false),"")</f>
        <v/>
      </c>
    </row>
    <row r="5755">
      <c r="A5755" s="78" t="s">
        <v>6274</v>
      </c>
      <c r="B5755" s="78" t="s">
        <v>27</v>
      </c>
      <c r="C5755" s="85">
        <v>45404.0</v>
      </c>
      <c r="D5755" s="85">
        <v>45404.0</v>
      </c>
      <c r="E5755" s="86">
        <v>7.59</v>
      </c>
      <c r="F5755" s="87">
        <v>9.02</v>
      </c>
      <c r="G5755" s="88">
        <f t="shared" si="1"/>
        <v>1.43</v>
      </c>
      <c r="H5755" s="89">
        <f t="shared" si="15"/>
        <v>0.1585365854</v>
      </c>
      <c r="I5755" s="78" t="s">
        <v>6621</v>
      </c>
      <c r="J5755" s="78" t="s">
        <v>69</v>
      </c>
      <c r="K5755" s="58">
        <f t="shared" si="16"/>
        <v>0</v>
      </c>
      <c r="L5755" s="91" t="str">
        <f t="shared" si="8"/>
        <v>Mon</v>
      </c>
      <c r="M5755" s="78" t="str">
        <f>IFERROR(VLOOKUP(A5755, Entries!A:B,2,false),"")</f>
        <v>Bethesda Softworks</v>
      </c>
      <c r="N5755" s="23" t="str">
        <f>IFERROR(VLOOKUP(A5755, Entries!A:K,11,false),"")</f>
        <v/>
      </c>
    </row>
    <row r="5756">
      <c r="A5756" s="78" t="s">
        <v>4226</v>
      </c>
      <c r="B5756" s="78" t="s">
        <v>23</v>
      </c>
      <c r="C5756" s="85">
        <v>45404.0</v>
      </c>
      <c r="D5756" s="85">
        <v>45482.0</v>
      </c>
      <c r="E5756" s="86">
        <v>12.75</v>
      </c>
      <c r="F5756" s="87">
        <v>16.73</v>
      </c>
      <c r="G5756" s="88">
        <f t="shared" si="1"/>
        <v>3.98</v>
      </c>
      <c r="H5756" s="89">
        <f t="shared" si="15"/>
        <v>0.2378959952</v>
      </c>
      <c r="I5756" s="78" t="s">
        <v>6622</v>
      </c>
      <c r="J5756" s="78" t="s">
        <v>69</v>
      </c>
      <c r="K5756" s="58">
        <f t="shared" si="16"/>
        <v>78</v>
      </c>
      <c r="L5756" s="91" t="str">
        <f t="shared" si="8"/>
        <v>Tue</v>
      </c>
      <c r="M5756" s="78" t="str">
        <f>IFERROR(VLOOKUP(A5756, Entries!A:B,2,false),"")</f>
        <v>BANDAI NAMCO</v>
      </c>
      <c r="N5756" s="23" t="str">
        <f>IFERROR(VLOOKUP(A5756, Entries!A:K,11,false),"")</f>
        <v/>
      </c>
    </row>
    <row r="5757">
      <c r="A5757" s="78" t="s">
        <v>6274</v>
      </c>
      <c r="B5757" s="78" t="s">
        <v>27</v>
      </c>
      <c r="C5757" s="85">
        <v>45404.0</v>
      </c>
      <c r="D5757" s="85">
        <v>45404.0</v>
      </c>
      <c r="E5757" s="86">
        <v>7.31</v>
      </c>
      <c r="F5757" s="87">
        <v>8.22</v>
      </c>
      <c r="G5757" s="88">
        <f t="shared" si="1"/>
        <v>0.91</v>
      </c>
      <c r="H5757" s="89">
        <f t="shared" si="15"/>
        <v>0.1107055961</v>
      </c>
      <c r="I5757" s="78" t="s">
        <v>6623</v>
      </c>
      <c r="J5757" s="78" t="s">
        <v>69</v>
      </c>
      <c r="K5757" s="58">
        <f t="shared" si="16"/>
        <v>0</v>
      </c>
      <c r="L5757" s="91" t="str">
        <f t="shared" si="8"/>
        <v>Mon</v>
      </c>
      <c r="M5757" s="78" t="str">
        <f>IFERROR(VLOOKUP(A5757, Entries!A:B,2,false),"")</f>
        <v>Bethesda Softworks</v>
      </c>
      <c r="N5757" s="23" t="str">
        <f>IFERROR(VLOOKUP(A5757, Entries!A:K,11,false),"")</f>
        <v/>
      </c>
    </row>
    <row r="5758">
      <c r="A5758" s="78" t="s">
        <v>6123</v>
      </c>
      <c r="B5758" s="78" t="s">
        <v>22</v>
      </c>
      <c r="C5758" s="85">
        <v>45404.0</v>
      </c>
      <c r="D5758" s="85">
        <v>45404.0</v>
      </c>
      <c r="E5758" s="86">
        <v>17.17</v>
      </c>
      <c r="F5758" s="87">
        <v>21.99</v>
      </c>
      <c r="G5758" s="88">
        <f t="shared" si="1"/>
        <v>4.82</v>
      </c>
      <c r="H5758" s="89">
        <f t="shared" si="15"/>
        <v>0.2191905412</v>
      </c>
      <c r="I5758" s="78" t="s">
        <v>6624</v>
      </c>
      <c r="J5758" s="78" t="s">
        <v>69</v>
      </c>
      <c r="K5758" s="58">
        <f t="shared" si="16"/>
        <v>0</v>
      </c>
      <c r="L5758" s="91" t="str">
        <f t="shared" si="8"/>
        <v>Mon</v>
      </c>
      <c r="M5758" s="78" t="str">
        <f>IFERROR(VLOOKUP(A5758, Entries!A:B,2,false),"")</f>
        <v>Owlcat Games</v>
      </c>
      <c r="N5758" s="23" t="str">
        <f>IFERROR(VLOOKUP(A5758, Entries!A:K,11,false),"")</f>
        <v/>
      </c>
    </row>
    <row r="5759">
      <c r="A5759" s="78" t="s">
        <v>6123</v>
      </c>
      <c r="B5759" s="78" t="s">
        <v>22</v>
      </c>
      <c r="C5759" s="85">
        <v>45404.0</v>
      </c>
      <c r="D5759" s="85">
        <v>45405.0</v>
      </c>
      <c r="E5759" s="86">
        <v>17.18</v>
      </c>
      <c r="F5759" s="87">
        <v>22.17</v>
      </c>
      <c r="G5759" s="88">
        <f t="shared" si="1"/>
        <v>4.99</v>
      </c>
      <c r="H5759" s="89">
        <f t="shared" si="15"/>
        <v>0.2250789355</v>
      </c>
      <c r="I5759" s="78" t="s">
        <v>6625</v>
      </c>
      <c r="J5759" s="78" t="s">
        <v>69</v>
      </c>
      <c r="K5759" s="58">
        <f t="shared" si="16"/>
        <v>1</v>
      </c>
      <c r="L5759" s="91" t="str">
        <f t="shared" si="8"/>
        <v>Tue</v>
      </c>
      <c r="M5759" s="78" t="str">
        <f>IFERROR(VLOOKUP(A5759, Entries!A:B,2,false),"")</f>
        <v>Owlcat Games</v>
      </c>
      <c r="N5759" s="23" t="str">
        <f>IFERROR(VLOOKUP(A5759, Entries!A:K,11,false),"")</f>
        <v/>
      </c>
    </row>
    <row r="5760">
      <c r="A5760" s="78" t="s">
        <v>4532</v>
      </c>
      <c r="B5760" s="78" t="s">
        <v>23</v>
      </c>
      <c r="C5760" s="85">
        <v>45404.0</v>
      </c>
      <c r="D5760" s="85">
        <v>45404.0</v>
      </c>
      <c r="E5760" s="86">
        <v>23.56</v>
      </c>
      <c r="F5760" s="87">
        <v>26.87</v>
      </c>
      <c r="G5760" s="88">
        <f t="shared" si="1"/>
        <v>3.31</v>
      </c>
      <c r="H5760" s="89">
        <f t="shared" si="15"/>
        <v>0.123185709</v>
      </c>
      <c r="I5760" s="78" t="s">
        <v>6626</v>
      </c>
      <c r="J5760" s="78" t="s">
        <v>69</v>
      </c>
      <c r="K5760" s="58">
        <f t="shared" si="16"/>
        <v>0</v>
      </c>
      <c r="L5760" s="91" t="str">
        <f t="shared" si="8"/>
        <v>Mon</v>
      </c>
      <c r="M5760" s="78" t="str">
        <f>IFERROR(VLOOKUP(A5760, Entries!A:B,2,false),"")</f>
        <v>Eugen Systems</v>
      </c>
      <c r="N5760" s="23" t="str">
        <f>IFERROR(VLOOKUP(A5760, Entries!A:K,11,false),"")</f>
        <v/>
      </c>
    </row>
    <row r="5761">
      <c r="A5761" s="78" t="s">
        <v>6627</v>
      </c>
      <c r="B5761" s="78" t="s">
        <v>23</v>
      </c>
      <c r="C5761" s="85">
        <v>45404.0</v>
      </c>
      <c r="D5761" s="85">
        <v>45404.0</v>
      </c>
      <c r="E5761" s="86">
        <v>9.32</v>
      </c>
      <c r="F5761" s="87">
        <v>15.86</v>
      </c>
      <c r="G5761" s="88">
        <f t="shared" si="1"/>
        <v>6.54</v>
      </c>
      <c r="H5761" s="89">
        <f t="shared" si="15"/>
        <v>0.4123581337</v>
      </c>
      <c r="I5761" s="78" t="s">
        <v>6628</v>
      </c>
      <c r="J5761" s="78" t="s">
        <v>69</v>
      </c>
      <c r="K5761" s="58">
        <f t="shared" si="16"/>
        <v>0</v>
      </c>
      <c r="L5761" s="91" t="str">
        <f t="shared" si="8"/>
        <v>Mon</v>
      </c>
      <c r="M5761" s="78" t="str">
        <f>IFERROR(VLOOKUP(A5761, Entries!A:B,2,false),"")</f>
        <v>Bethesda Softworks</v>
      </c>
      <c r="N5761" s="23" t="str">
        <f>IFERROR(VLOOKUP(A5761, Entries!A:K,11,false),"")</f>
        <v/>
      </c>
    </row>
    <row r="5762">
      <c r="A5762" s="78" t="s">
        <v>6627</v>
      </c>
      <c r="B5762" s="78" t="s">
        <v>23</v>
      </c>
      <c r="C5762" s="85">
        <v>45404.0</v>
      </c>
      <c r="D5762" s="85">
        <v>45404.0</v>
      </c>
      <c r="E5762" s="86">
        <v>9.32</v>
      </c>
      <c r="F5762" s="87">
        <v>14.25</v>
      </c>
      <c r="G5762" s="88">
        <f t="shared" si="1"/>
        <v>4.93</v>
      </c>
      <c r="H5762" s="89">
        <f t="shared" si="15"/>
        <v>0.3459649123</v>
      </c>
      <c r="I5762" s="78" t="s">
        <v>6629</v>
      </c>
      <c r="J5762" s="78" t="s">
        <v>69</v>
      </c>
      <c r="K5762" s="58">
        <f t="shared" si="16"/>
        <v>0</v>
      </c>
      <c r="L5762" s="91" t="str">
        <f t="shared" si="8"/>
        <v>Mon</v>
      </c>
      <c r="M5762" s="78" t="str">
        <f>IFERROR(VLOOKUP(A5762, Entries!A:B,2,false),"")</f>
        <v>Bethesda Softworks</v>
      </c>
      <c r="N5762" s="23" t="str">
        <f>IFERROR(VLOOKUP(A5762, Entries!A:K,11,false),"")</f>
        <v/>
      </c>
    </row>
    <row r="5763">
      <c r="A5763" s="78" t="s">
        <v>6627</v>
      </c>
      <c r="B5763" s="78" t="s">
        <v>23</v>
      </c>
      <c r="C5763" s="85">
        <v>45404.0</v>
      </c>
      <c r="D5763" s="85">
        <v>45404.0</v>
      </c>
      <c r="E5763" s="86">
        <v>9.32</v>
      </c>
      <c r="F5763" s="87">
        <v>12.93</v>
      </c>
      <c r="G5763" s="88">
        <f t="shared" si="1"/>
        <v>3.61</v>
      </c>
      <c r="H5763" s="89">
        <f t="shared" si="15"/>
        <v>0.279195669</v>
      </c>
      <c r="I5763" s="78" t="s">
        <v>6630</v>
      </c>
      <c r="J5763" s="78" t="s">
        <v>69</v>
      </c>
      <c r="K5763" s="58">
        <f t="shared" si="16"/>
        <v>0</v>
      </c>
      <c r="L5763" s="91" t="str">
        <f t="shared" si="8"/>
        <v>Mon</v>
      </c>
      <c r="M5763" s="78" t="str">
        <f>IFERROR(VLOOKUP(A5763, Entries!A:B,2,false),"")</f>
        <v>Bethesda Softworks</v>
      </c>
      <c r="N5763" s="23" t="str">
        <f>IFERROR(VLOOKUP(A5763, Entries!A:K,11,false),"")</f>
        <v/>
      </c>
    </row>
    <row r="5764">
      <c r="A5764" s="78" t="s">
        <v>6274</v>
      </c>
      <c r="B5764" s="78" t="s">
        <v>27</v>
      </c>
      <c r="C5764" s="85">
        <v>45404.0</v>
      </c>
      <c r="D5764" s="85">
        <v>45491.0</v>
      </c>
      <c r="E5764" s="86">
        <v>7.59</v>
      </c>
      <c r="F5764" s="87">
        <v>8.54</v>
      </c>
      <c r="G5764" s="88">
        <f t="shared" si="1"/>
        <v>0.95</v>
      </c>
      <c r="H5764" s="89">
        <f t="shared" si="15"/>
        <v>0.1112412178</v>
      </c>
      <c r="I5764" s="78" t="s">
        <v>6631</v>
      </c>
      <c r="J5764" s="78" t="s">
        <v>69</v>
      </c>
      <c r="K5764" s="58">
        <f t="shared" si="16"/>
        <v>87</v>
      </c>
      <c r="L5764" s="91" t="str">
        <f t="shared" si="8"/>
        <v>Thu</v>
      </c>
      <c r="M5764" s="78" t="str">
        <f>IFERROR(VLOOKUP(A5764, Entries!A:B,2,false),"")</f>
        <v>Bethesda Softworks</v>
      </c>
      <c r="N5764" s="23" t="str">
        <f>IFERROR(VLOOKUP(A5764, Entries!A:K,11,false),"")</f>
        <v/>
      </c>
    </row>
    <row r="5765">
      <c r="A5765" s="78" t="s">
        <v>6627</v>
      </c>
      <c r="B5765" s="78" t="s">
        <v>23</v>
      </c>
      <c r="C5765" s="85">
        <v>45404.0</v>
      </c>
      <c r="D5765" s="85">
        <v>45404.0</v>
      </c>
      <c r="E5765" s="86">
        <v>9.32</v>
      </c>
      <c r="F5765" s="87">
        <v>13.97</v>
      </c>
      <c r="G5765" s="88">
        <f t="shared" si="1"/>
        <v>4.65</v>
      </c>
      <c r="H5765" s="89">
        <f t="shared" si="15"/>
        <v>0.3328561203</v>
      </c>
      <c r="I5765" s="78" t="s">
        <v>6632</v>
      </c>
      <c r="J5765" s="78" t="s">
        <v>69</v>
      </c>
      <c r="K5765" s="58">
        <f t="shared" si="16"/>
        <v>0</v>
      </c>
      <c r="L5765" s="91" t="str">
        <f t="shared" si="8"/>
        <v>Mon</v>
      </c>
      <c r="M5765" s="78" t="str">
        <f>IFERROR(VLOOKUP(A5765, Entries!A:B,2,false),"")</f>
        <v>Bethesda Softworks</v>
      </c>
      <c r="N5765" s="23" t="str">
        <f>IFERROR(VLOOKUP(A5765, Entries!A:K,11,false),"")</f>
        <v/>
      </c>
    </row>
    <row r="5766">
      <c r="A5766" s="78" t="s">
        <v>6627</v>
      </c>
      <c r="B5766" s="78" t="s">
        <v>23</v>
      </c>
      <c r="C5766" s="85">
        <v>45404.0</v>
      </c>
      <c r="D5766" s="85">
        <v>45404.0</v>
      </c>
      <c r="E5766" s="86">
        <v>9.32</v>
      </c>
      <c r="F5766" s="87">
        <v>16.23</v>
      </c>
      <c r="G5766" s="88">
        <f t="shared" si="1"/>
        <v>6.91</v>
      </c>
      <c r="H5766" s="89">
        <f t="shared" si="15"/>
        <v>0.4257547751</v>
      </c>
      <c r="I5766" s="78" t="s">
        <v>6633</v>
      </c>
      <c r="J5766" s="78" t="s">
        <v>69</v>
      </c>
      <c r="K5766" s="58">
        <f t="shared" si="16"/>
        <v>0</v>
      </c>
      <c r="L5766" s="91" t="str">
        <f t="shared" si="8"/>
        <v>Mon</v>
      </c>
      <c r="M5766" s="78" t="str">
        <f>IFERROR(VLOOKUP(A5766, Entries!A:B,2,false),"")</f>
        <v>Bethesda Softworks</v>
      </c>
      <c r="N5766" s="23" t="str">
        <f>IFERROR(VLOOKUP(A5766, Entries!A:K,11,false),"")</f>
        <v/>
      </c>
    </row>
    <row r="5767">
      <c r="A5767" s="78" t="s">
        <v>6627</v>
      </c>
      <c r="B5767" s="78" t="s">
        <v>23</v>
      </c>
      <c r="C5767" s="85">
        <v>45404.0</v>
      </c>
      <c r="D5767" s="85">
        <v>45480.0</v>
      </c>
      <c r="E5767" s="86">
        <v>9.32</v>
      </c>
      <c r="F5767" s="87">
        <v>9.99</v>
      </c>
      <c r="G5767" s="88">
        <f t="shared" si="1"/>
        <v>0.67</v>
      </c>
      <c r="H5767" s="89">
        <f t="shared" si="15"/>
        <v>0.06706706707</v>
      </c>
      <c r="I5767" s="78" t="s">
        <v>6634</v>
      </c>
      <c r="J5767" s="78" t="s">
        <v>69</v>
      </c>
      <c r="K5767" s="58">
        <f t="shared" si="16"/>
        <v>76</v>
      </c>
      <c r="L5767" s="91" t="str">
        <f t="shared" si="8"/>
        <v>Sun</v>
      </c>
      <c r="M5767" s="78" t="str">
        <f>IFERROR(VLOOKUP(A5767, Entries!A:B,2,false),"")</f>
        <v>Bethesda Softworks</v>
      </c>
      <c r="N5767" s="23" t="str">
        <f>IFERROR(VLOOKUP(A5767, Entries!A:K,11,false),"")</f>
        <v/>
      </c>
    </row>
    <row r="5768">
      <c r="A5768" s="78" t="s">
        <v>6533</v>
      </c>
      <c r="B5768" s="78" t="s">
        <v>22</v>
      </c>
      <c r="C5768" s="85">
        <v>45404.0</v>
      </c>
      <c r="D5768" s="85">
        <v>45404.0</v>
      </c>
      <c r="E5768" s="86">
        <v>19.07</v>
      </c>
      <c r="F5768" s="87">
        <v>24.44</v>
      </c>
      <c r="G5768" s="88">
        <f t="shared" si="1"/>
        <v>5.37</v>
      </c>
      <c r="H5768" s="89">
        <f t="shared" si="15"/>
        <v>0.2197217676</v>
      </c>
      <c r="I5768" s="78" t="s">
        <v>6635</v>
      </c>
      <c r="J5768" s="78" t="s">
        <v>69</v>
      </c>
      <c r="K5768" s="58">
        <f t="shared" si="16"/>
        <v>0</v>
      </c>
      <c r="L5768" s="91" t="str">
        <f t="shared" si="8"/>
        <v>Mon</v>
      </c>
      <c r="M5768" s="78" t="str">
        <f>IFERROR(VLOOKUP(A5768, Entries!A:B,2,false),"")</f>
        <v>VOID Interactive</v>
      </c>
      <c r="N5768" s="23" t="str">
        <f>IFERROR(VLOOKUP(A5768, Entries!A:K,11,false),"")</f>
        <v/>
      </c>
    </row>
    <row r="5769">
      <c r="A5769" s="78" t="s">
        <v>6533</v>
      </c>
      <c r="B5769" s="78" t="s">
        <v>22</v>
      </c>
      <c r="C5769" s="85">
        <v>45404.0</v>
      </c>
      <c r="D5769" s="85">
        <v>45404.0</v>
      </c>
      <c r="E5769" s="86">
        <v>19.07</v>
      </c>
      <c r="F5769" s="87">
        <v>24.44</v>
      </c>
      <c r="G5769" s="88">
        <f t="shared" si="1"/>
        <v>5.37</v>
      </c>
      <c r="H5769" s="89">
        <f t="shared" si="15"/>
        <v>0.2197217676</v>
      </c>
      <c r="I5769" s="78" t="s">
        <v>6636</v>
      </c>
      <c r="J5769" s="78" t="s">
        <v>69</v>
      </c>
      <c r="K5769" s="58">
        <f t="shared" si="16"/>
        <v>0</v>
      </c>
      <c r="L5769" s="91" t="str">
        <f t="shared" si="8"/>
        <v>Mon</v>
      </c>
      <c r="M5769" s="78" t="str">
        <f>IFERROR(VLOOKUP(A5769, Entries!A:B,2,false),"")</f>
        <v>VOID Interactive</v>
      </c>
      <c r="N5769" s="23" t="str">
        <f>IFERROR(VLOOKUP(A5769, Entries!A:K,11,false),"")</f>
        <v/>
      </c>
    </row>
    <row r="5770">
      <c r="A5770" s="78" t="s">
        <v>1922</v>
      </c>
      <c r="B5770" s="78" t="s">
        <v>19</v>
      </c>
      <c r="C5770" s="85">
        <v>45404.0</v>
      </c>
      <c r="D5770" s="85">
        <v>45758.0</v>
      </c>
      <c r="E5770" s="86">
        <v>12.3</v>
      </c>
      <c r="F5770" s="87">
        <v>14.82</v>
      </c>
      <c r="G5770" s="88">
        <f t="shared" si="1"/>
        <v>2.52</v>
      </c>
      <c r="H5770" s="89">
        <f t="shared" si="15"/>
        <v>0.1700404858</v>
      </c>
      <c r="I5770" s="103" t="s">
        <v>6637</v>
      </c>
      <c r="J5770" s="78" t="s">
        <v>69</v>
      </c>
      <c r="K5770" s="58">
        <f t="shared" si="16"/>
        <v>354</v>
      </c>
      <c r="L5770" s="91" t="str">
        <f t="shared" si="8"/>
        <v>Fri</v>
      </c>
      <c r="M5770" s="78" t="str">
        <f>IFERROR(VLOOKUP(A5770, Entries!A:B,2,false),"")</f>
        <v>Rebellion</v>
      </c>
      <c r="N5770" s="23" t="str">
        <f>IFERROR(VLOOKUP(A5770, Entries!A:K,11,false),"")</f>
        <v/>
      </c>
    </row>
    <row r="5771">
      <c r="A5771" s="78" t="s">
        <v>1389</v>
      </c>
      <c r="B5771" s="78" t="s">
        <v>23</v>
      </c>
      <c r="C5771" s="85">
        <v>45404.0</v>
      </c>
      <c r="D5771" s="85">
        <v>45404.0</v>
      </c>
      <c r="E5771" s="86">
        <v>8.15</v>
      </c>
      <c r="F5771" s="87">
        <v>12.86</v>
      </c>
      <c r="G5771" s="88">
        <f t="shared" si="1"/>
        <v>4.71</v>
      </c>
      <c r="H5771" s="89">
        <f t="shared" si="15"/>
        <v>0.366251944</v>
      </c>
      <c r="I5771" s="78" t="s">
        <v>6638</v>
      </c>
      <c r="J5771" s="78" t="s">
        <v>69</v>
      </c>
      <c r="K5771" s="58">
        <f t="shared" si="16"/>
        <v>0</v>
      </c>
      <c r="L5771" s="91" t="str">
        <f t="shared" si="8"/>
        <v>Mon</v>
      </c>
      <c r="M5771" s="78" t="str">
        <f>IFERROR(VLOOKUP(A5771, Entries!A:B,2,false),"")</f>
        <v>Eugen Systems</v>
      </c>
      <c r="N5771" s="23" t="str">
        <f>IFERROR(VLOOKUP(A5771, Entries!A:K,11,false),"")</f>
        <v/>
      </c>
    </row>
    <row r="5772">
      <c r="A5772" s="78" t="s">
        <v>1389</v>
      </c>
      <c r="B5772" s="78" t="s">
        <v>23</v>
      </c>
      <c r="C5772" s="85">
        <v>45404.0</v>
      </c>
      <c r="D5772" s="85">
        <v>45404.0</v>
      </c>
      <c r="E5772" s="86">
        <v>8.15</v>
      </c>
      <c r="F5772" s="87">
        <v>12.86</v>
      </c>
      <c r="G5772" s="88">
        <f t="shared" si="1"/>
        <v>4.71</v>
      </c>
      <c r="H5772" s="89">
        <f t="shared" si="15"/>
        <v>0.366251944</v>
      </c>
      <c r="I5772" s="78" t="s">
        <v>6639</v>
      </c>
      <c r="J5772" s="78" t="s">
        <v>69</v>
      </c>
      <c r="K5772" s="58">
        <f t="shared" si="16"/>
        <v>0</v>
      </c>
      <c r="L5772" s="91" t="str">
        <f t="shared" si="8"/>
        <v>Mon</v>
      </c>
      <c r="M5772" s="78" t="str">
        <f>IFERROR(VLOOKUP(A5772, Entries!A:B,2,false),"")</f>
        <v>Eugen Systems</v>
      </c>
      <c r="N5772" s="23" t="str">
        <f>IFERROR(VLOOKUP(A5772, Entries!A:K,11,false),"")</f>
        <v/>
      </c>
    </row>
    <row r="5773">
      <c r="A5773" s="78" t="s">
        <v>1389</v>
      </c>
      <c r="B5773" s="78" t="s">
        <v>23</v>
      </c>
      <c r="C5773" s="85">
        <v>45404.0</v>
      </c>
      <c r="D5773" s="85">
        <v>45404.0</v>
      </c>
      <c r="E5773" s="86">
        <v>8.15</v>
      </c>
      <c r="F5773" s="87">
        <v>12.86</v>
      </c>
      <c r="G5773" s="88">
        <f t="shared" si="1"/>
        <v>4.71</v>
      </c>
      <c r="H5773" s="89">
        <f t="shared" si="15"/>
        <v>0.366251944</v>
      </c>
      <c r="I5773" s="78" t="s">
        <v>6640</v>
      </c>
      <c r="J5773" s="78" t="s">
        <v>69</v>
      </c>
      <c r="K5773" s="58">
        <f t="shared" si="16"/>
        <v>0</v>
      </c>
      <c r="L5773" s="91" t="str">
        <f t="shared" si="8"/>
        <v>Mon</v>
      </c>
      <c r="M5773" s="78" t="str">
        <f>IFERROR(VLOOKUP(A5773, Entries!A:B,2,false),"")</f>
        <v>Eugen Systems</v>
      </c>
      <c r="N5773" s="23" t="str">
        <f>IFERROR(VLOOKUP(A5773, Entries!A:K,11,false),"")</f>
        <v/>
      </c>
    </row>
    <row r="5774">
      <c r="A5774" s="78" t="s">
        <v>1389</v>
      </c>
      <c r="B5774" s="78" t="s">
        <v>23</v>
      </c>
      <c r="C5774" s="85">
        <v>45404.0</v>
      </c>
      <c r="D5774" s="85">
        <v>45410.0</v>
      </c>
      <c r="E5774" s="86">
        <v>8.15</v>
      </c>
      <c r="F5774" s="87">
        <v>9.99</v>
      </c>
      <c r="G5774" s="88">
        <f t="shared" si="1"/>
        <v>1.84</v>
      </c>
      <c r="H5774" s="89">
        <f t="shared" si="15"/>
        <v>0.1841841842</v>
      </c>
      <c r="I5774" s="78" t="s">
        <v>6641</v>
      </c>
      <c r="J5774" s="78" t="s">
        <v>69</v>
      </c>
      <c r="K5774" s="58">
        <f t="shared" si="16"/>
        <v>6</v>
      </c>
      <c r="L5774" s="91" t="str">
        <f t="shared" si="8"/>
        <v>Sun</v>
      </c>
      <c r="M5774" s="78" t="str">
        <f>IFERROR(VLOOKUP(A5774, Entries!A:B,2,false),"")</f>
        <v>Eugen Systems</v>
      </c>
      <c r="N5774" s="23" t="str">
        <f>IFERROR(VLOOKUP(A5774, Entries!A:K,11,false),"")</f>
        <v/>
      </c>
    </row>
    <row r="5775">
      <c r="A5775" s="78" t="s">
        <v>5768</v>
      </c>
      <c r="B5775" s="78" t="s">
        <v>22</v>
      </c>
      <c r="C5775" s="85">
        <v>45404.0</v>
      </c>
      <c r="D5775" s="85">
        <v>45404.0</v>
      </c>
      <c r="E5775" s="86">
        <v>8.09</v>
      </c>
      <c r="F5775" s="87">
        <v>14.5</v>
      </c>
      <c r="G5775" s="88">
        <f t="shared" si="1"/>
        <v>6.41</v>
      </c>
      <c r="H5775" s="89">
        <f t="shared" si="15"/>
        <v>0.4420689655</v>
      </c>
      <c r="I5775" s="78" t="s">
        <v>6642</v>
      </c>
      <c r="J5775" s="78" t="s">
        <v>69</v>
      </c>
      <c r="K5775" s="58">
        <f t="shared" si="16"/>
        <v>0</v>
      </c>
      <c r="L5775" s="91" t="str">
        <f t="shared" si="8"/>
        <v>Mon</v>
      </c>
      <c r="M5775" s="78" t="str">
        <f>IFERROR(VLOOKUP(A5775, Entries!A:B,2,false),"")</f>
        <v>10 Chambers</v>
      </c>
      <c r="N5775" s="23" t="str">
        <f>IFERROR(VLOOKUP(A5775, Entries!A:K,11,false),"")</f>
        <v/>
      </c>
    </row>
    <row r="5776">
      <c r="A5776" s="78" t="s">
        <v>5768</v>
      </c>
      <c r="B5776" s="78" t="s">
        <v>22</v>
      </c>
      <c r="C5776" s="85">
        <v>45404.0</v>
      </c>
      <c r="D5776" s="85">
        <v>45405.0</v>
      </c>
      <c r="E5776" s="86">
        <v>8.09</v>
      </c>
      <c r="F5776" s="87">
        <v>14.51</v>
      </c>
      <c r="G5776" s="88">
        <f t="shared" si="1"/>
        <v>6.42</v>
      </c>
      <c r="H5776" s="89">
        <f t="shared" si="15"/>
        <v>0.4424534804</v>
      </c>
      <c r="I5776" s="78" t="s">
        <v>6643</v>
      </c>
      <c r="J5776" s="78" t="s">
        <v>69</v>
      </c>
      <c r="K5776" s="58">
        <f t="shared" si="16"/>
        <v>1</v>
      </c>
      <c r="L5776" s="91" t="str">
        <f t="shared" si="8"/>
        <v>Tue</v>
      </c>
      <c r="M5776" s="78" t="str">
        <f>IFERROR(VLOOKUP(A5776, Entries!A:B,2,false),"")</f>
        <v>10 Chambers</v>
      </c>
      <c r="N5776" s="23" t="str">
        <f>IFERROR(VLOOKUP(A5776, Entries!A:K,11,false),"")</f>
        <v/>
      </c>
    </row>
    <row r="5777">
      <c r="A5777" s="78" t="s">
        <v>4085</v>
      </c>
      <c r="B5777" s="78" t="s">
        <v>27</v>
      </c>
      <c r="C5777" s="85">
        <v>45404.0</v>
      </c>
      <c r="D5777" s="85">
        <v>45405.0</v>
      </c>
      <c r="E5777" s="86">
        <v>6.02</v>
      </c>
      <c r="F5777" s="87">
        <v>7.31</v>
      </c>
      <c r="G5777" s="88">
        <f t="shared" si="1"/>
        <v>1.29</v>
      </c>
      <c r="H5777" s="89">
        <f t="shared" si="15"/>
        <v>0.1764705882</v>
      </c>
      <c r="I5777" s="78" t="s">
        <v>6644</v>
      </c>
      <c r="J5777" s="78" t="s">
        <v>69</v>
      </c>
      <c r="K5777" s="58">
        <f t="shared" si="16"/>
        <v>1</v>
      </c>
      <c r="L5777" s="91" t="str">
        <f t="shared" si="8"/>
        <v>Tue</v>
      </c>
      <c r="M5777" s="78" t="str">
        <f>IFERROR(VLOOKUP(A5777, Entries!A:B,2,false),"")</f>
        <v>Bethesda Softworks</v>
      </c>
      <c r="N5777" s="23" t="str">
        <f>IFERROR(VLOOKUP(A5777, Entries!A:K,11,false),"")</f>
        <v/>
      </c>
    </row>
    <row r="5778">
      <c r="A5778" s="78" t="s">
        <v>4085</v>
      </c>
      <c r="B5778" s="78" t="s">
        <v>27</v>
      </c>
      <c r="C5778" s="85">
        <v>45404.0</v>
      </c>
      <c r="D5778" s="85">
        <v>45405.0</v>
      </c>
      <c r="E5778" s="86">
        <v>6.03</v>
      </c>
      <c r="F5778" s="87">
        <v>7.31</v>
      </c>
      <c r="G5778" s="88">
        <f t="shared" si="1"/>
        <v>1.28</v>
      </c>
      <c r="H5778" s="89">
        <f t="shared" si="15"/>
        <v>0.1751025992</v>
      </c>
      <c r="I5778" s="78" t="s">
        <v>6645</v>
      </c>
      <c r="J5778" s="78" t="s">
        <v>69</v>
      </c>
      <c r="K5778" s="58">
        <f t="shared" si="16"/>
        <v>1</v>
      </c>
      <c r="L5778" s="91" t="str">
        <f t="shared" si="8"/>
        <v>Tue</v>
      </c>
      <c r="M5778" s="78" t="str">
        <f>IFERROR(VLOOKUP(A5778, Entries!A:B,2,false),"")</f>
        <v>Bethesda Softworks</v>
      </c>
      <c r="N5778" s="23" t="str">
        <f>IFERROR(VLOOKUP(A5778, Entries!A:K,11,false),"")</f>
        <v/>
      </c>
    </row>
    <row r="5779">
      <c r="A5779" s="78" t="s">
        <v>4926</v>
      </c>
      <c r="B5779" s="78" t="s">
        <v>23</v>
      </c>
      <c r="C5779" s="85">
        <v>45405.0</v>
      </c>
      <c r="D5779" s="85">
        <v>45405.0</v>
      </c>
      <c r="E5779" s="86">
        <v>9.31</v>
      </c>
      <c r="F5779" s="87">
        <v>19.0</v>
      </c>
      <c r="G5779" s="88">
        <f t="shared" si="1"/>
        <v>9.69</v>
      </c>
      <c r="H5779" s="89">
        <f t="shared" si="15"/>
        <v>0.51</v>
      </c>
      <c r="I5779" s="78" t="s">
        <v>6646</v>
      </c>
      <c r="J5779" s="78" t="s">
        <v>69</v>
      </c>
      <c r="K5779" s="58">
        <f t="shared" si="16"/>
        <v>0</v>
      </c>
      <c r="L5779" s="91" t="str">
        <f t="shared" si="8"/>
        <v>Tue</v>
      </c>
      <c r="M5779" s="78" t="str">
        <f>IFERROR(VLOOKUP(A5779, Entries!A:B,2,false),"")</f>
        <v>Bethesda Softworks</v>
      </c>
      <c r="N5779" s="23" t="str">
        <f>IFERROR(VLOOKUP(A5779, Entries!A:K,11,false),"")</f>
        <v/>
      </c>
    </row>
    <row r="5780">
      <c r="A5780" s="78" t="s">
        <v>4926</v>
      </c>
      <c r="B5780" s="78" t="s">
        <v>27</v>
      </c>
      <c r="C5780" s="85">
        <v>45405.0</v>
      </c>
      <c r="D5780" s="85">
        <v>45405.0</v>
      </c>
      <c r="E5780" s="86">
        <v>7.84</v>
      </c>
      <c r="F5780" s="87">
        <v>8.76</v>
      </c>
      <c r="G5780" s="88">
        <f t="shared" si="1"/>
        <v>0.92</v>
      </c>
      <c r="H5780" s="89">
        <f t="shared" si="15"/>
        <v>0.1050228311</v>
      </c>
      <c r="I5780" s="78" t="s">
        <v>6647</v>
      </c>
      <c r="J5780" s="78" t="s">
        <v>69</v>
      </c>
      <c r="K5780" s="58">
        <f t="shared" si="16"/>
        <v>0</v>
      </c>
      <c r="L5780" s="91" t="str">
        <f t="shared" si="8"/>
        <v>Tue</v>
      </c>
      <c r="M5780" s="78" t="str">
        <f>IFERROR(VLOOKUP(A5780, Entries!A:B,2,false),"")</f>
        <v>Bethesda Softworks</v>
      </c>
      <c r="N5780" s="23" t="str">
        <f>IFERROR(VLOOKUP(A5780, Entries!A:K,11,false),"")</f>
        <v/>
      </c>
    </row>
    <row r="5781">
      <c r="A5781" s="78" t="s">
        <v>4926</v>
      </c>
      <c r="B5781" s="78" t="s">
        <v>27</v>
      </c>
      <c r="C5781" s="85">
        <v>45405.0</v>
      </c>
      <c r="D5781" s="85">
        <v>45405.0</v>
      </c>
      <c r="E5781" s="86">
        <v>7.84</v>
      </c>
      <c r="F5781" s="87">
        <v>13.71</v>
      </c>
      <c r="G5781" s="88">
        <f t="shared" si="1"/>
        <v>5.87</v>
      </c>
      <c r="H5781" s="89">
        <f t="shared" si="15"/>
        <v>0.4281546317</v>
      </c>
      <c r="I5781" s="78" t="s">
        <v>6648</v>
      </c>
      <c r="J5781" s="78" t="s">
        <v>69</v>
      </c>
      <c r="K5781" s="58">
        <f t="shared" si="16"/>
        <v>0</v>
      </c>
      <c r="L5781" s="91" t="str">
        <f t="shared" si="8"/>
        <v>Tue</v>
      </c>
      <c r="M5781" s="78" t="str">
        <f>IFERROR(VLOOKUP(A5781, Entries!A:B,2,false),"")</f>
        <v>Bethesda Softworks</v>
      </c>
      <c r="N5781" s="23" t="str">
        <f>IFERROR(VLOOKUP(A5781, Entries!A:K,11,false),"")</f>
        <v/>
      </c>
    </row>
    <row r="5782">
      <c r="A5782" s="78" t="s">
        <v>4926</v>
      </c>
      <c r="B5782" s="78" t="s">
        <v>27</v>
      </c>
      <c r="C5782" s="85">
        <v>45405.0</v>
      </c>
      <c r="D5782" s="85">
        <v>45405.0</v>
      </c>
      <c r="E5782" s="86">
        <v>7.85</v>
      </c>
      <c r="F5782" s="87">
        <v>13.55</v>
      </c>
      <c r="G5782" s="88">
        <f t="shared" si="1"/>
        <v>5.7</v>
      </c>
      <c r="H5782" s="89">
        <f t="shared" si="15"/>
        <v>0.4206642066</v>
      </c>
      <c r="I5782" s="78" t="s">
        <v>6649</v>
      </c>
      <c r="J5782" s="78" t="s">
        <v>69</v>
      </c>
      <c r="K5782" s="58">
        <f t="shared" si="16"/>
        <v>0</v>
      </c>
      <c r="L5782" s="91" t="str">
        <f t="shared" si="8"/>
        <v>Tue</v>
      </c>
      <c r="M5782" s="78" t="str">
        <f>IFERROR(VLOOKUP(A5782, Entries!A:B,2,false),"")</f>
        <v>Bethesda Softworks</v>
      </c>
      <c r="N5782" s="23" t="str">
        <f>IFERROR(VLOOKUP(A5782, Entries!A:K,11,false),"")</f>
        <v/>
      </c>
    </row>
    <row r="5783">
      <c r="A5783" s="78" t="s">
        <v>1034</v>
      </c>
      <c r="B5783" s="78" t="s">
        <v>23</v>
      </c>
      <c r="C5783" s="85">
        <v>45405.0</v>
      </c>
      <c r="D5783" s="85">
        <v>45407.0</v>
      </c>
      <c r="E5783" s="86">
        <v>6.13</v>
      </c>
      <c r="F5783" s="87">
        <v>6.65</v>
      </c>
      <c r="G5783" s="88">
        <f t="shared" si="1"/>
        <v>0.52</v>
      </c>
      <c r="H5783" s="89">
        <f t="shared" si="15"/>
        <v>0.07819548872</v>
      </c>
      <c r="I5783" s="78" t="s">
        <v>6650</v>
      </c>
      <c r="J5783" s="78" t="s">
        <v>69</v>
      </c>
      <c r="K5783" s="58">
        <f t="shared" si="16"/>
        <v>2</v>
      </c>
      <c r="L5783" s="91" t="str">
        <f t="shared" si="8"/>
        <v>Thu</v>
      </c>
      <c r="M5783" s="78" t="str">
        <f>IFERROR(VLOOKUP(A5783, Entries!A:B,2,false),"")</f>
        <v>Eugen Systems</v>
      </c>
      <c r="N5783" s="23" t="str">
        <f>IFERROR(VLOOKUP(A5783, Entries!A:K,11,false),"")</f>
        <v/>
      </c>
    </row>
    <row r="5784">
      <c r="A5784" s="78" t="s">
        <v>5768</v>
      </c>
      <c r="B5784" s="78" t="s">
        <v>22</v>
      </c>
      <c r="C5784" s="85">
        <v>45405.0</v>
      </c>
      <c r="D5784" s="85">
        <v>45410.0</v>
      </c>
      <c r="E5784" s="86">
        <v>8.08</v>
      </c>
      <c r="F5784" s="87">
        <v>15.73</v>
      </c>
      <c r="G5784" s="88">
        <f t="shared" si="1"/>
        <v>7.65</v>
      </c>
      <c r="H5784" s="89">
        <f t="shared" si="15"/>
        <v>0.48633185</v>
      </c>
      <c r="I5784" s="78" t="s">
        <v>6651</v>
      </c>
      <c r="J5784" s="78" t="s">
        <v>69</v>
      </c>
      <c r="K5784" s="58">
        <f t="shared" si="16"/>
        <v>5</v>
      </c>
      <c r="L5784" s="91" t="str">
        <f t="shared" si="8"/>
        <v>Sun</v>
      </c>
      <c r="M5784" s="78" t="str">
        <f>IFERROR(VLOOKUP(A5784, Entries!A:B,2,false),"")</f>
        <v>10 Chambers</v>
      </c>
      <c r="N5784" s="23" t="str">
        <f>IFERROR(VLOOKUP(A5784, Entries!A:K,11,false),"")</f>
        <v/>
      </c>
    </row>
    <row r="5785">
      <c r="A5785" s="78" t="s">
        <v>5768</v>
      </c>
      <c r="B5785" s="78" t="s">
        <v>22</v>
      </c>
      <c r="C5785" s="85">
        <v>45405.0</v>
      </c>
      <c r="D5785" s="85">
        <v>45409.0</v>
      </c>
      <c r="E5785" s="86">
        <v>8.08</v>
      </c>
      <c r="F5785" s="87">
        <v>14.52</v>
      </c>
      <c r="G5785" s="88">
        <f t="shared" si="1"/>
        <v>6.44</v>
      </c>
      <c r="H5785" s="89">
        <f t="shared" si="15"/>
        <v>0.4435261708</v>
      </c>
      <c r="I5785" s="78" t="s">
        <v>6652</v>
      </c>
      <c r="J5785" s="78" t="s">
        <v>69</v>
      </c>
      <c r="K5785" s="58">
        <f t="shared" si="16"/>
        <v>4</v>
      </c>
      <c r="L5785" s="91" t="str">
        <f t="shared" si="8"/>
        <v>Sat</v>
      </c>
      <c r="M5785" s="78" t="str">
        <f>IFERROR(VLOOKUP(A5785, Entries!A:B,2,false),"")</f>
        <v>10 Chambers</v>
      </c>
      <c r="N5785" s="23" t="str">
        <f>IFERROR(VLOOKUP(A5785, Entries!A:K,11,false),"")</f>
        <v/>
      </c>
    </row>
    <row r="5786">
      <c r="A5786" s="78" t="s">
        <v>4928</v>
      </c>
      <c r="B5786" s="78" t="s">
        <v>19</v>
      </c>
      <c r="C5786" s="85">
        <v>45405.0</v>
      </c>
      <c r="D5786" s="85">
        <v>45406.0</v>
      </c>
      <c r="E5786" s="86">
        <v>28.48</v>
      </c>
      <c r="F5786" s="87">
        <v>36.51</v>
      </c>
      <c r="G5786" s="88">
        <f t="shared" si="1"/>
        <v>8.03</v>
      </c>
      <c r="H5786" s="89">
        <f t="shared" si="15"/>
        <v>0.2199397425</v>
      </c>
      <c r="I5786" s="78" t="s">
        <v>6653</v>
      </c>
      <c r="J5786" s="78" t="s">
        <v>69</v>
      </c>
      <c r="K5786" s="58">
        <f t="shared" si="16"/>
        <v>1</v>
      </c>
      <c r="L5786" s="91" t="str">
        <f t="shared" si="8"/>
        <v>Wed</v>
      </c>
      <c r="M5786" s="78" t="str">
        <f>IFERROR(VLOOKUP(A5786, Entries!A:B,2,false),"")</f>
        <v>Eleventh Hour Games</v>
      </c>
      <c r="N5786" s="23" t="str">
        <f>IFERROR(VLOOKUP(A5786, Entries!A:K,11,false),"")</f>
        <v/>
      </c>
    </row>
    <row r="5787">
      <c r="A5787" s="78" t="s">
        <v>4926</v>
      </c>
      <c r="B5787" s="78" t="s">
        <v>27</v>
      </c>
      <c r="C5787" s="85">
        <v>45405.0</v>
      </c>
      <c r="D5787" s="85">
        <v>45405.0</v>
      </c>
      <c r="E5787" s="86">
        <v>7.12</v>
      </c>
      <c r="F5787" s="87">
        <v>13.58</v>
      </c>
      <c r="G5787" s="88">
        <f t="shared" si="1"/>
        <v>6.46</v>
      </c>
      <c r="H5787" s="89">
        <f t="shared" si="15"/>
        <v>0.4756995582</v>
      </c>
      <c r="I5787" s="78" t="s">
        <v>6654</v>
      </c>
      <c r="J5787" s="78" t="s">
        <v>69</v>
      </c>
      <c r="K5787" s="58">
        <f t="shared" si="16"/>
        <v>0</v>
      </c>
      <c r="L5787" s="91" t="str">
        <f t="shared" si="8"/>
        <v>Tue</v>
      </c>
      <c r="M5787" s="78" t="str">
        <f>IFERROR(VLOOKUP(A5787, Entries!A:B,2,false),"")</f>
        <v>Bethesda Softworks</v>
      </c>
      <c r="N5787" s="23" t="str">
        <f>IFERROR(VLOOKUP(A5787, Entries!A:K,11,false),"")</f>
        <v/>
      </c>
    </row>
    <row r="5788">
      <c r="A5788" s="78" t="s">
        <v>4926</v>
      </c>
      <c r="B5788" s="78" t="s">
        <v>27</v>
      </c>
      <c r="C5788" s="85">
        <v>45405.0</v>
      </c>
      <c r="D5788" s="85">
        <v>45405.0</v>
      </c>
      <c r="E5788" s="86">
        <v>7.13</v>
      </c>
      <c r="F5788" s="87">
        <v>13.5</v>
      </c>
      <c r="G5788" s="88">
        <f t="shared" si="1"/>
        <v>6.37</v>
      </c>
      <c r="H5788" s="89">
        <f t="shared" si="15"/>
        <v>0.4718518519</v>
      </c>
      <c r="I5788" s="78" t="s">
        <v>6655</v>
      </c>
      <c r="J5788" s="78" t="s">
        <v>69</v>
      </c>
      <c r="K5788" s="58">
        <f t="shared" si="16"/>
        <v>0</v>
      </c>
      <c r="L5788" s="91" t="str">
        <f t="shared" si="8"/>
        <v>Tue</v>
      </c>
      <c r="M5788" s="78" t="str">
        <f>IFERROR(VLOOKUP(A5788, Entries!A:B,2,false),"")</f>
        <v>Bethesda Softworks</v>
      </c>
      <c r="N5788" s="23" t="str">
        <f>IFERROR(VLOOKUP(A5788, Entries!A:K,11,false),"")</f>
        <v/>
      </c>
    </row>
    <row r="5789">
      <c r="A5789" s="78" t="s">
        <v>4926</v>
      </c>
      <c r="B5789" s="78" t="s">
        <v>27</v>
      </c>
      <c r="C5789" s="85">
        <v>45405.0</v>
      </c>
      <c r="D5789" s="85">
        <v>45405.0</v>
      </c>
      <c r="E5789" s="86">
        <v>7.13</v>
      </c>
      <c r="F5789" s="87">
        <v>13.5</v>
      </c>
      <c r="G5789" s="88">
        <f t="shared" si="1"/>
        <v>6.37</v>
      </c>
      <c r="H5789" s="89">
        <f t="shared" si="15"/>
        <v>0.4718518519</v>
      </c>
      <c r="I5789" s="78" t="s">
        <v>6656</v>
      </c>
      <c r="J5789" s="78" t="s">
        <v>69</v>
      </c>
      <c r="K5789" s="58">
        <f t="shared" si="16"/>
        <v>0</v>
      </c>
      <c r="L5789" s="91" t="str">
        <f t="shared" si="8"/>
        <v>Tue</v>
      </c>
      <c r="M5789" s="78" t="str">
        <f>IFERROR(VLOOKUP(A5789, Entries!A:B,2,false),"")</f>
        <v>Bethesda Softworks</v>
      </c>
      <c r="N5789" s="23" t="str">
        <f>IFERROR(VLOOKUP(A5789, Entries!A:K,11,false),"")</f>
        <v/>
      </c>
    </row>
    <row r="5790">
      <c r="A5790" s="78" t="s">
        <v>4926</v>
      </c>
      <c r="B5790" s="78" t="s">
        <v>27</v>
      </c>
      <c r="C5790" s="85">
        <v>45405.0</v>
      </c>
      <c r="D5790" s="85">
        <v>45406.0</v>
      </c>
      <c r="E5790" s="86">
        <v>7.49</v>
      </c>
      <c r="F5790" s="87">
        <v>13.47</v>
      </c>
      <c r="G5790" s="88">
        <f t="shared" si="1"/>
        <v>5.98</v>
      </c>
      <c r="H5790" s="89">
        <f t="shared" si="15"/>
        <v>0.4439495174</v>
      </c>
      <c r="I5790" s="78" t="s">
        <v>6657</v>
      </c>
      <c r="J5790" s="78" t="s">
        <v>69</v>
      </c>
      <c r="K5790" s="58">
        <f t="shared" si="16"/>
        <v>1</v>
      </c>
      <c r="L5790" s="91" t="str">
        <f t="shared" si="8"/>
        <v>Wed</v>
      </c>
      <c r="M5790" s="78" t="str">
        <f>IFERROR(VLOOKUP(A5790, Entries!A:B,2,false),"")</f>
        <v>Bethesda Softworks</v>
      </c>
      <c r="N5790" s="23" t="str">
        <f>IFERROR(VLOOKUP(A5790, Entries!A:K,11,false),"")</f>
        <v/>
      </c>
    </row>
    <row r="5791">
      <c r="A5791" s="78" t="s">
        <v>4926</v>
      </c>
      <c r="B5791" s="78" t="s">
        <v>27</v>
      </c>
      <c r="C5791" s="85">
        <v>45405.0</v>
      </c>
      <c r="D5791" s="85">
        <v>45406.0</v>
      </c>
      <c r="E5791" s="86">
        <v>7.49</v>
      </c>
      <c r="F5791" s="87">
        <v>13.47</v>
      </c>
      <c r="G5791" s="88">
        <f t="shared" si="1"/>
        <v>5.98</v>
      </c>
      <c r="H5791" s="89">
        <f t="shared" si="15"/>
        <v>0.4439495174</v>
      </c>
      <c r="I5791" s="78" t="s">
        <v>6658</v>
      </c>
      <c r="J5791" s="78" t="s">
        <v>69</v>
      </c>
      <c r="K5791" s="58">
        <f t="shared" si="16"/>
        <v>1</v>
      </c>
      <c r="L5791" s="91" t="str">
        <f t="shared" si="8"/>
        <v>Wed</v>
      </c>
      <c r="M5791" s="78" t="str">
        <f>IFERROR(VLOOKUP(A5791, Entries!A:B,2,false),"")</f>
        <v>Bethesda Softworks</v>
      </c>
      <c r="N5791" s="23" t="str">
        <f>IFERROR(VLOOKUP(A5791, Entries!A:K,11,false),"")</f>
        <v/>
      </c>
    </row>
    <row r="5792">
      <c r="A5792" s="78" t="s">
        <v>4926</v>
      </c>
      <c r="B5792" s="78" t="s">
        <v>27</v>
      </c>
      <c r="C5792" s="85">
        <v>45405.0</v>
      </c>
      <c r="D5792" s="85">
        <v>45406.0</v>
      </c>
      <c r="E5792" s="86">
        <v>7.49</v>
      </c>
      <c r="F5792" s="87">
        <v>13.47</v>
      </c>
      <c r="G5792" s="88">
        <f t="shared" si="1"/>
        <v>5.98</v>
      </c>
      <c r="H5792" s="89">
        <f t="shared" si="15"/>
        <v>0.4439495174</v>
      </c>
      <c r="I5792" s="78" t="s">
        <v>6659</v>
      </c>
      <c r="J5792" s="78" t="s">
        <v>69</v>
      </c>
      <c r="K5792" s="58">
        <f t="shared" si="16"/>
        <v>1</v>
      </c>
      <c r="L5792" s="91" t="str">
        <f t="shared" si="8"/>
        <v>Wed</v>
      </c>
      <c r="M5792" s="78" t="str">
        <f>IFERROR(VLOOKUP(A5792, Entries!A:B,2,false),"")</f>
        <v>Bethesda Softworks</v>
      </c>
      <c r="N5792" s="23" t="str">
        <f>IFERROR(VLOOKUP(A5792, Entries!A:K,11,false),"")</f>
        <v/>
      </c>
    </row>
    <row r="5793">
      <c r="A5793" s="78" t="s">
        <v>4926</v>
      </c>
      <c r="B5793" s="78" t="s">
        <v>27</v>
      </c>
      <c r="C5793" s="85">
        <v>45405.0</v>
      </c>
      <c r="D5793" s="85">
        <v>45406.0</v>
      </c>
      <c r="E5793" s="86">
        <v>7.49</v>
      </c>
      <c r="F5793" s="87">
        <v>13.43</v>
      </c>
      <c r="G5793" s="88">
        <f t="shared" si="1"/>
        <v>5.94</v>
      </c>
      <c r="H5793" s="89">
        <f t="shared" si="15"/>
        <v>0.442293373</v>
      </c>
      <c r="I5793" s="78" t="s">
        <v>6660</v>
      </c>
      <c r="J5793" s="78" t="s">
        <v>69</v>
      </c>
      <c r="K5793" s="58">
        <f t="shared" si="16"/>
        <v>1</v>
      </c>
      <c r="L5793" s="91" t="str">
        <f t="shared" si="8"/>
        <v>Wed</v>
      </c>
      <c r="M5793" s="78" t="str">
        <f>IFERROR(VLOOKUP(A5793, Entries!A:B,2,false),"")</f>
        <v>Bethesda Softworks</v>
      </c>
      <c r="N5793" s="23" t="str">
        <f>IFERROR(VLOOKUP(A5793, Entries!A:K,11,false),"")</f>
        <v/>
      </c>
    </row>
    <row r="5794">
      <c r="A5794" s="78" t="s">
        <v>4926</v>
      </c>
      <c r="B5794" s="78" t="s">
        <v>27</v>
      </c>
      <c r="C5794" s="85">
        <v>45405.0</v>
      </c>
      <c r="D5794" s="85">
        <v>45406.0</v>
      </c>
      <c r="E5794" s="86">
        <v>7.49</v>
      </c>
      <c r="F5794" s="87">
        <v>13.43</v>
      </c>
      <c r="G5794" s="88">
        <f t="shared" si="1"/>
        <v>5.94</v>
      </c>
      <c r="H5794" s="89">
        <f t="shared" si="15"/>
        <v>0.442293373</v>
      </c>
      <c r="I5794" s="78" t="s">
        <v>6661</v>
      </c>
      <c r="J5794" s="78" t="s">
        <v>69</v>
      </c>
      <c r="K5794" s="58">
        <f t="shared" si="16"/>
        <v>1</v>
      </c>
      <c r="L5794" s="91" t="str">
        <f t="shared" si="8"/>
        <v>Wed</v>
      </c>
      <c r="M5794" s="78" t="str">
        <f>IFERROR(VLOOKUP(A5794, Entries!A:B,2,false),"")</f>
        <v>Bethesda Softworks</v>
      </c>
      <c r="N5794" s="23" t="str">
        <f>IFERROR(VLOOKUP(A5794, Entries!A:K,11,false),"")</f>
        <v/>
      </c>
    </row>
    <row r="5795">
      <c r="A5795" s="78" t="s">
        <v>4926</v>
      </c>
      <c r="B5795" s="78" t="s">
        <v>27</v>
      </c>
      <c r="C5795" s="85">
        <v>45406.0</v>
      </c>
      <c r="D5795" s="85">
        <v>45406.0</v>
      </c>
      <c r="E5795" s="86">
        <v>7.49</v>
      </c>
      <c r="F5795" s="87">
        <v>13.4</v>
      </c>
      <c r="G5795" s="88">
        <f t="shared" si="1"/>
        <v>5.91</v>
      </c>
      <c r="H5795" s="89">
        <f t="shared" si="15"/>
        <v>0.4410447761</v>
      </c>
      <c r="I5795" s="78" t="s">
        <v>6662</v>
      </c>
      <c r="J5795" s="78" t="s">
        <v>69</v>
      </c>
      <c r="K5795" s="58">
        <f t="shared" si="16"/>
        <v>0</v>
      </c>
      <c r="L5795" s="91" t="str">
        <f t="shared" si="8"/>
        <v>Wed</v>
      </c>
      <c r="M5795" s="78" t="str">
        <f>IFERROR(VLOOKUP(A5795, Entries!A:B,2,false),"")</f>
        <v>Bethesda Softworks</v>
      </c>
      <c r="N5795" s="23" t="str">
        <f>IFERROR(VLOOKUP(A5795, Entries!A:K,11,false),"")</f>
        <v/>
      </c>
    </row>
    <row r="5796">
      <c r="A5796" s="78" t="s">
        <v>4926</v>
      </c>
      <c r="B5796" s="78" t="s">
        <v>27</v>
      </c>
      <c r="C5796" s="85">
        <v>45406.0</v>
      </c>
      <c r="D5796" s="85">
        <v>45406.0</v>
      </c>
      <c r="E5796" s="86">
        <v>7.49</v>
      </c>
      <c r="F5796" s="87">
        <v>14.0</v>
      </c>
      <c r="G5796" s="88">
        <f t="shared" si="1"/>
        <v>6.51</v>
      </c>
      <c r="H5796" s="89">
        <f t="shared" si="15"/>
        <v>0.465</v>
      </c>
      <c r="I5796" s="78" t="s">
        <v>6663</v>
      </c>
      <c r="J5796" s="78" t="s">
        <v>69</v>
      </c>
      <c r="K5796" s="58">
        <f t="shared" si="16"/>
        <v>0</v>
      </c>
      <c r="L5796" s="91" t="str">
        <f t="shared" si="8"/>
        <v>Wed</v>
      </c>
      <c r="M5796" s="78" t="str">
        <f>IFERROR(VLOOKUP(A5796, Entries!A:B,2,false),"")</f>
        <v>Bethesda Softworks</v>
      </c>
      <c r="N5796" s="23" t="str">
        <f>IFERROR(VLOOKUP(A5796, Entries!A:K,11,false),"")</f>
        <v/>
      </c>
    </row>
    <row r="5797">
      <c r="A5797" s="78" t="s">
        <v>4926</v>
      </c>
      <c r="B5797" s="78" t="s">
        <v>27</v>
      </c>
      <c r="C5797" s="85">
        <v>45406.0</v>
      </c>
      <c r="D5797" s="85">
        <v>45406.0</v>
      </c>
      <c r="E5797" s="86">
        <v>7.49</v>
      </c>
      <c r="F5797" s="87">
        <v>14.0</v>
      </c>
      <c r="G5797" s="88">
        <f t="shared" si="1"/>
        <v>6.51</v>
      </c>
      <c r="H5797" s="89">
        <f t="shared" si="15"/>
        <v>0.465</v>
      </c>
      <c r="I5797" s="78" t="s">
        <v>6664</v>
      </c>
      <c r="J5797" s="78" t="s">
        <v>69</v>
      </c>
      <c r="K5797" s="58">
        <f t="shared" si="16"/>
        <v>0</v>
      </c>
      <c r="L5797" s="91" t="str">
        <f t="shared" si="8"/>
        <v>Wed</v>
      </c>
      <c r="M5797" s="78" t="str">
        <f>IFERROR(VLOOKUP(A5797, Entries!A:B,2,false),"")</f>
        <v>Bethesda Softworks</v>
      </c>
      <c r="N5797" s="23" t="str">
        <f>IFERROR(VLOOKUP(A5797, Entries!A:K,11,false),"")</f>
        <v/>
      </c>
    </row>
    <row r="5798">
      <c r="A5798" s="78" t="s">
        <v>4926</v>
      </c>
      <c r="B5798" s="78" t="s">
        <v>27</v>
      </c>
      <c r="C5798" s="85">
        <v>45406.0</v>
      </c>
      <c r="D5798" s="85">
        <v>45406.0</v>
      </c>
      <c r="E5798" s="86">
        <v>7.49</v>
      </c>
      <c r="F5798" s="87">
        <v>14.0</v>
      </c>
      <c r="G5798" s="88">
        <f t="shared" si="1"/>
        <v>6.51</v>
      </c>
      <c r="H5798" s="89">
        <f t="shared" si="15"/>
        <v>0.465</v>
      </c>
      <c r="I5798" s="78" t="s">
        <v>6665</v>
      </c>
      <c r="J5798" s="78" t="s">
        <v>69</v>
      </c>
      <c r="K5798" s="58">
        <f t="shared" si="16"/>
        <v>0</v>
      </c>
      <c r="L5798" s="91" t="str">
        <f t="shared" si="8"/>
        <v>Wed</v>
      </c>
      <c r="M5798" s="78" t="str">
        <f>IFERROR(VLOOKUP(A5798, Entries!A:B,2,false),"")</f>
        <v>Bethesda Softworks</v>
      </c>
      <c r="N5798" s="23" t="str">
        <f>IFERROR(VLOOKUP(A5798, Entries!A:K,11,false),"")</f>
        <v/>
      </c>
    </row>
    <row r="5799">
      <c r="A5799" s="78" t="s">
        <v>4926</v>
      </c>
      <c r="B5799" s="78" t="s">
        <v>27</v>
      </c>
      <c r="C5799" s="85">
        <v>45406.0</v>
      </c>
      <c r="D5799" s="85">
        <v>45406.0</v>
      </c>
      <c r="E5799" s="86">
        <v>7.49</v>
      </c>
      <c r="F5799" s="87">
        <v>14.0</v>
      </c>
      <c r="G5799" s="88">
        <f t="shared" si="1"/>
        <v>6.51</v>
      </c>
      <c r="H5799" s="89">
        <f t="shared" si="15"/>
        <v>0.465</v>
      </c>
      <c r="I5799" s="78" t="s">
        <v>6666</v>
      </c>
      <c r="J5799" s="78" t="s">
        <v>69</v>
      </c>
      <c r="K5799" s="58">
        <f t="shared" si="16"/>
        <v>0</v>
      </c>
      <c r="L5799" s="91" t="str">
        <f t="shared" si="8"/>
        <v>Wed</v>
      </c>
      <c r="M5799" s="78" t="str">
        <f>IFERROR(VLOOKUP(A5799, Entries!A:B,2,false),"")</f>
        <v>Bethesda Softworks</v>
      </c>
      <c r="N5799" s="23" t="str">
        <f>IFERROR(VLOOKUP(A5799, Entries!A:K,11,false),"")</f>
        <v/>
      </c>
    </row>
    <row r="5800">
      <c r="A5800" s="78" t="s">
        <v>4926</v>
      </c>
      <c r="B5800" s="78" t="s">
        <v>27</v>
      </c>
      <c r="C5800" s="85">
        <v>45406.0</v>
      </c>
      <c r="D5800" s="85">
        <v>45406.0</v>
      </c>
      <c r="E5800" s="86">
        <v>7.49</v>
      </c>
      <c r="F5800" s="87">
        <v>14.0</v>
      </c>
      <c r="G5800" s="88">
        <f t="shared" si="1"/>
        <v>6.51</v>
      </c>
      <c r="H5800" s="89">
        <f t="shared" si="15"/>
        <v>0.465</v>
      </c>
      <c r="I5800" s="78" t="s">
        <v>6667</v>
      </c>
      <c r="J5800" s="78" t="s">
        <v>69</v>
      </c>
      <c r="K5800" s="58">
        <f t="shared" si="16"/>
        <v>0</v>
      </c>
      <c r="L5800" s="91" t="str">
        <f t="shared" si="8"/>
        <v>Wed</v>
      </c>
      <c r="M5800" s="78" t="str">
        <f>IFERROR(VLOOKUP(A5800, Entries!A:B,2,false),"")</f>
        <v>Bethesda Softworks</v>
      </c>
      <c r="N5800" s="23" t="str">
        <f>IFERROR(VLOOKUP(A5800, Entries!A:K,11,false),"")</f>
        <v/>
      </c>
    </row>
    <row r="5801">
      <c r="A5801" s="78" t="s">
        <v>4926</v>
      </c>
      <c r="B5801" s="78" t="s">
        <v>27</v>
      </c>
      <c r="C5801" s="85">
        <v>45406.0</v>
      </c>
      <c r="D5801" s="85">
        <v>45406.0</v>
      </c>
      <c r="E5801" s="86">
        <v>7.49</v>
      </c>
      <c r="F5801" s="87">
        <v>14.0</v>
      </c>
      <c r="G5801" s="88">
        <f t="shared" si="1"/>
        <v>6.51</v>
      </c>
      <c r="H5801" s="89">
        <f t="shared" si="15"/>
        <v>0.465</v>
      </c>
      <c r="I5801" s="78" t="s">
        <v>6668</v>
      </c>
      <c r="J5801" s="78" t="s">
        <v>69</v>
      </c>
      <c r="K5801" s="58">
        <f t="shared" si="16"/>
        <v>0</v>
      </c>
      <c r="L5801" s="91" t="str">
        <f t="shared" si="8"/>
        <v>Wed</v>
      </c>
      <c r="M5801" s="78" t="str">
        <f>IFERROR(VLOOKUP(A5801, Entries!A:B,2,false),"")</f>
        <v>Bethesda Softworks</v>
      </c>
      <c r="N5801" s="23" t="str">
        <f>IFERROR(VLOOKUP(A5801, Entries!A:K,11,false),"")</f>
        <v/>
      </c>
    </row>
    <row r="5802">
      <c r="A5802" s="78" t="s">
        <v>4926</v>
      </c>
      <c r="B5802" s="78" t="s">
        <v>27</v>
      </c>
      <c r="C5802" s="85">
        <v>45406.0</v>
      </c>
      <c r="D5802" s="85">
        <v>45406.0</v>
      </c>
      <c r="E5802" s="86">
        <v>7.49</v>
      </c>
      <c r="F5802" s="87">
        <v>14.0</v>
      </c>
      <c r="G5802" s="88">
        <f t="shared" si="1"/>
        <v>6.51</v>
      </c>
      <c r="H5802" s="89">
        <f t="shared" si="15"/>
        <v>0.465</v>
      </c>
      <c r="I5802" s="78" t="s">
        <v>6669</v>
      </c>
      <c r="J5802" s="78" t="s">
        <v>69</v>
      </c>
      <c r="K5802" s="58">
        <f t="shared" si="16"/>
        <v>0</v>
      </c>
      <c r="L5802" s="91" t="str">
        <f t="shared" si="8"/>
        <v>Wed</v>
      </c>
      <c r="M5802" s="78" t="str">
        <f>IFERROR(VLOOKUP(A5802, Entries!A:B,2,false),"")</f>
        <v>Bethesda Softworks</v>
      </c>
      <c r="N5802" s="23" t="str">
        <f>IFERROR(VLOOKUP(A5802, Entries!A:K,11,false),"")</f>
        <v/>
      </c>
    </row>
    <row r="5803">
      <c r="A5803" s="78" t="s">
        <v>4926</v>
      </c>
      <c r="B5803" s="78" t="s">
        <v>27</v>
      </c>
      <c r="C5803" s="85">
        <v>45406.0</v>
      </c>
      <c r="D5803" s="85">
        <v>45406.0</v>
      </c>
      <c r="E5803" s="86">
        <v>7.49</v>
      </c>
      <c r="F5803" s="87">
        <v>14.0</v>
      </c>
      <c r="G5803" s="88">
        <f t="shared" si="1"/>
        <v>6.51</v>
      </c>
      <c r="H5803" s="89">
        <f t="shared" si="15"/>
        <v>0.465</v>
      </c>
      <c r="I5803" s="78" t="s">
        <v>6670</v>
      </c>
      <c r="J5803" s="78" t="s">
        <v>69</v>
      </c>
      <c r="K5803" s="58">
        <f t="shared" si="16"/>
        <v>0</v>
      </c>
      <c r="L5803" s="91" t="str">
        <f t="shared" si="8"/>
        <v>Wed</v>
      </c>
      <c r="M5803" s="78" t="str">
        <f>IFERROR(VLOOKUP(A5803, Entries!A:B,2,false),"")</f>
        <v>Bethesda Softworks</v>
      </c>
      <c r="N5803" s="23" t="str">
        <f>IFERROR(VLOOKUP(A5803, Entries!A:K,11,false),"")</f>
        <v/>
      </c>
    </row>
    <row r="5804">
      <c r="A5804" s="78" t="s">
        <v>4926</v>
      </c>
      <c r="B5804" s="78" t="s">
        <v>27</v>
      </c>
      <c r="C5804" s="85">
        <v>45406.0</v>
      </c>
      <c r="D5804" s="85">
        <v>45406.0</v>
      </c>
      <c r="E5804" s="86">
        <v>7.49</v>
      </c>
      <c r="F5804" s="87">
        <v>14.0</v>
      </c>
      <c r="G5804" s="88">
        <f t="shared" si="1"/>
        <v>6.51</v>
      </c>
      <c r="H5804" s="89">
        <f t="shared" si="15"/>
        <v>0.465</v>
      </c>
      <c r="I5804" s="78" t="s">
        <v>6671</v>
      </c>
      <c r="J5804" s="78" t="s">
        <v>69</v>
      </c>
      <c r="K5804" s="58">
        <f t="shared" si="16"/>
        <v>0</v>
      </c>
      <c r="L5804" s="91" t="str">
        <f t="shared" si="8"/>
        <v>Wed</v>
      </c>
      <c r="M5804" s="78" t="str">
        <f>IFERROR(VLOOKUP(A5804, Entries!A:B,2,false),"")</f>
        <v>Bethesda Softworks</v>
      </c>
      <c r="N5804" s="23" t="str">
        <f>IFERROR(VLOOKUP(A5804, Entries!A:K,11,false),"")</f>
        <v/>
      </c>
    </row>
    <row r="5805">
      <c r="A5805" s="78" t="s">
        <v>4926</v>
      </c>
      <c r="B5805" s="78" t="s">
        <v>27</v>
      </c>
      <c r="C5805" s="85">
        <v>45406.0</v>
      </c>
      <c r="D5805" s="85">
        <v>45406.0</v>
      </c>
      <c r="E5805" s="86">
        <v>7.49</v>
      </c>
      <c r="F5805" s="87">
        <v>14.0</v>
      </c>
      <c r="G5805" s="88">
        <f t="shared" si="1"/>
        <v>6.51</v>
      </c>
      <c r="H5805" s="89">
        <f t="shared" si="15"/>
        <v>0.465</v>
      </c>
      <c r="I5805" s="78" t="s">
        <v>6672</v>
      </c>
      <c r="J5805" s="78" t="s">
        <v>69</v>
      </c>
      <c r="K5805" s="58">
        <f t="shared" si="16"/>
        <v>0</v>
      </c>
      <c r="L5805" s="91" t="str">
        <f t="shared" si="8"/>
        <v>Wed</v>
      </c>
      <c r="M5805" s="78" t="str">
        <f>IFERROR(VLOOKUP(A5805, Entries!A:B,2,false),"")</f>
        <v>Bethesda Softworks</v>
      </c>
      <c r="N5805" s="23" t="str">
        <f>IFERROR(VLOOKUP(A5805, Entries!A:K,11,false),"")</f>
        <v/>
      </c>
    </row>
    <row r="5806">
      <c r="A5806" s="78" t="s">
        <v>4926</v>
      </c>
      <c r="B5806" s="78" t="s">
        <v>27</v>
      </c>
      <c r="C5806" s="85">
        <v>45406.0</v>
      </c>
      <c r="D5806" s="85">
        <v>45406.0</v>
      </c>
      <c r="E5806" s="86">
        <v>7.49</v>
      </c>
      <c r="F5806" s="87">
        <v>14.0</v>
      </c>
      <c r="G5806" s="88">
        <f t="shared" si="1"/>
        <v>6.51</v>
      </c>
      <c r="H5806" s="89">
        <f t="shared" si="15"/>
        <v>0.465</v>
      </c>
      <c r="I5806" s="78" t="s">
        <v>6673</v>
      </c>
      <c r="J5806" s="78" t="s">
        <v>69</v>
      </c>
      <c r="K5806" s="58">
        <f t="shared" si="16"/>
        <v>0</v>
      </c>
      <c r="L5806" s="91" t="str">
        <f t="shared" si="8"/>
        <v>Wed</v>
      </c>
      <c r="M5806" s="78" t="str">
        <f>IFERROR(VLOOKUP(A5806, Entries!A:B,2,false),"")</f>
        <v>Bethesda Softworks</v>
      </c>
      <c r="N5806" s="23" t="str">
        <f>IFERROR(VLOOKUP(A5806, Entries!A:K,11,false),"")</f>
        <v/>
      </c>
    </row>
    <row r="5807">
      <c r="A5807" s="78" t="s">
        <v>4926</v>
      </c>
      <c r="B5807" s="78" t="s">
        <v>27</v>
      </c>
      <c r="C5807" s="85">
        <v>45406.0</v>
      </c>
      <c r="D5807" s="85">
        <v>45406.0</v>
      </c>
      <c r="E5807" s="86">
        <v>7.49</v>
      </c>
      <c r="F5807" s="87">
        <v>14.0</v>
      </c>
      <c r="G5807" s="88">
        <f t="shared" si="1"/>
        <v>6.51</v>
      </c>
      <c r="H5807" s="89">
        <f t="shared" si="15"/>
        <v>0.465</v>
      </c>
      <c r="I5807" s="78" t="s">
        <v>6674</v>
      </c>
      <c r="J5807" s="78" t="s">
        <v>69</v>
      </c>
      <c r="K5807" s="58">
        <f t="shared" si="16"/>
        <v>0</v>
      </c>
      <c r="L5807" s="91" t="str">
        <f t="shared" si="8"/>
        <v>Wed</v>
      </c>
      <c r="M5807" s="78" t="str">
        <f>IFERROR(VLOOKUP(A5807, Entries!A:B,2,false),"")</f>
        <v>Bethesda Softworks</v>
      </c>
      <c r="N5807" s="23" t="str">
        <f>IFERROR(VLOOKUP(A5807, Entries!A:K,11,false),"")</f>
        <v/>
      </c>
    </row>
    <row r="5808">
      <c r="A5808" s="78" t="s">
        <v>4926</v>
      </c>
      <c r="B5808" s="78" t="s">
        <v>27</v>
      </c>
      <c r="C5808" s="85">
        <v>45406.0</v>
      </c>
      <c r="D5808" s="85">
        <v>45406.0</v>
      </c>
      <c r="E5808" s="86">
        <v>7.49</v>
      </c>
      <c r="F5808" s="87">
        <v>14.0</v>
      </c>
      <c r="G5808" s="88">
        <f t="shared" si="1"/>
        <v>6.51</v>
      </c>
      <c r="H5808" s="89">
        <f t="shared" si="15"/>
        <v>0.465</v>
      </c>
      <c r="I5808" s="78" t="s">
        <v>6675</v>
      </c>
      <c r="J5808" s="78" t="s">
        <v>69</v>
      </c>
      <c r="K5808" s="58">
        <f t="shared" si="16"/>
        <v>0</v>
      </c>
      <c r="L5808" s="91" t="str">
        <f t="shared" si="8"/>
        <v>Wed</v>
      </c>
      <c r="M5808" s="78" t="str">
        <f>IFERROR(VLOOKUP(A5808, Entries!A:B,2,false),"")</f>
        <v>Bethesda Softworks</v>
      </c>
      <c r="N5808" s="23" t="str">
        <f>IFERROR(VLOOKUP(A5808, Entries!A:K,11,false),"")</f>
        <v/>
      </c>
    </row>
    <row r="5809">
      <c r="A5809" s="78" t="s">
        <v>1034</v>
      </c>
      <c r="B5809" s="78" t="s">
        <v>23</v>
      </c>
      <c r="C5809" s="85">
        <v>45407.0</v>
      </c>
      <c r="D5809" s="85">
        <v>45407.0</v>
      </c>
      <c r="E5809" s="86">
        <v>6.1</v>
      </c>
      <c r="F5809" s="87">
        <v>7.22</v>
      </c>
      <c r="G5809" s="88">
        <f t="shared" si="1"/>
        <v>1.12</v>
      </c>
      <c r="H5809" s="89">
        <f t="shared" si="15"/>
        <v>0.1551246537</v>
      </c>
      <c r="I5809" s="78" t="s">
        <v>6676</v>
      </c>
      <c r="J5809" s="78" t="s">
        <v>69</v>
      </c>
      <c r="K5809" s="58">
        <f t="shared" si="16"/>
        <v>0</v>
      </c>
      <c r="L5809" s="91" t="str">
        <f t="shared" si="8"/>
        <v>Thu</v>
      </c>
      <c r="M5809" s="78" t="str">
        <f>IFERROR(VLOOKUP(A5809, Entries!A:B,2,false),"")</f>
        <v>Eugen Systems</v>
      </c>
      <c r="N5809" s="23" t="str">
        <f>IFERROR(VLOOKUP(A5809, Entries!A:K,11,false),"")</f>
        <v/>
      </c>
    </row>
    <row r="5810">
      <c r="A5810" s="78" t="s">
        <v>4928</v>
      </c>
      <c r="B5810" s="78" t="s">
        <v>19</v>
      </c>
      <c r="C5810" s="85">
        <v>45411.0</v>
      </c>
      <c r="D5810" s="85">
        <v>45412.0</v>
      </c>
      <c r="E5810" s="86">
        <v>28.21</v>
      </c>
      <c r="F5810" s="87">
        <v>34.39</v>
      </c>
      <c r="G5810" s="88">
        <f t="shared" si="1"/>
        <v>6.18</v>
      </c>
      <c r="H5810" s="89">
        <f t="shared" si="15"/>
        <v>0.1797034022</v>
      </c>
      <c r="I5810" s="78" t="s">
        <v>6677</v>
      </c>
      <c r="J5810" s="78" t="s">
        <v>69</v>
      </c>
      <c r="K5810" s="58">
        <f t="shared" si="16"/>
        <v>1</v>
      </c>
      <c r="L5810" s="91" t="str">
        <f t="shared" si="8"/>
        <v>Tue</v>
      </c>
      <c r="M5810" s="78" t="str">
        <f>IFERROR(VLOOKUP(A5810, Entries!A:B,2,false),"")</f>
        <v>Eleventh Hour Games</v>
      </c>
      <c r="N5810" s="23" t="str">
        <f>IFERROR(VLOOKUP(A5810, Entries!A:K,11,false),"")</f>
        <v/>
      </c>
    </row>
    <row r="5811">
      <c r="A5811" s="78" t="s">
        <v>1338</v>
      </c>
      <c r="B5811" s="78" t="s">
        <v>23</v>
      </c>
      <c r="C5811" s="85">
        <v>45411.0</v>
      </c>
      <c r="D5811" s="85">
        <v>45421.0</v>
      </c>
      <c r="E5811" s="86">
        <v>9.12</v>
      </c>
      <c r="F5811" s="87">
        <v>10.58</v>
      </c>
      <c r="G5811" s="88">
        <f t="shared" si="1"/>
        <v>1.46</v>
      </c>
      <c r="H5811" s="89">
        <f t="shared" si="15"/>
        <v>0.1379962193</v>
      </c>
      <c r="I5811" s="78" t="s">
        <v>6678</v>
      </c>
      <c r="J5811" s="78" t="s">
        <v>69</v>
      </c>
      <c r="K5811" s="58">
        <f t="shared" si="16"/>
        <v>10</v>
      </c>
      <c r="L5811" s="91" t="str">
        <f t="shared" si="8"/>
        <v>Thu</v>
      </c>
      <c r="M5811" s="78" t="str">
        <f>IFERROR(VLOOKUP(A5811, Entries!A:B,2,false),"")</f>
        <v>SEGA</v>
      </c>
      <c r="N5811" s="23" t="str">
        <f>IFERROR(VLOOKUP(A5811, Entries!A:K,11,false),"")</f>
        <v/>
      </c>
    </row>
    <row r="5812">
      <c r="A5812" s="78" t="s">
        <v>6679</v>
      </c>
      <c r="B5812" s="78" t="s">
        <v>22</v>
      </c>
      <c r="C5812" s="85">
        <v>45411.0</v>
      </c>
      <c r="D5812" s="25"/>
      <c r="E5812" s="86">
        <v>21.23</v>
      </c>
      <c r="F5812" s="88"/>
      <c r="G5812" s="88">
        <f t="shared" si="1"/>
        <v>-21.23</v>
      </c>
      <c r="H5812" s="89" t="str">
        <f t="shared" si="15"/>
        <v/>
      </c>
      <c r="I5812" s="94" t="s">
        <v>6680</v>
      </c>
      <c r="J5812" s="78" t="s">
        <v>1129</v>
      </c>
      <c r="K5812" s="58" t="str">
        <f t="shared" si="16"/>
        <v/>
      </c>
      <c r="L5812" s="91" t="str">
        <f t="shared" si="8"/>
        <v/>
      </c>
      <c r="M5812" s="78" t="str">
        <f>IFERROR(VLOOKUP(A5812, Entries!A:B,2,false),"")</f>
        <v/>
      </c>
      <c r="N5812" s="23" t="str">
        <f>IFERROR(VLOOKUP(A5812, Entries!A:K,11,false),"")</f>
        <v/>
      </c>
    </row>
    <row r="5813">
      <c r="A5813" s="78" t="s">
        <v>6018</v>
      </c>
      <c r="B5813" s="78" t="s">
        <v>30</v>
      </c>
      <c r="C5813" s="85">
        <v>45411.0</v>
      </c>
      <c r="D5813" s="85">
        <v>45418.0</v>
      </c>
      <c r="E5813" s="86">
        <v>12.68</v>
      </c>
      <c r="F5813" s="87">
        <v>15.49</v>
      </c>
      <c r="G5813" s="88">
        <f t="shared" si="1"/>
        <v>2.81</v>
      </c>
      <c r="H5813" s="89">
        <f t="shared" si="15"/>
        <v>0.1814073596</v>
      </c>
      <c r="I5813" s="78" t="s">
        <v>6681</v>
      </c>
      <c r="J5813" s="78" t="s">
        <v>69</v>
      </c>
      <c r="K5813" s="58">
        <f t="shared" si="16"/>
        <v>7</v>
      </c>
      <c r="L5813" s="91" t="str">
        <f t="shared" si="8"/>
        <v>Mon</v>
      </c>
      <c r="M5813" s="78" t="str">
        <f>IFERROR(VLOOKUP(A5813, Entries!A:B,2,false),"")</f>
        <v>Square Enix</v>
      </c>
      <c r="N5813" s="23" t="str">
        <f>IFERROR(VLOOKUP(A5813, Entries!A:K,11,false),"")</f>
        <v/>
      </c>
    </row>
    <row r="5814">
      <c r="A5814" s="78" t="s">
        <v>6682</v>
      </c>
      <c r="B5814" s="78" t="s">
        <v>19</v>
      </c>
      <c r="C5814" s="85">
        <v>45411.0</v>
      </c>
      <c r="D5814" s="85">
        <v>45411.0</v>
      </c>
      <c r="E5814" s="86">
        <v>8.35</v>
      </c>
      <c r="F5814" s="87">
        <v>10.66</v>
      </c>
      <c r="G5814" s="88">
        <f t="shared" si="1"/>
        <v>2.31</v>
      </c>
      <c r="H5814" s="89">
        <f t="shared" si="15"/>
        <v>0.2166979362</v>
      </c>
      <c r="I5814" s="78" t="s">
        <v>6683</v>
      </c>
      <c r="J5814" s="78" t="s">
        <v>69</v>
      </c>
      <c r="K5814" s="58">
        <f t="shared" si="16"/>
        <v>0</v>
      </c>
      <c r="L5814" s="91" t="str">
        <f t="shared" si="8"/>
        <v>Mon</v>
      </c>
      <c r="M5814" s="78" t="str">
        <f>IFERROR(VLOOKUP(A5814, Entries!A:B,2,false),"")</f>
        <v>Bethesda Softworks</v>
      </c>
      <c r="N5814" s="23" t="str">
        <f>IFERROR(VLOOKUP(A5814, Entries!A:K,11,false),"")</f>
        <v/>
      </c>
    </row>
    <row r="5815">
      <c r="A5815" s="78" t="s">
        <v>6682</v>
      </c>
      <c r="B5815" s="78" t="s">
        <v>19</v>
      </c>
      <c r="C5815" s="85">
        <v>45411.0</v>
      </c>
      <c r="D5815" s="85">
        <v>45412.0</v>
      </c>
      <c r="E5815" s="86">
        <v>8.35</v>
      </c>
      <c r="F5815" s="87">
        <v>10.66</v>
      </c>
      <c r="G5815" s="88">
        <f t="shared" si="1"/>
        <v>2.31</v>
      </c>
      <c r="H5815" s="89">
        <f t="shared" si="15"/>
        <v>0.2166979362</v>
      </c>
      <c r="I5815" s="78" t="s">
        <v>6684</v>
      </c>
      <c r="J5815" s="78" t="s">
        <v>69</v>
      </c>
      <c r="K5815" s="58">
        <f t="shared" si="16"/>
        <v>1</v>
      </c>
      <c r="L5815" s="91" t="str">
        <f t="shared" si="8"/>
        <v>Tue</v>
      </c>
      <c r="M5815" s="78" t="str">
        <f>IFERROR(VLOOKUP(A5815, Entries!A:B,2,false),"")</f>
        <v>Bethesda Softworks</v>
      </c>
      <c r="N5815" s="23" t="str">
        <f>IFERROR(VLOOKUP(A5815, Entries!A:K,11,false),"")</f>
        <v/>
      </c>
    </row>
    <row r="5816">
      <c r="A5816" s="78" t="s">
        <v>6685</v>
      </c>
      <c r="B5816" s="78" t="s">
        <v>19</v>
      </c>
      <c r="C5816" s="85">
        <v>45411.0</v>
      </c>
      <c r="D5816" s="85">
        <v>45412.0</v>
      </c>
      <c r="E5816" s="86">
        <v>19.94</v>
      </c>
      <c r="F5816" s="87">
        <v>26.79</v>
      </c>
      <c r="G5816" s="88">
        <f t="shared" si="1"/>
        <v>6.85</v>
      </c>
      <c r="H5816" s="89">
        <f t="shared" si="15"/>
        <v>0.2556924225</v>
      </c>
      <c r="I5816" s="78" t="s">
        <v>6686</v>
      </c>
      <c r="J5816" s="78" t="s">
        <v>69</v>
      </c>
      <c r="K5816" s="58">
        <f t="shared" si="16"/>
        <v>1</v>
      </c>
      <c r="L5816" s="91" t="str">
        <f t="shared" si="8"/>
        <v>Tue</v>
      </c>
      <c r="M5816" s="78" t="str">
        <f>IFERROR(VLOOKUP(A5816, Entries!A:B,2,false),"")</f>
        <v/>
      </c>
      <c r="N5816" s="23" t="str">
        <f>IFERROR(VLOOKUP(A5816, Entries!A:K,11,false),"")</f>
        <v/>
      </c>
    </row>
    <row r="5817">
      <c r="A5817" s="78" t="s">
        <v>6687</v>
      </c>
      <c r="B5817" s="78" t="s">
        <v>25</v>
      </c>
      <c r="C5817" s="85">
        <v>45411.0</v>
      </c>
      <c r="D5817" s="85">
        <v>45412.0</v>
      </c>
      <c r="E5817" s="86">
        <v>34.11</v>
      </c>
      <c r="F5817" s="87">
        <v>35.87</v>
      </c>
      <c r="G5817" s="88">
        <f t="shared" si="1"/>
        <v>1.76</v>
      </c>
      <c r="H5817" s="89">
        <f t="shared" si="15"/>
        <v>0.04906607193</v>
      </c>
      <c r="I5817" s="78" t="s">
        <v>6688</v>
      </c>
      <c r="J5817" s="78" t="s">
        <v>69</v>
      </c>
      <c r="K5817" s="58">
        <f t="shared" si="16"/>
        <v>1</v>
      </c>
      <c r="L5817" s="91" t="str">
        <f t="shared" si="8"/>
        <v>Tue</v>
      </c>
      <c r="M5817" s="78" t="str">
        <f>IFERROR(VLOOKUP(A5817, Entries!A:B,2,false),"")</f>
        <v/>
      </c>
      <c r="N5817" s="23" t="str">
        <f>IFERROR(VLOOKUP(A5817, Entries!A:K,11,false),"")</f>
        <v/>
      </c>
    </row>
    <row r="5818">
      <c r="A5818" s="78" t="s">
        <v>5933</v>
      </c>
      <c r="B5818" s="78" t="s">
        <v>21</v>
      </c>
      <c r="C5818" s="85">
        <v>45411.0</v>
      </c>
      <c r="D5818" s="85">
        <v>45418.0</v>
      </c>
      <c r="E5818" s="86">
        <v>28.02</v>
      </c>
      <c r="F5818" s="87">
        <v>35.48</v>
      </c>
      <c r="G5818" s="88">
        <f t="shared" si="1"/>
        <v>7.46</v>
      </c>
      <c r="H5818" s="89">
        <f t="shared" si="15"/>
        <v>0.210259301</v>
      </c>
      <c r="I5818" s="78" t="s">
        <v>6689</v>
      </c>
      <c r="J5818" s="78" t="s">
        <v>69</v>
      </c>
      <c r="K5818" s="58">
        <f t="shared" si="16"/>
        <v>7</v>
      </c>
      <c r="L5818" s="91" t="str">
        <f t="shared" si="8"/>
        <v>Mon</v>
      </c>
      <c r="M5818" s="78" t="str">
        <f>IFERROR(VLOOKUP(A5818, Entries!A:B,2,false),"")</f>
        <v>Pocketpair</v>
      </c>
      <c r="N5818" s="23" t="str">
        <f>IFERROR(VLOOKUP(A5818, Entries!A:K,11,false),"")</f>
        <v/>
      </c>
    </row>
    <row r="5819">
      <c r="A5819" s="78" t="s">
        <v>4928</v>
      </c>
      <c r="B5819" s="78" t="s">
        <v>19</v>
      </c>
      <c r="C5819" s="85">
        <v>45412.0</v>
      </c>
      <c r="D5819" s="85">
        <v>45490.0</v>
      </c>
      <c r="E5819" s="86">
        <v>28.21</v>
      </c>
      <c r="F5819" s="87">
        <v>34.64</v>
      </c>
      <c r="G5819" s="88">
        <f t="shared" si="1"/>
        <v>6.43</v>
      </c>
      <c r="H5819" s="89">
        <f t="shared" si="15"/>
        <v>0.1856235566</v>
      </c>
      <c r="I5819" s="78" t="s">
        <v>6690</v>
      </c>
      <c r="J5819" s="78" t="s">
        <v>69</v>
      </c>
      <c r="K5819" s="58">
        <f t="shared" si="16"/>
        <v>78</v>
      </c>
      <c r="L5819" s="91" t="str">
        <f t="shared" si="8"/>
        <v>Wed</v>
      </c>
      <c r="M5819" s="78" t="str">
        <f>IFERROR(VLOOKUP(A5819, Entries!A:B,2,false),"")</f>
        <v>Eleventh Hour Games</v>
      </c>
      <c r="N5819" s="23" t="str">
        <f>IFERROR(VLOOKUP(A5819, Entries!A:K,11,false),"")</f>
        <v/>
      </c>
    </row>
    <row r="5820">
      <c r="A5820" s="78" t="s">
        <v>6682</v>
      </c>
      <c r="B5820" s="78" t="s">
        <v>19</v>
      </c>
      <c r="C5820" s="85">
        <v>45412.0</v>
      </c>
      <c r="D5820" s="85">
        <v>45412.0</v>
      </c>
      <c r="E5820" s="86">
        <v>8.14</v>
      </c>
      <c r="F5820" s="87">
        <v>10.66</v>
      </c>
      <c r="G5820" s="88">
        <f t="shared" si="1"/>
        <v>2.52</v>
      </c>
      <c r="H5820" s="89">
        <f t="shared" si="15"/>
        <v>0.2363977486</v>
      </c>
      <c r="I5820" s="78" t="s">
        <v>6691</v>
      </c>
      <c r="J5820" s="78" t="s">
        <v>69</v>
      </c>
      <c r="K5820" s="58">
        <f t="shared" si="16"/>
        <v>0</v>
      </c>
      <c r="L5820" s="91" t="str">
        <f t="shared" si="8"/>
        <v>Tue</v>
      </c>
      <c r="M5820" s="78" t="str">
        <f>IFERROR(VLOOKUP(A5820, Entries!A:B,2,false),"")</f>
        <v>Bethesda Softworks</v>
      </c>
      <c r="N5820" s="23" t="str">
        <f>IFERROR(VLOOKUP(A5820, Entries!A:K,11,false),"")</f>
        <v/>
      </c>
    </row>
    <row r="5821">
      <c r="A5821" s="78" t="s">
        <v>6685</v>
      </c>
      <c r="B5821" s="78" t="s">
        <v>19</v>
      </c>
      <c r="C5821" s="85">
        <v>45412.0</v>
      </c>
      <c r="D5821" s="85">
        <v>45412.0</v>
      </c>
      <c r="E5821" s="86">
        <v>19.44</v>
      </c>
      <c r="F5821" s="87">
        <v>26.79</v>
      </c>
      <c r="G5821" s="88">
        <f t="shared" si="1"/>
        <v>7.35</v>
      </c>
      <c r="H5821" s="89">
        <f t="shared" si="15"/>
        <v>0.274356103</v>
      </c>
      <c r="I5821" s="78" t="s">
        <v>6692</v>
      </c>
      <c r="J5821" s="78" t="s">
        <v>69</v>
      </c>
      <c r="K5821" s="58">
        <f t="shared" si="16"/>
        <v>0</v>
      </c>
      <c r="L5821" s="91" t="str">
        <f t="shared" si="8"/>
        <v>Tue</v>
      </c>
      <c r="M5821" s="78" t="str">
        <f>IFERROR(VLOOKUP(A5821, Entries!A:B,2,false),"")</f>
        <v/>
      </c>
      <c r="N5821" s="23" t="str">
        <f>IFERROR(VLOOKUP(A5821, Entries!A:K,11,false),"")</f>
        <v/>
      </c>
    </row>
    <row r="5822">
      <c r="A5822" s="78" t="s">
        <v>6685</v>
      </c>
      <c r="B5822" s="78" t="s">
        <v>19</v>
      </c>
      <c r="C5822" s="85">
        <v>45412.0</v>
      </c>
      <c r="D5822" s="85">
        <v>45412.0</v>
      </c>
      <c r="E5822" s="86">
        <v>19.44</v>
      </c>
      <c r="F5822" s="87">
        <v>26.79</v>
      </c>
      <c r="G5822" s="88">
        <f t="shared" si="1"/>
        <v>7.35</v>
      </c>
      <c r="H5822" s="89">
        <f t="shared" si="15"/>
        <v>0.274356103</v>
      </c>
      <c r="I5822" s="78" t="s">
        <v>6693</v>
      </c>
      <c r="J5822" s="78" t="s">
        <v>69</v>
      </c>
      <c r="K5822" s="58">
        <f t="shared" si="16"/>
        <v>0</v>
      </c>
      <c r="L5822" s="91" t="str">
        <f t="shared" si="8"/>
        <v>Tue</v>
      </c>
      <c r="M5822" s="78" t="str">
        <f>IFERROR(VLOOKUP(A5822, Entries!A:B,2,false),"")</f>
        <v/>
      </c>
      <c r="N5822" s="23" t="str">
        <f>IFERROR(VLOOKUP(A5822, Entries!A:K,11,false),"")</f>
        <v/>
      </c>
    </row>
    <row r="5823">
      <c r="A5823" s="78" t="s">
        <v>6682</v>
      </c>
      <c r="B5823" s="78" t="s">
        <v>19</v>
      </c>
      <c r="C5823" s="85">
        <v>45412.0</v>
      </c>
      <c r="D5823" s="85">
        <v>45412.0</v>
      </c>
      <c r="E5823" s="86">
        <v>8.14</v>
      </c>
      <c r="F5823" s="87">
        <v>11.0</v>
      </c>
      <c r="G5823" s="88">
        <f t="shared" si="1"/>
        <v>2.86</v>
      </c>
      <c r="H5823" s="89">
        <f t="shared" si="15"/>
        <v>0.26</v>
      </c>
      <c r="I5823" s="78" t="s">
        <v>6694</v>
      </c>
      <c r="J5823" s="78" t="s">
        <v>69</v>
      </c>
      <c r="K5823" s="58">
        <f t="shared" si="16"/>
        <v>0</v>
      </c>
      <c r="L5823" s="91" t="str">
        <f t="shared" si="8"/>
        <v>Tue</v>
      </c>
      <c r="M5823" s="78" t="str">
        <f>IFERROR(VLOOKUP(A5823, Entries!A:B,2,false),"")</f>
        <v>Bethesda Softworks</v>
      </c>
      <c r="N5823" s="23" t="str">
        <f>IFERROR(VLOOKUP(A5823, Entries!A:K,11,false),"")</f>
        <v/>
      </c>
    </row>
    <row r="5824">
      <c r="A5824" s="78" t="s">
        <v>6695</v>
      </c>
      <c r="B5824" s="78" t="s">
        <v>32</v>
      </c>
      <c r="C5824" s="85">
        <v>45412.0</v>
      </c>
      <c r="D5824" s="85">
        <v>45413.0</v>
      </c>
      <c r="E5824" s="86">
        <v>36.62</v>
      </c>
      <c r="F5824" s="87">
        <v>40.92</v>
      </c>
      <c r="G5824" s="88">
        <f t="shared" si="1"/>
        <v>4.3</v>
      </c>
      <c r="H5824" s="89">
        <f t="shared" si="15"/>
        <v>0.105083089</v>
      </c>
      <c r="I5824" s="78" t="s">
        <v>6696</v>
      </c>
      <c r="J5824" s="78" t="s">
        <v>69</v>
      </c>
      <c r="K5824" s="58">
        <f t="shared" si="16"/>
        <v>1</v>
      </c>
      <c r="L5824" s="91" t="str">
        <f t="shared" si="8"/>
        <v>Wed</v>
      </c>
      <c r="M5824" s="78" t="str">
        <f>IFERROR(VLOOKUP(A5824, Entries!A:B,2,false),"")</f>
        <v>BANDAI NAMCO</v>
      </c>
      <c r="N5824" s="23" t="str">
        <f>IFERROR(VLOOKUP(A5824, Entries!A:K,11,false),"")</f>
        <v/>
      </c>
    </row>
    <row r="5825">
      <c r="A5825" s="78" t="s">
        <v>6695</v>
      </c>
      <c r="B5825" s="78" t="s">
        <v>32</v>
      </c>
      <c r="C5825" s="85">
        <v>45412.0</v>
      </c>
      <c r="D5825" s="85">
        <v>45413.0</v>
      </c>
      <c r="E5825" s="86">
        <v>36.62</v>
      </c>
      <c r="F5825" s="87">
        <v>40.92</v>
      </c>
      <c r="G5825" s="88">
        <f t="shared" si="1"/>
        <v>4.3</v>
      </c>
      <c r="H5825" s="89">
        <f t="shared" si="15"/>
        <v>0.105083089</v>
      </c>
      <c r="I5825" s="78" t="s">
        <v>6697</v>
      </c>
      <c r="J5825" s="78" t="s">
        <v>69</v>
      </c>
      <c r="K5825" s="58">
        <f t="shared" si="16"/>
        <v>1</v>
      </c>
      <c r="L5825" s="91" t="str">
        <f t="shared" si="8"/>
        <v>Wed</v>
      </c>
      <c r="M5825" s="78" t="str">
        <f>IFERROR(VLOOKUP(A5825, Entries!A:B,2,false),"")</f>
        <v>BANDAI NAMCO</v>
      </c>
      <c r="N5825" s="23" t="str">
        <f>IFERROR(VLOOKUP(A5825, Entries!A:K,11,false),"")</f>
        <v/>
      </c>
    </row>
    <row r="5826">
      <c r="A5826" s="78" t="s">
        <v>6685</v>
      </c>
      <c r="B5826" s="78" t="s">
        <v>19</v>
      </c>
      <c r="C5826" s="85">
        <v>45412.0</v>
      </c>
      <c r="D5826" s="85">
        <v>45412.0</v>
      </c>
      <c r="E5826" s="86">
        <v>20.44</v>
      </c>
      <c r="F5826" s="87">
        <v>26.79</v>
      </c>
      <c r="G5826" s="88">
        <f t="shared" si="1"/>
        <v>6.35</v>
      </c>
      <c r="H5826" s="89">
        <f t="shared" si="15"/>
        <v>0.2370287421</v>
      </c>
      <c r="I5826" s="78" t="s">
        <v>6698</v>
      </c>
      <c r="J5826" s="78" t="s">
        <v>69</v>
      </c>
      <c r="K5826" s="58">
        <f t="shared" si="16"/>
        <v>0</v>
      </c>
      <c r="L5826" s="91" t="str">
        <f t="shared" si="8"/>
        <v>Tue</v>
      </c>
      <c r="M5826" s="78" t="str">
        <f>IFERROR(VLOOKUP(A5826, Entries!A:B,2,false),"")</f>
        <v/>
      </c>
      <c r="N5826" s="23" t="str">
        <f>IFERROR(VLOOKUP(A5826, Entries!A:K,11,false),"")</f>
        <v/>
      </c>
    </row>
    <row r="5827">
      <c r="A5827" s="78" t="s">
        <v>6682</v>
      </c>
      <c r="B5827" s="78" t="s">
        <v>19</v>
      </c>
      <c r="C5827" s="85">
        <v>45412.0</v>
      </c>
      <c r="D5827" s="85">
        <v>45412.0</v>
      </c>
      <c r="E5827" s="86">
        <v>8.59</v>
      </c>
      <c r="F5827" s="87">
        <v>10.83</v>
      </c>
      <c r="G5827" s="88">
        <f t="shared" si="1"/>
        <v>2.24</v>
      </c>
      <c r="H5827" s="89">
        <f t="shared" si="15"/>
        <v>0.2068328717</v>
      </c>
      <c r="I5827" s="78" t="s">
        <v>6699</v>
      </c>
      <c r="J5827" s="78" t="s">
        <v>69</v>
      </c>
      <c r="K5827" s="58">
        <f t="shared" si="16"/>
        <v>0</v>
      </c>
      <c r="L5827" s="91" t="str">
        <f t="shared" si="8"/>
        <v>Tue</v>
      </c>
      <c r="M5827" s="78" t="str">
        <f>IFERROR(VLOOKUP(A5827, Entries!A:B,2,false),"")</f>
        <v>Bethesda Softworks</v>
      </c>
      <c r="N5827" s="23" t="str">
        <f>IFERROR(VLOOKUP(A5827, Entries!A:K,11,false),"")</f>
        <v/>
      </c>
    </row>
    <row r="5828">
      <c r="A5828" s="78" t="s">
        <v>6501</v>
      </c>
      <c r="B5828" s="78" t="s">
        <v>17</v>
      </c>
      <c r="C5828" s="85">
        <v>45412.0</v>
      </c>
      <c r="D5828" s="85">
        <v>45421.0</v>
      </c>
      <c r="E5828" s="86">
        <v>7.3</v>
      </c>
      <c r="F5828" s="87">
        <v>10.52</v>
      </c>
      <c r="G5828" s="88">
        <f t="shared" si="1"/>
        <v>3.22</v>
      </c>
      <c r="H5828" s="89">
        <f t="shared" si="15"/>
        <v>0.3060836502</v>
      </c>
      <c r="I5828" s="78" t="s">
        <v>6700</v>
      </c>
      <c r="J5828" s="78" t="s">
        <v>69</v>
      </c>
      <c r="K5828" s="58">
        <f t="shared" si="16"/>
        <v>9</v>
      </c>
      <c r="L5828" s="91" t="str">
        <f t="shared" si="8"/>
        <v>Thu</v>
      </c>
      <c r="M5828" s="78" t="str">
        <f>IFERROR(VLOOKUP(A5828, Entries!A:B,2,false),"")</f>
        <v>Offworld Industries</v>
      </c>
      <c r="N5828" s="23" t="str">
        <f>IFERROR(VLOOKUP(A5828, Entries!A:K,11,false),"")</f>
        <v/>
      </c>
      <c r="P5828" s="78" t="s">
        <v>6701</v>
      </c>
    </row>
    <row r="5829">
      <c r="A5829" s="78" t="s">
        <v>6685</v>
      </c>
      <c r="B5829" s="78" t="s">
        <v>19</v>
      </c>
      <c r="C5829" s="85">
        <v>45412.0</v>
      </c>
      <c r="D5829" s="85">
        <v>45412.0</v>
      </c>
      <c r="E5829" s="86">
        <v>19.48</v>
      </c>
      <c r="F5829" s="87">
        <v>26.79</v>
      </c>
      <c r="G5829" s="88">
        <f t="shared" si="1"/>
        <v>7.31</v>
      </c>
      <c r="H5829" s="89">
        <f t="shared" si="15"/>
        <v>0.2728630086</v>
      </c>
      <c r="I5829" s="78" t="s">
        <v>6702</v>
      </c>
      <c r="J5829" s="78" t="s">
        <v>69</v>
      </c>
      <c r="K5829" s="58">
        <f t="shared" si="16"/>
        <v>0</v>
      </c>
      <c r="L5829" s="91" t="str">
        <f t="shared" si="8"/>
        <v>Tue</v>
      </c>
      <c r="M5829" s="78" t="str">
        <f>IFERROR(VLOOKUP(A5829, Entries!A:B,2,false),"")</f>
        <v/>
      </c>
      <c r="N5829" s="23" t="str">
        <f>IFERROR(VLOOKUP(A5829, Entries!A:K,11,false),"")</f>
        <v/>
      </c>
    </row>
    <row r="5830">
      <c r="A5830" s="78" t="s">
        <v>6682</v>
      </c>
      <c r="B5830" s="78" t="s">
        <v>19</v>
      </c>
      <c r="C5830" s="85">
        <v>45412.0</v>
      </c>
      <c r="D5830" s="85">
        <v>45412.0</v>
      </c>
      <c r="E5830" s="86">
        <v>8.09</v>
      </c>
      <c r="F5830" s="87">
        <v>10.93</v>
      </c>
      <c r="G5830" s="88">
        <f t="shared" si="1"/>
        <v>2.84</v>
      </c>
      <c r="H5830" s="89">
        <f t="shared" si="15"/>
        <v>0.2598353156</v>
      </c>
      <c r="I5830" s="78" t="s">
        <v>6703</v>
      </c>
      <c r="J5830" s="78" t="s">
        <v>69</v>
      </c>
      <c r="K5830" s="58">
        <f t="shared" si="16"/>
        <v>0</v>
      </c>
      <c r="L5830" s="91" t="str">
        <f t="shared" si="8"/>
        <v>Tue</v>
      </c>
      <c r="M5830" s="78" t="str">
        <f>IFERROR(VLOOKUP(A5830, Entries!A:B,2,false),"")</f>
        <v>Bethesda Softworks</v>
      </c>
      <c r="N5830" s="23" t="str">
        <f>IFERROR(VLOOKUP(A5830, Entries!A:K,11,false),"")</f>
        <v/>
      </c>
    </row>
    <row r="5831">
      <c r="A5831" s="78" t="s">
        <v>6682</v>
      </c>
      <c r="B5831" s="78" t="s">
        <v>19</v>
      </c>
      <c r="C5831" s="85">
        <v>45412.0</v>
      </c>
      <c r="D5831" s="85">
        <v>45412.0</v>
      </c>
      <c r="E5831" s="86">
        <v>8.57</v>
      </c>
      <c r="F5831" s="87">
        <v>11.15</v>
      </c>
      <c r="G5831" s="88">
        <f t="shared" si="1"/>
        <v>2.58</v>
      </c>
      <c r="H5831" s="89">
        <f t="shared" si="15"/>
        <v>0.2313901345</v>
      </c>
      <c r="I5831" s="78" t="s">
        <v>6704</v>
      </c>
      <c r="J5831" s="78" t="s">
        <v>69</v>
      </c>
      <c r="K5831" s="58">
        <f t="shared" si="16"/>
        <v>0</v>
      </c>
      <c r="L5831" s="91" t="str">
        <f t="shared" si="8"/>
        <v>Tue</v>
      </c>
      <c r="M5831" s="78" t="str">
        <f>IFERROR(VLOOKUP(A5831, Entries!A:B,2,false),"")</f>
        <v>Bethesda Softworks</v>
      </c>
      <c r="N5831" s="23" t="str">
        <f>IFERROR(VLOOKUP(A5831, Entries!A:K,11,false),"")</f>
        <v/>
      </c>
    </row>
    <row r="5832">
      <c r="A5832" s="78" t="s">
        <v>6685</v>
      </c>
      <c r="B5832" s="78" t="s">
        <v>19</v>
      </c>
      <c r="C5832" s="85">
        <v>45412.0</v>
      </c>
      <c r="D5832" s="85">
        <v>45413.0</v>
      </c>
      <c r="E5832" s="86">
        <v>19.44</v>
      </c>
      <c r="F5832" s="87">
        <v>28.64</v>
      </c>
      <c r="G5832" s="88">
        <f t="shared" si="1"/>
        <v>9.2</v>
      </c>
      <c r="H5832" s="89">
        <f t="shared" si="15"/>
        <v>0.3212290503</v>
      </c>
      <c r="I5832" s="78" t="s">
        <v>6705</v>
      </c>
      <c r="J5832" s="78" t="s">
        <v>69</v>
      </c>
      <c r="K5832" s="58">
        <f t="shared" si="16"/>
        <v>1</v>
      </c>
      <c r="L5832" s="91" t="str">
        <f t="shared" si="8"/>
        <v>Wed</v>
      </c>
      <c r="M5832" s="78" t="str">
        <f>IFERROR(VLOOKUP(A5832, Entries!A:B,2,false),"")</f>
        <v/>
      </c>
      <c r="N5832" s="23" t="str">
        <f>IFERROR(VLOOKUP(A5832, Entries!A:K,11,false),"")</f>
        <v/>
      </c>
    </row>
    <row r="5833">
      <c r="A5833" s="78" t="s">
        <v>6682</v>
      </c>
      <c r="B5833" s="78" t="s">
        <v>19</v>
      </c>
      <c r="C5833" s="85">
        <v>45412.0</v>
      </c>
      <c r="D5833" s="85">
        <v>45412.0</v>
      </c>
      <c r="E5833" s="86">
        <v>8.57</v>
      </c>
      <c r="F5833" s="87">
        <v>11.53</v>
      </c>
      <c r="G5833" s="88">
        <f t="shared" si="1"/>
        <v>2.96</v>
      </c>
      <c r="H5833" s="89">
        <f t="shared" si="15"/>
        <v>0.2567215958</v>
      </c>
      <c r="I5833" s="78" t="s">
        <v>6706</v>
      </c>
      <c r="J5833" s="78" t="s">
        <v>69</v>
      </c>
      <c r="K5833" s="58">
        <f t="shared" si="16"/>
        <v>0</v>
      </c>
      <c r="L5833" s="91" t="str">
        <f t="shared" si="8"/>
        <v>Tue</v>
      </c>
      <c r="M5833" s="78" t="str">
        <f>IFERROR(VLOOKUP(A5833, Entries!A:B,2,false),"")</f>
        <v>Bethesda Softworks</v>
      </c>
      <c r="N5833" s="23" t="str">
        <f>IFERROR(VLOOKUP(A5833, Entries!A:K,11,false),"")</f>
        <v/>
      </c>
    </row>
    <row r="5834">
      <c r="A5834" s="78" t="s">
        <v>6685</v>
      </c>
      <c r="B5834" s="78" t="s">
        <v>19</v>
      </c>
      <c r="C5834" s="85">
        <v>45412.0</v>
      </c>
      <c r="D5834" s="85">
        <v>45419.0</v>
      </c>
      <c r="E5834" s="86">
        <v>19.44</v>
      </c>
      <c r="F5834" s="87">
        <v>27.76</v>
      </c>
      <c r="G5834" s="88">
        <f t="shared" si="1"/>
        <v>8.32</v>
      </c>
      <c r="H5834" s="89">
        <f t="shared" si="15"/>
        <v>0.2997118156</v>
      </c>
      <c r="I5834" s="78" t="s">
        <v>6707</v>
      </c>
      <c r="J5834" s="78" t="s">
        <v>69</v>
      </c>
      <c r="K5834" s="58">
        <f t="shared" si="16"/>
        <v>7</v>
      </c>
      <c r="L5834" s="91" t="str">
        <f t="shared" si="8"/>
        <v>Tue</v>
      </c>
      <c r="M5834" s="78" t="str">
        <f>IFERROR(VLOOKUP(A5834, Entries!A:B,2,false),"")</f>
        <v/>
      </c>
      <c r="N5834" s="23" t="str">
        <f>IFERROR(VLOOKUP(A5834, Entries!A:K,11,false),"")</f>
        <v/>
      </c>
    </row>
    <row r="5835">
      <c r="A5835" s="78" t="s">
        <v>6191</v>
      </c>
      <c r="B5835" s="78" t="s">
        <v>22</v>
      </c>
      <c r="C5835" s="85">
        <v>45413.0</v>
      </c>
      <c r="D5835" s="25"/>
      <c r="E5835" s="86">
        <v>31.73</v>
      </c>
      <c r="F5835" s="88"/>
      <c r="G5835" s="88">
        <f t="shared" si="1"/>
        <v>-31.73</v>
      </c>
      <c r="H5835" s="89" t="str">
        <f t="shared" si="15"/>
        <v/>
      </c>
      <c r="I5835" s="103" t="s">
        <v>561</v>
      </c>
      <c r="J5835" s="78" t="s">
        <v>1129</v>
      </c>
      <c r="K5835" s="58" t="str">
        <f t="shared" si="16"/>
        <v/>
      </c>
      <c r="L5835" s="91" t="str">
        <f t="shared" si="8"/>
        <v/>
      </c>
      <c r="M5835" s="78" t="str">
        <f>IFERROR(VLOOKUP(A5835, Entries!A:B,2,false),"")</f>
        <v>Owlcat Games</v>
      </c>
      <c r="N5835" s="23" t="str">
        <f>IFERROR(VLOOKUP(A5835, Entries!A:K,11,false),"")</f>
        <v/>
      </c>
    </row>
    <row r="5836">
      <c r="A5836" s="78" t="s">
        <v>1849</v>
      </c>
      <c r="B5836" s="78" t="s">
        <v>19</v>
      </c>
      <c r="C5836" s="85">
        <v>45413.0</v>
      </c>
      <c r="D5836" s="85">
        <v>45419.0</v>
      </c>
      <c r="E5836" s="86">
        <v>4.63</v>
      </c>
      <c r="F5836" s="87">
        <v>7.77</v>
      </c>
      <c r="G5836" s="88">
        <f t="shared" si="1"/>
        <v>3.14</v>
      </c>
      <c r="H5836" s="89">
        <f t="shared" si="15"/>
        <v>0.4041184041</v>
      </c>
      <c r="I5836" s="78" t="s">
        <v>6708</v>
      </c>
      <c r="J5836" s="78" t="s">
        <v>69</v>
      </c>
      <c r="K5836" s="58">
        <f t="shared" si="16"/>
        <v>6</v>
      </c>
      <c r="L5836" s="91" t="str">
        <f t="shared" si="8"/>
        <v>Tue</v>
      </c>
      <c r="M5836" s="78" t="str">
        <f>IFERROR(VLOOKUP(A5836, Entries!A:B,2,false),"")</f>
        <v>Marmalade Game Studio</v>
      </c>
      <c r="N5836" s="23" t="str">
        <f>IFERROR(VLOOKUP(A5836, Entries!A:K,11,false),"")</f>
        <v/>
      </c>
    </row>
    <row r="5837">
      <c r="A5837" s="78" t="s">
        <v>2339</v>
      </c>
      <c r="B5837" s="78" t="s">
        <v>19</v>
      </c>
      <c r="C5837" s="85">
        <v>45413.0</v>
      </c>
      <c r="D5837" s="85">
        <v>45413.0</v>
      </c>
      <c r="E5837" s="86">
        <v>1.94</v>
      </c>
      <c r="F5837" s="87">
        <v>2.8</v>
      </c>
      <c r="G5837" s="88">
        <f t="shared" si="1"/>
        <v>0.86</v>
      </c>
      <c r="H5837" s="89">
        <f t="shared" si="15"/>
        <v>0.3071428571</v>
      </c>
      <c r="I5837" s="78" t="s">
        <v>6709</v>
      </c>
      <c r="J5837" s="78" t="s">
        <v>69</v>
      </c>
      <c r="K5837" s="58">
        <f t="shared" si="16"/>
        <v>0</v>
      </c>
      <c r="L5837" s="91" t="str">
        <f t="shared" si="8"/>
        <v>Wed</v>
      </c>
      <c r="M5837" s="78" t="str">
        <f>IFERROR(VLOOKUP(A5837, Entries!A:B,2,false),"")</f>
        <v>PlayWay</v>
      </c>
      <c r="N5837" s="23" t="str">
        <f>IFERROR(VLOOKUP(A5837, Entries!A:K,11,false),"")</f>
        <v/>
      </c>
    </row>
    <row r="5838">
      <c r="A5838" s="78" t="s">
        <v>6710</v>
      </c>
      <c r="B5838" s="78" t="s">
        <v>21</v>
      </c>
      <c r="C5838" s="85">
        <v>45413.0</v>
      </c>
      <c r="D5838" s="85">
        <v>45413.0</v>
      </c>
      <c r="E5838" s="86">
        <v>21.98</v>
      </c>
      <c r="F5838" s="87">
        <v>23.92</v>
      </c>
      <c r="G5838" s="88">
        <f t="shared" si="1"/>
        <v>1.94</v>
      </c>
      <c r="H5838" s="89">
        <f t="shared" si="15"/>
        <v>0.08110367893</v>
      </c>
      <c r="I5838" s="78" t="s">
        <v>6711</v>
      </c>
      <c r="J5838" s="78" t="s">
        <v>69</v>
      </c>
      <c r="K5838" s="58">
        <f t="shared" si="16"/>
        <v>0</v>
      </c>
      <c r="L5838" s="91" t="str">
        <f t="shared" si="8"/>
        <v>Wed</v>
      </c>
      <c r="M5838" s="78" t="str">
        <f>IFERROR(VLOOKUP(A5838, Entries!A:B,2,false),"")</f>
        <v/>
      </c>
      <c r="N5838" s="23" t="str">
        <f>IFERROR(VLOOKUP(A5838, Entries!A:K,11,false),"")</f>
        <v/>
      </c>
    </row>
    <row r="5839">
      <c r="A5839" s="78" t="s">
        <v>6710</v>
      </c>
      <c r="B5839" s="78" t="s">
        <v>21</v>
      </c>
      <c r="C5839" s="85">
        <v>45413.0</v>
      </c>
      <c r="D5839" s="85">
        <v>45414.0</v>
      </c>
      <c r="E5839" s="86">
        <v>21.98</v>
      </c>
      <c r="F5839" s="87">
        <v>23.92</v>
      </c>
      <c r="G5839" s="88">
        <f t="shared" si="1"/>
        <v>1.94</v>
      </c>
      <c r="H5839" s="89">
        <f t="shared" si="15"/>
        <v>0.08110367893</v>
      </c>
      <c r="I5839" s="78" t="s">
        <v>6712</v>
      </c>
      <c r="J5839" s="78" t="s">
        <v>69</v>
      </c>
      <c r="K5839" s="58">
        <f t="shared" si="16"/>
        <v>1</v>
      </c>
      <c r="L5839" s="91" t="str">
        <f t="shared" si="8"/>
        <v>Thu</v>
      </c>
      <c r="M5839" s="78" t="str">
        <f>IFERROR(VLOOKUP(A5839, Entries!A:B,2,false),"")</f>
        <v/>
      </c>
      <c r="N5839" s="23" t="str">
        <f>IFERROR(VLOOKUP(A5839, Entries!A:K,11,false),"")</f>
        <v/>
      </c>
    </row>
    <row r="5840">
      <c r="A5840" s="78" t="s">
        <v>6710</v>
      </c>
      <c r="B5840" s="78" t="s">
        <v>21</v>
      </c>
      <c r="C5840" s="85">
        <v>45413.0</v>
      </c>
      <c r="D5840" s="85">
        <v>45414.0</v>
      </c>
      <c r="E5840" s="86">
        <v>21.98</v>
      </c>
      <c r="F5840" s="87">
        <v>23.92</v>
      </c>
      <c r="G5840" s="88">
        <f t="shared" si="1"/>
        <v>1.94</v>
      </c>
      <c r="H5840" s="89">
        <f t="shared" si="15"/>
        <v>0.08110367893</v>
      </c>
      <c r="I5840" s="78" t="s">
        <v>6713</v>
      </c>
      <c r="J5840" s="78" t="s">
        <v>69</v>
      </c>
      <c r="K5840" s="58">
        <f t="shared" si="16"/>
        <v>1</v>
      </c>
      <c r="L5840" s="91" t="str">
        <f t="shared" si="8"/>
        <v>Thu</v>
      </c>
      <c r="M5840" s="78" t="str">
        <f>IFERROR(VLOOKUP(A5840, Entries!A:B,2,false),"")</f>
        <v/>
      </c>
      <c r="N5840" s="23" t="str">
        <f>IFERROR(VLOOKUP(A5840, Entries!A:K,11,false),"")</f>
        <v/>
      </c>
    </row>
    <row r="5841">
      <c r="A5841" s="78" t="s">
        <v>6682</v>
      </c>
      <c r="B5841" s="78" t="s">
        <v>19</v>
      </c>
      <c r="C5841" s="85">
        <v>45413.0</v>
      </c>
      <c r="D5841" s="85">
        <v>45413.0</v>
      </c>
      <c r="E5841" s="86">
        <v>8.39</v>
      </c>
      <c r="F5841" s="87">
        <v>13.01</v>
      </c>
      <c r="G5841" s="88">
        <f t="shared" si="1"/>
        <v>4.62</v>
      </c>
      <c r="H5841" s="89">
        <f t="shared" si="15"/>
        <v>0.3551114527</v>
      </c>
      <c r="I5841" s="78" t="s">
        <v>6714</v>
      </c>
      <c r="J5841" s="78" t="s">
        <v>69</v>
      </c>
      <c r="K5841" s="58">
        <f t="shared" si="16"/>
        <v>0</v>
      </c>
      <c r="L5841" s="91" t="str">
        <f t="shared" si="8"/>
        <v>Wed</v>
      </c>
      <c r="M5841" s="78" t="str">
        <f>IFERROR(VLOOKUP(A5841, Entries!A:B,2,false),"")</f>
        <v>Bethesda Softworks</v>
      </c>
      <c r="N5841" s="23" t="str">
        <f>IFERROR(VLOOKUP(A5841, Entries!A:K,11,false),"")</f>
        <v/>
      </c>
    </row>
    <row r="5842">
      <c r="A5842" s="78" t="s">
        <v>6685</v>
      </c>
      <c r="B5842" s="78" t="s">
        <v>19</v>
      </c>
      <c r="C5842" s="85">
        <v>45413.0</v>
      </c>
      <c r="D5842" s="85">
        <v>45450.0</v>
      </c>
      <c r="E5842" s="86">
        <v>19.48</v>
      </c>
      <c r="F5842" s="87">
        <v>24.07</v>
      </c>
      <c r="G5842" s="88">
        <f t="shared" si="1"/>
        <v>4.59</v>
      </c>
      <c r="H5842" s="89">
        <f t="shared" si="15"/>
        <v>0.1906938097</v>
      </c>
      <c r="I5842" s="78" t="s">
        <v>6715</v>
      </c>
      <c r="J5842" s="78" t="s">
        <v>69</v>
      </c>
      <c r="K5842" s="58">
        <f t="shared" si="16"/>
        <v>37</v>
      </c>
      <c r="L5842" s="91" t="str">
        <f t="shared" si="8"/>
        <v>Fri</v>
      </c>
      <c r="M5842" s="78" t="str">
        <f>IFERROR(VLOOKUP(A5842, Entries!A:B,2,false),"")</f>
        <v/>
      </c>
      <c r="N5842" s="23" t="str">
        <f>IFERROR(VLOOKUP(A5842, Entries!A:K,11,false),"")</f>
        <v/>
      </c>
    </row>
    <row r="5843">
      <c r="A5843" s="78" t="s">
        <v>2339</v>
      </c>
      <c r="B5843" s="78" t="s">
        <v>19</v>
      </c>
      <c r="C5843" s="85">
        <v>45413.0</v>
      </c>
      <c r="D5843" s="85">
        <v>45414.0</v>
      </c>
      <c r="E5843" s="86">
        <v>1.94</v>
      </c>
      <c r="F5843" s="87">
        <v>2.83</v>
      </c>
      <c r="G5843" s="88">
        <f t="shared" si="1"/>
        <v>0.89</v>
      </c>
      <c r="H5843" s="89">
        <f t="shared" si="15"/>
        <v>0.3144876325</v>
      </c>
      <c r="I5843" s="78" t="s">
        <v>6716</v>
      </c>
      <c r="J5843" s="78" t="s">
        <v>69</v>
      </c>
      <c r="K5843" s="58">
        <f t="shared" si="16"/>
        <v>1</v>
      </c>
      <c r="L5843" s="91" t="str">
        <f t="shared" si="8"/>
        <v>Thu</v>
      </c>
      <c r="M5843" s="78" t="str">
        <f>IFERROR(VLOOKUP(A5843, Entries!A:B,2,false),"")</f>
        <v>PlayWay</v>
      </c>
      <c r="N5843" s="23" t="str">
        <f>IFERROR(VLOOKUP(A5843, Entries!A:K,11,false),"")</f>
        <v/>
      </c>
    </row>
    <row r="5844">
      <c r="A5844" s="78" t="s">
        <v>2339</v>
      </c>
      <c r="B5844" s="78" t="s">
        <v>19</v>
      </c>
      <c r="C5844" s="85">
        <v>45413.0</v>
      </c>
      <c r="D5844" s="85">
        <v>45414.0</v>
      </c>
      <c r="E5844" s="86">
        <v>1.94</v>
      </c>
      <c r="F5844" s="87">
        <v>2.86</v>
      </c>
      <c r="G5844" s="88">
        <f t="shared" si="1"/>
        <v>0.92</v>
      </c>
      <c r="H5844" s="89">
        <f t="shared" si="15"/>
        <v>0.3216783217</v>
      </c>
      <c r="I5844" s="78" t="s">
        <v>6717</v>
      </c>
      <c r="J5844" s="78" t="s">
        <v>69</v>
      </c>
      <c r="K5844" s="58">
        <f t="shared" si="16"/>
        <v>1</v>
      </c>
      <c r="L5844" s="91" t="str">
        <f t="shared" si="8"/>
        <v>Thu</v>
      </c>
      <c r="M5844" s="78" t="str">
        <f>IFERROR(VLOOKUP(A5844, Entries!A:B,2,false),"")</f>
        <v>PlayWay</v>
      </c>
      <c r="N5844" s="23" t="str">
        <f>IFERROR(VLOOKUP(A5844, Entries!A:K,11,false),"")</f>
        <v/>
      </c>
    </row>
    <row r="5845">
      <c r="A5845" s="78" t="s">
        <v>2339</v>
      </c>
      <c r="B5845" s="78" t="s">
        <v>19</v>
      </c>
      <c r="C5845" s="85">
        <v>45414.0</v>
      </c>
      <c r="D5845" s="85">
        <v>45414.0</v>
      </c>
      <c r="E5845" s="86">
        <v>1.95</v>
      </c>
      <c r="F5845" s="87">
        <v>3.01</v>
      </c>
      <c r="G5845" s="88">
        <f t="shared" si="1"/>
        <v>1.06</v>
      </c>
      <c r="H5845" s="89">
        <f t="shared" si="15"/>
        <v>0.3521594684</v>
      </c>
      <c r="I5845" s="78" t="s">
        <v>6718</v>
      </c>
      <c r="J5845" s="78" t="s">
        <v>69</v>
      </c>
      <c r="K5845" s="58">
        <f t="shared" si="16"/>
        <v>0</v>
      </c>
      <c r="L5845" s="91" t="str">
        <f t="shared" si="8"/>
        <v>Thu</v>
      </c>
      <c r="M5845" s="78" t="str">
        <f>IFERROR(VLOOKUP(A5845, Entries!A:B,2,false),"")</f>
        <v>PlayWay</v>
      </c>
      <c r="N5845" s="23" t="str">
        <f>IFERROR(VLOOKUP(A5845, Entries!A:K,11,false),"")</f>
        <v/>
      </c>
    </row>
    <row r="5846">
      <c r="A5846" s="78" t="s">
        <v>2339</v>
      </c>
      <c r="B5846" s="78" t="s">
        <v>19</v>
      </c>
      <c r="C5846" s="85">
        <v>45414.0</v>
      </c>
      <c r="D5846" s="85">
        <v>45414.0</v>
      </c>
      <c r="E5846" s="86">
        <v>1.95</v>
      </c>
      <c r="F5846" s="87">
        <v>3.15</v>
      </c>
      <c r="G5846" s="88">
        <f t="shared" si="1"/>
        <v>1.2</v>
      </c>
      <c r="H5846" s="89">
        <f t="shared" si="15"/>
        <v>0.380952381</v>
      </c>
      <c r="I5846" s="78" t="s">
        <v>6719</v>
      </c>
      <c r="J5846" s="78" t="s">
        <v>69</v>
      </c>
      <c r="K5846" s="58">
        <f t="shared" si="16"/>
        <v>0</v>
      </c>
      <c r="L5846" s="91" t="str">
        <f t="shared" si="8"/>
        <v>Thu</v>
      </c>
      <c r="M5846" s="78" t="str">
        <f>IFERROR(VLOOKUP(A5846, Entries!A:B,2,false),"")</f>
        <v>PlayWay</v>
      </c>
      <c r="N5846" s="23" t="str">
        <f>IFERROR(VLOOKUP(A5846, Entries!A:K,11,false),"")</f>
        <v/>
      </c>
    </row>
    <row r="5847">
      <c r="A5847" s="78" t="s">
        <v>2339</v>
      </c>
      <c r="B5847" s="78" t="s">
        <v>19</v>
      </c>
      <c r="C5847" s="85">
        <v>45414.0</v>
      </c>
      <c r="D5847" s="85">
        <v>45414.0</v>
      </c>
      <c r="E5847" s="86">
        <v>1.95</v>
      </c>
      <c r="F5847" s="87">
        <v>3.15</v>
      </c>
      <c r="G5847" s="88">
        <f t="shared" si="1"/>
        <v>1.2</v>
      </c>
      <c r="H5847" s="89">
        <f t="shared" si="15"/>
        <v>0.380952381</v>
      </c>
      <c r="I5847" s="78" t="s">
        <v>6720</v>
      </c>
      <c r="J5847" s="78" t="s">
        <v>69</v>
      </c>
      <c r="K5847" s="58">
        <f t="shared" si="16"/>
        <v>0</v>
      </c>
      <c r="L5847" s="91" t="str">
        <f t="shared" si="8"/>
        <v>Thu</v>
      </c>
      <c r="M5847" s="78" t="str">
        <f>IFERROR(VLOOKUP(A5847, Entries!A:B,2,false),"")</f>
        <v>PlayWay</v>
      </c>
      <c r="N5847" s="23" t="str">
        <f>IFERROR(VLOOKUP(A5847, Entries!A:K,11,false),"")</f>
        <v/>
      </c>
    </row>
    <row r="5848">
      <c r="A5848" s="78" t="s">
        <v>6685</v>
      </c>
      <c r="B5848" s="78" t="s">
        <v>19</v>
      </c>
      <c r="C5848" s="85">
        <v>45414.0</v>
      </c>
      <c r="D5848" s="85">
        <v>45450.0</v>
      </c>
      <c r="E5848" s="86">
        <v>19.48</v>
      </c>
      <c r="F5848" s="87">
        <v>24.07</v>
      </c>
      <c r="G5848" s="88">
        <f t="shared" si="1"/>
        <v>4.59</v>
      </c>
      <c r="H5848" s="89">
        <f t="shared" si="15"/>
        <v>0.1906938097</v>
      </c>
      <c r="I5848" s="78" t="s">
        <v>6721</v>
      </c>
      <c r="J5848" s="78" t="s">
        <v>69</v>
      </c>
      <c r="K5848" s="58">
        <f t="shared" si="16"/>
        <v>36</v>
      </c>
      <c r="L5848" s="91" t="str">
        <f t="shared" si="8"/>
        <v>Fri</v>
      </c>
      <c r="M5848" s="78" t="str">
        <f>IFERROR(VLOOKUP(A5848, Entries!A:B,2,false),"")</f>
        <v/>
      </c>
      <c r="N5848" s="23" t="str">
        <f>IFERROR(VLOOKUP(A5848, Entries!A:K,11,false),"")</f>
        <v/>
      </c>
    </row>
    <row r="5849">
      <c r="A5849" s="78" t="s">
        <v>6682</v>
      </c>
      <c r="B5849" s="78" t="s">
        <v>19</v>
      </c>
      <c r="C5849" s="85">
        <v>45414.0</v>
      </c>
      <c r="D5849" s="85">
        <v>45415.0</v>
      </c>
      <c r="E5849" s="86">
        <v>8.01</v>
      </c>
      <c r="F5849" s="87">
        <v>12.92</v>
      </c>
      <c r="G5849" s="88">
        <f t="shared" si="1"/>
        <v>4.91</v>
      </c>
      <c r="H5849" s="89">
        <f t="shared" si="15"/>
        <v>0.3800309598</v>
      </c>
      <c r="I5849" s="78" t="s">
        <v>6722</v>
      </c>
      <c r="J5849" s="78" t="s">
        <v>69</v>
      </c>
      <c r="K5849" s="58">
        <f t="shared" si="16"/>
        <v>1</v>
      </c>
      <c r="L5849" s="91" t="str">
        <f t="shared" si="8"/>
        <v>Fri</v>
      </c>
      <c r="M5849" s="78" t="str">
        <f>IFERROR(VLOOKUP(A5849, Entries!A:B,2,false),"")</f>
        <v>Bethesda Softworks</v>
      </c>
      <c r="N5849" s="23" t="str">
        <f>IFERROR(VLOOKUP(A5849, Entries!A:K,11,false),"")</f>
        <v/>
      </c>
    </row>
    <row r="5850">
      <c r="A5850" s="78" t="s">
        <v>6687</v>
      </c>
      <c r="B5850" s="78" t="s">
        <v>21</v>
      </c>
      <c r="C5850" s="85">
        <v>45414.0</v>
      </c>
      <c r="D5850" s="85">
        <v>45414.0</v>
      </c>
      <c r="E5850" s="86">
        <v>32.68</v>
      </c>
      <c r="F5850" s="87">
        <v>37.63</v>
      </c>
      <c r="G5850" s="88">
        <f t="shared" si="1"/>
        <v>4.95</v>
      </c>
      <c r="H5850" s="89">
        <f t="shared" si="15"/>
        <v>0.1315439809</v>
      </c>
      <c r="I5850" s="78" t="s">
        <v>6723</v>
      </c>
      <c r="J5850" s="78" t="s">
        <v>69</v>
      </c>
      <c r="K5850" s="58">
        <f t="shared" si="16"/>
        <v>0</v>
      </c>
      <c r="L5850" s="91" t="str">
        <f t="shared" si="8"/>
        <v>Thu</v>
      </c>
      <c r="M5850" s="78" t="str">
        <f>IFERROR(VLOOKUP(A5850, Entries!A:B,2,false),"")</f>
        <v/>
      </c>
      <c r="N5850" s="23" t="str">
        <f>IFERROR(VLOOKUP(A5850, Entries!A:K,11,false),"")</f>
        <v/>
      </c>
    </row>
    <row r="5851">
      <c r="A5851" s="78" t="s">
        <v>2339</v>
      </c>
      <c r="B5851" s="78" t="s">
        <v>19</v>
      </c>
      <c r="C5851" s="85">
        <v>45414.0</v>
      </c>
      <c r="D5851" s="85">
        <v>45414.0</v>
      </c>
      <c r="E5851" s="86">
        <v>0.97</v>
      </c>
      <c r="F5851" s="87">
        <v>3.15</v>
      </c>
      <c r="G5851" s="88">
        <f t="shared" si="1"/>
        <v>2.18</v>
      </c>
      <c r="H5851" s="89">
        <f t="shared" si="15"/>
        <v>0.6920634921</v>
      </c>
      <c r="I5851" s="78" t="s">
        <v>6724</v>
      </c>
      <c r="J5851" s="78" t="s">
        <v>69</v>
      </c>
      <c r="K5851" s="58">
        <f t="shared" si="16"/>
        <v>0</v>
      </c>
      <c r="L5851" s="91" t="str">
        <f t="shared" si="8"/>
        <v>Thu</v>
      </c>
      <c r="M5851" s="78" t="str">
        <f>IFERROR(VLOOKUP(A5851, Entries!A:B,2,false),"")</f>
        <v>PlayWay</v>
      </c>
      <c r="N5851" s="23" t="str">
        <f>IFERROR(VLOOKUP(A5851, Entries!A:K,11,false),"")</f>
        <v/>
      </c>
    </row>
    <row r="5852">
      <c r="A5852" s="78" t="s">
        <v>2339</v>
      </c>
      <c r="B5852" s="78" t="s">
        <v>19</v>
      </c>
      <c r="C5852" s="85">
        <v>45414.0</v>
      </c>
      <c r="D5852" s="85">
        <v>45414.0</v>
      </c>
      <c r="E5852" s="86">
        <v>1.95</v>
      </c>
      <c r="F5852" s="87">
        <v>3.24</v>
      </c>
      <c r="G5852" s="88">
        <f t="shared" si="1"/>
        <v>1.29</v>
      </c>
      <c r="H5852" s="89">
        <f t="shared" si="15"/>
        <v>0.3981481481</v>
      </c>
      <c r="I5852" s="78" t="s">
        <v>6725</v>
      </c>
      <c r="J5852" s="78" t="s">
        <v>69</v>
      </c>
      <c r="K5852" s="58">
        <f t="shared" si="16"/>
        <v>0</v>
      </c>
      <c r="L5852" s="91" t="str">
        <f t="shared" si="8"/>
        <v>Thu</v>
      </c>
      <c r="M5852" s="78" t="str">
        <f>IFERROR(VLOOKUP(A5852, Entries!A:B,2,false),"")</f>
        <v>PlayWay</v>
      </c>
      <c r="N5852" s="23" t="str">
        <f>IFERROR(VLOOKUP(A5852, Entries!A:K,11,false),"")</f>
        <v/>
      </c>
    </row>
    <row r="5853">
      <c r="A5853" s="78" t="s">
        <v>2339</v>
      </c>
      <c r="B5853" s="78" t="s">
        <v>19</v>
      </c>
      <c r="C5853" s="85">
        <v>45414.0</v>
      </c>
      <c r="D5853" s="85">
        <v>45414.0</v>
      </c>
      <c r="E5853" s="86">
        <v>1.95</v>
      </c>
      <c r="F5853" s="87">
        <v>3.24</v>
      </c>
      <c r="G5853" s="88">
        <f t="shared" si="1"/>
        <v>1.29</v>
      </c>
      <c r="H5853" s="89">
        <f t="shared" si="15"/>
        <v>0.3981481481</v>
      </c>
      <c r="I5853" s="78" t="s">
        <v>6726</v>
      </c>
      <c r="J5853" s="78" t="s">
        <v>69</v>
      </c>
      <c r="K5853" s="58">
        <f t="shared" si="16"/>
        <v>0</v>
      </c>
      <c r="L5853" s="91" t="str">
        <f t="shared" si="8"/>
        <v>Thu</v>
      </c>
      <c r="M5853" s="78" t="str">
        <f>IFERROR(VLOOKUP(A5853, Entries!A:B,2,false),"")</f>
        <v>PlayWay</v>
      </c>
      <c r="N5853" s="23" t="str">
        <f>IFERROR(VLOOKUP(A5853, Entries!A:K,11,false),"")</f>
        <v/>
      </c>
    </row>
    <row r="5854">
      <c r="A5854" s="78" t="s">
        <v>2339</v>
      </c>
      <c r="B5854" s="78" t="s">
        <v>19</v>
      </c>
      <c r="C5854" s="85">
        <v>45414.0</v>
      </c>
      <c r="D5854" s="85">
        <v>45414.0</v>
      </c>
      <c r="E5854" s="86">
        <v>1.95</v>
      </c>
      <c r="F5854" s="87">
        <v>3.22</v>
      </c>
      <c r="G5854" s="88">
        <f t="shared" si="1"/>
        <v>1.27</v>
      </c>
      <c r="H5854" s="89">
        <f t="shared" si="15"/>
        <v>0.3944099379</v>
      </c>
      <c r="I5854" s="78" t="s">
        <v>6727</v>
      </c>
      <c r="J5854" s="78" t="s">
        <v>69</v>
      </c>
      <c r="K5854" s="58">
        <f t="shared" si="16"/>
        <v>0</v>
      </c>
      <c r="L5854" s="91" t="str">
        <f t="shared" si="8"/>
        <v>Thu</v>
      </c>
      <c r="M5854" s="78" t="str">
        <f>IFERROR(VLOOKUP(A5854, Entries!A:B,2,false),"")</f>
        <v>PlayWay</v>
      </c>
      <c r="N5854" s="23" t="str">
        <f>IFERROR(VLOOKUP(A5854, Entries!A:K,11,false),"")</f>
        <v/>
      </c>
    </row>
    <row r="5855">
      <c r="A5855" s="78" t="s">
        <v>2339</v>
      </c>
      <c r="B5855" s="78" t="s">
        <v>19</v>
      </c>
      <c r="C5855" s="85">
        <v>45414.0</v>
      </c>
      <c r="D5855" s="85">
        <v>45414.0</v>
      </c>
      <c r="E5855" s="86">
        <v>1.95</v>
      </c>
      <c r="F5855" s="87">
        <v>3.22</v>
      </c>
      <c r="G5855" s="88">
        <f t="shared" si="1"/>
        <v>1.27</v>
      </c>
      <c r="H5855" s="89">
        <f t="shared" si="15"/>
        <v>0.3944099379</v>
      </c>
      <c r="I5855" s="78" t="s">
        <v>6728</v>
      </c>
      <c r="J5855" s="78" t="s">
        <v>69</v>
      </c>
      <c r="K5855" s="58">
        <f t="shared" si="16"/>
        <v>0</v>
      </c>
      <c r="L5855" s="91" t="str">
        <f t="shared" si="8"/>
        <v>Thu</v>
      </c>
      <c r="M5855" s="78" t="str">
        <f>IFERROR(VLOOKUP(A5855, Entries!A:B,2,false),"")</f>
        <v>PlayWay</v>
      </c>
      <c r="N5855" s="23" t="str">
        <f>IFERROR(VLOOKUP(A5855, Entries!A:K,11,false),"")</f>
        <v/>
      </c>
    </row>
    <row r="5856">
      <c r="A5856" s="78" t="s">
        <v>2339</v>
      </c>
      <c r="B5856" s="78" t="s">
        <v>19</v>
      </c>
      <c r="C5856" s="85">
        <v>45414.0</v>
      </c>
      <c r="D5856" s="85">
        <v>45414.0</v>
      </c>
      <c r="E5856" s="86">
        <v>1.87</v>
      </c>
      <c r="F5856" s="87">
        <v>3.22</v>
      </c>
      <c r="G5856" s="88">
        <f t="shared" si="1"/>
        <v>1.35</v>
      </c>
      <c r="H5856" s="89">
        <f t="shared" si="15"/>
        <v>0.4192546584</v>
      </c>
      <c r="I5856" s="78" t="s">
        <v>6729</v>
      </c>
      <c r="J5856" s="78" t="s">
        <v>69</v>
      </c>
      <c r="K5856" s="58">
        <f t="shared" si="16"/>
        <v>0</v>
      </c>
      <c r="L5856" s="91" t="str">
        <f t="shared" si="8"/>
        <v>Thu</v>
      </c>
      <c r="M5856" s="78" t="str">
        <f>IFERROR(VLOOKUP(A5856, Entries!A:B,2,false),"")</f>
        <v>PlayWay</v>
      </c>
      <c r="N5856" s="23" t="str">
        <f>IFERROR(VLOOKUP(A5856, Entries!A:K,11,false),"")</f>
        <v/>
      </c>
    </row>
    <row r="5857">
      <c r="A5857" s="78" t="s">
        <v>6730</v>
      </c>
      <c r="B5857" s="78" t="s">
        <v>19</v>
      </c>
      <c r="C5857" s="85">
        <v>45414.0</v>
      </c>
      <c r="D5857" s="85">
        <v>45420.0</v>
      </c>
      <c r="E5857" s="86">
        <v>0.0</v>
      </c>
      <c r="F5857" s="87">
        <v>0.17</v>
      </c>
      <c r="G5857" s="88">
        <f t="shared" si="1"/>
        <v>0.17</v>
      </c>
      <c r="H5857" s="89">
        <f t="shared" si="15"/>
        <v>1</v>
      </c>
      <c r="I5857" s="78" t="s">
        <v>6731</v>
      </c>
      <c r="J5857" s="78" t="s">
        <v>69</v>
      </c>
      <c r="K5857" s="58">
        <f t="shared" si="16"/>
        <v>6</v>
      </c>
      <c r="L5857" s="91" t="str">
        <f t="shared" si="8"/>
        <v>Wed</v>
      </c>
      <c r="M5857" s="78" t="str">
        <f>IFERROR(VLOOKUP(A5857, Entries!A:B,2,false),"")</f>
        <v/>
      </c>
      <c r="N5857" s="23" t="str">
        <f>IFERROR(VLOOKUP(A5857, Entries!A:K,11,false),"")</f>
        <v/>
      </c>
    </row>
    <row r="5858">
      <c r="A5858" s="78" t="s">
        <v>6682</v>
      </c>
      <c r="B5858" s="78" t="s">
        <v>19</v>
      </c>
      <c r="C5858" s="85">
        <v>45414.0</v>
      </c>
      <c r="D5858" s="85">
        <v>45415.0</v>
      </c>
      <c r="E5858" s="86">
        <v>8.01</v>
      </c>
      <c r="F5858" s="87">
        <v>12.99</v>
      </c>
      <c r="G5858" s="88">
        <f t="shared" si="1"/>
        <v>4.98</v>
      </c>
      <c r="H5858" s="89">
        <f t="shared" si="15"/>
        <v>0.3833718245</v>
      </c>
      <c r="I5858" s="78" t="s">
        <v>6732</v>
      </c>
      <c r="J5858" s="78" t="s">
        <v>69</v>
      </c>
      <c r="K5858" s="58">
        <f t="shared" si="16"/>
        <v>1</v>
      </c>
      <c r="L5858" s="91" t="str">
        <f t="shared" si="8"/>
        <v>Fri</v>
      </c>
      <c r="M5858" s="78" t="str">
        <f>IFERROR(VLOOKUP(A5858, Entries!A:B,2,false),"")</f>
        <v>Bethesda Softworks</v>
      </c>
      <c r="N5858" s="23" t="str">
        <f>IFERROR(VLOOKUP(A5858, Entries!A:K,11,false),"")</f>
        <v/>
      </c>
    </row>
    <row r="5859">
      <c r="A5859" s="78" t="s">
        <v>6733</v>
      </c>
      <c r="B5859" s="78" t="s">
        <v>19</v>
      </c>
      <c r="C5859" s="85">
        <v>45414.0</v>
      </c>
      <c r="D5859" s="85">
        <v>45414.0</v>
      </c>
      <c r="E5859" s="86">
        <v>6.0</v>
      </c>
      <c r="F5859" s="87">
        <v>8.5</v>
      </c>
      <c r="G5859" s="88">
        <f t="shared" si="1"/>
        <v>2.5</v>
      </c>
      <c r="H5859" s="89">
        <f t="shared" si="15"/>
        <v>0.2941176471</v>
      </c>
      <c r="I5859" s="78" t="s">
        <v>6734</v>
      </c>
      <c r="J5859" s="78" t="s">
        <v>69</v>
      </c>
      <c r="K5859" s="58">
        <f t="shared" si="16"/>
        <v>0</v>
      </c>
      <c r="L5859" s="91" t="str">
        <f t="shared" si="8"/>
        <v>Thu</v>
      </c>
      <c r="M5859" s="78" t="str">
        <f>IFERROR(VLOOKUP(A5859, Entries!A:B,2,false),"")</f>
        <v/>
      </c>
      <c r="N5859" s="23" t="str">
        <f>IFERROR(VLOOKUP(A5859, Entries!A:K,11,false),"")</f>
        <v/>
      </c>
    </row>
    <row r="5860">
      <c r="A5860" s="78" t="s">
        <v>6735</v>
      </c>
      <c r="B5860" s="78" t="s">
        <v>19</v>
      </c>
      <c r="C5860" s="85">
        <v>45414.0</v>
      </c>
      <c r="D5860" s="85">
        <v>45414.0</v>
      </c>
      <c r="E5860" s="86">
        <v>3.0</v>
      </c>
      <c r="F5860" s="87">
        <v>4.28</v>
      </c>
      <c r="G5860" s="88">
        <f t="shared" si="1"/>
        <v>1.28</v>
      </c>
      <c r="H5860" s="89">
        <f t="shared" si="15"/>
        <v>0.2990654206</v>
      </c>
      <c r="I5860" s="78" t="s">
        <v>6736</v>
      </c>
      <c r="J5860" s="78" t="s">
        <v>69</v>
      </c>
      <c r="K5860" s="58">
        <f t="shared" si="16"/>
        <v>0</v>
      </c>
      <c r="L5860" s="91" t="str">
        <f t="shared" si="8"/>
        <v>Thu</v>
      </c>
      <c r="M5860" s="78" t="str">
        <f>IFERROR(VLOOKUP(A5860, Entries!A:B,2,false),"")</f>
        <v/>
      </c>
      <c r="N5860" s="23" t="str">
        <f>IFERROR(VLOOKUP(A5860, Entries!A:K,11,false),"")</f>
        <v/>
      </c>
    </row>
    <row r="5861">
      <c r="A5861" s="78" t="s">
        <v>6737</v>
      </c>
      <c r="B5861" s="78" t="s">
        <v>19</v>
      </c>
      <c r="C5861" s="85">
        <v>45414.0</v>
      </c>
      <c r="D5861" s="85">
        <v>45414.0</v>
      </c>
      <c r="E5861" s="86">
        <v>4.0</v>
      </c>
      <c r="F5861" s="87">
        <v>6.29</v>
      </c>
      <c r="G5861" s="88">
        <f t="shared" si="1"/>
        <v>2.29</v>
      </c>
      <c r="H5861" s="89">
        <f t="shared" si="15"/>
        <v>0.3640699523</v>
      </c>
      <c r="I5861" s="78" t="s">
        <v>6738</v>
      </c>
      <c r="J5861" s="78" t="s">
        <v>69</v>
      </c>
      <c r="K5861" s="58">
        <f t="shared" si="16"/>
        <v>0</v>
      </c>
      <c r="L5861" s="91" t="str">
        <f t="shared" si="8"/>
        <v>Thu</v>
      </c>
      <c r="M5861" s="78" t="str">
        <f>IFERROR(VLOOKUP(A5861, Entries!A:B,2,false),"")</f>
        <v/>
      </c>
      <c r="N5861" s="23" t="str">
        <f>IFERROR(VLOOKUP(A5861, Entries!A:K,11,false),"")</f>
        <v/>
      </c>
    </row>
    <row r="5862">
      <c r="A5862" s="78" t="s">
        <v>6739</v>
      </c>
      <c r="B5862" s="78" t="s">
        <v>19</v>
      </c>
      <c r="C5862" s="85">
        <v>45414.0</v>
      </c>
      <c r="D5862" s="85">
        <v>45414.0</v>
      </c>
      <c r="E5862" s="86">
        <v>2.19</v>
      </c>
      <c r="F5862" s="87">
        <v>3.38</v>
      </c>
      <c r="G5862" s="88">
        <f t="shared" si="1"/>
        <v>1.19</v>
      </c>
      <c r="H5862" s="89">
        <f t="shared" si="15"/>
        <v>0.3520710059</v>
      </c>
      <c r="I5862" s="78" t="s">
        <v>6740</v>
      </c>
      <c r="J5862" s="78" t="s">
        <v>69</v>
      </c>
      <c r="K5862" s="58">
        <f t="shared" si="16"/>
        <v>0</v>
      </c>
      <c r="L5862" s="91" t="str">
        <f t="shared" si="8"/>
        <v>Thu</v>
      </c>
      <c r="M5862" s="78" t="str">
        <f>IFERROR(VLOOKUP(A5862, Entries!A:B,2,false),"")</f>
        <v/>
      </c>
      <c r="N5862" s="23" t="str">
        <f>IFERROR(VLOOKUP(A5862, Entries!A:K,11,false),"")</f>
        <v/>
      </c>
    </row>
    <row r="5863">
      <c r="A5863" s="78" t="s">
        <v>2339</v>
      </c>
      <c r="B5863" s="78" t="s">
        <v>19</v>
      </c>
      <c r="C5863" s="85">
        <v>45414.0</v>
      </c>
      <c r="D5863" s="85">
        <v>45414.0</v>
      </c>
      <c r="E5863" s="86">
        <v>1.95</v>
      </c>
      <c r="F5863" s="87">
        <v>3.22</v>
      </c>
      <c r="G5863" s="88">
        <f t="shared" si="1"/>
        <v>1.27</v>
      </c>
      <c r="H5863" s="89">
        <f t="shared" si="15"/>
        <v>0.3944099379</v>
      </c>
      <c r="I5863" s="78" t="s">
        <v>6741</v>
      </c>
      <c r="J5863" s="78" t="s">
        <v>69</v>
      </c>
      <c r="K5863" s="58">
        <f t="shared" si="16"/>
        <v>0</v>
      </c>
      <c r="L5863" s="91" t="str">
        <f t="shared" si="8"/>
        <v>Thu</v>
      </c>
      <c r="M5863" s="78" t="str">
        <f>IFERROR(VLOOKUP(A5863, Entries!A:B,2,false),"")</f>
        <v>PlayWay</v>
      </c>
      <c r="N5863" s="23" t="str">
        <f>IFERROR(VLOOKUP(A5863, Entries!A:K,11,false),"")</f>
        <v/>
      </c>
    </row>
    <row r="5864">
      <c r="A5864" s="78" t="s">
        <v>2339</v>
      </c>
      <c r="B5864" s="78" t="s">
        <v>19</v>
      </c>
      <c r="C5864" s="85">
        <v>45414.0</v>
      </c>
      <c r="D5864" s="85">
        <v>45415.0</v>
      </c>
      <c r="E5864" s="86">
        <v>1.87</v>
      </c>
      <c r="F5864" s="87">
        <v>3.18</v>
      </c>
      <c r="G5864" s="88">
        <f t="shared" si="1"/>
        <v>1.31</v>
      </c>
      <c r="H5864" s="89">
        <f t="shared" si="15"/>
        <v>0.4119496855</v>
      </c>
      <c r="I5864" s="78" t="s">
        <v>6742</v>
      </c>
      <c r="J5864" s="78" t="s">
        <v>69</v>
      </c>
      <c r="K5864" s="58">
        <f t="shared" si="16"/>
        <v>1</v>
      </c>
      <c r="L5864" s="91" t="str">
        <f t="shared" si="8"/>
        <v>Fri</v>
      </c>
      <c r="M5864" s="78" t="str">
        <f>IFERROR(VLOOKUP(A5864, Entries!A:B,2,false),"")</f>
        <v>PlayWay</v>
      </c>
      <c r="N5864" s="23" t="str">
        <f>IFERROR(VLOOKUP(A5864, Entries!A:K,11,false),"")</f>
        <v/>
      </c>
    </row>
    <row r="5865">
      <c r="A5865" s="78" t="s">
        <v>6682</v>
      </c>
      <c r="B5865" s="78" t="s">
        <v>19</v>
      </c>
      <c r="C5865" s="85">
        <v>45414.0</v>
      </c>
      <c r="D5865" s="85">
        <v>45415.0</v>
      </c>
      <c r="E5865" s="86">
        <v>8.01</v>
      </c>
      <c r="F5865" s="87">
        <v>13.25</v>
      </c>
      <c r="G5865" s="88">
        <f t="shared" si="1"/>
        <v>5.24</v>
      </c>
      <c r="H5865" s="89">
        <f t="shared" si="15"/>
        <v>0.3954716981</v>
      </c>
      <c r="I5865" s="78" t="s">
        <v>6743</v>
      </c>
      <c r="J5865" s="78" t="s">
        <v>69</v>
      </c>
      <c r="K5865" s="58">
        <f t="shared" si="16"/>
        <v>1</v>
      </c>
      <c r="L5865" s="91" t="str">
        <f t="shared" si="8"/>
        <v>Fri</v>
      </c>
      <c r="M5865" s="78" t="str">
        <f>IFERROR(VLOOKUP(A5865, Entries!A:B,2,false),"")</f>
        <v>Bethesda Softworks</v>
      </c>
      <c r="N5865" s="23" t="str">
        <f>IFERROR(VLOOKUP(A5865, Entries!A:K,11,false),"")</f>
        <v/>
      </c>
    </row>
    <row r="5866">
      <c r="A5866" s="78" t="s">
        <v>6733</v>
      </c>
      <c r="B5866" s="78" t="s">
        <v>19</v>
      </c>
      <c r="C5866" s="85">
        <v>45414.0</v>
      </c>
      <c r="D5866" s="85">
        <v>45414.0</v>
      </c>
      <c r="E5866" s="86">
        <v>6.0</v>
      </c>
      <c r="F5866" s="87">
        <v>8.5</v>
      </c>
      <c r="G5866" s="88">
        <f t="shared" si="1"/>
        <v>2.5</v>
      </c>
      <c r="H5866" s="89">
        <f t="shared" si="15"/>
        <v>0.2941176471</v>
      </c>
      <c r="I5866" s="78" t="s">
        <v>6744</v>
      </c>
      <c r="J5866" s="78" t="s">
        <v>69</v>
      </c>
      <c r="K5866" s="58">
        <f t="shared" si="16"/>
        <v>0</v>
      </c>
      <c r="L5866" s="91" t="str">
        <f t="shared" si="8"/>
        <v>Thu</v>
      </c>
      <c r="M5866" s="78" t="str">
        <f>IFERROR(VLOOKUP(A5866, Entries!A:B,2,false),"")</f>
        <v/>
      </c>
      <c r="N5866" s="23" t="str">
        <f>IFERROR(VLOOKUP(A5866, Entries!A:K,11,false),"")</f>
        <v/>
      </c>
    </row>
    <row r="5867">
      <c r="A5867" s="78" t="s">
        <v>6735</v>
      </c>
      <c r="B5867" s="78" t="s">
        <v>19</v>
      </c>
      <c r="C5867" s="85">
        <v>45414.0</v>
      </c>
      <c r="D5867" s="85">
        <v>45414.0</v>
      </c>
      <c r="E5867" s="86">
        <v>3.0</v>
      </c>
      <c r="F5867" s="87">
        <v>4.28</v>
      </c>
      <c r="G5867" s="88">
        <f t="shared" si="1"/>
        <v>1.28</v>
      </c>
      <c r="H5867" s="89">
        <f t="shared" si="15"/>
        <v>0.2990654206</v>
      </c>
      <c r="I5867" s="78" t="s">
        <v>6745</v>
      </c>
      <c r="J5867" s="78" t="s">
        <v>69</v>
      </c>
      <c r="K5867" s="58">
        <f t="shared" si="16"/>
        <v>0</v>
      </c>
      <c r="L5867" s="91" t="str">
        <f t="shared" si="8"/>
        <v>Thu</v>
      </c>
      <c r="M5867" s="78" t="str">
        <f>IFERROR(VLOOKUP(A5867, Entries!A:B,2,false),"")</f>
        <v/>
      </c>
      <c r="N5867" s="23" t="str">
        <f>IFERROR(VLOOKUP(A5867, Entries!A:K,11,false),"")</f>
        <v/>
      </c>
    </row>
    <row r="5868">
      <c r="A5868" s="78" t="s">
        <v>6737</v>
      </c>
      <c r="B5868" s="78" t="s">
        <v>19</v>
      </c>
      <c r="C5868" s="85">
        <v>45414.0</v>
      </c>
      <c r="D5868" s="85">
        <v>45414.0</v>
      </c>
      <c r="E5868" s="86">
        <v>4.0</v>
      </c>
      <c r="F5868" s="87">
        <v>6.29</v>
      </c>
      <c r="G5868" s="88">
        <f t="shared" si="1"/>
        <v>2.29</v>
      </c>
      <c r="H5868" s="89">
        <f t="shared" si="15"/>
        <v>0.3640699523</v>
      </c>
      <c r="I5868" s="78" t="s">
        <v>6746</v>
      </c>
      <c r="J5868" s="78" t="s">
        <v>69</v>
      </c>
      <c r="K5868" s="58">
        <f t="shared" si="16"/>
        <v>0</v>
      </c>
      <c r="L5868" s="91" t="str">
        <f t="shared" si="8"/>
        <v>Thu</v>
      </c>
      <c r="M5868" s="78" t="str">
        <f>IFERROR(VLOOKUP(A5868, Entries!A:B,2,false),"")</f>
        <v/>
      </c>
      <c r="N5868" s="23" t="str">
        <f>IFERROR(VLOOKUP(A5868, Entries!A:K,11,false),"")</f>
        <v/>
      </c>
    </row>
    <row r="5869">
      <c r="A5869" s="78" t="s">
        <v>6739</v>
      </c>
      <c r="B5869" s="78" t="s">
        <v>19</v>
      </c>
      <c r="C5869" s="85">
        <v>45414.0</v>
      </c>
      <c r="D5869" s="85">
        <v>45415.0</v>
      </c>
      <c r="E5869" s="86">
        <v>2.19</v>
      </c>
      <c r="F5869" s="87">
        <v>3.49</v>
      </c>
      <c r="G5869" s="88">
        <f t="shared" si="1"/>
        <v>1.3</v>
      </c>
      <c r="H5869" s="89">
        <f t="shared" si="15"/>
        <v>0.3724928367</v>
      </c>
      <c r="I5869" s="78" t="s">
        <v>6747</v>
      </c>
      <c r="J5869" s="78" t="s">
        <v>69</v>
      </c>
      <c r="K5869" s="58">
        <f t="shared" si="16"/>
        <v>1</v>
      </c>
      <c r="L5869" s="91" t="str">
        <f t="shared" si="8"/>
        <v>Fri</v>
      </c>
      <c r="M5869" s="78" t="str">
        <f>IFERROR(VLOOKUP(A5869, Entries!A:B,2,false),"")</f>
        <v/>
      </c>
      <c r="N5869" s="23" t="str">
        <f>IFERROR(VLOOKUP(A5869, Entries!A:K,11,false),"")</f>
        <v/>
      </c>
    </row>
    <row r="5870">
      <c r="A5870" s="78" t="s">
        <v>2339</v>
      </c>
      <c r="B5870" s="78" t="s">
        <v>19</v>
      </c>
      <c r="C5870" s="85">
        <v>45414.0</v>
      </c>
      <c r="D5870" s="85">
        <v>45415.0</v>
      </c>
      <c r="E5870" s="86">
        <v>1.87</v>
      </c>
      <c r="F5870" s="87">
        <v>3.18</v>
      </c>
      <c r="G5870" s="88">
        <f t="shared" si="1"/>
        <v>1.31</v>
      </c>
      <c r="H5870" s="89">
        <f t="shared" si="15"/>
        <v>0.4119496855</v>
      </c>
      <c r="I5870" s="78" t="s">
        <v>6748</v>
      </c>
      <c r="J5870" s="78" t="s">
        <v>69</v>
      </c>
      <c r="K5870" s="58">
        <f t="shared" si="16"/>
        <v>1</v>
      </c>
      <c r="L5870" s="91" t="str">
        <f t="shared" si="8"/>
        <v>Fri</v>
      </c>
      <c r="M5870" s="78" t="str">
        <f>IFERROR(VLOOKUP(A5870, Entries!A:B,2,false),"")</f>
        <v>PlayWay</v>
      </c>
      <c r="N5870" s="23" t="str">
        <f>IFERROR(VLOOKUP(A5870, Entries!A:K,11,false),"")</f>
        <v/>
      </c>
    </row>
    <row r="5871">
      <c r="A5871" s="78" t="s">
        <v>6682</v>
      </c>
      <c r="B5871" s="78" t="s">
        <v>19</v>
      </c>
      <c r="C5871" s="85">
        <v>45414.0</v>
      </c>
      <c r="D5871" s="85">
        <v>45415.0</v>
      </c>
      <c r="E5871" s="86">
        <v>8.01</v>
      </c>
      <c r="F5871" s="87">
        <v>13.25</v>
      </c>
      <c r="G5871" s="88">
        <f t="shared" si="1"/>
        <v>5.24</v>
      </c>
      <c r="H5871" s="89">
        <f t="shared" si="15"/>
        <v>0.3954716981</v>
      </c>
      <c r="I5871" s="78" t="s">
        <v>6749</v>
      </c>
      <c r="J5871" s="78" t="s">
        <v>69</v>
      </c>
      <c r="K5871" s="58">
        <f t="shared" si="16"/>
        <v>1</v>
      </c>
      <c r="L5871" s="91" t="str">
        <f t="shared" si="8"/>
        <v>Fri</v>
      </c>
      <c r="M5871" s="78" t="str">
        <f>IFERROR(VLOOKUP(A5871, Entries!A:B,2,false),"")</f>
        <v>Bethesda Softworks</v>
      </c>
      <c r="N5871" s="23" t="str">
        <f>IFERROR(VLOOKUP(A5871, Entries!A:K,11,false),"")</f>
        <v/>
      </c>
    </row>
    <row r="5872">
      <c r="A5872" s="78" t="s">
        <v>6733</v>
      </c>
      <c r="B5872" s="78" t="s">
        <v>19</v>
      </c>
      <c r="C5872" s="85">
        <v>45414.0</v>
      </c>
      <c r="D5872" s="85">
        <v>45414.0</v>
      </c>
      <c r="E5872" s="86">
        <v>6.0</v>
      </c>
      <c r="F5872" s="87">
        <v>10.49</v>
      </c>
      <c r="G5872" s="88">
        <f t="shared" si="1"/>
        <v>4.49</v>
      </c>
      <c r="H5872" s="89">
        <f t="shared" si="15"/>
        <v>0.4280266921</v>
      </c>
      <c r="I5872" s="78" t="s">
        <v>6750</v>
      </c>
      <c r="J5872" s="78" t="s">
        <v>69</v>
      </c>
      <c r="K5872" s="58">
        <f t="shared" si="16"/>
        <v>0</v>
      </c>
      <c r="L5872" s="91" t="str">
        <f t="shared" si="8"/>
        <v>Thu</v>
      </c>
      <c r="M5872" s="78" t="str">
        <f>IFERROR(VLOOKUP(A5872, Entries!A:B,2,false),"")</f>
        <v/>
      </c>
      <c r="N5872" s="23" t="str">
        <f>IFERROR(VLOOKUP(A5872, Entries!A:K,11,false),"")</f>
        <v/>
      </c>
    </row>
    <row r="5873">
      <c r="A5873" s="78" t="s">
        <v>6735</v>
      </c>
      <c r="B5873" s="78" t="s">
        <v>19</v>
      </c>
      <c r="C5873" s="85">
        <v>45414.0</v>
      </c>
      <c r="D5873" s="85">
        <v>45415.0</v>
      </c>
      <c r="E5873" s="86">
        <v>3.0</v>
      </c>
      <c r="F5873" s="87">
        <v>4.34</v>
      </c>
      <c r="G5873" s="88">
        <f t="shared" si="1"/>
        <v>1.34</v>
      </c>
      <c r="H5873" s="89">
        <f t="shared" si="15"/>
        <v>0.3087557604</v>
      </c>
      <c r="I5873" s="78" t="s">
        <v>6751</v>
      </c>
      <c r="J5873" s="78" t="s">
        <v>69</v>
      </c>
      <c r="K5873" s="58">
        <f t="shared" si="16"/>
        <v>1</v>
      </c>
      <c r="L5873" s="91" t="str">
        <f t="shared" si="8"/>
        <v>Fri</v>
      </c>
      <c r="M5873" s="78" t="str">
        <f>IFERROR(VLOOKUP(A5873, Entries!A:B,2,false),"")</f>
        <v/>
      </c>
      <c r="N5873" s="23" t="str">
        <f>IFERROR(VLOOKUP(A5873, Entries!A:K,11,false),"")</f>
        <v/>
      </c>
    </row>
    <row r="5874">
      <c r="A5874" s="78" t="s">
        <v>6737</v>
      </c>
      <c r="B5874" s="78" t="s">
        <v>19</v>
      </c>
      <c r="C5874" s="85">
        <v>45414.0</v>
      </c>
      <c r="D5874" s="85">
        <v>45414.0</v>
      </c>
      <c r="E5874" s="86">
        <v>4.0</v>
      </c>
      <c r="F5874" s="87">
        <v>6.29</v>
      </c>
      <c r="G5874" s="88">
        <f t="shared" si="1"/>
        <v>2.29</v>
      </c>
      <c r="H5874" s="89">
        <f t="shared" si="15"/>
        <v>0.3640699523</v>
      </c>
      <c r="I5874" s="78" t="s">
        <v>6752</v>
      </c>
      <c r="J5874" s="78" t="s">
        <v>69</v>
      </c>
      <c r="K5874" s="58">
        <f t="shared" si="16"/>
        <v>0</v>
      </c>
      <c r="L5874" s="91" t="str">
        <f t="shared" si="8"/>
        <v>Thu</v>
      </c>
      <c r="M5874" s="78" t="str">
        <f>IFERROR(VLOOKUP(A5874, Entries!A:B,2,false),"")</f>
        <v/>
      </c>
      <c r="N5874" s="23" t="str">
        <f>IFERROR(VLOOKUP(A5874, Entries!A:K,11,false),"")</f>
        <v/>
      </c>
    </row>
    <row r="5875">
      <c r="A5875" s="78" t="s">
        <v>6739</v>
      </c>
      <c r="B5875" s="78" t="s">
        <v>19</v>
      </c>
      <c r="C5875" s="85">
        <v>45414.0</v>
      </c>
      <c r="D5875" s="85">
        <v>45415.0</v>
      </c>
      <c r="E5875" s="86">
        <v>2.19</v>
      </c>
      <c r="F5875" s="87">
        <v>3.49</v>
      </c>
      <c r="G5875" s="88">
        <f t="shared" si="1"/>
        <v>1.3</v>
      </c>
      <c r="H5875" s="89">
        <f t="shared" si="15"/>
        <v>0.3724928367</v>
      </c>
      <c r="I5875" s="78" t="s">
        <v>6753</v>
      </c>
      <c r="J5875" s="78" t="s">
        <v>69</v>
      </c>
      <c r="K5875" s="58">
        <f t="shared" si="16"/>
        <v>1</v>
      </c>
      <c r="L5875" s="91" t="str">
        <f t="shared" si="8"/>
        <v>Fri</v>
      </c>
      <c r="M5875" s="78" t="str">
        <f>IFERROR(VLOOKUP(A5875, Entries!A:B,2,false),"")</f>
        <v/>
      </c>
      <c r="N5875" s="23" t="str">
        <f>IFERROR(VLOOKUP(A5875, Entries!A:K,11,false),"")</f>
        <v/>
      </c>
    </row>
    <row r="5876">
      <c r="A5876" s="78" t="s">
        <v>6730</v>
      </c>
      <c r="B5876" s="78" t="s">
        <v>19</v>
      </c>
      <c r="C5876" s="85">
        <v>45414.0</v>
      </c>
      <c r="D5876" s="85">
        <v>45420.0</v>
      </c>
      <c r="E5876" s="86">
        <v>0.0</v>
      </c>
      <c r="F5876" s="87">
        <v>0.17</v>
      </c>
      <c r="G5876" s="88">
        <f t="shared" si="1"/>
        <v>0.17</v>
      </c>
      <c r="H5876" s="89">
        <f t="shared" si="15"/>
        <v>1</v>
      </c>
      <c r="I5876" s="78" t="s">
        <v>6754</v>
      </c>
      <c r="J5876" s="78" t="s">
        <v>69</v>
      </c>
      <c r="K5876" s="58">
        <f t="shared" si="16"/>
        <v>6</v>
      </c>
      <c r="L5876" s="91" t="str">
        <f t="shared" si="8"/>
        <v>Wed</v>
      </c>
      <c r="M5876" s="78" t="str">
        <f>IFERROR(VLOOKUP(A5876, Entries!A:B,2,false),"")</f>
        <v/>
      </c>
      <c r="N5876" s="23" t="str">
        <f>IFERROR(VLOOKUP(A5876, Entries!A:K,11,false),"")</f>
        <v/>
      </c>
    </row>
    <row r="5877">
      <c r="A5877" s="78" t="s">
        <v>2339</v>
      </c>
      <c r="B5877" s="78" t="s">
        <v>19</v>
      </c>
      <c r="C5877" s="85">
        <v>45414.0</v>
      </c>
      <c r="D5877" s="85">
        <v>45415.0</v>
      </c>
      <c r="E5877" s="86">
        <v>1.87</v>
      </c>
      <c r="F5877" s="87">
        <v>3.18</v>
      </c>
      <c r="G5877" s="88">
        <f t="shared" si="1"/>
        <v>1.31</v>
      </c>
      <c r="H5877" s="89">
        <f t="shared" si="15"/>
        <v>0.4119496855</v>
      </c>
      <c r="I5877" s="78" t="s">
        <v>6755</v>
      </c>
      <c r="J5877" s="78" t="s">
        <v>69</v>
      </c>
      <c r="K5877" s="58">
        <f t="shared" si="16"/>
        <v>1</v>
      </c>
      <c r="L5877" s="91" t="str">
        <f t="shared" si="8"/>
        <v>Fri</v>
      </c>
      <c r="M5877" s="78" t="str">
        <f>IFERROR(VLOOKUP(A5877, Entries!A:B,2,false),"")</f>
        <v>PlayWay</v>
      </c>
      <c r="N5877" s="23" t="str">
        <f>IFERROR(VLOOKUP(A5877, Entries!A:K,11,false),"")</f>
        <v/>
      </c>
    </row>
    <row r="5878">
      <c r="A5878" s="78" t="s">
        <v>6682</v>
      </c>
      <c r="B5878" s="78" t="s">
        <v>19</v>
      </c>
      <c r="C5878" s="85">
        <v>45414.0</v>
      </c>
      <c r="D5878" s="85">
        <v>45415.0</v>
      </c>
      <c r="E5878" s="86">
        <v>8.01</v>
      </c>
      <c r="F5878" s="87">
        <v>13.25</v>
      </c>
      <c r="G5878" s="88">
        <f t="shared" si="1"/>
        <v>5.24</v>
      </c>
      <c r="H5878" s="89">
        <f t="shared" si="15"/>
        <v>0.3954716981</v>
      </c>
      <c r="I5878" s="78" t="s">
        <v>6756</v>
      </c>
      <c r="J5878" s="78" t="s">
        <v>69</v>
      </c>
      <c r="K5878" s="58">
        <f t="shared" si="16"/>
        <v>1</v>
      </c>
      <c r="L5878" s="91" t="str">
        <f t="shared" si="8"/>
        <v>Fri</v>
      </c>
      <c r="M5878" s="78" t="str">
        <f>IFERROR(VLOOKUP(A5878, Entries!A:B,2,false),"")</f>
        <v>Bethesda Softworks</v>
      </c>
      <c r="N5878" s="23" t="str">
        <f>IFERROR(VLOOKUP(A5878, Entries!A:K,11,false),"")</f>
        <v/>
      </c>
    </row>
    <row r="5879">
      <c r="A5879" s="78" t="s">
        <v>6733</v>
      </c>
      <c r="B5879" s="78" t="s">
        <v>19</v>
      </c>
      <c r="C5879" s="85">
        <v>45414.0</v>
      </c>
      <c r="D5879" s="85">
        <v>45414.0</v>
      </c>
      <c r="E5879" s="86">
        <v>6.0</v>
      </c>
      <c r="F5879" s="87">
        <v>10.55</v>
      </c>
      <c r="G5879" s="88">
        <f t="shared" si="1"/>
        <v>4.55</v>
      </c>
      <c r="H5879" s="89">
        <f t="shared" si="15"/>
        <v>0.4312796209</v>
      </c>
      <c r="I5879" s="78" t="s">
        <v>6757</v>
      </c>
      <c r="J5879" s="78" t="s">
        <v>69</v>
      </c>
      <c r="K5879" s="58">
        <f t="shared" si="16"/>
        <v>0</v>
      </c>
      <c r="L5879" s="91" t="str">
        <f t="shared" si="8"/>
        <v>Thu</v>
      </c>
      <c r="M5879" s="78" t="str">
        <f>IFERROR(VLOOKUP(A5879, Entries!A:B,2,false),"")</f>
        <v/>
      </c>
      <c r="N5879" s="23" t="str">
        <f>IFERROR(VLOOKUP(A5879, Entries!A:K,11,false),"")</f>
        <v/>
      </c>
    </row>
    <row r="5880">
      <c r="A5880" s="78" t="s">
        <v>6735</v>
      </c>
      <c r="B5880" s="78" t="s">
        <v>19</v>
      </c>
      <c r="C5880" s="85">
        <v>45414.0</v>
      </c>
      <c r="D5880" s="85">
        <v>45415.0</v>
      </c>
      <c r="E5880" s="86">
        <v>3.0</v>
      </c>
      <c r="F5880" s="87">
        <v>4.49</v>
      </c>
      <c r="G5880" s="88">
        <f t="shared" si="1"/>
        <v>1.49</v>
      </c>
      <c r="H5880" s="89">
        <f t="shared" si="15"/>
        <v>0.3318485523</v>
      </c>
      <c r="I5880" s="78" t="s">
        <v>6758</v>
      </c>
      <c r="J5880" s="78" t="s">
        <v>69</v>
      </c>
      <c r="K5880" s="58">
        <f t="shared" si="16"/>
        <v>1</v>
      </c>
      <c r="L5880" s="91" t="str">
        <f t="shared" si="8"/>
        <v>Fri</v>
      </c>
      <c r="M5880" s="78" t="str">
        <f>IFERROR(VLOOKUP(A5880, Entries!A:B,2,false),"")</f>
        <v/>
      </c>
      <c r="N5880" s="23" t="str">
        <f>IFERROR(VLOOKUP(A5880, Entries!A:K,11,false),"")</f>
        <v/>
      </c>
    </row>
    <row r="5881">
      <c r="A5881" s="78" t="s">
        <v>6737</v>
      </c>
      <c r="B5881" s="78" t="s">
        <v>19</v>
      </c>
      <c r="C5881" s="85">
        <v>45414.0</v>
      </c>
      <c r="D5881" s="85">
        <v>45415.0</v>
      </c>
      <c r="E5881" s="86">
        <v>4.0</v>
      </c>
      <c r="F5881" s="87">
        <v>6.29</v>
      </c>
      <c r="G5881" s="88">
        <f t="shared" si="1"/>
        <v>2.29</v>
      </c>
      <c r="H5881" s="89">
        <f t="shared" si="15"/>
        <v>0.3640699523</v>
      </c>
      <c r="I5881" s="78" t="s">
        <v>6759</v>
      </c>
      <c r="J5881" s="78" t="s">
        <v>69</v>
      </c>
      <c r="K5881" s="58">
        <f t="shared" si="16"/>
        <v>1</v>
      </c>
      <c r="L5881" s="91" t="str">
        <f t="shared" si="8"/>
        <v>Fri</v>
      </c>
      <c r="M5881" s="78" t="str">
        <f>IFERROR(VLOOKUP(A5881, Entries!A:B,2,false),"")</f>
        <v/>
      </c>
      <c r="N5881" s="23" t="str">
        <f>IFERROR(VLOOKUP(A5881, Entries!A:K,11,false),"")</f>
        <v/>
      </c>
    </row>
    <row r="5882">
      <c r="A5882" s="78" t="s">
        <v>6739</v>
      </c>
      <c r="B5882" s="78" t="s">
        <v>19</v>
      </c>
      <c r="C5882" s="85">
        <v>45414.0</v>
      </c>
      <c r="D5882" s="85">
        <v>45415.0</v>
      </c>
      <c r="E5882" s="86">
        <v>2.19</v>
      </c>
      <c r="F5882" s="87">
        <v>3.49</v>
      </c>
      <c r="G5882" s="88">
        <f t="shared" si="1"/>
        <v>1.3</v>
      </c>
      <c r="H5882" s="89">
        <f t="shared" si="15"/>
        <v>0.3724928367</v>
      </c>
      <c r="I5882" s="78" t="s">
        <v>6760</v>
      </c>
      <c r="J5882" s="78" t="s">
        <v>69</v>
      </c>
      <c r="K5882" s="58">
        <f t="shared" si="16"/>
        <v>1</v>
      </c>
      <c r="L5882" s="91" t="str">
        <f t="shared" si="8"/>
        <v>Fri</v>
      </c>
      <c r="M5882" s="78" t="str">
        <f>IFERROR(VLOOKUP(A5882, Entries!A:B,2,false),"")</f>
        <v/>
      </c>
      <c r="N5882" s="23" t="str">
        <f>IFERROR(VLOOKUP(A5882, Entries!A:K,11,false),"")</f>
        <v/>
      </c>
    </row>
    <row r="5883">
      <c r="A5883" s="78" t="s">
        <v>4448</v>
      </c>
      <c r="B5883" s="78" t="s">
        <v>22</v>
      </c>
      <c r="C5883" s="85">
        <v>45415.0</v>
      </c>
      <c r="D5883" s="85">
        <v>45440.0</v>
      </c>
      <c r="E5883" s="86">
        <v>19.56</v>
      </c>
      <c r="F5883" s="87">
        <v>20.0</v>
      </c>
      <c r="G5883" s="88">
        <f t="shared" si="1"/>
        <v>0.44</v>
      </c>
      <c r="H5883" s="89">
        <f t="shared" si="15"/>
        <v>0.022</v>
      </c>
      <c r="I5883" s="78" t="s">
        <v>6761</v>
      </c>
      <c r="J5883" s="78" t="s">
        <v>69</v>
      </c>
      <c r="K5883" s="58">
        <f t="shared" si="16"/>
        <v>25</v>
      </c>
      <c r="L5883" s="91" t="str">
        <f t="shared" si="8"/>
        <v>Tue</v>
      </c>
      <c r="M5883" s="78" t="str">
        <f>IFERROR(VLOOKUP(A5883, Entries!A:B,2,false),"")</f>
        <v>Square Enix</v>
      </c>
      <c r="N5883" s="23" t="str">
        <f>IFERROR(VLOOKUP(A5883, Entries!A:K,11,false),"")</f>
        <v/>
      </c>
    </row>
    <row r="5884">
      <c r="A5884" s="78" t="s">
        <v>3247</v>
      </c>
      <c r="B5884" s="78" t="s">
        <v>23</v>
      </c>
      <c r="C5884" s="85">
        <v>45415.0</v>
      </c>
      <c r="D5884" s="85">
        <v>45424.0</v>
      </c>
      <c r="E5884" s="86">
        <v>21.95</v>
      </c>
      <c r="F5884" s="87">
        <v>24.19</v>
      </c>
      <c r="G5884" s="88">
        <f t="shared" si="1"/>
        <v>2.24</v>
      </c>
      <c r="H5884" s="89">
        <f t="shared" si="15"/>
        <v>0.09260024804</v>
      </c>
      <c r="I5884" s="78" t="s">
        <v>6762</v>
      </c>
      <c r="J5884" s="78" t="s">
        <v>69</v>
      </c>
      <c r="K5884" s="58">
        <f t="shared" si="16"/>
        <v>9</v>
      </c>
      <c r="L5884" s="91" t="str">
        <f t="shared" si="8"/>
        <v>Sun</v>
      </c>
      <c r="M5884" s="78" t="str">
        <f>IFERROR(VLOOKUP(A5884, Entries!A:B,2,false),"")</f>
        <v>SEGA</v>
      </c>
      <c r="N5884" s="23" t="str">
        <f>IFERROR(VLOOKUP(A5884, Entries!A:K,11,false),"")</f>
        <v/>
      </c>
    </row>
    <row r="5885">
      <c r="A5885" s="78" t="s">
        <v>6763</v>
      </c>
      <c r="B5885" s="78" t="s">
        <v>19</v>
      </c>
      <c r="C5885" s="85">
        <v>45415.0</v>
      </c>
      <c r="D5885" s="85">
        <v>45418.0</v>
      </c>
      <c r="E5885" s="86">
        <v>0.0</v>
      </c>
      <c r="F5885" s="87">
        <v>0.2</v>
      </c>
      <c r="G5885" s="88">
        <f t="shared" si="1"/>
        <v>0.2</v>
      </c>
      <c r="H5885" s="89">
        <f t="shared" si="15"/>
        <v>1</v>
      </c>
      <c r="I5885" s="78" t="s">
        <v>6764</v>
      </c>
      <c r="J5885" s="78" t="s">
        <v>69</v>
      </c>
      <c r="K5885" s="58">
        <f t="shared" si="16"/>
        <v>3</v>
      </c>
      <c r="L5885" s="91" t="str">
        <f t="shared" si="8"/>
        <v>Mon</v>
      </c>
      <c r="M5885" s="78" t="str">
        <f>IFERROR(VLOOKUP(A5885, Entries!A:B,2,false),"")</f>
        <v/>
      </c>
      <c r="N5885" s="23" t="str">
        <f>IFERROR(VLOOKUP(A5885, Entries!A:K,11,false),"")</f>
        <v/>
      </c>
    </row>
    <row r="5886">
      <c r="A5886" s="78" t="s">
        <v>2339</v>
      </c>
      <c r="B5886" s="78" t="s">
        <v>19</v>
      </c>
      <c r="C5886" s="85">
        <v>45415.0</v>
      </c>
      <c r="D5886" s="85">
        <v>45415.0</v>
      </c>
      <c r="E5886" s="86">
        <v>1.5</v>
      </c>
      <c r="F5886" s="87">
        <v>3.18</v>
      </c>
      <c r="G5886" s="88">
        <f t="shared" si="1"/>
        <v>1.68</v>
      </c>
      <c r="H5886" s="89">
        <f t="shared" si="15"/>
        <v>0.5283018868</v>
      </c>
      <c r="I5886" s="78" t="s">
        <v>6765</v>
      </c>
      <c r="J5886" s="78" t="s">
        <v>69</v>
      </c>
      <c r="K5886" s="58">
        <f t="shared" si="16"/>
        <v>0</v>
      </c>
      <c r="L5886" s="91" t="str">
        <f t="shared" si="8"/>
        <v>Fri</v>
      </c>
      <c r="M5886" s="78" t="str">
        <f>IFERROR(VLOOKUP(A5886, Entries!A:B,2,false),"")</f>
        <v>PlayWay</v>
      </c>
      <c r="N5886" s="23" t="str">
        <f>IFERROR(VLOOKUP(A5886, Entries!A:K,11,false),"")</f>
        <v/>
      </c>
    </row>
    <row r="5887">
      <c r="A5887" s="78" t="s">
        <v>6682</v>
      </c>
      <c r="B5887" s="78" t="s">
        <v>19</v>
      </c>
      <c r="C5887" s="85">
        <v>45415.0</v>
      </c>
      <c r="D5887" s="85">
        <v>45415.0</v>
      </c>
      <c r="E5887" s="86">
        <v>7.01</v>
      </c>
      <c r="F5887" s="87">
        <v>13.25</v>
      </c>
      <c r="G5887" s="88">
        <f t="shared" si="1"/>
        <v>6.24</v>
      </c>
      <c r="H5887" s="89">
        <f t="shared" si="15"/>
        <v>0.4709433962</v>
      </c>
      <c r="I5887" s="78" t="s">
        <v>6766</v>
      </c>
      <c r="J5887" s="78" t="s">
        <v>69</v>
      </c>
      <c r="K5887" s="58">
        <f t="shared" si="16"/>
        <v>0</v>
      </c>
      <c r="L5887" s="91" t="str">
        <f t="shared" si="8"/>
        <v>Fri</v>
      </c>
      <c r="M5887" s="78" t="str">
        <f>IFERROR(VLOOKUP(A5887, Entries!A:B,2,false),"")</f>
        <v>Bethesda Softworks</v>
      </c>
      <c r="N5887" s="23" t="str">
        <f>IFERROR(VLOOKUP(A5887, Entries!A:K,11,false),"")</f>
        <v/>
      </c>
    </row>
    <row r="5888">
      <c r="A5888" s="78" t="s">
        <v>6733</v>
      </c>
      <c r="B5888" s="78" t="s">
        <v>19</v>
      </c>
      <c r="C5888" s="85">
        <v>45415.0</v>
      </c>
      <c r="D5888" s="85">
        <v>45415.0</v>
      </c>
      <c r="E5888" s="86">
        <v>6.0</v>
      </c>
      <c r="F5888" s="87">
        <v>10.56</v>
      </c>
      <c r="G5888" s="88">
        <f t="shared" si="1"/>
        <v>4.56</v>
      </c>
      <c r="H5888" s="89">
        <f t="shared" si="15"/>
        <v>0.4318181818</v>
      </c>
      <c r="I5888" s="78" t="s">
        <v>6767</v>
      </c>
      <c r="J5888" s="78" t="s">
        <v>69</v>
      </c>
      <c r="K5888" s="58">
        <f t="shared" si="16"/>
        <v>0</v>
      </c>
      <c r="L5888" s="91" t="str">
        <f t="shared" si="8"/>
        <v>Fri</v>
      </c>
      <c r="M5888" s="78" t="str">
        <f>IFERROR(VLOOKUP(A5888, Entries!A:B,2,false),"")</f>
        <v/>
      </c>
      <c r="N5888" s="23" t="str">
        <f>IFERROR(VLOOKUP(A5888, Entries!A:K,11,false),"")</f>
        <v/>
      </c>
    </row>
    <row r="5889">
      <c r="A5889" s="78" t="s">
        <v>6735</v>
      </c>
      <c r="B5889" s="78" t="s">
        <v>19</v>
      </c>
      <c r="C5889" s="85">
        <v>45415.0</v>
      </c>
      <c r="D5889" s="85">
        <v>45416.0</v>
      </c>
      <c r="E5889" s="86">
        <v>3.0</v>
      </c>
      <c r="F5889" s="87">
        <v>4.47</v>
      </c>
      <c r="G5889" s="88">
        <f t="shared" si="1"/>
        <v>1.47</v>
      </c>
      <c r="H5889" s="89">
        <f t="shared" si="15"/>
        <v>0.3288590604</v>
      </c>
      <c r="I5889" s="78" t="s">
        <v>6768</v>
      </c>
      <c r="J5889" s="78" t="s">
        <v>69</v>
      </c>
      <c r="K5889" s="58">
        <f t="shared" si="16"/>
        <v>1</v>
      </c>
      <c r="L5889" s="91" t="str">
        <f t="shared" si="8"/>
        <v>Sat</v>
      </c>
      <c r="M5889" s="78" t="str">
        <f>IFERROR(VLOOKUP(A5889, Entries!A:B,2,false),"")</f>
        <v/>
      </c>
      <c r="N5889" s="23" t="str">
        <f>IFERROR(VLOOKUP(A5889, Entries!A:K,11,false),"")</f>
        <v/>
      </c>
    </row>
    <row r="5890">
      <c r="A5890" s="78" t="s">
        <v>6737</v>
      </c>
      <c r="B5890" s="78" t="s">
        <v>19</v>
      </c>
      <c r="C5890" s="85">
        <v>45415.0</v>
      </c>
      <c r="D5890" s="85">
        <v>45415.0</v>
      </c>
      <c r="E5890" s="86">
        <v>4.0</v>
      </c>
      <c r="F5890" s="87">
        <v>6.29</v>
      </c>
      <c r="G5890" s="88">
        <f t="shared" si="1"/>
        <v>2.29</v>
      </c>
      <c r="H5890" s="89">
        <f t="shared" si="15"/>
        <v>0.3640699523</v>
      </c>
      <c r="I5890" s="78" t="s">
        <v>6769</v>
      </c>
      <c r="J5890" s="78" t="s">
        <v>69</v>
      </c>
      <c r="K5890" s="58">
        <f t="shared" si="16"/>
        <v>0</v>
      </c>
      <c r="L5890" s="91" t="str">
        <f t="shared" si="8"/>
        <v>Fri</v>
      </c>
      <c r="M5890" s="78" t="str">
        <f>IFERROR(VLOOKUP(A5890, Entries!A:B,2,false),"")</f>
        <v/>
      </c>
      <c r="N5890" s="23" t="str">
        <f>IFERROR(VLOOKUP(A5890, Entries!A:K,11,false),"")</f>
        <v/>
      </c>
    </row>
    <row r="5891">
      <c r="A5891" s="78" t="s">
        <v>6739</v>
      </c>
      <c r="B5891" s="78" t="s">
        <v>19</v>
      </c>
      <c r="C5891" s="85">
        <v>45415.0</v>
      </c>
      <c r="D5891" s="85">
        <v>45415.0</v>
      </c>
      <c r="E5891" s="86">
        <v>2.19</v>
      </c>
      <c r="F5891" s="87">
        <v>3.49</v>
      </c>
      <c r="G5891" s="88">
        <f t="shared" si="1"/>
        <v>1.3</v>
      </c>
      <c r="H5891" s="89">
        <f t="shared" si="15"/>
        <v>0.3724928367</v>
      </c>
      <c r="I5891" s="78" t="s">
        <v>6770</v>
      </c>
      <c r="J5891" s="78" t="s">
        <v>69</v>
      </c>
      <c r="K5891" s="58">
        <f t="shared" si="16"/>
        <v>0</v>
      </c>
      <c r="L5891" s="91" t="str">
        <f t="shared" si="8"/>
        <v>Fri</v>
      </c>
      <c r="M5891" s="78" t="str">
        <f>IFERROR(VLOOKUP(A5891, Entries!A:B,2,false),"")</f>
        <v/>
      </c>
      <c r="N5891" s="23" t="str">
        <f>IFERROR(VLOOKUP(A5891, Entries!A:K,11,false),"")</f>
        <v/>
      </c>
    </row>
    <row r="5892">
      <c r="A5892" s="78" t="s">
        <v>2339</v>
      </c>
      <c r="B5892" s="78" t="s">
        <v>19</v>
      </c>
      <c r="C5892" s="85">
        <v>45415.0</v>
      </c>
      <c r="D5892" s="85">
        <v>45416.0</v>
      </c>
      <c r="E5892" s="86">
        <v>1.87</v>
      </c>
      <c r="F5892" s="87">
        <v>3.1</v>
      </c>
      <c r="G5892" s="88">
        <f t="shared" si="1"/>
        <v>1.23</v>
      </c>
      <c r="H5892" s="89">
        <f t="shared" si="15"/>
        <v>0.3967741935</v>
      </c>
      <c r="I5892" s="78" t="s">
        <v>6771</v>
      </c>
      <c r="J5892" s="78" t="s">
        <v>69</v>
      </c>
      <c r="K5892" s="58">
        <f t="shared" si="16"/>
        <v>1</v>
      </c>
      <c r="L5892" s="91" t="str">
        <f t="shared" si="8"/>
        <v>Sat</v>
      </c>
      <c r="M5892" s="78" t="str">
        <f>IFERROR(VLOOKUP(A5892, Entries!A:B,2,false),"")</f>
        <v>PlayWay</v>
      </c>
      <c r="N5892" s="23" t="str">
        <f>IFERROR(VLOOKUP(A5892, Entries!A:K,11,false),"")</f>
        <v/>
      </c>
    </row>
    <row r="5893">
      <c r="A5893" s="78" t="s">
        <v>3267</v>
      </c>
      <c r="B5893" s="78" t="s">
        <v>19</v>
      </c>
      <c r="C5893" s="85">
        <v>45415.0</v>
      </c>
      <c r="D5893" s="85">
        <v>45416.0</v>
      </c>
      <c r="E5893" s="86">
        <v>10.0</v>
      </c>
      <c r="F5893" s="87">
        <v>13.45</v>
      </c>
      <c r="G5893" s="88">
        <f t="shared" si="1"/>
        <v>3.45</v>
      </c>
      <c r="H5893" s="89">
        <f t="shared" si="15"/>
        <v>0.2565055762</v>
      </c>
      <c r="I5893" s="78" t="s">
        <v>6772</v>
      </c>
      <c r="J5893" s="78" t="s">
        <v>69</v>
      </c>
      <c r="K5893" s="58">
        <f t="shared" si="16"/>
        <v>1</v>
      </c>
      <c r="L5893" s="91" t="str">
        <f t="shared" si="8"/>
        <v>Sat</v>
      </c>
      <c r="M5893" s="78" t="str">
        <f>IFERROR(VLOOKUP(A5893, Entries!A:B,2,false),"")</f>
        <v>Squanch Games</v>
      </c>
      <c r="N5893" s="23" t="str">
        <f>IFERROR(VLOOKUP(A5893, Entries!A:K,11,false),"")</f>
        <v/>
      </c>
    </row>
    <row r="5894">
      <c r="A5894" s="78" t="s">
        <v>6773</v>
      </c>
      <c r="B5894" s="78" t="s">
        <v>19</v>
      </c>
      <c r="C5894" s="85">
        <v>45415.0</v>
      </c>
      <c r="D5894" s="85">
        <v>45419.0</v>
      </c>
      <c r="E5894" s="86">
        <v>13.14</v>
      </c>
      <c r="F5894" s="87">
        <v>13.22</v>
      </c>
      <c r="G5894" s="88">
        <f t="shared" si="1"/>
        <v>0.08</v>
      </c>
      <c r="H5894" s="89">
        <f t="shared" si="15"/>
        <v>0.006051437216</v>
      </c>
      <c r="I5894" s="78" t="s">
        <v>6774</v>
      </c>
      <c r="J5894" s="78" t="s">
        <v>69</v>
      </c>
      <c r="K5894" s="58">
        <f t="shared" si="16"/>
        <v>4</v>
      </c>
      <c r="L5894" s="91" t="str">
        <f t="shared" si="8"/>
        <v>Tue</v>
      </c>
      <c r="M5894" s="78" t="str">
        <f>IFERROR(VLOOKUP(A5894, Entries!A:B,2,false),"")</f>
        <v>Dovetail Games</v>
      </c>
      <c r="N5894" s="23" t="str">
        <f>IFERROR(VLOOKUP(A5894, Entries!A:K,11,false),"")</f>
        <v/>
      </c>
    </row>
    <row r="5895">
      <c r="A5895" s="78" t="s">
        <v>6775</v>
      </c>
      <c r="B5895" s="78" t="s">
        <v>23</v>
      </c>
      <c r="C5895" s="85">
        <v>45415.0</v>
      </c>
      <c r="D5895" s="85">
        <v>45415.0</v>
      </c>
      <c r="E5895" s="86">
        <v>5.0</v>
      </c>
      <c r="F5895" s="87">
        <v>6.32</v>
      </c>
      <c r="G5895" s="88">
        <f t="shared" si="1"/>
        <v>1.32</v>
      </c>
      <c r="H5895" s="89">
        <f t="shared" si="15"/>
        <v>0.2088607595</v>
      </c>
      <c r="I5895" s="78" t="s">
        <v>6776</v>
      </c>
      <c r="J5895" s="78" t="s">
        <v>69</v>
      </c>
      <c r="K5895" s="58">
        <f t="shared" si="16"/>
        <v>0</v>
      </c>
      <c r="L5895" s="91" t="str">
        <f t="shared" si="8"/>
        <v>Fri</v>
      </c>
      <c r="M5895" s="78" t="str">
        <f>IFERROR(VLOOKUP(A5895, Entries!A:B,2,false),"")</f>
        <v/>
      </c>
      <c r="N5895" s="23" t="str">
        <f>IFERROR(VLOOKUP(A5895, Entries!A:K,11,false),"")</f>
        <v/>
      </c>
    </row>
    <row r="5896">
      <c r="A5896" s="78" t="s">
        <v>6777</v>
      </c>
      <c r="B5896" s="78" t="s">
        <v>23</v>
      </c>
      <c r="C5896" s="85">
        <v>45415.0</v>
      </c>
      <c r="D5896" s="85">
        <v>45416.0</v>
      </c>
      <c r="E5896" s="86">
        <v>11.5</v>
      </c>
      <c r="F5896" s="87">
        <v>14.61</v>
      </c>
      <c r="G5896" s="88">
        <f t="shared" si="1"/>
        <v>3.11</v>
      </c>
      <c r="H5896" s="89">
        <f t="shared" si="15"/>
        <v>0.2128678987</v>
      </c>
      <c r="I5896" s="78" t="s">
        <v>6778</v>
      </c>
      <c r="J5896" s="78" t="s">
        <v>69</v>
      </c>
      <c r="K5896" s="58">
        <f t="shared" si="16"/>
        <v>1</v>
      </c>
      <c r="L5896" s="91" t="str">
        <f t="shared" si="8"/>
        <v>Sat</v>
      </c>
      <c r="M5896" s="78" t="str">
        <f>IFERROR(VLOOKUP(A5896, Entries!A:B,2,false),"")</f>
        <v/>
      </c>
      <c r="N5896" s="23" t="str">
        <f>IFERROR(VLOOKUP(A5896, Entries!A:K,11,false),"")</f>
        <v/>
      </c>
    </row>
    <row r="5897">
      <c r="A5897" s="78" t="s">
        <v>2339</v>
      </c>
      <c r="B5897" s="78" t="s">
        <v>19</v>
      </c>
      <c r="C5897" s="85">
        <v>45415.0</v>
      </c>
      <c r="D5897" s="85">
        <v>45416.0</v>
      </c>
      <c r="E5897" s="86">
        <v>1.94</v>
      </c>
      <c r="F5897" s="87">
        <v>3.1</v>
      </c>
      <c r="G5897" s="88">
        <f t="shared" si="1"/>
        <v>1.16</v>
      </c>
      <c r="H5897" s="89">
        <f t="shared" si="15"/>
        <v>0.3741935484</v>
      </c>
      <c r="I5897" s="78" t="s">
        <v>6779</v>
      </c>
      <c r="J5897" s="78" t="s">
        <v>69</v>
      </c>
      <c r="K5897" s="58">
        <f t="shared" si="16"/>
        <v>1</v>
      </c>
      <c r="L5897" s="91" t="str">
        <f t="shared" si="8"/>
        <v>Sat</v>
      </c>
      <c r="M5897" s="78" t="str">
        <f>IFERROR(VLOOKUP(A5897, Entries!A:B,2,false),"")</f>
        <v>PlayWay</v>
      </c>
      <c r="N5897" s="23" t="str">
        <f>IFERROR(VLOOKUP(A5897, Entries!A:K,11,false),"")</f>
        <v/>
      </c>
    </row>
    <row r="5898">
      <c r="A5898" s="78" t="s">
        <v>2339</v>
      </c>
      <c r="B5898" s="78" t="s">
        <v>19</v>
      </c>
      <c r="C5898" s="85">
        <v>45415.0</v>
      </c>
      <c r="D5898" s="85">
        <v>45416.0</v>
      </c>
      <c r="E5898" s="86">
        <v>1.5</v>
      </c>
      <c r="F5898" s="87">
        <v>3.0</v>
      </c>
      <c r="G5898" s="88">
        <f t="shared" si="1"/>
        <v>1.5</v>
      </c>
      <c r="H5898" s="89">
        <f t="shared" si="15"/>
        <v>0.5</v>
      </c>
      <c r="I5898" s="78" t="s">
        <v>6780</v>
      </c>
      <c r="J5898" s="78" t="s">
        <v>69</v>
      </c>
      <c r="K5898" s="58">
        <f t="shared" si="16"/>
        <v>1</v>
      </c>
      <c r="L5898" s="91" t="str">
        <f t="shared" si="8"/>
        <v>Sat</v>
      </c>
      <c r="M5898" s="78" t="str">
        <f>IFERROR(VLOOKUP(A5898, Entries!A:B,2,false),"")</f>
        <v>PlayWay</v>
      </c>
      <c r="N5898" s="23" t="str">
        <f>IFERROR(VLOOKUP(A5898, Entries!A:K,11,false),"")</f>
        <v/>
      </c>
    </row>
    <row r="5899">
      <c r="A5899" s="78" t="s">
        <v>6682</v>
      </c>
      <c r="B5899" s="78" t="s">
        <v>19</v>
      </c>
      <c r="C5899" s="85">
        <v>45415.0</v>
      </c>
      <c r="D5899" s="85">
        <v>45416.0</v>
      </c>
      <c r="E5899" s="86">
        <v>7.01</v>
      </c>
      <c r="F5899" s="87">
        <v>13.25</v>
      </c>
      <c r="G5899" s="88">
        <f t="shared" si="1"/>
        <v>6.24</v>
      </c>
      <c r="H5899" s="89">
        <f t="shared" si="15"/>
        <v>0.4709433962</v>
      </c>
      <c r="I5899" s="78" t="s">
        <v>6781</v>
      </c>
      <c r="J5899" s="78" t="s">
        <v>69</v>
      </c>
      <c r="K5899" s="58">
        <f t="shared" si="16"/>
        <v>1</v>
      </c>
      <c r="L5899" s="91" t="str">
        <f t="shared" si="8"/>
        <v>Sat</v>
      </c>
      <c r="M5899" s="78" t="str">
        <f>IFERROR(VLOOKUP(A5899, Entries!A:B,2,false),"")</f>
        <v>Bethesda Softworks</v>
      </c>
      <c r="N5899" s="23" t="str">
        <f>IFERROR(VLOOKUP(A5899, Entries!A:K,11,false),"")</f>
        <v/>
      </c>
    </row>
    <row r="5900">
      <c r="A5900" s="78" t="s">
        <v>6733</v>
      </c>
      <c r="B5900" s="78" t="s">
        <v>19</v>
      </c>
      <c r="C5900" s="85">
        <v>45415.0</v>
      </c>
      <c r="D5900" s="85">
        <v>45416.0</v>
      </c>
      <c r="E5900" s="86">
        <v>6.0</v>
      </c>
      <c r="F5900" s="87">
        <v>10.62</v>
      </c>
      <c r="G5900" s="88">
        <f t="shared" si="1"/>
        <v>4.62</v>
      </c>
      <c r="H5900" s="89">
        <f t="shared" si="15"/>
        <v>0.4350282486</v>
      </c>
      <c r="I5900" s="78" t="s">
        <v>6782</v>
      </c>
      <c r="J5900" s="78" t="s">
        <v>69</v>
      </c>
      <c r="K5900" s="58">
        <f t="shared" si="16"/>
        <v>1</v>
      </c>
      <c r="L5900" s="91" t="str">
        <f t="shared" si="8"/>
        <v>Sat</v>
      </c>
      <c r="M5900" s="78" t="str">
        <f>IFERROR(VLOOKUP(A5900, Entries!A:B,2,false),"")</f>
        <v/>
      </c>
      <c r="N5900" s="23" t="str">
        <f>IFERROR(VLOOKUP(A5900, Entries!A:K,11,false),"")</f>
        <v/>
      </c>
    </row>
    <row r="5901">
      <c r="A5901" s="78" t="s">
        <v>6735</v>
      </c>
      <c r="B5901" s="78" t="s">
        <v>19</v>
      </c>
      <c r="C5901" s="85">
        <v>45415.0</v>
      </c>
      <c r="D5901" s="85">
        <v>45416.0</v>
      </c>
      <c r="E5901" s="86">
        <v>3.0</v>
      </c>
      <c r="F5901" s="87">
        <v>4.47</v>
      </c>
      <c r="G5901" s="88">
        <f t="shared" si="1"/>
        <v>1.47</v>
      </c>
      <c r="H5901" s="89">
        <f t="shared" si="15"/>
        <v>0.3288590604</v>
      </c>
      <c r="I5901" s="78" t="s">
        <v>6783</v>
      </c>
      <c r="J5901" s="78" t="s">
        <v>69</v>
      </c>
      <c r="K5901" s="58">
        <f t="shared" si="16"/>
        <v>1</v>
      </c>
      <c r="L5901" s="91" t="str">
        <f t="shared" si="8"/>
        <v>Sat</v>
      </c>
      <c r="M5901" s="78" t="str">
        <f>IFERROR(VLOOKUP(A5901, Entries!A:B,2,false),"")</f>
        <v/>
      </c>
      <c r="N5901" s="23" t="str">
        <f>IFERROR(VLOOKUP(A5901, Entries!A:K,11,false),"")</f>
        <v/>
      </c>
    </row>
    <row r="5902">
      <c r="A5902" s="78" t="s">
        <v>6737</v>
      </c>
      <c r="B5902" s="78" t="s">
        <v>19</v>
      </c>
      <c r="C5902" s="85">
        <v>45415.0</v>
      </c>
      <c r="D5902" s="85">
        <v>45416.0</v>
      </c>
      <c r="E5902" s="86">
        <v>4.0</v>
      </c>
      <c r="F5902" s="87">
        <v>6.3</v>
      </c>
      <c r="G5902" s="88">
        <f t="shared" si="1"/>
        <v>2.3</v>
      </c>
      <c r="H5902" s="89">
        <f t="shared" si="15"/>
        <v>0.3650793651</v>
      </c>
      <c r="I5902" s="78" t="s">
        <v>6784</v>
      </c>
      <c r="J5902" s="78" t="s">
        <v>69</v>
      </c>
      <c r="K5902" s="58">
        <f t="shared" si="16"/>
        <v>1</v>
      </c>
      <c r="L5902" s="91" t="str">
        <f t="shared" si="8"/>
        <v>Sat</v>
      </c>
      <c r="M5902" s="78" t="str">
        <f>IFERROR(VLOOKUP(A5902, Entries!A:B,2,false),"")</f>
        <v/>
      </c>
      <c r="N5902" s="23" t="str">
        <f>IFERROR(VLOOKUP(A5902, Entries!A:K,11,false),"")</f>
        <v/>
      </c>
    </row>
    <row r="5903">
      <c r="A5903" s="78" t="s">
        <v>6739</v>
      </c>
      <c r="B5903" s="78" t="s">
        <v>19</v>
      </c>
      <c r="C5903" s="85">
        <v>45415.0</v>
      </c>
      <c r="D5903" s="85">
        <v>45416.0</v>
      </c>
      <c r="E5903" s="86">
        <v>2.19</v>
      </c>
      <c r="F5903" s="87">
        <v>3.67</v>
      </c>
      <c r="G5903" s="88">
        <f t="shared" si="1"/>
        <v>1.48</v>
      </c>
      <c r="H5903" s="89">
        <f t="shared" si="15"/>
        <v>0.4032697548</v>
      </c>
      <c r="I5903" s="78" t="s">
        <v>6785</v>
      </c>
      <c r="J5903" s="78" t="s">
        <v>69</v>
      </c>
      <c r="K5903" s="58">
        <f t="shared" si="16"/>
        <v>1</v>
      </c>
      <c r="L5903" s="91" t="str">
        <f t="shared" si="8"/>
        <v>Sat</v>
      </c>
      <c r="M5903" s="78" t="str">
        <f>IFERROR(VLOOKUP(A5903, Entries!A:B,2,false),"")</f>
        <v/>
      </c>
      <c r="N5903" s="23" t="str">
        <f>IFERROR(VLOOKUP(A5903, Entries!A:K,11,false),"")</f>
        <v/>
      </c>
    </row>
    <row r="5904">
      <c r="A5904" s="78" t="s">
        <v>2339</v>
      </c>
      <c r="B5904" s="78" t="s">
        <v>19</v>
      </c>
      <c r="C5904" s="85">
        <v>45415.0</v>
      </c>
      <c r="D5904" s="85">
        <v>45417.0</v>
      </c>
      <c r="E5904" s="86">
        <v>0.97</v>
      </c>
      <c r="F5904" s="87">
        <v>3.05</v>
      </c>
      <c r="G5904" s="88">
        <f t="shared" si="1"/>
        <v>2.08</v>
      </c>
      <c r="H5904" s="89">
        <f t="shared" si="15"/>
        <v>0.6819672131</v>
      </c>
      <c r="I5904" s="78" t="s">
        <v>6786</v>
      </c>
      <c r="J5904" s="78" t="s">
        <v>69</v>
      </c>
      <c r="K5904" s="58">
        <f t="shared" si="16"/>
        <v>2</v>
      </c>
      <c r="L5904" s="91" t="str">
        <f t="shared" si="8"/>
        <v>Sun</v>
      </c>
      <c r="M5904" s="78" t="str">
        <f>IFERROR(VLOOKUP(A5904, Entries!A:B,2,false),"")</f>
        <v>PlayWay</v>
      </c>
      <c r="N5904" s="23" t="str">
        <f>IFERROR(VLOOKUP(A5904, Entries!A:K,11,false),"")</f>
        <v/>
      </c>
    </row>
    <row r="5905">
      <c r="A5905" s="78" t="s">
        <v>6775</v>
      </c>
      <c r="B5905" s="78" t="s">
        <v>23</v>
      </c>
      <c r="C5905" s="85">
        <v>45416.0</v>
      </c>
      <c r="D5905" s="85">
        <v>45416.0</v>
      </c>
      <c r="E5905" s="86">
        <v>5.0</v>
      </c>
      <c r="F5905" s="87">
        <v>6.2</v>
      </c>
      <c r="G5905" s="88">
        <f t="shared" si="1"/>
        <v>1.2</v>
      </c>
      <c r="H5905" s="89">
        <f t="shared" si="15"/>
        <v>0.1935483871</v>
      </c>
      <c r="I5905" s="78" t="s">
        <v>6787</v>
      </c>
      <c r="J5905" s="78" t="s">
        <v>69</v>
      </c>
      <c r="K5905" s="58">
        <f t="shared" si="16"/>
        <v>0</v>
      </c>
      <c r="L5905" s="91" t="str">
        <f t="shared" si="8"/>
        <v>Sat</v>
      </c>
      <c r="M5905" s="78" t="str">
        <f>IFERROR(VLOOKUP(A5905, Entries!A:B,2,false),"")</f>
        <v/>
      </c>
      <c r="N5905" s="23" t="str">
        <f>IFERROR(VLOOKUP(A5905, Entries!A:K,11,false),"")</f>
        <v/>
      </c>
    </row>
    <row r="5906">
      <c r="A5906" s="78" t="s">
        <v>6777</v>
      </c>
      <c r="B5906" s="78" t="s">
        <v>23</v>
      </c>
      <c r="C5906" s="85">
        <v>45416.0</v>
      </c>
      <c r="D5906" s="85">
        <v>45416.0</v>
      </c>
      <c r="E5906" s="86">
        <v>11.5</v>
      </c>
      <c r="F5906" s="87">
        <v>14.48</v>
      </c>
      <c r="G5906" s="88">
        <f t="shared" si="1"/>
        <v>2.98</v>
      </c>
      <c r="H5906" s="89">
        <f t="shared" si="15"/>
        <v>0.205801105</v>
      </c>
      <c r="I5906" s="78" t="s">
        <v>6788</v>
      </c>
      <c r="J5906" s="78" t="s">
        <v>69</v>
      </c>
      <c r="K5906" s="58">
        <f t="shared" si="16"/>
        <v>0</v>
      </c>
      <c r="L5906" s="91" t="str">
        <f t="shared" si="8"/>
        <v>Sat</v>
      </c>
      <c r="M5906" s="78" t="str">
        <f>IFERROR(VLOOKUP(A5906, Entries!A:B,2,false),"")</f>
        <v/>
      </c>
      <c r="N5906" s="23" t="str">
        <f>IFERROR(VLOOKUP(A5906, Entries!A:K,11,false),"")</f>
        <v/>
      </c>
    </row>
    <row r="5907">
      <c r="A5907" s="78" t="s">
        <v>6789</v>
      </c>
      <c r="B5907" s="78" t="s">
        <v>19</v>
      </c>
      <c r="C5907" s="85">
        <v>45416.0</v>
      </c>
      <c r="D5907" s="85">
        <v>45418.0</v>
      </c>
      <c r="E5907" s="86">
        <v>0.0</v>
      </c>
      <c r="F5907" s="87">
        <v>0.23</v>
      </c>
      <c r="G5907" s="88">
        <f t="shared" si="1"/>
        <v>0.23</v>
      </c>
      <c r="H5907" s="89">
        <f t="shared" si="15"/>
        <v>1</v>
      </c>
      <c r="I5907" s="78" t="s">
        <v>6790</v>
      </c>
      <c r="J5907" s="78" t="s">
        <v>69</v>
      </c>
      <c r="K5907" s="58">
        <f t="shared" si="16"/>
        <v>2</v>
      </c>
      <c r="L5907" s="91" t="str">
        <f t="shared" si="8"/>
        <v>Mon</v>
      </c>
      <c r="M5907" s="78" t="str">
        <f>IFERROR(VLOOKUP(A5907, Entries!A:B,2,false),"")</f>
        <v/>
      </c>
      <c r="N5907" s="23" t="str">
        <f>IFERROR(VLOOKUP(A5907, Entries!A:K,11,false),"")</f>
        <v/>
      </c>
    </row>
    <row r="5908">
      <c r="A5908" s="78" t="s">
        <v>2339</v>
      </c>
      <c r="B5908" s="78" t="s">
        <v>19</v>
      </c>
      <c r="C5908" s="85">
        <v>45416.0</v>
      </c>
      <c r="D5908" s="85">
        <v>45417.0</v>
      </c>
      <c r="E5908" s="86">
        <v>1.7</v>
      </c>
      <c r="F5908" s="87">
        <v>3.05</v>
      </c>
      <c r="G5908" s="88">
        <f t="shared" si="1"/>
        <v>1.35</v>
      </c>
      <c r="H5908" s="89">
        <f t="shared" si="15"/>
        <v>0.4426229508</v>
      </c>
      <c r="I5908" s="78" t="s">
        <v>6791</v>
      </c>
      <c r="J5908" s="78" t="s">
        <v>69</v>
      </c>
      <c r="K5908" s="58">
        <f t="shared" si="16"/>
        <v>1</v>
      </c>
      <c r="L5908" s="91" t="str">
        <f t="shared" si="8"/>
        <v>Sun</v>
      </c>
      <c r="M5908" s="78" t="str">
        <f>IFERROR(VLOOKUP(A5908, Entries!A:B,2,false),"")</f>
        <v>PlayWay</v>
      </c>
      <c r="N5908" s="23" t="str">
        <f>IFERROR(VLOOKUP(A5908, Entries!A:K,11,false),"")</f>
        <v/>
      </c>
    </row>
    <row r="5909">
      <c r="A5909" s="78" t="s">
        <v>6682</v>
      </c>
      <c r="B5909" s="78" t="s">
        <v>19</v>
      </c>
      <c r="C5909" s="85">
        <v>45416.0</v>
      </c>
      <c r="D5909" s="85">
        <v>45416.0</v>
      </c>
      <c r="E5909" s="86">
        <v>8.01</v>
      </c>
      <c r="F5909" s="87">
        <v>13.32</v>
      </c>
      <c r="G5909" s="88">
        <f t="shared" si="1"/>
        <v>5.31</v>
      </c>
      <c r="H5909" s="89">
        <f t="shared" si="15"/>
        <v>0.3986486486</v>
      </c>
      <c r="I5909" s="78" t="s">
        <v>6792</v>
      </c>
      <c r="J5909" s="78" t="s">
        <v>69</v>
      </c>
      <c r="K5909" s="58">
        <f t="shared" si="16"/>
        <v>0</v>
      </c>
      <c r="L5909" s="91" t="str">
        <f t="shared" si="8"/>
        <v>Sat</v>
      </c>
      <c r="M5909" s="78" t="str">
        <f>IFERROR(VLOOKUP(A5909, Entries!A:B,2,false),"")</f>
        <v>Bethesda Softworks</v>
      </c>
      <c r="N5909" s="23" t="str">
        <f>IFERROR(VLOOKUP(A5909, Entries!A:K,11,false),"")</f>
        <v/>
      </c>
    </row>
    <row r="5910">
      <c r="A5910" s="78" t="s">
        <v>6733</v>
      </c>
      <c r="B5910" s="78" t="s">
        <v>19</v>
      </c>
      <c r="C5910" s="85">
        <v>45416.0</v>
      </c>
      <c r="D5910" s="85">
        <v>45416.0</v>
      </c>
      <c r="E5910" s="86">
        <v>6.0</v>
      </c>
      <c r="F5910" s="87">
        <v>10.64</v>
      </c>
      <c r="G5910" s="88">
        <f t="shared" si="1"/>
        <v>4.64</v>
      </c>
      <c r="H5910" s="89">
        <f t="shared" si="15"/>
        <v>0.4360902256</v>
      </c>
      <c r="I5910" s="78" t="s">
        <v>6793</v>
      </c>
      <c r="J5910" s="78" t="s">
        <v>69</v>
      </c>
      <c r="K5910" s="58">
        <f t="shared" si="16"/>
        <v>0</v>
      </c>
      <c r="L5910" s="91" t="str">
        <f t="shared" si="8"/>
        <v>Sat</v>
      </c>
      <c r="M5910" s="78" t="str">
        <f>IFERROR(VLOOKUP(A5910, Entries!A:B,2,false),"")</f>
        <v/>
      </c>
      <c r="N5910" s="23" t="str">
        <f>IFERROR(VLOOKUP(A5910, Entries!A:K,11,false),"")</f>
        <v/>
      </c>
    </row>
    <row r="5911">
      <c r="A5911" s="78" t="s">
        <v>6735</v>
      </c>
      <c r="B5911" s="78" t="s">
        <v>19</v>
      </c>
      <c r="C5911" s="85">
        <v>45416.0</v>
      </c>
      <c r="D5911" s="85">
        <v>45416.0</v>
      </c>
      <c r="E5911" s="86">
        <v>3.0</v>
      </c>
      <c r="F5911" s="87">
        <v>4.47</v>
      </c>
      <c r="G5911" s="88">
        <f t="shared" si="1"/>
        <v>1.47</v>
      </c>
      <c r="H5911" s="89">
        <f t="shared" si="15"/>
        <v>0.3288590604</v>
      </c>
      <c r="I5911" s="78" t="s">
        <v>6794</v>
      </c>
      <c r="J5911" s="78" t="s">
        <v>69</v>
      </c>
      <c r="K5911" s="58">
        <f t="shared" si="16"/>
        <v>0</v>
      </c>
      <c r="L5911" s="91" t="str">
        <f t="shared" si="8"/>
        <v>Sat</v>
      </c>
      <c r="M5911" s="78" t="str">
        <f>IFERROR(VLOOKUP(A5911, Entries!A:B,2,false),"")</f>
        <v/>
      </c>
      <c r="N5911" s="23" t="str">
        <f>IFERROR(VLOOKUP(A5911, Entries!A:K,11,false),"")</f>
        <v/>
      </c>
    </row>
    <row r="5912">
      <c r="A5912" s="78" t="s">
        <v>6737</v>
      </c>
      <c r="B5912" s="78" t="s">
        <v>19</v>
      </c>
      <c r="C5912" s="85">
        <v>45416.0</v>
      </c>
      <c r="D5912" s="85">
        <v>45416.0</v>
      </c>
      <c r="E5912" s="86">
        <v>4.0</v>
      </c>
      <c r="F5912" s="87">
        <v>6.31</v>
      </c>
      <c r="G5912" s="88">
        <f t="shared" si="1"/>
        <v>2.31</v>
      </c>
      <c r="H5912" s="89">
        <f t="shared" si="15"/>
        <v>0.3660855784</v>
      </c>
      <c r="I5912" s="78" t="s">
        <v>6795</v>
      </c>
      <c r="J5912" s="78" t="s">
        <v>69</v>
      </c>
      <c r="K5912" s="58">
        <f t="shared" si="16"/>
        <v>0</v>
      </c>
      <c r="L5912" s="91" t="str">
        <f t="shared" si="8"/>
        <v>Sat</v>
      </c>
      <c r="M5912" s="78" t="str">
        <f>IFERROR(VLOOKUP(A5912, Entries!A:B,2,false),"")</f>
        <v/>
      </c>
      <c r="N5912" s="23" t="str">
        <f>IFERROR(VLOOKUP(A5912, Entries!A:K,11,false),"")</f>
        <v/>
      </c>
      <c r="P5912" s="78">
        <v>24.9</v>
      </c>
    </row>
    <row r="5913">
      <c r="A5913" s="78" t="s">
        <v>6739</v>
      </c>
      <c r="B5913" s="78" t="s">
        <v>19</v>
      </c>
      <c r="C5913" s="85">
        <v>45416.0</v>
      </c>
      <c r="D5913" s="85">
        <v>45417.0</v>
      </c>
      <c r="E5913" s="86">
        <v>2.19</v>
      </c>
      <c r="F5913" s="87">
        <v>4.04</v>
      </c>
      <c r="G5913" s="88">
        <f t="shared" si="1"/>
        <v>1.85</v>
      </c>
      <c r="H5913" s="89">
        <f t="shared" si="15"/>
        <v>0.4579207921</v>
      </c>
      <c r="I5913" s="78" t="s">
        <v>6796</v>
      </c>
      <c r="J5913" s="78" t="s">
        <v>69</v>
      </c>
      <c r="K5913" s="58">
        <f t="shared" si="16"/>
        <v>1</v>
      </c>
      <c r="L5913" s="91" t="str">
        <f t="shared" si="8"/>
        <v>Sun</v>
      </c>
      <c r="M5913" s="78" t="str">
        <f>IFERROR(VLOOKUP(A5913, Entries!A:B,2,false),"")</f>
        <v/>
      </c>
      <c r="N5913" s="23" t="str">
        <f>IFERROR(VLOOKUP(A5913, Entries!A:K,11,false),"")</f>
        <v/>
      </c>
    </row>
    <row r="5914">
      <c r="A5914" s="78" t="s">
        <v>2339</v>
      </c>
      <c r="B5914" s="78" t="s">
        <v>19</v>
      </c>
      <c r="C5914" s="85">
        <v>45416.0</v>
      </c>
      <c r="D5914" s="85">
        <v>45417.0</v>
      </c>
      <c r="E5914" s="86">
        <v>1.7</v>
      </c>
      <c r="F5914" s="87">
        <v>3.05</v>
      </c>
      <c r="G5914" s="88">
        <f t="shared" si="1"/>
        <v>1.35</v>
      </c>
      <c r="H5914" s="89">
        <f t="shared" si="15"/>
        <v>0.4426229508</v>
      </c>
      <c r="I5914" s="78" t="s">
        <v>6797</v>
      </c>
      <c r="J5914" s="78" t="s">
        <v>69</v>
      </c>
      <c r="K5914" s="58">
        <f t="shared" si="16"/>
        <v>1</v>
      </c>
      <c r="L5914" s="91" t="str">
        <f t="shared" si="8"/>
        <v>Sun</v>
      </c>
      <c r="M5914" s="78" t="str">
        <f>IFERROR(VLOOKUP(A5914, Entries!A:B,2,false),"")</f>
        <v>PlayWay</v>
      </c>
      <c r="N5914" s="23" t="str">
        <f>IFERROR(VLOOKUP(A5914, Entries!A:K,11,false),"")</f>
        <v/>
      </c>
    </row>
    <row r="5915">
      <c r="A5915" s="78" t="s">
        <v>6682</v>
      </c>
      <c r="B5915" s="78" t="s">
        <v>19</v>
      </c>
      <c r="C5915" s="85">
        <v>45416.0</v>
      </c>
      <c r="D5915" s="85">
        <v>45416.0</v>
      </c>
      <c r="E5915" s="86">
        <v>8.01</v>
      </c>
      <c r="F5915" s="87">
        <v>13.36</v>
      </c>
      <c r="G5915" s="88">
        <f t="shared" si="1"/>
        <v>5.35</v>
      </c>
      <c r="H5915" s="89">
        <f t="shared" si="15"/>
        <v>0.4004491018</v>
      </c>
      <c r="I5915" s="78" t="s">
        <v>6798</v>
      </c>
      <c r="J5915" s="78" t="s">
        <v>69</v>
      </c>
      <c r="K5915" s="58">
        <f t="shared" si="16"/>
        <v>0</v>
      </c>
      <c r="L5915" s="91" t="str">
        <f t="shared" si="8"/>
        <v>Sat</v>
      </c>
      <c r="M5915" s="78" t="str">
        <f>IFERROR(VLOOKUP(A5915, Entries!A:B,2,false),"")</f>
        <v>Bethesda Softworks</v>
      </c>
      <c r="N5915" s="23" t="str">
        <f>IFERROR(VLOOKUP(A5915, Entries!A:K,11,false),"")</f>
        <v/>
      </c>
    </row>
    <row r="5916">
      <c r="A5916" s="78" t="s">
        <v>6733</v>
      </c>
      <c r="B5916" s="78" t="s">
        <v>19</v>
      </c>
      <c r="C5916" s="85">
        <v>45416.0</v>
      </c>
      <c r="D5916" s="85">
        <v>45417.0</v>
      </c>
      <c r="E5916" s="86">
        <v>6.0</v>
      </c>
      <c r="F5916" s="87">
        <v>10.64</v>
      </c>
      <c r="G5916" s="88">
        <f t="shared" si="1"/>
        <v>4.64</v>
      </c>
      <c r="H5916" s="89">
        <f t="shared" si="15"/>
        <v>0.4360902256</v>
      </c>
      <c r="I5916" s="78" t="s">
        <v>6799</v>
      </c>
      <c r="J5916" s="78" t="s">
        <v>69</v>
      </c>
      <c r="K5916" s="58">
        <f t="shared" si="16"/>
        <v>1</v>
      </c>
      <c r="L5916" s="91" t="str">
        <f t="shared" si="8"/>
        <v>Sun</v>
      </c>
      <c r="M5916" s="78" t="str">
        <f>IFERROR(VLOOKUP(A5916, Entries!A:B,2,false),"")</f>
        <v/>
      </c>
      <c r="N5916" s="23" t="str">
        <f>IFERROR(VLOOKUP(A5916, Entries!A:K,11,false),"")</f>
        <v/>
      </c>
    </row>
    <row r="5917">
      <c r="A5917" s="78" t="s">
        <v>6735</v>
      </c>
      <c r="B5917" s="78" t="s">
        <v>19</v>
      </c>
      <c r="C5917" s="85">
        <v>45416.0</v>
      </c>
      <c r="D5917" s="85">
        <v>45417.0</v>
      </c>
      <c r="E5917" s="86">
        <v>3.0</v>
      </c>
      <c r="F5917" s="87">
        <v>4.47</v>
      </c>
      <c r="G5917" s="88">
        <f t="shared" si="1"/>
        <v>1.47</v>
      </c>
      <c r="H5917" s="89">
        <f t="shared" si="15"/>
        <v>0.3288590604</v>
      </c>
      <c r="I5917" s="78" t="s">
        <v>6800</v>
      </c>
      <c r="J5917" s="78" t="s">
        <v>69</v>
      </c>
      <c r="K5917" s="58">
        <f t="shared" si="16"/>
        <v>1</v>
      </c>
      <c r="L5917" s="91" t="str">
        <f t="shared" si="8"/>
        <v>Sun</v>
      </c>
      <c r="M5917" s="78" t="str">
        <f>IFERROR(VLOOKUP(A5917, Entries!A:B,2,false),"")</f>
        <v/>
      </c>
      <c r="N5917" s="23" t="str">
        <f>IFERROR(VLOOKUP(A5917, Entries!A:K,11,false),"")</f>
        <v/>
      </c>
    </row>
    <row r="5918">
      <c r="A5918" s="78" t="s">
        <v>6737</v>
      </c>
      <c r="B5918" s="78" t="s">
        <v>19</v>
      </c>
      <c r="C5918" s="85">
        <v>45416.0</v>
      </c>
      <c r="D5918" s="85">
        <v>45416.0</v>
      </c>
      <c r="E5918" s="86">
        <v>4.0</v>
      </c>
      <c r="F5918" s="87">
        <v>6.69</v>
      </c>
      <c r="G5918" s="88">
        <f t="shared" si="1"/>
        <v>2.69</v>
      </c>
      <c r="H5918" s="89">
        <f t="shared" si="15"/>
        <v>0.4020926756</v>
      </c>
      <c r="I5918" s="78" t="s">
        <v>6801</v>
      </c>
      <c r="J5918" s="78" t="s">
        <v>69</v>
      </c>
      <c r="K5918" s="58">
        <f t="shared" si="16"/>
        <v>0</v>
      </c>
      <c r="L5918" s="91" t="str">
        <f t="shared" si="8"/>
        <v>Sat</v>
      </c>
      <c r="M5918" s="78" t="str">
        <f>IFERROR(VLOOKUP(A5918, Entries!A:B,2,false),"")</f>
        <v/>
      </c>
      <c r="N5918" s="23" t="str">
        <f>IFERROR(VLOOKUP(A5918, Entries!A:K,11,false),"")</f>
        <v/>
      </c>
    </row>
    <row r="5919">
      <c r="A5919" s="78" t="s">
        <v>6739</v>
      </c>
      <c r="B5919" s="78" t="s">
        <v>19</v>
      </c>
      <c r="C5919" s="85">
        <v>45416.0</v>
      </c>
      <c r="D5919" s="85">
        <v>45418.0</v>
      </c>
      <c r="E5919" s="86">
        <v>2.19</v>
      </c>
      <c r="F5919" s="87">
        <v>4.01</v>
      </c>
      <c r="G5919" s="88">
        <f t="shared" si="1"/>
        <v>1.82</v>
      </c>
      <c r="H5919" s="89">
        <f t="shared" si="15"/>
        <v>0.4538653367</v>
      </c>
      <c r="I5919" s="78" t="s">
        <v>6802</v>
      </c>
      <c r="J5919" s="78" t="s">
        <v>69</v>
      </c>
      <c r="K5919" s="58">
        <f t="shared" si="16"/>
        <v>2</v>
      </c>
      <c r="L5919" s="91" t="str">
        <f t="shared" si="8"/>
        <v>Mon</v>
      </c>
      <c r="M5919" s="78" t="str">
        <f>IFERROR(VLOOKUP(A5919, Entries!A:B,2,false),"")</f>
        <v/>
      </c>
      <c r="N5919" s="23" t="str">
        <f>IFERROR(VLOOKUP(A5919, Entries!A:K,11,false),"")</f>
        <v/>
      </c>
    </row>
    <row r="5920">
      <c r="A5920" s="78" t="s">
        <v>6730</v>
      </c>
      <c r="B5920" s="78" t="s">
        <v>19</v>
      </c>
      <c r="C5920" s="85">
        <v>45416.0</v>
      </c>
      <c r="D5920" s="85">
        <v>45422.0</v>
      </c>
      <c r="E5920" s="86">
        <v>0.0</v>
      </c>
      <c r="F5920" s="87">
        <v>0.17</v>
      </c>
      <c r="G5920" s="88">
        <f t="shared" si="1"/>
        <v>0.17</v>
      </c>
      <c r="H5920" s="89">
        <f t="shared" si="15"/>
        <v>1</v>
      </c>
      <c r="I5920" s="78" t="s">
        <v>6803</v>
      </c>
      <c r="J5920" s="78" t="s">
        <v>69</v>
      </c>
      <c r="K5920" s="58">
        <f t="shared" si="16"/>
        <v>6</v>
      </c>
      <c r="L5920" s="91" t="str">
        <f t="shared" si="8"/>
        <v>Fri</v>
      </c>
      <c r="M5920" s="78" t="str">
        <f>IFERROR(VLOOKUP(A5920, Entries!A:B,2,false),"")</f>
        <v/>
      </c>
      <c r="N5920" s="23" t="str">
        <f>IFERROR(VLOOKUP(A5920, Entries!A:K,11,false),"")</f>
        <v/>
      </c>
    </row>
    <row r="5921">
      <c r="A5921" s="78" t="s">
        <v>6775</v>
      </c>
      <c r="B5921" s="78" t="s">
        <v>23</v>
      </c>
      <c r="C5921" s="85">
        <v>45416.0</v>
      </c>
      <c r="D5921" s="85">
        <v>45417.0</v>
      </c>
      <c r="E5921" s="86">
        <v>5.0</v>
      </c>
      <c r="F5921" s="87">
        <v>6.2</v>
      </c>
      <c r="G5921" s="88">
        <f t="shared" si="1"/>
        <v>1.2</v>
      </c>
      <c r="H5921" s="89">
        <f t="shared" si="15"/>
        <v>0.1935483871</v>
      </c>
      <c r="I5921" s="78" t="s">
        <v>6804</v>
      </c>
      <c r="J5921" s="78" t="s">
        <v>69</v>
      </c>
      <c r="K5921" s="58">
        <f t="shared" si="16"/>
        <v>1</v>
      </c>
      <c r="L5921" s="91" t="str">
        <f t="shared" si="8"/>
        <v>Sun</v>
      </c>
      <c r="M5921" s="78" t="str">
        <f>IFERROR(VLOOKUP(A5921, Entries!A:B,2,false),"")</f>
        <v/>
      </c>
      <c r="N5921" s="23" t="str">
        <f>IFERROR(VLOOKUP(A5921, Entries!A:K,11,false),"")</f>
        <v/>
      </c>
    </row>
    <row r="5922">
      <c r="A5922" s="78" t="s">
        <v>6777</v>
      </c>
      <c r="B5922" s="78" t="s">
        <v>23</v>
      </c>
      <c r="C5922" s="85">
        <v>45416.0</v>
      </c>
      <c r="D5922" s="85">
        <v>45522.0</v>
      </c>
      <c r="E5922" s="86">
        <v>11.5</v>
      </c>
      <c r="F5922" s="87">
        <v>14.37</v>
      </c>
      <c r="G5922" s="88">
        <f t="shared" si="1"/>
        <v>2.87</v>
      </c>
      <c r="H5922" s="89">
        <f t="shared" si="15"/>
        <v>0.1997216423</v>
      </c>
      <c r="I5922" s="78" t="s">
        <v>6805</v>
      </c>
      <c r="J5922" s="78" t="s">
        <v>69</v>
      </c>
      <c r="K5922" s="58">
        <f t="shared" si="16"/>
        <v>106</v>
      </c>
      <c r="L5922" s="91" t="str">
        <f t="shared" si="8"/>
        <v>Sun</v>
      </c>
      <c r="M5922" s="78" t="str">
        <f>IFERROR(VLOOKUP(A5922, Entries!A:B,2,false),"")</f>
        <v/>
      </c>
      <c r="N5922" s="23" t="str">
        <f>IFERROR(VLOOKUP(A5922, Entries!A:K,11,false),"")</f>
        <v/>
      </c>
    </row>
    <row r="5923">
      <c r="A5923" s="96" t="s">
        <v>6806</v>
      </c>
      <c r="B5923" s="78" t="s">
        <v>18</v>
      </c>
      <c r="C5923" s="85">
        <v>45416.0</v>
      </c>
      <c r="D5923" s="85">
        <v>45425.0</v>
      </c>
      <c r="E5923" s="86">
        <v>28.6</v>
      </c>
      <c r="F5923" s="87">
        <v>32.49</v>
      </c>
      <c r="G5923" s="88">
        <f t="shared" si="1"/>
        <v>3.89</v>
      </c>
      <c r="H5923" s="89">
        <f t="shared" si="15"/>
        <v>0.1197291474</v>
      </c>
      <c r="I5923" s="78" t="s">
        <v>6807</v>
      </c>
      <c r="J5923" s="78" t="s">
        <v>69</v>
      </c>
      <c r="K5923" s="58">
        <f t="shared" si="16"/>
        <v>9</v>
      </c>
      <c r="L5923" s="91" t="str">
        <f t="shared" si="8"/>
        <v>Mon</v>
      </c>
      <c r="M5923" s="78" t="str">
        <f>IFERROR(VLOOKUP(A5923, Entries!A:B,2,false),"")</f>
        <v/>
      </c>
      <c r="N5923" s="23" t="str">
        <f>IFERROR(VLOOKUP(A5923, Entries!A:K,11,false),"")</f>
        <v/>
      </c>
    </row>
    <row r="5924">
      <c r="A5924" s="96" t="s">
        <v>6710</v>
      </c>
      <c r="B5924" s="78" t="s">
        <v>18</v>
      </c>
      <c r="C5924" s="85">
        <v>45425.0</v>
      </c>
      <c r="D5924" s="85">
        <v>45799.0</v>
      </c>
      <c r="E5924" s="86">
        <v>28.6</v>
      </c>
      <c r="F5924" s="87">
        <v>29.14</v>
      </c>
      <c r="G5924" s="88">
        <f t="shared" si="1"/>
        <v>0.54</v>
      </c>
      <c r="H5924" s="89">
        <f t="shared" si="15"/>
        <v>0.01853122855</v>
      </c>
      <c r="I5924" s="103" t="s">
        <v>6808</v>
      </c>
      <c r="J5924" s="78" t="s">
        <v>69</v>
      </c>
      <c r="K5924" s="58">
        <f t="shared" si="16"/>
        <v>374</v>
      </c>
      <c r="L5924" s="91" t="str">
        <f t="shared" si="8"/>
        <v>Thu</v>
      </c>
      <c r="M5924" s="78" t="str">
        <f>IFERROR(VLOOKUP(A5924, Entries!A:B,2,false),"")</f>
        <v/>
      </c>
      <c r="N5924" s="23" t="str">
        <f>IFERROR(VLOOKUP(A5924, Entries!A:K,11,false),"")</f>
        <v/>
      </c>
    </row>
    <row r="5925">
      <c r="A5925" s="78" t="s">
        <v>2339</v>
      </c>
      <c r="B5925" s="78" t="s">
        <v>19</v>
      </c>
      <c r="C5925" s="85">
        <v>45417.0</v>
      </c>
      <c r="D5925" s="85">
        <v>45417.0</v>
      </c>
      <c r="E5925" s="86">
        <v>1.7</v>
      </c>
      <c r="F5925" s="87">
        <v>3.05</v>
      </c>
      <c r="G5925" s="88">
        <f t="shared" si="1"/>
        <v>1.35</v>
      </c>
      <c r="H5925" s="89">
        <f t="shared" si="15"/>
        <v>0.4426229508</v>
      </c>
      <c r="I5925" s="78" t="s">
        <v>6809</v>
      </c>
      <c r="J5925" s="78" t="s">
        <v>69</v>
      </c>
      <c r="K5925" s="58">
        <f t="shared" si="16"/>
        <v>0</v>
      </c>
      <c r="L5925" s="91" t="str">
        <f t="shared" si="8"/>
        <v>Sun</v>
      </c>
      <c r="M5925" s="78" t="str">
        <f>IFERROR(VLOOKUP(A5925, Entries!A:B,2,false),"")</f>
        <v>PlayWay</v>
      </c>
      <c r="N5925" s="23" t="str">
        <f>IFERROR(VLOOKUP(A5925, Entries!A:K,11,false),"")</f>
        <v/>
      </c>
    </row>
    <row r="5926">
      <c r="A5926" s="78" t="s">
        <v>6682</v>
      </c>
      <c r="B5926" s="78" t="s">
        <v>19</v>
      </c>
      <c r="C5926" s="85">
        <v>45417.0</v>
      </c>
      <c r="D5926" s="85">
        <v>45417.0</v>
      </c>
      <c r="E5926" s="86">
        <v>8.01</v>
      </c>
      <c r="F5926" s="87">
        <v>13.2</v>
      </c>
      <c r="G5926" s="88">
        <f t="shared" si="1"/>
        <v>5.19</v>
      </c>
      <c r="H5926" s="89">
        <f t="shared" si="15"/>
        <v>0.3931818182</v>
      </c>
      <c r="I5926" s="78" t="s">
        <v>6810</v>
      </c>
      <c r="J5926" s="78" t="s">
        <v>69</v>
      </c>
      <c r="K5926" s="58">
        <f t="shared" si="16"/>
        <v>0</v>
      </c>
      <c r="L5926" s="91" t="str">
        <f t="shared" si="8"/>
        <v>Sun</v>
      </c>
      <c r="M5926" s="78" t="str">
        <f>IFERROR(VLOOKUP(A5926, Entries!A:B,2,false),"")</f>
        <v>Bethesda Softworks</v>
      </c>
      <c r="N5926" s="23" t="str">
        <f>IFERROR(VLOOKUP(A5926, Entries!A:K,11,false),"")</f>
        <v/>
      </c>
    </row>
    <row r="5927">
      <c r="A5927" s="78" t="s">
        <v>6733</v>
      </c>
      <c r="B5927" s="78" t="s">
        <v>19</v>
      </c>
      <c r="C5927" s="85">
        <v>45417.0</v>
      </c>
      <c r="D5927" s="85">
        <v>45420.0</v>
      </c>
      <c r="E5927" s="86">
        <v>6.0</v>
      </c>
      <c r="F5927" s="87">
        <v>11.13</v>
      </c>
      <c r="G5927" s="88">
        <f t="shared" si="1"/>
        <v>5.13</v>
      </c>
      <c r="H5927" s="89">
        <f t="shared" si="15"/>
        <v>0.460916442</v>
      </c>
      <c r="I5927" s="78" t="s">
        <v>6811</v>
      </c>
      <c r="J5927" s="78" t="s">
        <v>69</v>
      </c>
      <c r="K5927" s="58">
        <f t="shared" si="16"/>
        <v>3</v>
      </c>
      <c r="L5927" s="91" t="str">
        <f t="shared" si="8"/>
        <v>Wed</v>
      </c>
      <c r="M5927" s="78" t="str">
        <f>IFERROR(VLOOKUP(A5927, Entries!A:B,2,false),"")</f>
        <v/>
      </c>
      <c r="N5927" s="23" t="str">
        <f>IFERROR(VLOOKUP(A5927, Entries!A:K,11,false),"")</f>
        <v/>
      </c>
    </row>
    <row r="5928">
      <c r="A5928" s="78" t="s">
        <v>6735</v>
      </c>
      <c r="B5928" s="78" t="s">
        <v>19</v>
      </c>
      <c r="C5928" s="85">
        <v>45417.0</v>
      </c>
      <c r="D5928" s="85">
        <v>45421.0</v>
      </c>
      <c r="E5928" s="86">
        <v>3.0</v>
      </c>
      <c r="F5928" s="87">
        <v>4.43</v>
      </c>
      <c r="G5928" s="88">
        <f t="shared" si="1"/>
        <v>1.43</v>
      </c>
      <c r="H5928" s="89">
        <f t="shared" si="15"/>
        <v>0.3227990971</v>
      </c>
      <c r="I5928" s="78" t="s">
        <v>6812</v>
      </c>
      <c r="J5928" s="78" t="s">
        <v>69</v>
      </c>
      <c r="K5928" s="58">
        <f t="shared" si="16"/>
        <v>4</v>
      </c>
      <c r="L5928" s="91" t="str">
        <f t="shared" si="8"/>
        <v>Thu</v>
      </c>
      <c r="M5928" s="78" t="str">
        <f>IFERROR(VLOOKUP(A5928, Entries!A:B,2,false),"")</f>
        <v/>
      </c>
      <c r="N5928" s="23" t="str">
        <f>IFERROR(VLOOKUP(A5928, Entries!A:K,11,false),"")</f>
        <v/>
      </c>
    </row>
    <row r="5929">
      <c r="A5929" s="78" t="s">
        <v>6737</v>
      </c>
      <c r="B5929" s="78" t="s">
        <v>19</v>
      </c>
      <c r="C5929" s="85">
        <v>45417.0</v>
      </c>
      <c r="D5929" s="85">
        <v>45417.0</v>
      </c>
      <c r="E5929" s="86">
        <v>4.0</v>
      </c>
      <c r="F5929" s="87">
        <v>6.87</v>
      </c>
      <c r="G5929" s="88">
        <f t="shared" si="1"/>
        <v>2.87</v>
      </c>
      <c r="H5929" s="89">
        <f t="shared" si="15"/>
        <v>0.4177583697</v>
      </c>
      <c r="I5929" s="78" t="s">
        <v>6813</v>
      </c>
      <c r="J5929" s="78" t="s">
        <v>69</v>
      </c>
      <c r="K5929" s="58">
        <f t="shared" si="16"/>
        <v>0</v>
      </c>
      <c r="L5929" s="91" t="str">
        <f t="shared" si="8"/>
        <v>Sun</v>
      </c>
      <c r="M5929" s="78" t="str">
        <f>IFERROR(VLOOKUP(A5929, Entries!A:B,2,false),"")</f>
        <v/>
      </c>
      <c r="N5929" s="23" t="str">
        <f>IFERROR(VLOOKUP(A5929, Entries!A:K,11,false),"")</f>
        <v/>
      </c>
    </row>
    <row r="5930">
      <c r="A5930" s="78" t="s">
        <v>6739</v>
      </c>
      <c r="B5930" s="78" t="s">
        <v>19</v>
      </c>
      <c r="C5930" s="85">
        <v>45417.0</v>
      </c>
      <c r="D5930" s="85">
        <v>45418.0</v>
      </c>
      <c r="E5930" s="86">
        <v>2.19</v>
      </c>
      <c r="F5930" s="87">
        <v>4.01</v>
      </c>
      <c r="G5930" s="88">
        <f t="shared" si="1"/>
        <v>1.82</v>
      </c>
      <c r="H5930" s="89">
        <f t="shared" si="15"/>
        <v>0.4538653367</v>
      </c>
      <c r="I5930" s="78" t="s">
        <v>6814</v>
      </c>
      <c r="J5930" s="78" t="s">
        <v>69</v>
      </c>
      <c r="K5930" s="58">
        <f t="shared" si="16"/>
        <v>1</v>
      </c>
      <c r="L5930" s="91" t="str">
        <f t="shared" si="8"/>
        <v>Mon</v>
      </c>
      <c r="M5930" s="78" t="str">
        <f>IFERROR(VLOOKUP(A5930, Entries!A:B,2,false),"")</f>
        <v/>
      </c>
      <c r="N5930" s="23" t="str">
        <f>IFERROR(VLOOKUP(A5930, Entries!A:K,11,false),"")</f>
        <v/>
      </c>
    </row>
    <row r="5931">
      <c r="A5931" s="78" t="s">
        <v>6775</v>
      </c>
      <c r="B5931" s="78" t="s">
        <v>23</v>
      </c>
      <c r="C5931" s="85">
        <v>45417.0</v>
      </c>
      <c r="D5931" s="85">
        <v>45419.0</v>
      </c>
      <c r="E5931" s="86">
        <v>5.0</v>
      </c>
      <c r="F5931" s="87">
        <v>6.21</v>
      </c>
      <c r="G5931" s="88">
        <f t="shared" si="1"/>
        <v>1.21</v>
      </c>
      <c r="H5931" s="89">
        <f t="shared" si="15"/>
        <v>0.1948470209</v>
      </c>
      <c r="I5931" s="78" t="s">
        <v>6815</v>
      </c>
      <c r="J5931" s="78" t="s">
        <v>69</v>
      </c>
      <c r="K5931" s="58">
        <f t="shared" si="16"/>
        <v>2</v>
      </c>
      <c r="L5931" s="91" t="str">
        <f t="shared" si="8"/>
        <v>Tue</v>
      </c>
      <c r="M5931" s="78" t="str">
        <f>IFERROR(VLOOKUP(A5931, Entries!A:B,2,false),"")</f>
        <v/>
      </c>
      <c r="N5931" s="23" t="str">
        <f>IFERROR(VLOOKUP(A5931, Entries!A:K,11,false),"")</f>
        <v/>
      </c>
    </row>
    <row r="5932">
      <c r="A5932" s="78" t="s">
        <v>6777</v>
      </c>
      <c r="B5932" s="78" t="s">
        <v>23</v>
      </c>
      <c r="C5932" s="85">
        <v>45417.0</v>
      </c>
      <c r="D5932" s="85">
        <v>45528.0</v>
      </c>
      <c r="E5932" s="86">
        <v>11.5</v>
      </c>
      <c r="F5932" s="87">
        <v>15.98</v>
      </c>
      <c r="G5932" s="88">
        <f t="shared" si="1"/>
        <v>4.48</v>
      </c>
      <c r="H5932" s="89">
        <f t="shared" si="15"/>
        <v>0.280350438</v>
      </c>
      <c r="I5932" s="78" t="s">
        <v>6816</v>
      </c>
      <c r="J5932" s="78" t="s">
        <v>69</v>
      </c>
      <c r="K5932" s="58">
        <f t="shared" si="16"/>
        <v>111</v>
      </c>
      <c r="L5932" s="91" t="str">
        <f t="shared" si="8"/>
        <v>Sat</v>
      </c>
      <c r="M5932" s="78" t="str">
        <f>IFERROR(VLOOKUP(A5932, Entries!A:B,2,false),"")</f>
        <v/>
      </c>
      <c r="N5932" s="23" t="str">
        <f>IFERROR(VLOOKUP(A5932, Entries!A:K,11,false),"")</f>
        <v/>
      </c>
    </row>
    <row r="5933">
      <c r="A5933" s="78" t="s">
        <v>2339</v>
      </c>
      <c r="B5933" s="78" t="s">
        <v>19</v>
      </c>
      <c r="C5933" s="85">
        <v>45417.0</v>
      </c>
      <c r="D5933" s="85">
        <v>45419.0</v>
      </c>
      <c r="E5933" s="86">
        <v>0.96</v>
      </c>
      <c r="F5933" s="87">
        <v>3.18</v>
      </c>
      <c r="G5933" s="88">
        <f t="shared" si="1"/>
        <v>2.22</v>
      </c>
      <c r="H5933" s="89">
        <f t="shared" si="15"/>
        <v>0.6981132075</v>
      </c>
      <c r="I5933" s="78" t="s">
        <v>6817</v>
      </c>
      <c r="J5933" s="78" t="s">
        <v>69</v>
      </c>
      <c r="K5933" s="58">
        <f t="shared" si="16"/>
        <v>2</v>
      </c>
      <c r="L5933" s="91" t="str">
        <f t="shared" si="8"/>
        <v>Tue</v>
      </c>
      <c r="M5933" s="78" t="str">
        <f>IFERROR(VLOOKUP(A5933, Entries!A:B,2,false),"")</f>
        <v>PlayWay</v>
      </c>
      <c r="N5933" s="23" t="str">
        <f>IFERROR(VLOOKUP(A5933, Entries!A:K,11,false),"")</f>
        <v/>
      </c>
    </row>
    <row r="5934">
      <c r="A5934" s="78" t="s">
        <v>6018</v>
      </c>
      <c r="B5934" s="78" t="s">
        <v>30</v>
      </c>
      <c r="C5934" s="85">
        <v>45418.0</v>
      </c>
      <c r="D5934" s="85">
        <v>45420.0</v>
      </c>
      <c r="E5934" s="86">
        <v>12.62</v>
      </c>
      <c r="F5934" s="87">
        <v>15.49</v>
      </c>
      <c r="G5934" s="88">
        <f t="shared" si="1"/>
        <v>2.87</v>
      </c>
      <c r="H5934" s="89">
        <f t="shared" si="15"/>
        <v>0.1852808263</v>
      </c>
      <c r="I5934" s="78" t="s">
        <v>6818</v>
      </c>
      <c r="J5934" s="78" t="s">
        <v>69</v>
      </c>
      <c r="K5934" s="58">
        <f t="shared" si="16"/>
        <v>2</v>
      </c>
      <c r="L5934" s="91" t="str">
        <f t="shared" si="8"/>
        <v>Wed</v>
      </c>
      <c r="M5934" s="78" t="str">
        <f>IFERROR(VLOOKUP(A5934, Entries!A:B,2,false),"")</f>
        <v>Square Enix</v>
      </c>
      <c r="N5934" s="23" t="str">
        <f>IFERROR(VLOOKUP(A5934, Entries!A:K,11,false),"")</f>
        <v/>
      </c>
    </row>
    <row r="5935">
      <c r="A5935" s="78" t="s">
        <v>5933</v>
      </c>
      <c r="B5935" s="78" t="s">
        <v>21</v>
      </c>
      <c r="C5935" s="85">
        <v>45418.0</v>
      </c>
      <c r="D5935" s="85">
        <v>45421.0</v>
      </c>
      <c r="E5935" s="86">
        <v>31.48</v>
      </c>
      <c r="F5935" s="87">
        <v>35.36</v>
      </c>
      <c r="G5935" s="88">
        <f t="shared" si="1"/>
        <v>3.88</v>
      </c>
      <c r="H5935" s="89">
        <f t="shared" si="15"/>
        <v>0.1097285068</v>
      </c>
      <c r="I5935" s="78" t="s">
        <v>6819</v>
      </c>
      <c r="J5935" s="78" t="s">
        <v>69</v>
      </c>
      <c r="K5935" s="58">
        <f t="shared" si="16"/>
        <v>3</v>
      </c>
      <c r="L5935" s="91" t="str">
        <f t="shared" si="8"/>
        <v>Thu</v>
      </c>
      <c r="M5935" s="78" t="str">
        <f>IFERROR(VLOOKUP(A5935, Entries!A:B,2,false),"")</f>
        <v>Pocketpair</v>
      </c>
      <c r="N5935" s="23" t="str">
        <f>IFERROR(VLOOKUP(A5935, Entries!A:K,11,false),"")</f>
        <v/>
      </c>
    </row>
    <row r="5936">
      <c r="A5936" s="78" t="s">
        <v>2339</v>
      </c>
      <c r="B5936" s="78" t="s">
        <v>19</v>
      </c>
      <c r="C5936" s="85">
        <v>45419.0</v>
      </c>
      <c r="D5936" s="85">
        <v>45420.0</v>
      </c>
      <c r="E5936" s="86">
        <v>1.7</v>
      </c>
      <c r="F5936" s="87">
        <v>3.25</v>
      </c>
      <c r="G5936" s="88">
        <f t="shared" si="1"/>
        <v>1.55</v>
      </c>
      <c r="H5936" s="89">
        <f t="shared" si="15"/>
        <v>0.4769230769</v>
      </c>
      <c r="I5936" s="78" t="s">
        <v>6820</v>
      </c>
      <c r="J5936" s="78" t="s">
        <v>69</v>
      </c>
      <c r="K5936" s="58">
        <f t="shared" si="16"/>
        <v>1</v>
      </c>
      <c r="L5936" s="91" t="str">
        <f t="shared" si="8"/>
        <v>Wed</v>
      </c>
      <c r="M5936" s="78" t="str">
        <f>IFERROR(VLOOKUP(A5936, Entries!A:B,2,false),"")</f>
        <v>PlayWay</v>
      </c>
      <c r="N5936" s="23" t="str">
        <f>IFERROR(VLOOKUP(A5936, Entries!A:K,11,false),"")</f>
        <v/>
      </c>
    </row>
    <row r="5937">
      <c r="A5937" s="78" t="s">
        <v>6682</v>
      </c>
      <c r="B5937" s="78" t="s">
        <v>19</v>
      </c>
      <c r="C5937" s="85">
        <v>45419.0</v>
      </c>
      <c r="D5937" s="85">
        <v>45638.0</v>
      </c>
      <c r="E5937" s="86">
        <v>8.01</v>
      </c>
      <c r="F5937" s="87">
        <v>8.96</v>
      </c>
      <c r="G5937" s="88">
        <f t="shared" si="1"/>
        <v>0.95</v>
      </c>
      <c r="H5937" s="89">
        <f t="shared" si="15"/>
        <v>0.1060267857</v>
      </c>
      <c r="I5937" s="78" t="s">
        <v>6821</v>
      </c>
      <c r="J5937" s="78" t="s">
        <v>69</v>
      </c>
      <c r="K5937" s="58">
        <f t="shared" si="16"/>
        <v>219</v>
      </c>
      <c r="L5937" s="91" t="str">
        <f t="shared" si="8"/>
        <v>Thu</v>
      </c>
      <c r="M5937" s="78" t="str">
        <f>IFERROR(VLOOKUP(A5937, Entries!A:B,2,false),"")</f>
        <v>Bethesda Softworks</v>
      </c>
      <c r="N5937" s="23" t="str">
        <f>IFERROR(VLOOKUP(A5937, Entries!A:K,11,false),"")</f>
        <v/>
      </c>
    </row>
    <row r="5938">
      <c r="A5938" s="78" t="s">
        <v>6733</v>
      </c>
      <c r="B5938" s="78" t="s">
        <v>19</v>
      </c>
      <c r="C5938" s="85">
        <v>45419.0</v>
      </c>
      <c r="D5938" s="85">
        <v>45468.0</v>
      </c>
      <c r="E5938" s="86">
        <v>6.0</v>
      </c>
      <c r="F5938" s="87">
        <v>9.1</v>
      </c>
      <c r="G5938" s="88">
        <f t="shared" si="1"/>
        <v>3.1</v>
      </c>
      <c r="H5938" s="89">
        <f t="shared" si="15"/>
        <v>0.3406593407</v>
      </c>
      <c r="I5938" s="78" t="s">
        <v>6822</v>
      </c>
      <c r="J5938" s="78" t="s">
        <v>69</v>
      </c>
      <c r="K5938" s="58">
        <f t="shared" si="16"/>
        <v>49</v>
      </c>
      <c r="L5938" s="91" t="str">
        <f t="shared" si="8"/>
        <v>Tue</v>
      </c>
      <c r="M5938" s="78" t="str">
        <f>IFERROR(VLOOKUP(A5938, Entries!A:B,2,false),"")</f>
        <v/>
      </c>
      <c r="N5938" s="23" t="str">
        <f>IFERROR(VLOOKUP(A5938, Entries!A:K,11,false),"")</f>
        <v/>
      </c>
    </row>
    <row r="5939">
      <c r="A5939" s="78" t="s">
        <v>6735</v>
      </c>
      <c r="B5939" s="78" t="s">
        <v>19</v>
      </c>
      <c r="C5939" s="85">
        <v>45419.0</v>
      </c>
      <c r="D5939" s="85">
        <v>45422.0</v>
      </c>
      <c r="E5939" s="86">
        <v>3.0</v>
      </c>
      <c r="F5939" s="87">
        <v>4.43</v>
      </c>
      <c r="G5939" s="88">
        <f t="shared" si="1"/>
        <v>1.43</v>
      </c>
      <c r="H5939" s="89">
        <f t="shared" si="15"/>
        <v>0.3227990971</v>
      </c>
      <c r="I5939" s="78" t="s">
        <v>6823</v>
      </c>
      <c r="J5939" s="78" t="s">
        <v>69</v>
      </c>
      <c r="K5939" s="58">
        <f t="shared" si="16"/>
        <v>3</v>
      </c>
      <c r="L5939" s="91" t="str">
        <f t="shared" si="8"/>
        <v>Fri</v>
      </c>
      <c r="M5939" s="78" t="str">
        <f>IFERROR(VLOOKUP(A5939, Entries!A:B,2,false),"")</f>
        <v/>
      </c>
      <c r="N5939" s="23" t="str">
        <f>IFERROR(VLOOKUP(A5939, Entries!A:K,11,false),"")</f>
        <v/>
      </c>
    </row>
    <row r="5940">
      <c r="A5940" s="78" t="s">
        <v>6737</v>
      </c>
      <c r="B5940" s="78" t="s">
        <v>19</v>
      </c>
      <c r="C5940" s="85">
        <v>45419.0</v>
      </c>
      <c r="D5940" s="85">
        <v>45420.0</v>
      </c>
      <c r="E5940" s="86">
        <v>4.0</v>
      </c>
      <c r="F5940" s="87">
        <v>6.79</v>
      </c>
      <c r="G5940" s="88">
        <f t="shared" si="1"/>
        <v>2.79</v>
      </c>
      <c r="H5940" s="89">
        <f t="shared" si="15"/>
        <v>0.41089838</v>
      </c>
      <c r="I5940" s="78" t="s">
        <v>6824</v>
      </c>
      <c r="J5940" s="78" t="s">
        <v>69</v>
      </c>
      <c r="K5940" s="58">
        <f t="shared" si="16"/>
        <v>1</v>
      </c>
      <c r="L5940" s="91" t="str">
        <f t="shared" si="8"/>
        <v>Wed</v>
      </c>
      <c r="M5940" s="78" t="str">
        <f>IFERROR(VLOOKUP(A5940, Entries!A:B,2,false),"")</f>
        <v/>
      </c>
      <c r="N5940" s="23" t="str">
        <f>IFERROR(VLOOKUP(A5940, Entries!A:K,11,false),"")</f>
        <v/>
      </c>
    </row>
    <row r="5941">
      <c r="A5941" s="78" t="s">
        <v>6739</v>
      </c>
      <c r="B5941" s="78" t="s">
        <v>19</v>
      </c>
      <c r="C5941" s="85">
        <v>45419.0</v>
      </c>
      <c r="D5941" s="85">
        <v>45424.0</v>
      </c>
      <c r="E5941" s="86">
        <v>2.12</v>
      </c>
      <c r="F5941" s="87">
        <v>3.49</v>
      </c>
      <c r="G5941" s="88">
        <f t="shared" si="1"/>
        <v>1.37</v>
      </c>
      <c r="H5941" s="89">
        <f t="shared" si="15"/>
        <v>0.3925501433</v>
      </c>
      <c r="I5941" s="78" t="s">
        <v>6825</v>
      </c>
      <c r="J5941" s="78" t="s">
        <v>69</v>
      </c>
      <c r="K5941" s="58">
        <f t="shared" si="16"/>
        <v>5</v>
      </c>
      <c r="L5941" s="91" t="str">
        <f t="shared" si="8"/>
        <v>Sun</v>
      </c>
      <c r="M5941" s="78" t="str">
        <f>IFERROR(VLOOKUP(A5941, Entries!A:B,2,false),"")</f>
        <v/>
      </c>
      <c r="N5941" s="23" t="str">
        <f>IFERROR(VLOOKUP(A5941, Entries!A:K,11,false),"")</f>
        <v/>
      </c>
    </row>
    <row r="5942">
      <c r="A5942" s="78" t="s">
        <v>1849</v>
      </c>
      <c r="B5942" s="78" t="s">
        <v>19</v>
      </c>
      <c r="C5942" s="85">
        <v>45419.0</v>
      </c>
      <c r="D5942" s="85">
        <v>45983.0</v>
      </c>
      <c r="E5942" s="86">
        <v>4.5</v>
      </c>
      <c r="F5942" s="87">
        <v>2.85</v>
      </c>
      <c r="G5942" s="88">
        <f t="shared" si="1"/>
        <v>-1.65</v>
      </c>
      <c r="H5942" s="89">
        <f t="shared" si="15"/>
        <v>-0.5789473684</v>
      </c>
      <c r="I5942" s="103" t="s">
        <v>6826</v>
      </c>
      <c r="J5942" s="78" t="s">
        <v>69</v>
      </c>
      <c r="K5942" s="58">
        <f t="shared" si="16"/>
        <v>564</v>
      </c>
      <c r="L5942" s="91" t="str">
        <f t="shared" si="8"/>
        <v>Sat</v>
      </c>
      <c r="M5942" s="78" t="str">
        <f>IFERROR(VLOOKUP(A5942, Entries!A:B,2,false),"")</f>
        <v>Marmalade Game Studio</v>
      </c>
      <c r="N5942" s="23" t="str">
        <f>IFERROR(VLOOKUP(A5942, Entries!A:K,11,false),"")</f>
        <v/>
      </c>
    </row>
    <row r="5943">
      <c r="A5943" s="78" t="s">
        <v>2339</v>
      </c>
      <c r="B5943" s="78" t="s">
        <v>19</v>
      </c>
      <c r="C5943" s="85">
        <v>45419.0</v>
      </c>
      <c r="D5943" s="85">
        <v>45420.0</v>
      </c>
      <c r="E5943" s="86">
        <v>1.29</v>
      </c>
      <c r="F5943" s="87">
        <v>3.25</v>
      </c>
      <c r="G5943" s="88">
        <f t="shared" si="1"/>
        <v>1.96</v>
      </c>
      <c r="H5943" s="89">
        <f t="shared" si="15"/>
        <v>0.6030769231</v>
      </c>
      <c r="I5943" s="78" t="s">
        <v>6827</v>
      </c>
      <c r="J5943" s="78" t="s">
        <v>69</v>
      </c>
      <c r="K5943" s="58">
        <f t="shared" si="16"/>
        <v>1</v>
      </c>
      <c r="L5943" s="91" t="str">
        <f t="shared" si="8"/>
        <v>Wed</v>
      </c>
      <c r="M5943" s="78" t="str">
        <f>IFERROR(VLOOKUP(A5943, Entries!A:B,2,false),"")</f>
        <v>PlayWay</v>
      </c>
      <c r="N5943" s="23" t="str">
        <f>IFERROR(VLOOKUP(A5943, Entries!A:K,11,false),"")</f>
        <v/>
      </c>
    </row>
    <row r="5944">
      <c r="A5944" s="78" t="s">
        <v>2339</v>
      </c>
      <c r="B5944" s="78" t="s">
        <v>19</v>
      </c>
      <c r="C5944" s="85">
        <v>45420.0</v>
      </c>
      <c r="D5944" s="85">
        <v>45420.0</v>
      </c>
      <c r="E5944" s="86">
        <v>1.93</v>
      </c>
      <c r="F5944" s="87">
        <v>3.25</v>
      </c>
      <c r="G5944" s="88">
        <f t="shared" si="1"/>
        <v>1.32</v>
      </c>
      <c r="H5944" s="89">
        <f t="shared" si="15"/>
        <v>0.4061538462</v>
      </c>
      <c r="I5944" s="78" t="s">
        <v>6828</v>
      </c>
      <c r="J5944" s="78" t="s">
        <v>69</v>
      </c>
      <c r="K5944" s="58">
        <f t="shared" si="16"/>
        <v>0</v>
      </c>
      <c r="L5944" s="91" t="str">
        <f t="shared" si="8"/>
        <v>Wed</v>
      </c>
      <c r="M5944" s="78" t="str">
        <f>IFERROR(VLOOKUP(A5944, Entries!A:B,2,false),"")</f>
        <v>PlayWay</v>
      </c>
      <c r="N5944" s="23" t="str">
        <f>IFERROR(VLOOKUP(A5944, Entries!A:K,11,false),"")</f>
        <v/>
      </c>
    </row>
    <row r="5945">
      <c r="A5945" s="78" t="s">
        <v>2339</v>
      </c>
      <c r="B5945" s="78" t="s">
        <v>19</v>
      </c>
      <c r="C5945" s="85">
        <v>45420.0</v>
      </c>
      <c r="D5945" s="85">
        <v>45420.0</v>
      </c>
      <c r="E5945" s="86">
        <v>1.93</v>
      </c>
      <c r="F5945" s="87">
        <v>3.25</v>
      </c>
      <c r="G5945" s="88">
        <f t="shared" si="1"/>
        <v>1.32</v>
      </c>
      <c r="H5945" s="89">
        <f t="shared" si="15"/>
        <v>0.4061538462</v>
      </c>
      <c r="I5945" s="78" t="s">
        <v>6829</v>
      </c>
      <c r="J5945" s="78" t="s">
        <v>69</v>
      </c>
      <c r="K5945" s="58">
        <f t="shared" si="16"/>
        <v>0</v>
      </c>
      <c r="L5945" s="91" t="str">
        <f t="shared" si="8"/>
        <v>Wed</v>
      </c>
      <c r="M5945" s="78" t="str">
        <f>IFERROR(VLOOKUP(A5945, Entries!A:B,2,false),"")</f>
        <v>PlayWay</v>
      </c>
      <c r="N5945" s="23" t="str">
        <f>IFERROR(VLOOKUP(A5945, Entries!A:K,11,false),"")</f>
        <v/>
      </c>
    </row>
    <row r="5946">
      <c r="A5946" s="78" t="s">
        <v>2339</v>
      </c>
      <c r="B5946" s="78" t="s">
        <v>19</v>
      </c>
      <c r="C5946" s="85">
        <v>45420.0</v>
      </c>
      <c r="D5946" s="85">
        <v>45423.0</v>
      </c>
      <c r="E5946" s="86">
        <v>1.93</v>
      </c>
      <c r="F5946" s="87">
        <v>3.62</v>
      </c>
      <c r="G5946" s="88">
        <f t="shared" si="1"/>
        <v>1.69</v>
      </c>
      <c r="H5946" s="89">
        <f t="shared" si="15"/>
        <v>0.4668508287</v>
      </c>
      <c r="I5946" s="78" t="s">
        <v>6830</v>
      </c>
      <c r="J5946" s="78" t="s">
        <v>69</v>
      </c>
      <c r="K5946" s="58">
        <f t="shared" si="16"/>
        <v>3</v>
      </c>
      <c r="L5946" s="91" t="str">
        <f t="shared" si="8"/>
        <v>Sat</v>
      </c>
      <c r="M5946" s="78" t="str">
        <f>IFERROR(VLOOKUP(A5946, Entries!A:B,2,false),"")</f>
        <v>PlayWay</v>
      </c>
      <c r="N5946" s="23" t="str">
        <f>IFERROR(VLOOKUP(A5946, Entries!A:K,11,false),"")</f>
        <v/>
      </c>
    </row>
    <row r="5947">
      <c r="A5947" s="78" t="s">
        <v>5161</v>
      </c>
      <c r="B5947" s="78" t="s">
        <v>22</v>
      </c>
      <c r="C5947" s="85">
        <v>45422.0</v>
      </c>
      <c r="D5947" s="85">
        <v>45449.0</v>
      </c>
      <c r="E5947" s="86">
        <v>2.54</v>
      </c>
      <c r="F5947" s="87">
        <v>4.74</v>
      </c>
      <c r="G5947" s="88">
        <f t="shared" si="1"/>
        <v>2.2</v>
      </c>
      <c r="H5947" s="89">
        <f t="shared" si="15"/>
        <v>0.4641350211</v>
      </c>
      <c r="I5947" s="78" t="s">
        <v>6831</v>
      </c>
      <c r="J5947" s="78" t="s">
        <v>69</v>
      </c>
      <c r="K5947" s="58">
        <f t="shared" si="16"/>
        <v>27</v>
      </c>
      <c r="L5947" s="91" t="str">
        <f t="shared" si="8"/>
        <v>Thu</v>
      </c>
      <c r="M5947" s="78" t="str">
        <f>IFERROR(VLOOKUP(A5947, Entries!A:B,2,false),"")</f>
        <v>Daedalic Entertainment</v>
      </c>
      <c r="N5947" s="23" t="str">
        <f>IFERROR(VLOOKUP(A5947, Entries!A:K,11,false),"")</f>
        <v/>
      </c>
    </row>
    <row r="5948">
      <c r="A5948" s="78" t="s">
        <v>5161</v>
      </c>
      <c r="B5948" s="78" t="s">
        <v>22</v>
      </c>
      <c r="C5948" s="85">
        <v>45422.0</v>
      </c>
      <c r="D5948" s="85">
        <v>45452.0</v>
      </c>
      <c r="E5948" s="86">
        <v>2.55</v>
      </c>
      <c r="F5948" s="87">
        <v>4.74</v>
      </c>
      <c r="G5948" s="88">
        <f t="shared" si="1"/>
        <v>2.19</v>
      </c>
      <c r="H5948" s="89">
        <f t="shared" si="15"/>
        <v>0.4620253165</v>
      </c>
      <c r="I5948" s="78" t="s">
        <v>6832</v>
      </c>
      <c r="J5948" s="78" t="s">
        <v>69</v>
      </c>
      <c r="K5948" s="58">
        <f t="shared" si="16"/>
        <v>30</v>
      </c>
      <c r="L5948" s="91" t="str">
        <f t="shared" si="8"/>
        <v>Sun</v>
      </c>
      <c r="M5948" s="78" t="str">
        <f>IFERROR(VLOOKUP(A5948, Entries!A:B,2,false),"")</f>
        <v>Daedalic Entertainment</v>
      </c>
      <c r="N5948" s="23" t="str">
        <f>IFERROR(VLOOKUP(A5948, Entries!A:K,11,false),"")</f>
        <v/>
      </c>
    </row>
    <row r="5949">
      <c r="A5949" s="78" t="s">
        <v>2818</v>
      </c>
      <c r="B5949" s="78" t="s">
        <v>21</v>
      </c>
      <c r="C5949" s="85">
        <v>45422.0</v>
      </c>
      <c r="D5949" s="85">
        <v>45449.0</v>
      </c>
      <c r="E5949" s="86">
        <v>3.76</v>
      </c>
      <c r="F5949" s="87">
        <v>4.77</v>
      </c>
      <c r="G5949" s="88">
        <f t="shared" si="1"/>
        <v>1.01</v>
      </c>
      <c r="H5949" s="89">
        <f t="shared" si="15"/>
        <v>0.2117400419</v>
      </c>
      <c r="I5949" s="78" t="s">
        <v>6833</v>
      </c>
      <c r="J5949" s="78" t="s">
        <v>69</v>
      </c>
      <c r="K5949" s="58">
        <f t="shared" si="16"/>
        <v>27</v>
      </c>
      <c r="L5949" s="91" t="str">
        <f t="shared" si="8"/>
        <v>Thu</v>
      </c>
      <c r="M5949" s="78" t="str">
        <f>IFERROR(VLOOKUP(A5949, Entries!A:B,2,false),"")</f>
        <v>Daedalic Entertainment</v>
      </c>
      <c r="N5949" s="23" t="str">
        <f>IFERROR(VLOOKUP(A5949, Entries!A:K,11,false),"")</f>
        <v/>
      </c>
    </row>
    <row r="5950">
      <c r="A5950" s="78" t="s">
        <v>2818</v>
      </c>
      <c r="B5950" s="78" t="s">
        <v>21</v>
      </c>
      <c r="C5950" s="85">
        <v>45422.0</v>
      </c>
      <c r="D5950" s="85">
        <v>45449.0</v>
      </c>
      <c r="E5950" s="86">
        <v>3.76</v>
      </c>
      <c r="F5950" s="87">
        <v>4.77</v>
      </c>
      <c r="G5950" s="88">
        <f t="shared" si="1"/>
        <v>1.01</v>
      </c>
      <c r="H5950" s="89">
        <f t="shared" si="15"/>
        <v>0.2117400419</v>
      </c>
      <c r="I5950" s="78" t="s">
        <v>6834</v>
      </c>
      <c r="J5950" s="78" t="s">
        <v>69</v>
      </c>
      <c r="K5950" s="58">
        <f t="shared" si="16"/>
        <v>27</v>
      </c>
      <c r="L5950" s="91" t="str">
        <f t="shared" si="8"/>
        <v>Thu</v>
      </c>
      <c r="M5950" s="78" t="str">
        <f>IFERROR(VLOOKUP(A5950, Entries!A:B,2,false),"")</f>
        <v>Daedalic Entertainment</v>
      </c>
      <c r="N5950" s="23" t="str">
        <f>IFERROR(VLOOKUP(A5950, Entries!A:K,11,false),"")</f>
        <v/>
      </c>
    </row>
    <row r="5951">
      <c r="A5951" s="78" t="s">
        <v>4252</v>
      </c>
      <c r="B5951" s="78" t="s">
        <v>25</v>
      </c>
      <c r="C5951" s="85">
        <v>45422.0</v>
      </c>
      <c r="D5951" s="85">
        <v>45584.0</v>
      </c>
      <c r="E5951" s="86">
        <v>26.7</v>
      </c>
      <c r="F5951" s="87">
        <v>29.93</v>
      </c>
      <c r="G5951" s="88">
        <f t="shared" si="1"/>
        <v>3.23</v>
      </c>
      <c r="H5951" s="89">
        <f t="shared" si="15"/>
        <v>0.1079184764</v>
      </c>
      <c r="I5951" s="78" t="s">
        <v>6835</v>
      </c>
      <c r="J5951" s="78" t="s">
        <v>69</v>
      </c>
      <c r="K5951" s="58">
        <f t="shared" si="16"/>
        <v>162</v>
      </c>
      <c r="L5951" s="91" t="str">
        <f t="shared" si="8"/>
        <v>Sat</v>
      </c>
      <c r="M5951" s="78" t="str">
        <f>IFERROR(VLOOKUP(A5951, Entries!A:B,2,false),"")</f>
        <v>PlayStation</v>
      </c>
      <c r="N5951" s="23" t="str">
        <f>IFERROR(VLOOKUP(A5951, Entries!A:K,11,false),"")</f>
        <v/>
      </c>
    </row>
    <row r="5952">
      <c r="A5952" s="78" t="s">
        <v>1273</v>
      </c>
      <c r="B5952" s="78" t="s">
        <v>22</v>
      </c>
      <c r="C5952" s="85">
        <v>45422.0</v>
      </c>
      <c r="D5952" s="85">
        <v>45438.0</v>
      </c>
      <c r="E5952" s="86">
        <v>8.44</v>
      </c>
      <c r="F5952" s="87">
        <v>9.22</v>
      </c>
      <c r="G5952" s="88">
        <f t="shared" si="1"/>
        <v>0.78</v>
      </c>
      <c r="H5952" s="89">
        <f t="shared" si="15"/>
        <v>0.08459869848</v>
      </c>
      <c r="I5952" s="78" t="s">
        <v>6836</v>
      </c>
      <c r="J5952" s="78" t="s">
        <v>69</v>
      </c>
      <c r="K5952" s="58">
        <f t="shared" si="16"/>
        <v>16</v>
      </c>
      <c r="L5952" s="91" t="str">
        <f t="shared" si="8"/>
        <v>Sun</v>
      </c>
      <c r="M5952" s="78" t="str">
        <f>IFERROR(VLOOKUP(A5952, Entries!A:B,2,false),"")</f>
        <v>Konami</v>
      </c>
      <c r="N5952" s="23" t="str">
        <f>IFERROR(VLOOKUP(A5952, Entries!A:K,11,false),"")</f>
        <v/>
      </c>
    </row>
    <row r="5953">
      <c r="A5953" s="78" t="s">
        <v>4926</v>
      </c>
      <c r="B5953" s="78" t="s">
        <v>22</v>
      </c>
      <c r="C5953" s="85">
        <v>45422.0</v>
      </c>
      <c r="D5953" s="85">
        <v>45422.0</v>
      </c>
      <c r="E5953" s="86">
        <v>8.35</v>
      </c>
      <c r="F5953" s="87">
        <v>9.78</v>
      </c>
      <c r="G5953" s="88">
        <f t="shared" si="1"/>
        <v>1.43</v>
      </c>
      <c r="H5953" s="89">
        <f t="shared" si="15"/>
        <v>0.1462167689</v>
      </c>
      <c r="I5953" s="78" t="s">
        <v>6837</v>
      </c>
      <c r="J5953" s="78" t="s">
        <v>69</v>
      </c>
      <c r="K5953" s="58">
        <f t="shared" si="16"/>
        <v>0</v>
      </c>
      <c r="L5953" s="91" t="str">
        <f t="shared" si="8"/>
        <v>Fri</v>
      </c>
      <c r="M5953" s="78" t="str">
        <f>IFERROR(VLOOKUP(A5953, Entries!A:B,2,false),"")</f>
        <v>Bethesda Softworks</v>
      </c>
      <c r="N5953" s="23" t="str">
        <f>IFERROR(VLOOKUP(A5953, Entries!A:K,11,false),"")</f>
        <v/>
      </c>
    </row>
    <row r="5954">
      <c r="A5954" s="78" t="s">
        <v>4926</v>
      </c>
      <c r="B5954" s="78" t="s">
        <v>22</v>
      </c>
      <c r="C5954" s="85">
        <v>45422.0</v>
      </c>
      <c r="D5954" s="85">
        <v>45422.0</v>
      </c>
      <c r="E5954" s="86">
        <v>8.35</v>
      </c>
      <c r="F5954" s="87">
        <v>9.78</v>
      </c>
      <c r="G5954" s="88">
        <f t="shared" si="1"/>
        <v>1.43</v>
      </c>
      <c r="H5954" s="89">
        <f t="shared" si="15"/>
        <v>0.1462167689</v>
      </c>
      <c r="I5954" s="78" t="s">
        <v>6838</v>
      </c>
      <c r="J5954" s="78" t="s">
        <v>69</v>
      </c>
      <c r="K5954" s="58">
        <f t="shared" si="16"/>
        <v>0</v>
      </c>
      <c r="L5954" s="91" t="str">
        <f t="shared" si="8"/>
        <v>Fri</v>
      </c>
      <c r="M5954" s="78" t="str">
        <f>IFERROR(VLOOKUP(A5954, Entries!A:B,2,false),"")</f>
        <v>Bethesda Softworks</v>
      </c>
      <c r="N5954" s="23" t="str">
        <f>IFERROR(VLOOKUP(A5954, Entries!A:K,11,false),"")</f>
        <v/>
      </c>
    </row>
    <row r="5955">
      <c r="A5955" s="78" t="s">
        <v>4926</v>
      </c>
      <c r="B5955" s="78" t="s">
        <v>22</v>
      </c>
      <c r="C5955" s="85">
        <v>45422.0</v>
      </c>
      <c r="D5955" s="85">
        <v>45422.0</v>
      </c>
      <c r="E5955" s="86">
        <v>8.35</v>
      </c>
      <c r="F5955" s="87">
        <v>9.78</v>
      </c>
      <c r="G5955" s="88">
        <f t="shared" si="1"/>
        <v>1.43</v>
      </c>
      <c r="H5955" s="89">
        <f t="shared" si="15"/>
        <v>0.1462167689</v>
      </c>
      <c r="I5955" s="78" t="s">
        <v>6839</v>
      </c>
      <c r="J5955" s="78" t="s">
        <v>69</v>
      </c>
      <c r="K5955" s="58">
        <f t="shared" si="16"/>
        <v>0</v>
      </c>
      <c r="L5955" s="91" t="str">
        <f t="shared" si="8"/>
        <v>Fri</v>
      </c>
      <c r="M5955" s="78" t="str">
        <f>IFERROR(VLOOKUP(A5955, Entries!A:B,2,false),"")</f>
        <v>Bethesda Softworks</v>
      </c>
      <c r="N5955" s="23" t="str">
        <f>IFERROR(VLOOKUP(A5955, Entries!A:K,11,false),"")</f>
        <v/>
      </c>
    </row>
    <row r="5956">
      <c r="A5956" s="78" t="s">
        <v>4926</v>
      </c>
      <c r="B5956" s="78" t="s">
        <v>22</v>
      </c>
      <c r="C5956" s="85">
        <v>45422.0</v>
      </c>
      <c r="D5956" s="85">
        <v>45423.0</v>
      </c>
      <c r="E5956" s="86">
        <v>8.35</v>
      </c>
      <c r="F5956" s="87">
        <v>9.78</v>
      </c>
      <c r="G5956" s="88">
        <f t="shared" si="1"/>
        <v>1.43</v>
      </c>
      <c r="H5956" s="89">
        <f t="shared" si="15"/>
        <v>0.1462167689</v>
      </c>
      <c r="I5956" s="78" t="s">
        <v>6840</v>
      </c>
      <c r="J5956" s="78" t="s">
        <v>69</v>
      </c>
      <c r="K5956" s="58">
        <f t="shared" si="16"/>
        <v>1</v>
      </c>
      <c r="L5956" s="91" t="str">
        <f t="shared" si="8"/>
        <v>Sat</v>
      </c>
      <c r="M5956" s="78" t="str">
        <f>IFERROR(VLOOKUP(A5956, Entries!A:B,2,false),"")</f>
        <v>Bethesda Softworks</v>
      </c>
      <c r="N5956" s="23" t="str">
        <f>IFERROR(VLOOKUP(A5956, Entries!A:K,11,false),"")</f>
        <v/>
      </c>
    </row>
    <row r="5957">
      <c r="A5957" s="78" t="s">
        <v>4926</v>
      </c>
      <c r="B5957" s="78" t="s">
        <v>22</v>
      </c>
      <c r="C5957" s="85">
        <v>45422.0</v>
      </c>
      <c r="D5957" s="85">
        <v>45423.0</v>
      </c>
      <c r="E5957" s="86">
        <v>8.35</v>
      </c>
      <c r="F5957" s="87">
        <v>9.78</v>
      </c>
      <c r="G5957" s="88">
        <f t="shared" si="1"/>
        <v>1.43</v>
      </c>
      <c r="H5957" s="89">
        <f t="shared" si="15"/>
        <v>0.1462167689</v>
      </c>
      <c r="I5957" s="78" t="s">
        <v>6841</v>
      </c>
      <c r="J5957" s="78" t="s">
        <v>69</v>
      </c>
      <c r="K5957" s="58">
        <f t="shared" si="16"/>
        <v>1</v>
      </c>
      <c r="L5957" s="91" t="str">
        <f t="shared" si="8"/>
        <v>Sat</v>
      </c>
      <c r="M5957" s="78" t="str">
        <f>IFERROR(VLOOKUP(A5957, Entries!A:B,2,false),"")</f>
        <v>Bethesda Softworks</v>
      </c>
      <c r="N5957" s="23" t="str">
        <f>IFERROR(VLOOKUP(A5957, Entries!A:K,11,false),"")</f>
        <v/>
      </c>
    </row>
    <row r="5958">
      <c r="A5958" s="78" t="s">
        <v>4926</v>
      </c>
      <c r="B5958" s="78" t="s">
        <v>22</v>
      </c>
      <c r="C5958" s="85">
        <v>45422.0</v>
      </c>
      <c r="D5958" s="85">
        <v>45423.0</v>
      </c>
      <c r="E5958" s="86">
        <v>8.36</v>
      </c>
      <c r="F5958" s="87">
        <v>9.78</v>
      </c>
      <c r="G5958" s="88">
        <f t="shared" si="1"/>
        <v>1.42</v>
      </c>
      <c r="H5958" s="89">
        <f t="shared" si="15"/>
        <v>0.145194274</v>
      </c>
      <c r="I5958" s="78" t="s">
        <v>6842</v>
      </c>
      <c r="J5958" s="78" t="s">
        <v>69</v>
      </c>
      <c r="K5958" s="58">
        <f t="shared" si="16"/>
        <v>1</v>
      </c>
      <c r="L5958" s="91" t="str">
        <f t="shared" si="8"/>
        <v>Sat</v>
      </c>
      <c r="M5958" s="78" t="str">
        <f>IFERROR(VLOOKUP(A5958, Entries!A:B,2,false),"")</f>
        <v>Bethesda Softworks</v>
      </c>
      <c r="N5958" s="23" t="str">
        <f>IFERROR(VLOOKUP(A5958, Entries!A:K,11,false),"")</f>
        <v/>
      </c>
    </row>
    <row r="5959">
      <c r="A5959" s="78" t="s">
        <v>4926</v>
      </c>
      <c r="B5959" s="78" t="s">
        <v>22</v>
      </c>
      <c r="C5959" s="85">
        <v>45422.0</v>
      </c>
      <c r="D5959" s="85">
        <v>45423.0</v>
      </c>
      <c r="E5959" s="86">
        <v>8.36</v>
      </c>
      <c r="F5959" s="87">
        <v>9.78</v>
      </c>
      <c r="G5959" s="88">
        <f t="shared" si="1"/>
        <v>1.42</v>
      </c>
      <c r="H5959" s="89">
        <f t="shared" si="15"/>
        <v>0.145194274</v>
      </c>
      <c r="I5959" s="78" t="s">
        <v>6843</v>
      </c>
      <c r="J5959" s="78" t="s">
        <v>69</v>
      </c>
      <c r="K5959" s="58">
        <f t="shared" si="16"/>
        <v>1</v>
      </c>
      <c r="L5959" s="91" t="str">
        <f t="shared" si="8"/>
        <v>Sat</v>
      </c>
      <c r="M5959" s="78" t="str">
        <f>IFERROR(VLOOKUP(A5959, Entries!A:B,2,false),"")</f>
        <v>Bethesda Softworks</v>
      </c>
      <c r="N5959" s="23" t="str">
        <f>IFERROR(VLOOKUP(A5959, Entries!A:K,11,false),"")</f>
        <v/>
      </c>
    </row>
    <row r="5960">
      <c r="A5960" s="78" t="s">
        <v>4926</v>
      </c>
      <c r="B5960" s="78" t="s">
        <v>22</v>
      </c>
      <c r="C5960" s="85">
        <v>45422.0</v>
      </c>
      <c r="D5960" s="85">
        <v>45423.0</v>
      </c>
      <c r="E5960" s="86">
        <v>8.36</v>
      </c>
      <c r="F5960" s="87">
        <v>9.78</v>
      </c>
      <c r="G5960" s="88">
        <f t="shared" si="1"/>
        <v>1.42</v>
      </c>
      <c r="H5960" s="89">
        <f t="shared" si="15"/>
        <v>0.145194274</v>
      </c>
      <c r="I5960" s="78" t="s">
        <v>6844</v>
      </c>
      <c r="J5960" s="78" t="s">
        <v>69</v>
      </c>
      <c r="K5960" s="58">
        <f t="shared" si="16"/>
        <v>1</v>
      </c>
      <c r="L5960" s="91" t="str">
        <f t="shared" si="8"/>
        <v>Sat</v>
      </c>
      <c r="M5960" s="78" t="str">
        <f>IFERROR(VLOOKUP(A5960, Entries!A:B,2,false),"")</f>
        <v>Bethesda Softworks</v>
      </c>
      <c r="N5960" s="23" t="str">
        <f>IFERROR(VLOOKUP(A5960, Entries!A:K,11,false),"")</f>
        <v/>
      </c>
    </row>
    <row r="5961">
      <c r="A5961" s="78" t="s">
        <v>4926</v>
      </c>
      <c r="B5961" s="78" t="s">
        <v>22</v>
      </c>
      <c r="C5961" s="85">
        <v>45422.0</v>
      </c>
      <c r="D5961" s="85">
        <v>45423.0</v>
      </c>
      <c r="E5961" s="86">
        <v>8.36</v>
      </c>
      <c r="F5961" s="87">
        <v>9.78</v>
      </c>
      <c r="G5961" s="88">
        <f t="shared" si="1"/>
        <v>1.42</v>
      </c>
      <c r="H5961" s="89">
        <f t="shared" si="15"/>
        <v>0.145194274</v>
      </c>
      <c r="I5961" s="78" t="s">
        <v>6845</v>
      </c>
      <c r="J5961" s="78" t="s">
        <v>69</v>
      </c>
      <c r="K5961" s="58">
        <f t="shared" si="16"/>
        <v>1</v>
      </c>
      <c r="L5961" s="91" t="str">
        <f t="shared" si="8"/>
        <v>Sat</v>
      </c>
      <c r="M5961" s="78" t="str">
        <f>IFERROR(VLOOKUP(A5961, Entries!A:B,2,false),"")</f>
        <v>Bethesda Softworks</v>
      </c>
      <c r="N5961" s="23" t="str">
        <f>IFERROR(VLOOKUP(A5961, Entries!A:K,11,false),"")</f>
        <v/>
      </c>
    </row>
    <row r="5962">
      <c r="A5962" s="78" t="s">
        <v>4926</v>
      </c>
      <c r="B5962" s="78" t="s">
        <v>22</v>
      </c>
      <c r="C5962" s="85">
        <v>45422.0</v>
      </c>
      <c r="D5962" s="85">
        <v>45423.0</v>
      </c>
      <c r="E5962" s="86">
        <v>8.36</v>
      </c>
      <c r="F5962" s="87">
        <v>9.78</v>
      </c>
      <c r="G5962" s="88">
        <f t="shared" si="1"/>
        <v>1.42</v>
      </c>
      <c r="H5962" s="89">
        <f t="shared" si="15"/>
        <v>0.145194274</v>
      </c>
      <c r="I5962" s="78" t="s">
        <v>6846</v>
      </c>
      <c r="J5962" s="78" t="s">
        <v>69</v>
      </c>
      <c r="K5962" s="58">
        <f t="shared" si="16"/>
        <v>1</v>
      </c>
      <c r="L5962" s="91" t="str">
        <f t="shared" si="8"/>
        <v>Sat</v>
      </c>
      <c r="M5962" s="78" t="str">
        <f>IFERROR(VLOOKUP(A5962, Entries!A:B,2,false),"")</f>
        <v>Bethesda Softworks</v>
      </c>
      <c r="N5962" s="23" t="str">
        <f>IFERROR(VLOOKUP(A5962, Entries!A:K,11,false),"")</f>
        <v/>
      </c>
    </row>
    <row r="5963">
      <c r="A5963" s="78" t="s">
        <v>4926</v>
      </c>
      <c r="B5963" s="78" t="s">
        <v>22</v>
      </c>
      <c r="C5963" s="85">
        <v>45422.0</v>
      </c>
      <c r="D5963" s="85">
        <v>45423.0</v>
      </c>
      <c r="E5963" s="86">
        <v>8.35</v>
      </c>
      <c r="F5963" s="87">
        <v>9.78</v>
      </c>
      <c r="G5963" s="88">
        <f t="shared" si="1"/>
        <v>1.43</v>
      </c>
      <c r="H5963" s="89">
        <f t="shared" si="15"/>
        <v>0.1462167689</v>
      </c>
      <c r="I5963" s="78" t="s">
        <v>6847</v>
      </c>
      <c r="J5963" s="78" t="s">
        <v>69</v>
      </c>
      <c r="K5963" s="58">
        <f t="shared" si="16"/>
        <v>1</v>
      </c>
      <c r="L5963" s="91" t="str">
        <f t="shared" si="8"/>
        <v>Sat</v>
      </c>
      <c r="M5963" s="78" t="str">
        <f>IFERROR(VLOOKUP(A5963, Entries!A:B,2,false),"")</f>
        <v>Bethesda Softworks</v>
      </c>
      <c r="N5963" s="23" t="str">
        <f>IFERROR(VLOOKUP(A5963, Entries!A:K,11,false),"")</f>
        <v/>
      </c>
    </row>
    <row r="5964">
      <c r="A5964" s="78" t="s">
        <v>4926</v>
      </c>
      <c r="B5964" s="78" t="s">
        <v>22</v>
      </c>
      <c r="C5964" s="85">
        <v>45422.0</v>
      </c>
      <c r="D5964" s="85">
        <v>45423.0</v>
      </c>
      <c r="E5964" s="86">
        <v>8.35</v>
      </c>
      <c r="F5964" s="87">
        <v>9.78</v>
      </c>
      <c r="G5964" s="88">
        <f t="shared" si="1"/>
        <v>1.43</v>
      </c>
      <c r="H5964" s="89">
        <f t="shared" si="15"/>
        <v>0.1462167689</v>
      </c>
      <c r="I5964" s="78" t="s">
        <v>6848</v>
      </c>
      <c r="J5964" s="78" t="s">
        <v>69</v>
      </c>
      <c r="K5964" s="58">
        <f t="shared" si="16"/>
        <v>1</v>
      </c>
      <c r="L5964" s="91" t="str">
        <f t="shared" si="8"/>
        <v>Sat</v>
      </c>
      <c r="M5964" s="78" t="str">
        <f>IFERROR(VLOOKUP(A5964, Entries!A:B,2,false),"")</f>
        <v>Bethesda Softworks</v>
      </c>
      <c r="N5964" s="23" t="str">
        <f>IFERROR(VLOOKUP(A5964, Entries!A:K,11,false),"")</f>
        <v/>
      </c>
    </row>
    <row r="5965">
      <c r="A5965" s="78" t="s">
        <v>4926</v>
      </c>
      <c r="B5965" s="78" t="s">
        <v>22</v>
      </c>
      <c r="C5965" s="85">
        <v>45422.0</v>
      </c>
      <c r="D5965" s="85">
        <v>45423.0</v>
      </c>
      <c r="E5965" s="86">
        <v>8.35</v>
      </c>
      <c r="F5965" s="87">
        <v>9.78</v>
      </c>
      <c r="G5965" s="88">
        <f t="shared" si="1"/>
        <v>1.43</v>
      </c>
      <c r="H5965" s="89">
        <f t="shared" si="15"/>
        <v>0.1462167689</v>
      </c>
      <c r="I5965" s="78" t="s">
        <v>6849</v>
      </c>
      <c r="J5965" s="78" t="s">
        <v>69</v>
      </c>
      <c r="K5965" s="58">
        <f t="shared" si="16"/>
        <v>1</v>
      </c>
      <c r="L5965" s="91" t="str">
        <f t="shared" si="8"/>
        <v>Sat</v>
      </c>
      <c r="M5965" s="78" t="str">
        <f>IFERROR(VLOOKUP(A5965, Entries!A:B,2,false),"")</f>
        <v>Bethesda Softworks</v>
      </c>
      <c r="N5965" s="23" t="str">
        <f>IFERROR(VLOOKUP(A5965, Entries!A:K,11,false),"")</f>
        <v/>
      </c>
    </row>
    <row r="5966">
      <c r="A5966" s="78" t="s">
        <v>4926</v>
      </c>
      <c r="B5966" s="78" t="s">
        <v>22</v>
      </c>
      <c r="C5966" s="85">
        <v>45422.0</v>
      </c>
      <c r="D5966" s="85">
        <v>45423.0</v>
      </c>
      <c r="E5966" s="86">
        <v>8.35</v>
      </c>
      <c r="F5966" s="87">
        <v>9.78</v>
      </c>
      <c r="G5966" s="88">
        <f t="shared" si="1"/>
        <v>1.43</v>
      </c>
      <c r="H5966" s="89">
        <f t="shared" si="15"/>
        <v>0.1462167689</v>
      </c>
      <c r="I5966" s="78" t="s">
        <v>6850</v>
      </c>
      <c r="J5966" s="78" t="s">
        <v>69</v>
      </c>
      <c r="K5966" s="58">
        <f t="shared" si="16"/>
        <v>1</v>
      </c>
      <c r="L5966" s="91" t="str">
        <f t="shared" si="8"/>
        <v>Sat</v>
      </c>
      <c r="M5966" s="78" t="str">
        <f>IFERROR(VLOOKUP(A5966, Entries!A:B,2,false),"")</f>
        <v>Bethesda Softworks</v>
      </c>
      <c r="N5966" s="23" t="str">
        <f>IFERROR(VLOOKUP(A5966, Entries!A:K,11,false),"")</f>
        <v/>
      </c>
    </row>
    <row r="5967">
      <c r="A5967" s="78" t="s">
        <v>4926</v>
      </c>
      <c r="B5967" s="78" t="s">
        <v>22</v>
      </c>
      <c r="C5967" s="85">
        <v>45422.0</v>
      </c>
      <c r="D5967" s="85">
        <v>45424.0</v>
      </c>
      <c r="E5967" s="86">
        <v>8.35</v>
      </c>
      <c r="F5967" s="87">
        <v>9.88</v>
      </c>
      <c r="G5967" s="88">
        <f t="shared" si="1"/>
        <v>1.53</v>
      </c>
      <c r="H5967" s="89">
        <f t="shared" si="15"/>
        <v>0.1548582996</v>
      </c>
      <c r="I5967" s="78" t="s">
        <v>6851</v>
      </c>
      <c r="J5967" s="78" t="s">
        <v>69</v>
      </c>
      <c r="K5967" s="58">
        <f t="shared" si="16"/>
        <v>2</v>
      </c>
      <c r="L5967" s="91" t="str">
        <f t="shared" si="8"/>
        <v>Sun</v>
      </c>
      <c r="M5967" s="78" t="str">
        <f>IFERROR(VLOOKUP(A5967, Entries!A:B,2,false),"")</f>
        <v>Bethesda Softworks</v>
      </c>
      <c r="N5967" s="23" t="str">
        <f>IFERROR(VLOOKUP(A5967, Entries!A:K,11,false),"")</f>
        <v/>
      </c>
    </row>
    <row r="5968">
      <c r="A5968" s="78" t="s">
        <v>4926</v>
      </c>
      <c r="B5968" s="78" t="s">
        <v>22</v>
      </c>
      <c r="C5968" s="85">
        <v>45422.0</v>
      </c>
      <c r="D5968" s="85">
        <v>45424.0</v>
      </c>
      <c r="E5968" s="86">
        <v>8.36</v>
      </c>
      <c r="F5968" s="87">
        <v>9.88</v>
      </c>
      <c r="G5968" s="88">
        <f t="shared" si="1"/>
        <v>1.52</v>
      </c>
      <c r="H5968" s="89">
        <f t="shared" si="15"/>
        <v>0.1538461538</v>
      </c>
      <c r="I5968" s="78" t="s">
        <v>6852</v>
      </c>
      <c r="J5968" s="78" t="s">
        <v>69</v>
      </c>
      <c r="K5968" s="58">
        <f t="shared" si="16"/>
        <v>2</v>
      </c>
      <c r="L5968" s="91" t="str">
        <f t="shared" si="8"/>
        <v>Sun</v>
      </c>
      <c r="M5968" s="78" t="str">
        <f>IFERROR(VLOOKUP(A5968, Entries!A:B,2,false),"")</f>
        <v>Bethesda Softworks</v>
      </c>
      <c r="N5968" s="23" t="str">
        <f>IFERROR(VLOOKUP(A5968, Entries!A:K,11,false),"")</f>
        <v/>
      </c>
    </row>
    <row r="5969">
      <c r="A5969" s="78" t="s">
        <v>4926</v>
      </c>
      <c r="B5969" s="78" t="s">
        <v>22</v>
      </c>
      <c r="C5969" s="85">
        <v>45422.0</v>
      </c>
      <c r="D5969" s="85">
        <v>45424.0</v>
      </c>
      <c r="E5969" s="86">
        <v>8.36</v>
      </c>
      <c r="F5969" s="87">
        <v>9.88</v>
      </c>
      <c r="G5969" s="88">
        <f t="shared" si="1"/>
        <v>1.52</v>
      </c>
      <c r="H5969" s="89">
        <f t="shared" si="15"/>
        <v>0.1538461538</v>
      </c>
      <c r="I5969" s="78" t="s">
        <v>6853</v>
      </c>
      <c r="J5969" s="78" t="s">
        <v>69</v>
      </c>
      <c r="K5969" s="58">
        <f t="shared" si="16"/>
        <v>2</v>
      </c>
      <c r="L5969" s="91" t="str">
        <f t="shared" si="8"/>
        <v>Sun</v>
      </c>
      <c r="M5969" s="78" t="str">
        <f>IFERROR(VLOOKUP(A5969, Entries!A:B,2,false),"")</f>
        <v>Bethesda Softworks</v>
      </c>
      <c r="N5969" s="23" t="str">
        <f>IFERROR(VLOOKUP(A5969, Entries!A:K,11,false),"")</f>
        <v/>
      </c>
    </row>
    <row r="5970">
      <c r="A5970" s="78" t="s">
        <v>4926</v>
      </c>
      <c r="B5970" s="78" t="s">
        <v>22</v>
      </c>
      <c r="C5970" s="85">
        <v>45422.0</v>
      </c>
      <c r="D5970" s="85">
        <v>45424.0</v>
      </c>
      <c r="E5970" s="86">
        <v>8.36</v>
      </c>
      <c r="F5970" s="87">
        <v>9.88</v>
      </c>
      <c r="G5970" s="88">
        <f t="shared" si="1"/>
        <v>1.52</v>
      </c>
      <c r="H5970" s="89">
        <f t="shared" si="15"/>
        <v>0.1538461538</v>
      </c>
      <c r="I5970" s="78" t="s">
        <v>6854</v>
      </c>
      <c r="J5970" s="78" t="s">
        <v>69</v>
      </c>
      <c r="K5970" s="58">
        <f t="shared" si="16"/>
        <v>2</v>
      </c>
      <c r="L5970" s="91" t="str">
        <f t="shared" si="8"/>
        <v>Sun</v>
      </c>
      <c r="M5970" s="78" t="str">
        <f>IFERROR(VLOOKUP(A5970, Entries!A:B,2,false),"")</f>
        <v>Bethesda Softworks</v>
      </c>
      <c r="N5970" s="23" t="str">
        <f>IFERROR(VLOOKUP(A5970, Entries!A:K,11,false),"")</f>
        <v/>
      </c>
    </row>
    <row r="5971">
      <c r="A5971" s="78" t="s">
        <v>4926</v>
      </c>
      <c r="B5971" s="78" t="s">
        <v>22</v>
      </c>
      <c r="C5971" s="85">
        <v>45422.0</v>
      </c>
      <c r="D5971" s="85">
        <v>45424.0</v>
      </c>
      <c r="E5971" s="86">
        <v>8.36</v>
      </c>
      <c r="F5971" s="87">
        <v>9.53</v>
      </c>
      <c r="G5971" s="88">
        <f t="shared" si="1"/>
        <v>1.17</v>
      </c>
      <c r="H5971" s="89">
        <f t="shared" si="15"/>
        <v>0.1227701994</v>
      </c>
      <c r="I5971" s="78" t="s">
        <v>6855</v>
      </c>
      <c r="J5971" s="78" t="s">
        <v>69</v>
      </c>
      <c r="K5971" s="58">
        <f t="shared" si="16"/>
        <v>2</v>
      </c>
      <c r="L5971" s="91" t="str">
        <f t="shared" si="8"/>
        <v>Sun</v>
      </c>
      <c r="M5971" s="78" t="str">
        <f>IFERROR(VLOOKUP(A5971, Entries!A:B,2,false),"")</f>
        <v>Bethesda Softworks</v>
      </c>
      <c r="N5971" s="23" t="str">
        <f>IFERROR(VLOOKUP(A5971, Entries!A:K,11,false),"")</f>
        <v/>
      </c>
    </row>
    <row r="5972">
      <c r="A5972" s="78" t="s">
        <v>4926</v>
      </c>
      <c r="B5972" s="78" t="s">
        <v>22</v>
      </c>
      <c r="C5972" s="85">
        <v>45422.0</v>
      </c>
      <c r="D5972" s="85">
        <v>45424.0</v>
      </c>
      <c r="E5972" s="86">
        <v>8.36</v>
      </c>
      <c r="F5972" s="87">
        <v>9.53</v>
      </c>
      <c r="G5972" s="88">
        <f t="shared" si="1"/>
        <v>1.17</v>
      </c>
      <c r="H5972" s="89">
        <f t="shared" si="15"/>
        <v>0.1227701994</v>
      </c>
      <c r="I5972" s="78" t="s">
        <v>6856</v>
      </c>
      <c r="J5972" s="78" t="s">
        <v>69</v>
      </c>
      <c r="K5972" s="58">
        <f t="shared" si="16"/>
        <v>2</v>
      </c>
      <c r="L5972" s="91" t="str">
        <f t="shared" si="8"/>
        <v>Sun</v>
      </c>
      <c r="M5972" s="78" t="str">
        <f>IFERROR(VLOOKUP(A5972, Entries!A:B,2,false),"")</f>
        <v>Bethesda Softworks</v>
      </c>
      <c r="N5972" s="23" t="str">
        <f>IFERROR(VLOOKUP(A5972, Entries!A:K,11,false),"")</f>
        <v/>
      </c>
    </row>
    <row r="5973">
      <c r="A5973" s="78" t="s">
        <v>4926</v>
      </c>
      <c r="B5973" s="78" t="s">
        <v>22</v>
      </c>
      <c r="C5973" s="85">
        <v>45423.0</v>
      </c>
      <c r="D5973" s="85">
        <v>45424.0</v>
      </c>
      <c r="E5973" s="86">
        <v>8.3</v>
      </c>
      <c r="F5973" s="87">
        <v>9.53</v>
      </c>
      <c r="G5973" s="88">
        <f t="shared" si="1"/>
        <v>1.23</v>
      </c>
      <c r="H5973" s="89">
        <f t="shared" si="15"/>
        <v>0.129066107</v>
      </c>
      <c r="I5973" s="78" t="s">
        <v>6857</v>
      </c>
      <c r="J5973" s="78" t="s">
        <v>69</v>
      </c>
      <c r="K5973" s="58">
        <f t="shared" si="16"/>
        <v>1</v>
      </c>
      <c r="L5973" s="91" t="str">
        <f t="shared" si="8"/>
        <v>Sun</v>
      </c>
      <c r="M5973" s="78" t="str">
        <f>IFERROR(VLOOKUP(A5973, Entries!A:B,2,false),"")</f>
        <v>Bethesda Softworks</v>
      </c>
      <c r="N5973" s="23" t="str">
        <f>IFERROR(VLOOKUP(A5973, Entries!A:K,11,false),"")</f>
        <v/>
      </c>
    </row>
    <row r="5974">
      <c r="A5974" s="78" t="s">
        <v>4926</v>
      </c>
      <c r="B5974" s="78" t="s">
        <v>22</v>
      </c>
      <c r="C5974" s="85">
        <v>45423.0</v>
      </c>
      <c r="D5974" s="85">
        <v>45424.0</v>
      </c>
      <c r="E5974" s="86">
        <v>8.33</v>
      </c>
      <c r="F5974" s="87">
        <v>9.53</v>
      </c>
      <c r="G5974" s="88">
        <f t="shared" si="1"/>
        <v>1.2</v>
      </c>
      <c r="H5974" s="89">
        <f t="shared" si="15"/>
        <v>0.1259181532</v>
      </c>
      <c r="I5974" s="78" t="s">
        <v>6858</v>
      </c>
      <c r="J5974" s="78" t="s">
        <v>69</v>
      </c>
      <c r="K5974" s="58">
        <f t="shared" si="16"/>
        <v>1</v>
      </c>
      <c r="L5974" s="91" t="str">
        <f t="shared" si="8"/>
        <v>Sun</v>
      </c>
      <c r="M5974" s="78" t="str">
        <f>IFERROR(VLOOKUP(A5974, Entries!A:B,2,false),"")</f>
        <v>Bethesda Softworks</v>
      </c>
      <c r="N5974" s="23" t="str">
        <f>IFERROR(VLOOKUP(A5974, Entries!A:K,11,false),"")</f>
        <v/>
      </c>
    </row>
    <row r="5975">
      <c r="A5975" s="78" t="s">
        <v>4926</v>
      </c>
      <c r="B5975" s="78" t="s">
        <v>22</v>
      </c>
      <c r="C5975" s="85">
        <v>45423.0</v>
      </c>
      <c r="D5975" s="85">
        <v>45424.0</v>
      </c>
      <c r="E5975" s="86">
        <v>8.33</v>
      </c>
      <c r="F5975" s="87">
        <v>9.53</v>
      </c>
      <c r="G5975" s="88">
        <f t="shared" si="1"/>
        <v>1.2</v>
      </c>
      <c r="H5975" s="89">
        <f t="shared" si="15"/>
        <v>0.1259181532</v>
      </c>
      <c r="I5975" s="78" t="s">
        <v>6859</v>
      </c>
      <c r="J5975" s="78" t="s">
        <v>69</v>
      </c>
      <c r="K5975" s="58">
        <f t="shared" si="16"/>
        <v>1</v>
      </c>
      <c r="L5975" s="91" t="str">
        <f t="shared" si="8"/>
        <v>Sun</v>
      </c>
      <c r="M5975" s="78" t="str">
        <f>IFERROR(VLOOKUP(A5975, Entries!A:B,2,false),"")</f>
        <v>Bethesda Softworks</v>
      </c>
      <c r="N5975" s="23" t="str">
        <f>IFERROR(VLOOKUP(A5975, Entries!A:K,11,false),"")</f>
        <v/>
      </c>
    </row>
    <row r="5976">
      <c r="A5976" s="78" t="s">
        <v>4926</v>
      </c>
      <c r="B5976" s="78" t="s">
        <v>22</v>
      </c>
      <c r="C5976" s="85">
        <v>45423.0</v>
      </c>
      <c r="D5976" s="85">
        <v>45424.0</v>
      </c>
      <c r="E5976" s="86">
        <v>8.33</v>
      </c>
      <c r="F5976" s="87">
        <v>9.53</v>
      </c>
      <c r="G5976" s="88">
        <f t="shared" si="1"/>
        <v>1.2</v>
      </c>
      <c r="H5976" s="89">
        <f t="shared" si="15"/>
        <v>0.1259181532</v>
      </c>
      <c r="I5976" s="78" t="s">
        <v>6860</v>
      </c>
      <c r="J5976" s="78" t="s">
        <v>69</v>
      </c>
      <c r="K5976" s="58">
        <f t="shared" si="16"/>
        <v>1</v>
      </c>
      <c r="L5976" s="91" t="str">
        <f t="shared" si="8"/>
        <v>Sun</v>
      </c>
      <c r="M5976" s="78" t="str">
        <f>IFERROR(VLOOKUP(A5976, Entries!A:B,2,false),"")</f>
        <v>Bethesda Softworks</v>
      </c>
      <c r="N5976" s="23" t="str">
        <f>IFERROR(VLOOKUP(A5976, Entries!A:K,11,false),"")</f>
        <v/>
      </c>
    </row>
    <row r="5977">
      <c r="A5977" s="78" t="s">
        <v>4926</v>
      </c>
      <c r="B5977" s="78" t="s">
        <v>22</v>
      </c>
      <c r="C5977" s="85">
        <v>45423.0</v>
      </c>
      <c r="D5977" s="85">
        <v>45424.0</v>
      </c>
      <c r="E5977" s="86">
        <v>8.33</v>
      </c>
      <c r="F5977" s="87">
        <v>9.53</v>
      </c>
      <c r="G5977" s="88">
        <f t="shared" si="1"/>
        <v>1.2</v>
      </c>
      <c r="H5977" s="89">
        <f t="shared" si="15"/>
        <v>0.1259181532</v>
      </c>
      <c r="I5977" s="78" t="s">
        <v>6861</v>
      </c>
      <c r="J5977" s="78" t="s">
        <v>69</v>
      </c>
      <c r="K5977" s="58">
        <f t="shared" si="16"/>
        <v>1</v>
      </c>
      <c r="L5977" s="91" t="str">
        <f t="shared" si="8"/>
        <v>Sun</v>
      </c>
      <c r="M5977" s="78" t="str">
        <f>IFERROR(VLOOKUP(A5977, Entries!A:B,2,false),"")</f>
        <v>Bethesda Softworks</v>
      </c>
      <c r="N5977" s="23" t="str">
        <f>IFERROR(VLOOKUP(A5977, Entries!A:K,11,false),"")</f>
        <v/>
      </c>
    </row>
    <row r="5978">
      <c r="A5978" s="78" t="s">
        <v>4926</v>
      </c>
      <c r="B5978" s="78" t="s">
        <v>22</v>
      </c>
      <c r="C5978" s="85">
        <v>45423.0</v>
      </c>
      <c r="D5978" s="85">
        <v>45424.0</v>
      </c>
      <c r="E5978" s="86">
        <v>8.33</v>
      </c>
      <c r="F5978" s="87">
        <v>9.6</v>
      </c>
      <c r="G5978" s="88">
        <f t="shared" si="1"/>
        <v>1.27</v>
      </c>
      <c r="H5978" s="89">
        <f t="shared" si="15"/>
        <v>0.1322916667</v>
      </c>
      <c r="I5978" s="78" t="s">
        <v>6862</v>
      </c>
      <c r="J5978" s="78" t="s">
        <v>69</v>
      </c>
      <c r="K5978" s="58">
        <f t="shared" si="16"/>
        <v>1</v>
      </c>
      <c r="L5978" s="91" t="str">
        <f t="shared" si="8"/>
        <v>Sun</v>
      </c>
      <c r="M5978" s="78" t="str">
        <f>IFERROR(VLOOKUP(A5978, Entries!A:B,2,false),"")</f>
        <v>Bethesda Softworks</v>
      </c>
      <c r="N5978" s="23" t="str">
        <f>IFERROR(VLOOKUP(A5978, Entries!A:K,11,false),"")</f>
        <v/>
      </c>
    </row>
    <row r="5979">
      <c r="A5979" s="78" t="s">
        <v>4926</v>
      </c>
      <c r="B5979" s="78" t="s">
        <v>22</v>
      </c>
      <c r="C5979" s="85">
        <v>45423.0</v>
      </c>
      <c r="D5979" s="85">
        <v>45424.0</v>
      </c>
      <c r="E5979" s="86">
        <v>8.33</v>
      </c>
      <c r="F5979" s="87">
        <v>9.6</v>
      </c>
      <c r="G5979" s="88">
        <f t="shared" si="1"/>
        <v>1.27</v>
      </c>
      <c r="H5979" s="89">
        <f t="shared" si="15"/>
        <v>0.1322916667</v>
      </c>
      <c r="I5979" s="78" t="s">
        <v>6863</v>
      </c>
      <c r="J5979" s="78" t="s">
        <v>69</v>
      </c>
      <c r="K5979" s="58">
        <f t="shared" si="16"/>
        <v>1</v>
      </c>
      <c r="L5979" s="91" t="str">
        <f t="shared" si="8"/>
        <v>Sun</v>
      </c>
      <c r="M5979" s="78" t="str">
        <f>IFERROR(VLOOKUP(A5979, Entries!A:B,2,false),"")</f>
        <v>Bethesda Softworks</v>
      </c>
      <c r="N5979" s="23" t="str">
        <f>IFERROR(VLOOKUP(A5979, Entries!A:K,11,false),"")</f>
        <v/>
      </c>
    </row>
    <row r="5980">
      <c r="A5980" s="78" t="s">
        <v>4926</v>
      </c>
      <c r="B5980" s="78" t="s">
        <v>22</v>
      </c>
      <c r="C5980" s="85">
        <v>45423.0</v>
      </c>
      <c r="D5980" s="85">
        <v>45424.0</v>
      </c>
      <c r="E5980" s="86">
        <v>8.33</v>
      </c>
      <c r="F5980" s="87">
        <v>9.6</v>
      </c>
      <c r="G5980" s="88">
        <f t="shared" si="1"/>
        <v>1.27</v>
      </c>
      <c r="H5980" s="89">
        <f t="shared" si="15"/>
        <v>0.1322916667</v>
      </c>
      <c r="I5980" s="78" t="s">
        <v>6864</v>
      </c>
      <c r="J5980" s="78" t="s">
        <v>69</v>
      </c>
      <c r="K5980" s="58">
        <f t="shared" si="16"/>
        <v>1</v>
      </c>
      <c r="L5980" s="91" t="str">
        <f t="shared" si="8"/>
        <v>Sun</v>
      </c>
      <c r="M5980" s="78" t="str">
        <f>IFERROR(VLOOKUP(A5980, Entries!A:B,2,false),"")</f>
        <v>Bethesda Softworks</v>
      </c>
      <c r="N5980" s="23" t="str">
        <f>IFERROR(VLOOKUP(A5980, Entries!A:K,11,false),"")</f>
        <v/>
      </c>
    </row>
    <row r="5981">
      <c r="A5981" s="78" t="s">
        <v>4926</v>
      </c>
      <c r="B5981" s="78" t="s">
        <v>22</v>
      </c>
      <c r="C5981" s="85">
        <v>45423.0</v>
      </c>
      <c r="D5981" s="85">
        <v>45424.0</v>
      </c>
      <c r="E5981" s="86">
        <v>8.33</v>
      </c>
      <c r="F5981" s="87">
        <v>9.6</v>
      </c>
      <c r="G5981" s="88">
        <f t="shared" si="1"/>
        <v>1.27</v>
      </c>
      <c r="H5981" s="89">
        <f t="shared" si="15"/>
        <v>0.1322916667</v>
      </c>
      <c r="I5981" s="78" t="s">
        <v>6865</v>
      </c>
      <c r="J5981" s="78" t="s">
        <v>69</v>
      </c>
      <c r="K5981" s="58">
        <f t="shared" si="16"/>
        <v>1</v>
      </c>
      <c r="L5981" s="91" t="str">
        <f t="shared" si="8"/>
        <v>Sun</v>
      </c>
      <c r="M5981" s="78" t="str">
        <f>IFERROR(VLOOKUP(A5981, Entries!A:B,2,false),"")</f>
        <v>Bethesda Softworks</v>
      </c>
      <c r="N5981" s="23" t="str">
        <f>IFERROR(VLOOKUP(A5981, Entries!A:K,11,false),"")</f>
        <v/>
      </c>
    </row>
    <row r="5982">
      <c r="A5982" s="78" t="s">
        <v>4926</v>
      </c>
      <c r="B5982" s="78" t="s">
        <v>22</v>
      </c>
      <c r="C5982" s="85">
        <v>45423.0</v>
      </c>
      <c r="D5982" s="85">
        <v>45424.0</v>
      </c>
      <c r="E5982" s="86">
        <v>8.33</v>
      </c>
      <c r="F5982" s="87">
        <v>9.6</v>
      </c>
      <c r="G5982" s="88">
        <f t="shared" si="1"/>
        <v>1.27</v>
      </c>
      <c r="H5982" s="89">
        <f t="shared" si="15"/>
        <v>0.1322916667</v>
      </c>
      <c r="I5982" s="78" t="s">
        <v>6866</v>
      </c>
      <c r="J5982" s="78" t="s">
        <v>69</v>
      </c>
      <c r="K5982" s="58">
        <f t="shared" si="16"/>
        <v>1</v>
      </c>
      <c r="L5982" s="91" t="str">
        <f t="shared" si="8"/>
        <v>Sun</v>
      </c>
      <c r="M5982" s="78" t="str">
        <f>IFERROR(VLOOKUP(A5982, Entries!A:B,2,false),"")</f>
        <v>Bethesda Softworks</v>
      </c>
      <c r="N5982" s="23" t="str">
        <f>IFERROR(VLOOKUP(A5982, Entries!A:K,11,false),"")</f>
        <v/>
      </c>
    </row>
    <row r="5983">
      <c r="A5983" s="78" t="s">
        <v>5933</v>
      </c>
      <c r="B5983" s="78" t="s">
        <v>25</v>
      </c>
      <c r="C5983" s="85">
        <v>45423.0</v>
      </c>
      <c r="D5983" s="85">
        <v>45424.0</v>
      </c>
      <c r="E5983" s="86">
        <v>32.1</v>
      </c>
      <c r="F5983" s="87">
        <v>40.36</v>
      </c>
      <c r="G5983" s="88">
        <f t="shared" si="1"/>
        <v>8.26</v>
      </c>
      <c r="H5983" s="89">
        <f t="shared" si="15"/>
        <v>0.2046580773</v>
      </c>
      <c r="I5983" s="78" t="s">
        <v>6867</v>
      </c>
      <c r="J5983" s="78" t="s">
        <v>69</v>
      </c>
      <c r="K5983" s="58">
        <f t="shared" si="16"/>
        <v>1</v>
      </c>
      <c r="L5983" s="91" t="str">
        <f t="shared" si="8"/>
        <v>Sun</v>
      </c>
      <c r="M5983" s="78" t="str">
        <f>IFERROR(VLOOKUP(A5983, Entries!A:B,2,false),"")</f>
        <v>Pocketpair</v>
      </c>
      <c r="N5983" s="23" t="str">
        <f>IFERROR(VLOOKUP(A5983, Entries!A:K,11,false),"")</f>
        <v/>
      </c>
    </row>
    <row r="5984">
      <c r="A5984" s="78" t="s">
        <v>6006</v>
      </c>
      <c r="B5984" s="78" t="s">
        <v>19</v>
      </c>
      <c r="C5984" s="85">
        <v>45423.0</v>
      </c>
      <c r="D5984" s="85">
        <v>45423.0</v>
      </c>
      <c r="E5984" s="86">
        <v>36.7</v>
      </c>
      <c r="F5984" s="87">
        <v>41.96</v>
      </c>
      <c r="G5984" s="88">
        <f t="shared" si="1"/>
        <v>5.26</v>
      </c>
      <c r="H5984" s="89">
        <f t="shared" si="15"/>
        <v>0.1253574833</v>
      </c>
      <c r="I5984" s="78" t="s">
        <v>6868</v>
      </c>
      <c r="J5984" s="78" t="s">
        <v>69</v>
      </c>
      <c r="K5984" s="58">
        <f t="shared" si="16"/>
        <v>0</v>
      </c>
      <c r="L5984" s="91" t="str">
        <f t="shared" si="8"/>
        <v>Sat</v>
      </c>
      <c r="M5984" s="78" t="str">
        <f>IFERROR(VLOOKUP(A5984, Entries!A:B,2,false),"")</f>
        <v>Bethesda Softworks</v>
      </c>
      <c r="N5984" s="23" t="str">
        <f>IFERROR(VLOOKUP(A5984, Entries!A:K,11,false),"")</f>
        <v/>
      </c>
    </row>
    <row r="5985">
      <c r="A5985" s="78" t="s">
        <v>2339</v>
      </c>
      <c r="B5985" s="78" t="s">
        <v>19</v>
      </c>
      <c r="C5985" s="85">
        <v>45423.0</v>
      </c>
      <c r="D5985" s="85">
        <v>45423.0</v>
      </c>
      <c r="E5985" s="86">
        <v>1.83</v>
      </c>
      <c r="F5985" s="87">
        <v>3.87</v>
      </c>
      <c r="G5985" s="88">
        <f t="shared" si="1"/>
        <v>2.04</v>
      </c>
      <c r="H5985" s="89">
        <f t="shared" si="15"/>
        <v>0.5271317829</v>
      </c>
      <c r="I5985" s="78" t="s">
        <v>6869</v>
      </c>
      <c r="J5985" s="78" t="s">
        <v>69</v>
      </c>
      <c r="K5985" s="58">
        <f t="shared" si="16"/>
        <v>0</v>
      </c>
      <c r="L5985" s="91" t="str">
        <f t="shared" si="8"/>
        <v>Sat</v>
      </c>
      <c r="M5985" s="78" t="str">
        <f>IFERROR(VLOOKUP(A5985, Entries!A:B,2,false),"")</f>
        <v>PlayWay</v>
      </c>
      <c r="N5985" s="23" t="str">
        <f>IFERROR(VLOOKUP(A5985, Entries!A:K,11,false),"")</f>
        <v/>
      </c>
    </row>
    <row r="5986">
      <c r="A5986" s="78" t="s">
        <v>6730</v>
      </c>
      <c r="B5986" s="78" t="s">
        <v>19</v>
      </c>
      <c r="C5986" s="85">
        <v>45423.0</v>
      </c>
      <c r="D5986" s="85">
        <v>45440.0</v>
      </c>
      <c r="E5986" s="86">
        <v>0.0</v>
      </c>
      <c r="F5986" s="87">
        <v>0.17</v>
      </c>
      <c r="G5986" s="88">
        <f t="shared" si="1"/>
        <v>0.17</v>
      </c>
      <c r="H5986" s="89">
        <f t="shared" si="15"/>
        <v>1</v>
      </c>
      <c r="I5986" s="78" t="s">
        <v>6870</v>
      </c>
      <c r="J5986" s="78" t="s">
        <v>69</v>
      </c>
      <c r="K5986" s="58">
        <f t="shared" si="16"/>
        <v>17</v>
      </c>
      <c r="L5986" s="91" t="str">
        <f t="shared" si="8"/>
        <v>Tue</v>
      </c>
      <c r="M5986" s="78" t="str">
        <f>IFERROR(VLOOKUP(A5986, Entries!A:B,2,false),"")</f>
        <v/>
      </c>
      <c r="N5986" s="23" t="str">
        <f>IFERROR(VLOOKUP(A5986, Entries!A:K,11,false),"")</f>
        <v/>
      </c>
    </row>
    <row r="5987">
      <c r="A5987" s="78" t="s">
        <v>6871</v>
      </c>
      <c r="B5987" s="78" t="s">
        <v>23</v>
      </c>
      <c r="C5987" s="85">
        <v>45423.0</v>
      </c>
      <c r="D5987" s="85">
        <v>45425.0</v>
      </c>
      <c r="E5987" s="86">
        <v>19.36</v>
      </c>
      <c r="F5987" s="87">
        <v>22.13</v>
      </c>
      <c r="G5987" s="88">
        <f t="shared" si="1"/>
        <v>2.77</v>
      </c>
      <c r="H5987" s="89">
        <f t="shared" si="15"/>
        <v>0.1251694532</v>
      </c>
      <c r="I5987" s="78" t="s">
        <v>6872</v>
      </c>
      <c r="J5987" s="78" t="s">
        <v>69</v>
      </c>
      <c r="K5987" s="58">
        <f t="shared" si="16"/>
        <v>2</v>
      </c>
      <c r="L5987" s="91" t="str">
        <f t="shared" si="8"/>
        <v>Mon</v>
      </c>
      <c r="M5987" s="78" t="str">
        <f>IFERROR(VLOOKUP(A5987, Entries!A:B,2,false),"")</f>
        <v/>
      </c>
      <c r="N5987" s="23" t="str">
        <f>IFERROR(VLOOKUP(A5987, Entries!A:K,11,false),"")</f>
        <v/>
      </c>
    </row>
    <row r="5988">
      <c r="A5988" s="78" t="s">
        <v>6018</v>
      </c>
      <c r="B5988" s="78" t="s">
        <v>30</v>
      </c>
      <c r="C5988" s="85">
        <v>45423.0</v>
      </c>
      <c r="D5988" s="85">
        <v>45424.0</v>
      </c>
      <c r="E5988" s="86">
        <v>7.74</v>
      </c>
      <c r="F5988" s="87">
        <v>15.49</v>
      </c>
      <c r="G5988" s="88">
        <f t="shared" si="1"/>
        <v>7.75</v>
      </c>
      <c r="H5988" s="89">
        <f t="shared" si="15"/>
        <v>0.5003227889</v>
      </c>
      <c r="I5988" s="78" t="s">
        <v>6873</v>
      </c>
      <c r="J5988" s="78" t="s">
        <v>69</v>
      </c>
      <c r="K5988" s="58">
        <f t="shared" si="16"/>
        <v>1</v>
      </c>
      <c r="L5988" s="91" t="str">
        <f t="shared" si="8"/>
        <v>Sun</v>
      </c>
      <c r="M5988" s="78" t="str">
        <f>IFERROR(VLOOKUP(A5988, Entries!A:B,2,false),"")</f>
        <v>Square Enix</v>
      </c>
      <c r="N5988" s="23" t="str">
        <f>IFERROR(VLOOKUP(A5988, Entries!A:K,11,false),"")</f>
        <v/>
      </c>
    </row>
    <row r="5989">
      <c r="A5989" s="78" t="s">
        <v>6006</v>
      </c>
      <c r="B5989" s="78" t="s">
        <v>19</v>
      </c>
      <c r="C5989" s="85">
        <v>45423.0</v>
      </c>
      <c r="D5989" s="85">
        <v>45424.0</v>
      </c>
      <c r="E5989" s="86">
        <v>36.7</v>
      </c>
      <c r="F5989" s="87">
        <v>41.99</v>
      </c>
      <c r="G5989" s="88">
        <f t="shared" si="1"/>
        <v>5.29</v>
      </c>
      <c r="H5989" s="89">
        <f t="shared" si="15"/>
        <v>0.1259823768</v>
      </c>
      <c r="I5989" s="78" t="s">
        <v>6874</v>
      </c>
      <c r="J5989" s="78" t="s">
        <v>69</v>
      </c>
      <c r="K5989" s="58">
        <f t="shared" si="16"/>
        <v>1</v>
      </c>
      <c r="L5989" s="91" t="str">
        <f t="shared" si="8"/>
        <v>Sun</v>
      </c>
      <c r="M5989" s="78" t="str">
        <f>IFERROR(VLOOKUP(A5989, Entries!A:B,2,false),"")</f>
        <v>Bethesda Softworks</v>
      </c>
      <c r="N5989" s="23" t="str">
        <f>IFERROR(VLOOKUP(A5989, Entries!A:K,11,false),"")</f>
        <v/>
      </c>
    </row>
    <row r="5990">
      <c r="A5990" s="78" t="s">
        <v>2339</v>
      </c>
      <c r="B5990" s="78" t="s">
        <v>19</v>
      </c>
      <c r="C5990" s="85">
        <v>45423.0</v>
      </c>
      <c r="D5990" s="85">
        <v>45424.0</v>
      </c>
      <c r="E5990" s="86">
        <v>1.83</v>
      </c>
      <c r="F5990" s="87">
        <v>3.87</v>
      </c>
      <c r="G5990" s="88">
        <f t="shared" si="1"/>
        <v>2.04</v>
      </c>
      <c r="H5990" s="89">
        <f t="shared" si="15"/>
        <v>0.5271317829</v>
      </c>
      <c r="I5990" s="78" t="s">
        <v>6875</v>
      </c>
      <c r="J5990" s="78" t="s">
        <v>69</v>
      </c>
      <c r="K5990" s="58">
        <f t="shared" si="16"/>
        <v>1</v>
      </c>
      <c r="L5990" s="91" t="str">
        <f t="shared" si="8"/>
        <v>Sun</v>
      </c>
      <c r="M5990" s="78" t="str">
        <f>IFERROR(VLOOKUP(A5990, Entries!A:B,2,false),"")</f>
        <v>PlayWay</v>
      </c>
      <c r="N5990" s="23" t="str">
        <f>IFERROR(VLOOKUP(A5990, Entries!A:K,11,false),"")</f>
        <v/>
      </c>
    </row>
    <row r="5991">
      <c r="A5991" s="78" t="s">
        <v>4926</v>
      </c>
      <c r="B5991" s="78" t="s">
        <v>22</v>
      </c>
      <c r="C5991" s="85">
        <v>45424.0</v>
      </c>
      <c r="D5991" s="85">
        <v>45424.0</v>
      </c>
      <c r="E5991" s="86">
        <v>8.3</v>
      </c>
      <c r="F5991" s="87">
        <v>9.6</v>
      </c>
      <c r="G5991" s="88">
        <f t="shared" si="1"/>
        <v>1.3</v>
      </c>
      <c r="H5991" s="89">
        <f t="shared" si="15"/>
        <v>0.1354166667</v>
      </c>
      <c r="I5991" s="78" t="s">
        <v>6876</v>
      </c>
      <c r="J5991" s="78" t="s">
        <v>69</v>
      </c>
      <c r="K5991" s="58">
        <f t="shared" si="16"/>
        <v>0</v>
      </c>
      <c r="L5991" s="91" t="str">
        <f t="shared" si="8"/>
        <v>Sun</v>
      </c>
      <c r="M5991" s="78" t="str">
        <f>IFERROR(VLOOKUP(A5991, Entries!A:B,2,false),"")</f>
        <v>Bethesda Softworks</v>
      </c>
      <c r="N5991" s="23" t="str">
        <f>IFERROR(VLOOKUP(A5991, Entries!A:K,11,false),"")</f>
        <v/>
      </c>
    </row>
    <row r="5992">
      <c r="A5992" s="78" t="s">
        <v>4926</v>
      </c>
      <c r="B5992" s="78" t="s">
        <v>22</v>
      </c>
      <c r="C5992" s="85">
        <v>45424.0</v>
      </c>
      <c r="D5992" s="85">
        <v>45424.0</v>
      </c>
      <c r="E5992" s="86">
        <v>8.33</v>
      </c>
      <c r="F5992" s="87">
        <v>9.6</v>
      </c>
      <c r="G5992" s="88">
        <f t="shared" si="1"/>
        <v>1.27</v>
      </c>
      <c r="H5992" s="89">
        <f t="shared" si="15"/>
        <v>0.1322916667</v>
      </c>
      <c r="I5992" s="78" t="s">
        <v>6877</v>
      </c>
      <c r="J5992" s="78" t="s">
        <v>69</v>
      </c>
      <c r="K5992" s="58">
        <f t="shared" si="16"/>
        <v>0</v>
      </c>
      <c r="L5992" s="91" t="str">
        <f t="shared" si="8"/>
        <v>Sun</v>
      </c>
      <c r="M5992" s="78" t="str">
        <f>IFERROR(VLOOKUP(A5992, Entries!A:B,2,false),"")</f>
        <v>Bethesda Softworks</v>
      </c>
      <c r="N5992" s="23" t="str">
        <f>IFERROR(VLOOKUP(A5992, Entries!A:K,11,false),"")</f>
        <v/>
      </c>
    </row>
    <row r="5993">
      <c r="A5993" s="78" t="s">
        <v>4926</v>
      </c>
      <c r="B5993" s="78" t="s">
        <v>22</v>
      </c>
      <c r="C5993" s="85">
        <v>45424.0</v>
      </c>
      <c r="D5993" s="85">
        <v>45424.0</v>
      </c>
      <c r="E5993" s="86">
        <v>8.33</v>
      </c>
      <c r="F5993" s="87">
        <v>9.55</v>
      </c>
      <c r="G5993" s="88">
        <f t="shared" si="1"/>
        <v>1.22</v>
      </c>
      <c r="H5993" s="89">
        <f t="shared" si="15"/>
        <v>0.1277486911</v>
      </c>
      <c r="I5993" s="78" t="s">
        <v>6878</v>
      </c>
      <c r="J5993" s="78" t="s">
        <v>69</v>
      </c>
      <c r="K5993" s="58">
        <f t="shared" si="16"/>
        <v>0</v>
      </c>
      <c r="L5993" s="91" t="str">
        <f t="shared" si="8"/>
        <v>Sun</v>
      </c>
      <c r="M5993" s="78" t="str">
        <f>IFERROR(VLOOKUP(A5993, Entries!A:B,2,false),"")</f>
        <v>Bethesda Softworks</v>
      </c>
      <c r="N5993" s="23" t="str">
        <f>IFERROR(VLOOKUP(A5993, Entries!A:K,11,false),"")</f>
        <v/>
      </c>
    </row>
    <row r="5994">
      <c r="A5994" s="78" t="s">
        <v>4926</v>
      </c>
      <c r="B5994" s="78" t="s">
        <v>22</v>
      </c>
      <c r="C5994" s="85">
        <v>45424.0</v>
      </c>
      <c r="D5994" s="85">
        <v>45424.0</v>
      </c>
      <c r="E5994" s="86">
        <v>8.33</v>
      </c>
      <c r="F5994" s="87">
        <v>9.55</v>
      </c>
      <c r="G5994" s="88">
        <f t="shared" si="1"/>
        <v>1.22</v>
      </c>
      <c r="H5994" s="89">
        <f t="shared" si="15"/>
        <v>0.1277486911</v>
      </c>
      <c r="I5994" s="78" t="s">
        <v>6879</v>
      </c>
      <c r="J5994" s="78" t="s">
        <v>69</v>
      </c>
      <c r="K5994" s="58">
        <f t="shared" si="16"/>
        <v>0</v>
      </c>
      <c r="L5994" s="91" t="str">
        <f t="shared" si="8"/>
        <v>Sun</v>
      </c>
      <c r="M5994" s="78" t="str">
        <f>IFERROR(VLOOKUP(A5994, Entries!A:B,2,false),"")</f>
        <v>Bethesda Softworks</v>
      </c>
      <c r="N5994" s="23" t="str">
        <f>IFERROR(VLOOKUP(A5994, Entries!A:K,11,false),"")</f>
        <v/>
      </c>
    </row>
    <row r="5995">
      <c r="A5995" s="78" t="s">
        <v>4926</v>
      </c>
      <c r="B5995" s="78" t="s">
        <v>22</v>
      </c>
      <c r="C5995" s="85">
        <v>45424.0</v>
      </c>
      <c r="D5995" s="85">
        <v>45424.0</v>
      </c>
      <c r="E5995" s="86">
        <v>8.33</v>
      </c>
      <c r="F5995" s="87">
        <v>9.55</v>
      </c>
      <c r="G5995" s="88">
        <f t="shared" si="1"/>
        <v>1.22</v>
      </c>
      <c r="H5995" s="89">
        <f t="shared" si="15"/>
        <v>0.1277486911</v>
      </c>
      <c r="I5995" s="78" t="s">
        <v>6880</v>
      </c>
      <c r="J5995" s="78" t="s">
        <v>69</v>
      </c>
      <c r="K5995" s="58">
        <f t="shared" si="16"/>
        <v>0</v>
      </c>
      <c r="L5995" s="91" t="str">
        <f t="shared" si="8"/>
        <v>Sun</v>
      </c>
      <c r="M5995" s="78" t="str">
        <f>IFERROR(VLOOKUP(A5995, Entries!A:B,2,false),"")</f>
        <v>Bethesda Softworks</v>
      </c>
      <c r="N5995" s="23" t="str">
        <f>IFERROR(VLOOKUP(A5995, Entries!A:K,11,false),"")</f>
        <v/>
      </c>
    </row>
    <row r="5996">
      <c r="A5996" s="78" t="s">
        <v>4926</v>
      </c>
      <c r="B5996" s="78" t="s">
        <v>22</v>
      </c>
      <c r="C5996" s="85">
        <v>45424.0</v>
      </c>
      <c r="D5996" s="85">
        <v>45424.0</v>
      </c>
      <c r="E5996" s="86">
        <v>8.33</v>
      </c>
      <c r="F5996" s="87">
        <v>9.53</v>
      </c>
      <c r="G5996" s="88">
        <f t="shared" si="1"/>
        <v>1.2</v>
      </c>
      <c r="H5996" s="89">
        <f t="shared" si="15"/>
        <v>0.1259181532</v>
      </c>
      <c r="I5996" s="78" t="s">
        <v>6881</v>
      </c>
      <c r="J5996" s="78" t="s">
        <v>69</v>
      </c>
      <c r="K5996" s="58">
        <f t="shared" si="16"/>
        <v>0</v>
      </c>
      <c r="L5996" s="91" t="str">
        <f t="shared" si="8"/>
        <v>Sun</v>
      </c>
      <c r="M5996" s="78" t="str">
        <f>IFERROR(VLOOKUP(A5996, Entries!A:B,2,false),"")</f>
        <v>Bethesda Softworks</v>
      </c>
      <c r="N5996" s="23" t="str">
        <f>IFERROR(VLOOKUP(A5996, Entries!A:K,11,false),"")</f>
        <v/>
      </c>
    </row>
    <row r="5997">
      <c r="A5997" s="78" t="s">
        <v>4926</v>
      </c>
      <c r="B5997" s="78" t="s">
        <v>22</v>
      </c>
      <c r="C5997" s="85">
        <v>45424.0</v>
      </c>
      <c r="D5997" s="85">
        <v>45424.0</v>
      </c>
      <c r="E5997" s="86">
        <v>8.33</v>
      </c>
      <c r="F5997" s="87">
        <v>9.53</v>
      </c>
      <c r="G5997" s="88">
        <f t="shared" si="1"/>
        <v>1.2</v>
      </c>
      <c r="H5997" s="89">
        <f t="shared" si="15"/>
        <v>0.1259181532</v>
      </c>
      <c r="I5997" s="78" t="s">
        <v>6882</v>
      </c>
      <c r="J5997" s="78" t="s">
        <v>69</v>
      </c>
      <c r="K5997" s="58">
        <f t="shared" si="16"/>
        <v>0</v>
      </c>
      <c r="L5997" s="91" t="str">
        <f t="shared" si="8"/>
        <v>Sun</v>
      </c>
      <c r="M5997" s="78" t="str">
        <f>IFERROR(VLOOKUP(A5997, Entries!A:B,2,false),"")</f>
        <v>Bethesda Softworks</v>
      </c>
      <c r="N5997" s="23" t="str">
        <f>IFERROR(VLOOKUP(A5997, Entries!A:K,11,false),"")</f>
        <v/>
      </c>
    </row>
    <row r="5998">
      <c r="A5998" s="78" t="s">
        <v>4926</v>
      </c>
      <c r="B5998" s="78" t="s">
        <v>22</v>
      </c>
      <c r="C5998" s="85">
        <v>45424.0</v>
      </c>
      <c r="D5998" s="85">
        <v>45424.0</v>
      </c>
      <c r="E5998" s="86">
        <v>8.33</v>
      </c>
      <c r="F5998" s="87">
        <v>9.53</v>
      </c>
      <c r="G5998" s="88">
        <f t="shared" si="1"/>
        <v>1.2</v>
      </c>
      <c r="H5998" s="89">
        <f t="shared" si="15"/>
        <v>0.1259181532</v>
      </c>
      <c r="I5998" s="78" t="s">
        <v>6883</v>
      </c>
      <c r="J5998" s="78" t="s">
        <v>69</v>
      </c>
      <c r="K5998" s="58">
        <f t="shared" si="16"/>
        <v>0</v>
      </c>
      <c r="L5998" s="91" t="str">
        <f t="shared" si="8"/>
        <v>Sun</v>
      </c>
      <c r="M5998" s="78" t="str">
        <f>IFERROR(VLOOKUP(A5998, Entries!A:B,2,false),"")</f>
        <v>Bethesda Softworks</v>
      </c>
      <c r="N5998" s="23" t="str">
        <f>IFERROR(VLOOKUP(A5998, Entries!A:K,11,false),"")</f>
        <v/>
      </c>
    </row>
    <row r="5999">
      <c r="A5999" s="78" t="s">
        <v>4926</v>
      </c>
      <c r="B5999" s="78" t="s">
        <v>22</v>
      </c>
      <c r="C5999" s="85">
        <v>45424.0</v>
      </c>
      <c r="D5999" s="85">
        <v>45424.0</v>
      </c>
      <c r="E5999" s="86">
        <v>8.33</v>
      </c>
      <c r="F5999" s="87">
        <v>9.53</v>
      </c>
      <c r="G5999" s="88">
        <f t="shared" si="1"/>
        <v>1.2</v>
      </c>
      <c r="H5999" s="89">
        <f t="shared" si="15"/>
        <v>0.1259181532</v>
      </c>
      <c r="I5999" s="78" t="s">
        <v>6884</v>
      </c>
      <c r="J5999" s="78" t="s">
        <v>69</v>
      </c>
      <c r="K5999" s="58">
        <f t="shared" si="16"/>
        <v>0</v>
      </c>
      <c r="L5999" s="91" t="str">
        <f t="shared" si="8"/>
        <v>Sun</v>
      </c>
      <c r="M5999" s="78" t="str">
        <f>IFERROR(VLOOKUP(A5999, Entries!A:B,2,false),"")</f>
        <v>Bethesda Softworks</v>
      </c>
      <c r="N5999" s="23" t="str">
        <f>IFERROR(VLOOKUP(A5999, Entries!A:K,11,false),"")</f>
        <v/>
      </c>
    </row>
    <row r="6000">
      <c r="A6000" s="78" t="s">
        <v>4926</v>
      </c>
      <c r="B6000" s="78" t="s">
        <v>22</v>
      </c>
      <c r="C6000" s="85">
        <v>45424.0</v>
      </c>
      <c r="D6000" s="85">
        <v>45424.0</v>
      </c>
      <c r="E6000" s="86">
        <v>8.33</v>
      </c>
      <c r="F6000" s="87">
        <v>9.56</v>
      </c>
      <c r="G6000" s="88">
        <f t="shared" si="1"/>
        <v>1.23</v>
      </c>
      <c r="H6000" s="89">
        <f t="shared" si="15"/>
        <v>0.1286610879</v>
      </c>
      <c r="I6000" s="78" t="s">
        <v>6885</v>
      </c>
      <c r="J6000" s="78" t="s">
        <v>69</v>
      </c>
      <c r="K6000" s="58">
        <f t="shared" si="16"/>
        <v>0</v>
      </c>
      <c r="L6000" s="91" t="str">
        <f t="shared" si="8"/>
        <v>Sun</v>
      </c>
      <c r="M6000" s="78" t="str">
        <f>IFERROR(VLOOKUP(A6000, Entries!A:B,2,false),"")</f>
        <v>Bethesda Softworks</v>
      </c>
      <c r="N6000" s="23" t="str">
        <f>IFERROR(VLOOKUP(A6000, Entries!A:K,11,false),"")</f>
        <v/>
      </c>
    </row>
    <row r="6001">
      <c r="A6001" s="78" t="s">
        <v>4926</v>
      </c>
      <c r="B6001" s="78" t="s">
        <v>22</v>
      </c>
      <c r="C6001" s="85">
        <v>45424.0</v>
      </c>
      <c r="D6001" s="85">
        <v>45424.0</v>
      </c>
      <c r="E6001" s="86">
        <v>8.3</v>
      </c>
      <c r="F6001" s="87">
        <v>9.56</v>
      </c>
      <c r="G6001" s="88">
        <f t="shared" si="1"/>
        <v>1.26</v>
      </c>
      <c r="H6001" s="89">
        <f t="shared" si="15"/>
        <v>0.1317991632</v>
      </c>
      <c r="I6001" s="78" t="s">
        <v>6886</v>
      </c>
      <c r="J6001" s="78" t="s">
        <v>69</v>
      </c>
      <c r="K6001" s="58">
        <f t="shared" si="16"/>
        <v>0</v>
      </c>
      <c r="L6001" s="91" t="str">
        <f t="shared" si="8"/>
        <v>Sun</v>
      </c>
      <c r="M6001" s="78" t="str">
        <f>IFERROR(VLOOKUP(A6001, Entries!A:B,2,false),"")</f>
        <v>Bethesda Softworks</v>
      </c>
      <c r="N6001" s="23" t="str">
        <f>IFERROR(VLOOKUP(A6001, Entries!A:K,11,false),"")</f>
        <v/>
      </c>
    </row>
    <row r="6002">
      <c r="A6002" s="78" t="s">
        <v>4926</v>
      </c>
      <c r="B6002" s="78" t="s">
        <v>22</v>
      </c>
      <c r="C6002" s="85">
        <v>45424.0</v>
      </c>
      <c r="D6002" s="85">
        <v>45424.0</v>
      </c>
      <c r="E6002" s="86">
        <v>8.33</v>
      </c>
      <c r="F6002" s="87">
        <v>9.56</v>
      </c>
      <c r="G6002" s="88">
        <f t="shared" si="1"/>
        <v>1.23</v>
      </c>
      <c r="H6002" s="89">
        <f t="shared" si="15"/>
        <v>0.1286610879</v>
      </c>
      <c r="I6002" s="78" t="s">
        <v>6887</v>
      </c>
      <c r="J6002" s="78" t="s">
        <v>69</v>
      </c>
      <c r="K6002" s="58">
        <f t="shared" si="16"/>
        <v>0</v>
      </c>
      <c r="L6002" s="91" t="str">
        <f t="shared" si="8"/>
        <v>Sun</v>
      </c>
      <c r="M6002" s="78" t="str">
        <f>IFERROR(VLOOKUP(A6002, Entries!A:B,2,false),"")</f>
        <v>Bethesda Softworks</v>
      </c>
      <c r="N6002" s="23" t="str">
        <f>IFERROR(VLOOKUP(A6002, Entries!A:K,11,false),"")</f>
        <v/>
      </c>
    </row>
    <row r="6003">
      <c r="A6003" s="78" t="s">
        <v>4926</v>
      </c>
      <c r="B6003" s="78" t="s">
        <v>22</v>
      </c>
      <c r="C6003" s="85">
        <v>45424.0</v>
      </c>
      <c r="D6003" s="85">
        <v>45424.0</v>
      </c>
      <c r="E6003" s="86">
        <v>8.33</v>
      </c>
      <c r="F6003" s="87">
        <v>9.56</v>
      </c>
      <c r="G6003" s="88">
        <f t="shared" si="1"/>
        <v>1.23</v>
      </c>
      <c r="H6003" s="89">
        <f t="shared" si="15"/>
        <v>0.1286610879</v>
      </c>
      <c r="I6003" s="78" t="s">
        <v>6888</v>
      </c>
      <c r="J6003" s="78" t="s">
        <v>69</v>
      </c>
      <c r="K6003" s="58">
        <f t="shared" si="16"/>
        <v>0</v>
      </c>
      <c r="L6003" s="91" t="str">
        <f t="shared" si="8"/>
        <v>Sun</v>
      </c>
      <c r="M6003" s="78" t="str">
        <f>IFERROR(VLOOKUP(A6003, Entries!A:B,2,false),"")</f>
        <v>Bethesda Softworks</v>
      </c>
      <c r="N6003" s="23" t="str">
        <f>IFERROR(VLOOKUP(A6003, Entries!A:K,11,false),"")</f>
        <v/>
      </c>
    </row>
    <row r="6004">
      <c r="A6004" s="78" t="s">
        <v>4926</v>
      </c>
      <c r="B6004" s="78" t="s">
        <v>22</v>
      </c>
      <c r="C6004" s="85">
        <v>45424.0</v>
      </c>
      <c r="D6004" s="85">
        <v>45424.0</v>
      </c>
      <c r="E6004" s="86">
        <v>8.33</v>
      </c>
      <c r="F6004" s="87">
        <v>9.56</v>
      </c>
      <c r="G6004" s="88">
        <f t="shared" si="1"/>
        <v>1.23</v>
      </c>
      <c r="H6004" s="89">
        <f t="shared" si="15"/>
        <v>0.1286610879</v>
      </c>
      <c r="I6004" s="78" t="s">
        <v>6889</v>
      </c>
      <c r="J6004" s="78" t="s">
        <v>69</v>
      </c>
      <c r="K6004" s="58">
        <f t="shared" si="16"/>
        <v>0</v>
      </c>
      <c r="L6004" s="91" t="str">
        <f t="shared" si="8"/>
        <v>Sun</v>
      </c>
      <c r="M6004" s="78" t="str">
        <f>IFERROR(VLOOKUP(A6004, Entries!A:B,2,false),"")</f>
        <v>Bethesda Softworks</v>
      </c>
      <c r="N6004" s="23" t="str">
        <f>IFERROR(VLOOKUP(A6004, Entries!A:K,11,false),"")</f>
        <v/>
      </c>
    </row>
    <row r="6005">
      <c r="A6005" s="78" t="s">
        <v>4926</v>
      </c>
      <c r="B6005" s="78" t="s">
        <v>22</v>
      </c>
      <c r="C6005" s="85">
        <v>45424.0</v>
      </c>
      <c r="D6005" s="85">
        <v>45424.0</v>
      </c>
      <c r="E6005" s="86">
        <v>8.33</v>
      </c>
      <c r="F6005" s="87">
        <v>9.56</v>
      </c>
      <c r="G6005" s="88">
        <f t="shared" si="1"/>
        <v>1.23</v>
      </c>
      <c r="H6005" s="89">
        <f t="shared" si="15"/>
        <v>0.1286610879</v>
      </c>
      <c r="I6005" s="78" t="s">
        <v>6890</v>
      </c>
      <c r="J6005" s="78" t="s">
        <v>69</v>
      </c>
      <c r="K6005" s="58">
        <f t="shared" si="16"/>
        <v>0</v>
      </c>
      <c r="L6005" s="91" t="str">
        <f t="shared" si="8"/>
        <v>Sun</v>
      </c>
      <c r="M6005" s="78" t="str">
        <f>IFERROR(VLOOKUP(A6005, Entries!A:B,2,false),"")</f>
        <v>Bethesda Softworks</v>
      </c>
      <c r="N6005" s="23" t="str">
        <f>IFERROR(VLOOKUP(A6005, Entries!A:K,11,false),"")</f>
        <v/>
      </c>
    </row>
    <row r="6006">
      <c r="A6006" s="78" t="s">
        <v>4926</v>
      </c>
      <c r="B6006" s="78" t="s">
        <v>22</v>
      </c>
      <c r="C6006" s="85">
        <v>45424.0</v>
      </c>
      <c r="D6006" s="85">
        <v>45424.0</v>
      </c>
      <c r="E6006" s="86">
        <v>8.33</v>
      </c>
      <c r="F6006" s="87">
        <v>9.56</v>
      </c>
      <c r="G6006" s="88">
        <f t="shared" si="1"/>
        <v>1.23</v>
      </c>
      <c r="H6006" s="89">
        <f t="shared" si="15"/>
        <v>0.1286610879</v>
      </c>
      <c r="I6006" s="78" t="s">
        <v>6891</v>
      </c>
      <c r="J6006" s="78" t="s">
        <v>69</v>
      </c>
      <c r="K6006" s="58">
        <f t="shared" si="16"/>
        <v>0</v>
      </c>
      <c r="L6006" s="91" t="str">
        <f t="shared" si="8"/>
        <v>Sun</v>
      </c>
      <c r="M6006" s="78" t="str">
        <f>IFERROR(VLOOKUP(A6006, Entries!A:B,2,false),"")</f>
        <v>Bethesda Softworks</v>
      </c>
      <c r="N6006" s="23" t="str">
        <f>IFERROR(VLOOKUP(A6006, Entries!A:K,11,false),"")</f>
        <v/>
      </c>
    </row>
    <row r="6007">
      <c r="A6007" s="78" t="s">
        <v>4926</v>
      </c>
      <c r="B6007" s="78" t="s">
        <v>22</v>
      </c>
      <c r="C6007" s="85">
        <v>45424.0</v>
      </c>
      <c r="D6007" s="85">
        <v>45424.0</v>
      </c>
      <c r="E6007" s="86">
        <v>8.33</v>
      </c>
      <c r="F6007" s="87">
        <v>9.56</v>
      </c>
      <c r="G6007" s="88">
        <f t="shared" si="1"/>
        <v>1.23</v>
      </c>
      <c r="H6007" s="89">
        <f t="shared" si="15"/>
        <v>0.1286610879</v>
      </c>
      <c r="I6007" s="78" t="s">
        <v>6892</v>
      </c>
      <c r="J6007" s="78" t="s">
        <v>69</v>
      </c>
      <c r="K6007" s="58">
        <f t="shared" si="16"/>
        <v>0</v>
      </c>
      <c r="L6007" s="91" t="str">
        <f t="shared" si="8"/>
        <v>Sun</v>
      </c>
      <c r="M6007" s="78" t="str">
        <f>IFERROR(VLOOKUP(A6007, Entries!A:B,2,false),"")</f>
        <v>Bethesda Softworks</v>
      </c>
      <c r="N6007" s="23" t="str">
        <f>IFERROR(VLOOKUP(A6007, Entries!A:K,11,false),"")</f>
        <v/>
      </c>
    </row>
    <row r="6008">
      <c r="A6008" s="78" t="s">
        <v>4926</v>
      </c>
      <c r="B6008" s="78" t="s">
        <v>22</v>
      </c>
      <c r="C6008" s="85">
        <v>45424.0</v>
      </c>
      <c r="D6008" s="85">
        <v>45424.0</v>
      </c>
      <c r="E6008" s="86">
        <v>8.33</v>
      </c>
      <c r="F6008" s="87">
        <v>9.56</v>
      </c>
      <c r="G6008" s="88">
        <f t="shared" si="1"/>
        <v>1.23</v>
      </c>
      <c r="H6008" s="89">
        <f t="shared" si="15"/>
        <v>0.1286610879</v>
      </c>
      <c r="I6008" s="78" t="s">
        <v>6893</v>
      </c>
      <c r="J6008" s="78" t="s">
        <v>69</v>
      </c>
      <c r="K6008" s="58">
        <f t="shared" si="16"/>
        <v>0</v>
      </c>
      <c r="L6008" s="91" t="str">
        <f t="shared" si="8"/>
        <v>Sun</v>
      </c>
      <c r="M6008" s="78" t="str">
        <f>IFERROR(VLOOKUP(A6008, Entries!A:B,2,false),"")</f>
        <v>Bethesda Softworks</v>
      </c>
      <c r="N6008" s="23" t="str">
        <f>IFERROR(VLOOKUP(A6008, Entries!A:K,11,false),"")</f>
        <v/>
      </c>
    </row>
    <row r="6009">
      <c r="A6009" s="78" t="s">
        <v>4926</v>
      </c>
      <c r="B6009" s="78" t="s">
        <v>22</v>
      </c>
      <c r="C6009" s="85">
        <v>45424.0</v>
      </c>
      <c r="D6009" s="85">
        <v>45424.0</v>
      </c>
      <c r="E6009" s="86">
        <v>8.33</v>
      </c>
      <c r="F6009" s="87">
        <v>9.56</v>
      </c>
      <c r="G6009" s="88">
        <f t="shared" si="1"/>
        <v>1.23</v>
      </c>
      <c r="H6009" s="89">
        <f t="shared" si="15"/>
        <v>0.1286610879</v>
      </c>
      <c r="I6009" s="78" t="s">
        <v>6894</v>
      </c>
      <c r="J6009" s="78" t="s">
        <v>69</v>
      </c>
      <c r="K6009" s="58">
        <f t="shared" si="16"/>
        <v>0</v>
      </c>
      <c r="L6009" s="91" t="str">
        <f t="shared" si="8"/>
        <v>Sun</v>
      </c>
      <c r="M6009" s="78" t="str">
        <f>IFERROR(VLOOKUP(A6009, Entries!A:B,2,false),"")</f>
        <v>Bethesda Softworks</v>
      </c>
      <c r="N6009" s="23" t="str">
        <f>IFERROR(VLOOKUP(A6009, Entries!A:K,11,false),"")</f>
        <v/>
      </c>
    </row>
    <row r="6010">
      <c r="A6010" s="78" t="s">
        <v>4926</v>
      </c>
      <c r="B6010" s="78" t="s">
        <v>22</v>
      </c>
      <c r="C6010" s="85">
        <v>45424.0</v>
      </c>
      <c r="D6010" s="85">
        <v>45425.0</v>
      </c>
      <c r="E6010" s="86">
        <v>8.33</v>
      </c>
      <c r="F6010" s="87">
        <v>9.56</v>
      </c>
      <c r="G6010" s="88">
        <f t="shared" si="1"/>
        <v>1.23</v>
      </c>
      <c r="H6010" s="89">
        <f t="shared" si="15"/>
        <v>0.1286610879</v>
      </c>
      <c r="I6010" s="78" t="s">
        <v>6895</v>
      </c>
      <c r="J6010" s="78" t="s">
        <v>69</v>
      </c>
      <c r="K6010" s="58">
        <f t="shared" si="16"/>
        <v>1</v>
      </c>
      <c r="L6010" s="91" t="str">
        <f t="shared" si="8"/>
        <v>Mon</v>
      </c>
      <c r="M6010" s="78" t="str">
        <f>IFERROR(VLOOKUP(A6010, Entries!A:B,2,false),"")</f>
        <v>Bethesda Softworks</v>
      </c>
      <c r="N6010" s="23" t="str">
        <f>IFERROR(VLOOKUP(A6010, Entries!A:K,11,false),"")</f>
        <v/>
      </c>
    </row>
    <row r="6011">
      <c r="A6011" s="78" t="s">
        <v>6006</v>
      </c>
      <c r="B6011" s="78" t="s">
        <v>19</v>
      </c>
      <c r="C6011" s="85">
        <v>45424.0</v>
      </c>
      <c r="D6011" s="85">
        <v>45424.0</v>
      </c>
      <c r="E6011" s="86">
        <v>36.7</v>
      </c>
      <c r="F6011" s="87">
        <v>42.0</v>
      </c>
      <c r="G6011" s="88">
        <f t="shared" si="1"/>
        <v>5.3</v>
      </c>
      <c r="H6011" s="89">
        <f t="shared" si="15"/>
        <v>0.1261904762</v>
      </c>
      <c r="I6011" s="78" t="s">
        <v>6896</v>
      </c>
      <c r="J6011" s="78" t="s">
        <v>69</v>
      </c>
      <c r="K6011" s="58">
        <f t="shared" si="16"/>
        <v>0</v>
      </c>
      <c r="L6011" s="91" t="str">
        <f t="shared" si="8"/>
        <v>Sun</v>
      </c>
      <c r="M6011" s="78" t="str">
        <f>IFERROR(VLOOKUP(A6011, Entries!A:B,2,false),"")</f>
        <v>Bethesda Softworks</v>
      </c>
      <c r="N6011" s="23" t="str">
        <f>IFERROR(VLOOKUP(A6011, Entries!A:K,11,false),"")</f>
        <v/>
      </c>
    </row>
    <row r="6012">
      <c r="A6012" s="78" t="s">
        <v>2339</v>
      </c>
      <c r="B6012" s="78" t="s">
        <v>19</v>
      </c>
      <c r="C6012" s="85">
        <v>45424.0</v>
      </c>
      <c r="D6012" s="85">
        <v>45425.0</v>
      </c>
      <c r="E6012" s="86">
        <v>1.83</v>
      </c>
      <c r="F6012" s="87">
        <v>3.9</v>
      </c>
      <c r="G6012" s="88">
        <f t="shared" si="1"/>
        <v>2.07</v>
      </c>
      <c r="H6012" s="89">
        <f t="shared" si="15"/>
        <v>0.5307692308</v>
      </c>
      <c r="I6012" s="78" t="s">
        <v>6897</v>
      </c>
      <c r="J6012" s="78" t="s">
        <v>69</v>
      </c>
      <c r="K6012" s="58">
        <f t="shared" si="16"/>
        <v>1</v>
      </c>
      <c r="L6012" s="91" t="str">
        <f t="shared" si="8"/>
        <v>Mon</v>
      </c>
      <c r="M6012" s="78" t="str">
        <f>IFERROR(VLOOKUP(A6012, Entries!A:B,2,false),"")</f>
        <v>PlayWay</v>
      </c>
      <c r="N6012" s="23" t="str">
        <f>IFERROR(VLOOKUP(A6012, Entries!A:K,11,false),"")</f>
        <v/>
      </c>
    </row>
    <row r="6013">
      <c r="A6013" s="78" t="s">
        <v>2339</v>
      </c>
      <c r="B6013" s="78" t="s">
        <v>19</v>
      </c>
      <c r="C6013" s="85">
        <v>45424.0</v>
      </c>
      <c r="D6013" s="85">
        <v>45425.0</v>
      </c>
      <c r="E6013" s="86">
        <v>0.96</v>
      </c>
      <c r="F6013" s="87">
        <v>3.9</v>
      </c>
      <c r="G6013" s="88">
        <f t="shared" si="1"/>
        <v>2.94</v>
      </c>
      <c r="H6013" s="89">
        <f t="shared" si="15"/>
        <v>0.7538461538</v>
      </c>
      <c r="I6013" s="78" t="s">
        <v>6898</v>
      </c>
      <c r="J6013" s="78" t="s">
        <v>69</v>
      </c>
      <c r="K6013" s="58">
        <f t="shared" si="16"/>
        <v>1</v>
      </c>
      <c r="L6013" s="91" t="str">
        <f t="shared" si="8"/>
        <v>Mon</v>
      </c>
      <c r="M6013" s="78" t="str">
        <f>IFERROR(VLOOKUP(A6013, Entries!A:B,2,false),"")</f>
        <v>PlayWay</v>
      </c>
      <c r="N6013" s="23" t="str">
        <f>IFERROR(VLOOKUP(A6013, Entries!A:K,11,false),"")</f>
        <v/>
      </c>
    </row>
    <row r="6014">
      <c r="A6014" s="78" t="s">
        <v>6018</v>
      </c>
      <c r="B6014" s="78" t="s">
        <v>30</v>
      </c>
      <c r="C6014" s="85">
        <v>45424.0</v>
      </c>
      <c r="D6014" s="85">
        <v>45425.0</v>
      </c>
      <c r="E6014" s="86">
        <v>12.58</v>
      </c>
      <c r="F6014" s="87">
        <v>15.5</v>
      </c>
      <c r="G6014" s="88">
        <f t="shared" si="1"/>
        <v>2.92</v>
      </c>
      <c r="H6014" s="89">
        <f t="shared" si="15"/>
        <v>0.1883870968</v>
      </c>
      <c r="I6014" s="78" t="s">
        <v>6899</v>
      </c>
      <c r="J6014" s="78" t="s">
        <v>69</v>
      </c>
      <c r="K6014" s="58">
        <f t="shared" si="16"/>
        <v>1</v>
      </c>
      <c r="L6014" s="91" t="str">
        <f t="shared" si="8"/>
        <v>Mon</v>
      </c>
      <c r="M6014" s="78" t="str">
        <f>IFERROR(VLOOKUP(A6014, Entries!A:B,2,false),"")</f>
        <v>Square Enix</v>
      </c>
      <c r="N6014" s="23" t="str">
        <f>IFERROR(VLOOKUP(A6014, Entries!A:K,11,false),"")</f>
        <v/>
      </c>
    </row>
    <row r="6015">
      <c r="A6015" s="78" t="s">
        <v>4926</v>
      </c>
      <c r="B6015" s="78" t="s">
        <v>22</v>
      </c>
      <c r="C6015" s="85">
        <v>45424.0</v>
      </c>
      <c r="D6015" s="85">
        <v>45425.0</v>
      </c>
      <c r="E6015" s="86">
        <v>8.3</v>
      </c>
      <c r="F6015" s="87">
        <v>9.56</v>
      </c>
      <c r="G6015" s="88">
        <f t="shared" si="1"/>
        <v>1.26</v>
      </c>
      <c r="H6015" s="89">
        <f t="shared" si="15"/>
        <v>0.1317991632</v>
      </c>
      <c r="I6015" s="78" t="s">
        <v>6900</v>
      </c>
      <c r="J6015" s="78" t="s">
        <v>69</v>
      </c>
      <c r="K6015" s="58">
        <f t="shared" si="16"/>
        <v>1</v>
      </c>
      <c r="L6015" s="91" t="str">
        <f t="shared" si="8"/>
        <v>Mon</v>
      </c>
      <c r="M6015" s="78" t="str">
        <f>IFERROR(VLOOKUP(A6015, Entries!A:B,2,false),"")</f>
        <v>Bethesda Softworks</v>
      </c>
      <c r="N6015" s="23" t="str">
        <f>IFERROR(VLOOKUP(A6015, Entries!A:K,11,false),"")</f>
        <v/>
      </c>
    </row>
    <row r="6016">
      <c r="A6016" s="78" t="s">
        <v>4926</v>
      </c>
      <c r="B6016" s="78" t="s">
        <v>22</v>
      </c>
      <c r="C6016" s="85">
        <v>45424.0</v>
      </c>
      <c r="D6016" s="85">
        <v>45425.0</v>
      </c>
      <c r="E6016" s="86">
        <v>8.33</v>
      </c>
      <c r="F6016" s="87">
        <v>9.56</v>
      </c>
      <c r="G6016" s="88">
        <f t="shared" si="1"/>
        <v>1.23</v>
      </c>
      <c r="H6016" s="89">
        <f t="shared" si="15"/>
        <v>0.1286610879</v>
      </c>
      <c r="I6016" s="78" t="s">
        <v>6901</v>
      </c>
      <c r="J6016" s="78" t="s">
        <v>69</v>
      </c>
      <c r="K6016" s="58">
        <f t="shared" si="16"/>
        <v>1</v>
      </c>
      <c r="L6016" s="91" t="str">
        <f t="shared" si="8"/>
        <v>Mon</v>
      </c>
      <c r="M6016" s="78" t="str">
        <f>IFERROR(VLOOKUP(A6016, Entries!A:B,2,false),"")</f>
        <v>Bethesda Softworks</v>
      </c>
      <c r="N6016" s="23" t="str">
        <f>IFERROR(VLOOKUP(A6016, Entries!A:K,11,false),"")</f>
        <v/>
      </c>
    </row>
    <row r="6017">
      <c r="A6017" s="78" t="s">
        <v>4926</v>
      </c>
      <c r="B6017" s="78" t="s">
        <v>22</v>
      </c>
      <c r="C6017" s="85">
        <v>45424.0</v>
      </c>
      <c r="D6017" s="85">
        <v>45425.0</v>
      </c>
      <c r="E6017" s="86">
        <v>8.33</v>
      </c>
      <c r="F6017" s="87">
        <v>9.56</v>
      </c>
      <c r="G6017" s="88">
        <f t="shared" si="1"/>
        <v>1.23</v>
      </c>
      <c r="H6017" s="89">
        <f t="shared" si="15"/>
        <v>0.1286610879</v>
      </c>
      <c r="I6017" s="78" t="s">
        <v>6902</v>
      </c>
      <c r="J6017" s="78" t="s">
        <v>69</v>
      </c>
      <c r="K6017" s="58">
        <f t="shared" si="16"/>
        <v>1</v>
      </c>
      <c r="L6017" s="91" t="str">
        <f t="shared" si="8"/>
        <v>Mon</v>
      </c>
      <c r="M6017" s="78" t="str">
        <f>IFERROR(VLOOKUP(A6017, Entries!A:B,2,false),"")</f>
        <v>Bethesda Softworks</v>
      </c>
      <c r="N6017" s="23" t="str">
        <f>IFERROR(VLOOKUP(A6017, Entries!A:K,11,false),"")</f>
        <v/>
      </c>
    </row>
    <row r="6018">
      <c r="A6018" s="78" t="s">
        <v>4926</v>
      </c>
      <c r="B6018" s="78" t="s">
        <v>22</v>
      </c>
      <c r="C6018" s="85">
        <v>45424.0</v>
      </c>
      <c r="D6018" s="85">
        <v>45425.0</v>
      </c>
      <c r="E6018" s="86">
        <v>8.33</v>
      </c>
      <c r="F6018" s="87">
        <v>9.56</v>
      </c>
      <c r="G6018" s="88">
        <f t="shared" si="1"/>
        <v>1.23</v>
      </c>
      <c r="H6018" s="89">
        <f t="shared" si="15"/>
        <v>0.1286610879</v>
      </c>
      <c r="I6018" s="78" t="s">
        <v>6903</v>
      </c>
      <c r="J6018" s="78" t="s">
        <v>69</v>
      </c>
      <c r="K6018" s="58">
        <f t="shared" si="16"/>
        <v>1</v>
      </c>
      <c r="L6018" s="91" t="str">
        <f t="shared" si="8"/>
        <v>Mon</v>
      </c>
      <c r="M6018" s="78" t="str">
        <f>IFERROR(VLOOKUP(A6018, Entries!A:B,2,false),"")</f>
        <v>Bethesda Softworks</v>
      </c>
      <c r="N6018" s="23" t="str">
        <f>IFERROR(VLOOKUP(A6018, Entries!A:K,11,false),"")</f>
        <v/>
      </c>
    </row>
    <row r="6019">
      <c r="A6019" s="78" t="s">
        <v>4926</v>
      </c>
      <c r="B6019" s="78" t="s">
        <v>22</v>
      </c>
      <c r="C6019" s="85">
        <v>45424.0</v>
      </c>
      <c r="D6019" s="85">
        <v>45425.0</v>
      </c>
      <c r="E6019" s="86">
        <v>8.33</v>
      </c>
      <c r="F6019" s="87">
        <v>9.56</v>
      </c>
      <c r="G6019" s="88">
        <f t="shared" si="1"/>
        <v>1.23</v>
      </c>
      <c r="H6019" s="89">
        <f t="shared" si="15"/>
        <v>0.1286610879</v>
      </c>
      <c r="I6019" s="78" t="s">
        <v>6904</v>
      </c>
      <c r="J6019" s="78" t="s">
        <v>69</v>
      </c>
      <c r="K6019" s="58">
        <f t="shared" si="16"/>
        <v>1</v>
      </c>
      <c r="L6019" s="91" t="str">
        <f t="shared" si="8"/>
        <v>Mon</v>
      </c>
      <c r="M6019" s="78" t="str">
        <f>IFERROR(VLOOKUP(A6019, Entries!A:B,2,false),"")</f>
        <v>Bethesda Softworks</v>
      </c>
      <c r="N6019" s="23" t="str">
        <f>IFERROR(VLOOKUP(A6019, Entries!A:K,11,false),"")</f>
        <v/>
      </c>
    </row>
    <row r="6020">
      <c r="A6020" s="78" t="s">
        <v>4926</v>
      </c>
      <c r="B6020" s="78" t="s">
        <v>22</v>
      </c>
      <c r="C6020" s="85">
        <v>45424.0</v>
      </c>
      <c r="D6020" s="85">
        <v>45425.0</v>
      </c>
      <c r="E6020" s="86">
        <v>8.33</v>
      </c>
      <c r="F6020" s="87">
        <v>9.56</v>
      </c>
      <c r="G6020" s="88">
        <f t="shared" si="1"/>
        <v>1.23</v>
      </c>
      <c r="H6020" s="89">
        <f t="shared" si="15"/>
        <v>0.1286610879</v>
      </c>
      <c r="I6020" s="78" t="s">
        <v>6905</v>
      </c>
      <c r="J6020" s="78" t="s">
        <v>69</v>
      </c>
      <c r="K6020" s="58">
        <f t="shared" si="16"/>
        <v>1</v>
      </c>
      <c r="L6020" s="91" t="str">
        <f t="shared" si="8"/>
        <v>Mon</v>
      </c>
      <c r="M6020" s="78" t="str">
        <f>IFERROR(VLOOKUP(A6020, Entries!A:B,2,false),"")</f>
        <v>Bethesda Softworks</v>
      </c>
      <c r="N6020" s="23" t="str">
        <f>IFERROR(VLOOKUP(A6020, Entries!A:K,11,false),"")</f>
        <v/>
      </c>
    </row>
    <row r="6021">
      <c r="A6021" s="78" t="s">
        <v>4926</v>
      </c>
      <c r="B6021" s="78" t="s">
        <v>22</v>
      </c>
      <c r="C6021" s="85">
        <v>45424.0</v>
      </c>
      <c r="D6021" s="85">
        <v>45425.0</v>
      </c>
      <c r="E6021" s="86">
        <v>8.33</v>
      </c>
      <c r="F6021" s="87">
        <v>9.56</v>
      </c>
      <c r="G6021" s="88">
        <f t="shared" si="1"/>
        <v>1.23</v>
      </c>
      <c r="H6021" s="89">
        <f t="shared" si="15"/>
        <v>0.1286610879</v>
      </c>
      <c r="I6021" s="78" t="s">
        <v>6906</v>
      </c>
      <c r="J6021" s="78" t="s">
        <v>69</v>
      </c>
      <c r="K6021" s="58">
        <f t="shared" si="16"/>
        <v>1</v>
      </c>
      <c r="L6021" s="91" t="str">
        <f t="shared" si="8"/>
        <v>Mon</v>
      </c>
      <c r="M6021" s="78" t="str">
        <f>IFERROR(VLOOKUP(A6021, Entries!A:B,2,false),"")</f>
        <v>Bethesda Softworks</v>
      </c>
      <c r="N6021" s="23" t="str">
        <f>IFERROR(VLOOKUP(A6021, Entries!A:K,11,false),"")</f>
        <v/>
      </c>
    </row>
    <row r="6022">
      <c r="A6022" s="78" t="s">
        <v>4926</v>
      </c>
      <c r="B6022" s="78" t="s">
        <v>22</v>
      </c>
      <c r="C6022" s="85">
        <v>45424.0</v>
      </c>
      <c r="D6022" s="85">
        <v>45425.0</v>
      </c>
      <c r="E6022" s="86">
        <v>8.33</v>
      </c>
      <c r="F6022" s="87">
        <v>9.56</v>
      </c>
      <c r="G6022" s="88">
        <f t="shared" si="1"/>
        <v>1.23</v>
      </c>
      <c r="H6022" s="89">
        <f t="shared" si="15"/>
        <v>0.1286610879</v>
      </c>
      <c r="I6022" s="78" t="s">
        <v>6907</v>
      </c>
      <c r="J6022" s="78" t="s">
        <v>69</v>
      </c>
      <c r="K6022" s="58">
        <f t="shared" si="16"/>
        <v>1</v>
      </c>
      <c r="L6022" s="91" t="str">
        <f t="shared" si="8"/>
        <v>Mon</v>
      </c>
      <c r="M6022" s="78" t="str">
        <f>IFERROR(VLOOKUP(A6022, Entries!A:B,2,false),"")</f>
        <v>Bethesda Softworks</v>
      </c>
      <c r="N6022" s="23" t="str">
        <f>IFERROR(VLOOKUP(A6022, Entries!A:K,11,false),"")</f>
        <v/>
      </c>
    </row>
    <row r="6023">
      <c r="A6023" s="78" t="s">
        <v>4926</v>
      </c>
      <c r="B6023" s="78" t="s">
        <v>22</v>
      </c>
      <c r="C6023" s="85">
        <v>45424.0</v>
      </c>
      <c r="D6023" s="85">
        <v>45425.0</v>
      </c>
      <c r="E6023" s="86">
        <v>8.33</v>
      </c>
      <c r="F6023" s="87">
        <v>9.56</v>
      </c>
      <c r="G6023" s="88">
        <f t="shared" si="1"/>
        <v>1.23</v>
      </c>
      <c r="H6023" s="89">
        <f t="shared" si="15"/>
        <v>0.1286610879</v>
      </c>
      <c r="I6023" s="78" t="s">
        <v>6908</v>
      </c>
      <c r="J6023" s="78" t="s">
        <v>69</v>
      </c>
      <c r="K6023" s="58">
        <f t="shared" si="16"/>
        <v>1</v>
      </c>
      <c r="L6023" s="91" t="str">
        <f t="shared" si="8"/>
        <v>Mon</v>
      </c>
      <c r="M6023" s="78" t="str">
        <f>IFERROR(VLOOKUP(A6023, Entries!A:B,2,false),"")</f>
        <v>Bethesda Softworks</v>
      </c>
      <c r="N6023" s="23" t="str">
        <f>IFERROR(VLOOKUP(A6023, Entries!A:K,11,false),"")</f>
        <v/>
      </c>
    </row>
    <row r="6024">
      <c r="A6024" s="78" t="s">
        <v>4926</v>
      </c>
      <c r="B6024" s="78" t="s">
        <v>22</v>
      </c>
      <c r="C6024" s="85">
        <v>45424.0</v>
      </c>
      <c r="D6024" s="85">
        <v>45425.0</v>
      </c>
      <c r="E6024" s="86">
        <v>8.33</v>
      </c>
      <c r="F6024" s="87">
        <v>9.56</v>
      </c>
      <c r="G6024" s="88">
        <f t="shared" si="1"/>
        <v>1.23</v>
      </c>
      <c r="H6024" s="89">
        <f t="shared" si="15"/>
        <v>0.1286610879</v>
      </c>
      <c r="I6024" s="78" t="s">
        <v>6909</v>
      </c>
      <c r="J6024" s="78" t="s">
        <v>69</v>
      </c>
      <c r="K6024" s="58">
        <f t="shared" si="16"/>
        <v>1</v>
      </c>
      <c r="L6024" s="91" t="str">
        <f t="shared" si="8"/>
        <v>Mon</v>
      </c>
      <c r="M6024" s="78" t="str">
        <f>IFERROR(VLOOKUP(A6024, Entries!A:B,2,false),"")</f>
        <v>Bethesda Softworks</v>
      </c>
      <c r="N6024" s="23" t="str">
        <f>IFERROR(VLOOKUP(A6024, Entries!A:K,11,false),"")</f>
        <v/>
      </c>
    </row>
    <row r="6025">
      <c r="A6025" s="78" t="s">
        <v>6910</v>
      </c>
      <c r="B6025" s="78" t="s">
        <v>22</v>
      </c>
      <c r="C6025" s="85">
        <v>45424.0</v>
      </c>
      <c r="D6025" s="85">
        <v>45425.0</v>
      </c>
      <c r="E6025" s="86">
        <v>13.31</v>
      </c>
      <c r="F6025" s="87">
        <v>15.44</v>
      </c>
      <c r="G6025" s="88">
        <f t="shared" si="1"/>
        <v>2.13</v>
      </c>
      <c r="H6025" s="89">
        <f t="shared" si="15"/>
        <v>0.1379533679</v>
      </c>
      <c r="I6025" s="78" t="s">
        <v>6911</v>
      </c>
      <c r="J6025" s="78" t="s">
        <v>69</v>
      </c>
      <c r="K6025" s="58">
        <f t="shared" si="16"/>
        <v>1</v>
      </c>
      <c r="L6025" s="91" t="str">
        <f t="shared" si="8"/>
        <v>Mon</v>
      </c>
      <c r="M6025" s="78" t="str">
        <f>IFERROR(VLOOKUP(A6025, Entries!A:B,2,false),"")</f>
        <v/>
      </c>
      <c r="N6025" s="23" t="str">
        <f>IFERROR(VLOOKUP(A6025, Entries!A:K,11,false),"")</f>
        <v/>
      </c>
    </row>
    <row r="6026">
      <c r="A6026" s="78" t="s">
        <v>6912</v>
      </c>
      <c r="B6026" s="78" t="s">
        <v>22</v>
      </c>
      <c r="C6026" s="85">
        <v>45424.0</v>
      </c>
      <c r="D6026" s="85">
        <v>45425.0</v>
      </c>
      <c r="E6026" s="86">
        <v>10.44</v>
      </c>
      <c r="F6026" s="87">
        <v>16.04</v>
      </c>
      <c r="G6026" s="88">
        <f t="shared" si="1"/>
        <v>5.6</v>
      </c>
      <c r="H6026" s="89">
        <f t="shared" si="15"/>
        <v>0.349127182</v>
      </c>
      <c r="I6026" s="78" t="s">
        <v>6913</v>
      </c>
      <c r="J6026" s="78" t="s">
        <v>69</v>
      </c>
      <c r="K6026" s="58">
        <f t="shared" si="16"/>
        <v>1</v>
      </c>
      <c r="L6026" s="91" t="str">
        <f t="shared" si="8"/>
        <v>Mon</v>
      </c>
      <c r="M6026" s="78" t="str">
        <f>IFERROR(VLOOKUP(A6026, Entries!A:B,2,false),"")</f>
        <v/>
      </c>
      <c r="N6026" s="23" t="str">
        <f>IFERROR(VLOOKUP(A6026, Entries!A:K,11,false),"")</f>
        <v/>
      </c>
    </row>
    <row r="6027">
      <c r="A6027" s="78" t="s">
        <v>6914</v>
      </c>
      <c r="B6027" s="78" t="s">
        <v>22</v>
      </c>
      <c r="C6027" s="85">
        <v>45424.0</v>
      </c>
      <c r="D6027" s="85">
        <v>45427.0</v>
      </c>
      <c r="E6027" s="86">
        <v>5.0</v>
      </c>
      <c r="F6027" s="87">
        <v>6.75</v>
      </c>
      <c r="G6027" s="88">
        <f t="shared" si="1"/>
        <v>1.75</v>
      </c>
      <c r="H6027" s="89">
        <f t="shared" si="15"/>
        <v>0.2592592593</v>
      </c>
      <c r="I6027" s="78" t="s">
        <v>6915</v>
      </c>
      <c r="J6027" s="78" t="s">
        <v>69</v>
      </c>
      <c r="K6027" s="58">
        <f t="shared" si="16"/>
        <v>3</v>
      </c>
      <c r="L6027" s="91" t="str">
        <f t="shared" si="8"/>
        <v>Wed</v>
      </c>
      <c r="M6027" s="78" t="str">
        <f>IFERROR(VLOOKUP(A6027, Entries!A:B,2,false),"")</f>
        <v/>
      </c>
      <c r="N6027" s="23" t="str">
        <f>IFERROR(VLOOKUP(A6027, Entries!A:K,11,false),"")</f>
        <v/>
      </c>
    </row>
    <row r="6028">
      <c r="A6028" s="78" t="s">
        <v>5933</v>
      </c>
      <c r="B6028" s="78" t="s">
        <v>25</v>
      </c>
      <c r="C6028" s="85">
        <v>45424.0</v>
      </c>
      <c r="D6028" s="85">
        <v>45425.0</v>
      </c>
      <c r="E6028" s="86">
        <v>31.0</v>
      </c>
      <c r="F6028" s="87">
        <v>44.89</v>
      </c>
      <c r="G6028" s="88">
        <f t="shared" si="1"/>
        <v>13.89</v>
      </c>
      <c r="H6028" s="89">
        <f t="shared" si="15"/>
        <v>0.3094230341</v>
      </c>
      <c r="I6028" s="78" t="s">
        <v>6916</v>
      </c>
      <c r="J6028" s="78" t="s">
        <v>69</v>
      </c>
      <c r="K6028" s="58">
        <f t="shared" si="16"/>
        <v>1</v>
      </c>
      <c r="L6028" s="91" t="str">
        <f t="shared" si="8"/>
        <v>Mon</v>
      </c>
      <c r="M6028" s="78" t="str">
        <f>IFERROR(VLOOKUP(A6028, Entries!A:B,2,false),"")</f>
        <v>Pocketpair</v>
      </c>
      <c r="N6028" s="23" t="str">
        <f>IFERROR(VLOOKUP(A6028, Entries!A:K,11,false),"")</f>
        <v/>
      </c>
    </row>
    <row r="6029">
      <c r="A6029" s="78" t="s">
        <v>5933</v>
      </c>
      <c r="B6029" s="78" t="s">
        <v>25</v>
      </c>
      <c r="C6029" s="85">
        <v>45424.0</v>
      </c>
      <c r="D6029" s="85">
        <v>45425.0</v>
      </c>
      <c r="E6029" s="86">
        <v>31.0</v>
      </c>
      <c r="F6029" s="87">
        <v>44.89</v>
      </c>
      <c r="G6029" s="88">
        <f t="shared" si="1"/>
        <v>13.89</v>
      </c>
      <c r="H6029" s="89">
        <f t="shared" si="15"/>
        <v>0.3094230341</v>
      </c>
      <c r="I6029" s="78" t="s">
        <v>6917</v>
      </c>
      <c r="J6029" s="78" t="s">
        <v>69</v>
      </c>
      <c r="K6029" s="58">
        <f t="shared" si="16"/>
        <v>1</v>
      </c>
      <c r="L6029" s="91" t="str">
        <f t="shared" si="8"/>
        <v>Mon</v>
      </c>
      <c r="M6029" s="78" t="str">
        <f>IFERROR(VLOOKUP(A6029, Entries!A:B,2,false),"")</f>
        <v>Pocketpair</v>
      </c>
      <c r="N6029" s="23" t="str">
        <f>IFERROR(VLOOKUP(A6029, Entries!A:K,11,false),"")</f>
        <v/>
      </c>
    </row>
    <row r="6030">
      <c r="A6030" s="78" t="s">
        <v>4926</v>
      </c>
      <c r="B6030" s="78" t="s">
        <v>22</v>
      </c>
      <c r="C6030" s="85">
        <v>45424.0</v>
      </c>
      <c r="D6030" s="85">
        <v>45425.0</v>
      </c>
      <c r="E6030" s="86">
        <v>8.3</v>
      </c>
      <c r="F6030" s="87">
        <v>9.5</v>
      </c>
      <c r="G6030" s="88">
        <f t="shared" si="1"/>
        <v>1.2</v>
      </c>
      <c r="H6030" s="89">
        <f t="shared" si="15"/>
        <v>0.1263157895</v>
      </c>
      <c r="I6030" s="78" t="s">
        <v>6918</v>
      </c>
      <c r="J6030" s="78" t="s">
        <v>69</v>
      </c>
      <c r="K6030" s="58">
        <f t="shared" si="16"/>
        <v>1</v>
      </c>
      <c r="L6030" s="91" t="str">
        <f t="shared" si="8"/>
        <v>Mon</v>
      </c>
      <c r="M6030" s="78" t="str">
        <f>IFERROR(VLOOKUP(A6030, Entries!A:B,2,false),"")</f>
        <v>Bethesda Softworks</v>
      </c>
      <c r="N6030" s="23" t="str">
        <f>IFERROR(VLOOKUP(A6030, Entries!A:K,11,false),"")</f>
        <v/>
      </c>
    </row>
    <row r="6031">
      <c r="A6031" s="78" t="s">
        <v>4926</v>
      </c>
      <c r="B6031" s="78" t="s">
        <v>22</v>
      </c>
      <c r="C6031" s="85">
        <v>45424.0</v>
      </c>
      <c r="D6031" s="85">
        <v>45425.0</v>
      </c>
      <c r="E6031" s="86">
        <v>8.33</v>
      </c>
      <c r="F6031" s="87">
        <v>9.53</v>
      </c>
      <c r="G6031" s="88">
        <f t="shared" si="1"/>
        <v>1.2</v>
      </c>
      <c r="H6031" s="89">
        <f t="shared" si="15"/>
        <v>0.1259181532</v>
      </c>
      <c r="I6031" s="78" t="s">
        <v>6919</v>
      </c>
      <c r="J6031" s="78" t="s">
        <v>69</v>
      </c>
      <c r="K6031" s="58">
        <f t="shared" si="16"/>
        <v>1</v>
      </c>
      <c r="L6031" s="91" t="str">
        <f t="shared" si="8"/>
        <v>Mon</v>
      </c>
      <c r="M6031" s="78" t="str">
        <f>IFERROR(VLOOKUP(A6031, Entries!A:B,2,false),"")</f>
        <v>Bethesda Softworks</v>
      </c>
      <c r="N6031" s="23" t="str">
        <f>IFERROR(VLOOKUP(A6031, Entries!A:K,11,false),"")</f>
        <v/>
      </c>
    </row>
    <row r="6032">
      <c r="A6032" s="78" t="s">
        <v>4926</v>
      </c>
      <c r="B6032" s="78" t="s">
        <v>22</v>
      </c>
      <c r="C6032" s="85">
        <v>45424.0</v>
      </c>
      <c r="D6032" s="85">
        <v>45425.0</v>
      </c>
      <c r="E6032" s="86">
        <v>8.33</v>
      </c>
      <c r="F6032" s="87">
        <v>9.53</v>
      </c>
      <c r="G6032" s="88">
        <f t="shared" si="1"/>
        <v>1.2</v>
      </c>
      <c r="H6032" s="89">
        <f t="shared" si="15"/>
        <v>0.1259181532</v>
      </c>
      <c r="I6032" s="78" t="s">
        <v>6920</v>
      </c>
      <c r="J6032" s="78" t="s">
        <v>69</v>
      </c>
      <c r="K6032" s="58">
        <f t="shared" si="16"/>
        <v>1</v>
      </c>
      <c r="L6032" s="91" t="str">
        <f t="shared" si="8"/>
        <v>Mon</v>
      </c>
      <c r="M6032" s="78" t="str">
        <f>IFERROR(VLOOKUP(A6032, Entries!A:B,2,false),"")</f>
        <v>Bethesda Softworks</v>
      </c>
      <c r="N6032" s="23" t="str">
        <f>IFERROR(VLOOKUP(A6032, Entries!A:K,11,false),"")</f>
        <v/>
      </c>
    </row>
    <row r="6033">
      <c r="A6033" s="78" t="s">
        <v>4926</v>
      </c>
      <c r="B6033" s="78" t="s">
        <v>22</v>
      </c>
      <c r="C6033" s="85">
        <v>45424.0</v>
      </c>
      <c r="D6033" s="85">
        <v>45425.0</v>
      </c>
      <c r="E6033" s="86">
        <v>8.33</v>
      </c>
      <c r="F6033" s="87">
        <v>9.53</v>
      </c>
      <c r="G6033" s="88">
        <f t="shared" si="1"/>
        <v>1.2</v>
      </c>
      <c r="H6033" s="89">
        <f t="shared" si="15"/>
        <v>0.1259181532</v>
      </c>
      <c r="I6033" s="78" t="s">
        <v>6921</v>
      </c>
      <c r="J6033" s="78" t="s">
        <v>69</v>
      </c>
      <c r="K6033" s="58">
        <f t="shared" si="16"/>
        <v>1</v>
      </c>
      <c r="L6033" s="91" t="str">
        <f t="shared" si="8"/>
        <v>Mon</v>
      </c>
      <c r="M6033" s="78" t="str">
        <f>IFERROR(VLOOKUP(A6033, Entries!A:B,2,false),"")</f>
        <v>Bethesda Softworks</v>
      </c>
      <c r="N6033" s="23" t="str">
        <f>IFERROR(VLOOKUP(A6033, Entries!A:K,11,false),"")</f>
        <v/>
      </c>
    </row>
    <row r="6034">
      <c r="A6034" s="78" t="s">
        <v>4926</v>
      </c>
      <c r="B6034" s="78" t="s">
        <v>22</v>
      </c>
      <c r="C6034" s="85">
        <v>45424.0</v>
      </c>
      <c r="D6034" s="85">
        <v>45425.0</v>
      </c>
      <c r="E6034" s="86">
        <v>8.33</v>
      </c>
      <c r="F6034" s="87">
        <v>9.53</v>
      </c>
      <c r="G6034" s="88">
        <f t="shared" si="1"/>
        <v>1.2</v>
      </c>
      <c r="H6034" s="89">
        <f t="shared" si="15"/>
        <v>0.1259181532</v>
      </c>
      <c r="I6034" s="78" t="s">
        <v>6922</v>
      </c>
      <c r="J6034" s="78" t="s">
        <v>69</v>
      </c>
      <c r="K6034" s="58">
        <f t="shared" si="16"/>
        <v>1</v>
      </c>
      <c r="L6034" s="91" t="str">
        <f t="shared" si="8"/>
        <v>Mon</v>
      </c>
      <c r="M6034" s="78" t="str">
        <f>IFERROR(VLOOKUP(A6034, Entries!A:B,2,false),"")</f>
        <v>Bethesda Softworks</v>
      </c>
      <c r="N6034" s="23" t="str">
        <f>IFERROR(VLOOKUP(A6034, Entries!A:K,11,false),"")</f>
        <v/>
      </c>
    </row>
    <row r="6035">
      <c r="A6035" s="78" t="s">
        <v>4926</v>
      </c>
      <c r="B6035" s="78" t="s">
        <v>22</v>
      </c>
      <c r="C6035" s="85">
        <v>45424.0</v>
      </c>
      <c r="D6035" s="85">
        <v>45425.0</v>
      </c>
      <c r="E6035" s="86">
        <v>8.33</v>
      </c>
      <c r="F6035" s="87">
        <v>9.6</v>
      </c>
      <c r="G6035" s="88">
        <f t="shared" si="1"/>
        <v>1.27</v>
      </c>
      <c r="H6035" s="89">
        <f t="shared" si="15"/>
        <v>0.1322916667</v>
      </c>
      <c r="I6035" s="78" t="s">
        <v>6923</v>
      </c>
      <c r="J6035" s="78" t="s">
        <v>69</v>
      </c>
      <c r="K6035" s="58">
        <f t="shared" si="16"/>
        <v>1</v>
      </c>
      <c r="L6035" s="91" t="str">
        <f t="shared" si="8"/>
        <v>Mon</v>
      </c>
      <c r="M6035" s="78" t="str">
        <f>IFERROR(VLOOKUP(A6035, Entries!A:B,2,false),"")</f>
        <v>Bethesda Softworks</v>
      </c>
      <c r="N6035" s="23" t="str">
        <f>IFERROR(VLOOKUP(A6035, Entries!A:K,11,false),"")</f>
        <v/>
      </c>
    </row>
    <row r="6036">
      <c r="A6036" s="78" t="s">
        <v>4926</v>
      </c>
      <c r="B6036" s="78" t="s">
        <v>22</v>
      </c>
      <c r="C6036" s="85">
        <v>45424.0</v>
      </c>
      <c r="D6036" s="85">
        <v>45425.0</v>
      </c>
      <c r="E6036" s="86">
        <v>8.33</v>
      </c>
      <c r="F6036" s="87">
        <v>9.6</v>
      </c>
      <c r="G6036" s="88">
        <f t="shared" si="1"/>
        <v>1.27</v>
      </c>
      <c r="H6036" s="89">
        <f t="shared" si="15"/>
        <v>0.1322916667</v>
      </c>
      <c r="I6036" s="78" t="s">
        <v>6924</v>
      </c>
      <c r="J6036" s="78" t="s">
        <v>69</v>
      </c>
      <c r="K6036" s="58">
        <f t="shared" si="16"/>
        <v>1</v>
      </c>
      <c r="L6036" s="91" t="str">
        <f t="shared" si="8"/>
        <v>Mon</v>
      </c>
      <c r="M6036" s="78" t="str">
        <f>IFERROR(VLOOKUP(A6036, Entries!A:B,2,false),"")</f>
        <v>Bethesda Softworks</v>
      </c>
      <c r="N6036" s="23" t="str">
        <f>IFERROR(VLOOKUP(A6036, Entries!A:K,11,false),"")</f>
        <v/>
      </c>
    </row>
    <row r="6037">
      <c r="A6037" s="78" t="s">
        <v>4926</v>
      </c>
      <c r="B6037" s="78" t="s">
        <v>22</v>
      </c>
      <c r="C6037" s="85">
        <v>45424.0</v>
      </c>
      <c r="D6037" s="85">
        <v>45425.0</v>
      </c>
      <c r="E6037" s="86">
        <v>8.33</v>
      </c>
      <c r="F6037" s="87">
        <v>9.6</v>
      </c>
      <c r="G6037" s="88">
        <f t="shared" si="1"/>
        <v>1.27</v>
      </c>
      <c r="H6037" s="89">
        <f t="shared" si="15"/>
        <v>0.1322916667</v>
      </c>
      <c r="I6037" s="78" t="s">
        <v>6925</v>
      </c>
      <c r="J6037" s="78" t="s">
        <v>69</v>
      </c>
      <c r="K6037" s="58">
        <f t="shared" si="16"/>
        <v>1</v>
      </c>
      <c r="L6037" s="91" t="str">
        <f t="shared" si="8"/>
        <v>Mon</v>
      </c>
      <c r="M6037" s="78" t="str">
        <f>IFERROR(VLOOKUP(A6037, Entries!A:B,2,false),"")</f>
        <v>Bethesda Softworks</v>
      </c>
      <c r="N6037" s="23" t="str">
        <f>IFERROR(VLOOKUP(A6037, Entries!A:K,11,false),"")</f>
        <v/>
      </c>
    </row>
    <row r="6038">
      <c r="A6038" s="78" t="s">
        <v>4926</v>
      </c>
      <c r="B6038" s="78" t="s">
        <v>22</v>
      </c>
      <c r="C6038" s="85">
        <v>45424.0</v>
      </c>
      <c r="D6038" s="85">
        <v>45425.0</v>
      </c>
      <c r="E6038" s="86">
        <v>8.33</v>
      </c>
      <c r="F6038" s="87">
        <v>9.6</v>
      </c>
      <c r="G6038" s="88">
        <f t="shared" si="1"/>
        <v>1.27</v>
      </c>
      <c r="H6038" s="89">
        <f t="shared" si="15"/>
        <v>0.1322916667</v>
      </c>
      <c r="I6038" s="78" t="s">
        <v>6926</v>
      </c>
      <c r="J6038" s="78" t="s">
        <v>69</v>
      </c>
      <c r="K6038" s="58">
        <f t="shared" si="16"/>
        <v>1</v>
      </c>
      <c r="L6038" s="91" t="str">
        <f t="shared" si="8"/>
        <v>Mon</v>
      </c>
      <c r="M6038" s="78" t="str">
        <f>IFERROR(VLOOKUP(A6038, Entries!A:B,2,false),"")</f>
        <v>Bethesda Softworks</v>
      </c>
      <c r="N6038" s="23" t="str">
        <f>IFERROR(VLOOKUP(A6038, Entries!A:K,11,false),"")</f>
        <v/>
      </c>
    </row>
    <row r="6039">
      <c r="A6039" s="78" t="s">
        <v>4926</v>
      </c>
      <c r="B6039" s="78" t="s">
        <v>22</v>
      </c>
      <c r="C6039" s="85">
        <v>45424.0</v>
      </c>
      <c r="D6039" s="85">
        <v>45425.0</v>
      </c>
      <c r="E6039" s="86">
        <v>8.33</v>
      </c>
      <c r="F6039" s="87">
        <v>9.6</v>
      </c>
      <c r="G6039" s="88">
        <f t="shared" si="1"/>
        <v>1.27</v>
      </c>
      <c r="H6039" s="89">
        <f t="shared" si="15"/>
        <v>0.1322916667</v>
      </c>
      <c r="I6039" s="78" t="s">
        <v>6927</v>
      </c>
      <c r="J6039" s="78" t="s">
        <v>69</v>
      </c>
      <c r="K6039" s="58">
        <f t="shared" si="16"/>
        <v>1</v>
      </c>
      <c r="L6039" s="91" t="str">
        <f t="shared" si="8"/>
        <v>Mon</v>
      </c>
      <c r="M6039" s="78" t="str">
        <f>IFERROR(VLOOKUP(A6039, Entries!A:B,2,false),"")</f>
        <v>Bethesda Softworks</v>
      </c>
      <c r="N6039" s="23" t="str">
        <f>IFERROR(VLOOKUP(A6039, Entries!A:K,11,false),"")</f>
        <v/>
      </c>
    </row>
    <row r="6040">
      <c r="A6040" s="78" t="s">
        <v>6006</v>
      </c>
      <c r="B6040" s="78" t="s">
        <v>19</v>
      </c>
      <c r="C6040" s="85">
        <v>45425.0</v>
      </c>
      <c r="D6040" s="85">
        <v>45426.0</v>
      </c>
      <c r="E6040" s="86">
        <v>36.7</v>
      </c>
      <c r="F6040" s="87">
        <v>42.0</v>
      </c>
      <c r="G6040" s="88">
        <f t="shared" si="1"/>
        <v>5.3</v>
      </c>
      <c r="H6040" s="89">
        <f t="shared" si="15"/>
        <v>0.1261904762</v>
      </c>
      <c r="I6040" s="78" t="s">
        <v>6928</v>
      </c>
      <c r="J6040" s="78" t="s">
        <v>69</v>
      </c>
      <c r="K6040" s="58">
        <f t="shared" si="16"/>
        <v>1</v>
      </c>
      <c r="L6040" s="91" t="str">
        <f t="shared" si="8"/>
        <v>Tue</v>
      </c>
      <c r="M6040" s="78" t="str">
        <f>IFERROR(VLOOKUP(A6040, Entries!A:B,2,false),"")</f>
        <v>Bethesda Softworks</v>
      </c>
      <c r="N6040" s="23" t="str">
        <f>IFERROR(VLOOKUP(A6040, Entries!A:K,11,false),"")</f>
        <v/>
      </c>
    </row>
    <row r="6041">
      <c r="A6041" s="78" t="s">
        <v>2339</v>
      </c>
      <c r="B6041" s="78" t="s">
        <v>19</v>
      </c>
      <c r="C6041" s="85">
        <v>45425.0</v>
      </c>
      <c r="D6041" s="85">
        <v>45697.0</v>
      </c>
      <c r="E6041" s="86">
        <v>1.83</v>
      </c>
      <c r="F6041" s="87">
        <v>2.07</v>
      </c>
      <c r="G6041" s="88">
        <f t="shared" si="1"/>
        <v>0.24</v>
      </c>
      <c r="H6041" s="89">
        <f t="shared" si="15"/>
        <v>0.115942029</v>
      </c>
      <c r="I6041" s="78" t="s">
        <v>6929</v>
      </c>
      <c r="J6041" s="78" t="s">
        <v>69</v>
      </c>
      <c r="K6041" s="58">
        <f t="shared" si="16"/>
        <v>272</v>
      </c>
      <c r="L6041" s="91" t="str">
        <f t="shared" si="8"/>
        <v>Sun</v>
      </c>
      <c r="M6041" s="78" t="str">
        <f>IFERROR(VLOOKUP(A6041, Entries!A:B,2,false),"")</f>
        <v>PlayWay</v>
      </c>
      <c r="N6041" s="23" t="str">
        <f>IFERROR(VLOOKUP(A6041, Entries!A:K,11,false),"")</f>
        <v/>
      </c>
    </row>
    <row r="6042">
      <c r="A6042" s="78" t="s">
        <v>5933</v>
      </c>
      <c r="B6042" s="78" t="s">
        <v>25</v>
      </c>
      <c r="C6042" s="85">
        <v>45425.0</v>
      </c>
      <c r="D6042" s="85">
        <v>45432.0</v>
      </c>
      <c r="E6042" s="86">
        <v>31.0</v>
      </c>
      <c r="F6042" s="87">
        <v>44.91</v>
      </c>
      <c r="G6042" s="88">
        <f t="shared" si="1"/>
        <v>13.91</v>
      </c>
      <c r="H6042" s="89">
        <f t="shared" si="15"/>
        <v>0.3097305723</v>
      </c>
      <c r="I6042" s="78" t="s">
        <v>6930</v>
      </c>
      <c r="J6042" s="78" t="s">
        <v>69</v>
      </c>
      <c r="K6042" s="58">
        <f t="shared" si="16"/>
        <v>7</v>
      </c>
      <c r="L6042" s="91" t="str">
        <f t="shared" si="8"/>
        <v>Mon</v>
      </c>
      <c r="M6042" s="78" t="str">
        <f>IFERROR(VLOOKUP(A6042, Entries!A:B,2,false),"")</f>
        <v>Pocketpair</v>
      </c>
      <c r="N6042" s="23" t="str">
        <f>IFERROR(VLOOKUP(A6042, Entries!A:K,11,false),"")</f>
        <v/>
      </c>
    </row>
    <row r="6043">
      <c r="A6043" s="78" t="s">
        <v>5933</v>
      </c>
      <c r="B6043" s="78" t="s">
        <v>25</v>
      </c>
      <c r="C6043" s="85">
        <v>45425.0</v>
      </c>
      <c r="D6043" s="85">
        <v>45434.0</v>
      </c>
      <c r="E6043" s="86">
        <v>31.0</v>
      </c>
      <c r="F6043" s="87">
        <v>44.91</v>
      </c>
      <c r="G6043" s="88">
        <f t="shared" si="1"/>
        <v>13.91</v>
      </c>
      <c r="H6043" s="89">
        <f t="shared" si="15"/>
        <v>0.3097305723</v>
      </c>
      <c r="I6043" s="78" t="s">
        <v>6931</v>
      </c>
      <c r="J6043" s="78" t="s">
        <v>69</v>
      </c>
      <c r="K6043" s="58">
        <f t="shared" si="16"/>
        <v>9</v>
      </c>
      <c r="L6043" s="91" t="str">
        <f t="shared" si="8"/>
        <v>Wed</v>
      </c>
      <c r="M6043" s="78" t="str">
        <f>IFERROR(VLOOKUP(A6043, Entries!A:B,2,false),"")</f>
        <v>Pocketpair</v>
      </c>
      <c r="N6043" s="23" t="str">
        <f>IFERROR(VLOOKUP(A6043, Entries!A:K,11,false),"")</f>
        <v/>
      </c>
    </row>
    <row r="6044">
      <c r="A6044" s="78" t="s">
        <v>5933</v>
      </c>
      <c r="B6044" s="78" t="s">
        <v>25</v>
      </c>
      <c r="C6044" s="85">
        <v>45425.0</v>
      </c>
      <c r="D6044" s="85">
        <v>45434.0</v>
      </c>
      <c r="E6044" s="86">
        <v>30.95</v>
      </c>
      <c r="F6044" s="87">
        <v>44.91</v>
      </c>
      <c r="G6044" s="88">
        <f t="shared" si="1"/>
        <v>13.96</v>
      </c>
      <c r="H6044" s="89">
        <f t="shared" si="15"/>
        <v>0.31084391</v>
      </c>
      <c r="I6044" s="78" t="s">
        <v>6932</v>
      </c>
      <c r="J6044" s="78" t="s">
        <v>69</v>
      </c>
      <c r="K6044" s="58">
        <f t="shared" si="16"/>
        <v>9</v>
      </c>
      <c r="L6044" s="91" t="str">
        <f t="shared" si="8"/>
        <v>Wed</v>
      </c>
      <c r="M6044" s="78" t="str">
        <f>IFERROR(VLOOKUP(A6044, Entries!A:B,2,false),"")</f>
        <v>Pocketpair</v>
      </c>
      <c r="N6044" s="23" t="str">
        <f>IFERROR(VLOOKUP(A6044, Entries!A:K,11,false),"")</f>
        <v/>
      </c>
    </row>
    <row r="6045">
      <c r="A6045" s="78" t="s">
        <v>4926</v>
      </c>
      <c r="B6045" s="78" t="s">
        <v>22</v>
      </c>
      <c r="C6045" s="85">
        <v>45425.0</v>
      </c>
      <c r="D6045" s="85">
        <v>45425.0</v>
      </c>
      <c r="E6045" s="86">
        <v>8.3</v>
      </c>
      <c r="F6045" s="87">
        <v>9.6</v>
      </c>
      <c r="G6045" s="88">
        <f t="shared" si="1"/>
        <v>1.3</v>
      </c>
      <c r="H6045" s="89">
        <f t="shared" si="15"/>
        <v>0.1354166667</v>
      </c>
      <c r="I6045" s="78" t="s">
        <v>6933</v>
      </c>
      <c r="J6045" s="78" t="s">
        <v>69</v>
      </c>
      <c r="K6045" s="58">
        <f t="shared" si="16"/>
        <v>0</v>
      </c>
      <c r="L6045" s="91" t="str">
        <f t="shared" si="8"/>
        <v>Mon</v>
      </c>
      <c r="M6045" s="78" t="str">
        <f>IFERROR(VLOOKUP(A6045, Entries!A:B,2,false),"")</f>
        <v>Bethesda Softworks</v>
      </c>
      <c r="N6045" s="23" t="str">
        <f>IFERROR(VLOOKUP(A6045, Entries!A:K,11,false),"")</f>
        <v/>
      </c>
    </row>
    <row r="6046">
      <c r="A6046" s="78" t="s">
        <v>4926</v>
      </c>
      <c r="B6046" s="78" t="s">
        <v>22</v>
      </c>
      <c r="C6046" s="85">
        <v>45425.0</v>
      </c>
      <c r="D6046" s="85">
        <v>45425.0</v>
      </c>
      <c r="E6046" s="86">
        <v>8.33</v>
      </c>
      <c r="F6046" s="87">
        <v>9.6</v>
      </c>
      <c r="G6046" s="88">
        <f t="shared" si="1"/>
        <v>1.27</v>
      </c>
      <c r="H6046" s="89">
        <f t="shared" si="15"/>
        <v>0.1322916667</v>
      </c>
      <c r="I6046" s="78" t="s">
        <v>6934</v>
      </c>
      <c r="J6046" s="78" t="s">
        <v>69</v>
      </c>
      <c r="K6046" s="58">
        <f t="shared" si="16"/>
        <v>0</v>
      </c>
      <c r="L6046" s="91" t="str">
        <f t="shared" si="8"/>
        <v>Mon</v>
      </c>
      <c r="M6046" s="78" t="str">
        <f>IFERROR(VLOOKUP(A6046, Entries!A:B,2,false),"")</f>
        <v>Bethesda Softworks</v>
      </c>
      <c r="N6046" s="23" t="str">
        <f>IFERROR(VLOOKUP(A6046, Entries!A:K,11,false),"")</f>
        <v/>
      </c>
    </row>
    <row r="6047">
      <c r="A6047" s="78" t="s">
        <v>4926</v>
      </c>
      <c r="B6047" s="78" t="s">
        <v>22</v>
      </c>
      <c r="C6047" s="85">
        <v>45425.0</v>
      </c>
      <c r="D6047" s="85">
        <v>45425.0</v>
      </c>
      <c r="E6047" s="86">
        <v>8.33</v>
      </c>
      <c r="F6047" s="87">
        <v>9.6</v>
      </c>
      <c r="G6047" s="88">
        <f t="shared" si="1"/>
        <v>1.27</v>
      </c>
      <c r="H6047" s="89">
        <f t="shared" si="15"/>
        <v>0.1322916667</v>
      </c>
      <c r="I6047" s="78" t="s">
        <v>6935</v>
      </c>
      <c r="J6047" s="78" t="s">
        <v>69</v>
      </c>
      <c r="K6047" s="58">
        <f t="shared" si="16"/>
        <v>0</v>
      </c>
      <c r="L6047" s="91" t="str">
        <f t="shared" si="8"/>
        <v>Mon</v>
      </c>
      <c r="M6047" s="78" t="str">
        <f>IFERROR(VLOOKUP(A6047, Entries!A:B,2,false),"")</f>
        <v>Bethesda Softworks</v>
      </c>
      <c r="N6047" s="23" t="str">
        <f>IFERROR(VLOOKUP(A6047, Entries!A:K,11,false),"")</f>
        <v/>
      </c>
    </row>
    <row r="6048">
      <c r="A6048" s="78" t="s">
        <v>4926</v>
      </c>
      <c r="B6048" s="78" t="s">
        <v>22</v>
      </c>
      <c r="C6048" s="85">
        <v>45425.0</v>
      </c>
      <c r="D6048" s="85">
        <v>45426.0</v>
      </c>
      <c r="E6048" s="86">
        <v>8.33</v>
      </c>
      <c r="F6048" s="87">
        <v>9.6</v>
      </c>
      <c r="G6048" s="88">
        <f t="shared" si="1"/>
        <v>1.27</v>
      </c>
      <c r="H6048" s="89">
        <f t="shared" si="15"/>
        <v>0.1322916667</v>
      </c>
      <c r="I6048" s="78" t="s">
        <v>6936</v>
      </c>
      <c r="J6048" s="78" t="s">
        <v>69</v>
      </c>
      <c r="K6048" s="58">
        <f t="shared" si="16"/>
        <v>1</v>
      </c>
      <c r="L6048" s="91" t="str">
        <f t="shared" si="8"/>
        <v>Tue</v>
      </c>
      <c r="M6048" s="78" t="str">
        <f>IFERROR(VLOOKUP(A6048, Entries!A:B,2,false),"")</f>
        <v>Bethesda Softworks</v>
      </c>
      <c r="N6048" s="23" t="str">
        <f>IFERROR(VLOOKUP(A6048, Entries!A:K,11,false),"")</f>
        <v/>
      </c>
    </row>
    <row r="6049">
      <c r="A6049" s="78" t="s">
        <v>4926</v>
      </c>
      <c r="B6049" s="78" t="s">
        <v>22</v>
      </c>
      <c r="C6049" s="85">
        <v>45425.0</v>
      </c>
      <c r="D6049" s="85">
        <v>45426.0</v>
      </c>
      <c r="E6049" s="86">
        <v>8.33</v>
      </c>
      <c r="F6049" s="87">
        <v>9.6</v>
      </c>
      <c r="G6049" s="88">
        <f t="shared" si="1"/>
        <v>1.27</v>
      </c>
      <c r="H6049" s="89">
        <f t="shared" si="15"/>
        <v>0.1322916667</v>
      </c>
      <c r="I6049" s="78" t="s">
        <v>6937</v>
      </c>
      <c r="J6049" s="78" t="s">
        <v>69</v>
      </c>
      <c r="K6049" s="58">
        <f t="shared" si="16"/>
        <v>1</v>
      </c>
      <c r="L6049" s="91" t="str">
        <f t="shared" si="8"/>
        <v>Tue</v>
      </c>
      <c r="M6049" s="78" t="str">
        <f>IFERROR(VLOOKUP(A6049, Entries!A:B,2,false),"")</f>
        <v>Bethesda Softworks</v>
      </c>
      <c r="N6049" s="23" t="str">
        <f>IFERROR(VLOOKUP(A6049, Entries!A:K,11,false),"")</f>
        <v/>
      </c>
    </row>
    <row r="6050">
      <c r="A6050" s="78" t="s">
        <v>4926</v>
      </c>
      <c r="B6050" s="78" t="s">
        <v>22</v>
      </c>
      <c r="C6050" s="85">
        <v>45425.0</v>
      </c>
      <c r="D6050" s="85">
        <v>45426.0</v>
      </c>
      <c r="E6050" s="86">
        <v>8.33</v>
      </c>
      <c r="F6050" s="87">
        <v>9.6</v>
      </c>
      <c r="G6050" s="88">
        <f t="shared" si="1"/>
        <v>1.27</v>
      </c>
      <c r="H6050" s="89">
        <f t="shared" si="15"/>
        <v>0.1322916667</v>
      </c>
      <c r="I6050" s="78" t="s">
        <v>6938</v>
      </c>
      <c r="J6050" s="78" t="s">
        <v>69</v>
      </c>
      <c r="K6050" s="58">
        <f t="shared" si="16"/>
        <v>1</v>
      </c>
      <c r="L6050" s="91" t="str">
        <f t="shared" si="8"/>
        <v>Tue</v>
      </c>
      <c r="M6050" s="78" t="str">
        <f>IFERROR(VLOOKUP(A6050, Entries!A:B,2,false),"")</f>
        <v>Bethesda Softworks</v>
      </c>
      <c r="N6050" s="23" t="str">
        <f>IFERROR(VLOOKUP(A6050, Entries!A:K,11,false),"")</f>
        <v/>
      </c>
    </row>
    <row r="6051">
      <c r="A6051" s="78" t="s">
        <v>4926</v>
      </c>
      <c r="B6051" s="78" t="s">
        <v>22</v>
      </c>
      <c r="C6051" s="85">
        <v>45425.0</v>
      </c>
      <c r="D6051" s="85">
        <v>45426.0</v>
      </c>
      <c r="E6051" s="86">
        <v>8.33</v>
      </c>
      <c r="F6051" s="87">
        <v>9.86</v>
      </c>
      <c r="G6051" s="88">
        <f t="shared" si="1"/>
        <v>1.53</v>
      </c>
      <c r="H6051" s="89">
        <f t="shared" si="15"/>
        <v>0.1551724138</v>
      </c>
      <c r="I6051" s="78" t="s">
        <v>6939</v>
      </c>
      <c r="J6051" s="78" t="s">
        <v>69</v>
      </c>
      <c r="K6051" s="58">
        <f t="shared" si="16"/>
        <v>1</v>
      </c>
      <c r="L6051" s="91" t="str">
        <f t="shared" si="8"/>
        <v>Tue</v>
      </c>
      <c r="M6051" s="78" t="str">
        <f>IFERROR(VLOOKUP(A6051, Entries!A:B,2,false),"")</f>
        <v>Bethesda Softworks</v>
      </c>
      <c r="N6051" s="23" t="str">
        <f>IFERROR(VLOOKUP(A6051, Entries!A:K,11,false),"")</f>
        <v/>
      </c>
    </row>
    <row r="6052">
      <c r="A6052" s="78" t="s">
        <v>4926</v>
      </c>
      <c r="B6052" s="78" t="s">
        <v>22</v>
      </c>
      <c r="C6052" s="85">
        <v>45425.0</v>
      </c>
      <c r="D6052" s="85">
        <v>45426.0</v>
      </c>
      <c r="E6052" s="86">
        <v>8.33</v>
      </c>
      <c r="F6052" s="87">
        <v>9.86</v>
      </c>
      <c r="G6052" s="88">
        <f t="shared" si="1"/>
        <v>1.53</v>
      </c>
      <c r="H6052" s="89">
        <f t="shared" si="15"/>
        <v>0.1551724138</v>
      </c>
      <c r="I6052" s="78" t="s">
        <v>6940</v>
      </c>
      <c r="J6052" s="78" t="s">
        <v>69</v>
      </c>
      <c r="K6052" s="58">
        <f t="shared" si="16"/>
        <v>1</v>
      </c>
      <c r="L6052" s="91" t="str">
        <f t="shared" si="8"/>
        <v>Tue</v>
      </c>
      <c r="M6052" s="78" t="str">
        <f>IFERROR(VLOOKUP(A6052, Entries!A:B,2,false),"")</f>
        <v>Bethesda Softworks</v>
      </c>
      <c r="N6052" s="23" t="str">
        <f>IFERROR(VLOOKUP(A6052, Entries!A:K,11,false),"")</f>
        <v/>
      </c>
    </row>
    <row r="6053">
      <c r="A6053" s="78" t="s">
        <v>4926</v>
      </c>
      <c r="B6053" s="78" t="s">
        <v>22</v>
      </c>
      <c r="C6053" s="85">
        <v>45425.0</v>
      </c>
      <c r="D6053" s="85">
        <v>45431.0</v>
      </c>
      <c r="E6053" s="86">
        <v>8.33</v>
      </c>
      <c r="F6053" s="87">
        <v>9.3</v>
      </c>
      <c r="G6053" s="88">
        <f t="shared" si="1"/>
        <v>0.97</v>
      </c>
      <c r="H6053" s="89">
        <f t="shared" si="15"/>
        <v>0.1043010753</v>
      </c>
      <c r="I6053" s="78" t="s">
        <v>6941</v>
      </c>
      <c r="J6053" s="78" t="s">
        <v>69</v>
      </c>
      <c r="K6053" s="58">
        <f t="shared" si="16"/>
        <v>6</v>
      </c>
      <c r="L6053" s="91" t="str">
        <f t="shared" si="8"/>
        <v>Sun</v>
      </c>
      <c r="M6053" s="78" t="str">
        <f>IFERROR(VLOOKUP(A6053, Entries!A:B,2,false),"")</f>
        <v>Bethesda Softworks</v>
      </c>
      <c r="N6053" s="23" t="str">
        <f>IFERROR(VLOOKUP(A6053, Entries!A:K,11,false),"")</f>
        <v/>
      </c>
    </row>
    <row r="6054">
      <c r="A6054" s="78" t="s">
        <v>4926</v>
      </c>
      <c r="B6054" s="78" t="s">
        <v>22</v>
      </c>
      <c r="C6054" s="85">
        <v>45425.0</v>
      </c>
      <c r="D6054" s="85">
        <v>45432.0</v>
      </c>
      <c r="E6054" s="86">
        <v>8.33</v>
      </c>
      <c r="F6054" s="87">
        <v>9.3</v>
      </c>
      <c r="G6054" s="88">
        <f t="shared" si="1"/>
        <v>0.97</v>
      </c>
      <c r="H6054" s="89">
        <f t="shared" si="15"/>
        <v>0.1043010753</v>
      </c>
      <c r="I6054" s="78" t="s">
        <v>6942</v>
      </c>
      <c r="J6054" s="78" t="s">
        <v>69</v>
      </c>
      <c r="K6054" s="58">
        <f t="shared" si="16"/>
        <v>7</v>
      </c>
      <c r="L6054" s="91" t="str">
        <f t="shared" si="8"/>
        <v>Mon</v>
      </c>
      <c r="M6054" s="78" t="str">
        <f>IFERROR(VLOOKUP(A6054, Entries!A:B,2,false),"")</f>
        <v>Bethesda Softworks</v>
      </c>
      <c r="N6054" s="23" t="str">
        <f>IFERROR(VLOOKUP(A6054, Entries!A:K,11,false),"")</f>
        <v/>
      </c>
    </row>
    <row r="6055">
      <c r="A6055" s="78" t="s">
        <v>6682</v>
      </c>
      <c r="B6055" s="78" t="s">
        <v>19</v>
      </c>
      <c r="C6055" s="85">
        <v>45425.0</v>
      </c>
      <c r="D6055" s="85">
        <v>45640.0</v>
      </c>
      <c r="E6055" s="86">
        <v>8.0</v>
      </c>
      <c r="F6055" s="87">
        <v>9.05</v>
      </c>
      <c r="G6055" s="88">
        <f t="shared" si="1"/>
        <v>1.05</v>
      </c>
      <c r="H6055" s="89">
        <f t="shared" si="15"/>
        <v>0.1160220994</v>
      </c>
      <c r="I6055" s="78" t="s">
        <v>6943</v>
      </c>
      <c r="J6055" s="78" t="s">
        <v>69</v>
      </c>
      <c r="K6055" s="58">
        <f t="shared" si="16"/>
        <v>215</v>
      </c>
      <c r="L6055" s="91" t="str">
        <f t="shared" si="8"/>
        <v>Sat</v>
      </c>
      <c r="M6055" s="78" t="str">
        <f>IFERROR(VLOOKUP(A6055, Entries!A:B,2,false),"")</f>
        <v>Bethesda Softworks</v>
      </c>
      <c r="N6055" s="23" t="str">
        <f>IFERROR(VLOOKUP(A6055, Entries!A:K,11,false),"")</f>
        <v/>
      </c>
    </row>
    <row r="6056">
      <c r="A6056" s="78" t="s">
        <v>6733</v>
      </c>
      <c r="B6056" s="78" t="s">
        <v>19</v>
      </c>
      <c r="C6056" s="85">
        <v>45425.0</v>
      </c>
      <c r="D6056" s="85">
        <v>45470.0</v>
      </c>
      <c r="E6056" s="86">
        <v>6.0</v>
      </c>
      <c r="F6056" s="87">
        <v>9.02</v>
      </c>
      <c r="G6056" s="88">
        <f t="shared" si="1"/>
        <v>3.02</v>
      </c>
      <c r="H6056" s="89">
        <f t="shared" si="15"/>
        <v>0.3348115299</v>
      </c>
      <c r="I6056" s="78" t="s">
        <v>6944</v>
      </c>
      <c r="J6056" s="78" t="s">
        <v>69</v>
      </c>
      <c r="K6056" s="58">
        <f t="shared" si="16"/>
        <v>45</v>
      </c>
      <c r="L6056" s="91" t="str">
        <f t="shared" si="8"/>
        <v>Thu</v>
      </c>
      <c r="M6056" s="78" t="str">
        <f>IFERROR(VLOOKUP(A6056, Entries!A:B,2,false),"")</f>
        <v/>
      </c>
      <c r="N6056" s="23" t="str">
        <f>IFERROR(VLOOKUP(A6056, Entries!A:K,11,false),"")</f>
        <v/>
      </c>
    </row>
    <row r="6057">
      <c r="A6057" s="78" t="s">
        <v>6735</v>
      </c>
      <c r="B6057" s="78" t="s">
        <v>19</v>
      </c>
      <c r="C6057" s="85">
        <v>45425.0</v>
      </c>
      <c r="D6057" s="85">
        <v>45429.0</v>
      </c>
      <c r="E6057" s="86">
        <v>3.0</v>
      </c>
      <c r="F6057" s="87">
        <v>4.53</v>
      </c>
      <c r="G6057" s="88">
        <f t="shared" si="1"/>
        <v>1.53</v>
      </c>
      <c r="H6057" s="89">
        <f t="shared" si="15"/>
        <v>0.3377483444</v>
      </c>
      <c r="I6057" s="78" t="s">
        <v>6945</v>
      </c>
      <c r="J6057" s="78" t="s">
        <v>69</v>
      </c>
      <c r="K6057" s="58">
        <f t="shared" si="16"/>
        <v>4</v>
      </c>
      <c r="L6057" s="91" t="str">
        <f t="shared" si="8"/>
        <v>Fri</v>
      </c>
      <c r="M6057" s="78" t="str">
        <f>IFERROR(VLOOKUP(A6057, Entries!A:B,2,false),"")</f>
        <v/>
      </c>
      <c r="N6057" s="23" t="str">
        <f>IFERROR(VLOOKUP(A6057, Entries!A:K,11,false),"")</f>
        <v/>
      </c>
    </row>
    <row r="6058">
      <c r="A6058" s="78" t="s">
        <v>6737</v>
      </c>
      <c r="B6058" s="78" t="s">
        <v>19</v>
      </c>
      <c r="C6058" s="85">
        <v>45425.0</v>
      </c>
      <c r="D6058" s="85">
        <v>45802.0</v>
      </c>
      <c r="E6058" s="86">
        <v>4.0</v>
      </c>
      <c r="F6058" s="87">
        <v>4.8</v>
      </c>
      <c r="G6058" s="88">
        <f t="shared" si="1"/>
        <v>0.8</v>
      </c>
      <c r="H6058" s="89">
        <f t="shared" si="15"/>
        <v>0.1666666667</v>
      </c>
      <c r="I6058" s="103" t="s">
        <v>6946</v>
      </c>
      <c r="J6058" s="78" t="s">
        <v>69</v>
      </c>
      <c r="K6058" s="58">
        <f t="shared" si="16"/>
        <v>377</v>
      </c>
      <c r="L6058" s="91" t="str">
        <f t="shared" si="8"/>
        <v>Sun</v>
      </c>
      <c r="M6058" s="78" t="str">
        <f>IFERROR(VLOOKUP(A6058, Entries!A:B,2,false),"")</f>
        <v/>
      </c>
      <c r="N6058" s="23" t="str">
        <f>IFERROR(VLOOKUP(A6058, Entries!A:K,11,false),"")</f>
        <v/>
      </c>
    </row>
    <row r="6059">
      <c r="A6059" s="78" t="s">
        <v>6739</v>
      </c>
      <c r="B6059" s="78" t="s">
        <v>19</v>
      </c>
      <c r="C6059" s="85">
        <v>45425.0</v>
      </c>
      <c r="D6059" s="85">
        <v>45745.0</v>
      </c>
      <c r="E6059" s="86">
        <v>2.0</v>
      </c>
      <c r="F6059" s="87">
        <v>4.07</v>
      </c>
      <c r="G6059" s="88">
        <f t="shared" si="1"/>
        <v>2.07</v>
      </c>
      <c r="H6059" s="89">
        <f t="shared" si="15"/>
        <v>0.5085995086</v>
      </c>
      <c r="I6059" s="78" t="s">
        <v>6947</v>
      </c>
      <c r="J6059" s="78" t="s">
        <v>69</v>
      </c>
      <c r="K6059" s="58">
        <f t="shared" si="16"/>
        <v>320</v>
      </c>
      <c r="L6059" s="91" t="str">
        <f t="shared" si="8"/>
        <v>Sat</v>
      </c>
      <c r="M6059" s="78" t="str">
        <f>IFERROR(VLOOKUP(A6059, Entries!A:B,2,false),"")</f>
        <v/>
      </c>
      <c r="N6059" s="23" t="str">
        <f>IFERROR(VLOOKUP(A6059, Entries!A:K,11,false),"")</f>
        <v/>
      </c>
    </row>
    <row r="6060">
      <c r="A6060" s="78" t="s">
        <v>2339</v>
      </c>
      <c r="B6060" s="78" t="s">
        <v>19</v>
      </c>
      <c r="C6060" s="85">
        <v>45425.0</v>
      </c>
      <c r="D6060" s="85">
        <v>45697.0</v>
      </c>
      <c r="E6060" s="86">
        <v>1.82</v>
      </c>
      <c r="F6060" s="87">
        <v>2.08</v>
      </c>
      <c r="G6060" s="88">
        <f t="shared" si="1"/>
        <v>0.26</v>
      </c>
      <c r="H6060" s="89">
        <f t="shared" si="15"/>
        <v>0.125</v>
      </c>
      <c r="I6060" s="78" t="s">
        <v>6948</v>
      </c>
      <c r="J6060" s="78" t="s">
        <v>69</v>
      </c>
      <c r="K6060" s="58">
        <f t="shared" si="16"/>
        <v>272</v>
      </c>
      <c r="L6060" s="91" t="str">
        <f t="shared" si="8"/>
        <v>Sun</v>
      </c>
      <c r="M6060" s="78" t="str">
        <f>IFERROR(VLOOKUP(A6060, Entries!A:B,2,false),"")</f>
        <v>PlayWay</v>
      </c>
      <c r="N6060" s="23" t="str">
        <f>IFERROR(VLOOKUP(A6060, Entries!A:K,11,false),"")</f>
        <v/>
      </c>
    </row>
    <row r="6061">
      <c r="A6061" s="78" t="s">
        <v>6730</v>
      </c>
      <c r="B6061" s="78" t="s">
        <v>19</v>
      </c>
      <c r="C6061" s="85">
        <v>45425.0</v>
      </c>
      <c r="D6061" s="85">
        <v>45440.0</v>
      </c>
      <c r="E6061" s="86">
        <v>0.0</v>
      </c>
      <c r="F6061" s="87">
        <v>0.17</v>
      </c>
      <c r="G6061" s="88">
        <f t="shared" si="1"/>
        <v>0.17</v>
      </c>
      <c r="H6061" s="89">
        <f t="shared" si="15"/>
        <v>1</v>
      </c>
      <c r="I6061" s="78" t="s">
        <v>6949</v>
      </c>
      <c r="J6061" s="78" t="s">
        <v>69</v>
      </c>
      <c r="K6061" s="58">
        <f t="shared" si="16"/>
        <v>15</v>
      </c>
      <c r="L6061" s="91" t="str">
        <f t="shared" si="8"/>
        <v>Tue</v>
      </c>
      <c r="M6061" s="78" t="str">
        <f>IFERROR(VLOOKUP(A6061, Entries!A:B,2,false),"")</f>
        <v/>
      </c>
      <c r="N6061" s="23" t="str">
        <f>IFERROR(VLOOKUP(A6061, Entries!A:K,11,false),"")</f>
        <v/>
      </c>
    </row>
    <row r="6062">
      <c r="A6062" s="78" t="s">
        <v>6910</v>
      </c>
      <c r="B6062" s="78" t="s">
        <v>22</v>
      </c>
      <c r="C6062" s="85">
        <v>45425.0</v>
      </c>
      <c r="D6062" s="85">
        <v>45451.0</v>
      </c>
      <c r="E6062" s="86">
        <v>13.31</v>
      </c>
      <c r="F6062" s="87">
        <v>15.98</v>
      </c>
      <c r="G6062" s="88">
        <f t="shared" si="1"/>
        <v>2.67</v>
      </c>
      <c r="H6062" s="89">
        <f t="shared" si="15"/>
        <v>0.1670838548</v>
      </c>
      <c r="I6062" s="78" t="s">
        <v>6950</v>
      </c>
      <c r="J6062" s="78" t="s">
        <v>69</v>
      </c>
      <c r="K6062" s="58">
        <f t="shared" si="16"/>
        <v>26</v>
      </c>
      <c r="L6062" s="91" t="str">
        <f t="shared" si="8"/>
        <v>Sat</v>
      </c>
      <c r="M6062" s="78" t="str">
        <f>IFERROR(VLOOKUP(A6062, Entries!A:B,2,false),"")</f>
        <v/>
      </c>
      <c r="N6062" s="23" t="str">
        <f>IFERROR(VLOOKUP(A6062, Entries!A:K,11,false),"")</f>
        <v/>
      </c>
    </row>
    <row r="6063">
      <c r="A6063" s="78" t="s">
        <v>6018</v>
      </c>
      <c r="B6063" s="78" t="s">
        <v>30</v>
      </c>
      <c r="C6063" s="85">
        <v>45425.0</v>
      </c>
      <c r="D6063" s="85">
        <v>45433.0</v>
      </c>
      <c r="E6063" s="86">
        <v>12.58</v>
      </c>
      <c r="F6063" s="87">
        <v>13.0</v>
      </c>
      <c r="G6063" s="88">
        <f t="shared" si="1"/>
        <v>0.42</v>
      </c>
      <c r="H6063" s="89">
        <f t="shared" si="15"/>
        <v>0.03230769231</v>
      </c>
      <c r="I6063" s="78" t="s">
        <v>6951</v>
      </c>
      <c r="J6063" s="78" t="s">
        <v>69</v>
      </c>
      <c r="K6063" s="58">
        <f t="shared" si="16"/>
        <v>8</v>
      </c>
      <c r="L6063" s="91" t="str">
        <f t="shared" si="8"/>
        <v>Tue</v>
      </c>
      <c r="M6063" s="78" t="str">
        <f>IFERROR(VLOOKUP(A6063, Entries!A:B,2,false),"")</f>
        <v>Square Enix</v>
      </c>
      <c r="N6063" s="23" t="str">
        <f>IFERROR(VLOOKUP(A6063, Entries!A:K,11,false),"")</f>
        <v/>
      </c>
    </row>
    <row r="6064">
      <c r="A6064" s="78" t="s">
        <v>4926</v>
      </c>
      <c r="B6064" s="78" t="s">
        <v>22</v>
      </c>
      <c r="C6064" s="85">
        <v>45425.0</v>
      </c>
      <c r="D6064" s="85">
        <v>45432.0</v>
      </c>
      <c r="E6064" s="86">
        <v>8.3</v>
      </c>
      <c r="F6064" s="87">
        <v>9.3</v>
      </c>
      <c r="G6064" s="88">
        <f t="shared" si="1"/>
        <v>1</v>
      </c>
      <c r="H6064" s="89">
        <f t="shared" si="15"/>
        <v>0.1075268817</v>
      </c>
      <c r="I6064" s="78" t="s">
        <v>6952</v>
      </c>
      <c r="J6064" s="78" t="s">
        <v>69</v>
      </c>
      <c r="K6064" s="58">
        <f t="shared" si="16"/>
        <v>7</v>
      </c>
      <c r="L6064" s="91" t="str">
        <f t="shared" si="8"/>
        <v>Mon</v>
      </c>
      <c r="M6064" s="78" t="str">
        <f>IFERROR(VLOOKUP(A6064, Entries!A:B,2,false),"")</f>
        <v>Bethesda Softworks</v>
      </c>
      <c r="N6064" s="23" t="str">
        <f>IFERROR(VLOOKUP(A6064, Entries!A:K,11,false),"")</f>
        <v/>
      </c>
    </row>
    <row r="6065">
      <c r="A6065" s="78" t="s">
        <v>4926</v>
      </c>
      <c r="B6065" s="78" t="s">
        <v>22</v>
      </c>
      <c r="C6065" s="85">
        <v>45425.0</v>
      </c>
      <c r="D6065" s="85">
        <v>45432.0</v>
      </c>
      <c r="E6065" s="86">
        <v>8.33</v>
      </c>
      <c r="F6065" s="87">
        <v>9.3</v>
      </c>
      <c r="G6065" s="88">
        <f t="shared" si="1"/>
        <v>0.97</v>
      </c>
      <c r="H6065" s="89">
        <f t="shared" si="15"/>
        <v>0.1043010753</v>
      </c>
      <c r="I6065" s="78" t="s">
        <v>6953</v>
      </c>
      <c r="J6065" s="78" t="s">
        <v>69</v>
      </c>
      <c r="K6065" s="58">
        <f t="shared" si="16"/>
        <v>7</v>
      </c>
      <c r="L6065" s="91" t="str">
        <f t="shared" si="8"/>
        <v>Mon</v>
      </c>
      <c r="M6065" s="78" t="str">
        <f>IFERROR(VLOOKUP(A6065, Entries!A:B,2,false),"")</f>
        <v>Bethesda Softworks</v>
      </c>
      <c r="N6065" s="23" t="str">
        <f>IFERROR(VLOOKUP(A6065, Entries!A:K,11,false),"")</f>
        <v/>
      </c>
    </row>
    <row r="6066">
      <c r="A6066" s="78" t="s">
        <v>4926</v>
      </c>
      <c r="B6066" s="78" t="s">
        <v>22</v>
      </c>
      <c r="C6066" s="85">
        <v>45425.0</v>
      </c>
      <c r="D6066" s="85">
        <v>45434.0</v>
      </c>
      <c r="E6066" s="86">
        <v>8.33</v>
      </c>
      <c r="F6066" s="87">
        <v>9.29</v>
      </c>
      <c r="G6066" s="88">
        <f t="shared" si="1"/>
        <v>0.96</v>
      </c>
      <c r="H6066" s="89">
        <f t="shared" si="15"/>
        <v>0.1033369214</v>
      </c>
      <c r="I6066" s="78" t="s">
        <v>6954</v>
      </c>
      <c r="J6066" s="78" t="s">
        <v>69</v>
      </c>
      <c r="K6066" s="58">
        <f t="shared" si="16"/>
        <v>9</v>
      </c>
      <c r="L6066" s="91" t="str">
        <f t="shared" si="8"/>
        <v>Wed</v>
      </c>
      <c r="M6066" s="78" t="str">
        <f>IFERROR(VLOOKUP(A6066, Entries!A:B,2,false),"")</f>
        <v>Bethesda Softworks</v>
      </c>
      <c r="N6066" s="23" t="str">
        <f>IFERROR(VLOOKUP(A6066, Entries!A:K,11,false),"")</f>
        <v/>
      </c>
    </row>
    <row r="6067">
      <c r="A6067" s="78" t="s">
        <v>4926</v>
      </c>
      <c r="B6067" s="78" t="s">
        <v>22</v>
      </c>
      <c r="C6067" s="85">
        <v>45425.0</v>
      </c>
      <c r="D6067" s="85">
        <v>45434.0</v>
      </c>
      <c r="E6067" s="86">
        <v>8.33</v>
      </c>
      <c r="F6067" s="87">
        <v>9.29</v>
      </c>
      <c r="G6067" s="88">
        <f t="shared" si="1"/>
        <v>0.96</v>
      </c>
      <c r="H6067" s="89">
        <f t="shared" si="15"/>
        <v>0.1033369214</v>
      </c>
      <c r="I6067" s="78" t="s">
        <v>6955</v>
      </c>
      <c r="J6067" s="78" t="s">
        <v>69</v>
      </c>
      <c r="K6067" s="58">
        <f t="shared" si="16"/>
        <v>9</v>
      </c>
      <c r="L6067" s="91" t="str">
        <f t="shared" si="8"/>
        <v>Wed</v>
      </c>
      <c r="M6067" s="78" t="str">
        <f>IFERROR(VLOOKUP(A6067, Entries!A:B,2,false),"")</f>
        <v>Bethesda Softworks</v>
      </c>
      <c r="N6067" s="23" t="str">
        <f>IFERROR(VLOOKUP(A6067, Entries!A:K,11,false),"")</f>
        <v/>
      </c>
    </row>
    <row r="6068">
      <c r="A6068" s="78" t="s">
        <v>4926</v>
      </c>
      <c r="B6068" s="78" t="s">
        <v>22</v>
      </c>
      <c r="C6068" s="85">
        <v>45425.0</v>
      </c>
      <c r="D6068" s="85">
        <v>45434.0</v>
      </c>
      <c r="E6068" s="86">
        <v>8.33</v>
      </c>
      <c r="F6068" s="87">
        <v>9.29</v>
      </c>
      <c r="G6068" s="88">
        <f t="shared" si="1"/>
        <v>0.96</v>
      </c>
      <c r="H6068" s="89">
        <f t="shared" si="15"/>
        <v>0.1033369214</v>
      </c>
      <c r="I6068" s="78" t="s">
        <v>6956</v>
      </c>
      <c r="J6068" s="78" t="s">
        <v>69</v>
      </c>
      <c r="K6068" s="58">
        <f t="shared" si="16"/>
        <v>9</v>
      </c>
      <c r="L6068" s="91" t="str">
        <f t="shared" si="8"/>
        <v>Wed</v>
      </c>
      <c r="M6068" s="78" t="str">
        <f>IFERROR(VLOOKUP(A6068, Entries!A:B,2,false),"")</f>
        <v>Bethesda Softworks</v>
      </c>
      <c r="N6068" s="23" t="str">
        <f>IFERROR(VLOOKUP(A6068, Entries!A:K,11,false),"")</f>
        <v/>
      </c>
    </row>
    <row r="6069">
      <c r="A6069" s="78" t="s">
        <v>4926</v>
      </c>
      <c r="B6069" s="78" t="s">
        <v>22</v>
      </c>
      <c r="C6069" s="85">
        <v>45425.0</v>
      </c>
      <c r="D6069" s="85">
        <v>45434.0</v>
      </c>
      <c r="E6069" s="86">
        <v>8.33</v>
      </c>
      <c r="F6069" s="87">
        <v>9.29</v>
      </c>
      <c r="G6069" s="88">
        <f t="shared" si="1"/>
        <v>0.96</v>
      </c>
      <c r="H6069" s="89">
        <f t="shared" si="15"/>
        <v>0.1033369214</v>
      </c>
      <c r="I6069" s="78" t="s">
        <v>6957</v>
      </c>
      <c r="J6069" s="78" t="s">
        <v>69</v>
      </c>
      <c r="K6069" s="58">
        <f t="shared" si="16"/>
        <v>9</v>
      </c>
      <c r="L6069" s="91" t="str">
        <f t="shared" si="8"/>
        <v>Wed</v>
      </c>
      <c r="M6069" s="78" t="str">
        <f>IFERROR(VLOOKUP(A6069, Entries!A:B,2,false),"")</f>
        <v>Bethesda Softworks</v>
      </c>
      <c r="N6069" s="23" t="str">
        <f>IFERROR(VLOOKUP(A6069, Entries!A:K,11,false),"")</f>
        <v/>
      </c>
    </row>
    <row r="6070">
      <c r="A6070" s="78" t="s">
        <v>4926</v>
      </c>
      <c r="B6070" s="78" t="s">
        <v>22</v>
      </c>
      <c r="C6070" s="85">
        <v>45425.0</v>
      </c>
      <c r="D6070" s="85">
        <v>45434.0</v>
      </c>
      <c r="E6070" s="86">
        <v>8.33</v>
      </c>
      <c r="F6070" s="87">
        <v>9.43</v>
      </c>
      <c r="G6070" s="88">
        <f t="shared" si="1"/>
        <v>1.1</v>
      </c>
      <c r="H6070" s="89">
        <f t="shared" si="15"/>
        <v>0.1166489926</v>
      </c>
      <c r="I6070" s="78" t="s">
        <v>6958</v>
      </c>
      <c r="J6070" s="78" t="s">
        <v>69</v>
      </c>
      <c r="K6070" s="58">
        <f t="shared" si="16"/>
        <v>9</v>
      </c>
      <c r="L6070" s="91" t="str">
        <f t="shared" si="8"/>
        <v>Wed</v>
      </c>
      <c r="M6070" s="78" t="str">
        <f>IFERROR(VLOOKUP(A6070, Entries!A:B,2,false),"")</f>
        <v>Bethesda Softworks</v>
      </c>
      <c r="N6070" s="23" t="str">
        <f>IFERROR(VLOOKUP(A6070, Entries!A:K,11,false),"")</f>
        <v/>
      </c>
    </row>
    <row r="6071">
      <c r="A6071" s="78" t="s">
        <v>4926</v>
      </c>
      <c r="B6071" s="78" t="s">
        <v>22</v>
      </c>
      <c r="C6071" s="85">
        <v>45425.0</v>
      </c>
      <c r="D6071" s="85">
        <v>45435.0</v>
      </c>
      <c r="E6071" s="86">
        <v>8.33</v>
      </c>
      <c r="F6071" s="87">
        <v>9.4</v>
      </c>
      <c r="G6071" s="88">
        <f t="shared" si="1"/>
        <v>1.07</v>
      </c>
      <c r="H6071" s="89">
        <f t="shared" si="15"/>
        <v>0.1138297872</v>
      </c>
      <c r="I6071" s="78" t="s">
        <v>6959</v>
      </c>
      <c r="J6071" s="78" t="s">
        <v>69</v>
      </c>
      <c r="K6071" s="58">
        <f t="shared" si="16"/>
        <v>10</v>
      </c>
      <c r="L6071" s="91" t="str">
        <f t="shared" si="8"/>
        <v>Thu</v>
      </c>
      <c r="M6071" s="78" t="str">
        <f>IFERROR(VLOOKUP(A6071, Entries!A:B,2,false),"")</f>
        <v>Bethesda Softworks</v>
      </c>
      <c r="N6071" s="23" t="str">
        <f>IFERROR(VLOOKUP(A6071, Entries!A:K,11,false),"")</f>
        <v/>
      </c>
    </row>
    <row r="6072">
      <c r="A6072" s="78" t="s">
        <v>4926</v>
      </c>
      <c r="B6072" s="78" t="s">
        <v>22</v>
      </c>
      <c r="C6072" s="85">
        <v>45425.0</v>
      </c>
      <c r="D6072" s="85">
        <v>45435.0</v>
      </c>
      <c r="E6072" s="86">
        <v>8.33</v>
      </c>
      <c r="F6072" s="87">
        <v>9.43</v>
      </c>
      <c r="G6072" s="88">
        <f t="shared" si="1"/>
        <v>1.1</v>
      </c>
      <c r="H6072" s="89">
        <f t="shared" si="15"/>
        <v>0.1166489926</v>
      </c>
      <c r="I6072" s="78" t="s">
        <v>6960</v>
      </c>
      <c r="J6072" s="78" t="s">
        <v>69</v>
      </c>
      <c r="K6072" s="58">
        <f t="shared" si="16"/>
        <v>10</v>
      </c>
      <c r="L6072" s="91" t="str">
        <f t="shared" si="8"/>
        <v>Thu</v>
      </c>
      <c r="M6072" s="78" t="str">
        <f>IFERROR(VLOOKUP(A6072, Entries!A:B,2,false),"")</f>
        <v>Bethesda Softworks</v>
      </c>
      <c r="N6072" s="23" t="str">
        <f>IFERROR(VLOOKUP(A6072, Entries!A:K,11,false),"")</f>
        <v/>
      </c>
    </row>
    <row r="6073">
      <c r="A6073" s="78" t="s">
        <v>4926</v>
      </c>
      <c r="B6073" s="78" t="s">
        <v>22</v>
      </c>
      <c r="C6073" s="85">
        <v>45425.0</v>
      </c>
      <c r="D6073" s="85">
        <v>45435.0</v>
      </c>
      <c r="E6073" s="86">
        <v>8.33</v>
      </c>
      <c r="F6073" s="87">
        <v>9.5</v>
      </c>
      <c r="G6073" s="88">
        <f t="shared" si="1"/>
        <v>1.17</v>
      </c>
      <c r="H6073" s="89">
        <f t="shared" si="15"/>
        <v>0.1231578947</v>
      </c>
      <c r="I6073" s="78" t="s">
        <v>6961</v>
      </c>
      <c r="J6073" s="78" t="s">
        <v>69</v>
      </c>
      <c r="K6073" s="58">
        <f t="shared" si="16"/>
        <v>10</v>
      </c>
      <c r="L6073" s="91" t="str">
        <f t="shared" si="8"/>
        <v>Thu</v>
      </c>
      <c r="M6073" s="78" t="str">
        <f>IFERROR(VLOOKUP(A6073, Entries!A:B,2,false),"")</f>
        <v>Bethesda Softworks</v>
      </c>
      <c r="N6073" s="23" t="str">
        <f>IFERROR(VLOOKUP(A6073, Entries!A:K,11,false),"")</f>
        <v/>
      </c>
    </row>
    <row r="6074">
      <c r="A6074" s="78" t="s">
        <v>6006</v>
      </c>
      <c r="B6074" s="78" t="s">
        <v>19</v>
      </c>
      <c r="C6074" s="85">
        <v>45426.0</v>
      </c>
      <c r="D6074" s="85">
        <v>45426.0</v>
      </c>
      <c r="E6074" s="86">
        <v>35.0</v>
      </c>
      <c r="F6074" s="87">
        <v>42.0</v>
      </c>
      <c r="G6074" s="88">
        <f t="shared" si="1"/>
        <v>7</v>
      </c>
      <c r="H6074" s="89">
        <f t="shared" si="15"/>
        <v>0.1666666667</v>
      </c>
      <c r="I6074" s="78" t="s">
        <v>6962</v>
      </c>
      <c r="J6074" s="78" t="s">
        <v>69</v>
      </c>
      <c r="K6074" s="58">
        <f t="shared" si="16"/>
        <v>0</v>
      </c>
      <c r="L6074" s="91" t="str">
        <f t="shared" si="8"/>
        <v>Tue</v>
      </c>
      <c r="M6074" s="78" t="str">
        <f>IFERROR(VLOOKUP(A6074, Entries!A:B,2,false),"")</f>
        <v>Bethesda Softworks</v>
      </c>
      <c r="N6074" s="23" t="str">
        <f>IFERROR(VLOOKUP(A6074, Entries!A:K,11,false),"")</f>
        <v/>
      </c>
    </row>
    <row r="6075">
      <c r="A6075" s="78" t="s">
        <v>2339</v>
      </c>
      <c r="B6075" s="78" t="s">
        <v>19</v>
      </c>
      <c r="C6075" s="85">
        <v>45426.0</v>
      </c>
      <c r="D6075" s="85">
        <v>45697.0</v>
      </c>
      <c r="E6075" s="86">
        <v>1.47</v>
      </c>
      <c r="F6075" s="87">
        <v>2.08</v>
      </c>
      <c r="G6075" s="88">
        <f t="shared" si="1"/>
        <v>0.61</v>
      </c>
      <c r="H6075" s="89">
        <f t="shared" si="15"/>
        <v>0.2932692308</v>
      </c>
      <c r="I6075" s="78" t="s">
        <v>6963</v>
      </c>
      <c r="J6075" s="78" t="s">
        <v>69</v>
      </c>
      <c r="K6075" s="58">
        <f t="shared" si="16"/>
        <v>271</v>
      </c>
      <c r="L6075" s="91" t="str">
        <f t="shared" si="8"/>
        <v>Sun</v>
      </c>
      <c r="M6075" s="78" t="str">
        <f>IFERROR(VLOOKUP(A6075, Entries!A:B,2,false),"")</f>
        <v>PlayWay</v>
      </c>
      <c r="N6075" s="23" t="str">
        <f>IFERROR(VLOOKUP(A6075, Entries!A:K,11,false),"")</f>
        <v/>
      </c>
    </row>
    <row r="6076">
      <c r="A6076" s="78" t="s">
        <v>6763</v>
      </c>
      <c r="B6076" s="78" t="s">
        <v>19</v>
      </c>
      <c r="C6076" s="85">
        <v>45426.0</v>
      </c>
      <c r="D6076" s="85">
        <v>45438.0</v>
      </c>
      <c r="E6076" s="86">
        <v>0.0</v>
      </c>
      <c r="F6076" s="87">
        <v>0.14</v>
      </c>
      <c r="G6076" s="88">
        <f t="shared" si="1"/>
        <v>0.14</v>
      </c>
      <c r="H6076" s="89">
        <f t="shared" si="15"/>
        <v>1</v>
      </c>
      <c r="I6076" s="78" t="s">
        <v>6964</v>
      </c>
      <c r="J6076" s="78" t="s">
        <v>69</v>
      </c>
      <c r="K6076" s="58">
        <f t="shared" si="16"/>
        <v>12</v>
      </c>
      <c r="L6076" s="91" t="str">
        <f t="shared" si="8"/>
        <v>Sun</v>
      </c>
      <c r="M6076" s="78" t="str">
        <f>IFERROR(VLOOKUP(A6076, Entries!A:B,2,false),"")</f>
        <v/>
      </c>
      <c r="N6076" s="23" t="str">
        <f>IFERROR(VLOOKUP(A6076, Entries!A:K,11,false),"")</f>
        <v/>
      </c>
    </row>
    <row r="6077">
      <c r="A6077" s="78" t="s">
        <v>6006</v>
      </c>
      <c r="B6077" s="78" t="s">
        <v>19</v>
      </c>
      <c r="C6077" s="85">
        <v>45426.0</v>
      </c>
      <c r="D6077" s="85">
        <v>45426.0</v>
      </c>
      <c r="E6077" s="86">
        <v>36.68</v>
      </c>
      <c r="F6077" s="87">
        <v>42.0</v>
      </c>
      <c r="G6077" s="88">
        <f t="shared" si="1"/>
        <v>5.32</v>
      </c>
      <c r="H6077" s="89">
        <f t="shared" si="15"/>
        <v>0.1266666667</v>
      </c>
      <c r="I6077" s="78" t="s">
        <v>6965</v>
      </c>
      <c r="J6077" s="78" t="s">
        <v>69</v>
      </c>
      <c r="K6077" s="58">
        <f t="shared" si="16"/>
        <v>0</v>
      </c>
      <c r="L6077" s="91" t="str">
        <f t="shared" si="8"/>
        <v>Tue</v>
      </c>
      <c r="M6077" s="78" t="str">
        <f>IFERROR(VLOOKUP(A6077, Entries!A:B,2,false),"")</f>
        <v>Bethesda Softworks</v>
      </c>
      <c r="N6077" s="23" t="str">
        <f>IFERROR(VLOOKUP(A6077, Entries!A:K,11,false),"")</f>
        <v/>
      </c>
    </row>
    <row r="6078">
      <c r="A6078" s="78" t="s">
        <v>6006</v>
      </c>
      <c r="B6078" s="78" t="s">
        <v>19</v>
      </c>
      <c r="C6078" s="85">
        <v>45426.0</v>
      </c>
      <c r="D6078" s="85">
        <v>45426.0</v>
      </c>
      <c r="E6078" s="86">
        <v>33.0</v>
      </c>
      <c r="F6078" s="87">
        <v>42.0</v>
      </c>
      <c r="G6078" s="88">
        <f t="shared" si="1"/>
        <v>9</v>
      </c>
      <c r="H6078" s="89">
        <f t="shared" si="15"/>
        <v>0.2142857143</v>
      </c>
      <c r="I6078" s="78" t="s">
        <v>6966</v>
      </c>
      <c r="J6078" s="78" t="s">
        <v>69</v>
      </c>
      <c r="K6078" s="58">
        <f t="shared" si="16"/>
        <v>0</v>
      </c>
      <c r="L6078" s="91" t="str">
        <f t="shared" si="8"/>
        <v>Tue</v>
      </c>
      <c r="M6078" s="78" t="str">
        <f>IFERROR(VLOOKUP(A6078, Entries!A:B,2,false),"")</f>
        <v>Bethesda Softworks</v>
      </c>
      <c r="N6078" s="23" t="str">
        <f>IFERROR(VLOOKUP(A6078, Entries!A:K,11,false),"")</f>
        <v/>
      </c>
    </row>
    <row r="6079">
      <c r="A6079" s="78" t="s">
        <v>2339</v>
      </c>
      <c r="B6079" s="78" t="s">
        <v>19</v>
      </c>
      <c r="C6079" s="85">
        <v>45426.0</v>
      </c>
      <c r="D6079" s="85">
        <v>45697.0</v>
      </c>
      <c r="E6079" s="86">
        <v>1.45</v>
      </c>
      <c r="F6079" s="87">
        <v>2.08</v>
      </c>
      <c r="G6079" s="88">
        <f t="shared" si="1"/>
        <v>0.63</v>
      </c>
      <c r="H6079" s="89">
        <f t="shared" si="15"/>
        <v>0.3028846154</v>
      </c>
      <c r="I6079" s="78" t="s">
        <v>6967</v>
      </c>
      <c r="J6079" s="78" t="s">
        <v>69</v>
      </c>
      <c r="K6079" s="58">
        <f t="shared" si="16"/>
        <v>271</v>
      </c>
      <c r="L6079" s="91" t="str">
        <f t="shared" si="8"/>
        <v>Sun</v>
      </c>
      <c r="M6079" s="78" t="str">
        <f>IFERROR(VLOOKUP(A6079, Entries!A:B,2,false),"")</f>
        <v>PlayWay</v>
      </c>
      <c r="N6079" s="23" t="str">
        <f>IFERROR(VLOOKUP(A6079, Entries!A:K,11,false),"")</f>
        <v/>
      </c>
    </row>
    <row r="6080">
      <c r="A6080" s="78" t="s">
        <v>6763</v>
      </c>
      <c r="B6080" s="78" t="s">
        <v>19</v>
      </c>
      <c r="C6080" s="85">
        <v>45426.0</v>
      </c>
      <c r="D6080" s="85">
        <v>45438.0</v>
      </c>
      <c r="E6080" s="86">
        <v>0.0</v>
      </c>
      <c r="F6080" s="87">
        <v>0.14</v>
      </c>
      <c r="G6080" s="88">
        <f t="shared" si="1"/>
        <v>0.14</v>
      </c>
      <c r="H6080" s="89">
        <f t="shared" si="15"/>
        <v>1</v>
      </c>
      <c r="I6080" s="78" t="s">
        <v>6968</v>
      </c>
      <c r="J6080" s="78" t="s">
        <v>69</v>
      </c>
      <c r="K6080" s="58">
        <f t="shared" si="16"/>
        <v>12</v>
      </c>
      <c r="L6080" s="91" t="str">
        <f t="shared" si="8"/>
        <v>Sun</v>
      </c>
      <c r="M6080" s="78" t="str">
        <f>IFERROR(VLOOKUP(A6080, Entries!A:B,2,false),"")</f>
        <v/>
      </c>
      <c r="N6080" s="23" t="str">
        <f>IFERROR(VLOOKUP(A6080, Entries!A:K,11,false),"")</f>
        <v/>
      </c>
    </row>
    <row r="6081">
      <c r="A6081" s="78" t="s">
        <v>6006</v>
      </c>
      <c r="B6081" s="78" t="s">
        <v>19</v>
      </c>
      <c r="C6081" s="85">
        <v>45426.0</v>
      </c>
      <c r="D6081" s="85">
        <v>45427.0</v>
      </c>
      <c r="E6081" s="86">
        <v>36.68</v>
      </c>
      <c r="F6081" s="87">
        <v>42.0</v>
      </c>
      <c r="G6081" s="88">
        <f t="shared" si="1"/>
        <v>5.32</v>
      </c>
      <c r="H6081" s="89">
        <f t="shared" si="15"/>
        <v>0.1266666667</v>
      </c>
      <c r="I6081" s="78" t="s">
        <v>6969</v>
      </c>
      <c r="J6081" s="78" t="s">
        <v>69</v>
      </c>
      <c r="K6081" s="58">
        <f t="shared" si="16"/>
        <v>1</v>
      </c>
      <c r="L6081" s="91" t="str">
        <f t="shared" si="8"/>
        <v>Wed</v>
      </c>
      <c r="M6081" s="78" t="str">
        <f>IFERROR(VLOOKUP(A6081, Entries!A:B,2,false),"")</f>
        <v>Bethesda Softworks</v>
      </c>
      <c r="N6081" s="23" t="str">
        <f>IFERROR(VLOOKUP(A6081, Entries!A:K,11,false),"")</f>
        <v/>
      </c>
    </row>
    <row r="6082">
      <c r="A6082" s="78" t="s">
        <v>2339</v>
      </c>
      <c r="B6082" s="78" t="s">
        <v>19</v>
      </c>
      <c r="C6082" s="85">
        <v>45426.0</v>
      </c>
      <c r="D6082" s="85">
        <v>45697.0</v>
      </c>
      <c r="E6082" s="86">
        <v>0.96</v>
      </c>
      <c r="F6082" s="87">
        <v>2.08</v>
      </c>
      <c r="G6082" s="88">
        <f t="shared" si="1"/>
        <v>1.12</v>
      </c>
      <c r="H6082" s="89">
        <f t="shared" si="15"/>
        <v>0.5384615385</v>
      </c>
      <c r="I6082" s="78" t="s">
        <v>6970</v>
      </c>
      <c r="J6082" s="78" t="s">
        <v>69</v>
      </c>
      <c r="K6082" s="58">
        <f t="shared" si="16"/>
        <v>271</v>
      </c>
      <c r="L6082" s="91" t="str">
        <f t="shared" si="8"/>
        <v>Sun</v>
      </c>
      <c r="M6082" s="78" t="str">
        <f>IFERROR(VLOOKUP(A6082, Entries!A:B,2,false),"")</f>
        <v>PlayWay</v>
      </c>
      <c r="N6082" s="23" t="str">
        <f>IFERROR(VLOOKUP(A6082, Entries!A:K,11,false),"")</f>
        <v/>
      </c>
    </row>
    <row r="6083">
      <c r="A6083" s="78" t="s">
        <v>6006</v>
      </c>
      <c r="B6083" s="78" t="s">
        <v>19</v>
      </c>
      <c r="C6083" s="85">
        <v>45427.0</v>
      </c>
      <c r="D6083" s="85">
        <v>45428.0</v>
      </c>
      <c r="E6083" s="86">
        <v>36.67</v>
      </c>
      <c r="F6083" s="87">
        <v>42.0</v>
      </c>
      <c r="G6083" s="88">
        <f t="shared" si="1"/>
        <v>5.33</v>
      </c>
      <c r="H6083" s="89">
        <f t="shared" si="15"/>
        <v>0.1269047619</v>
      </c>
      <c r="I6083" s="78" t="s">
        <v>6971</v>
      </c>
      <c r="J6083" s="78" t="s">
        <v>69</v>
      </c>
      <c r="K6083" s="58">
        <f t="shared" si="16"/>
        <v>1</v>
      </c>
      <c r="L6083" s="91" t="str">
        <f t="shared" si="8"/>
        <v>Thu</v>
      </c>
      <c r="M6083" s="78" t="str">
        <f>IFERROR(VLOOKUP(A6083, Entries!A:B,2,false),"")</f>
        <v>Bethesda Softworks</v>
      </c>
      <c r="N6083" s="23" t="str">
        <f>IFERROR(VLOOKUP(A6083, Entries!A:K,11,false),"")</f>
        <v/>
      </c>
    </row>
    <row r="6084">
      <c r="A6084" s="78" t="s">
        <v>6972</v>
      </c>
      <c r="B6084" s="78" t="s">
        <v>19</v>
      </c>
      <c r="C6084" s="85">
        <v>45427.0</v>
      </c>
      <c r="D6084" s="85">
        <v>45428.0</v>
      </c>
      <c r="E6084" s="86">
        <v>0.0</v>
      </c>
      <c r="F6084" s="87">
        <v>0.14</v>
      </c>
      <c r="G6084" s="88">
        <f t="shared" si="1"/>
        <v>0.14</v>
      </c>
      <c r="H6084" s="89">
        <f t="shared" si="15"/>
        <v>1</v>
      </c>
      <c r="I6084" s="78" t="s">
        <v>6973</v>
      </c>
      <c r="J6084" s="78" t="s">
        <v>69</v>
      </c>
      <c r="K6084" s="58">
        <f t="shared" si="16"/>
        <v>1</v>
      </c>
      <c r="L6084" s="91" t="str">
        <f t="shared" si="8"/>
        <v>Thu</v>
      </c>
      <c r="M6084" s="78" t="str">
        <f>IFERROR(VLOOKUP(A6084, Entries!A:B,2,false),"")</f>
        <v/>
      </c>
      <c r="N6084" s="23" t="str">
        <f>IFERROR(VLOOKUP(A6084, Entries!A:K,11,false),"")</f>
        <v/>
      </c>
    </row>
    <row r="6085">
      <c r="A6085" s="78" t="s">
        <v>6974</v>
      </c>
      <c r="B6085" s="78" t="s">
        <v>22</v>
      </c>
      <c r="C6085" s="85">
        <v>45428.0</v>
      </c>
      <c r="D6085" s="85">
        <v>45471.0</v>
      </c>
      <c r="E6085" s="86">
        <v>4.97</v>
      </c>
      <c r="F6085" s="87">
        <v>6.52</v>
      </c>
      <c r="G6085" s="88">
        <f t="shared" si="1"/>
        <v>1.55</v>
      </c>
      <c r="H6085" s="89">
        <f t="shared" si="15"/>
        <v>0.2377300613</v>
      </c>
      <c r="I6085" s="78" t="s">
        <v>6975</v>
      </c>
      <c r="J6085" s="78" t="s">
        <v>69</v>
      </c>
      <c r="K6085" s="58">
        <f t="shared" si="16"/>
        <v>43</v>
      </c>
      <c r="L6085" s="91" t="str">
        <f t="shared" si="8"/>
        <v>Fri</v>
      </c>
      <c r="M6085" s="78" t="str">
        <f>IFERROR(VLOOKUP(A6085, Entries!A:B,2,false),"")</f>
        <v/>
      </c>
      <c r="N6085" s="23" t="str">
        <f>IFERROR(VLOOKUP(A6085, Entries!A:K,11,false),"")</f>
        <v/>
      </c>
    </row>
    <row r="6086">
      <c r="A6086" s="78" t="s">
        <v>5714</v>
      </c>
      <c r="B6086" s="78" t="s">
        <v>30</v>
      </c>
      <c r="C6086" s="85">
        <v>45428.0</v>
      </c>
      <c r="D6086" s="85">
        <v>45437.0</v>
      </c>
      <c r="E6086" s="86">
        <v>4.62</v>
      </c>
      <c r="F6086" s="87">
        <v>5.74</v>
      </c>
      <c r="G6086" s="88">
        <f t="shared" si="1"/>
        <v>1.12</v>
      </c>
      <c r="H6086" s="89">
        <f t="shared" si="15"/>
        <v>0.1951219512</v>
      </c>
      <c r="I6086" s="78" t="s">
        <v>6976</v>
      </c>
      <c r="J6086" s="78" t="s">
        <v>69</v>
      </c>
      <c r="K6086" s="58">
        <f t="shared" si="16"/>
        <v>9</v>
      </c>
      <c r="L6086" s="91" t="str">
        <f t="shared" si="8"/>
        <v>Sat</v>
      </c>
      <c r="M6086" s="78" t="str">
        <f>IFERROR(VLOOKUP(A6086, Entries!A:B,2,false),"")</f>
        <v>Kalypso Media</v>
      </c>
      <c r="N6086" s="23" t="str">
        <f>IFERROR(VLOOKUP(A6086, Entries!A:K,11,false),"")</f>
        <v/>
      </c>
    </row>
    <row r="6087">
      <c r="A6087" s="78" t="s">
        <v>6977</v>
      </c>
      <c r="B6087" s="78" t="s">
        <v>23</v>
      </c>
      <c r="C6087" s="85">
        <v>45429.0</v>
      </c>
      <c r="D6087" s="85">
        <v>45430.0</v>
      </c>
      <c r="E6087" s="86">
        <v>11.08</v>
      </c>
      <c r="F6087" s="87">
        <v>12.4</v>
      </c>
      <c r="G6087" s="88">
        <f t="shared" si="1"/>
        <v>1.32</v>
      </c>
      <c r="H6087" s="89">
        <f t="shared" si="15"/>
        <v>0.1064516129</v>
      </c>
      <c r="I6087" s="78" t="s">
        <v>6978</v>
      </c>
      <c r="J6087" s="78" t="s">
        <v>69</v>
      </c>
      <c r="K6087" s="58">
        <f t="shared" si="16"/>
        <v>1</v>
      </c>
      <c r="L6087" s="91" t="str">
        <f t="shared" si="8"/>
        <v>Sat</v>
      </c>
      <c r="M6087" s="78" t="str">
        <f>IFERROR(VLOOKUP(A6087, Entries!A:B,2,false),"")</f>
        <v>Dear Villagers</v>
      </c>
      <c r="N6087" s="23" t="str">
        <f>IFERROR(VLOOKUP(A6087, Entries!A:K,11,false),"")</f>
        <v/>
      </c>
    </row>
    <row r="6088">
      <c r="A6088" s="78" t="s">
        <v>6979</v>
      </c>
      <c r="B6088" s="78" t="s">
        <v>25</v>
      </c>
      <c r="C6088" s="85">
        <v>45430.0</v>
      </c>
      <c r="D6088" s="85">
        <v>45430.0</v>
      </c>
      <c r="E6088" s="86">
        <v>11.93</v>
      </c>
      <c r="F6088" s="87">
        <v>14.47</v>
      </c>
      <c r="G6088" s="88">
        <f t="shared" si="1"/>
        <v>2.54</v>
      </c>
      <c r="H6088" s="89">
        <f t="shared" si="15"/>
        <v>0.1755355909</v>
      </c>
      <c r="I6088" s="78" t="s">
        <v>6980</v>
      </c>
      <c r="J6088" s="78" t="s">
        <v>69</v>
      </c>
      <c r="K6088" s="58">
        <f t="shared" si="16"/>
        <v>0</v>
      </c>
      <c r="L6088" s="91" t="str">
        <f t="shared" si="8"/>
        <v>Sat</v>
      </c>
      <c r="M6088" s="78" t="str">
        <f>IFERROR(VLOOKUP(A6088, Entries!A:B,2,false),"")</f>
        <v>11 bit studios</v>
      </c>
      <c r="N6088" s="23" t="str">
        <f>IFERROR(VLOOKUP(A6088, Entries!A:K,11,false),"")</f>
        <v/>
      </c>
    </row>
    <row r="6089">
      <c r="A6089" s="78" t="s">
        <v>6687</v>
      </c>
      <c r="B6089" s="78" t="s">
        <v>21</v>
      </c>
      <c r="C6089" s="85">
        <v>45430.0</v>
      </c>
      <c r="D6089" s="85">
        <v>45431.0</v>
      </c>
      <c r="E6089" s="86">
        <v>31.54</v>
      </c>
      <c r="F6089" s="87">
        <v>33.86</v>
      </c>
      <c r="G6089" s="88">
        <f t="shared" si="1"/>
        <v>2.32</v>
      </c>
      <c r="H6089" s="89">
        <f t="shared" si="15"/>
        <v>0.06851742469</v>
      </c>
      <c r="I6089" s="78" t="s">
        <v>6981</v>
      </c>
      <c r="J6089" s="78" t="s">
        <v>69</v>
      </c>
      <c r="K6089" s="58">
        <f t="shared" si="16"/>
        <v>1</v>
      </c>
      <c r="L6089" s="91" t="str">
        <f t="shared" si="8"/>
        <v>Sun</v>
      </c>
      <c r="M6089" s="78" t="str">
        <f>IFERROR(VLOOKUP(A6089, Entries!A:B,2,false),"")</f>
        <v/>
      </c>
      <c r="N6089" s="23" t="str">
        <f>IFERROR(VLOOKUP(A6089, Entries!A:K,11,false),"")</f>
        <v/>
      </c>
    </row>
    <row r="6090">
      <c r="A6090" s="78" t="s">
        <v>6687</v>
      </c>
      <c r="B6090" s="78" t="s">
        <v>21</v>
      </c>
      <c r="C6090" s="85">
        <v>45430.0</v>
      </c>
      <c r="D6090" s="85">
        <v>45431.0</v>
      </c>
      <c r="E6090" s="86">
        <v>31.54</v>
      </c>
      <c r="F6090" s="87">
        <v>36.94</v>
      </c>
      <c r="G6090" s="88">
        <f t="shared" si="1"/>
        <v>5.4</v>
      </c>
      <c r="H6090" s="89">
        <f t="shared" si="15"/>
        <v>0.1461829995</v>
      </c>
      <c r="I6090" s="78" t="s">
        <v>6982</v>
      </c>
      <c r="J6090" s="78" t="s">
        <v>69</v>
      </c>
      <c r="K6090" s="58">
        <f t="shared" si="16"/>
        <v>1</v>
      </c>
      <c r="L6090" s="91" t="str">
        <f t="shared" si="8"/>
        <v>Sun</v>
      </c>
      <c r="M6090" s="78"/>
      <c r="N6090" s="23" t="str">
        <f>IFERROR(VLOOKUP(A6090, Entries!A:K,11,false),"")</f>
        <v/>
      </c>
    </row>
    <row r="6091">
      <c r="A6091" s="78" t="s">
        <v>6977</v>
      </c>
      <c r="B6091" s="78" t="s">
        <v>23</v>
      </c>
      <c r="C6091" s="85">
        <v>45430.0</v>
      </c>
      <c r="D6091" s="85">
        <v>45441.0</v>
      </c>
      <c r="E6091" s="86">
        <v>11.1</v>
      </c>
      <c r="F6091" s="87">
        <v>15.06</v>
      </c>
      <c r="G6091" s="88">
        <f t="shared" si="1"/>
        <v>3.96</v>
      </c>
      <c r="H6091" s="89">
        <f t="shared" si="15"/>
        <v>0.2629482072</v>
      </c>
      <c r="I6091" s="78" t="s">
        <v>6983</v>
      </c>
      <c r="J6091" s="78" t="s">
        <v>69</v>
      </c>
      <c r="K6091" s="58">
        <f t="shared" si="16"/>
        <v>11</v>
      </c>
      <c r="L6091" s="91" t="str">
        <f t="shared" si="8"/>
        <v>Wed</v>
      </c>
      <c r="M6091" s="78" t="str">
        <f>IFERROR(VLOOKUP(A6091, Entries!A:B,2,false),"")</f>
        <v>Dear Villagers</v>
      </c>
      <c r="N6091" s="23" t="str">
        <f>IFERROR(VLOOKUP(A6091, Entries!A:K,11,false),"")</f>
        <v/>
      </c>
    </row>
    <row r="6092">
      <c r="A6092" s="78" t="s">
        <v>6984</v>
      </c>
      <c r="B6092" s="78" t="s">
        <v>22</v>
      </c>
      <c r="C6092" s="85">
        <v>45430.0</v>
      </c>
      <c r="D6092" s="25"/>
      <c r="E6092" s="86">
        <v>16.36</v>
      </c>
      <c r="F6092" s="88"/>
      <c r="G6092" s="88">
        <f t="shared" si="1"/>
        <v>-16.36</v>
      </c>
      <c r="H6092" s="89" t="str">
        <f t="shared" si="15"/>
        <v/>
      </c>
      <c r="I6092" s="103" t="s">
        <v>6985</v>
      </c>
      <c r="J6092" s="78" t="s">
        <v>1129</v>
      </c>
      <c r="K6092" s="58" t="str">
        <f t="shared" si="16"/>
        <v/>
      </c>
      <c r="L6092" s="91" t="str">
        <f t="shared" si="8"/>
        <v/>
      </c>
      <c r="M6092" s="78" t="str">
        <f>IFERROR(VLOOKUP(A6092, Entries!A:B,2,false),"")</f>
        <v/>
      </c>
      <c r="N6092" s="23" t="str">
        <f>IFERROR(VLOOKUP(A6092, Entries!A:K,11,false),"")</f>
        <v/>
      </c>
    </row>
    <row r="6093">
      <c r="A6093" s="78" t="s">
        <v>4926</v>
      </c>
      <c r="B6093" s="78" t="s">
        <v>22</v>
      </c>
      <c r="C6093" s="85">
        <v>45432.0</v>
      </c>
      <c r="D6093" s="85">
        <v>45434.0</v>
      </c>
      <c r="E6093" s="86">
        <v>8.23</v>
      </c>
      <c r="F6093" s="87">
        <v>9.42</v>
      </c>
      <c r="G6093" s="88">
        <f t="shared" si="1"/>
        <v>1.19</v>
      </c>
      <c r="H6093" s="89">
        <f t="shared" si="15"/>
        <v>0.1263269639</v>
      </c>
      <c r="I6093" s="78" t="s">
        <v>6986</v>
      </c>
      <c r="J6093" s="78" t="s">
        <v>69</v>
      </c>
      <c r="K6093" s="58">
        <f t="shared" si="16"/>
        <v>2</v>
      </c>
      <c r="L6093" s="91" t="str">
        <f t="shared" si="8"/>
        <v>Wed</v>
      </c>
      <c r="M6093" s="78" t="str">
        <f>IFERROR(VLOOKUP(A6093, Entries!A:B,2,false),"")</f>
        <v>Bethesda Softworks</v>
      </c>
      <c r="N6093" s="23" t="str">
        <f>IFERROR(VLOOKUP(A6093, Entries!A:K,11,false),"")</f>
        <v/>
      </c>
    </row>
    <row r="6094">
      <c r="A6094" s="78" t="s">
        <v>4926</v>
      </c>
      <c r="B6094" s="78" t="s">
        <v>22</v>
      </c>
      <c r="C6094" s="85">
        <v>45432.0</v>
      </c>
      <c r="D6094" s="85">
        <v>45434.0</v>
      </c>
      <c r="E6094" s="86">
        <v>8.23</v>
      </c>
      <c r="F6094" s="87">
        <v>9.43</v>
      </c>
      <c r="G6094" s="88">
        <f t="shared" si="1"/>
        <v>1.2</v>
      </c>
      <c r="H6094" s="89">
        <f t="shared" si="15"/>
        <v>0.1272534464</v>
      </c>
      <c r="I6094" s="78" t="s">
        <v>6987</v>
      </c>
      <c r="J6094" s="78" t="s">
        <v>69</v>
      </c>
      <c r="K6094" s="58">
        <f t="shared" si="16"/>
        <v>2</v>
      </c>
      <c r="L6094" s="91" t="str">
        <f t="shared" si="8"/>
        <v>Wed</v>
      </c>
      <c r="M6094" s="78" t="str">
        <f>IFERROR(VLOOKUP(A6094, Entries!A:B,2,false),"")</f>
        <v>Bethesda Softworks</v>
      </c>
      <c r="N6094" s="23" t="str">
        <f>IFERROR(VLOOKUP(A6094, Entries!A:K,11,false),"")</f>
        <v/>
      </c>
    </row>
    <row r="6095">
      <c r="A6095" s="78" t="s">
        <v>4926</v>
      </c>
      <c r="B6095" s="78" t="s">
        <v>22</v>
      </c>
      <c r="C6095" s="85">
        <v>45432.0</v>
      </c>
      <c r="D6095" s="85">
        <v>45434.0</v>
      </c>
      <c r="E6095" s="86">
        <v>8.23</v>
      </c>
      <c r="F6095" s="87">
        <v>9.43</v>
      </c>
      <c r="G6095" s="88">
        <f t="shared" si="1"/>
        <v>1.2</v>
      </c>
      <c r="H6095" s="89">
        <f t="shared" si="15"/>
        <v>0.1272534464</v>
      </c>
      <c r="I6095" s="78" t="s">
        <v>6988</v>
      </c>
      <c r="J6095" s="78" t="s">
        <v>69</v>
      </c>
      <c r="K6095" s="58">
        <f t="shared" si="16"/>
        <v>2</v>
      </c>
      <c r="L6095" s="91" t="str">
        <f t="shared" si="8"/>
        <v>Wed</v>
      </c>
      <c r="M6095" s="78" t="str">
        <f>IFERROR(VLOOKUP(A6095, Entries!A:B,2,false),"")</f>
        <v>Bethesda Softworks</v>
      </c>
      <c r="N6095" s="23" t="str">
        <f>IFERROR(VLOOKUP(A6095, Entries!A:K,11,false),"")</f>
        <v/>
      </c>
    </row>
    <row r="6096">
      <c r="A6096" s="78" t="s">
        <v>4926</v>
      </c>
      <c r="B6096" s="78" t="s">
        <v>22</v>
      </c>
      <c r="C6096" s="85">
        <v>45432.0</v>
      </c>
      <c r="D6096" s="85">
        <v>45434.0</v>
      </c>
      <c r="E6096" s="86">
        <v>8.25</v>
      </c>
      <c r="F6096" s="87">
        <v>9.43</v>
      </c>
      <c r="G6096" s="88">
        <f t="shared" si="1"/>
        <v>1.18</v>
      </c>
      <c r="H6096" s="89">
        <f t="shared" si="15"/>
        <v>0.1251325557</v>
      </c>
      <c r="I6096" s="78" t="s">
        <v>6989</v>
      </c>
      <c r="J6096" s="78" t="s">
        <v>69</v>
      </c>
      <c r="K6096" s="58">
        <f t="shared" si="16"/>
        <v>2</v>
      </c>
      <c r="L6096" s="91" t="str">
        <f t="shared" si="8"/>
        <v>Wed</v>
      </c>
      <c r="M6096" s="78" t="str">
        <f>IFERROR(VLOOKUP(A6096, Entries!A:B,2,false),"")</f>
        <v>Bethesda Softworks</v>
      </c>
      <c r="N6096" s="23" t="str">
        <f>IFERROR(VLOOKUP(A6096, Entries!A:K,11,false),"")</f>
        <v/>
      </c>
    </row>
    <row r="6097">
      <c r="A6097" s="78" t="s">
        <v>4926</v>
      </c>
      <c r="B6097" s="78" t="s">
        <v>22</v>
      </c>
      <c r="C6097" s="85">
        <v>45432.0</v>
      </c>
      <c r="D6097" s="85">
        <v>45435.0</v>
      </c>
      <c r="E6097" s="86">
        <v>8.25</v>
      </c>
      <c r="F6097" s="87">
        <v>9.5</v>
      </c>
      <c r="G6097" s="88">
        <f t="shared" si="1"/>
        <v>1.25</v>
      </c>
      <c r="H6097" s="89">
        <f t="shared" si="15"/>
        <v>0.1315789474</v>
      </c>
      <c r="I6097" s="78" t="s">
        <v>6990</v>
      </c>
      <c r="J6097" s="78" t="s">
        <v>69</v>
      </c>
      <c r="K6097" s="58">
        <f t="shared" si="16"/>
        <v>3</v>
      </c>
      <c r="L6097" s="91" t="str">
        <f t="shared" si="8"/>
        <v>Thu</v>
      </c>
      <c r="M6097" s="78" t="str">
        <f>IFERROR(VLOOKUP(A6097, Entries!A:B,2,false),"")</f>
        <v>Bethesda Softworks</v>
      </c>
      <c r="N6097" s="23" t="str">
        <f>IFERROR(VLOOKUP(A6097, Entries!A:K,11,false),"")</f>
        <v/>
      </c>
    </row>
    <row r="6098">
      <c r="A6098" s="78" t="s">
        <v>4926</v>
      </c>
      <c r="B6098" s="78" t="s">
        <v>22</v>
      </c>
      <c r="C6098" s="85">
        <v>45432.0</v>
      </c>
      <c r="D6098" s="85">
        <v>45435.0</v>
      </c>
      <c r="E6098" s="86">
        <v>8.3</v>
      </c>
      <c r="F6098" s="87">
        <v>9.5</v>
      </c>
      <c r="G6098" s="88">
        <f t="shared" si="1"/>
        <v>1.2</v>
      </c>
      <c r="H6098" s="89">
        <f t="shared" si="15"/>
        <v>0.1263157895</v>
      </c>
      <c r="I6098" s="78" t="s">
        <v>6991</v>
      </c>
      <c r="J6098" s="78" t="s">
        <v>69</v>
      </c>
      <c r="K6098" s="58">
        <f t="shared" si="16"/>
        <v>3</v>
      </c>
      <c r="L6098" s="91" t="str">
        <f t="shared" si="8"/>
        <v>Thu</v>
      </c>
      <c r="M6098" s="78" t="str">
        <f>IFERROR(VLOOKUP(A6098, Entries!A:B,2,false),"")</f>
        <v>Bethesda Softworks</v>
      </c>
      <c r="N6098" s="23" t="str">
        <f>IFERROR(VLOOKUP(A6098, Entries!A:K,11,false),"")</f>
        <v/>
      </c>
    </row>
    <row r="6099">
      <c r="A6099" s="78" t="s">
        <v>4926</v>
      </c>
      <c r="B6099" s="78" t="s">
        <v>22</v>
      </c>
      <c r="C6099" s="85">
        <v>45432.0</v>
      </c>
      <c r="D6099" s="85">
        <v>45435.0</v>
      </c>
      <c r="E6099" s="86">
        <v>8.3</v>
      </c>
      <c r="F6099" s="87">
        <v>9.5</v>
      </c>
      <c r="G6099" s="88">
        <f t="shared" si="1"/>
        <v>1.2</v>
      </c>
      <c r="H6099" s="89">
        <f t="shared" si="15"/>
        <v>0.1263157895</v>
      </c>
      <c r="I6099" s="78" t="s">
        <v>6992</v>
      </c>
      <c r="J6099" s="78" t="s">
        <v>69</v>
      </c>
      <c r="K6099" s="58">
        <f t="shared" si="16"/>
        <v>3</v>
      </c>
      <c r="L6099" s="91" t="str">
        <f t="shared" si="8"/>
        <v>Thu</v>
      </c>
      <c r="M6099" s="78" t="str">
        <f>IFERROR(VLOOKUP(A6099, Entries!A:B,2,false),"")</f>
        <v>Bethesda Softworks</v>
      </c>
      <c r="N6099" s="23" t="str">
        <f>IFERROR(VLOOKUP(A6099, Entries!A:K,11,false),"")</f>
        <v/>
      </c>
    </row>
    <row r="6100">
      <c r="A6100" s="78" t="s">
        <v>4926</v>
      </c>
      <c r="B6100" s="78" t="s">
        <v>22</v>
      </c>
      <c r="C6100" s="85">
        <v>45432.0</v>
      </c>
      <c r="D6100" s="85">
        <v>45435.0</v>
      </c>
      <c r="E6100" s="86">
        <v>8.3</v>
      </c>
      <c r="F6100" s="87">
        <v>9.5</v>
      </c>
      <c r="G6100" s="88">
        <f t="shared" si="1"/>
        <v>1.2</v>
      </c>
      <c r="H6100" s="89">
        <f t="shared" si="15"/>
        <v>0.1263157895</v>
      </c>
      <c r="I6100" s="78" t="s">
        <v>6993</v>
      </c>
      <c r="J6100" s="78" t="s">
        <v>69</v>
      </c>
      <c r="K6100" s="58">
        <f t="shared" si="16"/>
        <v>3</v>
      </c>
      <c r="L6100" s="91" t="str">
        <f t="shared" si="8"/>
        <v>Thu</v>
      </c>
      <c r="M6100" s="78" t="str">
        <f>IFERROR(VLOOKUP(A6100, Entries!A:B,2,false),"")</f>
        <v>Bethesda Softworks</v>
      </c>
      <c r="N6100" s="23" t="str">
        <f>IFERROR(VLOOKUP(A6100, Entries!A:K,11,false),"")</f>
        <v/>
      </c>
    </row>
    <row r="6101">
      <c r="A6101" s="78" t="s">
        <v>4926</v>
      </c>
      <c r="B6101" s="78" t="s">
        <v>22</v>
      </c>
      <c r="C6101" s="85">
        <v>45432.0</v>
      </c>
      <c r="D6101" s="85">
        <v>45435.0</v>
      </c>
      <c r="E6101" s="86">
        <v>8.3</v>
      </c>
      <c r="F6101" s="87">
        <v>9.49</v>
      </c>
      <c r="G6101" s="88">
        <f t="shared" si="1"/>
        <v>1.19</v>
      </c>
      <c r="H6101" s="89">
        <f t="shared" si="15"/>
        <v>0.1253951528</v>
      </c>
      <c r="I6101" s="78" t="s">
        <v>6994</v>
      </c>
      <c r="J6101" s="78" t="s">
        <v>69</v>
      </c>
      <c r="K6101" s="58">
        <f t="shared" si="16"/>
        <v>3</v>
      </c>
      <c r="L6101" s="91" t="str">
        <f t="shared" si="8"/>
        <v>Thu</v>
      </c>
      <c r="M6101" s="78" t="str">
        <f>IFERROR(VLOOKUP(A6101, Entries!A:B,2,false),"")</f>
        <v>Bethesda Softworks</v>
      </c>
      <c r="N6101" s="23" t="str">
        <f>IFERROR(VLOOKUP(A6101, Entries!A:K,11,false),"")</f>
        <v/>
      </c>
    </row>
    <row r="6102">
      <c r="A6102" s="78" t="s">
        <v>4926</v>
      </c>
      <c r="B6102" s="78" t="s">
        <v>22</v>
      </c>
      <c r="C6102" s="85">
        <v>45432.0</v>
      </c>
      <c r="D6102" s="85">
        <v>45435.0</v>
      </c>
      <c r="E6102" s="86">
        <v>8.3</v>
      </c>
      <c r="F6102" s="87">
        <v>9.49</v>
      </c>
      <c r="G6102" s="88">
        <f t="shared" si="1"/>
        <v>1.19</v>
      </c>
      <c r="H6102" s="89">
        <f t="shared" si="15"/>
        <v>0.1253951528</v>
      </c>
      <c r="I6102" s="78" t="s">
        <v>6995</v>
      </c>
      <c r="J6102" s="78" t="s">
        <v>69</v>
      </c>
      <c r="K6102" s="58">
        <f t="shared" si="16"/>
        <v>3</v>
      </c>
      <c r="L6102" s="91" t="str">
        <f t="shared" si="8"/>
        <v>Thu</v>
      </c>
      <c r="M6102" s="78" t="str">
        <f>IFERROR(VLOOKUP(A6102, Entries!A:B,2,false),"")</f>
        <v>Bethesda Softworks</v>
      </c>
      <c r="N6102" s="23" t="str">
        <f>IFERROR(VLOOKUP(A6102, Entries!A:K,11,false),"")</f>
        <v/>
      </c>
    </row>
    <row r="6103">
      <c r="A6103" s="78" t="s">
        <v>1729</v>
      </c>
      <c r="B6103" s="78" t="s">
        <v>23</v>
      </c>
      <c r="C6103" s="85">
        <v>45432.0</v>
      </c>
      <c r="D6103" s="85">
        <v>45438.0</v>
      </c>
      <c r="E6103" s="86">
        <v>4.5</v>
      </c>
      <c r="F6103" s="87">
        <v>5.43</v>
      </c>
      <c r="G6103" s="88">
        <f t="shared" si="1"/>
        <v>0.93</v>
      </c>
      <c r="H6103" s="89">
        <f t="shared" si="15"/>
        <v>0.1712707182</v>
      </c>
      <c r="I6103" s="78" t="s">
        <v>6996</v>
      </c>
      <c r="J6103" s="78" t="s">
        <v>69</v>
      </c>
      <c r="K6103" s="58">
        <f t="shared" si="16"/>
        <v>6</v>
      </c>
      <c r="L6103" s="91" t="str">
        <f t="shared" si="8"/>
        <v>Sun</v>
      </c>
      <c r="M6103" s="78" t="str">
        <f>IFERROR(VLOOKUP(A6103, Entries!A:B,2,false),"")</f>
        <v>Focus Home Interactive</v>
      </c>
      <c r="N6103" s="23" t="str">
        <f>IFERROR(VLOOKUP(A6103, Entries!A:K,11,false),"")</f>
        <v/>
      </c>
    </row>
    <row r="6104">
      <c r="A6104" s="78" t="s">
        <v>6997</v>
      </c>
      <c r="B6104" s="78" t="s">
        <v>32</v>
      </c>
      <c r="C6104" s="85">
        <v>45433.0</v>
      </c>
      <c r="D6104" s="85">
        <v>45995.0</v>
      </c>
      <c r="E6104" s="86">
        <v>1.73</v>
      </c>
      <c r="F6104" s="87">
        <v>1.61</v>
      </c>
      <c r="G6104" s="88">
        <f t="shared" si="1"/>
        <v>-0.12</v>
      </c>
      <c r="H6104" s="89">
        <f t="shared" si="15"/>
        <v>-0.07453416149</v>
      </c>
      <c r="I6104" s="103" t="s">
        <v>6998</v>
      </c>
      <c r="J6104" s="78" t="s">
        <v>69</v>
      </c>
      <c r="K6104" s="58">
        <f t="shared" si="16"/>
        <v>562</v>
      </c>
      <c r="L6104" s="91" t="str">
        <f t="shared" si="8"/>
        <v>Thu</v>
      </c>
      <c r="M6104" s="78" t="str">
        <f>IFERROR(VLOOKUP(A6104, Entries!A:B,2,false),"")</f>
        <v/>
      </c>
      <c r="N6104" s="23" t="str">
        <f>IFERROR(VLOOKUP(A6104, Entries!A:K,11,false),"")</f>
        <v/>
      </c>
    </row>
    <row r="6105">
      <c r="A6105" s="78" t="s">
        <v>6997</v>
      </c>
      <c r="B6105" s="78" t="s">
        <v>32</v>
      </c>
      <c r="C6105" s="85">
        <v>45433.0</v>
      </c>
      <c r="D6105" s="85">
        <v>46021.0</v>
      </c>
      <c r="E6105" s="86">
        <v>1.73</v>
      </c>
      <c r="F6105" s="87">
        <v>1.59</v>
      </c>
      <c r="G6105" s="88">
        <f t="shared" si="1"/>
        <v>-0.14</v>
      </c>
      <c r="H6105" s="89">
        <f t="shared" si="15"/>
        <v>-0.08805031447</v>
      </c>
      <c r="I6105" s="103" t="s">
        <v>6999</v>
      </c>
      <c r="J6105" s="78" t="s">
        <v>69</v>
      </c>
      <c r="K6105" s="58">
        <f t="shared" si="16"/>
        <v>588</v>
      </c>
      <c r="L6105" s="91" t="str">
        <f t="shared" si="8"/>
        <v>Tue</v>
      </c>
      <c r="M6105" s="78" t="str">
        <f>IFERROR(VLOOKUP(A6105, Entries!A:B,2,false),"")</f>
        <v/>
      </c>
      <c r="N6105" s="23" t="str">
        <f>IFERROR(VLOOKUP(A6105, Entries!A:K,11,false),"")</f>
        <v/>
      </c>
    </row>
    <row r="6106">
      <c r="A6106" s="78" t="s">
        <v>6997</v>
      </c>
      <c r="B6106" s="78" t="s">
        <v>32</v>
      </c>
      <c r="C6106" s="85">
        <v>45433.0</v>
      </c>
      <c r="D6106" s="85">
        <v>46023.0</v>
      </c>
      <c r="E6106" s="86">
        <v>1.73</v>
      </c>
      <c r="F6106" s="87">
        <v>1.59</v>
      </c>
      <c r="G6106" s="88">
        <f t="shared" si="1"/>
        <v>-0.14</v>
      </c>
      <c r="H6106" s="89">
        <f t="shared" si="15"/>
        <v>-0.08805031447</v>
      </c>
      <c r="I6106" s="103" t="s">
        <v>7000</v>
      </c>
      <c r="J6106" s="78" t="s">
        <v>69</v>
      </c>
      <c r="K6106" s="58">
        <f t="shared" si="16"/>
        <v>590</v>
      </c>
      <c r="L6106" s="91" t="str">
        <f t="shared" si="8"/>
        <v>Thu</v>
      </c>
      <c r="M6106" s="78" t="str">
        <f>IFERROR(VLOOKUP(A6106, Entries!A:B,2,false),"")</f>
        <v/>
      </c>
      <c r="N6106" s="23" t="str">
        <f>IFERROR(VLOOKUP(A6106, Entries!A:K,11,false),"")</f>
        <v/>
      </c>
    </row>
    <row r="6107">
      <c r="A6107" s="78" t="s">
        <v>6997</v>
      </c>
      <c r="B6107" s="78" t="s">
        <v>32</v>
      </c>
      <c r="C6107" s="85">
        <v>45433.0</v>
      </c>
      <c r="D6107" s="25"/>
      <c r="E6107" s="86">
        <v>1.73</v>
      </c>
      <c r="F6107" s="88"/>
      <c r="G6107" s="88">
        <f t="shared" si="1"/>
        <v>-1.73</v>
      </c>
      <c r="H6107" s="89" t="str">
        <f t="shared" si="15"/>
        <v/>
      </c>
      <c r="I6107" s="103" t="s">
        <v>7001</v>
      </c>
      <c r="J6107" s="78" t="s">
        <v>1129</v>
      </c>
      <c r="K6107" s="58" t="str">
        <f t="shared" si="16"/>
        <v/>
      </c>
      <c r="L6107" s="91" t="str">
        <f t="shared" si="8"/>
        <v/>
      </c>
      <c r="M6107" s="78" t="str">
        <f>IFERROR(VLOOKUP(A6107, Entries!A:B,2,false),"")</f>
        <v/>
      </c>
      <c r="N6107" s="23" t="str">
        <f>IFERROR(VLOOKUP(A6107, Entries!A:K,11,false),"")</f>
        <v/>
      </c>
    </row>
    <row r="6108">
      <c r="A6108" s="78" t="s">
        <v>6997</v>
      </c>
      <c r="B6108" s="78" t="s">
        <v>32</v>
      </c>
      <c r="C6108" s="85">
        <v>45433.0</v>
      </c>
      <c r="D6108" s="25"/>
      <c r="E6108" s="86">
        <v>1.75</v>
      </c>
      <c r="F6108" s="88"/>
      <c r="G6108" s="88">
        <f t="shared" si="1"/>
        <v>-1.75</v>
      </c>
      <c r="H6108" s="89" t="str">
        <f t="shared" si="15"/>
        <v/>
      </c>
      <c r="I6108" s="103" t="s">
        <v>7002</v>
      </c>
      <c r="J6108" s="78" t="s">
        <v>1129</v>
      </c>
      <c r="K6108" s="58" t="str">
        <f t="shared" si="16"/>
        <v/>
      </c>
      <c r="L6108" s="91" t="str">
        <f t="shared" si="8"/>
        <v/>
      </c>
      <c r="M6108" s="78" t="str">
        <f>IFERROR(VLOOKUP(A6108, Entries!A:B,2,false),"")</f>
        <v/>
      </c>
      <c r="N6108" s="23" t="str">
        <f>IFERROR(VLOOKUP(A6108, Entries!A:K,11,false),"")</f>
        <v/>
      </c>
    </row>
    <row r="6109">
      <c r="A6109" s="78" t="s">
        <v>7003</v>
      </c>
      <c r="B6109" s="78" t="s">
        <v>25</v>
      </c>
      <c r="C6109" s="85">
        <v>45433.0</v>
      </c>
      <c r="D6109" s="85">
        <v>45437.0</v>
      </c>
      <c r="E6109" s="86">
        <v>0.0</v>
      </c>
      <c r="F6109" s="87">
        <v>0.27</v>
      </c>
      <c r="G6109" s="88">
        <f t="shared" si="1"/>
        <v>0.27</v>
      </c>
      <c r="H6109" s="89">
        <f t="shared" si="15"/>
        <v>1</v>
      </c>
      <c r="I6109" s="78" t="s">
        <v>7004</v>
      </c>
      <c r="J6109" s="78" t="s">
        <v>69</v>
      </c>
      <c r="K6109" s="58">
        <f t="shared" si="16"/>
        <v>4</v>
      </c>
      <c r="L6109" s="91" t="str">
        <f t="shared" si="8"/>
        <v>Sat</v>
      </c>
      <c r="M6109" s="78" t="str">
        <f>IFERROR(VLOOKUP(A6109, Entries!A:B,2,false),"")</f>
        <v/>
      </c>
      <c r="N6109" s="23" t="str">
        <f>IFERROR(VLOOKUP(A6109, Entries!A:K,11,false),"")</f>
        <v/>
      </c>
    </row>
    <row r="6110">
      <c r="A6110" s="78" t="s">
        <v>6773</v>
      </c>
      <c r="B6110" s="78" t="s">
        <v>19</v>
      </c>
      <c r="C6110" s="85">
        <v>45433.0</v>
      </c>
      <c r="D6110" s="85">
        <v>45447.0</v>
      </c>
      <c r="E6110" s="86">
        <v>10.94</v>
      </c>
      <c r="F6110" s="87">
        <v>14.62</v>
      </c>
      <c r="G6110" s="88">
        <f t="shared" si="1"/>
        <v>3.68</v>
      </c>
      <c r="H6110" s="89">
        <f t="shared" si="15"/>
        <v>0.2517099863</v>
      </c>
      <c r="I6110" s="78" t="s">
        <v>7005</v>
      </c>
      <c r="J6110" s="78" t="s">
        <v>69</v>
      </c>
      <c r="K6110" s="58">
        <f t="shared" si="16"/>
        <v>14</v>
      </c>
      <c r="L6110" s="91" t="str">
        <f t="shared" si="8"/>
        <v>Tue</v>
      </c>
      <c r="M6110" s="78" t="str">
        <f>IFERROR(VLOOKUP(A6110, Entries!A:B,2,false),"")</f>
        <v>Dovetail Games</v>
      </c>
      <c r="N6110" s="23" t="str">
        <f>IFERROR(VLOOKUP(A6110, Entries!A:K,11,false),"")</f>
        <v/>
      </c>
    </row>
    <row r="6111">
      <c r="A6111" s="78" t="s">
        <v>7006</v>
      </c>
      <c r="B6111" s="78" t="s">
        <v>19</v>
      </c>
      <c r="C6111" s="85">
        <v>45433.0</v>
      </c>
      <c r="D6111" s="85">
        <v>45433.0</v>
      </c>
      <c r="E6111" s="86">
        <v>10.94</v>
      </c>
      <c r="F6111" s="87">
        <v>11.98</v>
      </c>
      <c r="G6111" s="88">
        <f t="shared" si="1"/>
        <v>1.04</v>
      </c>
      <c r="H6111" s="89">
        <f t="shared" si="15"/>
        <v>0.08681135225</v>
      </c>
      <c r="I6111" s="78" t="s">
        <v>7007</v>
      </c>
      <c r="J6111" s="78" t="s">
        <v>69</v>
      </c>
      <c r="K6111" s="58">
        <f t="shared" si="16"/>
        <v>0</v>
      </c>
      <c r="L6111" s="91" t="str">
        <f t="shared" si="8"/>
        <v>Tue</v>
      </c>
      <c r="M6111" s="78"/>
      <c r="N6111" s="23" t="str">
        <f>IFERROR(VLOOKUP(A6111, Entries!A:K,11,false),"")</f>
        <v/>
      </c>
    </row>
    <row r="6112">
      <c r="A6112" s="78" t="s">
        <v>7008</v>
      </c>
      <c r="B6112" s="78" t="s">
        <v>19</v>
      </c>
      <c r="C6112" s="85">
        <v>45433.0</v>
      </c>
      <c r="D6112" s="85">
        <v>45849.0</v>
      </c>
      <c r="E6112" s="86">
        <v>10.94</v>
      </c>
      <c r="F6112" s="87">
        <v>26.76</v>
      </c>
      <c r="G6112" s="88">
        <f t="shared" si="1"/>
        <v>15.82</v>
      </c>
      <c r="H6112" s="89">
        <f t="shared" si="15"/>
        <v>0.591180867</v>
      </c>
      <c r="I6112" s="103" t="s">
        <v>561</v>
      </c>
      <c r="J6112" s="78" t="s">
        <v>69</v>
      </c>
      <c r="K6112" s="58">
        <f t="shared" si="16"/>
        <v>416</v>
      </c>
      <c r="L6112" s="91" t="str">
        <f t="shared" si="8"/>
        <v>Fri</v>
      </c>
      <c r="M6112" s="78" t="str">
        <f>IFERROR(VLOOKUP(A6112, Entries!A:B,2,false),"")</f>
        <v/>
      </c>
      <c r="N6112" s="23" t="str">
        <f>IFERROR(VLOOKUP(A6112, Entries!A:K,11,false),"")</f>
        <v/>
      </c>
    </row>
    <row r="6113">
      <c r="A6113" s="78" t="s">
        <v>4926</v>
      </c>
      <c r="B6113" s="78" t="s">
        <v>22</v>
      </c>
      <c r="C6113" s="85">
        <v>45434.0</v>
      </c>
      <c r="D6113" s="85">
        <v>45435.0</v>
      </c>
      <c r="E6113" s="86">
        <v>8.23</v>
      </c>
      <c r="F6113" s="87">
        <v>9.49</v>
      </c>
      <c r="G6113" s="88">
        <f t="shared" si="1"/>
        <v>1.26</v>
      </c>
      <c r="H6113" s="89">
        <f t="shared" si="15"/>
        <v>0.1327713383</v>
      </c>
      <c r="I6113" s="78" t="s">
        <v>7009</v>
      </c>
      <c r="J6113" s="78" t="s">
        <v>69</v>
      </c>
      <c r="K6113" s="58">
        <f t="shared" si="16"/>
        <v>1</v>
      </c>
      <c r="L6113" s="91" t="str">
        <f t="shared" si="8"/>
        <v>Thu</v>
      </c>
      <c r="M6113" s="78" t="str">
        <f>IFERROR(VLOOKUP(A6113, Entries!A:B,2,false),"")</f>
        <v>Bethesda Softworks</v>
      </c>
      <c r="N6113" s="23" t="str">
        <f>IFERROR(VLOOKUP(A6113, Entries!A:K,11,false),"")</f>
        <v/>
      </c>
    </row>
    <row r="6114">
      <c r="A6114" s="78" t="s">
        <v>4926</v>
      </c>
      <c r="B6114" s="78" t="s">
        <v>22</v>
      </c>
      <c r="C6114" s="85">
        <v>45434.0</v>
      </c>
      <c r="D6114" s="85">
        <v>45435.0</v>
      </c>
      <c r="E6114" s="86">
        <v>8.23</v>
      </c>
      <c r="F6114" s="87">
        <v>9.49</v>
      </c>
      <c r="G6114" s="88">
        <f t="shared" si="1"/>
        <v>1.26</v>
      </c>
      <c r="H6114" s="89">
        <f t="shared" si="15"/>
        <v>0.1327713383</v>
      </c>
      <c r="I6114" s="78" t="s">
        <v>7010</v>
      </c>
      <c r="J6114" s="78" t="s">
        <v>69</v>
      </c>
      <c r="K6114" s="58">
        <f t="shared" si="16"/>
        <v>1</v>
      </c>
      <c r="L6114" s="91" t="str">
        <f t="shared" si="8"/>
        <v>Thu</v>
      </c>
      <c r="M6114" s="78" t="str">
        <f>IFERROR(VLOOKUP(A6114, Entries!A:B,2,false),"")</f>
        <v>Bethesda Softworks</v>
      </c>
      <c r="N6114" s="23" t="str">
        <f>IFERROR(VLOOKUP(A6114, Entries!A:K,11,false),"")</f>
        <v/>
      </c>
    </row>
    <row r="6115">
      <c r="A6115" s="78" t="s">
        <v>4926</v>
      </c>
      <c r="B6115" s="78" t="s">
        <v>22</v>
      </c>
      <c r="C6115" s="85">
        <v>45434.0</v>
      </c>
      <c r="D6115" s="85">
        <v>45437.0</v>
      </c>
      <c r="E6115" s="86">
        <v>8.23</v>
      </c>
      <c r="F6115" s="87">
        <v>9.79</v>
      </c>
      <c r="G6115" s="88">
        <f t="shared" si="1"/>
        <v>1.56</v>
      </c>
      <c r="H6115" s="89">
        <f t="shared" si="15"/>
        <v>0.1593462717</v>
      </c>
      <c r="I6115" s="78" t="s">
        <v>7011</v>
      </c>
      <c r="J6115" s="78" t="s">
        <v>69</v>
      </c>
      <c r="K6115" s="58">
        <f t="shared" si="16"/>
        <v>3</v>
      </c>
      <c r="L6115" s="91" t="str">
        <f t="shared" si="8"/>
        <v>Sat</v>
      </c>
      <c r="M6115" s="78" t="str">
        <f>IFERROR(VLOOKUP(A6115, Entries!A:B,2,false),"")</f>
        <v>Bethesda Softworks</v>
      </c>
      <c r="N6115" s="23" t="str">
        <f>IFERROR(VLOOKUP(A6115, Entries!A:K,11,false),"")</f>
        <v/>
      </c>
    </row>
    <row r="6116">
      <c r="A6116" s="78" t="s">
        <v>4926</v>
      </c>
      <c r="B6116" s="78" t="s">
        <v>22</v>
      </c>
      <c r="C6116" s="85">
        <v>45434.0</v>
      </c>
      <c r="D6116" s="85">
        <v>45437.0</v>
      </c>
      <c r="E6116" s="86">
        <v>8.23</v>
      </c>
      <c r="F6116" s="87">
        <v>9.5</v>
      </c>
      <c r="G6116" s="88">
        <f t="shared" si="1"/>
        <v>1.27</v>
      </c>
      <c r="H6116" s="89">
        <f t="shared" si="15"/>
        <v>0.1336842105</v>
      </c>
      <c r="I6116" s="78" t="s">
        <v>7012</v>
      </c>
      <c r="J6116" s="78" t="s">
        <v>69</v>
      </c>
      <c r="K6116" s="58">
        <f t="shared" si="16"/>
        <v>3</v>
      </c>
      <c r="L6116" s="91" t="str">
        <f t="shared" si="8"/>
        <v>Sat</v>
      </c>
      <c r="M6116" s="78" t="str">
        <f>IFERROR(VLOOKUP(A6116, Entries!A:B,2,false),"")</f>
        <v>Bethesda Softworks</v>
      </c>
      <c r="N6116" s="23" t="str">
        <f>IFERROR(VLOOKUP(A6116, Entries!A:K,11,false),"")</f>
        <v/>
      </c>
    </row>
    <row r="6117">
      <c r="A6117" s="78" t="s">
        <v>4926</v>
      </c>
      <c r="B6117" s="78" t="s">
        <v>22</v>
      </c>
      <c r="C6117" s="85">
        <v>45434.0</v>
      </c>
      <c r="D6117" s="85">
        <v>45437.0</v>
      </c>
      <c r="E6117" s="86">
        <v>8.23</v>
      </c>
      <c r="F6117" s="87">
        <v>9.5</v>
      </c>
      <c r="G6117" s="88">
        <f t="shared" si="1"/>
        <v>1.27</v>
      </c>
      <c r="H6117" s="89">
        <f t="shared" si="15"/>
        <v>0.1336842105</v>
      </c>
      <c r="I6117" s="78" t="s">
        <v>7013</v>
      </c>
      <c r="J6117" s="78" t="s">
        <v>69</v>
      </c>
      <c r="K6117" s="58">
        <f t="shared" si="16"/>
        <v>3</v>
      </c>
      <c r="L6117" s="91" t="str">
        <f t="shared" si="8"/>
        <v>Sat</v>
      </c>
      <c r="M6117" s="78" t="str">
        <f>IFERROR(VLOOKUP(A6117, Entries!A:B,2,false),"")</f>
        <v>Bethesda Softworks</v>
      </c>
      <c r="N6117" s="23" t="str">
        <f>IFERROR(VLOOKUP(A6117, Entries!A:K,11,false),"")</f>
        <v/>
      </c>
    </row>
    <row r="6118">
      <c r="A6118" s="78" t="s">
        <v>4926</v>
      </c>
      <c r="B6118" s="78" t="s">
        <v>22</v>
      </c>
      <c r="C6118" s="85">
        <v>45434.0</v>
      </c>
      <c r="D6118" s="85">
        <v>45437.0</v>
      </c>
      <c r="E6118" s="86">
        <v>8.28</v>
      </c>
      <c r="F6118" s="87">
        <v>9.5</v>
      </c>
      <c r="G6118" s="88">
        <f t="shared" si="1"/>
        <v>1.22</v>
      </c>
      <c r="H6118" s="89">
        <f t="shared" si="15"/>
        <v>0.1284210526</v>
      </c>
      <c r="I6118" s="78" t="s">
        <v>7014</v>
      </c>
      <c r="J6118" s="78" t="s">
        <v>69</v>
      </c>
      <c r="K6118" s="58">
        <f t="shared" si="16"/>
        <v>3</v>
      </c>
      <c r="L6118" s="91" t="str">
        <f t="shared" si="8"/>
        <v>Sat</v>
      </c>
      <c r="M6118" s="78" t="str">
        <f>IFERROR(VLOOKUP(A6118, Entries!A:B,2,false),"")</f>
        <v>Bethesda Softworks</v>
      </c>
      <c r="N6118" s="23" t="str">
        <f>IFERROR(VLOOKUP(A6118, Entries!A:K,11,false),"")</f>
        <v/>
      </c>
    </row>
    <row r="6119">
      <c r="A6119" s="78" t="s">
        <v>4926</v>
      </c>
      <c r="B6119" s="78" t="s">
        <v>22</v>
      </c>
      <c r="C6119" s="85">
        <v>45434.0</v>
      </c>
      <c r="D6119" s="85">
        <v>45437.0</v>
      </c>
      <c r="E6119" s="86">
        <v>8.3</v>
      </c>
      <c r="F6119" s="87">
        <v>9.5</v>
      </c>
      <c r="G6119" s="88">
        <f t="shared" si="1"/>
        <v>1.2</v>
      </c>
      <c r="H6119" s="89">
        <f t="shared" si="15"/>
        <v>0.1263157895</v>
      </c>
      <c r="I6119" s="78" t="s">
        <v>7015</v>
      </c>
      <c r="J6119" s="78" t="s">
        <v>69</v>
      </c>
      <c r="K6119" s="58">
        <f t="shared" si="16"/>
        <v>3</v>
      </c>
      <c r="L6119" s="91" t="str">
        <f t="shared" si="8"/>
        <v>Sat</v>
      </c>
      <c r="M6119" s="78" t="str">
        <f>IFERROR(VLOOKUP(A6119, Entries!A:B,2,false),"")</f>
        <v>Bethesda Softworks</v>
      </c>
      <c r="N6119" s="23" t="str">
        <f>IFERROR(VLOOKUP(A6119, Entries!A:K,11,false),"")</f>
        <v/>
      </c>
    </row>
    <row r="6120">
      <c r="A6120" s="78" t="s">
        <v>4926</v>
      </c>
      <c r="B6120" s="78" t="s">
        <v>22</v>
      </c>
      <c r="C6120" s="85">
        <v>45434.0</v>
      </c>
      <c r="D6120" s="85">
        <v>45437.0</v>
      </c>
      <c r="E6120" s="86">
        <v>8.3</v>
      </c>
      <c r="F6120" s="87">
        <v>9.79</v>
      </c>
      <c r="G6120" s="88">
        <f t="shared" si="1"/>
        <v>1.49</v>
      </c>
      <c r="H6120" s="89">
        <f t="shared" si="15"/>
        <v>0.1521961185</v>
      </c>
      <c r="I6120" s="78" t="s">
        <v>7016</v>
      </c>
      <c r="J6120" s="78" t="s">
        <v>69</v>
      </c>
      <c r="K6120" s="58">
        <f t="shared" si="16"/>
        <v>3</v>
      </c>
      <c r="L6120" s="91" t="str">
        <f t="shared" si="8"/>
        <v>Sat</v>
      </c>
      <c r="M6120" s="78" t="str">
        <f>IFERROR(VLOOKUP(A6120, Entries!A:B,2,false),"")</f>
        <v>Bethesda Softworks</v>
      </c>
      <c r="N6120" s="23" t="str">
        <f>IFERROR(VLOOKUP(A6120, Entries!A:K,11,false),"")</f>
        <v/>
      </c>
    </row>
    <row r="6121">
      <c r="A6121" s="78" t="s">
        <v>4926</v>
      </c>
      <c r="B6121" s="78" t="s">
        <v>22</v>
      </c>
      <c r="C6121" s="85">
        <v>45434.0</v>
      </c>
      <c r="D6121" s="85">
        <v>45437.0</v>
      </c>
      <c r="E6121" s="86">
        <v>8.3</v>
      </c>
      <c r="F6121" s="87">
        <v>9.79</v>
      </c>
      <c r="G6121" s="88">
        <f t="shared" si="1"/>
        <v>1.49</v>
      </c>
      <c r="H6121" s="89">
        <f t="shared" si="15"/>
        <v>0.1521961185</v>
      </c>
      <c r="I6121" s="78" t="s">
        <v>7017</v>
      </c>
      <c r="J6121" s="78" t="s">
        <v>69</v>
      </c>
      <c r="K6121" s="58">
        <f t="shared" si="16"/>
        <v>3</v>
      </c>
      <c r="L6121" s="91" t="str">
        <f t="shared" si="8"/>
        <v>Sat</v>
      </c>
      <c r="M6121" s="78" t="str">
        <f>IFERROR(VLOOKUP(A6121, Entries!A:B,2,false),"")</f>
        <v>Bethesda Softworks</v>
      </c>
      <c r="N6121" s="23" t="str">
        <f>IFERROR(VLOOKUP(A6121, Entries!A:K,11,false),"")</f>
        <v/>
      </c>
    </row>
    <row r="6122">
      <c r="A6122" s="78" t="s">
        <v>4926</v>
      </c>
      <c r="B6122" s="78" t="s">
        <v>22</v>
      </c>
      <c r="C6122" s="85">
        <v>45434.0</v>
      </c>
      <c r="D6122" s="85">
        <v>45437.0</v>
      </c>
      <c r="E6122" s="86">
        <v>8.3</v>
      </c>
      <c r="F6122" s="87">
        <v>9.79</v>
      </c>
      <c r="G6122" s="88">
        <f t="shared" si="1"/>
        <v>1.49</v>
      </c>
      <c r="H6122" s="89">
        <f t="shared" si="15"/>
        <v>0.1521961185</v>
      </c>
      <c r="I6122" s="78" t="s">
        <v>7018</v>
      </c>
      <c r="J6122" s="78" t="s">
        <v>69</v>
      </c>
      <c r="K6122" s="58">
        <f t="shared" si="16"/>
        <v>3</v>
      </c>
      <c r="L6122" s="91" t="str">
        <f t="shared" si="8"/>
        <v>Sat</v>
      </c>
      <c r="M6122" s="78" t="str">
        <f>IFERROR(VLOOKUP(A6122, Entries!A:B,2,false),"")</f>
        <v>Bethesda Softworks</v>
      </c>
      <c r="N6122" s="23" t="str">
        <f>IFERROR(VLOOKUP(A6122, Entries!A:K,11,false),"")</f>
        <v/>
      </c>
    </row>
    <row r="6123">
      <c r="A6123" s="78" t="s">
        <v>4926</v>
      </c>
      <c r="B6123" s="78" t="s">
        <v>22</v>
      </c>
      <c r="C6123" s="85">
        <v>45434.0</v>
      </c>
      <c r="D6123" s="85">
        <v>45437.0</v>
      </c>
      <c r="E6123" s="86">
        <v>8.23</v>
      </c>
      <c r="F6123" s="87">
        <v>9.79</v>
      </c>
      <c r="G6123" s="88">
        <f t="shared" si="1"/>
        <v>1.56</v>
      </c>
      <c r="H6123" s="89">
        <f t="shared" si="15"/>
        <v>0.1593462717</v>
      </c>
      <c r="I6123" s="78" t="s">
        <v>7019</v>
      </c>
      <c r="J6123" s="78" t="s">
        <v>69</v>
      </c>
      <c r="K6123" s="58">
        <f t="shared" si="16"/>
        <v>3</v>
      </c>
      <c r="L6123" s="91" t="str">
        <f t="shared" si="8"/>
        <v>Sat</v>
      </c>
      <c r="M6123" s="78" t="str">
        <f>IFERROR(VLOOKUP(A6123, Entries!A:B,2,false),"")</f>
        <v>Bethesda Softworks</v>
      </c>
      <c r="N6123" s="23" t="str">
        <f>IFERROR(VLOOKUP(A6123, Entries!A:K,11,false),"")</f>
        <v/>
      </c>
    </row>
    <row r="6124">
      <c r="A6124" s="78" t="s">
        <v>4926</v>
      </c>
      <c r="B6124" s="78" t="s">
        <v>22</v>
      </c>
      <c r="C6124" s="85">
        <v>45434.0</v>
      </c>
      <c r="D6124" s="85">
        <v>45437.0</v>
      </c>
      <c r="E6124" s="86">
        <v>8.23</v>
      </c>
      <c r="F6124" s="87">
        <v>9.79</v>
      </c>
      <c r="G6124" s="88">
        <f t="shared" si="1"/>
        <v>1.56</v>
      </c>
      <c r="H6124" s="89">
        <f t="shared" si="15"/>
        <v>0.1593462717</v>
      </c>
      <c r="I6124" s="78" t="s">
        <v>7020</v>
      </c>
      <c r="J6124" s="78" t="s">
        <v>69</v>
      </c>
      <c r="K6124" s="58">
        <f t="shared" si="16"/>
        <v>3</v>
      </c>
      <c r="L6124" s="91" t="str">
        <f t="shared" si="8"/>
        <v>Sat</v>
      </c>
      <c r="M6124" s="78" t="str">
        <f>IFERROR(VLOOKUP(A6124, Entries!A:B,2,false),"")</f>
        <v>Bethesda Softworks</v>
      </c>
      <c r="N6124" s="23" t="str">
        <f>IFERROR(VLOOKUP(A6124, Entries!A:K,11,false),"")</f>
        <v/>
      </c>
    </row>
    <row r="6125">
      <c r="A6125" s="78" t="s">
        <v>4926</v>
      </c>
      <c r="B6125" s="78" t="s">
        <v>22</v>
      </c>
      <c r="C6125" s="85">
        <v>45434.0</v>
      </c>
      <c r="D6125" s="85">
        <v>45437.0</v>
      </c>
      <c r="E6125" s="86">
        <v>8.23</v>
      </c>
      <c r="F6125" s="87">
        <v>9.79</v>
      </c>
      <c r="G6125" s="88">
        <f t="shared" si="1"/>
        <v>1.56</v>
      </c>
      <c r="H6125" s="89">
        <f t="shared" si="15"/>
        <v>0.1593462717</v>
      </c>
      <c r="I6125" s="78" t="s">
        <v>7021</v>
      </c>
      <c r="J6125" s="78" t="s">
        <v>69</v>
      </c>
      <c r="K6125" s="58">
        <f t="shared" si="16"/>
        <v>3</v>
      </c>
      <c r="L6125" s="91" t="str">
        <f t="shared" si="8"/>
        <v>Sat</v>
      </c>
      <c r="M6125" s="78" t="str">
        <f>IFERROR(VLOOKUP(A6125, Entries!A:B,2,false),"")</f>
        <v>Bethesda Softworks</v>
      </c>
      <c r="N6125" s="23" t="str">
        <f>IFERROR(VLOOKUP(A6125, Entries!A:K,11,false),"")</f>
        <v/>
      </c>
    </row>
    <row r="6126">
      <c r="A6126" s="78" t="s">
        <v>4926</v>
      </c>
      <c r="B6126" s="78" t="s">
        <v>22</v>
      </c>
      <c r="C6126" s="85">
        <v>45434.0</v>
      </c>
      <c r="D6126" s="85">
        <v>45437.0</v>
      </c>
      <c r="E6126" s="86">
        <v>8.23</v>
      </c>
      <c r="F6126" s="87">
        <v>9.79</v>
      </c>
      <c r="G6126" s="88">
        <f t="shared" si="1"/>
        <v>1.56</v>
      </c>
      <c r="H6126" s="89">
        <f t="shared" si="15"/>
        <v>0.1593462717</v>
      </c>
      <c r="I6126" s="78" t="s">
        <v>7022</v>
      </c>
      <c r="J6126" s="78" t="s">
        <v>69</v>
      </c>
      <c r="K6126" s="58">
        <f t="shared" si="16"/>
        <v>3</v>
      </c>
      <c r="L6126" s="91" t="str">
        <f t="shared" si="8"/>
        <v>Sat</v>
      </c>
      <c r="M6126" s="78" t="str">
        <f>IFERROR(VLOOKUP(A6126, Entries!A:B,2,false),"")</f>
        <v>Bethesda Softworks</v>
      </c>
      <c r="N6126" s="23" t="str">
        <f>IFERROR(VLOOKUP(A6126, Entries!A:K,11,false),"")</f>
        <v/>
      </c>
    </row>
    <row r="6127">
      <c r="A6127" s="78" t="s">
        <v>4926</v>
      </c>
      <c r="B6127" s="78" t="s">
        <v>22</v>
      </c>
      <c r="C6127" s="85">
        <v>45434.0</v>
      </c>
      <c r="D6127" s="85">
        <v>45437.0</v>
      </c>
      <c r="E6127" s="86">
        <v>8.23</v>
      </c>
      <c r="F6127" s="87">
        <v>9.79</v>
      </c>
      <c r="G6127" s="88">
        <f t="shared" si="1"/>
        <v>1.56</v>
      </c>
      <c r="H6127" s="89">
        <f t="shared" si="15"/>
        <v>0.1593462717</v>
      </c>
      <c r="I6127" s="78" t="s">
        <v>7023</v>
      </c>
      <c r="J6127" s="78" t="s">
        <v>69</v>
      </c>
      <c r="K6127" s="58">
        <f t="shared" si="16"/>
        <v>3</v>
      </c>
      <c r="L6127" s="91" t="str">
        <f t="shared" si="8"/>
        <v>Sat</v>
      </c>
      <c r="M6127" s="78" t="str">
        <f>IFERROR(VLOOKUP(A6127, Entries!A:B,2,false),"")</f>
        <v>Bethesda Softworks</v>
      </c>
      <c r="N6127" s="23" t="str">
        <f>IFERROR(VLOOKUP(A6127, Entries!A:K,11,false),"")</f>
        <v/>
      </c>
    </row>
    <row r="6128">
      <c r="A6128" s="78" t="s">
        <v>4926</v>
      </c>
      <c r="B6128" s="78" t="s">
        <v>22</v>
      </c>
      <c r="C6128" s="85">
        <v>45434.0</v>
      </c>
      <c r="D6128" s="85">
        <v>45437.0</v>
      </c>
      <c r="E6128" s="86">
        <v>8.28</v>
      </c>
      <c r="F6128" s="87">
        <v>9.79</v>
      </c>
      <c r="G6128" s="88">
        <f t="shared" si="1"/>
        <v>1.51</v>
      </c>
      <c r="H6128" s="89">
        <f t="shared" si="15"/>
        <v>0.1542390194</v>
      </c>
      <c r="I6128" s="78" t="s">
        <v>7024</v>
      </c>
      <c r="J6128" s="78" t="s">
        <v>69</v>
      </c>
      <c r="K6128" s="58">
        <f t="shared" si="16"/>
        <v>3</v>
      </c>
      <c r="L6128" s="91" t="str">
        <f t="shared" si="8"/>
        <v>Sat</v>
      </c>
      <c r="M6128" s="78" t="str">
        <f>IFERROR(VLOOKUP(A6128, Entries!A:B,2,false),"")</f>
        <v>Bethesda Softworks</v>
      </c>
      <c r="N6128" s="23" t="str">
        <f>IFERROR(VLOOKUP(A6128, Entries!A:K,11,false),"")</f>
        <v/>
      </c>
    </row>
    <row r="6129">
      <c r="A6129" s="78" t="s">
        <v>4926</v>
      </c>
      <c r="B6129" s="78" t="s">
        <v>22</v>
      </c>
      <c r="C6129" s="85">
        <v>45434.0</v>
      </c>
      <c r="D6129" s="85">
        <v>45437.0</v>
      </c>
      <c r="E6129" s="86">
        <v>8.3</v>
      </c>
      <c r="F6129" s="87">
        <v>9.79</v>
      </c>
      <c r="G6129" s="88">
        <f t="shared" si="1"/>
        <v>1.49</v>
      </c>
      <c r="H6129" s="89">
        <f t="shared" si="15"/>
        <v>0.1521961185</v>
      </c>
      <c r="I6129" s="78" t="s">
        <v>7025</v>
      </c>
      <c r="J6129" s="78" t="s">
        <v>69</v>
      </c>
      <c r="K6129" s="58">
        <f t="shared" si="16"/>
        <v>3</v>
      </c>
      <c r="L6129" s="91" t="str">
        <f t="shared" si="8"/>
        <v>Sat</v>
      </c>
      <c r="M6129" s="78" t="str">
        <f>IFERROR(VLOOKUP(A6129, Entries!A:B,2,false),"")</f>
        <v>Bethesda Softworks</v>
      </c>
      <c r="N6129" s="23" t="str">
        <f>IFERROR(VLOOKUP(A6129, Entries!A:K,11,false),"")</f>
        <v/>
      </c>
    </row>
    <row r="6130">
      <c r="A6130" s="78" t="s">
        <v>4926</v>
      </c>
      <c r="B6130" s="78" t="s">
        <v>22</v>
      </c>
      <c r="C6130" s="85">
        <v>45434.0</v>
      </c>
      <c r="D6130" s="85">
        <v>45440.0</v>
      </c>
      <c r="E6130" s="86">
        <v>8.3</v>
      </c>
      <c r="F6130" s="87">
        <v>10.54</v>
      </c>
      <c r="G6130" s="88">
        <f t="shared" si="1"/>
        <v>2.24</v>
      </c>
      <c r="H6130" s="89">
        <f t="shared" si="15"/>
        <v>0.2125237192</v>
      </c>
      <c r="I6130" s="78" t="s">
        <v>7026</v>
      </c>
      <c r="J6130" s="78" t="s">
        <v>69</v>
      </c>
      <c r="K6130" s="58">
        <f t="shared" si="16"/>
        <v>6</v>
      </c>
      <c r="L6130" s="91" t="str">
        <f t="shared" si="8"/>
        <v>Tue</v>
      </c>
      <c r="M6130" s="78" t="str">
        <f>IFERROR(VLOOKUP(A6130, Entries!A:B,2,false),"")</f>
        <v>Bethesda Softworks</v>
      </c>
      <c r="N6130" s="23" t="str">
        <f>IFERROR(VLOOKUP(A6130, Entries!A:K,11,false),"")</f>
        <v/>
      </c>
    </row>
    <row r="6131">
      <c r="A6131" s="78" t="s">
        <v>4926</v>
      </c>
      <c r="B6131" s="78" t="s">
        <v>22</v>
      </c>
      <c r="C6131" s="85">
        <v>45434.0</v>
      </c>
      <c r="D6131" s="85">
        <v>45440.0</v>
      </c>
      <c r="E6131" s="86">
        <v>8.3</v>
      </c>
      <c r="F6131" s="87">
        <v>10.54</v>
      </c>
      <c r="G6131" s="88">
        <f t="shared" si="1"/>
        <v>2.24</v>
      </c>
      <c r="H6131" s="89">
        <f t="shared" si="15"/>
        <v>0.2125237192</v>
      </c>
      <c r="I6131" s="78" t="s">
        <v>7027</v>
      </c>
      <c r="J6131" s="78" t="s">
        <v>69</v>
      </c>
      <c r="K6131" s="58">
        <f t="shared" si="16"/>
        <v>6</v>
      </c>
      <c r="L6131" s="91" t="str">
        <f t="shared" si="8"/>
        <v>Tue</v>
      </c>
      <c r="M6131" s="78" t="str">
        <f>IFERROR(VLOOKUP(A6131, Entries!A:B,2,false),"")</f>
        <v>Bethesda Softworks</v>
      </c>
      <c r="N6131" s="23" t="str">
        <f>IFERROR(VLOOKUP(A6131, Entries!A:K,11,false),"")</f>
        <v/>
      </c>
    </row>
    <row r="6132">
      <c r="A6132" s="78" t="s">
        <v>4926</v>
      </c>
      <c r="B6132" s="78" t="s">
        <v>22</v>
      </c>
      <c r="C6132" s="85">
        <v>45434.0</v>
      </c>
      <c r="D6132" s="85">
        <v>45440.0</v>
      </c>
      <c r="E6132" s="86">
        <v>8.3</v>
      </c>
      <c r="F6132" s="87">
        <v>10.54</v>
      </c>
      <c r="G6132" s="88">
        <f t="shared" si="1"/>
        <v>2.24</v>
      </c>
      <c r="H6132" s="89">
        <f t="shared" si="15"/>
        <v>0.2125237192</v>
      </c>
      <c r="I6132" s="78" t="s">
        <v>7028</v>
      </c>
      <c r="J6132" s="78" t="s">
        <v>69</v>
      </c>
      <c r="K6132" s="58">
        <f t="shared" si="16"/>
        <v>6</v>
      </c>
      <c r="L6132" s="91" t="str">
        <f t="shared" si="8"/>
        <v>Tue</v>
      </c>
      <c r="M6132" s="78" t="str">
        <f>IFERROR(VLOOKUP(A6132, Entries!A:B,2,false),"")</f>
        <v>Bethesda Softworks</v>
      </c>
      <c r="N6132" s="23" t="str">
        <f>IFERROR(VLOOKUP(A6132, Entries!A:K,11,false),"")</f>
        <v/>
      </c>
    </row>
    <row r="6133">
      <c r="A6133" s="78" t="s">
        <v>5933</v>
      </c>
      <c r="B6133" s="78" t="s">
        <v>25</v>
      </c>
      <c r="C6133" s="85">
        <v>45434.0</v>
      </c>
      <c r="D6133" s="85">
        <v>45436.0</v>
      </c>
      <c r="E6133" s="86">
        <v>31.05</v>
      </c>
      <c r="F6133" s="87">
        <v>44.91</v>
      </c>
      <c r="G6133" s="88">
        <f t="shared" si="1"/>
        <v>13.86</v>
      </c>
      <c r="H6133" s="89">
        <f t="shared" si="15"/>
        <v>0.3086172345</v>
      </c>
      <c r="I6133" s="78" t="s">
        <v>7029</v>
      </c>
      <c r="J6133" s="78" t="s">
        <v>69</v>
      </c>
      <c r="K6133" s="58">
        <f t="shared" si="16"/>
        <v>2</v>
      </c>
      <c r="L6133" s="91" t="str">
        <f t="shared" si="8"/>
        <v>Fri</v>
      </c>
      <c r="M6133" s="78" t="str">
        <f>IFERROR(VLOOKUP(A6133, Entries!A:B,2,false),"")</f>
        <v>Pocketpair</v>
      </c>
      <c r="N6133" s="23" t="str">
        <f>IFERROR(VLOOKUP(A6133, Entries!A:K,11,false),"")</f>
        <v/>
      </c>
    </row>
    <row r="6134">
      <c r="A6134" s="78" t="s">
        <v>5933</v>
      </c>
      <c r="B6134" s="78" t="s">
        <v>25</v>
      </c>
      <c r="C6134" s="85">
        <v>45434.0</v>
      </c>
      <c r="D6134" s="85">
        <v>45438.0</v>
      </c>
      <c r="E6134" s="86">
        <v>32.01</v>
      </c>
      <c r="F6134" s="87">
        <v>51.17</v>
      </c>
      <c r="G6134" s="88">
        <f t="shared" si="1"/>
        <v>19.16</v>
      </c>
      <c r="H6134" s="89">
        <f t="shared" si="15"/>
        <v>0.3744381474</v>
      </c>
      <c r="I6134" s="78" t="s">
        <v>7030</v>
      </c>
      <c r="J6134" s="78" t="s">
        <v>69</v>
      </c>
      <c r="K6134" s="58">
        <f t="shared" si="16"/>
        <v>4</v>
      </c>
      <c r="L6134" s="91" t="str">
        <f t="shared" si="8"/>
        <v>Sun</v>
      </c>
      <c r="M6134" s="78" t="str">
        <f>IFERROR(VLOOKUP(A6134, Entries!A:B,2,false),"")</f>
        <v>Pocketpair</v>
      </c>
      <c r="N6134" s="23" t="str">
        <f>IFERROR(VLOOKUP(A6134, Entries!A:K,11,false),"")</f>
        <v/>
      </c>
    </row>
    <row r="6135">
      <c r="A6135" s="78" t="s">
        <v>4604</v>
      </c>
      <c r="B6135" s="78" t="s">
        <v>21</v>
      </c>
      <c r="C6135" s="85">
        <v>45434.0</v>
      </c>
      <c r="D6135" s="85">
        <v>45435.0</v>
      </c>
      <c r="E6135" s="86">
        <v>16.94</v>
      </c>
      <c r="F6135" s="87">
        <v>19.18</v>
      </c>
      <c r="G6135" s="88">
        <f t="shared" si="1"/>
        <v>2.24</v>
      </c>
      <c r="H6135" s="89">
        <f t="shared" si="15"/>
        <v>0.1167883212</v>
      </c>
      <c r="I6135" s="78" t="s">
        <v>7031</v>
      </c>
      <c r="J6135" s="78" t="s">
        <v>69</v>
      </c>
      <c r="K6135" s="58">
        <f t="shared" si="16"/>
        <v>1</v>
      </c>
      <c r="L6135" s="91" t="str">
        <f t="shared" si="8"/>
        <v>Thu</v>
      </c>
      <c r="M6135" s="78" t="str">
        <f>IFERROR(VLOOKUP(A6135, Entries!A:B,2,false),"")</f>
        <v>Warner Bros</v>
      </c>
      <c r="N6135" s="23" t="str">
        <f>IFERROR(VLOOKUP(A6135, Entries!A:K,11,false),"")</f>
        <v/>
      </c>
    </row>
    <row r="6136">
      <c r="A6136" s="78" t="s">
        <v>4926</v>
      </c>
      <c r="B6136" s="78" t="s">
        <v>22</v>
      </c>
      <c r="C6136" s="85">
        <v>45435.0</v>
      </c>
      <c r="D6136" s="85">
        <v>45440.0</v>
      </c>
      <c r="E6136" s="86">
        <v>8.25</v>
      </c>
      <c r="F6136" s="87">
        <v>10.67</v>
      </c>
      <c r="G6136" s="88">
        <f t="shared" si="1"/>
        <v>2.42</v>
      </c>
      <c r="H6136" s="89">
        <f t="shared" si="15"/>
        <v>0.2268041237</v>
      </c>
      <c r="I6136" s="78" t="s">
        <v>7032</v>
      </c>
      <c r="J6136" s="78" t="s">
        <v>69</v>
      </c>
      <c r="K6136" s="58">
        <f t="shared" si="16"/>
        <v>5</v>
      </c>
      <c r="L6136" s="91" t="str">
        <f t="shared" si="8"/>
        <v>Tue</v>
      </c>
      <c r="M6136" s="78" t="str">
        <f>IFERROR(VLOOKUP(A6136, Entries!A:B,2,false),"")</f>
        <v>Bethesda Softworks</v>
      </c>
      <c r="N6136" s="23" t="str">
        <f>IFERROR(VLOOKUP(A6136, Entries!A:K,11,false),"")</f>
        <v/>
      </c>
    </row>
    <row r="6137">
      <c r="A6137" s="78" t="s">
        <v>4926</v>
      </c>
      <c r="B6137" s="78" t="s">
        <v>22</v>
      </c>
      <c r="C6137" s="85">
        <v>45435.0</v>
      </c>
      <c r="D6137" s="85">
        <v>45459.0</v>
      </c>
      <c r="E6137" s="86">
        <v>8.26</v>
      </c>
      <c r="F6137" s="87">
        <v>11.39</v>
      </c>
      <c r="G6137" s="88">
        <f t="shared" si="1"/>
        <v>3.13</v>
      </c>
      <c r="H6137" s="89">
        <f t="shared" si="15"/>
        <v>0.2748024583</v>
      </c>
      <c r="I6137" s="78" t="s">
        <v>7033</v>
      </c>
      <c r="J6137" s="78" t="s">
        <v>69</v>
      </c>
      <c r="K6137" s="58">
        <f t="shared" si="16"/>
        <v>24</v>
      </c>
      <c r="L6137" s="91" t="str">
        <f t="shared" si="8"/>
        <v>Sun</v>
      </c>
      <c r="M6137" s="78" t="str">
        <f>IFERROR(VLOOKUP(A6137, Entries!A:B,2,false),"")</f>
        <v>Bethesda Softworks</v>
      </c>
      <c r="N6137" s="23" t="str">
        <f>IFERROR(VLOOKUP(A6137, Entries!A:K,11,false),"")</f>
        <v/>
      </c>
    </row>
    <row r="6138">
      <c r="A6138" s="78" t="s">
        <v>4926</v>
      </c>
      <c r="B6138" s="78" t="s">
        <v>22</v>
      </c>
      <c r="C6138" s="85">
        <v>45435.0</v>
      </c>
      <c r="D6138" s="85">
        <v>45459.0</v>
      </c>
      <c r="E6138" s="86">
        <v>8.26</v>
      </c>
      <c r="F6138" s="87">
        <v>11.39</v>
      </c>
      <c r="G6138" s="88">
        <f t="shared" si="1"/>
        <v>3.13</v>
      </c>
      <c r="H6138" s="89">
        <f t="shared" si="15"/>
        <v>0.2748024583</v>
      </c>
      <c r="I6138" s="78" t="s">
        <v>7034</v>
      </c>
      <c r="J6138" s="78" t="s">
        <v>69</v>
      </c>
      <c r="K6138" s="58">
        <f t="shared" si="16"/>
        <v>24</v>
      </c>
      <c r="L6138" s="91" t="str">
        <f t="shared" si="8"/>
        <v>Sun</v>
      </c>
      <c r="M6138" s="78" t="str">
        <f>IFERROR(VLOOKUP(A6138, Entries!A:B,2,false),"")</f>
        <v>Bethesda Softworks</v>
      </c>
      <c r="N6138" s="23" t="str">
        <f>IFERROR(VLOOKUP(A6138, Entries!A:K,11,false),"")</f>
        <v/>
      </c>
    </row>
    <row r="6139">
      <c r="A6139" s="78" t="s">
        <v>4926</v>
      </c>
      <c r="B6139" s="78" t="s">
        <v>22</v>
      </c>
      <c r="C6139" s="85">
        <v>45435.0</v>
      </c>
      <c r="D6139" s="85">
        <v>45459.0</v>
      </c>
      <c r="E6139" s="86">
        <v>8.26</v>
      </c>
      <c r="F6139" s="87">
        <v>11.39</v>
      </c>
      <c r="G6139" s="88">
        <f t="shared" si="1"/>
        <v>3.13</v>
      </c>
      <c r="H6139" s="89">
        <f t="shared" si="15"/>
        <v>0.2748024583</v>
      </c>
      <c r="I6139" s="78" t="s">
        <v>7035</v>
      </c>
      <c r="J6139" s="78" t="s">
        <v>69</v>
      </c>
      <c r="K6139" s="58">
        <f t="shared" si="16"/>
        <v>24</v>
      </c>
      <c r="L6139" s="91" t="str">
        <f t="shared" si="8"/>
        <v>Sun</v>
      </c>
      <c r="M6139" s="78" t="str">
        <f>IFERROR(VLOOKUP(A6139, Entries!A:B,2,false),"")</f>
        <v>Bethesda Softworks</v>
      </c>
      <c r="N6139" s="23" t="str">
        <f>IFERROR(VLOOKUP(A6139, Entries!A:K,11,false),"")</f>
        <v/>
      </c>
    </row>
    <row r="6140">
      <c r="A6140" s="78" t="s">
        <v>4926</v>
      </c>
      <c r="B6140" s="78" t="s">
        <v>22</v>
      </c>
      <c r="C6140" s="85">
        <v>45435.0</v>
      </c>
      <c r="D6140" s="85">
        <v>45468.0</v>
      </c>
      <c r="E6140" s="86">
        <v>8.3</v>
      </c>
      <c r="F6140" s="87">
        <v>9.3</v>
      </c>
      <c r="G6140" s="88">
        <f t="shared" si="1"/>
        <v>1</v>
      </c>
      <c r="H6140" s="89">
        <f t="shared" si="15"/>
        <v>0.1075268817</v>
      </c>
      <c r="I6140" s="78" t="s">
        <v>7036</v>
      </c>
      <c r="J6140" s="78" t="s">
        <v>69</v>
      </c>
      <c r="K6140" s="58">
        <f t="shared" si="16"/>
        <v>33</v>
      </c>
      <c r="L6140" s="91" t="str">
        <f t="shared" si="8"/>
        <v>Tue</v>
      </c>
      <c r="M6140" s="78" t="str">
        <f>IFERROR(VLOOKUP(A6140, Entries!A:B,2,false),"")</f>
        <v>Bethesda Softworks</v>
      </c>
      <c r="N6140" s="23" t="str">
        <f>IFERROR(VLOOKUP(A6140, Entries!A:K,11,false),"")</f>
        <v/>
      </c>
    </row>
    <row r="6141">
      <c r="A6141" s="78" t="s">
        <v>4926</v>
      </c>
      <c r="B6141" s="78" t="s">
        <v>22</v>
      </c>
      <c r="C6141" s="85">
        <v>45435.0</v>
      </c>
      <c r="D6141" s="85">
        <v>45468.0</v>
      </c>
      <c r="E6141" s="86">
        <v>8.3</v>
      </c>
      <c r="F6141" s="87">
        <v>9.3</v>
      </c>
      <c r="G6141" s="88">
        <f t="shared" si="1"/>
        <v>1</v>
      </c>
      <c r="H6141" s="89">
        <f t="shared" si="15"/>
        <v>0.1075268817</v>
      </c>
      <c r="I6141" s="78" t="s">
        <v>7037</v>
      </c>
      <c r="J6141" s="78" t="s">
        <v>69</v>
      </c>
      <c r="K6141" s="58">
        <f t="shared" si="16"/>
        <v>33</v>
      </c>
      <c r="L6141" s="91" t="str">
        <f t="shared" si="8"/>
        <v>Tue</v>
      </c>
      <c r="M6141" s="78" t="str">
        <f>IFERROR(VLOOKUP(A6141, Entries!A:B,2,false),"")</f>
        <v>Bethesda Softworks</v>
      </c>
      <c r="N6141" s="23" t="str">
        <f>IFERROR(VLOOKUP(A6141, Entries!A:K,11,false),"")</f>
        <v/>
      </c>
    </row>
    <row r="6142">
      <c r="A6142" s="78" t="s">
        <v>4926</v>
      </c>
      <c r="B6142" s="78" t="s">
        <v>22</v>
      </c>
      <c r="C6142" s="85">
        <v>45435.0</v>
      </c>
      <c r="D6142" s="85">
        <v>45468.0</v>
      </c>
      <c r="E6142" s="86">
        <v>8.3</v>
      </c>
      <c r="F6142" s="87">
        <v>9.3</v>
      </c>
      <c r="G6142" s="88">
        <f t="shared" si="1"/>
        <v>1</v>
      </c>
      <c r="H6142" s="89">
        <f t="shared" si="15"/>
        <v>0.1075268817</v>
      </c>
      <c r="I6142" s="78" t="s">
        <v>7038</v>
      </c>
      <c r="J6142" s="78" t="s">
        <v>69</v>
      </c>
      <c r="K6142" s="58">
        <f t="shared" si="16"/>
        <v>33</v>
      </c>
      <c r="L6142" s="91" t="str">
        <f t="shared" si="8"/>
        <v>Tue</v>
      </c>
      <c r="M6142" s="78" t="str">
        <f>IFERROR(VLOOKUP(A6142, Entries!A:B,2,false),"")</f>
        <v>Bethesda Softworks</v>
      </c>
      <c r="N6142" s="23" t="str">
        <f>IFERROR(VLOOKUP(A6142, Entries!A:K,11,false),"")</f>
        <v/>
      </c>
    </row>
    <row r="6143">
      <c r="A6143" s="78" t="s">
        <v>4926</v>
      </c>
      <c r="B6143" s="78" t="s">
        <v>22</v>
      </c>
      <c r="C6143" s="85">
        <v>45435.0</v>
      </c>
      <c r="D6143" s="85">
        <v>45468.0</v>
      </c>
      <c r="E6143" s="86">
        <v>8.3</v>
      </c>
      <c r="F6143" s="87">
        <v>9.3</v>
      </c>
      <c r="G6143" s="88">
        <f t="shared" si="1"/>
        <v>1</v>
      </c>
      <c r="H6143" s="89">
        <f t="shared" si="15"/>
        <v>0.1075268817</v>
      </c>
      <c r="I6143" s="78" t="s">
        <v>7039</v>
      </c>
      <c r="J6143" s="78" t="s">
        <v>69</v>
      </c>
      <c r="K6143" s="58">
        <f t="shared" si="16"/>
        <v>33</v>
      </c>
      <c r="L6143" s="91" t="str">
        <f t="shared" si="8"/>
        <v>Tue</v>
      </c>
      <c r="M6143" s="78" t="str">
        <f>IFERROR(VLOOKUP(A6143, Entries!A:B,2,false),"")</f>
        <v>Bethesda Softworks</v>
      </c>
      <c r="N6143" s="23" t="str">
        <f>IFERROR(VLOOKUP(A6143, Entries!A:K,11,false),"")</f>
        <v/>
      </c>
    </row>
    <row r="6144">
      <c r="A6144" s="78" t="s">
        <v>4926</v>
      </c>
      <c r="B6144" s="78" t="s">
        <v>22</v>
      </c>
      <c r="C6144" s="85">
        <v>45435.0</v>
      </c>
      <c r="D6144" s="85">
        <v>45468.0</v>
      </c>
      <c r="E6144" s="86">
        <v>8.3</v>
      </c>
      <c r="F6144" s="87">
        <v>9.3</v>
      </c>
      <c r="G6144" s="88">
        <f t="shared" si="1"/>
        <v>1</v>
      </c>
      <c r="H6144" s="89">
        <f t="shared" si="15"/>
        <v>0.1075268817</v>
      </c>
      <c r="I6144" s="78" t="s">
        <v>7040</v>
      </c>
      <c r="J6144" s="78" t="s">
        <v>69</v>
      </c>
      <c r="K6144" s="58">
        <f t="shared" si="16"/>
        <v>33</v>
      </c>
      <c r="L6144" s="91" t="str">
        <f t="shared" si="8"/>
        <v>Tue</v>
      </c>
      <c r="M6144" s="78" t="str">
        <f>IFERROR(VLOOKUP(A6144, Entries!A:B,2,false),"")</f>
        <v>Bethesda Softworks</v>
      </c>
      <c r="N6144" s="23" t="str">
        <f>IFERROR(VLOOKUP(A6144, Entries!A:K,11,false),"")</f>
        <v/>
      </c>
      <c r="P6144" s="81"/>
      <c r="Q6144" s="81"/>
      <c r="R6144" s="81"/>
    </row>
    <row r="6145">
      <c r="A6145" s="78" t="s">
        <v>4926</v>
      </c>
      <c r="B6145" s="78" t="s">
        <v>22</v>
      </c>
      <c r="C6145" s="85">
        <v>45435.0</v>
      </c>
      <c r="D6145" s="85">
        <v>45468.0</v>
      </c>
      <c r="E6145" s="86">
        <v>8.3</v>
      </c>
      <c r="F6145" s="87">
        <v>9.3</v>
      </c>
      <c r="G6145" s="88">
        <f t="shared" si="1"/>
        <v>1</v>
      </c>
      <c r="H6145" s="89">
        <f t="shared" si="15"/>
        <v>0.1075268817</v>
      </c>
      <c r="I6145" s="78" t="s">
        <v>7041</v>
      </c>
      <c r="J6145" s="78" t="s">
        <v>69</v>
      </c>
      <c r="K6145" s="58">
        <f t="shared" si="16"/>
        <v>33</v>
      </c>
      <c r="L6145" s="91" t="str">
        <f t="shared" si="8"/>
        <v>Tue</v>
      </c>
      <c r="M6145" s="78" t="str">
        <f>IFERROR(VLOOKUP(A6145, Entries!A:B,2,false),"")</f>
        <v>Bethesda Softworks</v>
      </c>
      <c r="N6145" s="23" t="str">
        <f>IFERROR(VLOOKUP(A6145, Entries!A:K,11,false),"")</f>
        <v/>
      </c>
    </row>
    <row r="6146">
      <c r="A6146" s="78" t="s">
        <v>4532</v>
      </c>
      <c r="B6146" s="78" t="s">
        <v>22</v>
      </c>
      <c r="C6146" s="85">
        <v>45437.0</v>
      </c>
      <c r="D6146" s="85">
        <v>45444.0</v>
      </c>
      <c r="E6146" s="86">
        <v>34.7</v>
      </c>
      <c r="F6146" s="87">
        <v>38.59</v>
      </c>
      <c r="G6146" s="88">
        <f t="shared" si="1"/>
        <v>3.89</v>
      </c>
      <c r="H6146" s="89">
        <f t="shared" si="15"/>
        <v>0.1008033169</v>
      </c>
      <c r="I6146" s="78" t="s">
        <v>7042</v>
      </c>
      <c r="J6146" s="78" t="s">
        <v>69</v>
      </c>
      <c r="K6146" s="58">
        <f t="shared" si="16"/>
        <v>7</v>
      </c>
      <c r="L6146" s="91" t="str">
        <f t="shared" si="8"/>
        <v>Sat</v>
      </c>
      <c r="M6146" s="78" t="str">
        <f>IFERROR(VLOOKUP(A6146, Entries!A:B,2,false),"")</f>
        <v>Eugen Systems</v>
      </c>
      <c r="N6146" s="23" t="str">
        <f>IFERROR(VLOOKUP(A6146, Entries!A:K,11,false),"")</f>
        <v/>
      </c>
    </row>
    <row r="6147">
      <c r="A6147" s="78" t="s">
        <v>1729</v>
      </c>
      <c r="B6147" s="78" t="s">
        <v>23</v>
      </c>
      <c r="C6147" s="85">
        <v>45438.0</v>
      </c>
      <c r="D6147" s="85">
        <v>45438.0</v>
      </c>
      <c r="E6147" s="86">
        <v>4.34</v>
      </c>
      <c r="F6147" s="87">
        <v>5.43</v>
      </c>
      <c r="G6147" s="88">
        <f t="shared" si="1"/>
        <v>1.09</v>
      </c>
      <c r="H6147" s="89">
        <f t="shared" si="15"/>
        <v>0.2007366483</v>
      </c>
      <c r="I6147" s="78" t="s">
        <v>7043</v>
      </c>
      <c r="J6147" s="78" t="s">
        <v>69</v>
      </c>
      <c r="K6147" s="58">
        <f t="shared" si="16"/>
        <v>0</v>
      </c>
      <c r="L6147" s="91" t="str">
        <f t="shared" si="8"/>
        <v>Sun</v>
      </c>
      <c r="M6147" s="78" t="str">
        <f>IFERROR(VLOOKUP(A6147, Entries!A:B,2,false),"")</f>
        <v>Focus Home Interactive</v>
      </c>
      <c r="N6147" s="23" t="str">
        <f>IFERROR(VLOOKUP(A6147, Entries!A:K,11,false),"")</f>
        <v/>
      </c>
    </row>
    <row r="6148">
      <c r="A6148" s="78" t="s">
        <v>7044</v>
      </c>
      <c r="B6148" s="78" t="s">
        <v>25</v>
      </c>
      <c r="C6148" s="85">
        <v>45438.0</v>
      </c>
      <c r="D6148" s="85">
        <v>45439.0</v>
      </c>
      <c r="E6148" s="86">
        <v>29.6</v>
      </c>
      <c r="F6148" s="87">
        <v>28.83</v>
      </c>
      <c r="G6148" s="88">
        <f t="shared" si="1"/>
        <v>-0.77</v>
      </c>
      <c r="H6148" s="89">
        <f t="shared" si="15"/>
        <v>-0.02670828998</v>
      </c>
      <c r="I6148" s="78" t="s">
        <v>7045</v>
      </c>
      <c r="J6148" s="78" t="s">
        <v>69</v>
      </c>
      <c r="K6148" s="58">
        <f t="shared" si="16"/>
        <v>1</v>
      </c>
      <c r="L6148" s="91" t="str">
        <f t="shared" si="8"/>
        <v>Mon</v>
      </c>
      <c r="M6148" s="78" t="str">
        <f>IFERROR(VLOOKUP(A6148, Entries!A:B,2,false),"")</f>
        <v/>
      </c>
      <c r="N6148" s="23" t="str">
        <f>IFERROR(VLOOKUP(A6148, Entries!A:K,11,false),"")</f>
        <v/>
      </c>
    </row>
    <row r="6149">
      <c r="A6149" s="78" t="s">
        <v>7044</v>
      </c>
      <c r="B6149" s="78" t="s">
        <v>25</v>
      </c>
      <c r="C6149" s="85">
        <v>45438.0</v>
      </c>
      <c r="D6149" s="85">
        <v>45616.0</v>
      </c>
      <c r="E6149" s="86">
        <v>29.6</v>
      </c>
      <c r="F6149" s="87">
        <v>28.25</v>
      </c>
      <c r="G6149" s="88">
        <f t="shared" si="1"/>
        <v>-1.35</v>
      </c>
      <c r="H6149" s="89">
        <f t="shared" si="15"/>
        <v>-0.04778761062</v>
      </c>
      <c r="I6149" s="78" t="s">
        <v>7045</v>
      </c>
      <c r="J6149" s="78" t="s">
        <v>69</v>
      </c>
      <c r="K6149" s="58">
        <f t="shared" si="16"/>
        <v>178</v>
      </c>
      <c r="L6149" s="91" t="str">
        <f t="shared" si="8"/>
        <v>Wed</v>
      </c>
      <c r="M6149" s="78" t="str">
        <f>IFERROR(VLOOKUP(A6149, Entries!A:B,2,false),"")</f>
        <v/>
      </c>
      <c r="N6149" s="23" t="str">
        <f>IFERROR(VLOOKUP(A6149, Entries!A:K,11,false),"")</f>
        <v/>
      </c>
    </row>
    <row r="6150">
      <c r="A6150" s="78" t="s">
        <v>7044</v>
      </c>
      <c r="B6150" s="78" t="s">
        <v>25</v>
      </c>
      <c r="C6150" s="85">
        <v>45633.0</v>
      </c>
      <c r="D6150" s="85">
        <v>45661.0</v>
      </c>
      <c r="E6150" s="86">
        <v>29.61</v>
      </c>
      <c r="F6150" s="87">
        <v>28.68</v>
      </c>
      <c r="G6150" s="88">
        <f t="shared" si="1"/>
        <v>-0.93</v>
      </c>
      <c r="H6150" s="89">
        <f t="shared" si="15"/>
        <v>-0.03242677824</v>
      </c>
      <c r="I6150" s="78" t="s">
        <v>7045</v>
      </c>
      <c r="J6150" s="78" t="s">
        <v>69</v>
      </c>
      <c r="K6150" s="58">
        <f t="shared" si="16"/>
        <v>28</v>
      </c>
      <c r="L6150" s="91" t="str">
        <f t="shared" si="8"/>
        <v>Sat</v>
      </c>
      <c r="M6150" s="78" t="str">
        <f>IFERROR(VLOOKUP(A6150, Entries!A:B,2,false),"")</f>
        <v/>
      </c>
      <c r="N6150" s="23" t="str">
        <f>IFERROR(VLOOKUP(A6150, Entries!A:K,11,false),"")</f>
        <v/>
      </c>
    </row>
    <row r="6151">
      <c r="A6151" s="78" t="s">
        <v>1729</v>
      </c>
      <c r="B6151" s="78" t="s">
        <v>23</v>
      </c>
      <c r="C6151" s="85">
        <v>45438.0</v>
      </c>
      <c r="D6151" s="85">
        <v>45441.0</v>
      </c>
      <c r="E6151" s="86">
        <v>4.34</v>
      </c>
      <c r="F6151" s="87">
        <v>4.72</v>
      </c>
      <c r="G6151" s="88">
        <f t="shared" si="1"/>
        <v>0.38</v>
      </c>
      <c r="H6151" s="89">
        <f t="shared" si="15"/>
        <v>0.08050847458</v>
      </c>
      <c r="I6151" s="78" t="s">
        <v>7046</v>
      </c>
      <c r="J6151" s="78" t="s">
        <v>69</v>
      </c>
      <c r="K6151" s="58">
        <f t="shared" si="16"/>
        <v>3</v>
      </c>
      <c r="L6151" s="91" t="str">
        <f t="shared" si="8"/>
        <v>Wed</v>
      </c>
      <c r="M6151" s="78" t="str">
        <f>IFERROR(VLOOKUP(A6151, Entries!A:B,2,false),"")</f>
        <v>Focus Home Interactive</v>
      </c>
      <c r="N6151" s="23" t="str">
        <f>IFERROR(VLOOKUP(A6151, Entries!A:K,11,false),"")</f>
        <v/>
      </c>
    </row>
    <row r="6152">
      <c r="A6152" s="78" t="s">
        <v>5933</v>
      </c>
      <c r="B6152" s="78" t="s">
        <v>18</v>
      </c>
      <c r="C6152" s="85">
        <v>45439.0</v>
      </c>
      <c r="D6152" s="85">
        <v>45439.0</v>
      </c>
      <c r="E6152" s="86">
        <v>40.36</v>
      </c>
      <c r="F6152" s="87">
        <v>53.86</v>
      </c>
      <c r="G6152" s="88">
        <f t="shared" si="1"/>
        <v>13.5</v>
      </c>
      <c r="H6152" s="89">
        <f t="shared" si="15"/>
        <v>0.2506498329</v>
      </c>
      <c r="I6152" s="78" t="s">
        <v>7047</v>
      </c>
      <c r="J6152" s="78" t="s">
        <v>69</v>
      </c>
      <c r="K6152" s="58">
        <f t="shared" si="16"/>
        <v>0</v>
      </c>
      <c r="L6152" s="91" t="str">
        <f t="shared" si="8"/>
        <v>Mon</v>
      </c>
      <c r="M6152" s="78" t="str">
        <f>IFERROR(VLOOKUP(A6152, Entries!A:B,2,false),"")</f>
        <v>Pocketpair</v>
      </c>
      <c r="N6152" s="23" t="str">
        <f>IFERROR(VLOOKUP(A6152, Entries!A:K,11,false),"")</f>
        <v/>
      </c>
    </row>
    <row r="6153">
      <c r="A6153" s="78" t="s">
        <v>5933</v>
      </c>
      <c r="B6153" s="78" t="s">
        <v>18</v>
      </c>
      <c r="C6153" s="85">
        <v>45439.0</v>
      </c>
      <c r="D6153" s="85">
        <v>45440.0</v>
      </c>
      <c r="E6153" s="86">
        <v>40.36</v>
      </c>
      <c r="F6153" s="87">
        <v>53.87</v>
      </c>
      <c r="G6153" s="88">
        <f t="shared" si="1"/>
        <v>13.51</v>
      </c>
      <c r="H6153" s="89">
        <f t="shared" si="15"/>
        <v>0.2507889363</v>
      </c>
      <c r="I6153" s="78" t="s">
        <v>7048</v>
      </c>
      <c r="J6153" s="78" t="s">
        <v>69</v>
      </c>
      <c r="K6153" s="58">
        <f t="shared" si="16"/>
        <v>1</v>
      </c>
      <c r="L6153" s="91" t="str">
        <f t="shared" si="8"/>
        <v>Tue</v>
      </c>
      <c r="M6153" s="78" t="str">
        <f>IFERROR(VLOOKUP(A6153, Entries!A:B,2,false),"")</f>
        <v>Pocketpair</v>
      </c>
      <c r="N6153" s="23" t="str">
        <f>IFERROR(VLOOKUP(A6153, Entries!A:K,11,false),"")</f>
        <v/>
      </c>
    </row>
    <row r="6154">
      <c r="A6154" s="78" t="s">
        <v>805</v>
      </c>
      <c r="B6154" s="78" t="s">
        <v>23</v>
      </c>
      <c r="C6154" s="85">
        <v>45439.0</v>
      </c>
      <c r="D6154" s="85">
        <v>45441.0</v>
      </c>
      <c r="E6154" s="86">
        <v>4.81</v>
      </c>
      <c r="F6154" s="87">
        <v>6.98</v>
      </c>
      <c r="G6154" s="88">
        <f t="shared" si="1"/>
        <v>2.17</v>
      </c>
      <c r="H6154" s="89">
        <f t="shared" si="15"/>
        <v>0.3108882521</v>
      </c>
      <c r="I6154" s="78" t="s">
        <v>7049</v>
      </c>
      <c r="J6154" s="78" t="s">
        <v>69</v>
      </c>
      <c r="K6154" s="58">
        <f t="shared" si="16"/>
        <v>2</v>
      </c>
      <c r="L6154" s="91" t="str">
        <f t="shared" si="8"/>
        <v>Wed</v>
      </c>
      <c r="M6154" s="78" t="str">
        <f>IFERROR(VLOOKUP(A6154, Entries!A:B,2,false),"")</f>
        <v>Paradox Interactive</v>
      </c>
      <c r="N6154" s="23" t="str">
        <f>IFERROR(VLOOKUP(A6154, Entries!A:K,11,false),"")</f>
        <v/>
      </c>
    </row>
    <row r="6155">
      <c r="A6155" s="78" t="s">
        <v>2242</v>
      </c>
      <c r="B6155" s="78" t="s">
        <v>23</v>
      </c>
      <c r="C6155" s="85">
        <v>45439.0</v>
      </c>
      <c r="D6155" s="85">
        <v>45547.0</v>
      </c>
      <c r="E6155" s="86">
        <v>7.23</v>
      </c>
      <c r="F6155" s="87">
        <v>14.27</v>
      </c>
      <c r="G6155" s="88">
        <f t="shared" si="1"/>
        <v>7.04</v>
      </c>
      <c r="H6155" s="89">
        <f t="shared" si="15"/>
        <v>0.4933426769</v>
      </c>
      <c r="I6155" s="78" t="s">
        <v>7050</v>
      </c>
      <c r="J6155" s="78" t="s">
        <v>69</v>
      </c>
      <c r="K6155" s="58">
        <f t="shared" si="16"/>
        <v>108</v>
      </c>
      <c r="L6155" s="91" t="str">
        <f t="shared" si="8"/>
        <v>Thu</v>
      </c>
      <c r="M6155" s="78" t="str">
        <f>IFERROR(VLOOKUP(A6155, Entries!A:B,2,false),"")</f>
        <v>Paradox Interactive</v>
      </c>
      <c r="N6155" s="23" t="str">
        <f>IFERROR(VLOOKUP(A6155, Entries!A:K,11,false),"")</f>
        <v/>
      </c>
    </row>
    <row r="6156">
      <c r="A6156" s="78" t="s">
        <v>7051</v>
      </c>
      <c r="B6156" s="78" t="s">
        <v>23</v>
      </c>
      <c r="C6156" s="85">
        <v>45439.0</v>
      </c>
      <c r="D6156" s="85">
        <v>45440.0</v>
      </c>
      <c r="E6156" s="86">
        <v>9.63</v>
      </c>
      <c r="F6156" s="87">
        <v>11.02</v>
      </c>
      <c r="G6156" s="88">
        <f t="shared" si="1"/>
        <v>1.39</v>
      </c>
      <c r="H6156" s="89">
        <f t="shared" si="15"/>
        <v>0.1261343013</v>
      </c>
      <c r="I6156" s="78" t="s">
        <v>7052</v>
      </c>
      <c r="J6156" s="78" t="s">
        <v>69</v>
      </c>
      <c r="K6156" s="58">
        <f t="shared" si="16"/>
        <v>1</v>
      </c>
      <c r="L6156" s="91" t="str">
        <f t="shared" si="8"/>
        <v>Tue</v>
      </c>
      <c r="M6156" s="78" t="str">
        <f>IFERROR(VLOOKUP(A6156, Entries!A:B,2,false),"")</f>
        <v>Paradox Interactive</v>
      </c>
      <c r="N6156" s="23" t="str">
        <f>IFERROR(VLOOKUP(A6156, Entries!A:K,11,false),"")</f>
        <v/>
      </c>
    </row>
    <row r="6157">
      <c r="A6157" s="78" t="s">
        <v>7051</v>
      </c>
      <c r="B6157" s="78" t="s">
        <v>23</v>
      </c>
      <c r="C6157" s="85">
        <v>45440.0</v>
      </c>
      <c r="D6157" s="85">
        <v>45440.0</v>
      </c>
      <c r="E6157" s="86">
        <v>9.63</v>
      </c>
      <c r="F6157" s="87">
        <v>11.01</v>
      </c>
      <c r="G6157" s="88">
        <f t="shared" si="1"/>
        <v>1.38</v>
      </c>
      <c r="H6157" s="89">
        <f t="shared" si="15"/>
        <v>0.1253405995</v>
      </c>
      <c r="I6157" s="78" t="s">
        <v>7053</v>
      </c>
      <c r="J6157" s="78" t="s">
        <v>69</v>
      </c>
      <c r="K6157" s="58">
        <f t="shared" si="16"/>
        <v>0</v>
      </c>
      <c r="L6157" s="91" t="str">
        <f t="shared" si="8"/>
        <v>Tue</v>
      </c>
      <c r="M6157" s="78" t="str">
        <f>IFERROR(VLOOKUP(A6156, Entries!A:B,2,false),"")</f>
        <v>Paradox Interactive</v>
      </c>
      <c r="N6157" s="23" t="str">
        <f>IFERROR(VLOOKUP(A6157, Entries!A:K,11,false),"")</f>
        <v/>
      </c>
    </row>
    <row r="6158">
      <c r="A6158" s="78" t="s">
        <v>7051</v>
      </c>
      <c r="B6158" s="78" t="s">
        <v>23</v>
      </c>
      <c r="C6158" s="85">
        <v>45440.0</v>
      </c>
      <c r="D6158" s="85">
        <v>45440.0</v>
      </c>
      <c r="E6158" s="86">
        <v>9.63</v>
      </c>
      <c r="F6158" s="87">
        <v>11.02</v>
      </c>
      <c r="G6158" s="88">
        <f t="shared" si="1"/>
        <v>1.39</v>
      </c>
      <c r="H6158" s="89">
        <f t="shared" si="15"/>
        <v>0.1261343013</v>
      </c>
      <c r="I6158" s="78" t="s">
        <v>7054</v>
      </c>
      <c r="J6158" s="78" t="s">
        <v>69</v>
      </c>
      <c r="K6158" s="58">
        <f t="shared" si="16"/>
        <v>0</v>
      </c>
      <c r="L6158" s="91" t="str">
        <f t="shared" si="8"/>
        <v>Tue</v>
      </c>
      <c r="M6158" s="78" t="str">
        <f>IFERROR(VLOOKUP(A6158, Entries!A:B,2,false),"")</f>
        <v>Paradox Interactive</v>
      </c>
      <c r="N6158" s="23" t="str">
        <f>IFERROR(VLOOKUP(A6158, Entries!A:K,11,false),"")</f>
        <v/>
      </c>
    </row>
    <row r="6159">
      <c r="A6159" s="78" t="s">
        <v>7051</v>
      </c>
      <c r="B6159" s="78" t="s">
        <v>23</v>
      </c>
      <c r="C6159" s="85">
        <v>45440.0</v>
      </c>
      <c r="D6159" s="85">
        <v>45446.0</v>
      </c>
      <c r="E6159" s="86">
        <v>9.63</v>
      </c>
      <c r="F6159" s="87">
        <v>13.56</v>
      </c>
      <c r="G6159" s="88">
        <f t="shared" si="1"/>
        <v>3.93</v>
      </c>
      <c r="H6159" s="89">
        <f t="shared" si="15"/>
        <v>0.2898230088</v>
      </c>
      <c r="I6159" s="78" t="s">
        <v>7055</v>
      </c>
      <c r="J6159" s="78" t="s">
        <v>69</v>
      </c>
      <c r="K6159" s="58">
        <f t="shared" si="16"/>
        <v>6</v>
      </c>
      <c r="L6159" s="91" t="str">
        <f t="shared" si="8"/>
        <v>Mon</v>
      </c>
      <c r="M6159" s="78" t="str">
        <f>IFERROR(VLOOKUP(A6159, Entries!A:B,2,false),"")</f>
        <v>Paradox Interactive</v>
      </c>
      <c r="N6159" s="23" t="str">
        <f>IFERROR(VLOOKUP(A6159, Entries!A:K,11,false),"")</f>
        <v/>
      </c>
    </row>
    <row r="6160">
      <c r="A6160" s="78" t="s">
        <v>7056</v>
      </c>
      <c r="B6160" s="78" t="s">
        <v>21</v>
      </c>
      <c r="C6160" s="85">
        <v>45440.0</v>
      </c>
      <c r="D6160" s="85">
        <v>45447.0</v>
      </c>
      <c r="E6160" s="86">
        <v>37.57</v>
      </c>
      <c r="F6160" s="87">
        <v>40.55</v>
      </c>
      <c r="G6160" s="88">
        <f t="shared" si="1"/>
        <v>2.98</v>
      </c>
      <c r="H6160" s="89">
        <f t="shared" si="15"/>
        <v>0.07348951911</v>
      </c>
      <c r="I6160" s="78" t="s">
        <v>7057</v>
      </c>
      <c r="J6160" s="78" t="s">
        <v>69</v>
      </c>
      <c r="K6160" s="58">
        <f t="shared" si="16"/>
        <v>7</v>
      </c>
      <c r="L6160" s="91" t="str">
        <f t="shared" si="8"/>
        <v>Tue</v>
      </c>
      <c r="M6160" s="78" t="str">
        <f>IFERROR(VLOOKUP(A6160, Entries!A:B,2,false),"")</f>
        <v>2K</v>
      </c>
      <c r="N6160" s="23" t="str">
        <f>IFERROR(VLOOKUP(A6160, Entries!A:K,11,false),"")</f>
        <v/>
      </c>
    </row>
    <row r="6161">
      <c r="A6161" s="78" t="s">
        <v>7058</v>
      </c>
      <c r="B6161" s="78" t="s">
        <v>21</v>
      </c>
      <c r="C6161" s="85">
        <v>45440.0</v>
      </c>
      <c r="D6161" s="85">
        <v>45440.0</v>
      </c>
      <c r="E6161" s="86">
        <v>13.33</v>
      </c>
      <c r="F6161" s="87">
        <v>16.9</v>
      </c>
      <c r="G6161" s="88">
        <f t="shared" si="1"/>
        <v>3.57</v>
      </c>
      <c r="H6161" s="89">
        <f t="shared" si="15"/>
        <v>0.2112426036</v>
      </c>
      <c r="I6161" s="78" t="s">
        <v>7059</v>
      </c>
      <c r="J6161" s="78" t="s">
        <v>69</v>
      </c>
      <c r="K6161" s="58">
        <f t="shared" si="16"/>
        <v>0</v>
      </c>
      <c r="L6161" s="91" t="str">
        <f t="shared" si="8"/>
        <v>Tue</v>
      </c>
      <c r="M6161" s="78" t="str">
        <f>IFERROR(VLOOKUP(A6161, Entries!A:B,2,false),"")</f>
        <v/>
      </c>
      <c r="N6161" s="23" t="str">
        <f>IFERROR(VLOOKUP(A6161, Entries!A:K,11,false),"")</f>
        <v/>
      </c>
    </row>
    <row r="6162">
      <c r="A6162" s="78" t="s">
        <v>7058</v>
      </c>
      <c r="B6162" s="78" t="s">
        <v>21</v>
      </c>
      <c r="C6162" s="85">
        <v>45440.0</v>
      </c>
      <c r="D6162" s="85">
        <v>45440.0</v>
      </c>
      <c r="E6162" s="86">
        <v>13.34</v>
      </c>
      <c r="F6162" s="87">
        <v>16.91</v>
      </c>
      <c r="G6162" s="88">
        <f t="shared" si="1"/>
        <v>3.57</v>
      </c>
      <c r="H6162" s="89">
        <f t="shared" si="15"/>
        <v>0.2111176818</v>
      </c>
      <c r="I6162" s="78" t="s">
        <v>7060</v>
      </c>
      <c r="J6162" s="78" t="s">
        <v>69</v>
      </c>
      <c r="K6162" s="58">
        <f t="shared" si="16"/>
        <v>0</v>
      </c>
      <c r="L6162" s="91" t="str">
        <f t="shared" si="8"/>
        <v>Tue</v>
      </c>
      <c r="M6162" s="78" t="str">
        <f>IFERROR(VLOOKUP(A6162, Entries!A:B,2,false),"")</f>
        <v/>
      </c>
      <c r="N6162" s="23" t="str">
        <f>IFERROR(VLOOKUP(A6162, Entries!A:K,11,false),"")</f>
        <v/>
      </c>
    </row>
    <row r="6163">
      <c r="A6163" s="78" t="s">
        <v>805</v>
      </c>
      <c r="B6163" s="78" t="s">
        <v>23</v>
      </c>
      <c r="C6163" s="85">
        <v>45441.0</v>
      </c>
      <c r="D6163" s="85">
        <v>45443.0</v>
      </c>
      <c r="E6163" s="86">
        <v>4.79</v>
      </c>
      <c r="F6163" s="87">
        <v>6.9</v>
      </c>
      <c r="G6163" s="88">
        <f t="shared" si="1"/>
        <v>2.11</v>
      </c>
      <c r="H6163" s="89">
        <f t="shared" si="15"/>
        <v>0.3057971014</v>
      </c>
      <c r="I6163" s="78" t="s">
        <v>7061</v>
      </c>
      <c r="J6163" s="78" t="s">
        <v>69</v>
      </c>
      <c r="K6163" s="58">
        <f t="shared" si="16"/>
        <v>2</v>
      </c>
      <c r="L6163" s="91" t="str">
        <f t="shared" si="8"/>
        <v>Fri</v>
      </c>
      <c r="M6163" s="78" t="str">
        <f>IFERROR(VLOOKUP(A6163, Entries!A:B,2,false),"")</f>
        <v>Paradox Interactive</v>
      </c>
      <c r="N6163" s="23" t="str">
        <f>IFERROR(VLOOKUP(A6163, Entries!A:K,11,false),"")</f>
        <v/>
      </c>
    </row>
    <row r="6164">
      <c r="A6164" s="78" t="s">
        <v>5933</v>
      </c>
      <c r="B6164" s="78" t="s">
        <v>18</v>
      </c>
      <c r="C6164" s="85">
        <v>45441.0</v>
      </c>
      <c r="D6164" s="85">
        <v>45448.0</v>
      </c>
      <c r="E6164" s="86">
        <v>40.56</v>
      </c>
      <c r="F6164" s="87">
        <v>52.69</v>
      </c>
      <c r="G6164" s="88">
        <f t="shared" si="1"/>
        <v>12.13</v>
      </c>
      <c r="H6164" s="89">
        <f t="shared" si="15"/>
        <v>0.2302144619</v>
      </c>
      <c r="I6164" s="78" t="s">
        <v>7062</v>
      </c>
      <c r="J6164" s="78" t="s">
        <v>69</v>
      </c>
      <c r="K6164" s="58">
        <f t="shared" si="16"/>
        <v>7</v>
      </c>
      <c r="L6164" s="91" t="str">
        <f t="shared" si="8"/>
        <v>Wed</v>
      </c>
      <c r="M6164" s="78" t="str">
        <f>IFERROR(VLOOKUP(A6164, Entries!A:B,2,false),"")</f>
        <v>Pocketpair</v>
      </c>
      <c r="N6164" s="23" t="str">
        <f>IFERROR(VLOOKUP(A6164, Entries!A:K,11,false),"")</f>
        <v/>
      </c>
    </row>
    <row r="6165">
      <c r="A6165" s="78" t="s">
        <v>7063</v>
      </c>
      <c r="B6165" s="78" t="s">
        <v>25</v>
      </c>
      <c r="C6165" s="85">
        <v>45441.0</v>
      </c>
      <c r="D6165" s="85">
        <v>45441.0</v>
      </c>
      <c r="E6165" s="86">
        <v>34.5</v>
      </c>
      <c r="F6165" s="87">
        <v>40.29</v>
      </c>
      <c r="G6165" s="88">
        <f t="shared" si="1"/>
        <v>5.79</v>
      </c>
      <c r="H6165" s="89">
        <f t="shared" si="15"/>
        <v>0.1437081162</v>
      </c>
      <c r="I6165" s="78" t="s">
        <v>7064</v>
      </c>
      <c r="J6165" s="78" t="s">
        <v>69</v>
      </c>
      <c r="K6165" s="58">
        <f t="shared" si="16"/>
        <v>0</v>
      </c>
      <c r="L6165" s="91" t="str">
        <f t="shared" si="8"/>
        <v>Wed</v>
      </c>
      <c r="M6165" s="78" t="str">
        <f>IFERROR(VLOOKUP(A6165, Entries!A:B,2,false),"")</f>
        <v>PlayStation</v>
      </c>
      <c r="N6165" s="23" t="str">
        <f>IFERROR(VLOOKUP(A6165, Entries!A:K,11,false),"")</f>
        <v/>
      </c>
    </row>
    <row r="6166">
      <c r="A6166" s="78" t="s">
        <v>7063</v>
      </c>
      <c r="B6166" s="78" t="s">
        <v>21</v>
      </c>
      <c r="C6166" s="85">
        <v>45441.0</v>
      </c>
      <c r="D6166" s="85">
        <v>45442.0</v>
      </c>
      <c r="E6166" s="86">
        <v>34.51</v>
      </c>
      <c r="F6166" s="87">
        <v>40.29</v>
      </c>
      <c r="G6166" s="88">
        <f t="shared" si="1"/>
        <v>5.78</v>
      </c>
      <c r="H6166" s="89">
        <f t="shared" si="15"/>
        <v>0.1434599156</v>
      </c>
      <c r="I6166" s="78" t="s">
        <v>7065</v>
      </c>
      <c r="J6166" s="78" t="s">
        <v>69</v>
      </c>
      <c r="K6166" s="58">
        <f t="shared" si="16"/>
        <v>1</v>
      </c>
      <c r="L6166" s="91" t="str">
        <f t="shared" si="8"/>
        <v>Thu</v>
      </c>
      <c r="M6166" s="78" t="str">
        <f>IFERROR(VLOOKUP(A6166, Entries!A:B,2,false),"")</f>
        <v>PlayStation</v>
      </c>
      <c r="N6166" s="23" t="str">
        <f>IFERROR(VLOOKUP(A6166, Entries!A:K,11,false),"")</f>
        <v/>
      </c>
    </row>
    <row r="6167">
      <c r="A6167" s="78" t="s">
        <v>4064</v>
      </c>
      <c r="B6167" s="78" t="s">
        <v>21</v>
      </c>
      <c r="C6167" s="85">
        <v>45441.0</v>
      </c>
      <c r="D6167" s="85">
        <v>45442.0</v>
      </c>
      <c r="E6167" s="86">
        <v>3.37</v>
      </c>
      <c r="F6167" s="87">
        <v>4.28</v>
      </c>
      <c r="G6167" s="88">
        <f t="shared" si="1"/>
        <v>0.91</v>
      </c>
      <c r="H6167" s="89">
        <f t="shared" si="15"/>
        <v>0.2126168224</v>
      </c>
      <c r="I6167" s="78" t="s">
        <v>7066</v>
      </c>
      <c r="J6167" s="78" t="s">
        <v>69</v>
      </c>
      <c r="K6167" s="58">
        <f t="shared" si="16"/>
        <v>1</v>
      </c>
      <c r="L6167" s="91" t="str">
        <f t="shared" si="8"/>
        <v>Thu</v>
      </c>
      <c r="M6167" s="78" t="str">
        <f>IFERROR(VLOOKUP(A6167, Entries!A:B,2,false),"")</f>
        <v>WanadevStudio</v>
      </c>
      <c r="N6167" s="23" t="str">
        <f>IFERROR(VLOOKUP(A6167, Entries!A:K,11,false),"")</f>
        <v/>
      </c>
    </row>
    <row r="6168">
      <c r="A6168" s="78" t="s">
        <v>4064</v>
      </c>
      <c r="B6168" s="78" t="s">
        <v>21</v>
      </c>
      <c r="C6168" s="85">
        <v>45441.0</v>
      </c>
      <c r="D6168" s="85">
        <v>45442.0</v>
      </c>
      <c r="E6168" s="86">
        <v>3.37</v>
      </c>
      <c r="F6168" s="87">
        <v>4.28</v>
      </c>
      <c r="G6168" s="88">
        <f t="shared" si="1"/>
        <v>0.91</v>
      </c>
      <c r="H6168" s="89">
        <f t="shared" si="15"/>
        <v>0.2126168224</v>
      </c>
      <c r="I6168" s="78" t="s">
        <v>7067</v>
      </c>
      <c r="J6168" s="78" t="s">
        <v>69</v>
      </c>
      <c r="K6168" s="58">
        <f t="shared" si="16"/>
        <v>1</v>
      </c>
      <c r="L6168" s="91" t="str">
        <f t="shared" si="8"/>
        <v>Thu</v>
      </c>
      <c r="M6168" s="78" t="str">
        <f>IFERROR(VLOOKUP(A6168, Entries!A:B,2,false),"")</f>
        <v>WanadevStudio</v>
      </c>
      <c r="N6168" s="23" t="str">
        <f>IFERROR(VLOOKUP(A6168, Entries!A:K,11,false),"")</f>
        <v/>
      </c>
    </row>
    <row r="6169">
      <c r="A6169" s="78" t="s">
        <v>7068</v>
      </c>
      <c r="B6169" s="78" t="s">
        <v>21</v>
      </c>
      <c r="C6169" s="85">
        <v>45441.0</v>
      </c>
      <c r="D6169" s="85">
        <v>45442.0</v>
      </c>
      <c r="E6169" s="86">
        <v>18.12</v>
      </c>
      <c r="F6169" s="87">
        <v>21.31</v>
      </c>
      <c r="G6169" s="88">
        <f t="shared" si="1"/>
        <v>3.19</v>
      </c>
      <c r="H6169" s="89">
        <f t="shared" si="15"/>
        <v>0.1496949789</v>
      </c>
      <c r="I6169" s="78" t="s">
        <v>7069</v>
      </c>
      <c r="J6169" s="78" t="s">
        <v>69</v>
      </c>
      <c r="K6169" s="58">
        <f t="shared" si="16"/>
        <v>1</v>
      </c>
      <c r="L6169" s="91" t="str">
        <f t="shared" si="8"/>
        <v>Thu</v>
      </c>
      <c r="M6169" s="78" t="str">
        <f>IFERROR(VLOOKUP(A6169, Entries!A:B,2,false),"")</f>
        <v/>
      </c>
      <c r="N6169" s="23" t="str">
        <f>IFERROR(VLOOKUP(A6169, Entries!A:K,11,false),"")</f>
        <v/>
      </c>
    </row>
    <row r="6170">
      <c r="A6170" s="78" t="s">
        <v>7068</v>
      </c>
      <c r="B6170" s="78" t="s">
        <v>21</v>
      </c>
      <c r="C6170" s="85">
        <v>45441.0</v>
      </c>
      <c r="D6170" s="85">
        <v>45445.0</v>
      </c>
      <c r="E6170" s="86">
        <v>18.13</v>
      </c>
      <c r="F6170" s="87">
        <v>21.41</v>
      </c>
      <c r="G6170" s="88">
        <f t="shared" si="1"/>
        <v>3.28</v>
      </c>
      <c r="H6170" s="89">
        <f t="shared" si="15"/>
        <v>0.1531994395</v>
      </c>
      <c r="I6170" s="78" t="s">
        <v>7070</v>
      </c>
      <c r="J6170" s="78" t="s">
        <v>69</v>
      </c>
      <c r="K6170" s="58">
        <f t="shared" si="16"/>
        <v>4</v>
      </c>
      <c r="L6170" s="91" t="str">
        <f t="shared" si="8"/>
        <v>Sun</v>
      </c>
      <c r="M6170" s="78" t="str">
        <f>IFERROR(VLOOKUP(A6170, Entries!A:B,2,false),"")</f>
        <v/>
      </c>
      <c r="N6170" s="23" t="str">
        <f>IFERROR(VLOOKUP(A6170, Entries!A:K,11,false),"")</f>
        <v/>
      </c>
    </row>
    <row r="6171">
      <c r="A6171" s="78" t="s">
        <v>805</v>
      </c>
      <c r="B6171" s="78" t="s">
        <v>23</v>
      </c>
      <c r="C6171" s="85">
        <v>45443.0</v>
      </c>
      <c r="D6171" s="85">
        <v>45444.0</v>
      </c>
      <c r="E6171" s="86">
        <v>4.82</v>
      </c>
      <c r="F6171" s="87">
        <v>6.9</v>
      </c>
      <c r="G6171" s="88">
        <f t="shared" si="1"/>
        <v>2.08</v>
      </c>
      <c r="H6171" s="89">
        <f t="shared" si="15"/>
        <v>0.3014492754</v>
      </c>
      <c r="I6171" s="78" t="s">
        <v>7071</v>
      </c>
      <c r="J6171" s="78" t="s">
        <v>69</v>
      </c>
      <c r="K6171" s="58">
        <f t="shared" si="16"/>
        <v>1</v>
      </c>
      <c r="L6171" s="91" t="str">
        <f t="shared" si="8"/>
        <v>Sat</v>
      </c>
      <c r="M6171" s="78" t="str">
        <f>IFERROR(VLOOKUP(A6171, Entries!A:B,2,false),"")</f>
        <v>Paradox Interactive</v>
      </c>
      <c r="N6171" s="23" t="str">
        <f>IFERROR(VLOOKUP(A6171, Entries!A:K,11,false),"")</f>
        <v/>
      </c>
    </row>
    <row r="6172">
      <c r="A6172" s="78" t="s">
        <v>805</v>
      </c>
      <c r="B6172" s="78" t="s">
        <v>23</v>
      </c>
      <c r="C6172" s="85">
        <v>45444.0</v>
      </c>
      <c r="D6172" s="85">
        <v>45444.0</v>
      </c>
      <c r="E6172" s="86">
        <v>4.81</v>
      </c>
      <c r="F6172" s="87">
        <v>6.9</v>
      </c>
      <c r="G6172" s="88">
        <f t="shared" si="1"/>
        <v>2.09</v>
      </c>
      <c r="H6172" s="89">
        <f t="shared" si="15"/>
        <v>0.3028985507</v>
      </c>
      <c r="I6172" s="78" t="s">
        <v>7072</v>
      </c>
      <c r="J6172" s="78" t="s">
        <v>69</v>
      </c>
      <c r="K6172" s="58">
        <f t="shared" si="16"/>
        <v>0</v>
      </c>
      <c r="L6172" s="91" t="str">
        <f t="shared" si="8"/>
        <v>Sat</v>
      </c>
      <c r="M6172" s="78" t="str">
        <f>IFERROR(VLOOKUP(A6172, Entries!A:B,2,false),"")</f>
        <v>Paradox Interactive</v>
      </c>
      <c r="N6172" s="23" t="str">
        <f>IFERROR(VLOOKUP(A6172, Entries!A:K,11,false),"")</f>
        <v/>
      </c>
    </row>
    <row r="6173">
      <c r="A6173" s="78" t="s">
        <v>805</v>
      </c>
      <c r="B6173" s="78" t="s">
        <v>23</v>
      </c>
      <c r="C6173" s="85">
        <v>45444.0</v>
      </c>
      <c r="D6173" s="85">
        <v>45444.0</v>
      </c>
      <c r="E6173" s="86">
        <v>4.81</v>
      </c>
      <c r="F6173" s="87">
        <v>6.9</v>
      </c>
      <c r="G6173" s="88">
        <f t="shared" si="1"/>
        <v>2.09</v>
      </c>
      <c r="H6173" s="89">
        <f t="shared" si="15"/>
        <v>0.3028985507</v>
      </c>
      <c r="I6173" s="78" t="s">
        <v>7073</v>
      </c>
      <c r="J6173" s="78" t="s">
        <v>69</v>
      </c>
      <c r="K6173" s="58">
        <f t="shared" si="16"/>
        <v>0</v>
      </c>
      <c r="L6173" s="91" t="str">
        <f t="shared" si="8"/>
        <v>Sat</v>
      </c>
      <c r="M6173" s="78" t="str">
        <f>IFERROR(VLOOKUP(A6173, Entries!A:B,2,false),"")</f>
        <v>Paradox Interactive</v>
      </c>
      <c r="N6173" s="23" t="str">
        <f>IFERROR(VLOOKUP(A6173, Entries!A:K,11,false),"")</f>
        <v/>
      </c>
    </row>
    <row r="6174">
      <c r="A6174" s="78" t="s">
        <v>805</v>
      </c>
      <c r="B6174" s="78" t="s">
        <v>23</v>
      </c>
      <c r="C6174" s="85">
        <v>45444.0</v>
      </c>
      <c r="D6174" s="85">
        <v>45446.0</v>
      </c>
      <c r="E6174" s="86">
        <v>4.81</v>
      </c>
      <c r="F6174" s="87">
        <v>7.0</v>
      </c>
      <c r="G6174" s="88">
        <f t="shared" si="1"/>
        <v>2.19</v>
      </c>
      <c r="H6174" s="89">
        <f t="shared" si="15"/>
        <v>0.3128571429</v>
      </c>
      <c r="I6174" s="78" t="s">
        <v>7074</v>
      </c>
      <c r="J6174" s="78" t="s">
        <v>69</v>
      </c>
      <c r="K6174" s="58">
        <f t="shared" si="16"/>
        <v>2</v>
      </c>
      <c r="L6174" s="91" t="str">
        <f t="shared" si="8"/>
        <v>Mon</v>
      </c>
      <c r="M6174" s="78" t="str">
        <f>IFERROR(VLOOKUP(A6174, Entries!A:B,2,false),"")</f>
        <v>Paradox Interactive</v>
      </c>
      <c r="N6174" s="23" t="str">
        <f>IFERROR(VLOOKUP(A6174, Entries!A:K,11,false),"")</f>
        <v/>
      </c>
    </row>
    <row r="6175">
      <c r="A6175" s="78" t="s">
        <v>5676</v>
      </c>
      <c r="B6175" s="78" t="s">
        <v>21</v>
      </c>
      <c r="C6175" s="85">
        <v>45445.0</v>
      </c>
      <c r="D6175" s="85">
        <v>45446.0</v>
      </c>
      <c r="E6175" s="86">
        <v>36.18</v>
      </c>
      <c r="F6175" s="87">
        <v>44.0</v>
      </c>
      <c r="G6175" s="88">
        <f t="shared" si="1"/>
        <v>7.82</v>
      </c>
      <c r="H6175" s="89">
        <f t="shared" si="15"/>
        <v>0.1777272727</v>
      </c>
      <c r="I6175" s="78" t="s">
        <v>7075</v>
      </c>
      <c r="J6175" s="78" t="s">
        <v>69</v>
      </c>
      <c r="K6175" s="58">
        <f t="shared" si="16"/>
        <v>1</v>
      </c>
      <c r="L6175" s="91" t="str">
        <f t="shared" si="8"/>
        <v>Mon</v>
      </c>
      <c r="M6175" s="78" t="str">
        <f>IFERROR(VLOOKUP(A6175, Entries!A:B,2,false),"")</f>
        <v>Bethesda Softworks</v>
      </c>
      <c r="N6175" s="23" t="str">
        <f>IFERROR(VLOOKUP(A6175, Entries!A:K,11,false),"")</f>
        <v/>
      </c>
    </row>
    <row r="6176">
      <c r="A6176" s="78" t="s">
        <v>805</v>
      </c>
      <c r="B6176" s="78" t="s">
        <v>23</v>
      </c>
      <c r="C6176" s="85">
        <v>45446.0</v>
      </c>
      <c r="D6176" s="85">
        <v>45446.0</v>
      </c>
      <c r="E6176" s="86">
        <v>4.81</v>
      </c>
      <c r="F6176" s="87">
        <v>7.0</v>
      </c>
      <c r="G6176" s="88">
        <f t="shared" si="1"/>
        <v>2.19</v>
      </c>
      <c r="H6176" s="89">
        <f t="shared" si="15"/>
        <v>0.3128571429</v>
      </c>
      <c r="I6176" s="78" t="s">
        <v>7076</v>
      </c>
      <c r="J6176" s="78" t="s">
        <v>69</v>
      </c>
      <c r="K6176" s="58">
        <f t="shared" si="16"/>
        <v>0</v>
      </c>
      <c r="L6176" s="91" t="str">
        <f t="shared" si="8"/>
        <v>Mon</v>
      </c>
      <c r="M6176" s="78" t="str">
        <f>IFERROR(VLOOKUP(A6176, Entries!A:B,2,false),"")</f>
        <v>Paradox Interactive</v>
      </c>
      <c r="N6176" s="23" t="str">
        <f>IFERROR(VLOOKUP(A6176, Entries!A:K,11,false),"")</f>
        <v/>
      </c>
    </row>
    <row r="6177">
      <c r="A6177" s="78" t="s">
        <v>805</v>
      </c>
      <c r="B6177" s="78" t="s">
        <v>23</v>
      </c>
      <c r="C6177" s="85">
        <v>45446.0</v>
      </c>
      <c r="D6177" s="85">
        <v>45446.0</v>
      </c>
      <c r="E6177" s="86">
        <v>4.81</v>
      </c>
      <c r="F6177" s="87">
        <v>7.0</v>
      </c>
      <c r="G6177" s="88">
        <f t="shared" si="1"/>
        <v>2.19</v>
      </c>
      <c r="H6177" s="89">
        <f t="shared" si="15"/>
        <v>0.3128571429</v>
      </c>
      <c r="I6177" s="78" t="s">
        <v>7077</v>
      </c>
      <c r="J6177" s="78" t="s">
        <v>69</v>
      </c>
      <c r="K6177" s="58">
        <f t="shared" si="16"/>
        <v>0</v>
      </c>
      <c r="L6177" s="91" t="str">
        <f t="shared" si="8"/>
        <v>Mon</v>
      </c>
      <c r="M6177" s="78" t="str">
        <f>IFERROR(VLOOKUP(A6177, Entries!A:B,2,false),"")</f>
        <v>Paradox Interactive</v>
      </c>
      <c r="N6177" s="23" t="str">
        <f>IFERROR(VLOOKUP(A6177, Entries!A:K,11,false),"")</f>
        <v/>
      </c>
    </row>
    <row r="6178">
      <c r="A6178" s="78" t="s">
        <v>5676</v>
      </c>
      <c r="B6178" s="78" t="s">
        <v>21</v>
      </c>
      <c r="C6178" s="85">
        <v>45447.0</v>
      </c>
      <c r="D6178" s="85">
        <v>45447.0</v>
      </c>
      <c r="E6178" s="86">
        <v>36.6</v>
      </c>
      <c r="F6178" s="87">
        <v>44.0</v>
      </c>
      <c r="G6178" s="88">
        <f t="shared" si="1"/>
        <v>7.4</v>
      </c>
      <c r="H6178" s="89">
        <f t="shared" si="15"/>
        <v>0.1681818182</v>
      </c>
      <c r="I6178" s="78" t="s">
        <v>7078</v>
      </c>
      <c r="J6178" s="78" t="s">
        <v>69</v>
      </c>
      <c r="K6178" s="58">
        <f t="shared" si="16"/>
        <v>0</v>
      </c>
      <c r="L6178" s="91" t="str">
        <f t="shared" si="8"/>
        <v>Tue</v>
      </c>
      <c r="M6178" s="78" t="str">
        <f>IFERROR(VLOOKUP(A6178, Entries!A:B,2,false),"")</f>
        <v>Bethesda Softworks</v>
      </c>
      <c r="N6178" s="23" t="str">
        <f>IFERROR(VLOOKUP(A6178, Entries!A:K,11,false),"")</f>
        <v/>
      </c>
    </row>
    <row r="6179">
      <c r="A6179" s="78" t="s">
        <v>5676</v>
      </c>
      <c r="B6179" s="78" t="s">
        <v>21</v>
      </c>
      <c r="C6179" s="85">
        <v>45449.0</v>
      </c>
      <c r="D6179" s="85">
        <v>45450.0</v>
      </c>
      <c r="E6179" s="86">
        <v>36.6</v>
      </c>
      <c r="F6179" s="87">
        <v>44.0</v>
      </c>
      <c r="G6179" s="88">
        <f t="shared" si="1"/>
        <v>7.4</v>
      </c>
      <c r="H6179" s="89">
        <f t="shared" si="15"/>
        <v>0.1681818182</v>
      </c>
      <c r="I6179" s="78" t="s">
        <v>7079</v>
      </c>
      <c r="J6179" s="78" t="s">
        <v>69</v>
      </c>
      <c r="K6179" s="58">
        <f t="shared" si="16"/>
        <v>1</v>
      </c>
      <c r="L6179" s="91" t="str">
        <f t="shared" si="8"/>
        <v>Fri</v>
      </c>
      <c r="M6179" s="78" t="str">
        <f>IFERROR(VLOOKUP(A6179, Entries!A:B,2,false),"")</f>
        <v>Bethesda Softworks</v>
      </c>
      <c r="N6179" s="23" t="str">
        <f>IFERROR(VLOOKUP(A6179, Entries!A:K,11,false),"")</f>
        <v/>
      </c>
    </row>
    <row r="6180">
      <c r="A6180" s="78" t="s">
        <v>4532</v>
      </c>
      <c r="B6180" s="78" t="s">
        <v>23</v>
      </c>
      <c r="C6180" s="85">
        <v>45449.0</v>
      </c>
      <c r="D6180" s="85">
        <v>45455.0</v>
      </c>
      <c r="E6180" s="86">
        <v>34.55</v>
      </c>
      <c r="F6180" s="87">
        <v>38.59</v>
      </c>
      <c r="G6180" s="88">
        <f t="shared" si="1"/>
        <v>4.04</v>
      </c>
      <c r="H6180" s="89">
        <f t="shared" si="15"/>
        <v>0.1046903343</v>
      </c>
      <c r="I6180" s="78" t="s">
        <v>7080</v>
      </c>
      <c r="J6180" s="78" t="s">
        <v>69</v>
      </c>
      <c r="K6180" s="58">
        <f t="shared" si="16"/>
        <v>6</v>
      </c>
      <c r="L6180" s="91" t="str">
        <f t="shared" si="8"/>
        <v>Wed</v>
      </c>
      <c r="M6180" s="78" t="str">
        <f>IFERROR(VLOOKUP(A6180, Entries!A:B,2,false),"")</f>
        <v>Eugen Systems</v>
      </c>
      <c r="N6180" s="23" t="str">
        <f>IFERROR(VLOOKUP(A6180, Entries!A:K,11,false),"")</f>
        <v/>
      </c>
    </row>
    <row r="6181">
      <c r="A6181" s="78" t="s">
        <v>5933</v>
      </c>
      <c r="B6181" s="78" t="s">
        <v>21</v>
      </c>
      <c r="C6181" s="85">
        <v>45457.0</v>
      </c>
      <c r="D6181" s="85">
        <v>45473.0</v>
      </c>
      <c r="E6181" s="86">
        <v>36.69</v>
      </c>
      <c r="F6181" s="87">
        <v>48.53</v>
      </c>
      <c r="G6181" s="88">
        <f t="shared" si="1"/>
        <v>11.84</v>
      </c>
      <c r="H6181" s="89">
        <f t="shared" si="15"/>
        <v>0.2439728003</v>
      </c>
      <c r="I6181" s="78" t="s">
        <v>7081</v>
      </c>
      <c r="J6181" s="78" t="s">
        <v>69</v>
      </c>
      <c r="K6181" s="58">
        <f t="shared" si="16"/>
        <v>16</v>
      </c>
      <c r="L6181" s="91" t="str">
        <f t="shared" si="8"/>
        <v>Sun</v>
      </c>
      <c r="M6181" s="78" t="str">
        <f>IFERROR(VLOOKUP(A6181, Entries!A:B,2,false),"")</f>
        <v>Pocketpair</v>
      </c>
      <c r="N6181" s="23" t="str">
        <f>IFERROR(VLOOKUP(A6181, Entries!A:K,11,false),"")</f>
        <v/>
      </c>
    </row>
    <row r="6182">
      <c r="A6182" s="78" t="s">
        <v>7082</v>
      </c>
      <c r="B6182" s="78" t="s">
        <v>21</v>
      </c>
      <c r="C6182" s="85">
        <v>45449.0</v>
      </c>
      <c r="D6182" s="85">
        <v>45449.0</v>
      </c>
      <c r="E6182" s="86">
        <v>36.05</v>
      </c>
      <c r="F6182" s="87">
        <v>41.02</v>
      </c>
      <c r="G6182" s="88">
        <f t="shared" si="1"/>
        <v>4.97</v>
      </c>
      <c r="H6182" s="89">
        <f t="shared" si="15"/>
        <v>0.1211604096</v>
      </c>
      <c r="I6182" s="78" t="s">
        <v>7083</v>
      </c>
      <c r="J6182" s="78" t="s">
        <v>69</v>
      </c>
      <c r="K6182" s="58">
        <f t="shared" si="16"/>
        <v>0</v>
      </c>
      <c r="L6182" s="91" t="str">
        <f t="shared" si="8"/>
        <v>Thu</v>
      </c>
      <c r="M6182" s="78" t="str">
        <f>IFERROR(VLOOKUP(A6182, Entries!A:B,2,false),"")</f>
        <v>BANDAI NAMCO</v>
      </c>
      <c r="N6182" s="23" t="str">
        <f>IFERROR(VLOOKUP(A6182, Entries!A:K,11,false),"")</f>
        <v/>
      </c>
    </row>
    <row r="6183">
      <c r="A6183" s="78" t="s">
        <v>7082</v>
      </c>
      <c r="B6183" s="78" t="s">
        <v>21</v>
      </c>
      <c r="C6183" s="85">
        <v>45449.0</v>
      </c>
      <c r="D6183" s="85">
        <v>45449.0</v>
      </c>
      <c r="E6183" s="86">
        <v>36.05</v>
      </c>
      <c r="F6183" s="87">
        <v>41.73</v>
      </c>
      <c r="G6183" s="88">
        <f t="shared" si="1"/>
        <v>5.68</v>
      </c>
      <c r="H6183" s="89">
        <f t="shared" si="15"/>
        <v>0.1361131081</v>
      </c>
      <c r="I6183" s="78" t="s">
        <v>7084</v>
      </c>
      <c r="J6183" s="78" t="s">
        <v>69</v>
      </c>
      <c r="K6183" s="58">
        <f t="shared" si="16"/>
        <v>0</v>
      </c>
      <c r="L6183" s="91" t="str">
        <f t="shared" si="8"/>
        <v>Thu</v>
      </c>
      <c r="M6183" s="78" t="str">
        <f>IFERROR(VLOOKUP(A6183, Entries!A:B,2,false),"")</f>
        <v>BANDAI NAMCO</v>
      </c>
      <c r="N6183" s="23" t="str">
        <f>IFERROR(VLOOKUP(A6183, Entries!A:K,11,false),"")</f>
        <v/>
      </c>
    </row>
    <row r="6184">
      <c r="A6184" s="78" t="s">
        <v>7068</v>
      </c>
      <c r="B6184" s="78" t="s">
        <v>21</v>
      </c>
      <c r="C6184" s="85">
        <v>45450.0</v>
      </c>
      <c r="D6184" s="85">
        <v>45452.0</v>
      </c>
      <c r="E6184" s="86">
        <v>18.33</v>
      </c>
      <c r="F6184" s="87">
        <v>21.44</v>
      </c>
      <c r="G6184" s="88">
        <f t="shared" si="1"/>
        <v>3.11</v>
      </c>
      <c r="H6184" s="89">
        <f t="shared" si="15"/>
        <v>0.1450559701</v>
      </c>
      <c r="I6184" s="78" t="s">
        <v>7085</v>
      </c>
      <c r="J6184" s="78" t="s">
        <v>69</v>
      </c>
      <c r="K6184" s="58">
        <f t="shared" si="16"/>
        <v>2</v>
      </c>
      <c r="L6184" s="91" t="str">
        <f t="shared" si="8"/>
        <v>Sun</v>
      </c>
      <c r="M6184" s="78" t="str">
        <f>IFERROR(VLOOKUP(A6184, Entries!A:B,2,false),"")</f>
        <v/>
      </c>
      <c r="N6184" s="23" t="str">
        <f>IFERROR(VLOOKUP(A6184, Entries!A:K,11,false),"")</f>
        <v/>
      </c>
    </row>
    <row r="6185">
      <c r="A6185" s="78" t="s">
        <v>7068</v>
      </c>
      <c r="B6185" s="78" t="s">
        <v>21</v>
      </c>
      <c r="C6185" s="85">
        <v>45450.0</v>
      </c>
      <c r="D6185" s="85">
        <v>45457.0</v>
      </c>
      <c r="E6185" s="86">
        <v>18.34</v>
      </c>
      <c r="F6185" s="87">
        <v>21.44</v>
      </c>
      <c r="G6185" s="88">
        <f t="shared" si="1"/>
        <v>3.1</v>
      </c>
      <c r="H6185" s="89">
        <f t="shared" si="15"/>
        <v>0.1445895522</v>
      </c>
      <c r="I6185" s="78" t="s">
        <v>7086</v>
      </c>
      <c r="J6185" s="78" t="s">
        <v>69</v>
      </c>
      <c r="K6185" s="58">
        <f t="shared" si="16"/>
        <v>7</v>
      </c>
      <c r="L6185" s="91" t="str">
        <f t="shared" si="8"/>
        <v>Fri</v>
      </c>
      <c r="M6185" s="78" t="str">
        <f>IFERROR(VLOOKUP(A6185, Entries!A:B,2,false),"")</f>
        <v/>
      </c>
      <c r="N6185" s="23" t="str">
        <f>IFERROR(VLOOKUP(A6185, Entries!A:K,11,false),"")</f>
        <v/>
      </c>
    </row>
    <row r="6186">
      <c r="A6186" s="78" t="s">
        <v>5676</v>
      </c>
      <c r="B6186" s="78" t="s">
        <v>21</v>
      </c>
      <c r="C6186" s="85">
        <v>45450.0</v>
      </c>
      <c r="D6186" s="85">
        <v>45451.0</v>
      </c>
      <c r="E6186" s="86">
        <v>36.6</v>
      </c>
      <c r="F6186" s="87">
        <v>44.0</v>
      </c>
      <c r="G6186" s="88">
        <f t="shared" si="1"/>
        <v>7.4</v>
      </c>
      <c r="H6186" s="89">
        <f t="shared" si="15"/>
        <v>0.1681818182</v>
      </c>
      <c r="I6186" s="78" t="s">
        <v>7087</v>
      </c>
      <c r="J6186" s="78" t="s">
        <v>69</v>
      </c>
      <c r="K6186" s="58">
        <f t="shared" si="16"/>
        <v>1</v>
      </c>
      <c r="L6186" s="91" t="str">
        <f t="shared" si="8"/>
        <v>Sat</v>
      </c>
      <c r="M6186" s="78" t="str">
        <f>IFERROR(VLOOKUP(A6186, Entries!A:B,2,false),"")</f>
        <v>Bethesda Softworks</v>
      </c>
      <c r="N6186" s="23" t="str">
        <f>IFERROR(VLOOKUP(A6186, Entries!A:K,11,false),"")</f>
        <v/>
      </c>
    </row>
    <row r="6187">
      <c r="A6187" s="78" t="s">
        <v>5676</v>
      </c>
      <c r="B6187" s="78" t="s">
        <v>21</v>
      </c>
      <c r="C6187" s="85">
        <v>45450.0</v>
      </c>
      <c r="D6187" s="85">
        <v>45451.0</v>
      </c>
      <c r="E6187" s="86">
        <v>36.6</v>
      </c>
      <c r="F6187" s="87">
        <v>44.0</v>
      </c>
      <c r="G6187" s="88">
        <f t="shared" si="1"/>
        <v>7.4</v>
      </c>
      <c r="H6187" s="89">
        <f t="shared" si="15"/>
        <v>0.1681818182</v>
      </c>
      <c r="I6187" s="78" t="s">
        <v>7088</v>
      </c>
      <c r="J6187" s="78" t="s">
        <v>69</v>
      </c>
      <c r="K6187" s="58">
        <f t="shared" si="16"/>
        <v>1</v>
      </c>
      <c r="L6187" s="91" t="str">
        <f t="shared" si="8"/>
        <v>Sat</v>
      </c>
      <c r="M6187" s="78" t="str">
        <f>IFERROR(VLOOKUP(A6187, Entries!A:B,2,false),"")</f>
        <v>Bethesda Softworks</v>
      </c>
      <c r="N6187" s="23" t="str">
        <f>IFERROR(VLOOKUP(A6187, Entries!A:K,11,false),"")</f>
        <v/>
      </c>
    </row>
    <row r="6188">
      <c r="A6188" s="78" t="s">
        <v>5676</v>
      </c>
      <c r="B6188" s="78" t="s">
        <v>21</v>
      </c>
      <c r="C6188" s="85">
        <v>45451.0</v>
      </c>
      <c r="D6188" s="85">
        <v>45451.0</v>
      </c>
      <c r="E6188" s="86">
        <v>36.6</v>
      </c>
      <c r="F6188" s="87">
        <v>44.0</v>
      </c>
      <c r="G6188" s="88">
        <f t="shared" si="1"/>
        <v>7.4</v>
      </c>
      <c r="H6188" s="89">
        <f t="shared" si="15"/>
        <v>0.1681818182</v>
      </c>
      <c r="I6188" s="78" t="s">
        <v>7089</v>
      </c>
      <c r="J6188" s="78" t="s">
        <v>69</v>
      </c>
      <c r="K6188" s="58">
        <f t="shared" si="16"/>
        <v>0</v>
      </c>
      <c r="L6188" s="91" t="str">
        <f t="shared" si="8"/>
        <v>Sat</v>
      </c>
      <c r="M6188" s="78" t="str">
        <f>IFERROR(VLOOKUP(A6188, Entries!A:B,2,false),"")</f>
        <v>Bethesda Softworks</v>
      </c>
      <c r="N6188" s="23" t="str">
        <f>IFERROR(VLOOKUP(A6188, Entries!A:K,11,false),"")</f>
        <v/>
      </c>
    </row>
    <row r="6189">
      <c r="A6189" s="78" t="s">
        <v>5676</v>
      </c>
      <c r="B6189" s="78" t="s">
        <v>21</v>
      </c>
      <c r="C6189" s="85">
        <v>45451.0</v>
      </c>
      <c r="D6189" s="85">
        <v>45451.0</v>
      </c>
      <c r="E6189" s="86">
        <v>36.6</v>
      </c>
      <c r="F6189" s="87">
        <v>44.0</v>
      </c>
      <c r="G6189" s="88">
        <f t="shared" si="1"/>
        <v>7.4</v>
      </c>
      <c r="H6189" s="89">
        <f t="shared" si="15"/>
        <v>0.1681818182</v>
      </c>
      <c r="I6189" s="78" t="s">
        <v>7090</v>
      </c>
      <c r="J6189" s="78" t="s">
        <v>69</v>
      </c>
      <c r="K6189" s="58">
        <f t="shared" si="16"/>
        <v>0</v>
      </c>
      <c r="L6189" s="91" t="str">
        <f t="shared" si="8"/>
        <v>Sat</v>
      </c>
      <c r="M6189" s="78" t="str">
        <f>IFERROR(VLOOKUP(A6189, Entries!A:B,2,false),"")</f>
        <v>Bethesda Softworks</v>
      </c>
      <c r="N6189" s="23" t="str">
        <f>IFERROR(VLOOKUP(A6189, Entries!A:K,11,false),"")</f>
        <v/>
      </c>
    </row>
    <row r="6190">
      <c r="A6190" s="78" t="s">
        <v>826</v>
      </c>
      <c r="B6190" s="78" t="s">
        <v>25</v>
      </c>
      <c r="C6190" s="85">
        <v>45451.0</v>
      </c>
      <c r="D6190" s="85">
        <v>45457.0</v>
      </c>
      <c r="E6190" s="86">
        <v>12.06</v>
      </c>
      <c r="F6190" s="87">
        <v>13.83</v>
      </c>
      <c r="G6190" s="88">
        <f t="shared" si="1"/>
        <v>1.77</v>
      </c>
      <c r="H6190" s="89">
        <f t="shared" si="15"/>
        <v>0.1279826464</v>
      </c>
      <c r="I6190" s="78" t="s">
        <v>7091</v>
      </c>
      <c r="J6190" s="78" t="s">
        <v>69</v>
      </c>
      <c r="K6190" s="58">
        <f t="shared" si="16"/>
        <v>6</v>
      </c>
      <c r="L6190" s="91" t="str">
        <f t="shared" si="8"/>
        <v>Fri</v>
      </c>
      <c r="M6190" s="78" t="str">
        <f>IFERROR(VLOOKUP(A6190, Entries!A:B,2,false),"")</f>
        <v>Oxymoron Games</v>
      </c>
      <c r="N6190" s="23" t="str">
        <f>IFERROR(VLOOKUP(A6190, Entries!A:K,11,false),"")</f>
        <v/>
      </c>
    </row>
    <row r="6191">
      <c r="A6191" s="78" t="s">
        <v>7092</v>
      </c>
      <c r="B6191" s="78" t="s">
        <v>23</v>
      </c>
      <c r="C6191" s="85">
        <v>45451.0</v>
      </c>
      <c r="D6191" s="85">
        <v>45452.0</v>
      </c>
      <c r="E6191" s="86">
        <v>8.67</v>
      </c>
      <c r="F6191" s="87">
        <v>10.67</v>
      </c>
      <c r="G6191" s="88">
        <f t="shared" si="1"/>
        <v>2</v>
      </c>
      <c r="H6191" s="89">
        <f t="shared" si="15"/>
        <v>0.1874414246</v>
      </c>
      <c r="I6191" s="78" t="s">
        <v>7093</v>
      </c>
      <c r="J6191" s="78" t="s">
        <v>69</v>
      </c>
      <c r="K6191" s="58">
        <f t="shared" si="16"/>
        <v>1</v>
      </c>
      <c r="L6191" s="91" t="str">
        <f t="shared" si="8"/>
        <v>Sun</v>
      </c>
      <c r="M6191" s="78" t="str">
        <f>IFERROR(VLOOKUP(A6191, Entries!A:B,2,false),"")</f>
        <v>IO Interactive</v>
      </c>
      <c r="N6191" s="23" t="str">
        <f>IFERROR(VLOOKUP(A6191, Entries!A:K,11,false),"")</f>
        <v/>
      </c>
    </row>
    <row r="6192">
      <c r="A6192" s="78" t="s">
        <v>6123</v>
      </c>
      <c r="B6192" s="78" t="s">
        <v>22</v>
      </c>
      <c r="C6192" s="85">
        <v>45451.0</v>
      </c>
      <c r="D6192" s="85">
        <v>45451.0</v>
      </c>
      <c r="E6192" s="86">
        <v>15.67</v>
      </c>
      <c r="F6192" s="87">
        <v>18.99</v>
      </c>
      <c r="G6192" s="88">
        <f t="shared" si="1"/>
        <v>3.32</v>
      </c>
      <c r="H6192" s="89">
        <f t="shared" si="15"/>
        <v>0.1748288573</v>
      </c>
      <c r="I6192" s="78" t="s">
        <v>7094</v>
      </c>
      <c r="J6192" s="78" t="s">
        <v>69</v>
      </c>
      <c r="K6192" s="58">
        <f t="shared" si="16"/>
        <v>0</v>
      </c>
      <c r="L6192" s="91" t="str">
        <f t="shared" si="8"/>
        <v>Sat</v>
      </c>
      <c r="M6192" s="78" t="str">
        <f>IFERROR(VLOOKUP(A6192, Entries!A:B,2,false),"")</f>
        <v>Owlcat Games</v>
      </c>
      <c r="N6192" s="23" t="str">
        <f>IFERROR(VLOOKUP(A6192, Entries!A:K,11,false),"")</f>
        <v/>
      </c>
    </row>
    <row r="6193">
      <c r="A6193" s="78" t="s">
        <v>6123</v>
      </c>
      <c r="B6193" s="78" t="s">
        <v>22</v>
      </c>
      <c r="C6193" s="85">
        <v>45452.0</v>
      </c>
      <c r="D6193" s="85">
        <v>45452.0</v>
      </c>
      <c r="E6193" s="86">
        <v>15.67</v>
      </c>
      <c r="F6193" s="87">
        <v>18.99</v>
      </c>
      <c r="G6193" s="88">
        <f t="shared" si="1"/>
        <v>3.32</v>
      </c>
      <c r="H6193" s="89">
        <f t="shared" si="15"/>
        <v>0.1748288573</v>
      </c>
      <c r="I6193" s="78" t="s">
        <v>7095</v>
      </c>
      <c r="J6193" s="78" t="s">
        <v>69</v>
      </c>
      <c r="K6193" s="58">
        <f t="shared" si="16"/>
        <v>0</v>
      </c>
      <c r="L6193" s="91" t="str">
        <f t="shared" si="8"/>
        <v>Sun</v>
      </c>
      <c r="M6193" s="78" t="str">
        <f>IFERROR(VLOOKUP(A6193, Entries!A:B,2,false),"")</f>
        <v>Owlcat Games</v>
      </c>
      <c r="N6193" s="23" t="str">
        <f>IFERROR(VLOOKUP(A6193, Entries!A:K,11,false),"")</f>
        <v/>
      </c>
    </row>
    <row r="6194">
      <c r="A6194" s="78" t="s">
        <v>6123</v>
      </c>
      <c r="B6194" s="78" t="s">
        <v>22</v>
      </c>
      <c r="C6194" s="85">
        <v>45452.0</v>
      </c>
      <c r="D6194" s="85">
        <v>45452.0</v>
      </c>
      <c r="E6194" s="86">
        <v>15.66</v>
      </c>
      <c r="F6194" s="87">
        <v>18.99</v>
      </c>
      <c r="G6194" s="88">
        <f t="shared" si="1"/>
        <v>3.33</v>
      </c>
      <c r="H6194" s="89">
        <f t="shared" si="15"/>
        <v>0.1753554502</v>
      </c>
      <c r="I6194" s="78" t="s">
        <v>7096</v>
      </c>
      <c r="J6194" s="78" t="s">
        <v>69</v>
      </c>
      <c r="K6194" s="58">
        <f t="shared" si="16"/>
        <v>0</v>
      </c>
      <c r="L6194" s="91" t="str">
        <f t="shared" si="8"/>
        <v>Sun</v>
      </c>
      <c r="M6194" s="78" t="str">
        <f>IFERROR(VLOOKUP(A6194, Entries!A:B,2,false),"")</f>
        <v>Owlcat Games</v>
      </c>
      <c r="N6194" s="23" t="str">
        <f>IFERROR(VLOOKUP(A6194, Entries!A:K,11,false),"")</f>
        <v/>
      </c>
    </row>
    <row r="6195">
      <c r="A6195" s="78" t="s">
        <v>5676</v>
      </c>
      <c r="B6195" s="78" t="s">
        <v>21</v>
      </c>
      <c r="C6195" s="85">
        <v>45452.0</v>
      </c>
      <c r="D6195" s="85">
        <v>45452.0</v>
      </c>
      <c r="E6195" s="86">
        <v>36.6</v>
      </c>
      <c r="F6195" s="87">
        <v>43.49</v>
      </c>
      <c r="G6195" s="88">
        <f t="shared" si="1"/>
        <v>6.89</v>
      </c>
      <c r="H6195" s="89">
        <f t="shared" si="15"/>
        <v>0.1584272246</v>
      </c>
      <c r="I6195" s="78" t="s">
        <v>7097</v>
      </c>
      <c r="J6195" s="78" t="s">
        <v>69</v>
      </c>
      <c r="K6195" s="58">
        <f t="shared" si="16"/>
        <v>0</v>
      </c>
      <c r="L6195" s="91" t="str">
        <f t="shared" si="8"/>
        <v>Sun</v>
      </c>
      <c r="M6195" s="78" t="str">
        <f>IFERROR(VLOOKUP(A6195, Entries!A:B,2,false),"")</f>
        <v>Bethesda Softworks</v>
      </c>
      <c r="N6195" s="23" t="str">
        <f>IFERROR(VLOOKUP(A6195, Entries!A:K,11,false),"")</f>
        <v/>
      </c>
    </row>
    <row r="6196">
      <c r="A6196" s="78" t="s">
        <v>5676</v>
      </c>
      <c r="B6196" s="78" t="s">
        <v>21</v>
      </c>
      <c r="C6196" s="85">
        <v>45452.0</v>
      </c>
      <c r="D6196" s="85">
        <v>45452.0</v>
      </c>
      <c r="E6196" s="86">
        <v>33.91</v>
      </c>
      <c r="F6196" s="87">
        <v>43.49</v>
      </c>
      <c r="G6196" s="88">
        <f t="shared" si="1"/>
        <v>9.58</v>
      </c>
      <c r="H6196" s="89">
        <f t="shared" si="15"/>
        <v>0.2202805243</v>
      </c>
      <c r="I6196" s="78" t="s">
        <v>7098</v>
      </c>
      <c r="J6196" s="78" t="s">
        <v>69</v>
      </c>
      <c r="K6196" s="58">
        <f t="shared" si="16"/>
        <v>0</v>
      </c>
      <c r="L6196" s="91" t="str">
        <f t="shared" si="8"/>
        <v>Sun</v>
      </c>
      <c r="M6196" s="78" t="str">
        <f>IFERROR(VLOOKUP(A6196, Entries!A:B,2,false),"")</f>
        <v>Bethesda Softworks</v>
      </c>
      <c r="N6196" s="23" t="str">
        <f>IFERROR(VLOOKUP(A6196, Entries!A:K,11,false),"")</f>
        <v/>
      </c>
    </row>
    <row r="6197">
      <c r="A6197" s="78" t="s">
        <v>5676</v>
      </c>
      <c r="B6197" s="78" t="s">
        <v>21</v>
      </c>
      <c r="C6197" s="85">
        <v>45452.0</v>
      </c>
      <c r="D6197" s="85">
        <v>45452.0</v>
      </c>
      <c r="E6197" s="86">
        <v>24.7</v>
      </c>
      <c r="F6197" s="87">
        <v>43.49</v>
      </c>
      <c r="G6197" s="88">
        <f t="shared" si="1"/>
        <v>18.79</v>
      </c>
      <c r="H6197" s="89">
        <f t="shared" si="15"/>
        <v>0.4320533456</v>
      </c>
      <c r="I6197" s="78" t="s">
        <v>7099</v>
      </c>
      <c r="J6197" s="78" t="s">
        <v>69</v>
      </c>
      <c r="K6197" s="58">
        <f t="shared" si="16"/>
        <v>0</v>
      </c>
      <c r="L6197" s="91" t="str">
        <f t="shared" si="8"/>
        <v>Sun</v>
      </c>
      <c r="M6197" s="78" t="str">
        <f>IFERROR(VLOOKUP(A6197, Entries!A:B,2,false),"")</f>
        <v>Bethesda Softworks</v>
      </c>
      <c r="N6197" s="23" t="str">
        <f>IFERROR(VLOOKUP(A6197, Entries!A:K,11,false),"")</f>
        <v/>
      </c>
    </row>
    <row r="6198">
      <c r="A6198" s="78" t="s">
        <v>5676</v>
      </c>
      <c r="B6198" s="78" t="s">
        <v>21</v>
      </c>
      <c r="C6198" s="85">
        <v>45452.0</v>
      </c>
      <c r="D6198" s="85">
        <v>45452.0</v>
      </c>
      <c r="E6198" s="86">
        <v>36.6</v>
      </c>
      <c r="F6198" s="87">
        <v>43.49</v>
      </c>
      <c r="G6198" s="88">
        <f t="shared" si="1"/>
        <v>6.89</v>
      </c>
      <c r="H6198" s="89">
        <f t="shared" si="15"/>
        <v>0.1584272246</v>
      </c>
      <c r="I6198" s="78" t="s">
        <v>7100</v>
      </c>
      <c r="J6198" s="78" t="s">
        <v>69</v>
      </c>
      <c r="K6198" s="58">
        <f t="shared" si="16"/>
        <v>0</v>
      </c>
      <c r="L6198" s="91" t="str">
        <f t="shared" si="8"/>
        <v>Sun</v>
      </c>
      <c r="M6198" s="78" t="str">
        <f>IFERROR(VLOOKUP(A6198, Entries!A:B,2,false),"")</f>
        <v>Bethesda Softworks</v>
      </c>
      <c r="N6198" s="23" t="str">
        <f>IFERROR(VLOOKUP(A6198, Entries!A:K,11,false),"")</f>
        <v/>
      </c>
    </row>
    <row r="6199">
      <c r="A6199" s="78" t="s">
        <v>5676</v>
      </c>
      <c r="B6199" s="78" t="s">
        <v>21</v>
      </c>
      <c r="C6199" s="85">
        <v>45452.0</v>
      </c>
      <c r="D6199" s="85">
        <v>45452.0</v>
      </c>
      <c r="E6199" s="86">
        <v>36.6</v>
      </c>
      <c r="F6199" s="87">
        <v>43.49</v>
      </c>
      <c r="G6199" s="88">
        <f t="shared" si="1"/>
        <v>6.89</v>
      </c>
      <c r="H6199" s="89">
        <f t="shared" si="15"/>
        <v>0.1584272246</v>
      </c>
      <c r="I6199" s="78" t="s">
        <v>7101</v>
      </c>
      <c r="J6199" s="78" t="s">
        <v>69</v>
      </c>
      <c r="K6199" s="58">
        <f t="shared" si="16"/>
        <v>0</v>
      </c>
      <c r="L6199" s="91" t="str">
        <f t="shared" si="8"/>
        <v>Sun</v>
      </c>
      <c r="M6199" s="78" t="str">
        <f>IFERROR(VLOOKUP(A6199, Entries!A:B,2,false),"")</f>
        <v>Bethesda Softworks</v>
      </c>
      <c r="N6199" s="23" t="str">
        <f>IFERROR(VLOOKUP(A6199, Entries!A:K,11,false),"")</f>
        <v/>
      </c>
    </row>
    <row r="6200">
      <c r="A6200" s="78" t="s">
        <v>5676</v>
      </c>
      <c r="B6200" s="78" t="s">
        <v>21</v>
      </c>
      <c r="C6200" s="85">
        <v>45452.0</v>
      </c>
      <c r="D6200" s="85">
        <v>45453.0</v>
      </c>
      <c r="E6200" s="86">
        <v>36.68</v>
      </c>
      <c r="F6200" s="87">
        <v>43.49</v>
      </c>
      <c r="G6200" s="88">
        <f t="shared" si="1"/>
        <v>6.81</v>
      </c>
      <c r="H6200" s="89">
        <f t="shared" si="15"/>
        <v>0.1565877213</v>
      </c>
      <c r="I6200" s="78" t="s">
        <v>7102</v>
      </c>
      <c r="J6200" s="78" t="s">
        <v>69</v>
      </c>
      <c r="K6200" s="58">
        <f t="shared" si="16"/>
        <v>1</v>
      </c>
      <c r="L6200" s="91" t="str">
        <f t="shared" si="8"/>
        <v>Mon</v>
      </c>
      <c r="M6200" s="78" t="str">
        <f>IFERROR(VLOOKUP(A6200, Entries!A:B,2,false),"")</f>
        <v>Bethesda Softworks</v>
      </c>
      <c r="N6200" s="23" t="str">
        <f>IFERROR(VLOOKUP(A6200, Entries!A:K,11,false),"")</f>
        <v/>
      </c>
    </row>
    <row r="6201">
      <c r="A6201" s="78" t="s">
        <v>5676</v>
      </c>
      <c r="B6201" s="78" t="s">
        <v>21</v>
      </c>
      <c r="C6201" s="85">
        <v>45452.0</v>
      </c>
      <c r="D6201" s="85">
        <v>45452.0</v>
      </c>
      <c r="E6201" s="86">
        <v>36.6</v>
      </c>
      <c r="F6201" s="87">
        <v>43.49</v>
      </c>
      <c r="G6201" s="88">
        <f t="shared" si="1"/>
        <v>6.89</v>
      </c>
      <c r="H6201" s="89">
        <f t="shared" si="15"/>
        <v>0.1584272246</v>
      </c>
      <c r="I6201" s="78" t="s">
        <v>7103</v>
      </c>
      <c r="J6201" s="78" t="s">
        <v>69</v>
      </c>
      <c r="K6201" s="58">
        <f t="shared" si="16"/>
        <v>0</v>
      </c>
      <c r="L6201" s="91" t="str">
        <f t="shared" si="8"/>
        <v>Sun</v>
      </c>
      <c r="M6201" s="78" t="str">
        <f>IFERROR(VLOOKUP(A6201, Entries!A:B,2,false),"")</f>
        <v>Bethesda Softworks</v>
      </c>
      <c r="N6201" s="23" t="str">
        <f>IFERROR(VLOOKUP(A6201, Entries!A:K,11,false),"")</f>
        <v/>
      </c>
    </row>
    <row r="6202">
      <c r="A6202" s="78" t="s">
        <v>6123</v>
      </c>
      <c r="B6202" s="78" t="s">
        <v>22</v>
      </c>
      <c r="C6202" s="85">
        <v>45452.0</v>
      </c>
      <c r="D6202" s="85">
        <v>45453.0</v>
      </c>
      <c r="E6202" s="86">
        <v>15.67</v>
      </c>
      <c r="F6202" s="87">
        <v>18.85</v>
      </c>
      <c r="G6202" s="88">
        <f t="shared" si="1"/>
        <v>3.18</v>
      </c>
      <c r="H6202" s="89">
        <f t="shared" si="15"/>
        <v>0.1687002653</v>
      </c>
      <c r="I6202" s="78" t="s">
        <v>7104</v>
      </c>
      <c r="J6202" s="78" t="s">
        <v>69</v>
      </c>
      <c r="K6202" s="58">
        <f t="shared" si="16"/>
        <v>1</v>
      </c>
      <c r="L6202" s="91" t="str">
        <f t="shared" si="8"/>
        <v>Mon</v>
      </c>
      <c r="M6202" s="78" t="str">
        <f>IFERROR(VLOOKUP(A6202, Entries!A:B,2,false),"")</f>
        <v>Owlcat Games</v>
      </c>
      <c r="N6202" s="23" t="str">
        <f>IFERROR(VLOOKUP(A6202, Entries!A:K,11,false),"")</f>
        <v/>
      </c>
    </row>
    <row r="6203">
      <c r="A6203" s="78" t="s">
        <v>6123</v>
      </c>
      <c r="B6203" s="78" t="s">
        <v>22</v>
      </c>
      <c r="C6203" s="85">
        <v>45452.0</v>
      </c>
      <c r="D6203" s="85">
        <v>45453.0</v>
      </c>
      <c r="E6203" s="86">
        <v>15.67</v>
      </c>
      <c r="F6203" s="87">
        <v>18.78</v>
      </c>
      <c r="G6203" s="88">
        <f t="shared" si="1"/>
        <v>3.11</v>
      </c>
      <c r="H6203" s="89">
        <f t="shared" si="15"/>
        <v>0.1656017039</v>
      </c>
      <c r="I6203" s="78" t="s">
        <v>7105</v>
      </c>
      <c r="J6203" s="78" t="s">
        <v>69</v>
      </c>
      <c r="K6203" s="58">
        <f t="shared" si="16"/>
        <v>1</v>
      </c>
      <c r="L6203" s="91" t="str">
        <f t="shared" si="8"/>
        <v>Mon</v>
      </c>
      <c r="M6203" s="78" t="str">
        <f>IFERROR(VLOOKUP(A6203, Entries!A:B,2,false),"")</f>
        <v>Owlcat Games</v>
      </c>
      <c r="N6203" s="23" t="str">
        <f>IFERROR(VLOOKUP(A6203, Entries!A:K,11,false),"")</f>
        <v/>
      </c>
    </row>
    <row r="6204">
      <c r="A6204" s="78" t="s">
        <v>6123</v>
      </c>
      <c r="B6204" s="78" t="s">
        <v>22</v>
      </c>
      <c r="C6204" s="85">
        <v>45452.0</v>
      </c>
      <c r="D6204" s="85">
        <v>45453.0</v>
      </c>
      <c r="E6204" s="86">
        <v>15.67</v>
      </c>
      <c r="F6204" s="87">
        <v>18.78</v>
      </c>
      <c r="G6204" s="88">
        <f t="shared" si="1"/>
        <v>3.11</v>
      </c>
      <c r="H6204" s="89">
        <f t="shared" si="15"/>
        <v>0.1656017039</v>
      </c>
      <c r="I6204" s="78" t="s">
        <v>7106</v>
      </c>
      <c r="J6204" s="78" t="s">
        <v>69</v>
      </c>
      <c r="K6204" s="58">
        <f t="shared" si="16"/>
        <v>1</v>
      </c>
      <c r="L6204" s="91" t="str">
        <f t="shared" si="8"/>
        <v>Mon</v>
      </c>
      <c r="M6204" s="78" t="str">
        <f>IFERROR(VLOOKUP(A6204, Entries!A:B,2,false),"")</f>
        <v>Owlcat Games</v>
      </c>
      <c r="N6204" s="23" t="str">
        <f>IFERROR(VLOOKUP(A6204, Entries!A:K,11,false),"")</f>
        <v/>
      </c>
    </row>
    <row r="6205">
      <c r="A6205" s="78" t="s">
        <v>6123</v>
      </c>
      <c r="B6205" s="78" t="s">
        <v>22</v>
      </c>
      <c r="C6205" s="85">
        <v>45452.0</v>
      </c>
      <c r="D6205" s="85">
        <v>45454.0</v>
      </c>
      <c r="E6205" s="86">
        <v>15.66</v>
      </c>
      <c r="F6205" s="87">
        <v>17.79</v>
      </c>
      <c r="G6205" s="88">
        <f t="shared" si="1"/>
        <v>2.13</v>
      </c>
      <c r="H6205" s="89">
        <f t="shared" si="15"/>
        <v>0.1197301855</v>
      </c>
      <c r="I6205" s="78" t="s">
        <v>7107</v>
      </c>
      <c r="J6205" s="78" t="s">
        <v>69</v>
      </c>
      <c r="K6205" s="58">
        <f t="shared" si="16"/>
        <v>2</v>
      </c>
      <c r="L6205" s="91" t="str">
        <f t="shared" si="8"/>
        <v>Tue</v>
      </c>
      <c r="M6205" s="78" t="str">
        <f>IFERROR(VLOOKUP(A6205, Entries!A:B,2,false),"")</f>
        <v>Owlcat Games</v>
      </c>
      <c r="N6205" s="23" t="str">
        <f>IFERROR(VLOOKUP(A6205, Entries!A:K,11,false),"")</f>
        <v/>
      </c>
    </row>
    <row r="6206">
      <c r="A6206" s="78" t="s">
        <v>7092</v>
      </c>
      <c r="B6206" s="78" t="s">
        <v>23</v>
      </c>
      <c r="C6206" s="85">
        <v>45452.0</v>
      </c>
      <c r="D6206" s="85">
        <v>45453.0</v>
      </c>
      <c r="E6206" s="86">
        <v>8.67</v>
      </c>
      <c r="F6206" s="87">
        <v>10.67</v>
      </c>
      <c r="G6206" s="88">
        <f t="shared" si="1"/>
        <v>2</v>
      </c>
      <c r="H6206" s="89">
        <f t="shared" si="15"/>
        <v>0.1874414246</v>
      </c>
      <c r="I6206" s="78" t="s">
        <v>7108</v>
      </c>
      <c r="J6206" s="78" t="s">
        <v>69</v>
      </c>
      <c r="K6206" s="58">
        <f t="shared" si="16"/>
        <v>1</v>
      </c>
      <c r="L6206" s="91" t="str">
        <f t="shared" si="8"/>
        <v>Mon</v>
      </c>
      <c r="M6206" s="78" t="str">
        <f>IFERROR(VLOOKUP(A6206, Entries!A:B,2,false),"")</f>
        <v>IO Interactive</v>
      </c>
      <c r="N6206" s="23" t="str">
        <f>IFERROR(VLOOKUP(A6206, Entries!A:K,11,false),"")</f>
        <v/>
      </c>
    </row>
    <row r="6207">
      <c r="A6207" s="78" t="s">
        <v>5676</v>
      </c>
      <c r="B6207" s="78" t="s">
        <v>21</v>
      </c>
      <c r="C6207" s="85">
        <v>45453.0</v>
      </c>
      <c r="D6207" s="85">
        <v>45453.0</v>
      </c>
      <c r="E6207" s="86">
        <v>36.6</v>
      </c>
      <c r="F6207" s="87">
        <v>43.39</v>
      </c>
      <c r="G6207" s="88">
        <f t="shared" si="1"/>
        <v>6.79</v>
      </c>
      <c r="H6207" s="89">
        <f t="shared" si="15"/>
        <v>0.15648767</v>
      </c>
      <c r="I6207" s="78" t="s">
        <v>7109</v>
      </c>
      <c r="J6207" s="78" t="s">
        <v>69</v>
      </c>
      <c r="K6207" s="58">
        <f t="shared" si="16"/>
        <v>0</v>
      </c>
      <c r="L6207" s="91" t="str">
        <f t="shared" si="8"/>
        <v>Mon</v>
      </c>
      <c r="M6207" s="78" t="str">
        <f>IFERROR(VLOOKUP(A6207, Entries!A:B,2,false),"")</f>
        <v>Bethesda Softworks</v>
      </c>
      <c r="N6207" s="23" t="str">
        <f>IFERROR(VLOOKUP(A6207, Entries!A:K,11,false),"")</f>
        <v/>
      </c>
    </row>
    <row r="6208">
      <c r="A6208" s="78" t="s">
        <v>5676</v>
      </c>
      <c r="B6208" s="78" t="s">
        <v>21</v>
      </c>
      <c r="C6208" s="85">
        <v>45453.0</v>
      </c>
      <c r="D6208" s="85">
        <v>45453.0</v>
      </c>
      <c r="E6208" s="86">
        <v>36.6</v>
      </c>
      <c r="F6208" s="87">
        <v>43.49</v>
      </c>
      <c r="G6208" s="88">
        <f t="shared" si="1"/>
        <v>6.89</v>
      </c>
      <c r="H6208" s="89">
        <f t="shared" si="15"/>
        <v>0.1584272246</v>
      </c>
      <c r="I6208" s="78" t="s">
        <v>7110</v>
      </c>
      <c r="J6208" s="78" t="s">
        <v>69</v>
      </c>
      <c r="K6208" s="58">
        <f t="shared" si="16"/>
        <v>0</v>
      </c>
      <c r="L6208" s="91" t="str">
        <f t="shared" si="8"/>
        <v>Mon</v>
      </c>
      <c r="M6208" s="78" t="str">
        <f>IFERROR(VLOOKUP(A6208, Entries!A:B,2,false),"")</f>
        <v>Bethesda Softworks</v>
      </c>
      <c r="N6208" s="23" t="str">
        <f>IFERROR(VLOOKUP(A6208, Entries!A:K,11,false),"")</f>
        <v/>
      </c>
    </row>
    <row r="6209">
      <c r="A6209" s="78" t="s">
        <v>5676</v>
      </c>
      <c r="B6209" s="78" t="s">
        <v>21</v>
      </c>
      <c r="C6209" s="85">
        <v>45453.0</v>
      </c>
      <c r="D6209" s="85">
        <v>45453.0</v>
      </c>
      <c r="E6209" s="86">
        <v>36.6</v>
      </c>
      <c r="F6209" s="87">
        <v>43.49</v>
      </c>
      <c r="G6209" s="88">
        <f t="shared" si="1"/>
        <v>6.89</v>
      </c>
      <c r="H6209" s="89">
        <f t="shared" si="15"/>
        <v>0.1584272246</v>
      </c>
      <c r="I6209" s="78" t="s">
        <v>7111</v>
      </c>
      <c r="J6209" s="78" t="s">
        <v>69</v>
      </c>
      <c r="K6209" s="58">
        <f t="shared" si="16"/>
        <v>0</v>
      </c>
      <c r="L6209" s="91" t="str">
        <f t="shared" si="8"/>
        <v>Mon</v>
      </c>
      <c r="M6209" s="78" t="str">
        <f>IFERROR(VLOOKUP(A6209, Entries!A:B,2,false),"")</f>
        <v>Bethesda Softworks</v>
      </c>
      <c r="N6209" s="23" t="str">
        <f>IFERROR(VLOOKUP(A6209, Entries!A:K,11,false),"")</f>
        <v/>
      </c>
    </row>
    <row r="6210">
      <c r="A6210" s="78" t="s">
        <v>5676</v>
      </c>
      <c r="B6210" s="78" t="s">
        <v>21</v>
      </c>
      <c r="C6210" s="85">
        <v>45453.0</v>
      </c>
      <c r="D6210" s="85">
        <v>45453.0</v>
      </c>
      <c r="E6210" s="86">
        <v>36.6</v>
      </c>
      <c r="F6210" s="87">
        <v>43.49</v>
      </c>
      <c r="G6210" s="88">
        <f t="shared" si="1"/>
        <v>6.89</v>
      </c>
      <c r="H6210" s="89">
        <f t="shared" si="15"/>
        <v>0.1584272246</v>
      </c>
      <c r="I6210" s="78" t="s">
        <v>7112</v>
      </c>
      <c r="J6210" s="78" t="s">
        <v>69</v>
      </c>
      <c r="K6210" s="58">
        <f t="shared" si="16"/>
        <v>0</v>
      </c>
      <c r="L6210" s="91" t="str">
        <f t="shared" si="8"/>
        <v>Mon</v>
      </c>
      <c r="M6210" s="78" t="str">
        <f>IFERROR(VLOOKUP(A6210, Entries!A:B,2,false),"")</f>
        <v>Bethesda Softworks</v>
      </c>
      <c r="N6210" s="23" t="str">
        <f>IFERROR(VLOOKUP(A6210, Entries!A:K,11,false),"")</f>
        <v/>
      </c>
    </row>
    <row r="6211">
      <c r="A6211" s="78" t="s">
        <v>1729</v>
      </c>
      <c r="B6211" s="78" t="s">
        <v>23</v>
      </c>
      <c r="C6211" s="85">
        <v>45453.0</v>
      </c>
      <c r="D6211" s="85">
        <v>45455.0</v>
      </c>
      <c r="E6211" s="86">
        <v>4.58</v>
      </c>
      <c r="F6211" s="87">
        <v>5.43</v>
      </c>
      <c r="G6211" s="88">
        <f t="shared" si="1"/>
        <v>0.85</v>
      </c>
      <c r="H6211" s="89">
        <f t="shared" si="15"/>
        <v>0.1565377532</v>
      </c>
      <c r="I6211" s="78" t="s">
        <v>7113</v>
      </c>
      <c r="J6211" s="78" t="s">
        <v>69</v>
      </c>
      <c r="K6211" s="58">
        <f t="shared" si="16"/>
        <v>2</v>
      </c>
      <c r="L6211" s="91" t="str">
        <f t="shared" si="8"/>
        <v>Wed</v>
      </c>
      <c r="M6211" s="78" t="str">
        <f>IFERROR(VLOOKUP(A6211, Entries!A:B,2,false),"")</f>
        <v>Focus Home Interactive</v>
      </c>
      <c r="N6211" s="23" t="str">
        <f>IFERROR(VLOOKUP(A6211, Entries!A:K,11,false),"")</f>
        <v/>
      </c>
    </row>
    <row r="6212">
      <c r="A6212" s="78" t="s">
        <v>5676</v>
      </c>
      <c r="B6212" s="78" t="s">
        <v>21</v>
      </c>
      <c r="C6212" s="85">
        <v>45453.0</v>
      </c>
      <c r="D6212" s="85">
        <v>45454.0</v>
      </c>
      <c r="E6212" s="86">
        <v>36.6</v>
      </c>
      <c r="F6212" s="87">
        <v>43.32</v>
      </c>
      <c r="G6212" s="88">
        <f t="shared" si="1"/>
        <v>6.72</v>
      </c>
      <c r="H6212" s="89">
        <f t="shared" si="15"/>
        <v>0.1551246537</v>
      </c>
      <c r="I6212" s="78" t="s">
        <v>7114</v>
      </c>
      <c r="J6212" s="78" t="s">
        <v>69</v>
      </c>
      <c r="K6212" s="58">
        <f t="shared" si="16"/>
        <v>1</v>
      </c>
      <c r="L6212" s="91" t="str">
        <f t="shared" si="8"/>
        <v>Tue</v>
      </c>
      <c r="M6212" s="78" t="str">
        <f>IFERROR(VLOOKUP(A6212, Entries!A:B,2,false),"")</f>
        <v>Bethesda Softworks</v>
      </c>
      <c r="N6212" s="23" t="str">
        <f>IFERROR(VLOOKUP(A6212, Entries!A:K,11,false),"")</f>
        <v/>
      </c>
    </row>
    <row r="6213">
      <c r="A6213" s="78" t="s">
        <v>7092</v>
      </c>
      <c r="B6213" s="78" t="s">
        <v>23</v>
      </c>
      <c r="C6213" s="85">
        <v>45453.0</v>
      </c>
      <c r="D6213" s="85">
        <v>45453.0</v>
      </c>
      <c r="E6213" s="86">
        <v>8.67</v>
      </c>
      <c r="F6213" s="87">
        <v>10.67</v>
      </c>
      <c r="G6213" s="88">
        <f t="shared" si="1"/>
        <v>2</v>
      </c>
      <c r="H6213" s="89">
        <f t="shared" si="15"/>
        <v>0.1874414246</v>
      </c>
      <c r="I6213" s="78" t="s">
        <v>7115</v>
      </c>
      <c r="J6213" s="78" t="s">
        <v>69</v>
      </c>
      <c r="K6213" s="58">
        <f t="shared" si="16"/>
        <v>0</v>
      </c>
      <c r="L6213" s="91" t="str">
        <f t="shared" si="8"/>
        <v>Mon</v>
      </c>
      <c r="M6213" s="78" t="str">
        <f>IFERROR(VLOOKUP(A6213, Entries!A:B,2,false),"")</f>
        <v>IO Interactive</v>
      </c>
      <c r="N6213" s="23" t="str">
        <f>IFERROR(VLOOKUP(A6213, Entries!A:K,11,false),"")</f>
        <v/>
      </c>
    </row>
    <row r="6214">
      <c r="A6214" s="78" t="s">
        <v>5676</v>
      </c>
      <c r="B6214" s="78" t="s">
        <v>21</v>
      </c>
      <c r="C6214" s="85">
        <v>45453.0</v>
      </c>
      <c r="D6214" s="85">
        <v>45455.0</v>
      </c>
      <c r="E6214" s="86">
        <v>37.43</v>
      </c>
      <c r="F6214" s="87">
        <v>43.39</v>
      </c>
      <c r="G6214" s="88">
        <f t="shared" si="1"/>
        <v>5.96</v>
      </c>
      <c r="H6214" s="89">
        <f t="shared" si="15"/>
        <v>0.1373588384</v>
      </c>
      <c r="I6214" s="78" t="s">
        <v>7116</v>
      </c>
      <c r="J6214" s="78" t="s">
        <v>69</v>
      </c>
      <c r="K6214" s="58">
        <f t="shared" si="16"/>
        <v>2</v>
      </c>
      <c r="L6214" s="91" t="str">
        <f t="shared" si="8"/>
        <v>Wed</v>
      </c>
      <c r="M6214" s="78" t="str">
        <f>IFERROR(VLOOKUP(A6214, Entries!A:B,2,false),"")</f>
        <v>Bethesda Softworks</v>
      </c>
      <c r="N6214" s="23" t="str">
        <f>IFERROR(VLOOKUP(A6214, Entries!A:K,11,false),"")</f>
        <v/>
      </c>
    </row>
    <row r="6215">
      <c r="A6215" s="78" t="s">
        <v>7117</v>
      </c>
      <c r="B6215" s="78" t="s">
        <v>18</v>
      </c>
      <c r="C6215" s="85">
        <v>45453.0</v>
      </c>
      <c r="D6215" s="85">
        <v>45457.0</v>
      </c>
      <c r="E6215" s="86">
        <v>24.48</v>
      </c>
      <c r="F6215" s="87">
        <v>23.81</v>
      </c>
      <c r="G6215" s="88">
        <f t="shared" si="1"/>
        <v>-0.67</v>
      </c>
      <c r="H6215" s="89">
        <f t="shared" si="15"/>
        <v>-0.02813943721</v>
      </c>
      <c r="I6215" s="78" t="s">
        <v>7118</v>
      </c>
      <c r="J6215" s="78" t="s">
        <v>69</v>
      </c>
      <c r="K6215" s="58">
        <f t="shared" si="16"/>
        <v>4</v>
      </c>
      <c r="L6215" s="91" t="str">
        <f t="shared" si="8"/>
        <v>Fri</v>
      </c>
      <c r="M6215" s="78" t="str">
        <f>IFERROR(VLOOKUP(A6215, Entries!A:B,2,false),"")</f>
        <v>Kalypso Media</v>
      </c>
      <c r="N6215" s="23" t="str">
        <f>IFERROR(VLOOKUP(A6215, Entries!A:K,11,false),"")</f>
        <v/>
      </c>
    </row>
    <row r="6216">
      <c r="A6216" s="78" t="s">
        <v>7117</v>
      </c>
      <c r="B6216" s="78" t="s">
        <v>18</v>
      </c>
      <c r="C6216" s="85">
        <v>45453.0</v>
      </c>
      <c r="D6216" s="85">
        <v>45457.0</v>
      </c>
      <c r="E6216" s="86">
        <v>24.48</v>
      </c>
      <c r="F6216" s="87">
        <v>23.81</v>
      </c>
      <c r="G6216" s="88">
        <f t="shared" si="1"/>
        <v>-0.67</v>
      </c>
      <c r="H6216" s="89">
        <f t="shared" si="15"/>
        <v>-0.02813943721</v>
      </c>
      <c r="I6216" s="78" t="s">
        <v>7119</v>
      </c>
      <c r="J6216" s="78" t="s">
        <v>69</v>
      </c>
      <c r="K6216" s="58">
        <f t="shared" si="16"/>
        <v>4</v>
      </c>
      <c r="L6216" s="91" t="str">
        <f t="shared" si="8"/>
        <v>Fri</v>
      </c>
      <c r="M6216" s="78" t="str">
        <f>IFERROR(VLOOKUP(A6216, Entries!A:B,2,false),"")</f>
        <v>Kalypso Media</v>
      </c>
      <c r="N6216" s="23" t="str">
        <f>IFERROR(VLOOKUP(A6216, Entries!A:K,11,false),"")</f>
        <v/>
      </c>
    </row>
    <row r="6217">
      <c r="A6217" s="78" t="s">
        <v>7092</v>
      </c>
      <c r="B6217" s="78" t="s">
        <v>23</v>
      </c>
      <c r="C6217" s="85">
        <v>45453.0</v>
      </c>
      <c r="D6217" s="85">
        <v>45456.0</v>
      </c>
      <c r="E6217" s="86">
        <v>8.67</v>
      </c>
      <c r="F6217" s="87">
        <v>10.67</v>
      </c>
      <c r="G6217" s="88">
        <f t="shared" si="1"/>
        <v>2</v>
      </c>
      <c r="H6217" s="89">
        <f t="shared" si="15"/>
        <v>0.1874414246</v>
      </c>
      <c r="I6217" s="78" t="s">
        <v>7120</v>
      </c>
      <c r="J6217" s="78" t="s">
        <v>69</v>
      </c>
      <c r="K6217" s="58">
        <f t="shared" si="16"/>
        <v>3</v>
      </c>
      <c r="L6217" s="91" t="str">
        <f t="shared" si="8"/>
        <v>Thu</v>
      </c>
      <c r="M6217" s="78" t="str">
        <f>IFERROR(VLOOKUP(A6217, Entries!A:B,2,false),"")</f>
        <v>IO Interactive</v>
      </c>
      <c r="N6217" s="23" t="str">
        <f>IFERROR(VLOOKUP(A6217, Entries!A:K,11,false),"")</f>
        <v/>
      </c>
    </row>
    <row r="6218">
      <c r="A6218" s="78" t="s">
        <v>5670</v>
      </c>
      <c r="B6218" s="78" t="s">
        <v>26</v>
      </c>
      <c r="C6218" s="85">
        <v>45454.0</v>
      </c>
      <c r="D6218" s="25"/>
      <c r="E6218" s="86">
        <v>25.23</v>
      </c>
      <c r="F6218" s="88"/>
      <c r="G6218" s="88">
        <f t="shared" si="1"/>
        <v>-25.23</v>
      </c>
      <c r="H6218" s="89" t="str">
        <f t="shared" si="15"/>
        <v/>
      </c>
      <c r="I6218" s="103" t="s">
        <v>7121</v>
      </c>
      <c r="J6218" s="78" t="s">
        <v>1129</v>
      </c>
      <c r="K6218" s="58" t="str">
        <f t="shared" si="16"/>
        <v/>
      </c>
      <c r="L6218" s="91" t="str">
        <f t="shared" si="8"/>
        <v/>
      </c>
      <c r="M6218" s="78" t="str">
        <f>IFERROR(VLOOKUP(A6218, Entries!A:B,2,false),"")</f>
        <v/>
      </c>
      <c r="N6218" s="23" t="str">
        <f>IFERROR(VLOOKUP(A6218, Entries!A:K,11,false),"")</f>
        <v/>
      </c>
    </row>
    <row r="6219">
      <c r="A6219" s="78" t="s">
        <v>5676</v>
      </c>
      <c r="B6219" s="78" t="s">
        <v>21</v>
      </c>
      <c r="C6219" s="85">
        <v>45454.0</v>
      </c>
      <c r="D6219" s="85">
        <v>45455.0</v>
      </c>
      <c r="E6219" s="86">
        <v>37.35</v>
      </c>
      <c r="F6219" s="87">
        <v>43.4</v>
      </c>
      <c r="G6219" s="88">
        <f t="shared" si="1"/>
        <v>6.05</v>
      </c>
      <c r="H6219" s="89">
        <f t="shared" si="15"/>
        <v>0.1394009217</v>
      </c>
      <c r="I6219" s="78" t="s">
        <v>7122</v>
      </c>
      <c r="J6219" s="78" t="s">
        <v>69</v>
      </c>
      <c r="K6219" s="58">
        <f t="shared" si="16"/>
        <v>1</v>
      </c>
      <c r="L6219" s="91" t="str">
        <f t="shared" si="8"/>
        <v>Wed</v>
      </c>
      <c r="M6219" s="78" t="str">
        <f>IFERROR(VLOOKUP(A6219, Entries!A:B,2,false),"")</f>
        <v>Bethesda Softworks</v>
      </c>
      <c r="N6219" s="23" t="str">
        <f>IFERROR(VLOOKUP(A6219, Entries!A:K,11,false),"")</f>
        <v/>
      </c>
    </row>
    <row r="6220">
      <c r="A6220" s="78" t="s">
        <v>5676</v>
      </c>
      <c r="B6220" s="78" t="s">
        <v>21</v>
      </c>
      <c r="C6220" s="85">
        <v>45454.0</v>
      </c>
      <c r="D6220" s="85">
        <v>45455.0</v>
      </c>
      <c r="E6220" s="86">
        <v>37.36</v>
      </c>
      <c r="F6220" s="87">
        <v>43.49</v>
      </c>
      <c r="G6220" s="88">
        <f t="shared" si="1"/>
        <v>6.13</v>
      </c>
      <c r="H6220" s="89">
        <f t="shared" si="15"/>
        <v>0.140951943</v>
      </c>
      <c r="I6220" s="78" t="s">
        <v>7123</v>
      </c>
      <c r="J6220" s="78" t="s">
        <v>69</v>
      </c>
      <c r="K6220" s="58">
        <f t="shared" si="16"/>
        <v>1</v>
      </c>
      <c r="L6220" s="91" t="str">
        <f t="shared" si="8"/>
        <v>Wed</v>
      </c>
      <c r="M6220" s="78" t="str">
        <f>IFERROR(VLOOKUP(A6220, Entries!A:B,2,false),"")</f>
        <v>Bethesda Softworks</v>
      </c>
      <c r="N6220" s="23" t="str">
        <f>IFERROR(VLOOKUP(A6220, Entries!A:K,11,false),"")</f>
        <v/>
      </c>
    </row>
    <row r="6221">
      <c r="A6221" s="78" t="s">
        <v>6123</v>
      </c>
      <c r="B6221" s="78" t="s">
        <v>22</v>
      </c>
      <c r="C6221" s="85">
        <v>45454.0</v>
      </c>
      <c r="D6221" s="85">
        <v>45458.0</v>
      </c>
      <c r="E6221" s="86">
        <v>15.78</v>
      </c>
      <c r="F6221" s="87">
        <v>20.51</v>
      </c>
      <c r="G6221" s="88">
        <f t="shared" si="1"/>
        <v>4.73</v>
      </c>
      <c r="H6221" s="89">
        <f t="shared" si="15"/>
        <v>0.2306192101</v>
      </c>
      <c r="I6221" s="78" t="s">
        <v>7124</v>
      </c>
      <c r="J6221" s="78" t="s">
        <v>69</v>
      </c>
      <c r="K6221" s="58">
        <f t="shared" si="16"/>
        <v>4</v>
      </c>
      <c r="L6221" s="91" t="str">
        <f t="shared" si="8"/>
        <v>Sat</v>
      </c>
      <c r="M6221" s="78" t="str">
        <f>IFERROR(VLOOKUP(A6221, Entries!A:B,2,false),"")</f>
        <v>Owlcat Games</v>
      </c>
      <c r="N6221" s="23" t="str">
        <f>IFERROR(VLOOKUP(A6221, Entries!A:K,11,false),"")</f>
        <v/>
      </c>
    </row>
    <row r="6222">
      <c r="A6222" s="78" t="s">
        <v>6123</v>
      </c>
      <c r="B6222" s="78" t="s">
        <v>22</v>
      </c>
      <c r="C6222" s="85">
        <v>45454.0</v>
      </c>
      <c r="D6222" s="85">
        <v>45463.0</v>
      </c>
      <c r="E6222" s="86">
        <v>15.76</v>
      </c>
      <c r="F6222" s="87">
        <v>20.42</v>
      </c>
      <c r="G6222" s="88">
        <f t="shared" si="1"/>
        <v>4.66</v>
      </c>
      <c r="H6222" s="89">
        <f t="shared" si="15"/>
        <v>0.2282076396</v>
      </c>
      <c r="I6222" s="78" t="s">
        <v>7125</v>
      </c>
      <c r="J6222" s="78" t="s">
        <v>69</v>
      </c>
      <c r="K6222" s="58">
        <f t="shared" si="16"/>
        <v>9</v>
      </c>
      <c r="L6222" s="91" t="str">
        <f t="shared" si="8"/>
        <v>Thu</v>
      </c>
      <c r="M6222" s="78" t="str">
        <f>IFERROR(VLOOKUP(A6222, Entries!A:B,2,false),"")</f>
        <v>Owlcat Games</v>
      </c>
      <c r="N6222" s="23" t="str">
        <f>IFERROR(VLOOKUP(A6222, Entries!A:K,11,false),"")</f>
        <v/>
      </c>
    </row>
    <row r="6223">
      <c r="A6223" s="78" t="s">
        <v>6123</v>
      </c>
      <c r="B6223" s="78" t="s">
        <v>22</v>
      </c>
      <c r="C6223" s="85">
        <v>45454.0</v>
      </c>
      <c r="D6223" s="85">
        <v>45558.0</v>
      </c>
      <c r="E6223" s="86">
        <v>15.76</v>
      </c>
      <c r="F6223" s="87">
        <v>17.95</v>
      </c>
      <c r="G6223" s="88">
        <f t="shared" si="1"/>
        <v>2.19</v>
      </c>
      <c r="H6223" s="89">
        <f t="shared" si="15"/>
        <v>0.122005571</v>
      </c>
      <c r="I6223" s="78" t="s">
        <v>7126</v>
      </c>
      <c r="J6223" s="78" t="s">
        <v>69</v>
      </c>
      <c r="K6223" s="58">
        <f t="shared" si="16"/>
        <v>104</v>
      </c>
      <c r="L6223" s="91" t="str">
        <f t="shared" si="8"/>
        <v>Mon</v>
      </c>
      <c r="M6223" s="78" t="str">
        <f>IFERROR(VLOOKUP(A6223, Entries!A:B,2,false),"")</f>
        <v>Owlcat Games</v>
      </c>
      <c r="N6223" s="23" t="str">
        <f>IFERROR(VLOOKUP(A6223, Entries!A:K,11,false),"")</f>
        <v/>
      </c>
    </row>
    <row r="6224">
      <c r="A6224" s="78" t="s">
        <v>6123</v>
      </c>
      <c r="B6224" s="78" t="s">
        <v>22</v>
      </c>
      <c r="C6224" s="85">
        <v>45454.0</v>
      </c>
      <c r="D6224" s="85">
        <v>45558.0</v>
      </c>
      <c r="E6224" s="86">
        <v>15.76</v>
      </c>
      <c r="F6224" s="87">
        <v>18.86</v>
      </c>
      <c r="G6224" s="88">
        <f t="shared" si="1"/>
        <v>3.1</v>
      </c>
      <c r="H6224" s="89">
        <f t="shared" si="15"/>
        <v>0.164369035</v>
      </c>
      <c r="I6224" s="78" t="s">
        <v>7127</v>
      </c>
      <c r="J6224" s="78" t="s">
        <v>69</v>
      </c>
      <c r="K6224" s="58">
        <f t="shared" si="16"/>
        <v>104</v>
      </c>
      <c r="L6224" s="91" t="str">
        <f t="shared" si="8"/>
        <v>Mon</v>
      </c>
      <c r="M6224" s="78" t="str">
        <f>IFERROR(VLOOKUP(A6224, Entries!A:B,2,false),"")</f>
        <v>Owlcat Games</v>
      </c>
      <c r="N6224" s="23" t="str">
        <f>IFERROR(VLOOKUP(A6224, Entries!A:K,11,false),"")</f>
        <v/>
      </c>
    </row>
    <row r="6225">
      <c r="A6225" s="78" t="s">
        <v>1729</v>
      </c>
      <c r="B6225" s="78" t="s">
        <v>23</v>
      </c>
      <c r="C6225" s="85">
        <v>45455.0</v>
      </c>
      <c r="D6225" s="85">
        <v>45461.0</v>
      </c>
      <c r="E6225" s="86">
        <v>4.61</v>
      </c>
      <c r="F6225" s="87">
        <v>4.93</v>
      </c>
      <c r="G6225" s="88">
        <f t="shared" si="1"/>
        <v>0.32</v>
      </c>
      <c r="H6225" s="89">
        <f t="shared" si="15"/>
        <v>0.06490872211</v>
      </c>
      <c r="I6225" s="78" t="s">
        <v>7128</v>
      </c>
      <c r="J6225" s="78" t="s">
        <v>69</v>
      </c>
      <c r="K6225" s="58">
        <f t="shared" si="16"/>
        <v>6</v>
      </c>
      <c r="L6225" s="91" t="str">
        <f t="shared" si="8"/>
        <v>Tue</v>
      </c>
      <c r="M6225" s="78" t="str">
        <f>IFERROR(VLOOKUP(A6225, Entries!A:B,2,false),"")</f>
        <v>Focus Home Interactive</v>
      </c>
      <c r="N6225" s="23" t="str">
        <f>IFERROR(VLOOKUP(A6225, Entries!A:K,11,false),"")</f>
        <v/>
      </c>
    </row>
    <row r="6226">
      <c r="A6226" s="78" t="s">
        <v>4532</v>
      </c>
      <c r="B6226" s="78" t="s">
        <v>23</v>
      </c>
      <c r="C6226" s="85">
        <v>45455.0</v>
      </c>
      <c r="D6226" s="85">
        <v>45455.0</v>
      </c>
      <c r="E6226" s="86">
        <v>34.98</v>
      </c>
      <c r="F6226" s="87">
        <v>38.59</v>
      </c>
      <c r="G6226" s="88">
        <f t="shared" si="1"/>
        <v>3.61</v>
      </c>
      <c r="H6226" s="89">
        <f t="shared" si="15"/>
        <v>0.09354755118</v>
      </c>
      <c r="I6226" s="78" t="s">
        <v>7129</v>
      </c>
      <c r="J6226" s="78" t="s">
        <v>69</v>
      </c>
      <c r="K6226" s="58">
        <f t="shared" si="16"/>
        <v>0</v>
      </c>
      <c r="L6226" s="91" t="str">
        <f t="shared" si="8"/>
        <v>Wed</v>
      </c>
      <c r="M6226" s="78" t="str">
        <f>IFERROR(VLOOKUP(A6226, Entries!A:B,2,false),"")</f>
        <v>Eugen Systems</v>
      </c>
      <c r="N6226" s="23" t="str">
        <f>IFERROR(VLOOKUP(A6226, Entries!A:K,11,false),"")</f>
        <v/>
      </c>
    </row>
    <row r="6227">
      <c r="A6227" s="78" t="s">
        <v>4532</v>
      </c>
      <c r="B6227" s="78" t="s">
        <v>23</v>
      </c>
      <c r="C6227" s="85">
        <v>45455.0</v>
      </c>
      <c r="D6227" s="85">
        <v>45466.0</v>
      </c>
      <c r="E6227" s="86">
        <v>34.98</v>
      </c>
      <c r="F6227" s="87">
        <v>38.59</v>
      </c>
      <c r="G6227" s="88">
        <f t="shared" si="1"/>
        <v>3.61</v>
      </c>
      <c r="H6227" s="89">
        <f t="shared" si="15"/>
        <v>0.09354755118</v>
      </c>
      <c r="I6227" s="78" t="s">
        <v>7130</v>
      </c>
      <c r="J6227" s="78" t="s">
        <v>69</v>
      </c>
      <c r="K6227" s="58">
        <f t="shared" si="16"/>
        <v>11</v>
      </c>
      <c r="L6227" s="91" t="str">
        <f t="shared" si="8"/>
        <v>Sun</v>
      </c>
      <c r="M6227" s="78" t="str">
        <f>IFERROR(VLOOKUP(A6227, Entries!A:B,2,false),"")</f>
        <v>Eugen Systems</v>
      </c>
      <c r="N6227" s="23" t="str">
        <f>IFERROR(VLOOKUP(A6227, Entries!A:K,11,false),"")</f>
        <v/>
      </c>
    </row>
    <row r="6228">
      <c r="A6228" s="78" t="s">
        <v>5676</v>
      </c>
      <c r="B6228" s="78" t="s">
        <v>21</v>
      </c>
      <c r="C6228" s="85">
        <v>45455.0</v>
      </c>
      <c r="D6228" s="85">
        <v>45456.0</v>
      </c>
      <c r="E6228" s="86">
        <v>37.35</v>
      </c>
      <c r="F6228" s="87">
        <v>43.49</v>
      </c>
      <c r="G6228" s="88">
        <f t="shared" si="1"/>
        <v>6.14</v>
      </c>
      <c r="H6228" s="89">
        <f t="shared" si="15"/>
        <v>0.1411818809</v>
      </c>
      <c r="I6228" s="78" t="s">
        <v>7131</v>
      </c>
      <c r="J6228" s="78" t="s">
        <v>69</v>
      </c>
      <c r="K6228" s="58">
        <f t="shared" si="16"/>
        <v>1</v>
      </c>
      <c r="L6228" s="91" t="str">
        <f t="shared" si="8"/>
        <v>Thu</v>
      </c>
      <c r="M6228" s="78" t="str">
        <f>IFERROR(VLOOKUP(A6228, Entries!A:B,2,false),"")</f>
        <v>Bethesda Softworks</v>
      </c>
      <c r="N6228" s="23" t="str">
        <f>IFERROR(VLOOKUP(A6228, Entries!A:K,11,false),"")</f>
        <v/>
      </c>
    </row>
    <row r="6229">
      <c r="A6229" s="78" t="s">
        <v>5676</v>
      </c>
      <c r="B6229" s="78" t="s">
        <v>21</v>
      </c>
      <c r="C6229" s="85">
        <v>45455.0</v>
      </c>
      <c r="D6229" s="85">
        <v>45456.0</v>
      </c>
      <c r="E6229" s="86">
        <v>37.36</v>
      </c>
      <c r="F6229" s="87">
        <v>43.49</v>
      </c>
      <c r="G6229" s="88">
        <f t="shared" si="1"/>
        <v>6.13</v>
      </c>
      <c r="H6229" s="89">
        <f t="shared" si="15"/>
        <v>0.140951943</v>
      </c>
      <c r="I6229" s="78" t="s">
        <v>7132</v>
      </c>
      <c r="J6229" s="78" t="s">
        <v>69</v>
      </c>
      <c r="K6229" s="58">
        <f t="shared" si="16"/>
        <v>1</v>
      </c>
      <c r="L6229" s="91" t="str">
        <f t="shared" si="8"/>
        <v>Thu</v>
      </c>
      <c r="M6229" s="78" t="str">
        <f>IFERROR(VLOOKUP(A6229, Entries!A:B,2,false),"")</f>
        <v>Bethesda Softworks</v>
      </c>
      <c r="N6229" s="23" t="str">
        <f>IFERROR(VLOOKUP(A6229, Entries!A:K,11,false),"")</f>
        <v/>
      </c>
    </row>
    <row r="6230">
      <c r="A6230" s="78" t="s">
        <v>5676</v>
      </c>
      <c r="B6230" s="78" t="s">
        <v>21</v>
      </c>
      <c r="C6230" s="85">
        <v>45456.0</v>
      </c>
      <c r="D6230" s="85">
        <v>45456.0</v>
      </c>
      <c r="E6230" s="86">
        <v>36.6</v>
      </c>
      <c r="F6230" s="87">
        <v>43.87</v>
      </c>
      <c r="G6230" s="88">
        <f t="shared" si="1"/>
        <v>7.27</v>
      </c>
      <c r="H6230" s="89">
        <f t="shared" si="15"/>
        <v>0.1657168908</v>
      </c>
      <c r="I6230" s="78" t="s">
        <v>7133</v>
      </c>
      <c r="J6230" s="78" t="s">
        <v>69</v>
      </c>
      <c r="K6230" s="58">
        <f t="shared" si="16"/>
        <v>0</v>
      </c>
      <c r="L6230" s="91" t="str">
        <f t="shared" si="8"/>
        <v>Thu</v>
      </c>
      <c r="M6230" s="78" t="str">
        <f>IFERROR(VLOOKUP(A6230, Entries!A:B,2,false),"")</f>
        <v>Bethesda Softworks</v>
      </c>
      <c r="N6230" s="23" t="str">
        <f>IFERROR(VLOOKUP(A6230, Entries!A:K,11,false),"")</f>
        <v/>
      </c>
    </row>
    <row r="6231">
      <c r="A6231" s="78" t="s">
        <v>5676</v>
      </c>
      <c r="B6231" s="78" t="s">
        <v>21</v>
      </c>
      <c r="C6231" s="85">
        <v>45456.0</v>
      </c>
      <c r="D6231" s="85">
        <v>45457.0</v>
      </c>
      <c r="E6231" s="86">
        <v>36.6</v>
      </c>
      <c r="F6231" s="87">
        <v>43.81</v>
      </c>
      <c r="G6231" s="88">
        <f t="shared" si="1"/>
        <v>7.21</v>
      </c>
      <c r="H6231" s="89">
        <f t="shared" si="15"/>
        <v>0.1645742981</v>
      </c>
      <c r="I6231" s="78" t="s">
        <v>7134</v>
      </c>
      <c r="J6231" s="78" t="s">
        <v>69</v>
      </c>
      <c r="K6231" s="58">
        <f t="shared" si="16"/>
        <v>1</v>
      </c>
      <c r="L6231" s="91" t="str">
        <f t="shared" si="8"/>
        <v>Fri</v>
      </c>
      <c r="M6231" s="78" t="str">
        <f>IFERROR(VLOOKUP(A6231, Entries!A:B,2,false),"")</f>
        <v>Bethesda Softworks</v>
      </c>
      <c r="N6231" s="23" t="str">
        <f>IFERROR(VLOOKUP(A6231, Entries!A:K,11,false),"")</f>
        <v/>
      </c>
    </row>
    <row r="6232">
      <c r="A6232" s="78" t="s">
        <v>7092</v>
      </c>
      <c r="B6232" s="78" t="s">
        <v>23</v>
      </c>
      <c r="C6232" s="85">
        <v>45456.0</v>
      </c>
      <c r="D6232" s="85">
        <v>45459.0</v>
      </c>
      <c r="E6232" s="86">
        <v>8.73</v>
      </c>
      <c r="F6232" s="87">
        <v>10.67</v>
      </c>
      <c r="G6232" s="88">
        <f t="shared" si="1"/>
        <v>1.94</v>
      </c>
      <c r="H6232" s="89">
        <f t="shared" si="15"/>
        <v>0.1818181818</v>
      </c>
      <c r="I6232" s="78" t="s">
        <v>7135</v>
      </c>
      <c r="J6232" s="78" t="s">
        <v>69</v>
      </c>
      <c r="K6232" s="58">
        <f t="shared" si="16"/>
        <v>3</v>
      </c>
      <c r="L6232" s="91" t="str">
        <f t="shared" si="8"/>
        <v>Sun</v>
      </c>
      <c r="M6232" s="78" t="str">
        <f>IFERROR(VLOOKUP(A6232, Entries!A:B,2,false),"")</f>
        <v>IO Interactive</v>
      </c>
      <c r="N6232" s="23" t="str">
        <f>IFERROR(VLOOKUP(A6232, Entries!A:K,11,false),"")</f>
        <v/>
      </c>
    </row>
    <row r="6233">
      <c r="A6233" s="78" t="s">
        <v>7051</v>
      </c>
      <c r="B6233" s="78" t="s">
        <v>18</v>
      </c>
      <c r="C6233" s="85">
        <v>45456.0</v>
      </c>
      <c r="D6233" s="85">
        <v>45460.0</v>
      </c>
      <c r="E6233" s="86">
        <v>16.59</v>
      </c>
      <c r="F6233" s="87">
        <v>25.23</v>
      </c>
      <c r="G6233" s="88">
        <f t="shared" si="1"/>
        <v>8.64</v>
      </c>
      <c r="H6233" s="89">
        <f t="shared" si="15"/>
        <v>0.3424494649</v>
      </c>
      <c r="I6233" s="78" t="s">
        <v>7136</v>
      </c>
      <c r="J6233" s="78" t="s">
        <v>69</v>
      </c>
      <c r="K6233" s="58">
        <f t="shared" si="16"/>
        <v>4</v>
      </c>
      <c r="L6233" s="91" t="str">
        <f t="shared" si="8"/>
        <v>Mon</v>
      </c>
      <c r="M6233" s="78" t="str">
        <f>IFERROR(VLOOKUP(A6233, Entries!A:B,2,false),"")</f>
        <v>Paradox Interactive</v>
      </c>
      <c r="N6233" s="23" t="str">
        <f>IFERROR(VLOOKUP(A6233, Entries!A:K,11,false),"")</f>
        <v/>
      </c>
    </row>
    <row r="6234">
      <c r="A6234" s="78" t="s">
        <v>7051</v>
      </c>
      <c r="B6234" s="78" t="s">
        <v>18</v>
      </c>
      <c r="C6234" s="85">
        <v>45456.0</v>
      </c>
      <c r="D6234" s="85">
        <v>45497.0</v>
      </c>
      <c r="E6234" s="86">
        <v>16.59</v>
      </c>
      <c r="F6234" s="87">
        <v>17.41</v>
      </c>
      <c r="G6234" s="88">
        <f t="shared" si="1"/>
        <v>0.82</v>
      </c>
      <c r="H6234" s="89">
        <f t="shared" si="15"/>
        <v>0.04709936818</v>
      </c>
      <c r="I6234" s="78" t="s">
        <v>7137</v>
      </c>
      <c r="J6234" s="78" t="s">
        <v>69</v>
      </c>
      <c r="K6234" s="58">
        <f t="shared" si="16"/>
        <v>41</v>
      </c>
      <c r="L6234" s="91" t="str">
        <f t="shared" si="8"/>
        <v>Wed</v>
      </c>
      <c r="M6234" s="78" t="str">
        <f>IFERROR(VLOOKUP(A6234, Entries!A:B,2,false),"")</f>
        <v>Paradox Interactive</v>
      </c>
      <c r="N6234" s="23" t="str">
        <f>IFERROR(VLOOKUP(A6234, Entries!A:K,11,false),"")</f>
        <v/>
      </c>
    </row>
    <row r="6235">
      <c r="A6235" s="78" t="s">
        <v>7051</v>
      </c>
      <c r="B6235" s="78" t="s">
        <v>18</v>
      </c>
      <c r="C6235" s="85">
        <v>45456.0</v>
      </c>
      <c r="D6235" s="85">
        <v>45746.0</v>
      </c>
      <c r="E6235" s="86">
        <v>16.59</v>
      </c>
      <c r="F6235" s="87">
        <v>18.89</v>
      </c>
      <c r="G6235" s="88">
        <f t="shared" si="1"/>
        <v>2.3</v>
      </c>
      <c r="H6235" s="89">
        <f t="shared" si="15"/>
        <v>0.1217575437</v>
      </c>
      <c r="I6235" s="103" t="s">
        <v>7138</v>
      </c>
      <c r="J6235" s="78" t="s">
        <v>69</v>
      </c>
      <c r="K6235" s="58">
        <f t="shared" si="16"/>
        <v>290</v>
      </c>
      <c r="L6235" s="91" t="str">
        <f t="shared" si="8"/>
        <v>Sun</v>
      </c>
      <c r="M6235" s="78" t="str">
        <f>IFERROR(VLOOKUP(A6235, Entries!A:B,2,false),"")</f>
        <v>Paradox Interactive</v>
      </c>
      <c r="N6235" s="23" t="str">
        <f>IFERROR(VLOOKUP(A6235, Entries!A:K,11,false),"")</f>
        <v/>
      </c>
    </row>
    <row r="6236">
      <c r="A6236" s="78" t="s">
        <v>5676</v>
      </c>
      <c r="B6236" s="78" t="s">
        <v>21</v>
      </c>
      <c r="C6236" s="85">
        <v>45456.0</v>
      </c>
      <c r="D6236" s="85">
        <v>45457.0</v>
      </c>
      <c r="E6236" s="86">
        <v>36.6</v>
      </c>
      <c r="F6236" s="87">
        <v>43.81</v>
      </c>
      <c r="G6236" s="88">
        <f t="shared" si="1"/>
        <v>7.21</v>
      </c>
      <c r="H6236" s="89">
        <f t="shared" si="15"/>
        <v>0.1645742981</v>
      </c>
      <c r="I6236" s="78" t="s">
        <v>7139</v>
      </c>
      <c r="J6236" s="78" t="s">
        <v>69</v>
      </c>
      <c r="K6236" s="58">
        <f t="shared" si="16"/>
        <v>1</v>
      </c>
      <c r="L6236" s="91" t="str">
        <f t="shared" si="8"/>
        <v>Fri</v>
      </c>
      <c r="M6236" s="78" t="str">
        <f>IFERROR(VLOOKUP(A6236, Entries!A:B,2,false),"")</f>
        <v>Bethesda Softworks</v>
      </c>
      <c r="N6236" s="23" t="str">
        <f>IFERROR(VLOOKUP(A6236, Entries!A:K,11,false),"")</f>
        <v/>
      </c>
    </row>
    <row r="6237">
      <c r="A6237" s="78" t="s">
        <v>5676</v>
      </c>
      <c r="B6237" s="78" t="s">
        <v>21</v>
      </c>
      <c r="C6237" s="85">
        <v>45457.0</v>
      </c>
      <c r="D6237" s="85">
        <v>45458.0</v>
      </c>
      <c r="E6237" s="86">
        <v>36.6</v>
      </c>
      <c r="F6237" s="87">
        <v>48.37</v>
      </c>
      <c r="G6237" s="88">
        <f t="shared" si="1"/>
        <v>11.77</v>
      </c>
      <c r="H6237" s="89">
        <f t="shared" si="15"/>
        <v>0.2433326442</v>
      </c>
      <c r="I6237" s="78" t="s">
        <v>7140</v>
      </c>
      <c r="J6237" s="78" t="s">
        <v>69</v>
      </c>
      <c r="K6237" s="58">
        <f t="shared" si="16"/>
        <v>1</v>
      </c>
      <c r="L6237" s="91" t="str">
        <f t="shared" si="8"/>
        <v>Sat</v>
      </c>
      <c r="M6237" s="78" t="str">
        <f>IFERROR(VLOOKUP(A6237, Entries!A:B,2,false),"")</f>
        <v>Bethesda Softworks</v>
      </c>
      <c r="N6237" s="23" t="str">
        <f>IFERROR(VLOOKUP(A6237, Entries!A:K,11,false),"")</f>
        <v/>
      </c>
    </row>
    <row r="6238">
      <c r="A6238" s="78" t="s">
        <v>5676</v>
      </c>
      <c r="B6238" s="78" t="s">
        <v>21</v>
      </c>
      <c r="C6238" s="85">
        <v>45457.0</v>
      </c>
      <c r="D6238" s="85">
        <v>45459.0</v>
      </c>
      <c r="E6238" s="86">
        <v>36.6</v>
      </c>
      <c r="F6238" s="87">
        <v>51.41</v>
      </c>
      <c r="G6238" s="88">
        <f t="shared" si="1"/>
        <v>14.81</v>
      </c>
      <c r="H6238" s="89">
        <f t="shared" si="15"/>
        <v>0.2880762498</v>
      </c>
      <c r="I6238" s="78" t="s">
        <v>7141</v>
      </c>
      <c r="J6238" s="78" t="s">
        <v>69</v>
      </c>
      <c r="K6238" s="58">
        <f t="shared" si="16"/>
        <v>2</v>
      </c>
      <c r="L6238" s="91" t="str">
        <f t="shared" si="8"/>
        <v>Sun</v>
      </c>
      <c r="M6238" s="78" t="str">
        <f>IFERROR(VLOOKUP(A6238, Entries!A:B,2,false),"")</f>
        <v>Bethesda Softworks</v>
      </c>
      <c r="N6238" s="23" t="str">
        <f>IFERROR(VLOOKUP(A6238, Entries!A:K,11,false),"")</f>
        <v/>
      </c>
    </row>
    <row r="6239">
      <c r="A6239" s="78" t="s">
        <v>6018</v>
      </c>
      <c r="B6239" s="78" t="s">
        <v>30</v>
      </c>
      <c r="C6239" s="85">
        <v>45457.0</v>
      </c>
      <c r="D6239" s="85">
        <v>45460.0</v>
      </c>
      <c r="E6239" s="86">
        <v>12.61</v>
      </c>
      <c r="F6239" s="87">
        <v>14.2</v>
      </c>
      <c r="G6239" s="88">
        <f t="shared" si="1"/>
        <v>1.59</v>
      </c>
      <c r="H6239" s="89">
        <f t="shared" si="15"/>
        <v>0.111971831</v>
      </c>
      <c r="I6239" s="78" t="s">
        <v>7142</v>
      </c>
      <c r="J6239" s="78" t="s">
        <v>69</v>
      </c>
      <c r="K6239" s="58">
        <f t="shared" si="16"/>
        <v>3</v>
      </c>
      <c r="L6239" s="91" t="str">
        <f t="shared" si="8"/>
        <v>Mon</v>
      </c>
      <c r="M6239" s="78" t="str">
        <f>IFERROR(VLOOKUP(A6239, Entries!A:B,2,false),"")</f>
        <v>Square Enix</v>
      </c>
      <c r="N6239" s="23" t="str">
        <f>IFERROR(VLOOKUP(A6239, Entries!A:K,11,false),"")</f>
        <v/>
      </c>
    </row>
    <row r="6240">
      <c r="A6240" s="78" t="s">
        <v>7143</v>
      </c>
      <c r="B6240" s="78" t="s">
        <v>21</v>
      </c>
      <c r="C6240" s="85">
        <v>45457.0</v>
      </c>
      <c r="D6240" s="85">
        <v>45457.0</v>
      </c>
      <c r="E6240" s="86">
        <v>22.75</v>
      </c>
      <c r="F6240" s="87">
        <v>24.14</v>
      </c>
      <c r="G6240" s="88">
        <f t="shared" si="1"/>
        <v>1.39</v>
      </c>
      <c r="H6240" s="89">
        <f t="shared" si="15"/>
        <v>0.05758077879</v>
      </c>
      <c r="I6240" s="78" t="s">
        <v>7144</v>
      </c>
      <c r="J6240" s="78" t="s">
        <v>69</v>
      </c>
      <c r="K6240" s="58">
        <f t="shared" si="16"/>
        <v>0</v>
      </c>
      <c r="L6240" s="91" t="str">
        <f t="shared" si="8"/>
        <v>Fri</v>
      </c>
      <c r="M6240" s="78" t="str">
        <f>IFERROR(VLOOKUP(A6240, Entries!A:B,2,false),"")</f>
        <v/>
      </c>
      <c r="N6240" s="23" t="str">
        <f>IFERROR(VLOOKUP(A6240, Entries!A:K,11,false),"")</f>
        <v/>
      </c>
    </row>
    <row r="6241">
      <c r="A6241" s="78" t="s">
        <v>826</v>
      </c>
      <c r="B6241" s="78" t="s">
        <v>25</v>
      </c>
      <c r="C6241" s="85">
        <v>45458.0</v>
      </c>
      <c r="D6241" s="85">
        <v>45470.0</v>
      </c>
      <c r="E6241" s="86">
        <v>12.06</v>
      </c>
      <c r="F6241" s="87">
        <v>13.19</v>
      </c>
      <c r="G6241" s="88">
        <f t="shared" si="1"/>
        <v>1.13</v>
      </c>
      <c r="H6241" s="89">
        <f t="shared" si="15"/>
        <v>0.08567096285</v>
      </c>
      <c r="I6241" s="78" t="s">
        <v>7145</v>
      </c>
      <c r="J6241" s="78" t="s">
        <v>69</v>
      </c>
      <c r="K6241" s="58">
        <f t="shared" si="16"/>
        <v>12</v>
      </c>
      <c r="L6241" s="91" t="str">
        <f t="shared" si="8"/>
        <v>Thu</v>
      </c>
      <c r="M6241" s="78" t="str">
        <f>IFERROR(VLOOKUP(A6241, Entries!A:B,2,false),"")</f>
        <v>Oxymoron Games</v>
      </c>
      <c r="N6241" s="23" t="str">
        <f>IFERROR(VLOOKUP(A6241, Entries!A:K,11,false),"")</f>
        <v/>
      </c>
    </row>
    <row r="6242">
      <c r="A6242" s="78" t="s">
        <v>7117</v>
      </c>
      <c r="B6242" s="78" t="s">
        <v>18</v>
      </c>
      <c r="C6242" s="85">
        <v>45458.0</v>
      </c>
      <c r="D6242" s="85">
        <v>45489.0</v>
      </c>
      <c r="E6242" s="86">
        <v>24.48</v>
      </c>
      <c r="F6242" s="87">
        <v>28.41</v>
      </c>
      <c r="G6242" s="88">
        <f t="shared" si="1"/>
        <v>3.93</v>
      </c>
      <c r="H6242" s="89">
        <f t="shared" si="15"/>
        <v>0.1383315734</v>
      </c>
      <c r="I6242" s="78" t="s">
        <v>7146</v>
      </c>
      <c r="J6242" s="78" t="s">
        <v>69</v>
      </c>
      <c r="K6242" s="58">
        <f t="shared" si="16"/>
        <v>31</v>
      </c>
      <c r="L6242" s="91" t="str">
        <f t="shared" si="8"/>
        <v>Tue</v>
      </c>
      <c r="M6242" s="78" t="str">
        <f>IFERROR(VLOOKUP(A6242, Entries!A:B,2,false),"")</f>
        <v>Kalypso Media</v>
      </c>
      <c r="N6242" s="23" t="str">
        <f>IFERROR(VLOOKUP(A6242, Entries!A:K,11,false),"")</f>
        <v/>
      </c>
    </row>
    <row r="6243">
      <c r="A6243" s="78" t="s">
        <v>7117</v>
      </c>
      <c r="B6243" s="78" t="s">
        <v>18</v>
      </c>
      <c r="C6243" s="85">
        <v>45458.0</v>
      </c>
      <c r="D6243" s="85">
        <v>45494.0</v>
      </c>
      <c r="E6243" s="86">
        <v>24.48</v>
      </c>
      <c r="F6243" s="87">
        <v>27.7</v>
      </c>
      <c r="G6243" s="88">
        <f t="shared" si="1"/>
        <v>3.22</v>
      </c>
      <c r="H6243" s="89">
        <f t="shared" si="15"/>
        <v>0.1162454874</v>
      </c>
      <c r="I6243" s="78" t="s">
        <v>7147</v>
      </c>
      <c r="J6243" s="78" t="s">
        <v>69</v>
      </c>
      <c r="K6243" s="58">
        <f t="shared" si="16"/>
        <v>36</v>
      </c>
      <c r="L6243" s="91" t="str">
        <f t="shared" si="8"/>
        <v>Sun</v>
      </c>
      <c r="M6243" s="78" t="str">
        <f>IFERROR(VLOOKUP(A6243, Entries!A:B,2,false),"")</f>
        <v>Kalypso Media</v>
      </c>
      <c r="N6243" s="23" t="str">
        <f>IFERROR(VLOOKUP(A6243, Entries!A:K,11,false),"")</f>
        <v/>
      </c>
    </row>
    <row r="6244">
      <c r="A6244" s="78" t="s">
        <v>5676</v>
      </c>
      <c r="B6244" s="78" t="s">
        <v>21</v>
      </c>
      <c r="C6244" s="85">
        <v>45458.0</v>
      </c>
      <c r="D6244" s="85">
        <v>45461.0</v>
      </c>
      <c r="E6244" s="86">
        <v>36.6</v>
      </c>
      <c r="F6244" s="87">
        <v>45.78</v>
      </c>
      <c r="G6244" s="88">
        <f t="shared" si="1"/>
        <v>9.18</v>
      </c>
      <c r="H6244" s="89">
        <f t="shared" si="15"/>
        <v>0.2005242464</v>
      </c>
      <c r="I6244" s="78" t="s">
        <v>7148</v>
      </c>
      <c r="J6244" s="78" t="s">
        <v>69</v>
      </c>
      <c r="K6244" s="58">
        <f t="shared" si="16"/>
        <v>3</v>
      </c>
      <c r="L6244" s="91" t="str">
        <f t="shared" si="8"/>
        <v>Tue</v>
      </c>
      <c r="M6244" s="78" t="str">
        <f>IFERROR(VLOOKUP(A6244, Entries!A:B,2,false),"")</f>
        <v>Bethesda Softworks</v>
      </c>
      <c r="N6244" s="23" t="str">
        <f>IFERROR(VLOOKUP(A6244, Entries!A:K,11,false),"")</f>
        <v/>
      </c>
    </row>
    <row r="6245">
      <c r="A6245" s="78" t="s">
        <v>4494</v>
      </c>
      <c r="B6245" s="78" t="s">
        <v>18</v>
      </c>
      <c r="C6245" s="85">
        <v>45458.0</v>
      </c>
      <c r="D6245" s="85">
        <v>45459.0</v>
      </c>
      <c r="E6245" s="86">
        <v>11.99</v>
      </c>
      <c r="F6245" s="87">
        <v>13.35</v>
      </c>
      <c r="G6245" s="88">
        <f t="shared" si="1"/>
        <v>1.36</v>
      </c>
      <c r="H6245" s="89">
        <f t="shared" si="15"/>
        <v>0.1018726592</v>
      </c>
      <c r="I6245" s="78" t="s">
        <v>7149</v>
      </c>
      <c r="J6245" s="78" t="s">
        <v>69</v>
      </c>
      <c r="K6245" s="58">
        <f t="shared" si="16"/>
        <v>1</v>
      </c>
      <c r="L6245" s="91" t="str">
        <f t="shared" si="8"/>
        <v>Sun</v>
      </c>
      <c r="M6245" s="78" t="str">
        <f>IFERROR(VLOOKUP(A6245, Entries!A:B,2,false),"")</f>
        <v>Skystone Games</v>
      </c>
      <c r="N6245" s="23" t="str">
        <f>IFERROR(VLOOKUP(A6245, Entries!A:K,11,false),"")</f>
        <v/>
      </c>
    </row>
    <row r="6246">
      <c r="A6246" s="78" t="s">
        <v>4494</v>
      </c>
      <c r="B6246" s="78" t="s">
        <v>18</v>
      </c>
      <c r="C6246" s="85">
        <v>45458.0</v>
      </c>
      <c r="D6246" s="85">
        <v>45467.0</v>
      </c>
      <c r="E6246" s="86">
        <v>11.99</v>
      </c>
      <c r="F6246" s="87">
        <v>14.27</v>
      </c>
      <c r="G6246" s="88">
        <f t="shared" si="1"/>
        <v>2.28</v>
      </c>
      <c r="H6246" s="89">
        <f t="shared" si="15"/>
        <v>0.1597757533</v>
      </c>
      <c r="I6246" s="78" t="s">
        <v>7150</v>
      </c>
      <c r="J6246" s="78" t="s">
        <v>69</v>
      </c>
      <c r="K6246" s="58">
        <f t="shared" si="16"/>
        <v>9</v>
      </c>
      <c r="L6246" s="91" t="str">
        <f t="shared" si="8"/>
        <v>Mon</v>
      </c>
      <c r="M6246" s="78" t="str">
        <f>IFERROR(VLOOKUP(A6246, Entries!A:B,2,false),"")</f>
        <v>Skystone Games</v>
      </c>
      <c r="N6246" s="23" t="str">
        <f>IFERROR(VLOOKUP(A6246, Entries!A:K,11,false),"")</f>
        <v/>
      </c>
    </row>
    <row r="6247">
      <c r="A6247" s="78" t="s">
        <v>5676</v>
      </c>
      <c r="B6247" s="78" t="s">
        <v>21</v>
      </c>
      <c r="C6247" s="85">
        <v>45460.0</v>
      </c>
      <c r="D6247" s="85">
        <v>45465.0</v>
      </c>
      <c r="E6247" s="86">
        <v>36.6</v>
      </c>
      <c r="F6247" s="87">
        <v>44.9</v>
      </c>
      <c r="G6247" s="88">
        <f t="shared" si="1"/>
        <v>8.3</v>
      </c>
      <c r="H6247" s="89">
        <f t="shared" si="15"/>
        <v>0.1848552339</v>
      </c>
      <c r="I6247" s="78" t="s">
        <v>7151</v>
      </c>
      <c r="J6247" s="78" t="s">
        <v>69</v>
      </c>
      <c r="K6247" s="58">
        <f t="shared" si="16"/>
        <v>5</v>
      </c>
      <c r="L6247" s="91" t="str">
        <f t="shared" si="8"/>
        <v>Sat</v>
      </c>
      <c r="M6247" s="78" t="str">
        <f>IFERROR(VLOOKUP(A6247, Entries!A:B,2,false),"")</f>
        <v>Bethesda Softworks</v>
      </c>
      <c r="N6247" s="23" t="str">
        <f>IFERROR(VLOOKUP(A6247, Entries!A:K,11,false),"")</f>
        <v/>
      </c>
    </row>
    <row r="6248">
      <c r="A6248" s="78" t="s">
        <v>5676</v>
      </c>
      <c r="B6248" s="78" t="s">
        <v>21</v>
      </c>
      <c r="C6248" s="85">
        <v>45460.0</v>
      </c>
      <c r="D6248" s="85">
        <v>45467.0</v>
      </c>
      <c r="E6248" s="86">
        <v>36.6</v>
      </c>
      <c r="F6248" s="87">
        <v>41.09</v>
      </c>
      <c r="G6248" s="88">
        <f t="shared" si="1"/>
        <v>4.49</v>
      </c>
      <c r="H6248" s="89">
        <f t="shared" si="15"/>
        <v>0.109272329</v>
      </c>
      <c r="I6248" s="78" t="s">
        <v>7152</v>
      </c>
      <c r="J6248" s="78" t="s">
        <v>69</v>
      </c>
      <c r="K6248" s="58">
        <f t="shared" si="16"/>
        <v>7</v>
      </c>
      <c r="L6248" s="91" t="str">
        <f t="shared" si="8"/>
        <v>Mon</v>
      </c>
      <c r="M6248" s="78" t="str">
        <f>IFERROR(VLOOKUP(A6248, Entries!A:B,2,false),"")</f>
        <v>Bethesda Softworks</v>
      </c>
      <c r="N6248" s="23" t="str">
        <f>IFERROR(VLOOKUP(A6248, Entries!A:K,11,false),"")</f>
        <v/>
      </c>
    </row>
    <row r="6249">
      <c r="A6249" s="78" t="s">
        <v>5676</v>
      </c>
      <c r="B6249" s="78" t="s">
        <v>21</v>
      </c>
      <c r="C6249" s="85">
        <v>45460.0</v>
      </c>
      <c r="D6249" s="85">
        <v>45467.0</v>
      </c>
      <c r="E6249" s="86">
        <v>36.6</v>
      </c>
      <c r="F6249" s="87">
        <v>41.09</v>
      </c>
      <c r="G6249" s="88">
        <f t="shared" si="1"/>
        <v>4.49</v>
      </c>
      <c r="H6249" s="89">
        <f t="shared" si="15"/>
        <v>0.109272329</v>
      </c>
      <c r="I6249" s="78" t="s">
        <v>7153</v>
      </c>
      <c r="J6249" s="78" t="s">
        <v>69</v>
      </c>
      <c r="K6249" s="58">
        <f t="shared" si="16"/>
        <v>7</v>
      </c>
      <c r="L6249" s="91" t="str">
        <f t="shared" si="8"/>
        <v>Mon</v>
      </c>
      <c r="M6249" s="78" t="str">
        <f>IFERROR(VLOOKUP(A6249, Entries!A:B,2,false),"")</f>
        <v>Bethesda Softworks</v>
      </c>
      <c r="N6249" s="23" t="str">
        <f>IFERROR(VLOOKUP(A6249, Entries!A:K,11,false),"")</f>
        <v/>
      </c>
    </row>
    <row r="6250">
      <c r="A6250" s="78" t="s">
        <v>6685</v>
      </c>
      <c r="B6250" s="78" t="s">
        <v>19</v>
      </c>
      <c r="C6250" s="85">
        <v>45467.0</v>
      </c>
      <c r="D6250" s="85">
        <v>45896.0</v>
      </c>
      <c r="E6250" s="86">
        <v>20.5</v>
      </c>
      <c r="F6250" s="87">
        <v>24.58</v>
      </c>
      <c r="G6250" s="88">
        <f t="shared" si="1"/>
        <v>4.08</v>
      </c>
      <c r="H6250" s="89">
        <f t="shared" si="15"/>
        <v>0.1659886086</v>
      </c>
      <c r="I6250" s="103" t="s">
        <v>7154</v>
      </c>
      <c r="J6250" s="78" t="s">
        <v>69</v>
      </c>
      <c r="K6250" s="58">
        <f t="shared" si="16"/>
        <v>429</v>
      </c>
      <c r="L6250" s="91" t="str">
        <f t="shared" si="8"/>
        <v>Wed</v>
      </c>
      <c r="M6250" s="78" t="str">
        <f>IFERROR(VLOOKUP(A6250, Entries!A:B,2,false),"")</f>
        <v/>
      </c>
      <c r="N6250" s="23" t="str">
        <f>IFERROR(VLOOKUP(A6250, Entries!A:K,11,false),"")</f>
        <v/>
      </c>
    </row>
    <row r="6251">
      <c r="A6251" s="78" t="s">
        <v>4926</v>
      </c>
      <c r="B6251" s="78" t="s">
        <v>19</v>
      </c>
      <c r="C6251" s="85">
        <v>45468.0</v>
      </c>
      <c r="D6251" s="85">
        <v>45468.0</v>
      </c>
      <c r="E6251" s="86">
        <v>4.63</v>
      </c>
      <c r="F6251" s="87">
        <v>9.32</v>
      </c>
      <c r="G6251" s="88">
        <f t="shared" si="1"/>
        <v>4.69</v>
      </c>
      <c r="H6251" s="89">
        <f t="shared" si="15"/>
        <v>0.5032188841</v>
      </c>
      <c r="I6251" s="78" t="s">
        <v>7155</v>
      </c>
      <c r="J6251" s="78" t="s">
        <v>69</v>
      </c>
      <c r="K6251" s="58">
        <f t="shared" si="16"/>
        <v>0</v>
      </c>
      <c r="L6251" s="91" t="str">
        <f t="shared" si="8"/>
        <v>Tue</v>
      </c>
      <c r="M6251" s="78" t="str">
        <f>IFERROR(VLOOKUP(A6251, Entries!A:B,2,false),"")</f>
        <v>Bethesda Softworks</v>
      </c>
      <c r="N6251" s="23" t="str">
        <f>IFERROR(VLOOKUP(A6251, Entries!A:K,11,false),"")</f>
        <v/>
      </c>
    </row>
    <row r="6252">
      <c r="A6252" s="78" t="s">
        <v>7156</v>
      </c>
      <c r="B6252" s="78" t="s">
        <v>19</v>
      </c>
      <c r="C6252" s="85">
        <v>45468.0</v>
      </c>
      <c r="D6252" s="85">
        <v>45468.0</v>
      </c>
      <c r="E6252" s="86">
        <v>4.63</v>
      </c>
      <c r="F6252" s="87">
        <v>5.17</v>
      </c>
      <c r="G6252" s="88">
        <f t="shared" si="1"/>
        <v>0.54</v>
      </c>
      <c r="H6252" s="89">
        <f t="shared" si="15"/>
        <v>0.1044487427</v>
      </c>
      <c r="I6252" s="78" t="s">
        <v>7157</v>
      </c>
      <c r="J6252" s="78" t="s">
        <v>69</v>
      </c>
      <c r="K6252" s="58">
        <f t="shared" si="16"/>
        <v>0</v>
      </c>
      <c r="L6252" s="91" t="str">
        <f t="shared" si="8"/>
        <v>Tue</v>
      </c>
      <c r="M6252" s="78" t="str">
        <f>IFERROR(VLOOKUP(A6252, Entries!A:B,2,false),"")</f>
        <v/>
      </c>
      <c r="N6252" s="23" t="str">
        <f>IFERROR(VLOOKUP(A6252, Entries!A:K,11,false),"")</f>
        <v/>
      </c>
    </row>
    <row r="6253">
      <c r="A6253" s="78" t="s">
        <v>1770</v>
      </c>
      <c r="B6253" s="78" t="s">
        <v>19</v>
      </c>
      <c r="C6253" s="85">
        <v>45468.0</v>
      </c>
      <c r="D6253" s="85">
        <v>45468.0</v>
      </c>
      <c r="E6253" s="86">
        <v>4.63</v>
      </c>
      <c r="F6253" s="87">
        <v>5.28</v>
      </c>
      <c r="G6253" s="88">
        <f t="shared" si="1"/>
        <v>0.65</v>
      </c>
      <c r="H6253" s="89">
        <f t="shared" si="15"/>
        <v>0.1231060606</v>
      </c>
      <c r="I6253" s="78" t="s">
        <v>7158</v>
      </c>
      <c r="J6253" s="78" t="s">
        <v>69</v>
      </c>
      <c r="K6253" s="58">
        <f t="shared" si="16"/>
        <v>0</v>
      </c>
      <c r="L6253" s="91" t="str">
        <f t="shared" si="8"/>
        <v>Tue</v>
      </c>
      <c r="M6253" s="78" t="str">
        <f>IFERROR(VLOOKUP(A6253, Entries!A:B,2,false),"")</f>
        <v>Warhorse Studios</v>
      </c>
      <c r="N6253" s="23" t="str">
        <f>IFERROR(VLOOKUP(A6253, Entries!A:K,11,false),"")</f>
        <v/>
      </c>
    </row>
    <row r="6254">
      <c r="A6254" s="78" t="s">
        <v>7159</v>
      </c>
      <c r="B6254" s="78" t="s">
        <v>22</v>
      </c>
      <c r="C6254" s="85">
        <v>45468.0</v>
      </c>
      <c r="D6254" s="85">
        <v>45468.0</v>
      </c>
      <c r="E6254" s="86">
        <v>10.96</v>
      </c>
      <c r="F6254" s="87">
        <v>18.55</v>
      </c>
      <c r="G6254" s="88">
        <f t="shared" si="1"/>
        <v>7.59</v>
      </c>
      <c r="H6254" s="89">
        <f t="shared" si="15"/>
        <v>0.4091644205</v>
      </c>
      <c r="I6254" s="78" t="s">
        <v>7160</v>
      </c>
      <c r="J6254" s="78" t="s">
        <v>69</v>
      </c>
      <c r="K6254" s="58">
        <f t="shared" si="16"/>
        <v>0</v>
      </c>
      <c r="L6254" s="91" t="str">
        <f t="shared" si="8"/>
        <v>Tue</v>
      </c>
      <c r="M6254" s="78" t="str">
        <f>IFERROR(VLOOKUP(A6254, Entries!A:B,2,false),"")</f>
        <v>XREAL Games</v>
      </c>
      <c r="N6254" s="23" t="str">
        <f>IFERROR(VLOOKUP(A6254, Entries!A:K,11,false),"")</f>
        <v/>
      </c>
    </row>
    <row r="6255">
      <c r="A6255" s="78" t="s">
        <v>7159</v>
      </c>
      <c r="B6255" s="78" t="s">
        <v>22</v>
      </c>
      <c r="C6255" s="85">
        <v>45468.0</v>
      </c>
      <c r="D6255" s="85">
        <v>45468.0</v>
      </c>
      <c r="E6255" s="86">
        <v>10.96</v>
      </c>
      <c r="F6255" s="87">
        <v>18.55</v>
      </c>
      <c r="G6255" s="88">
        <f t="shared" si="1"/>
        <v>7.59</v>
      </c>
      <c r="H6255" s="89">
        <f t="shared" si="15"/>
        <v>0.4091644205</v>
      </c>
      <c r="I6255" s="78" t="s">
        <v>7161</v>
      </c>
      <c r="J6255" s="78" t="s">
        <v>69</v>
      </c>
      <c r="K6255" s="58">
        <f t="shared" si="16"/>
        <v>0</v>
      </c>
      <c r="L6255" s="91" t="str">
        <f t="shared" si="8"/>
        <v>Tue</v>
      </c>
      <c r="M6255" s="78" t="str">
        <f>IFERROR(VLOOKUP(A6255, Entries!A:B,2,false),"")</f>
        <v>XREAL Games</v>
      </c>
      <c r="N6255" s="23" t="str">
        <f>IFERROR(VLOOKUP(A6255, Entries!A:K,11,false),"")</f>
        <v/>
      </c>
    </row>
    <row r="6256">
      <c r="A6256" s="78" t="s">
        <v>7092</v>
      </c>
      <c r="B6256" s="78" t="s">
        <v>23</v>
      </c>
      <c r="C6256" s="85">
        <v>45468.0</v>
      </c>
      <c r="D6256" s="85">
        <v>45468.0</v>
      </c>
      <c r="E6256" s="86">
        <v>8.77</v>
      </c>
      <c r="F6256" s="87">
        <v>10.66</v>
      </c>
      <c r="G6256" s="88">
        <f t="shared" si="1"/>
        <v>1.89</v>
      </c>
      <c r="H6256" s="89">
        <f t="shared" si="15"/>
        <v>0.1772983114</v>
      </c>
      <c r="I6256" s="78" t="s">
        <v>7162</v>
      </c>
      <c r="J6256" s="78" t="s">
        <v>69</v>
      </c>
      <c r="K6256" s="58">
        <f t="shared" si="16"/>
        <v>0</v>
      </c>
      <c r="L6256" s="91" t="str">
        <f t="shared" si="8"/>
        <v>Tue</v>
      </c>
      <c r="M6256" s="78" t="str">
        <f>IFERROR(VLOOKUP(A6256, Entries!A:B,2,false),"")</f>
        <v>IO Interactive</v>
      </c>
      <c r="N6256" s="23" t="str">
        <f>IFERROR(VLOOKUP(A6256, Entries!A:K,11,false),"")</f>
        <v/>
      </c>
    </row>
    <row r="6257">
      <c r="A6257" s="78" t="s">
        <v>5676</v>
      </c>
      <c r="B6257" s="78" t="s">
        <v>21</v>
      </c>
      <c r="C6257" s="85">
        <v>45468.0</v>
      </c>
      <c r="D6257" s="85">
        <v>45491.0</v>
      </c>
      <c r="E6257" s="86">
        <v>37.1</v>
      </c>
      <c r="F6257" s="87">
        <v>39.98</v>
      </c>
      <c r="G6257" s="88">
        <f t="shared" si="1"/>
        <v>2.88</v>
      </c>
      <c r="H6257" s="89">
        <f t="shared" si="15"/>
        <v>0.07203601801</v>
      </c>
      <c r="I6257" s="78" t="s">
        <v>7163</v>
      </c>
      <c r="J6257" s="78" t="s">
        <v>69</v>
      </c>
      <c r="K6257" s="58">
        <f t="shared" si="16"/>
        <v>23</v>
      </c>
      <c r="L6257" s="91" t="str">
        <f t="shared" si="8"/>
        <v>Thu</v>
      </c>
      <c r="M6257" s="78" t="str">
        <f>IFERROR(VLOOKUP(A6257, Entries!A:B,2,false),"")</f>
        <v>Bethesda Softworks</v>
      </c>
      <c r="N6257" s="23" t="str">
        <f>IFERROR(VLOOKUP(A6257, Entries!A:K,11,false),"")</f>
        <v/>
      </c>
    </row>
    <row r="6258">
      <c r="A6258" s="78" t="s">
        <v>4926</v>
      </c>
      <c r="B6258" s="78" t="s">
        <v>19</v>
      </c>
      <c r="C6258" s="85">
        <v>45468.0</v>
      </c>
      <c r="D6258" s="85">
        <v>45468.0</v>
      </c>
      <c r="E6258" s="86">
        <v>7.4</v>
      </c>
      <c r="F6258" s="87">
        <v>9.32</v>
      </c>
      <c r="G6258" s="88">
        <f t="shared" si="1"/>
        <v>1.92</v>
      </c>
      <c r="H6258" s="89">
        <f t="shared" si="15"/>
        <v>0.2060085837</v>
      </c>
      <c r="I6258" s="78" t="s">
        <v>7164</v>
      </c>
      <c r="J6258" s="78" t="s">
        <v>69</v>
      </c>
      <c r="K6258" s="58">
        <f t="shared" si="16"/>
        <v>0</v>
      </c>
      <c r="L6258" s="91" t="str">
        <f t="shared" si="8"/>
        <v>Tue</v>
      </c>
      <c r="M6258" s="78" t="str">
        <f>IFERROR(VLOOKUP(A6258, Entries!A:B,2,false),"")</f>
        <v>Bethesda Softworks</v>
      </c>
      <c r="N6258" s="23" t="str">
        <f>IFERROR(VLOOKUP(A6258, Entries!A:K,11,false),"")</f>
        <v/>
      </c>
    </row>
    <row r="6259">
      <c r="A6259" s="78" t="s">
        <v>7165</v>
      </c>
      <c r="B6259" s="78" t="s">
        <v>22</v>
      </c>
      <c r="C6259" s="85">
        <v>45468.0</v>
      </c>
      <c r="D6259" s="85">
        <v>45470.0</v>
      </c>
      <c r="E6259" s="86">
        <v>10.36</v>
      </c>
      <c r="F6259" s="87">
        <v>13.27</v>
      </c>
      <c r="G6259" s="88">
        <f t="shared" si="1"/>
        <v>2.91</v>
      </c>
      <c r="H6259" s="89">
        <f t="shared" si="15"/>
        <v>0.2192916353</v>
      </c>
      <c r="I6259" s="78" t="s">
        <v>7166</v>
      </c>
      <c r="J6259" s="78" t="s">
        <v>69</v>
      </c>
      <c r="K6259" s="58">
        <f t="shared" si="16"/>
        <v>2</v>
      </c>
      <c r="L6259" s="91" t="str">
        <f t="shared" si="8"/>
        <v>Thu</v>
      </c>
      <c r="M6259" s="78" t="str">
        <f>IFERROR(VLOOKUP(A6259, Entries!A:B,2,false),"")</f>
        <v/>
      </c>
      <c r="N6259" s="23" t="str">
        <f>IFERROR(VLOOKUP(A6259, Entries!A:K,11,false),"")</f>
        <v/>
      </c>
    </row>
    <row r="6260">
      <c r="A6260" s="78" t="s">
        <v>4926</v>
      </c>
      <c r="B6260" s="78" t="s">
        <v>19</v>
      </c>
      <c r="C6260" s="85">
        <v>45468.0</v>
      </c>
      <c r="D6260" s="85">
        <v>45468.0</v>
      </c>
      <c r="E6260" s="86">
        <v>8.38</v>
      </c>
      <c r="F6260" s="87">
        <v>9.99</v>
      </c>
      <c r="G6260" s="88">
        <f t="shared" si="1"/>
        <v>1.61</v>
      </c>
      <c r="H6260" s="89">
        <f t="shared" si="15"/>
        <v>0.1611611612</v>
      </c>
      <c r="I6260" s="78" t="s">
        <v>7167</v>
      </c>
      <c r="J6260" s="78" t="s">
        <v>69</v>
      </c>
      <c r="K6260" s="58">
        <f t="shared" si="16"/>
        <v>0</v>
      </c>
      <c r="L6260" s="91" t="str">
        <f t="shared" si="8"/>
        <v>Tue</v>
      </c>
      <c r="M6260" s="78" t="str">
        <f>IFERROR(VLOOKUP(A6260, Entries!A:B,2,false),"")</f>
        <v>Bethesda Softworks</v>
      </c>
      <c r="N6260" s="23" t="str">
        <f>IFERROR(VLOOKUP(A6260, Entries!A:K,11,false),"")</f>
        <v/>
      </c>
    </row>
    <row r="6261">
      <c r="A6261" s="78" t="s">
        <v>7159</v>
      </c>
      <c r="B6261" s="78" t="s">
        <v>22</v>
      </c>
      <c r="C6261" s="85">
        <v>45468.0</v>
      </c>
      <c r="D6261" s="85">
        <v>45468.0</v>
      </c>
      <c r="E6261" s="86">
        <v>10.36</v>
      </c>
      <c r="F6261" s="87">
        <v>18.55</v>
      </c>
      <c r="G6261" s="88">
        <f t="shared" si="1"/>
        <v>8.19</v>
      </c>
      <c r="H6261" s="89">
        <f t="shared" si="15"/>
        <v>0.441509434</v>
      </c>
      <c r="I6261" s="78" t="s">
        <v>7168</v>
      </c>
      <c r="J6261" s="78" t="s">
        <v>69</v>
      </c>
      <c r="K6261" s="58">
        <f t="shared" si="16"/>
        <v>0</v>
      </c>
      <c r="L6261" s="91" t="str">
        <f t="shared" si="8"/>
        <v>Tue</v>
      </c>
      <c r="M6261" s="78" t="str">
        <f>IFERROR(VLOOKUP(A6261, Entries!A:B,2,false),"")</f>
        <v>XREAL Games</v>
      </c>
      <c r="N6261" s="23" t="str">
        <f>IFERROR(VLOOKUP(A6261, Entries!A:K,11,false),"")</f>
        <v/>
      </c>
    </row>
    <row r="6262">
      <c r="A6262" s="78" t="s">
        <v>7159</v>
      </c>
      <c r="B6262" s="78" t="s">
        <v>22</v>
      </c>
      <c r="C6262" s="85">
        <v>45468.0</v>
      </c>
      <c r="D6262" s="85">
        <v>45468.0</v>
      </c>
      <c r="E6262" s="86">
        <v>10.35</v>
      </c>
      <c r="F6262" s="87">
        <v>18.55</v>
      </c>
      <c r="G6262" s="88">
        <f t="shared" si="1"/>
        <v>8.2</v>
      </c>
      <c r="H6262" s="89">
        <f t="shared" si="15"/>
        <v>0.4420485175</v>
      </c>
      <c r="I6262" s="78" t="s">
        <v>7169</v>
      </c>
      <c r="J6262" s="78" t="s">
        <v>69</v>
      </c>
      <c r="K6262" s="58">
        <f t="shared" si="16"/>
        <v>0</v>
      </c>
      <c r="L6262" s="91" t="str">
        <f t="shared" si="8"/>
        <v>Tue</v>
      </c>
      <c r="M6262" s="78" t="str">
        <f>IFERROR(VLOOKUP(A6262, Entries!A:B,2,false),"")</f>
        <v>XREAL Games</v>
      </c>
      <c r="N6262" s="23" t="str">
        <f>IFERROR(VLOOKUP(A6262, Entries!A:K,11,false),"")</f>
        <v/>
      </c>
    </row>
    <row r="6263">
      <c r="A6263" s="78" t="s">
        <v>7159</v>
      </c>
      <c r="B6263" s="78" t="s">
        <v>22</v>
      </c>
      <c r="C6263" s="85">
        <v>45468.0</v>
      </c>
      <c r="D6263" s="85">
        <v>45468.0</v>
      </c>
      <c r="E6263" s="86">
        <v>10.35</v>
      </c>
      <c r="F6263" s="87">
        <v>18.55</v>
      </c>
      <c r="G6263" s="88">
        <f t="shared" si="1"/>
        <v>8.2</v>
      </c>
      <c r="H6263" s="89">
        <f t="shared" si="15"/>
        <v>0.4420485175</v>
      </c>
      <c r="I6263" s="78" t="s">
        <v>7170</v>
      </c>
      <c r="J6263" s="78" t="s">
        <v>69</v>
      </c>
      <c r="K6263" s="58">
        <f t="shared" si="16"/>
        <v>0</v>
      </c>
      <c r="L6263" s="91" t="str">
        <f t="shared" si="8"/>
        <v>Tue</v>
      </c>
      <c r="M6263" s="78" t="str">
        <f>IFERROR(VLOOKUP(A6263, Entries!A:B,2,false),"")</f>
        <v>XREAL Games</v>
      </c>
      <c r="N6263" s="23" t="str">
        <f>IFERROR(VLOOKUP(A6263, Entries!A:K,11,false),"")</f>
        <v/>
      </c>
    </row>
    <row r="6264">
      <c r="A6264" s="78" t="s">
        <v>7159</v>
      </c>
      <c r="B6264" s="78" t="s">
        <v>22</v>
      </c>
      <c r="C6264" s="85">
        <v>45468.0</v>
      </c>
      <c r="D6264" s="85">
        <v>45468.0</v>
      </c>
      <c r="E6264" s="86">
        <v>10.36</v>
      </c>
      <c r="F6264" s="87">
        <v>18.55</v>
      </c>
      <c r="G6264" s="88">
        <f t="shared" si="1"/>
        <v>8.19</v>
      </c>
      <c r="H6264" s="89">
        <f t="shared" si="15"/>
        <v>0.441509434</v>
      </c>
      <c r="I6264" s="78" t="s">
        <v>7171</v>
      </c>
      <c r="J6264" s="78" t="s">
        <v>69</v>
      </c>
      <c r="K6264" s="58">
        <f t="shared" si="16"/>
        <v>0</v>
      </c>
      <c r="L6264" s="91" t="str">
        <f t="shared" si="8"/>
        <v>Tue</v>
      </c>
      <c r="M6264" s="78" t="str">
        <f>IFERROR(VLOOKUP(A6264, Entries!A:B,2,false),"")</f>
        <v>XREAL Games</v>
      </c>
      <c r="N6264" s="23" t="str">
        <f>IFERROR(VLOOKUP(A6264, Entries!A:K,11,false),"")</f>
        <v/>
      </c>
    </row>
    <row r="6265">
      <c r="A6265" s="78" t="s">
        <v>7159</v>
      </c>
      <c r="B6265" s="78" t="s">
        <v>22</v>
      </c>
      <c r="C6265" s="85">
        <v>45468.0</v>
      </c>
      <c r="D6265" s="85">
        <v>45469.0</v>
      </c>
      <c r="E6265" s="86">
        <v>10.36</v>
      </c>
      <c r="F6265" s="87">
        <v>18.55</v>
      </c>
      <c r="G6265" s="88">
        <f t="shared" si="1"/>
        <v>8.19</v>
      </c>
      <c r="H6265" s="89">
        <f t="shared" si="15"/>
        <v>0.441509434</v>
      </c>
      <c r="I6265" s="78" t="s">
        <v>7172</v>
      </c>
      <c r="J6265" s="78" t="s">
        <v>69</v>
      </c>
      <c r="K6265" s="58">
        <f t="shared" si="16"/>
        <v>1</v>
      </c>
      <c r="L6265" s="91" t="str">
        <f t="shared" si="8"/>
        <v>Wed</v>
      </c>
      <c r="M6265" s="78" t="str">
        <f>IFERROR(VLOOKUP(A6265, Entries!A:B,2,false),"")</f>
        <v>XREAL Games</v>
      </c>
      <c r="N6265" s="23" t="str">
        <f>IFERROR(VLOOKUP(A6265, Entries!A:K,11,false),"")</f>
        <v/>
      </c>
    </row>
    <row r="6266">
      <c r="A6266" s="78" t="s">
        <v>5676</v>
      </c>
      <c r="B6266" s="78" t="s">
        <v>21</v>
      </c>
      <c r="C6266" s="85">
        <v>45468.0</v>
      </c>
      <c r="D6266" s="85">
        <v>45491.0</v>
      </c>
      <c r="E6266" s="86">
        <v>37.1</v>
      </c>
      <c r="F6266" s="87">
        <v>39.98</v>
      </c>
      <c r="G6266" s="88">
        <f t="shared" si="1"/>
        <v>2.88</v>
      </c>
      <c r="H6266" s="89">
        <f t="shared" si="15"/>
        <v>0.07203601801</v>
      </c>
      <c r="I6266" s="78" t="s">
        <v>7173</v>
      </c>
      <c r="J6266" s="78" t="s">
        <v>69</v>
      </c>
      <c r="K6266" s="58">
        <f t="shared" si="16"/>
        <v>23</v>
      </c>
      <c r="L6266" s="91" t="str">
        <f t="shared" si="8"/>
        <v>Thu</v>
      </c>
      <c r="M6266" s="78" t="str">
        <f>IFERROR(VLOOKUP(A6266, Entries!A:B,2,false),"")</f>
        <v>Bethesda Softworks</v>
      </c>
      <c r="N6266" s="23" t="str">
        <f>IFERROR(VLOOKUP(A6266, Entries!A:K,11,false),"")</f>
        <v/>
      </c>
    </row>
    <row r="6267">
      <c r="A6267" s="78" t="s">
        <v>7159</v>
      </c>
      <c r="B6267" s="78" t="s">
        <v>22</v>
      </c>
      <c r="C6267" s="85">
        <v>45468.0</v>
      </c>
      <c r="D6267" s="85">
        <v>45469.0</v>
      </c>
      <c r="E6267" s="86">
        <v>10.36</v>
      </c>
      <c r="F6267" s="87">
        <v>18.55</v>
      </c>
      <c r="G6267" s="88">
        <f t="shared" si="1"/>
        <v>8.19</v>
      </c>
      <c r="H6267" s="89">
        <f t="shared" si="15"/>
        <v>0.441509434</v>
      </c>
      <c r="I6267" s="78" t="s">
        <v>7174</v>
      </c>
      <c r="J6267" s="78" t="s">
        <v>69</v>
      </c>
      <c r="K6267" s="58">
        <f t="shared" si="16"/>
        <v>1</v>
      </c>
      <c r="L6267" s="91" t="str">
        <f t="shared" si="8"/>
        <v>Wed</v>
      </c>
      <c r="M6267" s="78" t="str">
        <f>IFERROR(VLOOKUP(A6267, Entries!A:B,2,false),"")</f>
        <v>XREAL Games</v>
      </c>
      <c r="N6267" s="23" t="str">
        <f>IFERROR(VLOOKUP(A6267, Entries!A:K,11,false),"")</f>
        <v/>
      </c>
    </row>
    <row r="6268">
      <c r="A6268" s="78" t="s">
        <v>7159</v>
      </c>
      <c r="B6268" s="78" t="s">
        <v>22</v>
      </c>
      <c r="C6268" s="85">
        <v>45468.0</v>
      </c>
      <c r="D6268" s="85">
        <v>45469.0</v>
      </c>
      <c r="E6268" s="86">
        <v>10.35</v>
      </c>
      <c r="F6268" s="87">
        <v>18.55</v>
      </c>
      <c r="G6268" s="88">
        <f t="shared" si="1"/>
        <v>8.2</v>
      </c>
      <c r="H6268" s="89">
        <f t="shared" si="15"/>
        <v>0.4420485175</v>
      </c>
      <c r="I6268" s="78" t="s">
        <v>7175</v>
      </c>
      <c r="J6268" s="78" t="s">
        <v>69</v>
      </c>
      <c r="K6268" s="58">
        <f t="shared" si="16"/>
        <v>1</v>
      </c>
      <c r="L6268" s="91" t="str">
        <f t="shared" si="8"/>
        <v>Wed</v>
      </c>
      <c r="M6268" s="78" t="str">
        <f>IFERROR(VLOOKUP(A6268, Entries!A:B,2,false),"")</f>
        <v>XREAL Games</v>
      </c>
      <c r="N6268" s="23" t="str">
        <f>IFERROR(VLOOKUP(A6268, Entries!A:K,11,false),"")</f>
        <v/>
      </c>
    </row>
    <row r="6269">
      <c r="A6269" s="78" t="s">
        <v>7159</v>
      </c>
      <c r="B6269" s="78" t="s">
        <v>22</v>
      </c>
      <c r="C6269" s="85">
        <v>45468.0</v>
      </c>
      <c r="D6269" s="85">
        <v>45469.0</v>
      </c>
      <c r="E6269" s="86">
        <v>10.35</v>
      </c>
      <c r="F6269" s="87">
        <v>17.78</v>
      </c>
      <c r="G6269" s="88">
        <f t="shared" si="1"/>
        <v>7.43</v>
      </c>
      <c r="H6269" s="89">
        <f t="shared" si="15"/>
        <v>0.4178852643</v>
      </c>
      <c r="I6269" s="78" t="s">
        <v>7176</v>
      </c>
      <c r="J6269" s="78" t="s">
        <v>69</v>
      </c>
      <c r="K6269" s="58">
        <f t="shared" si="16"/>
        <v>1</v>
      </c>
      <c r="L6269" s="91" t="str">
        <f t="shared" si="8"/>
        <v>Wed</v>
      </c>
      <c r="M6269" s="78" t="str">
        <f>IFERROR(VLOOKUP(A6269, Entries!A:B,2,false),"")</f>
        <v>XREAL Games</v>
      </c>
      <c r="N6269" s="23" t="str">
        <f>IFERROR(VLOOKUP(A6269, Entries!A:K,11,false),"")</f>
        <v/>
      </c>
    </row>
    <row r="6270">
      <c r="A6270" s="78" t="s">
        <v>7159</v>
      </c>
      <c r="B6270" s="78" t="s">
        <v>22</v>
      </c>
      <c r="C6270" s="85">
        <v>45468.0</v>
      </c>
      <c r="D6270" s="85">
        <v>45469.0</v>
      </c>
      <c r="E6270" s="86">
        <v>10.36</v>
      </c>
      <c r="F6270" s="87">
        <v>17.78</v>
      </c>
      <c r="G6270" s="88">
        <f t="shared" si="1"/>
        <v>7.42</v>
      </c>
      <c r="H6270" s="89">
        <f t="shared" si="15"/>
        <v>0.4173228346</v>
      </c>
      <c r="I6270" s="78" t="s">
        <v>7177</v>
      </c>
      <c r="J6270" s="78" t="s">
        <v>69</v>
      </c>
      <c r="K6270" s="58">
        <f t="shared" si="16"/>
        <v>1</v>
      </c>
      <c r="L6270" s="91" t="str">
        <f t="shared" si="8"/>
        <v>Wed</v>
      </c>
      <c r="M6270" s="78" t="str">
        <f>IFERROR(VLOOKUP(A6270, Entries!A:B,2,false),"")</f>
        <v>XREAL Games</v>
      </c>
      <c r="N6270" s="23" t="str">
        <f>IFERROR(VLOOKUP(A6270, Entries!A:K,11,false),"")</f>
        <v/>
      </c>
    </row>
    <row r="6271">
      <c r="A6271" s="78" t="s">
        <v>7159</v>
      </c>
      <c r="B6271" s="78" t="s">
        <v>22</v>
      </c>
      <c r="C6271" s="85">
        <v>45468.0</v>
      </c>
      <c r="D6271" s="85">
        <v>45469.0</v>
      </c>
      <c r="E6271" s="86">
        <v>10.36</v>
      </c>
      <c r="F6271" s="87">
        <v>17.78</v>
      </c>
      <c r="G6271" s="88">
        <f t="shared" si="1"/>
        <v>7.42</v>
      </c>
      <c r="H6271" s="89">
        <f t="shared" si="15"/>
        <v>0.4173228346</v>
      </c>
      <c r="I6271" s="78" t="s">
        <v>7178</v>
      </c>
      <c r="J6271" s="78" t="s">
        <v>69</v>
      </c>
      <c r="K6271" s="58">
        <f t="shared" si="16"/>
        <v>1</v>
      </c>
      <c r="L6271" s="91" t="str">
        <f t="shared" si="8"/>
        <v>Wed</v>
      </c>
      <c r="M6271" s="78" t="str">
        <f>IFERROR(VLOOKUP(A6271, Entries!A:B,2,false),"")</f>
        <v>XREAL Games</v>
      </c>
      <c r="N6271" s="23" t="str">
        <f>IFERROR(VLOOKUP(A6271, Entries!A:K,11,false),"")</f>
        <v/>
      </c>
    </row>
    <row r="6272">
      <c r="A6272" s="78" t="s">
        <v>7159</v>
      </c>
      <c r="B6272" s="78" t="s">
        <v>22</v>
      </c>
      <c r="C6272" s="85">
        <v>45468.0</v>
      </c>
      <c r="D6272" s="85">
        <v>45469.0</v>
      </c>
      <c r="E6272" s="86">
        <v>10.35</v>
      </c>
      <c r="F6272" s="87">
        <v>17.78</v>
      </c>
      <c r="G6272" s="88">
        <f t="shared" si="1"/>
        <v>7.43</v>
      </c>
      <c r="H6272" s="89">
        <f t="shared" si="15"/>
        <v>0.4178852643</v>
      </c>
      <c r="I6272" s="78" t="s">
        <v>7179</v>
      </c>
      <c r="J6272" s="78" t="s">
        <v>69</v>
      </c>
      <c r="K6272" s="58">
        <f t="shared" si="16"/>
        <v>1</v>
      </c>
      <c r="L6272" s="91" t="str">
        <f t="shared" si="8"/>
        <v>Wed</v>
      </c>
      <c r="M6272" s="78" t="str">
        <f>IFERROR(VLOOKUP(A6272, Entries!A:B,2,false),"")</f>
        <v>XREAL Games</v>
      </c>
      <c r="N6272" s="23" t="str">
        <f>IFERROR(VLOOKUP(A6272, Entries!A:K,11,false),"")</f>
        <v/>
      </c>
    </row>
    <row r="6273">
      <c r="A6273" s="78" t="s">
        <v>7159</v>
      </c>
      <c r="B6273" s="78" t="s">
        <v>22</v>
      </c>
      <c r="C6273" s="85">
        <v>45468.0</v>
      </c>
      <c r="D6273" s="85">
        <v>45469.0</v>
      </c>
      <c r="E6273" s="86">
        <v>10.36</v>
      </c>
      <c r="F6273" s="87">
        <v>17.78</v>
      </c>
      <c r="G6273" s="88">
        <f t="shared" si="1"/>
        <v>7.42</v>
      </c>
      <c r="H6273" s="89">
        <f t="shared" si="15"/>
        <v>0.4173228346</v>
      </c>
      <c r="I6273" s="78" t="s">
        <v>7180</v>
      </c>
      <c r="J6273" s="78" t="s">
        <v>69</v>
      </c>
      <c r="K6273" s="58">
        <f t="shared" si="16"/>
        <v>1</v>
      </c>
      <c r="L6273" s="91" t="str">
        <f t="shared" si="8"/>
        <v>Wed</v>
      </c>
      <c r="M6273" s="78" t="str">
        <f>IFERROR(VLOOKUP(A6273, Entries!A:B,2,false),"")</f>
        <v>XREAL Games</v>
      </c>
      <c r="N6273" s="23" t="str">
        <f>IFERROR(VLOOKUP(A6273, Entries!A:K,11,false),"")</f>
        <v/>
      </c>
    </row>
    <row r="6274">
      <c r="A6274" s="78" t="s">
        <v>7159</v>
      </c>
      <c r="B6274" s="78" t="s">
        <v>22</v>
      </c>
      <c r="C6274" s="85">
        <v>45468.0</v>
      </c>
      <c r="D6274" s="85">
        <v>45469.0</v>
      </c>
      <c r="E6274" s="86">
        <v>10.36</v>
      </c>
      <c r="F6274" s="87">
        <v>17.78</v>
      </c>
      <c r="G6274" s="88">
        <f t="shared" si="1"/>
        <v>7.42</v>
      </c>
      <c r="H6274" s="89">
        <f t="shared" si="15"/>
        <v>0.4173228346</v>
      </c>
      <c r="I6274" s="78" t="s">
        <v>7181</v>
      </c>
      <c r="J6274" s="78" t="s">
        <v>69</v>
      </c>
      <c r="K6274" s="58">
        <f t="shared" si="16"/>
        <v>1</v>
      </c>
      <c r="L6274" s="91" t="str">
        <f t="shared" si="8"/>
        <v>Wed</v>
      </c>
      <c r="M6274" s="78" t="str">
        <f>IFERROR(VLOOKUP(A6274, Entries!A:B,2,false),"")</f>
        <v>XREAL Games</v>
      </c>
      <c r="N6274" s="23" t="str">
        <f>IFERROR(VLOOKUP(A6274, Entries!A:K,11,false),"")</f>
        <v/>
      </c>
    </row>
    <row r="6275">
      <c r="A6275" s="78" t="s">
        <v>7159</v>
      </c>
      <c r="B6275" s="78" t="s">
        <v>22</v>
      </c>
      <c r="C6275" s="85">
        <v>45468.0</v>
      </c>
      <c r="D6275" s="85">
        <v>45470.0</v>
      </c>
      <c r="E6275" s="86">
        <v>10.36</v>
      </c>
      <c r="F6275" s="87">
        <v>17.78</v>
      </c>
      <c r="G6275" s="88">
        <f t="shared" si="1"/>
        <v>7.42</v>
      </c>
      <c r="H6275" s="89">
        <f t="shared" si="15"/>
        <v>0.4173228346</v>
      </c>
      <c r="I6275" s="78" t="s">
        <v>7182</v>
      </c>
      <c r="J6275" s="78" t="s">
        <v>69</v>
      </c>
      <c r="K6275" s="58">
        <f t="shared" si="16"/>
        <v>2</v>
      </c>
      <c r="L6275" s="91" t="str">
        <f t="shared" si="8"/>
        <v>Thu</v>
      </c>
      <c r="M6275" s="78" t="str">
        <f>IFERROR(VLOOKUP(A6275, Entries!A:B,2,false),"")</f>
        <v>XREAL Games</v>
      </c>
      <c r="N6275" s="23" t="str">
        <f>IFERROR(VLOOKUP(A6275, Entries!A:K,11,false),"")</f>
        <v/>
      </c>
    </row>
    <row r="6276">
      <c r="A6276" s="78" t="s">
        <v>7092</v>
      </c>
      <c r="B6276" s="78" t="s">
        <v>23</v>
      </c>
      <c r="C6276" s="85">
        <v>45469.0</v>
      </c>
      <c r="D6276" s="85">
        <v>45470.0</v>
      </c>
      <c r="E6276" s="86">
        <v>8.76</v>
      </c>
      <c r="F6276" s="87">
        <v>10.64</v>
      </c>
      <c r="G6276" s="88">
        <f t="shared" si="1"/>
        <v>1.88</v>
      </c>
      <c r="H6276" s="89">
        <f t="shared" si="15"/>
        <v>0.1766917293</v>
      </c>
      <c r="I6276" s="78" t="s">
        <v>7183</v>
      </c>
      <c r="J6276" s="78" t="s">
        <v>69</v>
      </c>
      <c r="K6276" s="58">
        <f t="shared" si="16"/>
        <v>1</v>
      </c>
      <c r="L6276" s="91" t="str">
        <f t="shared" si="8"/>
        <v>Thu</v>
      </c>
      <c r="M6276" s="78" t="str">
        <f>IFERROR(VLOOKUP(A6276, Entries!A:B,2,false),"")</f>
        <v>IO Interactive</v>
      </c>
      <c r="N6276" s="23" t="str">
        <f>IFERROR(VLOOKUP(A6276, Entries!A:K,11,false),"")</f>
        <v/>
      </c>
    </row>
    <row r="6277">
      <c r="A6277" s="78" t="s">
        <v>5613</v>
      </c>
      <c r="B6277" s="78" t="s">
        <v>22</v>
      </c>
      <c r="C6277" s="85">
        <v>45469.0</v>
      </c>
      <c r="D6277" s="85">
        <v>45473.0</v>
      </c>
      <c r="E6277" s="86">
        <v>14.9</v>
      </c>
      <c r="F6277" s="87">
        <v>17.26</v>
      </c>
      <c r="G6277" s="88">
        <f t="shared" si="1"/>
        <v>2.36</v>
      </c>
      <c r="H6277" s="89">
        <f t="shared" si="15"/>
        <v>0.1367323291</v>
      </c>
      <c r="I6277" s="78" t="s">
        <v>7184</v>
      </c>
      <c r="J6277" s="78" t="s">
        <v>69</v>
      </c>
      <c r="K6277" s="58">
        <f t="shared" si="16"/>
        <v>4</v>
      </c>
      <c r="L6277" s="91" t="str">
        <f t="shared" si="8"/>
        <v>Sun</v>
      </c>
      <c r="M6277" s="78" t="str">
        <f>IFERROR(VLOOKUP(A6277, Entries!A:B,2,false),"")</f>
        <v>Shiro Games</v>
      </c>
      <c r="N6277" s="23" t="str">
        <f>IFERROR(VLOOKUP(A6277, Entries!A:K,11,false),"")</f>
        <v/>
      </c>
    </row>
    <row r="6278">
      <c r="A6278" s="78" t="s">
        <v>5676</v>
      </c>
      <c r="B6278" s="78" t="s">
        <v>21</v>
      </c>
      <c r="C6278" s="85">
        <v>45469.0</v>
      </c>
      <c r="D6278" s="85">
        <v>45498.0</v>
      </c>
      <c r="E6278" s="86">
        <v>35.92</v>
      </c>
      <c r="F6278" s="87">
        <v>40.06</v>
      </c>
      <c r="G6278" s="88">
        <f t="shared" si="1"/>
        <v>4.14</v>
      </c>
      <c r="H6278" s="89">
        <f t="shared" si="15"/>
        <v>0.1033449825</v>
      </c>
      <c r="I6278" s="78" t="s">
        <v>7185</v>
      </c>
      <c r="J6278" s="78" t="s">
        <v>69</v>
      </c>
      <c r="K6278" s="58">
        <f t="shared" si="16"/>
        <v>29</v>
      </c>
      <c r="L6278" s="91" t="str">
        <f t="shared" si="8"/>
        <v>Thu</v>
      </c>
      <c r="M6278" s="78" t="str">
        <f>IFERROR(VLOOKUP(A6278, Entries!A:B,2,false),"")</f>
        <v>Bethesda Softworks</v>
      </c>
      <c r="N6278" s="23" t="str">
        <f>IFERROR(VLOOKUP(A6278, Entries!A:K,11,false),"")</f>
        <v/>
      </c>
    </row>
    <row r="6279">
      <c r="A6279" s="78" t="s">
        <v>7186</v>
      </c>
      <c r="B6279" s="78" t="s">
        <v>19</v>
      </c>
      <c r="C6279" s="85">
        <v>45469.0</v>
      </c>
      <c r="D6279" s="85">
        <v>45480.0</v>
      </c>
      <c r="E6279" s="86">
        <v>7.54</v>
      </c>
      <c r="F6279" s="87">
        <v>10.32</v>
      </c>
      <c r="G6279" s="88">
        <f t="shared" si="1"/>
        <v>2.78</v>
      </c>
      <c r="H6279" s="89">
        <f t="shared" si="15"/>
        <v>0.269379845</v>
      </c>
      <c r="I6279" s="78" t="s">
        <v>7187</v>
      </c>
      <c r="J6279" s="78" t="s">
        <v>69</v>
      </c>
      <c r="K6279" s="58">
        <f t="shared" si="16"/>
        <v>11</v>
      </c>
      <c r="L6279" s="91" t="str">
        <f t="shared" si="8"/>
        <v>Sun</v>
      </c>
      <c r="M6279" s="78" t="str">
        <f>IFERROR(VLOOKUP(A6279, Entries!A:B,2,false),"")</f>
        <v/>
      </c>
      <c r="N6279" s="23" t="str">
        <f>IFERROR(VLOOKUP(A6279, Entries!A:K,11,false),"")</f>
        <v/>
      </c>
    </row>
    <row r="6280">
      <c r="A6280" s="78" t="s">
        <v>7156</v>
      </c>
      <c r="B6280" s="78" t="s">
        <v>19</v>
      </c>
      <c r="C6280" s="85">
        <v>45469.0</v>
      </c>
      <c r="D6280" s="85">
        <v>45470.0</v>
      </c>
      <c r="E6280" s="86">
        <v>4.87</v>
      </c>
      <c r="F6280" s="87">
        <v>5.86</v>
      </c>
      <c r="G6280" s="88">
        <f t="shared" si="1"/>
        <v>0.99</v>
      </c>
      <c r="H6280" s="89">
        <f t="shared" si="15"/>
        <v>0.1689419795</v>
      </c>
      <c r="I6280" s="78" t="s">
        <v>7188</v>
      </c>
      <c r="J6280" s="78" t="s">
        <v>69</v>
      </c>
      <c r="K6280" s="58">
        <f t="shared" si="16"/>
        <v>1</v>
      </c>
      <c r="L6280" s="91" t="str">
        <f t="shared" si="8"/>
        <v>Thu</v>
      </c>
      <c r="M6280" s="78" t="str">
        <f>IFERROR(VLOOKUP(A6280, Entries!A:B,2,false),"")</f>
        <v/>
      </c>
      <c r="N6280" s="23" t="str">
        <f>IFERROR(VLOOKUP(A6280, Entries!A:K,11,false),"")</f>
        <v/>
      </c>
    </row>
    <row r="6281">
      <c r="A6281" s="78" t="s">
        <v>1770</v>
      </c>
      <c r="B6281" s="78" t="s">
        <v>19</v>
      </c>
      <c r="C6281" s="85">
        <v>45469.0</v>
      </c>
      <c r="D6281" s="85">
        <v>45470.0</v>
      </c>
      <c r="E6281" s="86">
        <v>4.87</v>
      </c>
      <c r="F6281" s="87">
        <v>5.67</v>
      </c>
      <c r="G6281" s="88">
        <f t="shared" si="1"/>
        <v>0.8</v>
      </c>
      <c r="H6281" s="89">
        <f t="shared" si="15"/>
        <v>0.1410934744</v>
      </c>
      <c r="I6281" s="78" t="s">
        <v>7189</v>
      </c>
      <c r="J6281" s="78" t="s">
        <v>69</v>
      </c>
      <c r="K6281" s="58">
        <f t="shared" si="16"/>
        <v>1</v>
      </c>
      <c r="L6281" s="91" t="str">
        <f t="shared" si="8"/>
        <v>Thu</v>
      </c>
      <c r="M6281" s="78" t="str">
        <f>IFERROR(VLOOKUP(A6281, Entries!A:B,2,false),"")</f>
        <v>Warhorse Studios</v>
      </c>
      <c r="N6281" s="23" t="str">
        <f>IFERROR(VLOOKUP(A6281, Entries!A:K,11,false),"")</f>
        <v/>
      </c>
    </row>
    <row r="6282">
      <c r="A6282" s="78" t="s">
        <v>4926</v>
      </c>
      <c r="B6282" s="78" t="s">
        <v>19</v>
      </c>
      <c r="C6282" s="85">
        <v>45469.0</v>
      </c>
      <c r="D6282" s="85">
        <v>45469.0</v>
      </c>
      <c r="E6282" s="86">
        <v>4.87</v>
      </c>
      <c r="F6282" s="87">
        <v>9.96</v>
      </c>
      <c r="G6282" s="88">
        <f t="shared" si="1"/>
        <v>5.09</v>
      </c>
      <c r="H6282" s="89">
        <f t="shared" si="15"/>
        <v>0.5110441767</v>
      </c>
      <c r="I6282" s="78" t="s">
        <v>7190</v>
      </c>
      <c r="J6282" s="78" t="s">
        <v>69</v>
      </c>
      <c r="K6282" s="58">
        <f t="shared" si="16"/>
        <v>0</v>
      </c>
      <c r="L6282" s="91" t="str">
        <f t="shared" si="8"/>
        <v>Wed</v>
      </c>
      <c r="M6282" s="78" t="str">
        <f>IFERROR(VLOOKUP(A6282, Entries!A:B,2,false),"")</f>
        <v>Bethesda Softworks</v>
      </c>
      <c r="N6282" s="23" t="str">
        <f>IFERROR(VLOOKUP(A6282, Entries!A:K,11,false),"")</f>
        <v/>
      </c>
    </row>
    <row r="6283">
      <c r="A6283" s="78" t="s">
        <v>7191</v>
      </c>
      <c r="B6283" s="78" t="s">
        <v>21</v>
      </c>
      <c r="C6283" s="85">
        <v>45472.0</v>
      </c>
      <c r="D6283" s="85">
        <v>45474.0</v>
      </c>
      <c r="E6283" s="86">
        <v>15.31</v>
      </c>
      <c r="F6283" s="87">
        <v>14.27</v>
      </c>
      <c r="G6283" s="88">
        <f t="shared" si="1"/>
        <v>-1.04</v>
      </c>
      <c r="H6283" s="89">
        <f t="shared" si="15"/>
        <v>-0.07288016819</v>
      </c>
      <c r="I6283" s="78" t="s">
        <v>7192</v>
      </c>
      <c r="J6283" s="78" t="s">
        <v>69</v>
      </c>
      <c r="K6283" s="58">
        <f t="shared" si="16"/>
        <v>2</v>
      </c>
      <c r="L6283" s="91" t="str">
        <f t="shared" si="8"/>
        <v>Mon</v>
      </c>
      <c r="M6283" s="78" t="str">
        <f>IFERROR(VLOOKUP(A6283, Entries!A:B,2,false),"")</f>
        <v/>
      </c>
      <c r="N6283" s="23" t="str">
        <f>IFERROR(VLOOKUP(A6283, Entries!A:K,11,false),"")</f>
        <v/>
      </c>
    </row>
    <row r="6284">
      <c r="A6284" s="78" t="s">
        <v>7193</v>
      </c>
      <c r="B6284" s="78" t="s">
        <v>21</v>
      </c>
      <c r="C6284" s="85">
        <v>45470.0</v>
      </c>
      <c r="D6284" s="85">
        <v>45474.0</v>
      </c>
      <c r="E6284" s="86">
        <v>15.31</v>
      </c>
      <c r="F6284" s="87">
        <v>14.27</v>
      </c>
      <c r="G6284" s="88">
        <f t="shared" si="1"/>
        <v>-1.04</v>
      </c>
      <c r="H6284" s="89">
        <f t="shared" si="15"/>
        <v>-0.07288016819</v>
      </c>
      <c r="I6284" s="78" t="s">
        <v>7194</v>
      </c>
      <c r="J6284" s="78" t="s">
        <v>69</v>
      </c>
      <c r="K6284" s="58">
        <f t="shared" si="16"/>
        <v>4</v>
      </c>
      <c r="L6284" s="91" t="str">
        <f t="shared" si="8"/>
        <v>Mon</v>
      </c>
      <c r="M6284" s="78" t="str">
        <f>IFERROR(VLOOKUP(A6284, Entries!A:B,2,false),"")</f>
        <v/>
      </c>
      <c r="N6284" s="23" t="str">
        <f>IFERROR(VLOOKUP(A6284, Entries!A:K,11,false),"")</f>
        <v/>
      </c>
    </row>
    <row r="6285">
      <c r="A6285" s="78" t="s">
        <v>7193</v>
      </c>
      <c r="B6285" s="78" t="s">
        <v>21</v>
      </c>
      <c r="C6285" s="85">
        <v>45470.0</v>
      </c>
      <c r="D6285" s="85">
        <v>45470.0</v>
      </c>
      <c r="E6285" s="86">
        <v>15.31</v>
      </c>
      <c r="F6285" s="87">
        <v>17.59</v>
      </c>
      <c r="G6285" s="88">
        <f t="shared" si="1"/>
        <v>2.28</v>
      </c>
      <c r="H6285" s="89">
        <f t="shared" si="15"/>
        <v>0.1296191018</v>
      </c>
      <c r="I6285" s="94" t="s">
        <v>7195</v>
      </c>
      <c r="J6285" s="78" t="s">
        <v>69</v>
      </c>
      <c r="K6285" s="58">
        <f t="shared" si="16"/>
        <v>0</v>
      </c>
      <c r="L6285" s="91" t="str">
        <f t="shared" si="8"/>
        <v>Thu</v>
      </c>
      <c r="M6285" s="78" t="str">
        <f>IFERROR(VLOOKUP(A6285, Entries!A:B,2,false),"")</f>
        <v/>
      </c>
      <c r="N6285" s="23" t="str">
        <f>IFERROR(VLOOKUP(A6285, Entries!A:K,11,false),"")</f>
        <v/>
      </c>
    </row>
    <row r="6286">
      <c r="A6286" s="78" t="s">
        <v>7196</v>
      </c>
      <c r="B6286" s="78" t="s">
        <v>21</v>
      </c>
      <c r="C6286" s="85">
        <v>45470.0</v>
      </c>
      <c r="D6286" s="85">
        <v>45470.0</v>
      </c>
      <c r="E6286" s="86">
        <v>16.34</v>
      </c>
      <c r="F6286" s="87">
        <v>19.27</v>
      </c>
      <c r="G6286" s="88">
        <f t="shared" si="1"/>
        <v>2.93</v>
      </c>
      <c r="H6286" s="89">
        <f t="shared" si="15"/>
        <v>0.1520498184</v>
      </c>
      <c r="I6286" s="78" t="s">
        <v>7197</v>
      </c>
      <c r="J6286" s="78" t="s">
        <v>69</v>
      </c>
      <c r="K6286" s="58">
        <f t="shared" si="16"/>
        <v>0</v>
      </c>
      <c r="L6286" s="91" t="str">
        <f t="shared" si="8"/>
        <v>Thu</v>
      </c>
      <c r="M6286" s="78" t="str">
        <f>IFERROR(VLOOKUP(A6286, Entries!A:B,2,false),"")</f>
        <v/>
      </c>
      <c r="N6286" s="23" t="str">
        <f>IFERROR(VLOOKUP(A6286, Entries!A:K,11,false),"")</f>
        <v/>
      </c>
    </row>
    <row r="6287">
      <c r="A6287" s="78" t="s">
        <v>7165</v>
      </c>
      <c r="B6287" s="78" t="s">
        <v>22</v>
      </c>
      <c r="C6287" s="85">
        <v>45470.0</v>
      </c>
      <c r="D6287" s="85">
        <v>45470.0</v>
      </c>
      <c r="E6287" s="86">
        <v>10.37</v>
      </c>
      <c r="F6287" s="87">
        <v>13.27</v>
      </c>
      <c r="G6287" s="88">
        <f t="shared" si="1"/>
        <v>2.9</v>
      </c>
      <c r="H6287" s="89">
        <f t="shared" si="15"/>
        <v>0.2185380558</v>
      </c>
      <c r="I6287" s="78" t="s">
        <v>7198</v>
      </c>
      <c r="J6287" s="78" t="s">
        <v>69</v>
      </c>
      <c r="K6287" s="58">
        <f t="shared" si="16"/>
        <v>0</v>
      </c>
      <c r="L6287" s="91" t="str">
        <f t="shared" si="8"/>
        <v>Thu</v>
      </c>
      <c r="M6287" s="78" t="str">
        <f>IFERROR(VLOOKUP(A6287, Entries!A:B,2,false),"")</f>
        <v/>
      </c>
      <c r="N6287" s="23" t="str">
        <f>IFERROR(VLOOKUP(A6287, Entries!A:K,11,false),"")</f>
        <v/>
      </c>
    </row>
    <row r="6288">
      <c r="A6288" s="78" t="s">
        <v>6912</v>
      </c>
      <c r="B6288" s="78" t="s">
        <v>22</v>
      </c>
      <c r="C6288" s="85">
        <v>45470.0</v>
      </c>
      <c r="D6288" s="25"/>
      <c r="E6288" s="86">
        <v>15.77</v>
      </c>
      <c r="F6288" s="88"/>
      <c r="G6288" s="88">
        <f t="shared" si="1"/>
        <v>-15.77</v>
      </c>
      <c r="H6288" s="89" t="str">
        <f t="shared" si="15"/>
        <v/>
      </c>
      <c r="I6288" s="103" t="s">
        <v>7199</v>
      </c>
      <c r="J6288" s="78" t="s">
        <v>1129</v>
      </c>
      <c r="K6288" s="58" t="str">
        <f t="shared" si="16"/>
        <v/>
      </c>
      <c r="L6288" s="91" t="str">
        <f t="shared" si="8"/>
        <v/>
      </c>
      <c r="M6288" s="78" t="str">
        <f>IFERROR(VLOOKUP(A6288, Entries!A:B,2,false),"")</f>
        <v/>
      </c>
      <c r="N6288" s="23" t="str">
        <f>IFERROR(VLOOKUP(A6288, Entries!A:K,11,false),"")</f>
        <v/>
      </c>
    </row>
    <row r="6289">
      <c r="A6289" s="78" t="s">
        <v>6977</v>
      </c>
      <c r="B6289" s="78" t="s">
        <v>23</v>
      </c>
      <c r="C6289" s="85">
        <v>45470.0</v>
      </c>
      <c r="D6289" s="85">
        <v>45485.0</v>
      </c>
      <c r="E6289" s="86">
        <v>11.23</v>
      </c>
      <c r="F6289" s="87">
        <v>13.53</v>
      </c>
      <c r="G6289" s="88">
        <f t="shared" si="1"/>
        <v>2.3</v>
      </c>
      <c r="H6289" s="89">
        <f t="shared" si="15"/>
        <v>0.169992609</v>
      </c>
      <c r="I6289" s="78" t="s">
        <v>7200</v>
      </c>
      <c r="J6289" s="78" t="s">
        <v>69</v>
      </c>
      <c r="K6289" s="58">
        <f t="shared" si="16"/>
        <v>15</v>
      </c>
      <c r="L6289" s="91" t="str">
        <f t="shared" si="8"/>
        <v>Fri</v>
      </c>
      <c r="M6289" s="78" t="str">
        <f>IFERROR(VLOOKUP(A6289, Entries!A:B,2,false),"")</f>
        <v>Dear Villagers</v>
      </c>
      <c r="N6289" s="23" t="str">
        <f>IFERROR(VLOOKUP(A6289, Entries!A:K,11,false),"")</f>
        <v/>
      </c>
    </row>
    <row r="6290">
      <c r="A6290" s="78" t="s">
        <v>826</v>
      </c>
      <c r="B6290" s="78" t="s">
        <v>25</v>
      </c>
      <c r="C6290" s="85">
        <v>45470.0</v>
      </c>
      <c r="D6290" s="85">
        <v>45487.0</v>
      </c>
      <c r="E6290" s="86">
        <v>11.94</v>
      </c>
      <c r="F6290" s="87">
        <v>12.99</v>
      </c>
      <c r="G6290" s="88">
        <f t="shared" si="1"/>
        <v>1.05</v>
      </c>
      <c r="H6290" s="89">
        <f t="shared" si="15"/>
        <v>0.08083140878</v>
      </c>
      <c r="I6290" s="78" t="s">
        <v>7201</v>
      </c>
      <c r="J6290" s="78" t="s">
        <v>69</v>
      </c>
      <c r="K6290" s="58">
        <f t="shared" si="16"/>
        <v>17</v>
      </c>
      <c r="L6290" s="91" t="str">
        <f t="shared" si="8"/>
        <v>Sun</v>
      </c>
      <c r="M6290" s="78" t="str">
        <f>IFERROR(VLOOKUP(A6290, Entries!A:B,2,false),"")</f>
        <v>Oxymoron Games</v>
      </c>
      <c r="N6290" s="23" t="str">
        <f>IFERROR(VLOOKUP(A6290, Entries!A:K,11,false),"")</f>
        <v/>
      </c>
    </row>
    <row r="6291">
      <c r="A6291" s="78" t="s">
        <v>5161</v>
      </c>
      <c r="B6291" s="78" t="s">
        <v>22</v>
      </c>
      <c r="C6291" s="85">
        <v>45470.0</v>
      </c>
      <c r="D6291" s="85">
        <v>45485.0</v>
      </c>
      <c r="E6291" s="86">
        <v>2.05</v>
      </c>
      <c r="F6291" s="87">
        <v>3.28</v>
      </c>
      <c r="G6291" s="88">
        <f t="shared" si="1"/>
        <v>1.23</v>
      </c>
      <c r="H6291" s="89">
        <f t="shared" si="15"/>
        <v>0.375</v>
      </c>
      <c r="J6291" s="78" t="s">
        <v>69</v>
      </c>
      <c r="K6291" s="58">
        <f t="shared" si="16"/>
        <v>15</v>
      </c>
      <c r="L6291" s="91" t="str">
        <f t="shared" si="8"/>
        <v>Fri</v>
      </c>
      <c r="M6291" s="78" t="str">
        <f>IFERROR(VLOOKUP(A6291, Entries!A:B,2,false),"")</f>
        <v>Daedalic Entertainment</v>
      </c>
      <c r="N6291" s="23" t="str">
        <f>IFERROR(VLOOKUP(A6291, Entries!A:K,11,false),"")</f>
        <v/>
      </c>
    </row>
    <row r="6292">
      <c r="A6292" s="78" t="s">
        <v>5161</v>
      </c>
      <c r="B6292" s="78" t="s">
        <v>22</v>
      </c>
      <c r="C6292" s="85">
        <v>45470.0</v>
      </c>
      <c r="D6292" s="85">
        <v>45485.0</v>
      </c>
      <c r="E6292" s="86">
        <v>2.05</v>
      </c>
      <c r="F6292" s="87">
        <v>3.28</v>
      </c>
      <c r="G6292" s="88">
        <f t="shared" si="1"/>
        <v>1.23</v>
      </c>
      <c r="H6292" s="89">
        <f t="shared" si="15"/>
        <v>0.375</v>
      </c>
      <c r="J6292" s="78" t="s">
        <v>69</v>
      </c>
      <c r="K6292" s="58">
        <f t="shared" si="16"/>
        <v>15</v>
      </c>
      <c r="L6292" s="91" t="str">
        <f t="shared" si="8"/>
        <v>Fri</v>
      </c>
      <c r="M6292" s="78" t="str">
        <f>IFERROR(VLOOKUP(A6292, Entries!A:B,2,false),"")</f>
        <v>Daedalic Entertainment</v>
      </c>
      <c r="N6292" s="23" t="str">
        <f>IFERROR(VLOOKUP(A6292, Entries!A:K,11,false),"")</f>
        <v/>
      </c>
    </row>
    <row r="6293">
      <c r="A6293" s="78" t="s">
        <v>5156</v>
      </c>
      <c r="B6293" s="78" t="s">
        <v>19</v>
      </c>
      <c r="C6293" s="85">
        <v>45470.0</v>
      </c>
      <c r="D6293" s="85">
        <v>45517.0</v>
      </c>
      <c r="E6293" s="86">
        <v>25.04</v>
      </c>
      <c r="F6293" s="87">
        <v>28.4</v>
      </c>
      <c r="G6293" s="88">
        <f t="shared" si="1"/>
        <v>3.36</v>
      </c>
      <c r="H6293" s="89">
        <f t="shared" si="15"/>
        <v>0.1183098592</v>
      </c>
      <c r="J6293" s="78" t="s">
        <v>69</v>
      </c>
      <c r="K6293" s="58">
        <f t="shared" si="16"/>
        <v>47</v>
      </c>
      <c r="L6293" s="91" t="str">
        <f t="shared" si="8"/>
        <v>Tue</v>
      </c>
      <c r="M6293" s="78" t="str">
        <f>IFERROR(VLOOKUP(A6293, Entries!A:B,2,false),"")</f>
        <v>SEGA</v>
      </c>
      <c r="N6293" s="23" t="str">
        <f>IFERROR(VLOOKUP(A6293, Entries!A:K,11,false),"")</f>
        <v/>
      </c>
    </row>
    <row r="6294">
      <c r="A6294" s="78" t="s">
        <v>7202</v>
      </c>
      <c r="B6294" s="78" t="s">
        <v>22</v>
      </c>
      <c r="C6294" s="85">
        <v>45470.0</v>
      </c>
      <c r="D6294" s="85">
        <v>45473.0</v>
      </c>
      <c r="E6294" s="86">
        <v>7.56</v>
      </c>
      <c r="F6294" s="87">
        <v>10.83</v>
      </c>
      <c r="G6294" s="88">
        <f t="shared" si="1"/>
        <v>3.27</v>
      </c>
      <c r="H6294" s="89">
        <f t="shared" si="15"/>
        <v>0.3019390582</v>
      </c>
      <c r="I6294" s="78" t="s">
        <v>7203</v>
      </c>
      <c r="J6294" s="78" t="s">
        <v>69</v>
      </c>
      <c r="K6294" s="58">
        <f t="shared" si="16"/>
        <v>3</v>
      </c>
      <c r="L6294" s="91" t="str">
        <f t="shared" si="8"/>
        <v>Sun</v>
      </c>
      <c r="M6294" s="78" t="str">
        <f>IFERROR(VLOOKUP(A6294, Entries!A:B,2,false),"")</f>
        <v>Frontier Foundry</v>
      </c>
      <c r="N6294" s="23" t="str">
        <f>IFERROR(VLOOKUP(A6294, Entries!A:K,11,false),"")</f>
        <v/>
      </c>
    </row>
    <row r="6295">
      <c r="A6295" s="78" t="s">
        <v>7092</v>
      </c>
      <c r="B6295" s="78" t="s">
        <v>23</v>
      </c>
      <c r="C6295" s="85">
        <v>45471.0</v>
      </c>
      <c r="D6295" s="85">
        <v>45472.0</v>
      </c>
      <c r="E6295" s="86">
        <v>8.77</v>
      </c>
      <c r="F6295" s="87">
        <v>10.67</v>
      </c>
      <c r="G6295" s="88">
        <f t="shared" si="1"/>
        <v>1.9</v>
      </c>
      <c r="H6295" s="89">
        <f t="shared" si="15"/>
        <v>0.1780693533</v>
      </c>
      <c r="I6295" s="78" t="s">
        <v>7204</v>
      </c>
      <c r="J6295" s="78" t="s">
        <v>69</v>
      </c>
      <c r="K6295" s="58">
        <f t="shared" si="16"/>
        <v>1</v>
      </c>
      <c r="L6295" s="91" t="str">
        <f t="shared" si="8"/>
        <v>Sat</v>
      </c>
      <c r="M6295" s="78" t="str">
        <f>IFERROR(VLOOKUP(A6295, Entries!A:B,2,false),"")</f>
        <v>IO Interactive</v>
      </c>
      <c r="N6295" s="23" t="str">
        <f>IFERROR(VLOOKUP(A6295, Entries!A:K,11,false),"")</f>
        <v/>
      </c>
    </row>
    <row r="6296">
      <c r="A6296" s="78" t="s">
        <v>5984</v>
      </c>
      <c r="B6296" s="78" t="s">
        <v>23</v>
      </c>
      <c r="C6296" s="85">
        <v>45471.0</v>
      </c>
      <c r="D6296" s="85">
        <v>45471.0</v>
      </c>
      <c r="E6296" s="86">
        <v>32.99</v>
      </c>
      <c r="F6296" s="87">
        <v>36.48</v>
      </c>
      <c r="G6296" s="88">
        <f t="shared" si="1"/>
        <v>3.49</v>
      </c>
      <c r="H6296" s="89">
        <f t="shared" si="15"/>
        <v>0.09566885965</v>
      </c>
      <c r="I6296" s="78" t="s">
        <v>7205</v>
      </c>
      <c r="J6296" s="78" t="s">
        <v>69</v>
      </c>
      <c r="K6296" s="58">
        <f t="shared" si="16"/>
        <v>0</v>
      </c>
      <c r="L6296" s="91" t="str">
        <f t="shared" si="8"/>
        <v>Fri</v>
      </c>
      <c r="M6296" s="78" t="str">
        <f>IFERROR(VLOOKUP(A6296, Entries!A:B,2,false),"")</f>
        <v>BANDAI NAMCO</v>
      </c>
      <c r="N6296" s="23" t="str">
        <f>IFERROR(VLOOKUP(A6296, Entries!A:K,11,false),"")</f>
        <v/>
      </c>
    </row>
    <row r="6297">
      <c r="A6297" s="78" t="s">
        <v>7092</v>
      </c>
      <c r="B6297" s="78" t="s">
        <v>23</v>
      </c>
      <c r="C6297" s="85">
        <v>45471.0</v>
      </c>
      <c r="D6297" s="85">
        <v>45474.0</v>
      </c>
      <c r="E6297" s="86">
        <v>8.77</v>
      </c>
      <c r="F6297" s="87">
        <v>10.67</v>
      </c>
      <c r="G6297" s="88">
        <f t="shared" si="1"/>
        <v>1.9</v>
      </c>
      <c r="H6297" s="89">
        <f t="shared" si="15"/>
        <v>0.1780693533</v>
      </c>
      <c r="I6297" s="78" t="s">
        <v>7206</v>
      </c>
      <c r="J6297" s="78" t="s">
        <v>69</v>
      </c>
      <c r="K6297" s="58">
        <f t="shared" si="16"/>
        <v>3</v>
      </c>
      <c r="L6297" s="91" t="str">
        <f t="shared" si="8"/>
        <v>Mon</v>
      </c>
      <c r="M6297" s="78" t="str">
        <f>IFERROR(VLOOKUP(A6297, Entries!A:B,2,false),"")</f>
        <v>IO Interactive</v>
      </c>
      <c r="N6297" s="23" t="str">
        <f>IFERROR(VLOOKUP(A6297, Entries!A:K,11,false),"")</f>
        <v/>
      </c>
    </row>
    <row r="6298">
      <c r="A6298" s="78" t="s">
        <v>5984</v>
      </c>
      <c r="B6298" s="78" t="s">
        <v>23</v>
      </c>
      <c r="C6298" s="85">
        <v>45471.0</v>
      </c>
      <c r="D6298" s="85">
        <v>45521.0</v>
      </c>
      <c r="E6298" s="86">
        <v>32.99</v>
      </c>
      <c r="F6298" s="87">
        <v>36.39</v>
      </c>
      <c r="G6298" s="88">
        <f t="shared" si="1"/>
        <v>3.4</v>
      </c>
      <c r="H6298" s="89">
        <f t="shared" si="15"/>
        <v>0.09343226161</v>
      </c>
      <c r="I6298" s="78" t="s">
        <v>7207</v>
      </c>
      <c r="J6298" s="78" t="s">
        <v>69</v>
      </c>
      <c r="K6298" s="58">
        <f t="shared" si="16"/>
        <v>50</v>
      </c>
      <c r="L6298" s="91" t="str">
        <f t="shared" si="8"/>
        <v>Sat</v>
      </c>
      <c r="M6298" s="78" t="str">
        <f>IFERROR(VLOOKUP(A6298, Entries!A:B,2,false),"")</f>
        <v>BANDAI NAMCO</v>
      </c>
      <c r="N6298" s="23" t="str">
        <f>IFERROR(VLOOKUP(A6298, Entries!A:K,11,false),"")</f>
        <v/>
      </c>
    </row>
    <row r="6299">
      <c r="A6299" s="78" t="s">
        <v>7159</v>
      </c>
      <c r="B6299" s="78" t="s">
        <v>21</v>
      </c>
      <c r="C6299" s="85">
        <v>45472.0</v>
      </c>
      <c r="D6299" s="85">
        <v>45472.0</v>
      </c>
      <c r="E6299" s="86">
        <v>15.55</v>
      </c>
      <c r="F6299" s="87">
        <v>17.45</v>
      </c>
      <c r="G6299" s="88">
        <f t="shared" si="1"/>
        <v>1.9</v>
      </c>
      <c r="H6299" s="89">
        <f t="shared" si="15"/>
        <v>0.1088825215</v>
      </c>
      <c r="I6299" s="78" t="s">
        <v>7208</v>
      </c>
      <c r="J6299" s="78" t="s">
        <v>69</v>
      </c>
      <c r="K6299" s="58">
        <f t="shared" si="16"/>
        <v>0</v>
      </c>
      <c r="L6299" s="91" t="str">
        <f t="shared" si="8"/>
        <v>Sat</v>
      </c>
      <c r="M6299" s="78" t="str">
        <f>IFERROR(VLOOKUP(A6299, Entries!A:B,2,false),"")</f>
        <v>XREAL Games</v>
      </c>
      <c r="N6299" s="23" t="str">
        <f>IFERROR(VLOOKUP(A6299, Entries!A:K,11,false),"")</f>
        <v/>
      </c>
    </row>
    <row r="6300">
      <c r="A6300" s="78" t="s">
        <v>7159</v>
      </c>
      <c r="B6300" s="78" t="s">
        <v>21</v>
      </c>
      <c r="C6300" s="85">
        <v>45472.0</v>
      </c>
      <c r="D6300" s="85">
        <v>45472.0</v>
      </c>
      <c r="E6300" s="86">
        <v>15.55</v>
      </c>
      <c r="F6300" s="87">
        <v>17.45</v>
      </c>
      <c r="G6300" s="88">
        <f t="shared" si="1"/>
        <v>1.9</v>
      </c>
      <c r="H6300" s="89">
        <f t="shared" si="15"/>
        <v>0.1088825215</v>
      </c>
      <c r="I6300" s="78" t="s">
        <v>7209</v>
      </c>
      <c r="J6300" s="78" t="s">
        <v>69</v>
      </c>
      <c r="K6300" s="58">
        <f t="shared" si="16"/>
        <v>0</v>
      </c>
      <c r="L6300" s="91" t="str">
        <f t="shared" si="8"/>
        <v>Sat</v>
      </c>
      <c r="M6300" s="78" t="str">
        <f>IFERROR(VLOOKUP(A6300, Entries!A:B,2,false),"")</f>
        <v>XREAL Games</v>
      </c>
      <c r="N6300" s="23" t="str">
        <f>IFERROR(VLOOKUP(A6300, Entries!A:K,11,false),"")</f>
        <v/>
      </c>
    </row>
    <row r="6301">
      <c r="A6301" s="78" t="s">
        <v>7159</v>
      </c>
      <c r="B6301" s="78" t="s">
        <v>21</v>
      </c>
      <c r="C6301" s="85">
        <v>45472.0</v>
      </c>
      <c r="D6301" s="85">
        <v>45472.0</v>
      </c>
      <c r="E6301" s="86">
        <v>15.86</v>
      </c>
      <c r="F6301" s="87">
        <v>17.46</v>
      </c>
      <c r="G6301" s="88">
        <f t="shared" si="1"/>
        <v>1.6</v>
      </c>
      <c r="H6301" s="89">
        <f t="shared" si="15"/>
        <v>0.09163802978</v>
      </c>
      <c r="I6301" s="78" t="s">
        <v>7210</v>
      </c>
      <c r="J6301" s="78" t="s">
        <v>69</v>
      </c>
      <c r="K6301" s="58">
        <f t="shared" si="16"/>
        <v>0</v>
      </c>
      <c r="L6301" s="91" t="str">
        <f t="shared" si="8"/>
        <v>Sat</v>
      </c>
      <c r="M6301" s="78" t="str">
        <f>IFERROR(VLOOKUP(A6301, Entries!A:B,2,false),"")</f>
        <v>XREAL Games</v>
      </c>
      <c r="N6301" s="23" t="str">
        <f>IFERROR(VLOOKUP(A6301, Entries!A:K,11,false),"")</f>
        <v/>
      </c>
    </row>
    <row r="6302">
      <c r="A6302" s="78" t="s">
        <v>7159</v>
      </c>
      <c r="B6302" s="78" t="s">
        <v>21</v>
      </c>
      <c r="C6302" s="85">
        <v>45472.0</v>
      </c>
      <c r="D6302" s="85">
        <v>45472.0</v>
      </c>
      <c r="E6302" s="86">
        <v>15.86</v>
      </c>
      <c r="F6302" s="87">
        <v>17.46</v>
      </c>
      <c r="G6302" s="88">
        <f t="shared" si="1"/>
        <v>1.6</v>
      </c>
      <c r="H6302" s="89">
        <f t="shared" si="15"/>
        <v>0.09163802978</v>
      </c>
      <c r="I6302" s="78" t="s">
        <v>7211</v>
      </c>
      <c r="J6302" s="78" t="s">
        <v>69</v>
      </c>
      <c r="K6302" s="58">
        <f t="shared" si="16"/>
        <v>0</v>
      </c>
      <c r="L6302" s="91" t="str">
        <f t="shared" si="8"/>
        <v>Sat</v>
      </c>
      <c r="M6302" s="78" t="str">
        <f>IFERROR(VLOOKUP(A6302, Entries!A:B,2,false),"")</f>
        <v>XREAL Games</v>
      </c>
      <c r="N6302" s="23" t="str">
        <f>IFERROR(VLOOKUP(A6302, Entries!A:K,11,false),"")</f>
        <v/>
      </c>
    </row>
    <row r="6303">
      <c r="A6303" s="78" t="s">
        <v>7159</v>
      </c>
      <c r="B6303" s="78" t="s">
        <v>21</v>
      </c>
      <c r="C6303" s="85">
        <v>45472.0</v>
      </c>
      <c r="D6303" s="85">
        <v>45473.0</v>
      </c>
      <c r="E6303" s="86">
        <v>15.86</v>
      </c>
      <c r="F6303" s="87">
        <v>17.45</v>
      </c>
      <c r="G6303" s="88">
        <f t="shared" si="1"/>
        <v>1.59</v>
      </c>
      <c r="H6303" s="89">
        <f t="shared" si="15"/>
        <v>0.09111747851</v>
      </c>
      <c r="I6303" s="78" t="s">
        <v>7212</v>
      </c>
      <c r="J6303" s="78" t="s">
        <v>69</v>
      </c>
      <c r="K6303" s="58">
        <f t="shared" si="16"/>
        <v>1</v>
      </c>
      <c r="L6303" s="91" t="str">
        <f t="shared" si="8"/>
        <v>Sun</v>
      </c>
      <c r="M6303" s="78" t="str">
        <f>IFERROR(VLOOKUP(A6303, Entries!A:B,2,false),"")</f>
        <v>XREAL Games</v>
      </c>
      <c r="N6303" s="23" t="str">
        <f>IFERROR(VLOOKUP(A6303, Entries!A:K,11,false),"")</f>
        <v/>
      </c>
    </row>
    <row r="6304">
      <c r="A6304" s="78" t="s">
        <v>7159</v>
      </c>
      <c r="B6304" s="78" t="s">
        <v>21</v>
      </c>
      <c r="C6304" s="85">
        <v>45472.0</v>
      </c>
      <c r="D6304" s="85">
        <v>45473.0</v>
      </c>
      <c r="E6304" s="86">
        <v>15.86</v>
      </c>
      <c r="F6304" s="87">
        <v>17.45</v>
      </c>
      <c r="G6304" s="88">
        <f t="shared" si="1"/>
        <v>1.59</v>
      </c>
      <c r="H6304" s="89">
        <f t="shared" si="15"/>
        <v>0.09111747851</v>
      </c>
      <c r="I6304" s="78" t="s">
        <v>7213</v>
      </c>
      <c r="J6304" s="78" t="s">
        <v>69</v>
      </c>
      <c r="K6304" s="58">
        <f t="shared" si="16"/>
        <v>1</v>
      </c>
      <c r="L6304" s="91" t="str">
        <f t="shared" si="8"/>
        <v>Sun</v>
      </c>
      <c r="M6304" s="78" t="str">
        <f>IFERROR(VLOOKUP(A6304, Entries!A:B,2,false),"")</f>
        <v>XREAL Games</v>
      </c>
      <c r="N6304" s="23" t="str">
        <f>IFERROR(VLOOKUP(A6304, Entries!A:K,11,false),"")</f>
        <v/>
      </c>
    </row>
    <row r="6305">
      <c r="A6305" s="78" t="s">
        <v>4926</v>
      </c>
      <c r="B6305" s="78" t="s">
        <v>19</v>
      </c>
      <c r="C6305" s="85">
        <v>45472.0</v>
      </c>
      <c r="D6305" s="85">
        <v>45473.0</v>
      </c>
      <c r="E6305" s="86">
        <v>4.53</v>
      </c>
      <c r="F6305" s="87">
        <v>8.88</v>
      </c>
      <c r="G6305" s="88">
        <f t="shared" si="1"/>
        <v>4.35</v>
      </c>
      <c r="H6305" s="89">
        <f t="shared" si="15"/>
        <v>0.4898648649</v>
      </c>
      <c r="I6305" s="78" t="s">
        <v>7214</v>
      </c>
      <c r="J6305" s="78" t="s">
        <v>69</v>
      </c>
      <c r="K6305" s="58">
        <f t="shared" si="16"/>
        <v>1</v>
      </c>
      <c r="L6305" s="91" t="str">
        <f t="shared" si="8"/>
        <v>Sun</v>
      </c>
      <c r="M6305" s="78" t="str">
        <f>IFERROR(VLOOKUP(A6305, Entries!A:B,2,false),"")</f>
        <v>Bethesda Softworks</v>
      </c>
      <c r="N6305" s="23" t="str">
        <f>IFERROR(VLOOKUP(A6305, Entries!A:K,11,false),"")</f>
        <v/>
      </c>
    </row>
    <row r="6306">
      <c r="A6306" s="78" t="s">
        <v>1770</v>
      </c>
      <c r="B6306" s="78" t="s">
        <v>19</v>
      </c>
      <c r="C6306" s="85">
        <v>45472.0</v>
      </c>
      <c r="D6306" s="85">
        <v>45473.0</v>
      </c>
      <c r="E6306" s="86">
        <v>4.53</v>
      </c>
      <c r="F6306" s="87">
        <v>5.7</v>
      </c>
      <c r="G6306" s="88">
        <f t="shared" si="1"/>
        <v>1.17</v>
      </c>
      <c r="H6306" s="89">
        <f t="shared" si="15"/>
        <v>0.2052631579</v>
      </c>
      <c r="I6306" s="78" t="s">
        <v>7215</v>
      </c>
      <c r="J6306" s="78" t="s">
        <v>69</v>
      </c>
      <c r="K6306" s="58">
        <f t="shared" si="16"/>
        <v>1</v>
      </c>
      <c r="L6306" s="91" t="str">
        <f t="shared" si="8"/>
        <v>Sun</v>
      </c>
      <c r="M6306" s="78" t="str">
        <f>IFERROR(VLOOKUP(A6306, Entries!A:B,2,false),"")</f>
        <v>Warhorse Studios</v>
      </c>
      <c r="N6306" s="23" t="str">
        <f>IFERROR(VLOOKUP(A6306, Entries!A:K,11,false),"")</f>
        <v/>
      </c>
    </row>
    <row r="6307">
      <c r="A6307" s="78" t="s">
        <v>7156</v>
      </c>
      <c r="B6307" s="78" t="s">
        <v>19</v>
      </c>
      <c r="C6307" s="85">
        <v>45472.0</v>
      </c>
      <c r="D6307" s="85">
        <v>45485.0</v>
      </c>
      <c r="E6307" s="86">
        <v>4.53</v>
      </c>
      <c r="F6307" s="87">
        <v>6.75</v>
      </c>
      <c r="G6307" s="88">
        <f t="shared" si="1"/>
        <v>2.22</v>
      </c>
      <c r="H6307" s="89">
        <f t="shared" si="15"/>
        <v>0.3288888889</v>
      </c>
      <c r="I6307" s="78" t="s">
        <v>7216</v>
      </c>
      <c r="J6307" s="78" t="s">
        <v>69</v>
      </c>
      <c r="K6307" s="58">
        <f t="shared" si="16"/>
        <v>13</v>
      </c>
      <c r="L6307" s="91" t="str">
        <f t="shared" si="8"/>
        <v>Fri</v>
      </c>
      <c r="M6307" s="78" t="str">
        <f>IFERROR(VLOOKUP(A6307, Entries!A:B,2,false),"")</f>
        <v/>
      </c>
      <c r="N6307" s="23" t="str">
        <f>IFERROR(VLOOKUP(A6307, Entries!A:K,11,false),"")</f>
        <v/>
      </c>
    </row>
    <row r="6308">
      <c r="A6308" s="78" t="s">
        <v>5916</v>
      </c>
      <c r="B6308" s="78" t="s">
        <v>19</v>
      </c>
      <c r="C6308" s="85">
        <v>45472.0</v>
      </c>
      <c r="D6308" s="85">
        <v>45474.0</v>
      </c>
      <c r="E6308" s="86">
        <v>0.0</v>
      </c>
      <c r="F6308" s="87">
        <v>0.16</v>
      </c>
      <c r="G6308" s="88">
        <f t="shared" si="1"/>
        <v>0.16</v>
      </c>
      <c r="H6308" s="89">
        <f t="shared" si="15"/>
        <v>1</v>
      </c>
      <c r="I6308" s="78" t="s">
        <v>7217</v>
      </c>
      <c r="J6308" s="78" t="s">
        <v>69</v>
      </c>
      <c r="K6308" s="58">
        <f t="shared" si="16"/>
        <v>2</v>
      </c>
      <c r="L6308" s="91" t="str">
        <f t="shared" si="8"/>
        <v>Mon</v>
      </c>
      <c r="M6308" s="78" t="str">
        <f>IFERROR(VLOOKUP(A6308, Entries!A:B,2,false),"")</f>
        <v/>
      </c>
      <c r="N6308" s="23" t="str">
        <f>IFERROR(VLOOKUP(A6308, Entries!A:K,11,false),"")</f>
        <v/>
      </c>
    </row>
    <row r="6309">
      <c r="A6309" s="78" t="s">
        <v>163</v>
      </c>
      <c r="B6309" s="78" t="s">
        <v>22</v>
      </c>
      <c r="C6309" s="85">
        <v>45472.0</v>
      </c>
      <c r="D6309" s="85">
        <v>45474.0</v>
      </c>
      <c r="E6309" s="86">
        <v>1.99</v>
      </c>
      <c r="F6309" s="87">
        <v>3.04</v>
      </c>
      <c r="G6309" s="88">
        <f t="shared" si="1"/>
        <v>1.05</v>
      </c>
      <c r="H6309" s="89">
        <f t="shared" si="15"/>
        <v>0.3453947368</v>
      </c>
      <c r="I6309" s="78" t="s">
        <v>7218</v>
      </c>
      <c r="J6309" s="78" t="s">
        <v>69</v>
      </c>
      <c r="K6309" s="58">
        <f t="shared" si="16"/>
        <v>2</v>
      </c>
      <c r="L6309" s="91" t="str">
        <f t="shared" si="8"/>
        <v>Mon</v>
      </c>
      <c r="M6309" s="78" t="str">
        <f>IFERROR(VLOOKUP(A6309, Entries!A:B,2,false),"")</f>
        <v>Square Enix</v>
      </c>
      <c r="N6309" s="23" t="str">
        <f>IFERROR(VLOOKUP(A6309, Entries!A:K,11,false),"")</f>
        <v/>
      </c>
    </row>
    <row r="6310">
      <c r="A6310" s="78" t="s">
        <v>163</v>
      </c>
      <c r="B6310" s="78" t="s">
        <v>22</v>
      </c>
      <c r="C6310" s="85">
        <v>45472.0</v>
      </c>
      <c r="D6310" s="85">
        <v>45475.0</v>
      </c>
      <c r="E6310" s="86">
        <v>1.99</v>
      </c>
      <c r="F6310" s="87">
        <v>3.04</v>
      </c>
      <c r="G6310" s="88">
        <f t="shared" si="1"/>
        <v>1.05</v>
      </c>
      <c r="H6310" s="89">
        <f t="shared" si="15"/>
        <v>0.3453947368</v>
      </c>
      <c r="I6310" s="78" t="s">
        <v>7219</v>
      </c>
      <c r="J6310" s="78" t="s">
        <v>69</v>
      </c>
      <c r="K6310" s="58">
        <f t="shared" si="16"/>
        <v>3</v>
      </c>
      <c r="L6310" s="91" t="str">
        <f t="shared" si="8"/>
        <v>Tue</v>
      </c>
      <c r="M6310" s="78" t="str">
        <f>IFERROR(VLOOKUP(A6310, Entries!A:B,2,false),"")</f>
        <v>Square Enix</v>
      </c>
      <c r="N6310" s="23" t="str">
        <f>IFERROR(VLOOKUP(A6310, Entries!A:K,11,false),"")</f>
        <v/>
      </c>
    </row>
    <row r="6311">
      <c r="A6311" s="78" t="s">
        <v>7196</v>
      </c>
      <c r="B6311" s="78" t="s">
        <v>21</v>
      </c>
      <c r="C6311" s="85">
        <v>45472.0</v>
      </c>
      <c r="D6311" s="85">
        <v>45480.0</v>
      </c>
      <c r="E6311" s="86">
        <v>17.54</v>
      </c>
      <c r="F6311" s="87">
        <v>21.93</v>
      </c>
      <c r="G6311" s="88">
        <f t="shared" si="1"/>
        <v>4.39</v>
      </c>
      <c r="H6311" s="89">
        <f t="shared" si="15"/>
        <v>0.2001823985</v>
      </c>
      <c r="I6311" s="78" t="s">
        <v>7220</v>
      </c>
      <c r="J6311" s="78" t="s">
        <v>69</v>
      </c>
      <c r="K6311" s="58">
        <f t="shared" si="16"/>
        <v>8</v>
      </c>
      <c r="L6311" s="91" t="str">
        <f t="shared" si="8"/>
        <v>Sun</v>
      </c>
      <c r="M6311" s="78" t="str">
        <f>IFERROR(VLOOKUP(A6311, Entries!A:B,2,false),"")</f>
        <v/>
      </c>
      <c r="N6311" s="23" t="str">
        <f>IFERROR(VLOOKUP(A6311, Entries!A:K,11,false),"")</f>
        <v/>
      </c>
    </row>
    <row r="6312">
      <c r="A6312" s="78" t="s">
        <v>7202</v>
      </c>
      <c r="B6312" s="78" t="s">
        <v>22</v>
      </c>
      <c r="C6312" s="85">
        <v>45473.0</v>
      </c>
      <c r="D6312" s="85">
        <v>45477.0</v>
      </c>
      <c r="E6312" s="86">
        <v>7.55</v>
      </c>
      <c r="F6312" s="87">
        <v>10.3</v>
      </c>
      <c r="G6312" s="88">
        <f t="shared" si="1"/>
        <v>2.75</v>
      </c>
      <c r="H6312" s="89">
        <f t="shared" si="15"/>
        <v>0.2669902913</v>
      </c>
      <c r="I6312" s="78" t="s">
        <v>7221</v>
      </c>
      <c r="J6312" s="78" t="s">
        <v>69</v>
      </c>
      <c r="K6312" s="58">
        <f t="shared" si="16"/>
        <v>4</v>
      </c>
      <c r="L6312" s="91" t="str">
        <f t="shared" si="8"/>
        <v>Thu</v>
      </c>
      <c r="M6312" s="78" t="str">
        <f>IFERROR(VLOOKUP(A6312, Entries!A:B,2,false),"")</f>
        <v>Frontier Foundry</v>
      </c>
      <c r="N6312" s="23" t="str">
        <f>IFERROR(VLOOKUP(A6312, Entries!A:K,11,false),"")</f>
        <v/>
      </c>
    </row>
    <row r="6313">
      <c r="A6313" s="78" t="s">
        <v>5613</v>
      </c>
      <c r="B6313" s="78" t="s">
        <v>22</v>
      </c>
      <c r="C6313" s="85">
        <v>45473.0</v>
      </c>
      <c r="D6313" s="85">
        <v>45484.0</v>
      </c>
      <c r="E6313" s="86">
        <v>14.91</v>
      </c>
      <c r="F6313" s="87">
        <v>17.07</v>
      </c>
      <c r="G6313" s="88">
        <f t="shared" si="1"/>
        <v>2.16</v>
      </c>
      <c r="H6313" s="89">
        <f t="shared" si="15"/>
        <v>0.1265377856</v>
      </c>
      <c r="J6313" s="78" t="s">
        <v>69</v>
      </c>
      <c r="K6313" s="58">
        <f t="shared" si="16"/>
        <v>11</v>
      </c>
      <c r="L6313" s="91" t="str">
        <f t="shared" si="8"/>
        <v>Thu</v>
      </c>
      <c r="M6313" s="78" t="str">
        <f>IFERROR(VLOOKUP(A6313, Entries!A:B,2,false),"")</f>
        <v>Shiro Games</v>
      </c>
      <c r="N6313" s="23" t="str">
        <f>IFERROR(VLOOKUP(A6313, Entries!A:K,11,false),"")</f>
        <v/>
      </c>
    </row>
    <row r="6314">
      <c r="A6314" s="78" t="s">
        <v>6773</v>
      </c>
      <c r="B6314" s="78" t="s">
        <v>25</v>
      </c>
      <c r="C6314" s="85">
        <v>45474.0</v>
      </c>
      <c r="D6314" s="85">
        <v>45620.0</v>
      </c>
      <c r="E6314" s="86">
        <v>13.14</v>
      </c>
      <c r="F6314" s="87">
        <v>17.41</v>
      </c>
      <c r="G6314" s="88">
        <f t="shared" si="1"/>
        <v>4.27</v>
      </c>
      <c r="H6314" s="89">
        <f t="shared" si="15"/>
        <v>0.2452613441</v>
      </c>
      <c r="I6314" s="78" t="s">
        <v>7222</v>
      </c>
      <c r="J6314" s="78" t="s">
        <v>69</v>
      </c>
      <c r="K6314" s="58">
        <f t="shared" si="16"/>
        <v>146</v>
      </c>
      <c r="L6314" s="91" t="str">
        <f t="shared" si="8"/>
        <v>Sun</v>
      </c>
      <c r="M6314" s="78" t="str">
        <f>IFERROR(VLOOKUP(A6314, Entries!A:B,2,false),"")</f>
        <v>Dovetail Games</v>
      </c>
      <c r="N6314" s="23" t="str">
        <f>IFERROR(VLOOKUP(A6314, Entries!A:K,11,false),"")</f>
        <v/>
      </c>
    </row>
    <row r="6315">
      <c r="A6315" s="78" t="s">
        <v>7159</v>
      </c>
      <c r="B6315" s="78" t="s">
        <v>25</v>
      </c>
      <c r="C6315" s="85">
        <v>45474.0</v>
      </c>
      <c r="D6315" s="85">
        <v>45474.0</v>
      </c>
      <c r="E6315" s="86">
        <v>13.14</v>
      </c>
      <c r="F6315" s="87">
        <v>17.46</v>
      </c>
      <c r="G6315" s="88">
        <f t="shared" si="1"/>
        <v>4.32</v>
      </c>
      <c r="H6315" s="89">
        <f t="shared" si="15"/>
        <v>0.2474226804</v>
      </c>
      <c r="I6315" s="78" t="s">
        <v>7223</v>
      </c>
      <c r="J6315" s="78" t="s">
        <v>69</v>
      </c>
      <c r="K6315" s="58">
        <f t="shared" si="16"/>
        <v>0</v>
      </c>
      <c r="L6315" s="91" t="str">
        <f t="shared" si="8"/>
        <v>Mon</v>
      </c>
      <c r="M6315" s="78" t="str">
        <f>IFERROR(VLOOKUP(A6315, Entries!A:B,2,false),"")</f>
        <v>XREAL Games</v>
      </c>
      <c r="N6315" s="23" t="str">
        <f>IFERROR(VLOOKUP(A6315, Entries!A:K,11,false),"")</f>
        <v/>
      </c>
    </row>
    <row r="6316">
      <c r="A6316" s="78" t="s">
        <v>7224</v>
      </c>
      <c r="B6316" s="78" t="s">
        <v>21</v>
      </c>
      <c r="C6316" s="85">
        <v>45474.0</v>
      </c>
      <c r="D6316" s="85">
        <v>45475.0</v>
      </c>
      <c r="E6316" s="86">
        <v>17.51</v>
      </c>
      <c r="F6316" s="87">
        <v>23.36</v>
      </c>
      <c r="G6316" s="88">
        <f t="shared" si="1"/>
        <v>5.85</v>
      </c>
      <c r="H6316" s="89">
        <f t="shared" si="15"/>
        <v>0.2504280822</v>
      </c>
      <c r="I6316" s="78" t="s">
        <v>7225</v>
      </c>
      <c r="J6316" s="78" t="s">
        <v>69</v>
      </c>
      <c r="K6316" s="58">
        <f t="shared" si="16"/>
        <v>1</v>
      </c>
      <c r="L6316" s="91" t="str">
        <f t="shared" si="8"/>
        <v>Tue</v>
      </c>
      <c r="M6316" s="78" t="str">
        <f>IFERROR(VLOOKUP(A6316, Entries!A:B,2,false),"")</f>
        <v/>
      </c>
      <c r="N6316" s="23" t="str">
        <f>IFERROR(VLOOKUP(A6316, Entries!A:K,11,false),"")</f>
        <v/>
      </c>
    </row>
    <row r="6317">
      <c r="A6317" s="78" t="s">
        <v>7092</v>
      </c>
      <c r="B6317" s="78" t="s">
        <v>23</v>
      </c>
      <c r="C6317" s="85">
        <v>45474.0</v>
      </c>
      <c r="D6317" s="85">
        <v>45474.0</v>
      </c>
      <c r="E6317" s="86">
        <v>8.77</v>
      </c>
      <c r="F6317" s="87">
        <v>10.67</v>
      </c>
      <c r="G6317" s="88">
        <f t="shared" si="1"/>
        <v>1.9</v>
      </c>
      <c r="H6317" s="89">
        <f t="shared" si="15"/>
        <v>0.1780693533</v>
      </c>
      <c r="I6317" s="78" t="s">
        <v>7226</v>
      </c>
      <c r="J6317" s="78" t="s">
        <v>69</v>
      </c>
      <c r="K6317" s="58">
        <f t="shared" si="16"/>
        <v>0</v>
      </c>
      <c r="L6317" s="91" t="str">
        <f t="shared" si="8"/>
        <v>Mon</v>
      </c>
      <c r="M6317" s="78" t="str">
        <f>IFERROR(VLOOKUP(A6317, Entries!A:B,2,false),"")</f>
        <v>IO Interactive</v>
      </c>
      <c r="N6317" s="23" t="str">
        <f>IFERROR(VLOOKUP(A6317, Entries!A:K,11,false),"")</f>
        <v/>
      </c>
    </row>
    <row r="6318">
      <c r="A6318" s="78" t="s">
        <v>7227</v>
      </c>
      <c r="B6318" s="78" t="s">
        <v>22</v>
      </c>
      <c r="C6318" s="85">
        <v>45474.0</v>
      </c>
      <c r="D6318" s="85">
        <v>45476.0</v>
      </c>
      <c r="E6318" s="86">
        <v>7.82</v>
      </c>
      <c r="F6318" s="87">
        <v>13.25</v>
      </c>
      <c r="G6318" s="88">
        <f t="shared" si="1"/>
        <v>5.43</v>
      </c>
      <c r="H6318" s="89">
        <f t="shared" si="15"/>
        <v>0.4098113208</v>
      </c>
      <c r="I6318" s="78" t="s">
        <v>7228</v>
      </c>
      <c r="J6318" s="78" t="s">
        <v>69</v>
      </c>
      <c r="K6318" s="58">
        <f t="shared" si="16"/>
        <v>2</v>
      </c>
      <c r="L6318" s="91" t="str">
        <f t="shared" si="8"/>
        <v>Wed</v>
      </c>
      <c r="M6318" s="78" t="str">
        <f>IFERROR(VLOOKUP(A6318, Entries!A:B,2,false),"")</f>
        <v>DANGEN Entertainment</v>
      </c>
      <c r="N6318" s="23" t="str">
        <f>IFERROR(VLOOKUP(A6318, Entries!A:K,11,false),"")</f>
        <v/>
      </c>
    </row>
    <row r="6319">
      <c r="A6319" s="78" t="s">
        <v>163</v>
      </c>
      <c r="B6319" s="78" t="s">
        <v>22</v>
      </c>
      <c r="C6319" s="85">
        <v>45475.0</v>
      </c>
      <c r="D6319" s="85">
        <v>45478.0</v>
      </c>
      <c r="E6319" s="86">
        <v>1.99</v>
      </c>
      <c r="F6319" s="87">
        <v>3.04</v>
      </c>
      <c r="G6319" s="88">
        <f t="shared" si="1"/>
        <v>1.05</v>
      </c>
      <c r="H6319" s="89">
        <f t="shared" si="15"/>
        <v>0.3453947368</v>
      </c>
      <c r="I6319" s="78" t="s">
        <v>7229</v>
      </c>
      <c r="J6319" s="78" t="s">
        <v>69</v>
      </c>
      <c r="K6319" s="58">
        <f t="shared" si="16"/>
        <v>3</v>
      </c>
      <c r="L6319" s="91" t="str">
        <f t="shared" si="8"/>
        <v>Fri</v>
      </c>
      <c r="M6319" s="78" t="str">
        <f>IFERROR(VLOOKUP(A6319, Entries!A:B,2,false),"")</f>
        <v>Square Enix</v>
      </c>
      <c r="N6319" s="23" t="str">
        <f>IFERROR(VLOOKUP(A6319, Entries!A:K,11,false),"")</f>
        <v/>
      </c>
    </row>
    <row r="6320">
      <c r="A6320" s="78" t="s">
        <v>163</v>
      </c>
      <c r="B6320" s="78" t="s">
        <v>22</v>
      </c>
      <c r="C6320" s="85">
        <v>45475.0</v>
      </c>
      <c r="D6320" s="85">
        <v>45511.0</v>
      </c>
      <c r="E6320" s="86">
        <v>1.98</v>
      </c>
      <c r="F6320" s="87">
        <v>3.04</v>
      </c>
      <c r="G6320" s="88">
        <f t="shared" si="1"/>
        <v>1.06</v>
      </c>
      <c r="H6320" s="89">
        <f t="shared" si="15"/>
        <v>0.3486842105</v>
      </c>
      <c r="I6320" s="78" t="s">
        <v>7230</v>
      </c>
      <c r="J6320" s="78" t="s">
        <v>69</v>
      </c>
      <c r="K6320" s="58">
        <f t="shared" si="16"/>
        <v>36</v>
      </c>
      <c r="L6320" s="91" t="str">
        <f t="shared" si="8"/>
        <v>Wed</v>
      </c>
      <c r="M6320" s="78" t="str">
        <f>IFERROR(VLOOKUP(A6320, Entries!A:B,2,false),"")</f>
        <v>Square Enix</v>
      </c>
      <c r="N6320" s="23" t="str">
        <f>IFERROR(VLOOKUP(A6320, Entries!A:K,11,false),"")</f>
        <v/>
      </c>
    </row>
    <row r="6321">
      <c r="A6321" s="78" t="s">
        <v>6910</v>
      </c>
      <c r="B6321" s="78" t="s">
        <v>22</v>
      </c>
      <c r="C6321" s="85">
        <v>45475.0</v>
      </c>
      <c r="D6321" s="85">
        <v>45494.0</v>
      </c>
      <c r="E6321" s="86">
        <v>11.56</v>
      </c>
      <c r="F6321" s="87">
        <v>15.85</v>
      </c>
      <c r="G6321" s="88">
        <f t="shared" si="1"/>
        <v>4.29</v>
      </c>
      <c r="H6321" s="89">
        <f t="shared" si="15"/>
        <v>0.2706624606</v>
      </c>
      <c r="I6321" s="78" t="s">
        <v>7231</v>
      </c>
      <c r="J6321" s="78" t="s">
        <v>69</v>
      </c>
      <c r="K6321" s="58">
        <f t="shared" si="16"/>
        <v>19</v>
      </c>
      <c r="L6321" s="91" t="str">
        <f t="shared" si="8"/>
        <v>Sun</v>
      </c>
      <c r="M6321" s="78" t="str">
        <f>IFERROR(VLOOKUP(A6321, Entries!A:B,2,false),"")</f>
        <v/>
      </c>
      <c r="N6321" s="23" t="str">
        <f>IFERROR(VLOOKUP(A6321, Entries!A:K,11,false),"")</f>
        <v/>
      </c>
    </row>
    <row r="6322">
      <c r="A6322" s="78" t="s">
        <v>7232</v>
      </c>
      <c r="B6322" s="78" t="s">
        <v>21</v>
      </c>
      <c r="C6322" s="85">
        <v>45475.0</v>
      </c>
      <c r="D6322" s="85">
        <v>45481.0</v>
      </c>
      <c r="E6322" s="86">
        <v>34.38</v>
      </c>
      <c r="F6322" s="87">
        <v>38.82</v>
      </c>
      <c r="G6322" s="88">
        <f t="shared" si="1"/>
        <v>4.44</v>
      </c>
      <c r="H6322" s="89">
        <f t="shared" si="15"/>
        <v>0.114374034</v>
      </c>
      <c r="I6322" s="78" t="s">
        <v>7233</v>
      </c>
      <c r="J6322" s="78" t="s">
        <v>69</v>
      </c>
      <c r="K6322" s="58">
        <f>IFERROR(DATEDIF(C6321,D6322,"D"), "")</f>
        <v>6</v>
      </c>
      <c r="L6322" s="91" t="str">
        <f t="shared" si="8"/>
        <v>Mon</v>
      </c>
      <c r="M6322" s="78" t="str">
        <f>IFERROR(VLOOKUP(A6322, Entries!A:B,2,false),"")</f>
        <v>Electronic Arts</v>
      </c>
      <c r="N6322" s="23" t="str">
        <f>IFERROR(VLOOKUP(A6322, Entries!A:K,11,false),"")</f>
        <v/>
      </c>
    </row>
    <row r="6323">
      <c r="A6323" s="78" t="s">
        <v>7227</v>
      </c>
      <c r="B6323" s="78" t="s">
        <v>22</v>
      </c>
      <c r="C6323" s="85">
        <v>45476.0</v>
      </c>
      <c r="D6323" s="85">
        <v>45476.0</v>
      </c>
      <c r="E6323" s="86">
        <v>7.8</v>
      </c>
      <c r="F6323" s="87">
        <v>12.24</v>
      </c>
      <c r="G6323" s="88">
        <f t="shared" si="1"/>
        <v>4.44</v>
      </c>
      <c r="H6323" s="89">
        <f t="shared" si="15"/>
        <v>0.362745098</v>
      </c>
      <c r="I6323" s="78" t="s">
        <v>7234</v>
      </c>
      <c r="J6323" s="78" t="s">
        <v>69</v>
      </c>
      <c r="K6323" s="58">
        <f t="shared" ref="K6323:K8691" si="17">IFERROR(DATEDIF(C6323,D6323,"D"), "")</f>
        <v>0</v>
      </c>
      <c r="L6323" s="91" t="str">
        <f t="shared" si="8"/>
        <v>Wed</v>
      </c>
      <c r="M6323" s="78" t="str">
        <f>IFERROR(VLOOKUP(A6323, Entries!A:B,2,false),"")</f>
        <v>DANGEN Entertainment</v>
      </c>
      <c r="N6323" s="23" t="str">
        <f>IFERROR(VLOOKUP(A6323, Entries!A:K,11,false),"")</f>
        <v/>
      </c>
    </row>
    <row r="6324">
      <c r="A6324" s="78" t="s">
        <v>7227</v>
      </c>
      <c r="B6324" s="78" t="s">
        <v>22</v>
      </c>
      <c r="C6324" s="85">
        <v>45476.0</v>
      </c>
      <c r="D6324" s="85">
        <v>45477.0</v>
      </c>
      <c r="E6324" s="86">
        <v>7.8</v>
      </c>
      <c r="F6324" s="87">
        <v>11.48</v>
      </c>
      <c r="G6324" s="88">
        <f t="shared" si="1"/>
        <v>3.68</v>
      </c>
      <c r="H6324" s="89">
        <f t="shared" si="15"/>
        <v>0.3205574913</v>
      </c>
      <c r="I6324" s="78" t="s">
        <v>7235</v>
      </c>
      <c r="J6324" s="78" t="s">
        <v>69</v>
      </c>
      <c r="K6324" s="58">
        <f t="shared" si="17"/>
        <v>1</v>
      </c>
      <c r="L6324" s="91" t="str">
        <f t="shared" si="8"/>
        <v>Thu</v>
      </c>
      <c r="M6324" s="78" t="str">
        <f>IFERROR(VLOOKUP(A6324, Entries!A:B,2,false),"")</f>
        <v>DANGEN Entertainment</v>
      </c>
      <c r="N6324" s="23" t="str">
        <f>IFERROR(VLOOKUP(A6324, Entries!A:K,11,false),"")</f>
        <v/>
      </c>
    </row>
    <row r="6325">
      <c r="A6325" s="78" t="s">
        <v>7236</v>
      </c>
      <c r="B6325" s="78" t="s">
        <v>21</v>
      </c>
      <c r="C6325" s="85">
        <v>45477.0</v>
      </c>
      <c r="D6325" s="85">
        <v>45477.0</v>
      </c>
      <c r="E6325" s="86">
        <v>24.86</v>
      </c>
      <c r="F6325" s="87">
        <v>43.1</v>
      </c>
      <c r="G6325" s="88">
        <f t="shared" si="1"/>
        <v>18.24</v>
      </c>
      <c r="H6325" s="89">
        <f t="shared" si="15"/>
        <v>0.4232018561</v>
      </c>
      <c r="I6325" s="78" t="s">
        <v>7237</v>
      </c>
      <c r="J6325" s="78" t="s">
        <v>69</v>
      </c>
      <c r="K6325" s="58">
        <f t="shared" si="17"/>
        <v>0</v>
      </c>
      <c r="L6325" s="91" t="str">
        <f t="shared" si="8"/>
        <v>Thu</v>
      </c>
      <c r="M6325" s="78" t="str">
        <f>IFERROR(VLOOKUP(A6325, Entries!A:B,2,false),"")</f>
        <v>PlayWay</v>
      </c>
      <c r="N6325" s="23" t="str">
        <f>IFERROR(VLOOKUP(A6325, Entries!A:K,11,false),"")</f>
        <v/>
      </c>
    </row>
    <row r="6326">
      <c r="A6326" s="78" t="s">
        <v>7159</v>
      </c>
      <c r="B6326" s="78" t="s">
        <v>25</v>
      </c>
      <c r="C6326" s="85">
        <v>45477.0</v>
      </c>
      <c r="D6326" s="85">
        <v>45488.0</v>
      </c>
      <c r="E6326" s="86">
        <v>17.53</v>
      </c>
      <c r="F6326" s="87">
        <v>18.5</v>
      </c>
      <c r="G6326" s="88">
        <f t="shared" si="1"/>
        <v>0.97</v>
      </c>
      <c r="H6326" s="89">
        <f t="shared" si="15"/>
        <v>0.05243243243</v>
      </c>
      <c r="I6326" s="78" t="s">
        <v>7238</v>
      </c>
      <c r="J6326" s="78" t="s">
        <v>69</v>
      </c>
      <c r="K6326" s="58">
        <f t="shared" si="17"/>
        <v>11</v>
      </c>
      <c r="L6326" s="91" t="str">
        <f t="shared" si="8"/>
        <v>Mon</v>
      </c>
      <c r="M6326" s="78" t="str">
        <f>IFERROR(VLOOKUP(A6326, Entries!A:B,2,false),"")</f>
        <v>XREAL Games</v>
      </c>
      <c r="N6326" s="23" t="str">
        <f>IFERROR(VLOOKUP(A6326, Entries!A:K,11,false),"")</f>
        <v/>
      </c>
    </row>
    <row r="6327">
      <c r="A6327" s="78" t="s">
        <v>7202</v>
      </c>
      <c r="B6327" s="78" t="s">
        <v>22</v>
      </c>
      <c r="C6327" s="85">
        <v>45477.0</v>
      </c>
      <c r="D6327" s="85">
        <v>45479.0</v>
      </c>
      <c r="E6327" s="86">
        <v>7.51</v>
      </c>
      <c r="F6327" s="87">
        <v>10.41</v>
      </c>
      <c r="G6327" s="88">
        <f t="shared" si="1"/>
        <v>2.9</v>
      </c>
      <c r="H6327" s="89">
        <f t="shared" si="15"/>
        <v>0.2785782901</v>
      </c>
      <c r="I6327" s="78" t="s">
        <v>7239</v>
      </c>
      <c r="J6327" s="78" t="s">
        <v>69</v>
      </c>
      <c r="K6327" s="58">
        <f t="shared" si="17"/>
        <v>2</v>
      </c>
      <c r="L6327" s="91" t="str">
        <f t="shared" si="8"/>
        <v>Sat</v>
      </c>
      <c r="M6327" s="78" t="str">
        <f>IFERROR(VLOOKUP(A6327, Entries!A:B,2,false),"")</f>
        <v>Frontier Foundry</v>
      </c>
      <c r="N6327" s="23" t="str">
        <f>IFERROR(VLOOKUP(A6327, Entries!A:K,11,false),"")</f>
        <v/>
      </c>
    </row>
    <row r="6328">
      <c r="A6328" s="78" t="s">
        <v>7227</v>
      </c>
      <c r="B6328" s="78" t="s">
        <v>22</v>
      </c>
      <c r="C6328" s="85">
        <v>45477.0</v>
      </c>
      <c r="D6328" s="85">
        <v>45478.0</v>
      </c>
      <c r="E6328" s="86">
        <v>7.78</v>
      </c>
      <c r="F6328" s="87">
        <v>11.56</v>
      </c>
      <c r="G6328" s="88">
        <f t="shared" si="1"/>
        <v>3.78</v>
      </c>
      <c r="H6328" s="89">
        <f t="shared" si="15"/>
        <v>0.3269896194</v>
      </c>
      <c r="I6328" s="78" t="s">
        <v>7240</v>
      </c>
      <c r="J6328" s="78" t="s">
        <v>69</v>
      </c>
      <c r="K6328" s="58">
        <f t="shared" si="17"/>
        <v>1</v>
      </c>
      <c r="L6328" s="91" t="str">
        <f t="shared" si="8"/>
        <v>Fri</v>
      </c>
      <c r="M6328" s="78" t="str">
        <f>IFERROR(VLOOKUP(A6328, Entries!A:B,2,false),"")</f>
        <v>DANGEN Entertainment</v>
      </c>
      <c r="N6328" s="23" t="str">
        <f>IFERROR(VLOOKUP(A6328, Entries!A:K,11,false),"")</f>
        <v/>
      </c>
    </row>
    <row r="6329">
      <c r="A6329" s="78" t="s">
        <v>7227</v>
      </c>
      <c r="B6329" s="78" t="s">
        <v>22</v>
      </c>
      <c r="C6329" s="85">
        <v>45478.0</v>
      </c>
      <c r="D6329" s="85">
        <v>45478.0</v>
      </c>
      <c r="E6329" s="86">
        <v>7.75</v>
      </c>
      <c r="F6329" s="87">
        <v>11.56</v>
      </c>
      <c r="G6329" s="88">
        <f t="shared" si="1"/>
        <v>3.81</v>
      </c>
      <c r="H6329" s="89">
        <f t="shared" si="15"/>
        <v>0.3295847751</v>
      </c>
      <c r="I6329" s="78" t="s">
        <v>7241</v>
      </c>
      <c r="J6329" s="78" t="s">
        <v>69</v>
      </c>
      <c r="K6329" s="58">
        <f t="shared" si="17"/>
        <v>0</v>
      </c>
      <c r="L6329" s="91" t="str">
        <f t="shared" si="8"/>
        <v>Fri</v>
      </c>
      <c r="M6329" s="78" t="str">
        <f>IFERROR(VLOOKUP(A6329, Entries!A:B,2,false),"")</f>
        <v>DANGEN Entertainment</v>
      </c>
      <c r="N6329" s="23" t="str">
        <f>IFERROR(VLOOKUP(A6329, Entries!A:K,11,false),"")</f>
        <v/>
      </c>
    </row>
    <row r="6330">
      <c r="A6330" s="78" t="s">
        <v>7227</v>
      </c>
      <c r="B6330" s="78" t="s">
        <v>22</v>
      </c>
      <c r="C6330" s="85">
        <v>45478.0</v>
      </c>
      <c r="D6330" s="85">
        <v>45478.0</v>
      </c>
      <c r="E6330" s="86">
        <v>7.15</v>
      </c>
      <c r="F6330" s="87">
        <v>11.56</v>
      </c>
      <c r="G6330" s="88">
        <f t="shared" si="1"/>
        <v>4.41</v>
      </c>
      <c r="H6330" s="89">
        <f t="shared" si="15"/>
        <v>0.3814878893</v>
      </c>
      <c r="I6330" s="78" t="s">
        <v>7242</v>
      </c>
      <c r="J6330" s="78" t="s">
        <v>69</v>
      </c>
      <c r="K6330" s="58">
        <f t="shared" si="17"/>
        <v>0</v>
      </c>
      <c r="L6330" s="91" t="str">
        <f t="shared" si="8"/>
        <v>Fri</v>
      </c>
      <c r="M6330" s="78" t="str">
        <f>IFERROR(VLOOKUP(A6330, Entries!A:B,2,false),"")</f>
        <v>DANGEN Entertainment</v>
      </c>
      <c r="N6330" s="23" t="str">
        <f>IFERROR(VLOOKUP(A6330, Entries!A:K,11,false),"")</f>
        <v/>
      </c>
    </row>
    <row r="6331">
      <c r="A6331" s="78" t="s">
        <v>7227</v>
      </c>
      <c r="B6331" s="78" t="s">
        <v>22</v>
      </c>
      <c r="C6331" s="85">
        <v>45478.0</v>
      </c>
      <c r="D6331" s="85">
        <v>45478.0</v>
      </c>
      <c r="E6331" s="86">
        <v>7.15</v>
      </c>
      <c r="F6331" s="87">
        <v>12.46</v>
      </c>
      <c r="G6331" s="88">
        <f t="shared" si="1"/>
        <v>5.31</v>
      </c>
      <c r="H6331" s="89">
        <f t="shared" si="15"/>
        <v>0.4261637239</v>
      </c>
      <c r="I6331" s="78" t="s">
        <v>7243</v>
      </c>
      <c r="J6331" s="78" t="s">
        <v>69</v>
      </c>
      <c r="K6331" s="58">
        <f t="shared" si="17"/>
        <v>0</v>
      </c>
      <c r="L6331" s="91" t="str">
        <f t="shared" si="8"/>
        <v>Fri</v>
      </c>
      <c r="M6331" s="78" t="str">
        <f>IFERROR(VLOOKUP(A6331, Entries!A:B,2,false),"")</f>
        <v>DANGEN Entertainment</v>
      </c>
      <c r="N6331" s="23" t="str">
        <f>IFERROR(VLOOKUP(A6331, Entries!A:K,11,false),"")</f>
        <v/>
      </c>
    </row>
    <row r="6332">
      <c r="A6332" s="78" t="s">
        <v>7202</v>
      </c>
      <c r="B6332" s="78" t="s">
        <v>22</v>
      </c>
      <c r="C6332" s="85">
        <v>45479.0</v>
      </c>
      <c r="D6332" s="85">
        <v>45480.0</v>
      </c>
      <c r="E6332" s="86">
        <v>7.46</v>
      </c>
      <c r="F6332" s="87">
        <v>10.04</v>
      </c>
      <c r="G6332" s="88">
        <f t="shared" si="1"/>
        <v>2.58</v>
      </c>
      <c r="H6332" s="89">
        <f t="shared" si="15"/>
        <v>0.2569721116</v>
      </c>
      <c r="I6332" s="78" t="s">
        <v>7244</v>
      </c>
      <c r="J6332" s="78" t="s">
        <v>69</v>
      </c>
      <c r="K6332" s="58">
        <f t="shared" si="17"/>
        <v>1</v>
      </c>
      <c r="L6332" s="91" t="str">
        <f t="shared" si="8"/>
        <v>Sun</v>
      </c>
      <c r="M6332" s="78" t="str">
        <f>IFERROR(VLOOKUP(A6332, Entries!A:B,2,false),"")</f>
        <v>Frontier Foundry</v>
      </c>
      <c r="N6332" s="23" t="str">
        <f>IFERROR(VLOOKUP(A6332, Entries!A:K,11,false),"")</f>
        <v/>
      </c>
    </row>
    <row r="6333">
      <c r="A6333" s="78" t="s">
        <v>4494</v>
      </c>
      <c r="B6333" s="78" t="s">
        <v>19</v>
      </c>
      <c r="C6333" s="85">
        <v>45479.0</v>
      </c>
      <c r="D6333" s="85">
        <v>45486.0</v>
      </c>
      <c r="E6333" s="86">
        <v>12.7</v>
      </c>
      <c r="F6333" s="87">
        <v>14.25</v>
      </c>
      <c r="G6333" s="88">
        <f t="shared" si="1"/>
        <v>1.55</v>
      </c>
      <c r="H6333" s="89">
        <f t="shared" si="15"/>
        <v>0.1087719298</v>
      </c>
      <c r="I6333" s="78" t="s">
        <v>7245</v>
      </c>
      <c r="J6333" s="78" t="s">
        <v>69</v>
      </c>
      <c r="K6333" s="58">
        <f t="shared" si="17"/>
        <v>7</v>
      </c>
      <c r="L6333" s="91" t="str">
        <f t="shared" si="8"/>
        <v>Sat</v>
      </c>
      <c r="M6333" s="78" t="str">
        <f>IFERROR(VLOOKUP(A6333, Entries!A:B,2,false),"")</f>
        <v>Skystone Games</v>
      </c>
      <c r="N6333" s="23" t="str">
        <f>IFERROR(VLOOKUP(A6333, Entries!A:K,11,false),"")</f>
        <v/>
      </c>
    </row>
    <row r="6334">
      <c r="A6334" s="78" t="s">
        <v>7186</v>
      </c>
      <c r="B6334" s="78" t="s">
        <v>19</v>
      </c>
      <c r="C6334" s="85">
        <v>45481.0</v>
      </c>
      <c r="D6334" s="85">
        <v>45641.0</v>
      </c>
      <c r="E6334" s="86">
        <v>9.13</v>
      </c>
      <c r="F6334" s="87">
        <v>7.33</v>
      </c>
      <c r="G6334" s="88">
        <f t="shared" si="1"/>
        <v>-1.8</v>
      </c>
      <c r="H6334" s="89">
        <f t="shared" si="15"/>
        <v>-0.2455661664</v>
      </c>
      <c r="I6334" s="78" t="s">
        <v>7246</v>
      </c>
      <c r="J6334" s="78" t="s">
        <v>69</v>
      </c>
      <c r="K6334" s="58">
        <f t="shared" si="17"/>
        <v>160</v>
      </c>
      <c r="L6334" s="91" t="str">
        <f t="shared" si="8"/>
        <v>Sun</v>
      </c>
      <c r="M6334" s="78" t="str">
        <f>IFERROR(VLOOKUP(A6334, Entries!A:B,2,false),"")</f>
        <v/>
      </c>
      <c r="N6334" s="23" t="str">
        <f>IFERROR(VLOOKUP(A6334, Entries!A:K,11,false),"")</f>
        <v/>
      </c>
    </row>
    <row r="6335">
      <c r="A6335" s="78" t="s">
        <v>7232</v>
      </c>
      <c r="B6335" s="78" t="s">
        <v>21</v>
      </c>
      <c r="C6335" s="85">
        <v>45482.0</v>
      </c>
      <c r="D6335" s="85">
        <v>45485.0</v>
      </c>
      <c r="E6335" s="86">
        <v>34.6</v>
      </c>
      <c r="F6335" s="87">
        <v>38.83</v>
      </c>
      <c r="G6335" s="88">
        <f t="shared" si="1"/>
        <v>4.23</v>
      </c>
      <c r="H6335" s="89">
        <f t="shared" si="15"/>
        <v>0.1089363894</v>
      </c>
      <c r="I6335" s="78" t="s">
        <v>7247</v>
      </c>
      <c r="J6335" s="78" t="s">
        <v>69</v>
      </c>
      <c r="K6335" s="58">
        <f t="shared" si="17"/>
        <v>3</v>
      </c>
      <c r="L6335" s="91" t="str">
        <f t="shared" si="8"/>
        <v>Fri</v>
      </c>
      <c r="M6335" s="78" t="str">
        <f>IFERROR(VLOOKUP(A6335, Entries!A:B,2,false),"")</f>
        <v>Electronic Arts</v>
      </c>
      <c r="N6335" s="23" t="str">
        <f>IFERROR(VLOOKUP(A6335, Entries!A:K,11,false),"")</f>
        <v/>
      </c>
    </row>
    <row r="6336">
      <c r="A6336" s="78" t="s">
        <v>4226</v>
      </c>
      <c r="B6336" s="78" t="s">
        <v>18</v>
      </c>
      <c r="C6336" s="85">
        <v>45482.0</v>
      </c>
      <c r="D6336" s="25"/>
      <c r="E6336" s="86">
        <v>14.38</v>
      </c>
      <c r="F6336" s="88"/>
      <c r="G6336" s="88">
        <f t="shared" si="1"/>
        <v>-14.38</v>
      </c>
      <c r="H6336" s="89" t="str">
        <f t="shared" si="15"/>
        <v/>
      </c>
      <c r="I6336" s="103" t="s">
        <v>7248</v>
      </c>
      <c r="J6336" s="78" t="s">
        <v>1129</v>
      </c>
      <c r="K6336" s="58" t="str">
        <f t="shared" si="17"/>
        <v/>
      </c>
      <c r="L6336" s="91" t="str">
        <f t="shared" si="8"/>
        <v/>
      </c>
      <c r="M6336" s="78" t="str">
        <f>IFERROR(VLOOKUP(A6336, Entries!A:B,2,false),"")</f>
        <v>BANDAI NAMCO</v>
      </c>
      <c r="N6336" s="23" t="str">
        <f>IFERROR(VLOOKUP(A6336, Entries!A:K,11,false),"")</f>
        <v/>
      </c>
    </row>
    <row r="6337">
      <c r="A6337" s="78" t="s">
        <v>7249</v>
      </c>
      <c r="B6337" s="78" t="s">
        <v>19</v>
      </c>
      <c r="C6337" s="85">
        <v>45485.0</v>
      </c>
      <c r="D6337" s="85">
        <v>45486.0</v>
      </c>
      <c r="E6337" s="86">
        <v>2.99</v>
      </c>
      <c r="F6337" s="87">
        <v>4.51</v>
      </c>
      <c r="G6337" s="88">
        <f t="shared" si="1"/>
        <v>1.52</v>
      </c>
      <c r="H6337" s="89">
        <f t="shared" si="15"/>
        <v>0.3370288248</v>
      </c>
      <c r="I6337" s="78" t="s">
        <v>7250</v>
      </c>
      <c r="J6337" s="78" t="s">
        <v>69</v>
      </c>
      <c r="K6337" s="58">
        <f t="shared" si="17"/>
        <v>1</v>
      </c>
      <c r="L6337" s="91" t="str">
        <f t="shared" si="8"/>
        <v>Sat</v>
      </c>
      <c r="M6337" s="78" t="str">
        <f>IFERROR(VLOOKUP(A6337, Entries!A:B,2,false),"")</f>
        <v/>
      </c>
      <c r="N6337" s="23" t="str">
        <f>IFERROR(VLOOKUP(A6337, Entries!A:K,11,false),"")</f>
        <v/>
      </c>
    </row>
    <row r="6338">
      <c r="A6338" s="78" t="s">
        <v>7232</v>
      </c>
      <c r="B6338" s="78" t="s">
        <v>21</v>
      </c>
      <c r="C6338" s="85">
        <v>45485.0</v>
      </c>
      <c r="D6338" s="85">
        <v>45487.0</v>
      </c>
      <c r="E6338" s="86">
        <v>34.61</v>
      </c>
      <c r="F6338" s="87">
        <v>39.87</v>
      </c>
      <c r="G6338" s="88">
        <f t="shared" si="1"/>
        <v>5.26</v>
      </c>
      <c r="H6338" s="89">
        <f t="shared" si="15"/>
        <v>0.1319287685</v>
      </c>
      <c r="I6338" s="78" t="s">
        <v>7251</v>
      </c>
      <c r="J6338" s="78" t="s">
        <v>69</v>
      </c>
      <c r="K6338" s="58">
        <f t="shared" si="17"/>
        <v>2</v>
      </c>
      <c r="L6338" s="91" t="str">
        <f t="shared" si="8"/>
        <v>Sun</v>
      </c>
      <c r="M6338" s="78" t="str">
        <f>IFERROR(VLOOKUP(A6338, Entries!A:B,2,false),"")</f>
        <v>Electronic Arts</v>
      </c>
      <c r="N6338" s="23" t="str">
        <f>IFERROR(VLOOKUP(A6338, Entries!A:K,11,false),"")</f>
        <v/>
      </c>
    </row>
    <row r="6339">
      <c r="A6339" s="78" t="s">
        <v>5100</v>
      </c>
      <c r="B6339" s="78" t="s">
        <v>25</v>
      </c>
      <c r="C6339" s="85">
        <v>45486.0</v>
      </c>
      <c r="D6339" s="85">
        <v>45501.0</v>
      </c>
      <c r="E6339" s="86">
        <v>20.43</v>
      </c>
      <c r="F6339" s="87">
        <v>22.84</v>
      </c>
      <c r="G6339" s="88">
        <f t="shared" si="1"/>
        <v>2.41</v>
      </c>
      <c r="H6339" s="89">
        <f t="shared" si="15"/>
        <v>0.1055166375</v>
      </c>
      <c r="I6339" s="78" t="s">
        <v>7252</v>
      </c>
      <c r="J6339" s="78" t="s">
        <v>69</v>
      </c>
      <c r="K6339" s="58">
        <f t="shared" si="17"/>
        <v>15</v>
      </c>
      <c r="L6339" s="91" t="str">
        <f t="shared" si="8"/>
        <v>Sun</v>
      </c>
      <c r="M6339" s="78" t="str">
        <f>IFERROR(VLOOKUP(A6339, Entries!A:B,2,false),"")</f>
        <v>Activision</v>
      </c>
      <c r="N6339" s="23" t="str">
        <f>IFERROR(VLOOKUP(A6339, Entries!A:K,11,false),"")</f>
        <v/>
      </c>
    </row>
    <row r="6340">
      <c r="A6340" s="78" t="s">
        <v>7253</v>
      </c>
      <c r="B6340" s="78" t="s">
        <v>18</v>
      </c>
      <c r="C6340" s="85">
        <v>45487.0</v>
      </c>
      <c r="D6340" s="85">
        <v>45492.0</v>
      </c>
      <c r="E6340" s="86">
        <v>31.89</v>
      </c>
      <c r="F6340" s="87">
        <v>40.13</v>
      </c>
      <c r="G6340" s="88">
        <f t="shared" si="1"/>
        <v>8.24</v>
      </c>
      <c r="H6340" s="89">
        <f t="shared" si="15"/>
        <v>0.2053326688</v>
      </c>
      <c r="I6340" s="78" t="s">
        <v>7254</v>
      </c>
      <c r="J6340" s="78" t="s">
        <v>69</v>
      </c>
      <c r="K6340" s="58">
        <f t="shared" si="17"/>
        <v>5</v>
      </c>
      <c r="L6340" s="91" t="str">
        <f t="shared" si="8"/>
        <v>Fri</v>
      </c>
      <c r="M6340" s="78" t="str">
        <f>IFERROR(VLOOKUP(A6340, Entries!A:B,2,false),"")</f>
        <v/>
      </c>
      <c r="N6340" s="23" t="str">
        <f>IFERROR(VLOOKUP(A6340, Entries!A:K,11,false),"")</f>
        <v/>
      </c>
    </row>
    <row r="6341">
      <c r="A6341" s="78" t="s">
        <v>7253</v>
      </c>
      <c r="B6341" s="78" t="s">
        <v>18</v>
      </c>
      <c r="C6341" s="85">
        <v>45480.0</v>
      </c>
      <c r="D6341" s="25"/>
      <c r="E6341" s="86">
        <v>31.89</v>
      </c>
      <c r="F6341" s="88"/>
      <c r="G6341" s="88">
        <f t="shared" si="1"/>
        <v>-31.89</v>
      </c>
      <c r="H6341" s="89" t="str">
        <f t="shared" si="15"/>
        <v/>
      </c>
      <c r="I6341" s="103" t="s">
        <v>7255</v>
      </c>
      <c r="J6341" s="78" t="s">
        <v>1129</v>
      </c>
      <c r="K6341" s="58" t="str">
        <f t="shared" si="17"/>
        <v/>
      </c>
      <c r="L6341" s="91" t="str">
        <f t="shared" si="8"/>
        <v/>
      </c>
      <c r="M6341" s="78" t="str">
        <f>IFERROR(VLOOKUP(A6341, Entries!A:B,2,false),"")</f>
        <v/>
      </c>
      <c r="N6341" s="23" t="str">
        <f>IFERROR(VLOOKUP(A6341, Entries!A:K,11,false),"")</f>
        <v/>
      </c>
    </row>
    <row r="6342">
      <c r="A6342" s="78" t="s">
        <v>7232</v>
      </c>
      <c r="B6342" s="78" t="s">
        <v>21</v>
      </c>
      <c r="C6342" s="85">
        <v>45487.0</v>
      </c>
      <c r="D6342" s="85">
        <v>45488.0</v>
      </c>
      <c r="E6342" s="86">
        <v>34.89</v>
      </c>
      <c r="F6342" s="87">
        <v>40.91</v>
      </c>
      <c r="G6342" s="88">
        <f t="shared" si="1"/>
        <v>6.02</v>
      </c>
      <c r="H6342" s="89">
        <f t="shared" si="15"/>
        <v>0.1471522855</v>
      </c>
      <c r="I6342" s="78" t="s">
        <v>7256</v>
      </c>
      <c r="J6342" s="78" t="s">
        <v>69</v>
      </c>
      <c r="K6342" s="58">
        <f t="shared" si="17"/>
        <v>1</v>
      </c>
      <c r="L6342" s="91" t="str">
        <f t="shared" si="8"/>
        <v>Mon</v>
      </c>
      <c r="M6342" s="78" t="str">
        <f>IFERROR(VLOOKUP(A6342, Entries!A:B,2,false),"")</f>
        <v>Electronic Arts</v>
      </c>
      <c r="N6342" s="23" t="str">
        <f>IFERROR(VLOOKUP(A6342, Entries!A:K,11,false),"")</f>
        <v/>
      </c>
    </row>
    <row r="6343">
      <c r="A6343" s="78" t="s">
        <v>7257</v>
      </c>
      <c r="B6343" s="78" t="s">
        <v>21</v>
      </c>
      <c r="C6343" s="85">
        <v>45488.0</v>
      </c>
      <c r="D6343" s="85">
        <v>45504.0</v>
      </c>
      <c r="E6343" s="86">
        <v>33.97</v>
      </c>
      <c r="F6343" s="87">
        <v>35.88</v>
      </c>
      <c r="G6343" s="88">
        <f t="shared" si="1"/>
        <v>1.91</v>
      </c>
      <c r="H6343" s="89">
        <f t="shared" si="15"/>
        <v>0.05323299889</v>
      </c>
      <c r="I6343" s="78" t="s">
        <v>7258</v>
      </c>
      <c r="J6343" s="78" t="s">
        <v>69</v>
      </c>
      <c r="K6343" s="58">
        <f t="shared" si="17"/>
        <v>16</v>
      </c>
      <c r="L6343" s="91" t="str">
        <f t="shared" si="8"/>
        <v>Wed</v>
      </c>
      <c r="M6343" s="78" t="str">
        <f>IFERROR(VLOOKUP(A6343, Entries!A:B,2,false),"")</f>
        <v>Electronic Arts</v>
      </c>
      <c r="N6343" s="23" t="str">
        <f>IFERROR(VLOOKUP(A6343, Entries!A:K,11,false),"")</f>
        <v/>
      </c>
    </row>
    <row r="6344">
      <c r="A6344" s="78" t="s">
        <v>7232</v>
      </c>
      <c r="B6344" s="78" t="s">
        <v>21</v>
      </c>
      <c r="C6344" s="85">
        <v>45488.0</v>
      </c>
      <c r="D6344" s="85">
        <v>45489.0</v>
      </c>
      <c r="E6344" s="86">
        <v>36.15</v>
      </c>
      <c r="F6344" s="87">
        <v>43.83</v>
      </c>
      <c r="G6344" s="88">
        <f t="shared" si="1"/>
        <v>7.68</v>
      </c>
      <c r="H6344" s="89">
        <f t="shared" si="15"/>
        <v>0.1752224504</v>
      </c>
      <c r="I6344" s="78" t="s">
        <v>7259</v>
      </c>
      <c r="J6344" s="78" t="s">
        <v>69</v>
      </c>
      <c r="K6344" s="58">
        <f t="shared" si="17"/>
        <v>1</v>
      </c>
      <c r="L6344" s="91" t="str">
        <f t="shared" si="8"/>
        <v>Tue</v>
      </c>
      <c r="M6344" s="78" t="str">
        <f>IFERROR(VLOOKUP(A6344, Entries!A:B,2,false),"")</f>
        <v>Electronic Arts</v>
      </c>
      <c r="N6344" s="23" t="str">
        <f>IFERROR(VLOOKUP(A6344, Entries!A:K,11,false),"")</f>
        <v/>
      </c>
    </row>
    <row r="6345">
      <c r="A6345" s="78" t="s">
        <v>7260</v>
      </c>
      <c r="B6345" s="78" t="s">
        <v>21</v>
      </c>
      <c r="C6345" s="85">
        <v>45490.0</v>
      </c>
      <c r="D6345" s="85">
        <v>45528.0</v>
      </c>
      <c r="E6345" s="86">
        <v>28.46</v>
      </c>
      <c r="F6345" s="87">
        <v>33.99</v>
      </c>
      <c r="G6345" s="88">
        <f t="shared" si="1"/>
        <v>5.53</v>
      </c>
      <c r="H6345" s="89">
        <f t="shared" si="15"/>
        <v>0.1626949103</v>
      </c>
      <c r="I6345" s="78" t="s">
        <v>7261</v>
      </c>
      <c r="J6345" s="78" t="s">
        <v>69</v>
      </c>
      <c r="K6345" s="58">
        <f t="shared" si="17"/>
        <v>38</v>
      </c>
      <c r="L6345" s="91" t="str">
        <f t="shared" si="8"/>
        <v>Sat</v>
      </c>
      <c r="M6345" s="78" t="str">
        <f>IFERROR(VLOOKUP(A6345, Entries!A:B,2,false),"")</f>
        <v/>
      </c>
      <c r="N6345" s="23" t="str">
        <f>IFERROR(VLOOKUP(A6345, Entries!A:K,11,false),"")</f>
        <v/>
      </c>
    </row>
    <row r="6346">
      <c r="A6346" s="78" t="s">
        <v>7159</v>
      </c>
      <c r="B6346" s="78" t="s">
        <v>21</v>
      </c>
      <c r="C6346" s="85">
        <v>45490.0</v>
      </c>
      <c r="D6346" s="85">
        <v>45493.0</v>
      </c>
      <c r="E6346" s="86">
        <v>16.94</v>
      </c>
      <c r="F6346" s="87">
        <v>18.81</v>
      </c>
      <c r="G6346" s="88">
        <f t="shared" si="1"/>
        <v>1.87</v>
      </c>
      <c r="H6346" s="89">
        <f t="shared" si="15"/>
        <v>0.09941520468</v>
      </c>
      <c r="I6346" s="78" t="s">
        <v>7262</v>
      </c>
      <c r="J6346" s="78" t="s">
        <v>69</v>
      </c>
      <c r="K6346" s="58">
        <f t="shared" si="17"/>
        <v>3</v>
      </c>
      <c r="L6346" s="91" t="str">
        <f t="shared" si="8"/>
        <v>Sat</v>
      </c>
      <c r="M6346" s="78" t="str">
        <f>IFERROR(VLOOKUP(A6346, Entries!A:B,2,false),"")</f>
        <v>XREAL Games</v>
      </c>
      <c r="N6346" s="23" t="str">
        <f>IFERROR(VLOOKUP(A6346, Entries!A:K,11,false),"")</f>
        <v/>
      </c>
    </row>
    <row r="6347">
      <c r="A6347" s="78" t="s">
        <v>7196</v>
      </c>
      <c r="B6347" s="78" t="s">
        <v>25</v>
      </c>
      <c r="C6347" s="85">
        <v>45490.0</v>
      </c>
      <c r="D6347" s="85">
        <v>45548.0</v>
      </c>
      <c r="E6347" s="86">
        <v>18.97</v>
      </c>
      <c r="F6347" s="87">
        <v>20.13</v>
      </c>
      <c r="G6347" s="88">
        <f t="shared" si="1"/>
        <v>1.16</v>
      </c>
      <c r="H6347" s="89">
        <f t="shared" si="15"/>
        <v>0.05762543467</v>
      </c>
      <c r="I6347" s="78" t="s">
        <v>7263</v>
      </c>
      <c r="J6347" s="78" t="s">
        <v>69</v>
      </c>
      <c r="K6347" s="58">
        <f t="shared" si="17"/>
        <v>58</v>
      </c>
      <c r="L6347" s="91" t="str">
        <f t="shared" si="8"/>
        <v>Fri</v>
      </c>
      <c r="M6347" s="78" t="str">
        <f>IFERROR(VLOOKUP(A6347, Entries!A:B,2,false),"")</f>
        <v/>
      </c>
      <c r="N6347" s="23" t="str">
        <f>IFERROR(VLOOKUP(A6347, Entries!A:K,11,false),"")</f>
        <v/>
      </c>
    </row>
    <row r="6348">
      <c r="A6348" s="78" t="s">
        <v>7092</v>
      </c>
      <c r="B6348" s="78" t="s">
        <v>23</v>
      </c>
      <c r="C6348" s="85">
        <v>45491.0</v>
      </c>
      <c r="D6348" s="85">
        <v>45491.0</v>
      </c>
      <c r="E6348" s="86">
        <v>8.62</v>
      </c>
      <c r="F6348" s="87">
        <v>10.66</v>
      </c>
      <c r="G6348" s="88">
        <f t="shared" si="1"/>
        <v>2.04</v>
      </c>
      <c r="H6348" s="89">
        <f t="shared" si="15"/>
        <v>0.191369606</v>
      </c>
      <c r="I6348" s="78" t="s">
        <v>7264</v>
      </c>
      <c r="J6348" s="78" t="s">
        <v>69</v>
      </c>
      <c r="K6348" s="58">
        <f t="shared" si="17"/>
        <v>0</v>
      </c>
      <c r="L6348" s="91" t="str">
        <f t="shared" si="8"/>
        <v>Thu</v>
      </c>
      <c r="M6348" s="78" t="str">
        <f>IFERROR(VLOOKUP(A6348, Entries!A:B,2,false),"")</f>
        <v>IO Interactive</v>
      </c>
      <c r="N6348" s="23" t="str">
        <f>IFERROR(VLOOKUP(A6348, Entries!A:K,11,false),"")</f>
        <v/>
      </c>
    </row>
    <row r="6349">
      <c r="A6349" s="78" t="s">
        <v>7092</v>
      </c>
      <c r="B6349" s="78" t="s">
        <v>23</v>
      </c>
      <c r="C6349" s="85">
        <v>45491.0</v>
      </c>
      <c r="D6349" s="85">
        <v>45491.0</v>
      </c>
      <c r="E6349" s="86">
        <v>8.6</v>
      </c>
      <c r="F6349" s="87">
        <v>10.66</v>
      </c>
      <c r="G6349" s="88">
        <f t="shared" si="1"/>
        <v>2.06</v>
      </c>
      <c r="H6349" s="89">
        <f t="shared" si="15"/>
        <v>0.1932457786</v>
      </c>
      <c r="I6349" s="78" t="s">
        <v>7265</v>
      </c>
      <c r="J6349" s="78" t="s">
        <v>69</v>
      </c>
      <c r="K6349" s="58">
        <f t="shared" si="17"/>
        <v>0</v>
      </c>
      <c r="L6349" s="91" t="str">
        <f t="shared" si="8"/>
        <v>Thu</v>
      </c>
      <c r="M6349" s="78" t="str">
        <f>IFERROR(VLOOKUP(A6349, Entries!A:B,2,false),"")</f>
        <v>IO Interactive</v>
      </c>
      <c r="N6349" s="23" t="str">
        <f>IFERROR(VLOOKUP(A6349, Entries!A:K,11,false),"")</f>
        <v/>
      </c>
    </row>
    <row r="6350">
      <c r="A6350" s="78" t="s">
        <v>7092</v>
      </c>
      <c r="B6350" s="78" t="s">
        <v>23</v>
      </c>
      <c r="C6350" s="85">
        <v>45492.0</v>
      </c>
      <c r="D6350" s="85">
        <v>45492.0</v>
      </c>
      <c r="E6350" s="86">
        <v>8.6</v>
      </c>
      <c r="F6350" s="87">
        <v>10.66</v>
      </c>
      <c r="G6350" s="88">
        <f t="shared" si="1"/>
        <v>2.06</v>
      </c>
      <c r="H6350" s="89">
        <f t="shared" si="15"/>
        <v>0.1932457786</v>
      </c>
      <c r="I6350" s="78" t="s">
        <v>7266</v>
      </c>
      <c r="J6350" s="78" t="s">
        <v>69</v>
      </c>
      <c r="K6350" s="58">
        <f t="shared" si="17"/>
        <v>0</v>
      </c>
      <c r="L6350" s="91" t="str">
        <f t="shared" si="8"/>
        <v>Fri</v>
      </c>
      <c r="M6350" s="78" t="str">
        <f>IFERROR(VLOOKUP(A6350, Entries!A:B,2,false),"")</f>
        <v>IO Interactive</v>
      </c>
      <c r="N6350" s="23" t="str">
        <f>IFERROR(VLOOKUP(A6350, Entries!A:K,11,false),"")</f>
        <v/>
      </c>
    </row>
    <row r="6351">
      <c r="A6351" s="78" t="s">
        <v>7092</v>
      </c>
      <c r="B6351" s="78" t="s">
        <v>23</v>
      </c>
      <c r="C6351" s="85">
        <v>45492.0</v>
      </c>
      <c r="D6351" s="85">
        <v>45493.0</v>
      </c>
      <c r="E6351" s="86">
        <v>8.6</v>
      </c>
      <c r="F6351" s="87">
        <v>10.66</v>
      </c>
      <c r="G6351" s="88">
        <f t="shared" si="1"/>
        <v>2.06</v>
      </c>
      <c r="H6351" s="89">
        <f t="shared" si="15"/>
        <v>0.1932457786</v>
      </c>
      <c r="I6351" s="78" t="s">
        <v>7267</v>
      </c>
      <c r="J6351" s="78" t="s">
        <v>69</v>
      </c>
      <c r="K6351" s="58">
        <f t="shared" si="17"/>
        <v>1</v>
      </c>
      <c r="L6351" s="91" t="str">
        <f t="shared" si="8"/>
        <v>Sat</v>
      </c>
      <c r="M6351" s="78" t="str">
        <f>IFERROR(VLOOKUP(A6351, Entries!A:B,2,false),"")</f>
        <v>IO Interactive</v>
      </c>
      <c r="N6351" s="23" t="str">
        <f>IFERROR(VLOOKUP(A6351, Entries!A:K,11,false),"")</f>
        <v/>
      </c>
    </row>
    <row r="6352">
      <c r="A6352" s="78" t="s">
        <v>7268</v>
      </c>
      <c r="B6352" s="78" t="s">
        <v>21</v>
      </c>
      <c r="C6352" s="85">
        <v>45493.0</v>
      </c>
      <c r="D6352" s="85">
        <v>45493.0</v>
      </c>
      <c r="E6352" s="86">
        <v>13.05</v>
      </c>
      <c r="F6352" s="87">
        <v>14.22</v>
      </c>
      <c r="G6352" s="88">
        <f t="shared" si="1"/>
        <v>1.17</v>
      </c>
      <c r="H6352" s="89">
        <f t="shared" si="15"/>
        <v>0.08227848101</v>
      </c>
      <c r="I6352" s="78" t="s">
        <v>7269</v>
      </c>
      <c r="J6352" s="78" t="s">
        <v>69</v>
      </c>
      <c r="K6352" s="58">
        <f t="shared" si="17"/>
        <v>0</v>
      </c>
      <c r="L6352" s="91" t="str">
        <f t="shared" si="8"/>
        <v>Sat</v>
      </c>
      <c r="M6352" s="78" t="str">
        <f>IFERROR(VLOOKUP(A6352, Entries!A:B,2,false),"")</f>
        <v/>
      </c>
      <c r="N6352" s="23" t="str">
        <f>IFERROR(VLOOKUP(A6352, Entries!A:K,11,false),"")</f>
        <v/>
      </c>
    </row>
    <row r="6353">
      <c r="A6353" s="78" t="s">
        <v>7268</v>
      </c>
      <c r="B6353" s="78" t="s">
        <v>21</v>
      </c>
      <c r="C6353" s="85">
        <v>45493.0</v>
      </c>
      <c r="D6353" s="85">
        <v>45608.0</v>
      </c>
      <c r="E6353" s="86">
        <v>13.05</v>
      </c>
      <c r="F6353" s="87">
        <v>14.08</v>
      </c>
      <c r="G6353" s="88">
        <f t="shared" si="1"/>
        <v>1.03</v>
      </c>
      <c r="H6353" s="89">
        <f t="shared" si="15"/>
        <v>0.07315340909</v>
      </c>
      <c r="I6353" s="78" t="s">
        <v>7270</v>
      </c>
      <c r="J6353" s="78" t="s">
        <v>69</v>
      </c>
      <c r="K6353" s="58">
        <f t="shared" si="17"/>
        <v>115</v>
      </c>
      <c r="L6353" s="91" t="str">
        <f t="shared" si="8"/>
        <v>Tue</v>
      </c>
      <c r="M6353" s="78" t="str">
        <f>IFERROR(VLOOKUP(A6353, Entries!A:B,2,false),"")</f>
        <v/>
      </c>
      <c r="N6353" s="23" t="str">
        <f>IFERROR(VLOOKUP(A6353, Entries!A:K,11,false),"")</f>
        <v/>
      </c>
    </row>
    <row r="6354">
      <c r="A6354" s="78" t="s">
        <v>7268</v>
      </c>
      <c r="B6354" s="78" t="s">
        <v>21</v>
      </c>
      <c r="C6354" s="85">
        <v>45493.0</v>
      </c>
      <c r="D6354" s="85">
        <v>45649.0</v>
      </c>
      <c r="E6354" s="86">
        <v>13.05</v>
      </c>
      <c r="F6354" s="87">
        <v>16.02</v>
      </c>
      <c r="G6354" s="88">
        <f t="shared" si="1"/>
        <v>2.97</v>
      </c>
      <c r="H6354" s="89">
        <f t="shared" si="15"/>
        <v>0.1853932584</v>
      </c>
      <c r="I6354" s="78" t="s">
        <v>7271</v>
      </c>
      <c r="J6354" s="78" t="s">
        <v>69</v>
      </c>
      <c r="K6354" s="58">
        <f t="shared" si="17"/>
        <v>156</v>
      </c>
      <c r="L6354" s="91" t="str">
        <f t="shared" si="8"/>
        <v>Mon</v>
      </c>
      <c r="M6354" s="78" t="str">
        <f>IFERROR(VLOOKUP(A6354, Entries!A:B,2,false),"")</f>
        <v/>
      </c>
      <c r="N6354" s="23" t="str">
        <f>IFERROR(VLOOKUP(A6354, Entries!A:K,11,false),"")</f>
        <v/>
      </c>
    </row>
    <row r="6355">
      <c r="A6355" s="78" t="s">
        <v>7092</v>
      </c>
      <c r="B6355" s="78" t="s">
        <v>23</v>
      </c>
      <c r="C6355" s="85">
        <v>45493.0</v>
      </c>
      <c r="D6355" s="85">
        <v>45493.0</v>
      </c>
      <c r="E6355" s="86">
        <v>8.61</v>
      </c>
      <c r="F6355" s="87">
        <v>10.66</v>
      </c>
      <c r="G6355" s="88">
        <f t="shared" si="1"/>
        <v>2.05</v>
      </c>
      <c r="H6355" s="89">
        <f t="shared" si="15"/>
        <v>0.1923076923</v>
      </c>
      <c r="I6355" s="78" t="s">
        <v>7272</v>
      </c>
      <c r="J6355" s="78" t="s">
        <v>69</v>
      </c>
      <c r="K6355" s="58">
        <f t="shared" si="17"/>
        <v>0</v>
      </c>
      <c r="L6355" s="91" t="str">
        <f t="shared" si="8"/>
        <v>Sat</v>
      </c>
      <c r="M6355" s="78" t="str">
        <f>IFERROR(VLOOKUP(A6355, Entries!A:B,2,false),"")</f>
        <v>IO Interactive</v>
      </c>
      <c r="N6355" s="23" t="str">
        <f>IFERROR(VLOOKUP(A6355, Entries!A:K,11,false),"")</f>
        <v/>
      </c>
    </row>
    <row r="6356">
      <c r="A6356" s="78" t="s">
        <v>7159</v>
      </c>
      <c r="B6356" s="78" t="s">
        <v>25</v>
      </c>
      <c r="C6356" s="85">
        <v>45493.0</v>
      </c>
      <c r="D6356" s="85">
        <v>45494.0</v>
      </c>
      <c r="E6356" s="86">
        <v>16.78</v>
      </c>
      <c r="F6356" s="87">
        <v>18.81</v>
      </c>
      <c r="G6356" s="88">
        <f t="shared" si="1"/>
        <v>2.03</v>
      </c>
      <c r="H6356" s="89">
        <f t="shared" si="15"/>
        <v>0.1079213184</v>
      </c>
      <c r="I6356" s="78" t="s">
        <v>7273</v>
      </c>
      <c r="J6356" s="78" t="s">
        <v>69</v>
      </c>
      <c r="K6356" s="58">
        <f t="shared" si="17"/>
        <v>1</v>
      </c>
      <c r="L6356" s="91" t="str">
        <f t="shared" si="8"/>
        <v>Sun</v>
      </c>
      <c r="M6356" s="78" t="str">
        <f>IFERROR(VLOOKUP(A6356, Entries!A:B,2,false),"")</f>
        <v>XREAL Games</v>
      </c>
      <c r="N6356" s="23" t="str">
        <f>IFERROR(VLOOKUP(A6356, Entries!A:K,11,false),"")</f>
        <v/>
      </c>
    </row>
    <row r="6357">
      <c r="A6357" s="78" t="s">
        <v>7274</v>
      </c>
      <c r="B6357" s="78" t="s">
        <v>25</v>
      </c>
      <c r="C6357" s="85">
        <v>45494.0</v>
      </c>
      <c r="D6357" s="85">
        <v>45495.0</v>
      </c>
      <c r="E6357" s="86">
        <v>18.45</v>
      </c>
      <c r="F6357" s="87">
        <v>20.59</v>
      </c>
      <c r="G6357" s="88">
        <f t="shared" si="1"/>
        <v>2.14</v>
      </c>
      <c r="H6357" s="89">
        <f t="shared" si="15"/>
        <v>0.1039339485</v>
      </c>
      <c r="I6357" s="78" t="s">
        <v>7275</v>
      </c>
      <c r="J6357" s="78" t="s">
        <v>69</v>
      </c>
      <c r="K6357" s="58">
        <f t="shared" si="17"/>
        <v>1</v>
      </c>
      <c r="L6357" s="91" t="str">
        <f t="shared" si="8"/>
        <v>Mon</v>
      </c>
      <c r="M6357" s="78" t="str">
        <f>IFERROR(VLOOKUP(A6357, Entries!A:B,2,false),"")</f>
        <v/>
      </c>
      <c r="N6357" s="23" t="str">
        <f>IFERROR(VLOOKUP(A6357, Entries!A:K,11,false),"")</f>
        <v/>
      </c>
    </row>
    <row r="6358">
      <c r="A6358" s="78" t="s">
        <v>7274</v>
      </c>
      <c r="B6358" s="78" t="s">
        <v>21</v>
      </c>
      <c r="C6358" s="85">
        <v>45495.0</v>
      </c>
      <c r="D6358" s="25"/>
      <c r="E6358" s="86">
        <v>18.2</v>
      </c>
      <c r="F6358" s="88"/>
      <c r="G6358" s="88">
        <f t="shared" si="1"/>
        <v>-18.2</v>
      </c>
      <c r="H6358" s="89"/>
      <c r="I6358" s="103" t="s">
        <v>7276</v>
      </c>
      <c r="J6358" s="78" t="s">
        <v>1129</v>
      </c>
      <c r="K6358" s="58" t="str">
        <f t="shared" si="17"/>
        <v/>
      </c>
      <c r="L6358" s="91" t="str">
        <f t="shared" si="8"/>
        <v/>
      </c>
      <c r="M6358" s="78" t="str">
        <f>IFERROR(VLOOKUP(A6358, Entries!A:B,2,false),"")</f>
        <v/>
      </c>
      <c r="N6358" s="23" t="str">
        <f>IFERROR(VLOOKUP(A6358, Entries!A:K,11,false),"")</f>
        <v/>
      </c>
    </row>
    <row r="6359">
      <c r="A6359" s="78" t="s">
        <v>5676</v>
      </c>
      <c r="B6359" s="78" t="s">
        <v>23</v>
      </c>
      <c r="C6359" s="85">
        <v>45499.0</v>
      </c>
      <c r="D6359" s="85">
        <v>45499.0</v>
      </c>
      <c r="E6359" s="86">
        <v>35.6</v>
      </c>
      <c r="F6359" s="87">
        <v>43.5</v>
      </c>
      <c r="G6359" s="88">
        <f t="shared" si="1"/>
        <v>7.9</v>
      </c>
      <c r="H6359" s="89">
        <f t="shared" ref="H6359:H8927" si="18">IFERROR(G6359/F6359,"")</f>
        <v>0.1816091954</v>
      </c>
      <c r="I6359" s="78" t="s">
        <v>7277</v>
      </c>
      <c r="J6359" s="78" t="s">
        <v>69</v>
      </c>
      <c r="K6359" s="58">
        <f t="shared" si="17"/>
        <v>0</v>
      </c>
      <c r="L6359" s="91" t="str">
        <f t="shared" si="8"/>
        <v>Fri</v>
      </c>
      <c r="M6359" s="78" t="str">
        <f>IFERROR(VLOOKUP(A6359, Entries!A:B,2,false),"")</f>
        <v>Bethesda Softworks</v>
      </c>
      <c r="N6359" s="23" t="str">
        <f>IFERROR(VLOOKUP(A6359, Entries!A:K,11,false),"")</f>
        <v/>
      </c>
    </row>
    <row r="6360">
      <c r="A6360" s="78" t="s">
        <v>7159</v>
      </c>
      <c r="B6360" s="78" t="s">
        <v>25</v>
      </c>
      <c r="C6360" s="85">
        <v>45497.0</v>
      </c>
      <c r="D6360" s="85">
        <v>45498.0</v>
      </c>
      <c r="E6360" s="86">
        <v>16.58</v>
      </c>
      <c r="F6360" s="87">
        <v>18.81</v>
      </c>
      <c r="G6360" s="88">
        <f t="shared" si="1"/>
        <v>2.23</v>
      </c>
      <c r="H6360" s="89">
        <f t="shared" si="18"/>
        <v>0.1185539607</v>
      </c>
      <c r="I6360" s="78" t="s">
        <v>7278</v>
      </c>
      <c r="J6360" s="78" t="s">
        <v>69</v>
      </c>
      <c r="K6360" s="58">
        <f t="shared" si="17"/>
        <v>1</v>
      </c>
      <c r="L6360" s="91" t="str">
        <f t="shared" si="8"/>
        <v>Thu</v>
      </c>
      <c r="M6360" s="78" t="str">
        <f>IFERROR(VLOOKUP(A6360, Entries!A:B,2,false),"")</f>
        <v>XREAL Games</v>
      </c>
      <c r="N6360" s="23" t="str">
        <f>IFERROR(VLOOKUP(A6360, Entries!A:K,11,false),"")</f>
        <v/>
      </c>
    </row>
    <row r="6361">
      <c r="A6361" s="78" t="s">
        <v>7159</v>
      </c>
      <c r="B6361" s="78" t="s">
        <v>25</v>
      </c>
      <c r="C6361" s="85">
        <v>45497.0</v>
      </c>
      <c r="D6361" s="25"/>
      <c r="E6361" s="86">
        <v>16.68</v>
      </c>
      <c r="F6361" s="88"/>
      <c r="G6361" s="88">
        <f t="shared" si="1"/>
        <v>-16.68</v>
      </c>
      <c r="H6361" s="89" t="str">
        <f t="shared" si="18"/>
        <v/>
      </c>
      <c r="I6361" s="103" t="s">
        <v>7279</v>
      </c>
      <c r="J6361" s="78" t="s">
        <v>1129</v>
      </c>
      <c r="K6361" s="58" t="str">
        <f t="shared" si="17"/>
        <v/>
      </c>
      <c r="L6361" s="91" t="str">
        <f t="shared" si="8"/>
        <v/>
      </c>
      <c r="M6361" s="78" t="str">
        <f>IFERROR(VLOOKUP(A6361, Entries!A:B,2,false),"")</f>
        <v>XREAL Games</v>
      </c>
      <c r="N6361" s="23" t="str">
        <f>IFERROR(VLOOKUP(A6361, Entries!A:K,11,false),"")</f>
        <v/>
      </c>
    </row>
    <row r="6362">
      <c r="A6362" s="78" t="s">
        <v>7280</v>
      </c>
      <c r="B6362" s="78" t="s">
        <v>21</v>
      </c>
      <c r="C6362" s="85">
        <v>45497.0</v>
      </c>
      <c r="D6362" s="85">
        <v>45497.0</v>
      </c>
      <c r="E6362" s="86">
        <v>18.77</v>
      </c>
      <c r="F6362" s="87">
        <v>21.27</v>
      </c>
      <c r="G6362" s="88">
        <f t="shared" si="1"/>
        <v>2.5</v>
      </c>
      <c r="H6362" s="89">
        <f t="shared" si="18"/>
        <v>0.1175364363</v>
      </c>
      <c r="I6362" s="78" t="s">
        <v>7281</v>
      </c>
      <c r="J6362" s="78" t="s">
        <v>69</v>
      </c>
      <c r="K6362" s="58">
        <f t="shared" si="17"/>
        <v>0</v>
      </c>
      <c r="L6362" s="91" t="str">
        <f t="shared" si="8"/>
        <v>Wed</v>
      </c>
      <c r="M6362" s="78" t="str">
        <f>IFERROR(VLOOKUP(A6362, Entries!A:B,2,false),"")</f>
        <v/>
      </c>
      <c r="N6362" s="23" t="str">
        <f>IFERROR(VLOOKUP(A6362, Entries!A:K,11,false),"")</f>
        <v/>
      </c>
    </row>
    <row r="6363">
      <c r="A6363" s="78" t="s">
        <v>7282</v>
      </c>
      <c r="B6363" s="78" t="s">
        <v>21</v>
      </c>
      <c r="C6363" s="85">
        <v>45498.0</v>
      </c>
      <c r="D6363" s="25"/>
      <c r="E6363" s="86">
        <v>14.97</v>
      </c>
      <c r="F6363" s="88"/>
      <c r="G6363" s="88">
        <f t="shared" si="1"/>
        <v>-14.97</v>
      </c>
      <c r="H6363" s="89" t="str">
        <f t="shared" si="18"/>
        <v/>
      </c>
      <c r="I6363" s="103" t="s">
        <v>7283</v>
      </c>
      <c r="J6363" s="78" t="s">
        <v>1129</v>
      </c>
      <c r="K6363" s="58" t="str">
        <f t="shared" si="17"/>
        <v/>
      </c>
      <c r="L6363" s="91" t="str">
        <f t="shared" si="8"/>
        <v/>
      </c>
      <c r="M6363" s="78" t="str">
        <f>IFERROR(VLOOKUP(A6363, Entries!A:B,2,false),"")</f>
        <v/>
      </c>
      <c r="N6363" s="23" t="str">
        <f>IFERROR(VLOOKUP(A6363, Entries!A:K,11,false),"")</f>
        <v/>
      </c>
    </row>
    <row r="6364">
      <c r="A6364" s="78" t="s">
        <v>7284</v>
      </c>
      <c r="B6364" s="78" t="s">
        <v>25</v>
      </c>
      <c r="C6364" s="85">
        <v>45530.0</v>
      </c>
      <c r="D6364" s="25"/>
      <c r="E6364" s="86">
        <v>13.82</v>
      </c>
      <c r="F6364" s="88"/>
      <c r="G6364" s="88">
        <f t="shared" si="1"/>
        <v>-13.82</v>
      </c>
      <c r="H6364" s="89" t="str">
        <f t="shared" si="18"/>
        <v/>
      </c>
      <c r="I6364" s="103" t="s">
        <v>7285</v>
      </c>
      <c r="J6364" s="78" t="s">
        <v>1129</v>
      </c>
      <c r="K6364" s="58" t="str">
        <f t="shared" si="17"/>
        <v/>
      </c>
      <c r="L6364" s="91" t="str">
        <f t="shared" si="8"/>
        <v/>
      </c>
      <c r="M6364" s="78" t="str">
        <f>IFERROR(VLOOKUP(A6364, Entries!A:B,2,false),"")</f>
        <v/>
      </c>
      <c r="N6364" s="23" t="str">
        <f>IFERROR(VLOOKUP(A6364, Entries!A:K,11,false),"")</f>
        <v/>
      </c>
    </row>
    <row r="6365">
      <c r="A6365" s="78" t="s">
        <v>5100</v>
      </c>
      <c r="B6365" s="78" t="s">
        <v>25</v>
      </c>
      <c r="C6365" s="85">
        <v>45531.0</v>
      </c>
      <c r="D6365" s="85">
        <v>45533.0</v>
      </c>
      <c r="E6365" s="86">
        <v>20.04</v>
      </c>
      <c r="F6365" s="87">
        <v>22.57</v>
      </c>
      <c r="G6365" s="88">
        <f t="shared" si="1"/>
        <v>2.53</v>
      </c>
      <c r="H6365" s="89">
        <f t="shared" si="18"/>
        <v>0.1120957023</v>
      </c>
      <c r="I6365" s="78" t="s">
        <v>7286</v>
      </c>
      <c r="J6365" s="78" t="s">
        <v>69</v>
      </c>
      <c r="K6365" s="58">
        <f t="shared" si="17"/>
        <v>2</v>
      </c>
      <c r="L6365" s="91" t="str">
        <f t="shared" si="8"/>
        <v>Thu</v>
      </c>
      <c r="M6365" s="78" t="str">
        <f>IFERROR(VLOOKUP(A6365, Entries!A:B,2,false),"")</f>
        <v>Activision</v>
      </c>
      <c r="N6365" s="23" t="str">
        <f>IFERROR(VLOOKUP(A6365, Entries!A:K,11,false),"")</f>
        <v/>
      </c>
    </row>
    <row r="6366">
      <c r="A6366" s="78" t="s">
        <v>5100</v>
      </c>
      <c r="B6366" s="78" t="s">
        <v>25</v>
      </c>
      <c r="C6366" s="85">
        <v>45531.0</v>
      </c>
      <c r="D6366" s="85">
        <v>45534.0</v>
      </c>
      <c r="E6366" s="86">
        <v>20.04</v>
      </c>
      <c r="F6366" s="87">
        <v>22.5</v>
      </c>
      <c r="G6366" s="88">
        <f t="shared" si="1"/>
        <v>2.46</v>
      </c>
      <c r="H6366" s="89">
        <f t="shared" si="18"/>
        <v>0.1093333333</v>
      </c>
      <c r="I6366" s="78" t="s">
        <v>7287</v>
      </c>
      <c r="J6366" s="78" t="s">
        <v>69</v>
      </c>
      <c r="K6366" s="58">
        <f t="shared" si="17"/>
        <v>3</v>
      </c>
      <c r="L6366" s="91" t="str">
        <f t="shared" si="8"/>
        <v>Fri</v>
      </c>
      <c r="M6366" s="78" t="str">
        <f>IFERROR(VLOOKUP(A6366, Entries!A:B,2,false),"")</f>
        <v>Activision</v>
      </c>
      <c r="N6366" s="23" t="str">
        <f>IFERROR(VLOOKUP(A6366, Entries!A:K,11,false),"")</f>
        <v/>
      </c>
    </row>
    <row r="6367">
      <c r="A6367" s="78" t="s">
        <v>7257</v>
      </c>
      <c r="B6367" s="78" t="s">
        <v>18</v>
      </c>
      <c r="C6367" s="85">
        <v>45532.0</v>
      </c>
      <c r="D6367" s="85">
        <v>45533.0</v>
      </c>
      <c r="E6367" s="86">
        <v>30.75</v>
      </c>
      <c r="F6367" s="87">
        <v>35.54</v>
      </c>
      <c r="G6367" s="88">
        <f t="shared" si="1"/>
        <v>4.79</v>
      </c>
      <c r="H6367" s="89">
        <f t="shared" si="18"/>
        <v>0.1347777153</v>
      </c>
      <c r="I6367" s="78" t="s">
        <v>7288</v>
      </c>
      <c r="J6367" s="78" t="s">
        <v>69</v>
      </c>
      <c r="K6367" s="58">
        <f t="shared" si="17"/>
        <v>1</v>
      </c>
      <c r="L6367" s="91" t="str">
        <f t="shared" si="8"/>
        <v>Thu</v>
      </c>
      <c r="M6367" s="78" t="str">
        <f>IFERROR(VLOOKUP(A6367, Entries!A:B,2,false),"")</f>
        <v>Electronic Arts</v>
      </c>
      <c r="N6367" s="23" t="str">
        <f>IFERROR(VLOOKUP(A6367, Entries!A:K,11,false),"")</f>
        <v/>
      </c>
    </row>
    <row r="6368">
      <c r="A6368" s="78" t="s">
        <v>7257</v>
      </c>
      <c r="B6368" s="78" t="s">
        <v>18</v>
      </c>
      <c r="C6368" s="85">
        <v>45532.0</v>
      </c>
      <c r="D6368" s="85">
        <v>45535.0</v>
      </c>
      <c r="E6368" s="86">
        <v>30.75</v>
      </c>
      <c r="F6368" s="87">
        <v>34.86</v>
      </c>
      <c r="G6368" s="88">
        <f t="shared" si="1"/>
        <v>4.11</v>
      </c>
      <c r="H6368" s="89">
        <f t="shared" si="18"/>
        <v>0.1179001721</v>
      </c>
      <c r="I6368" s="78" t="s">
        <v>7289</v>
      </c>
      <c r="J6368" s="78" t="s">
        <v>69</v>
      </c>
      <c r="K6368" s="58">
        <f t="shared" si="17"/>
        <v>3</v>
      </c>
      <c r="L6368" s="91" t="str">
        <f t="shared" si="8"/>
        <v>Sat</v>
      </c>
      <c r="M6368" s="78" t="str">
        <f>IFERROR(VLOOKUP(A6368, Entries!A:B,2,false),"")</f>
        <v>Electronic Arts</v>
      </c>
      <c r="N6368" s="23" t="str">
        <f>IFERROR(VLOOKUP(A6368, Entries!A:K,11,false),"")</f>
        <v/>
      </c>
    </row>
    <row r="6369">
      <c r="A6369" s="78" t="s">
        <v>7290</v>
      </c>
      <c r="B6369" s="78" t="s">
        <v>21</v>
      </c>
      <c r="C6369" s="85">
        <v>45534.0</v>
      </c>
      <c r="D6369" s="85">
        <v>45534.0</v>
      </c>
      <c r="E6369" s="86">
        <v>10.88</v>
      </c>
      <c r="F6369" s="87">
        <v>14.27</v>
      </c>
      <c r="G6369" s="88">
        <f t="shared" si="1"/>
        <v>3.39</v>
      </c>
      <c r="H6369" s="89">
        <f t="shared" si="18"/>
        <v>0.2375613174</v>
      </c>
      <c r="I6369" s="78" t="s">
        <v>7291</v>
      </c>
      <c r="J6369" s="78" t="s">
        <v>69</v>
      </c>
      <c r="K6369" s="58">
        <f t="shared" si="17"/>
        <v>0</v>
      </c>
      <c r="L6369" s="91" t="str">
        <f t="shared" si="8"/>
        <v>Fri</v>
      </c>
      <c r="M6369" s="78" t="str">
        <f>IFERROR(VLOOKUP(A6369, Entries!A:B,2,false),"")</f>
        <v>Maximum Entertainment</v>
      </c>
      <c r="N6369" s="23" t="str">
        <f>IFERROR(VLOOKUP(A6369, Entries!A:K,11,false),"")</f>
        <v/>
      </c>
    </row>
    <row r="6370">
      <c r="A6370" s="78" t="s">
        <v>7290</v>
      </c>
      <c r="B6370" s="78" t="s">
        <v>21</v>
      </c>
      <c r="C6370" s="85">
        <v>45534.0</v>
      </c>
      <c r="D6370" s="85">
        <v>45534.0</v>
      </c>
      <c r="E6370" s="86">
        <v>10.88</v>
      </c>
      <c r="F6370" s="87">
        <v>14.27</v>
      </c>
      <c r="G6370" s="88">
        <f t="shared" si="1"/>
        <v>3.39</v>
      </c>
      <c r="H6370" s="89">
        <f t="shared" si="18"/>
        <v>0.2375613174</v>
      </c>
      <c r="I6370" s="78" t="s">
        <v>7292</v>
      </c>
      <c r="J6370" s="78" t="s">
        <v>69</v>
      </c>
      <c r="K6370" s="58">
        <f t="shared" si="17"/>
        <v>0</v>
      </c>
      <c r="L6370" s="91" t="str">
        <f t="shared" si="8"/>
        <v>Fri</v>
      </c>
      <c r="M6370" s="78" t="str">
        <f>IFERROR(VLOOKUP(A6370, Entries!A:B,2,false),"")</f>
        <v>Maximum Entertainment</v>
      </c>
      <c r="N6370" s="23" t="str">
        <f>IFERROR(VLOOKUP(A6370, Entries!A:K,11,false),"")</f>
        <v/>
      </c>
    </row>
    <row r="6371">
      <c r="A6371" s="78" t="s">
        <v>7293</v>
      </c>
      <c r="B6371" s="78" t="s">
        <v>25</v>
      </c>
      <c r="C6371" s="85">
        <v>45534.0</v>
      </c>
      <c r="D6371" s="85">
        <v>45534.0</v>
      </c>
      <c r="E6371" s="86">
        <v>0.0</v>
      </c>
      <c r="F6371" s="87">
        <v>0.32</v>
      </c>
      <c r="G6371" s="88">
        <f t="shared" si="1"/>
        <v>0.32</v>
      </c>
      <c r="H6371" s="89">
        <f t="shared" si="18"/>
        <v>1</v>
      </c>
      <c r="I6371" s="78" t="s">
        <v>7294</v>
      </c>
      <c r="J6371" s="78" t="s">
        <v>69</v>
      </c>
      <c r="K6371" s="58">
        <f t="shared" si="17"/>
        <v>0</v>
      </c>
      <c r="L6371" s="91" t="str">
        <f t="shared" si="8"/>
        <v>Fri</v>
      </c>
      <c r="M6371" s="78" t="str">
        <f>IFERROR(VLOOKUP(A6371, Entries!A:B,2,false),"")</f>
        <v/>
      </c>
      <c r="N6371" s="23" t="str">
        <f>IFERROR(VLOOKUP(A6371, Entries!A:K,11,false),"")</f>
        <v/>
      </c>
    </row>
    <row r="6372">
      <c r="A6372" s="78" t="s">
        <v>7280</v>
      </c>
      <c r="B6372" s="78" t="s">
        <v>21</v>
      </c>
      <c r="C6372" s="85">
        <v>45534.0</v>
      </c>
      <c r="D6372" s="85">
        <v>45547.0</v>
      </c>
      <c r="E6372" s="86">
        <v>25.78</v>
      </c>
      <c r="F6372" s="87">
        <v>29.69</v>
      </c>
      <c r="G6372" s="88">
        <f t="shared" si="1"/>
        <v>3.91</v>
      </c>
      <c r="H6372" s="89">
        <f t="shared" si="18"/>
        <v>0.1316941731</v>
      </c>
      <c r="I6372" s="78" t="s">
        <v>7295</v>
      </c>
      <c r="J6372" s="78" t="s">
        <v>69</v>
      </c>
      <c r="K6372" s="58">
        <f t="shared" si="17"/>
        <v>13</v>
      </c>
      <c r="L6372" s="91" t="str">
        <f t="shared" si="8"/>
        <v>Thu</v>
      </c>
      <c r="M6372" s="78" t="str">
        <f>IFERROR(VLOOKUP(A6372, Entries!A:B,2,false),"")</f>
        <v/>
      </c>
      <c r="N6372" s="23" t="str">
        <f>IFERROR(VLOOKUP(A6372, Entries!A:K,11,false),"")</f>
        <v/>
      </c>
    </row>
    <row r="6373">
      <c r="A6373" s="78" t="s">
        <v>5100</v>
      </c>
      <c r="B6373" s="78" t="s">
        <v>25</v>
      </c>
      <c r="C6373" s="85">
        <v>45534.0</v>
      </c>
      <c r="D6373" s="85">
        <v>45536.0</v>
      </c>
      <c r="E6373" s="86">
        <v>18.7</v>
      </c>
      <c r="F6373" s="87">
        <v>22.35</v>
      </c>
      <c r="G6373" s="88">
        <f t="shared" si="1"/>
        <v>3.65</v>
      </c>
      <c r="H6373" s="89">
        <f t="shared" si="18"/>
        <v>0.163310962</v>
      </c>
      <c r="I6373" s="78" t="s">
        <v>7296</v>
      </c>
      <c r="J6373" s="78" t="s">
        <v>69</v>
      </c>
      <c r="K6373" s="58">
        <f t="shared" si="17"/>
        <v>2</v>
      </c>
      <c r="L6373" s="91" t="str">
        <f t="shared" si="8"/>
        <v>Sun</v>
      </c>
      <c r="M6373" s="78" t="str">
        <f>IFERROR(VLOOKUP(A6373, Entries!A:B,2,false),"")</f>
        <v>Activision</v>
      </c>
      <c r="N6373" s="23" t="str">
        <f>IFERROR(VLOOKUP(A6373, Entries!A:K,11,false),"")</f>
        <v/>
      </c>
    </row>
    <row r="6374">
      <c r="A6374" s="78" t="s">
        <v>5100</v>
      </c>
      <c r="B6374" s="78" t="s">
        <v>25</v>
      </c>
      <c r="C6374" s="85">
        <v>45534.0</v>
      </c>
      <c r="D6374" s="85">
        <v>45540.0</v>
      </c>
      <c r="E6374" s="86">
        <v>18.7</v>
      </c>
      <c r="F6374" s="87">
        <v>22.05</v>
      </c>
      <c r="G6374" s="88">
        <f t="shared" si="1"/>
        <v>3.35</v>
      </c>
      <c r="H6374" s="89">
        <f t="shared" si="18"/>
        <v>0.1519274376</v>
      </c>
      <c r="I6374" s="78" t="s">
        <v>7297</v>
      </c>
      <c r="J6374" s="78" t="s">
        <v>69</v>
      </c>
      <c r="K6374" s="58">
        <f t="shared" si="17"/>
        <v>6</v>
      </c>
      <c r="L6374" s="91" t="str">
        <f t="shared" si="8"/>
        <v>Thu</v>
      </c>
      <c r="M6374" s="78" t="str">
        <f>IFERROR(VLOOKUP(A6374, Entries!A:B,2,false),"")</f>
        <v>Activision</v>
      </c>
      <c r="N6374" s="23" t="str">
        <f>IFERROR(VLOOKUP(A6374, Entries!A:K,11,false),"")</f>
        <v/>
      </c>
    </row>
    <row r="6375">
      <c r="A6375" s="78" t="s">
        <v>7290</v>
      </c>
      <c r="B6375" s="78" t="s">
        <v>21</v>
      </c>
      <c r="C6375" s="85">
        <v>45534.0</v>
      </c>
      <c r="D6375" s="85">
        <v>45534.0</v>
      </c>
      <c r="E6375" s="86">
        <v>11.0</v>
      </c>
      <c r="F6375" s="87">
        <v>14.59</v>
      </c>
      <c r="G6375" s="88">
        <f t="shared" si="1"/>
        <v>3.59</v>
      </c>
      <c r="H6375" s="89">
        <f t="shared" si="18"/>
        <v>0.2460589445</v>
      </c>
      <c r="I6375" s="78" t="s">
        <v>7298</v>
      </c>
      <c r="J6375" s="78" t="s">
        <v>69</v>
      </c>
      <c r="K6375" s="58">
        <f t="shared" si="17"/>
        <v>0</v>
      </c>
      <c r="L6375" s="91" t="str">
        <f t="shared" si="8"/>
        <v>Fri</v>
      </c>
      <c r="M6375" s="78" t="str">
        <f>IFERROR(VLOOKUP(A6375, Entries!A:B,2,false),"")</f>
        <v>Maximum Entertainment</v>
      </c>
      <c r="N6375" s="23" t="str">
        <f>IFERROR(VLOOKUP(A6375, Entries!A:K,11,false),"")</f>
        <v/>
      </c>
    </row>
    <row r="6376">
      <c r="A6376" s="78" t="s">
        <v>7290</v>
      </c>
      <c r="B6376" s="78" t="s">
        <v>21</v>
      </c>
      <c r="C6376" s="85">
        <v>45534.0</v>
      </c>
      <c r="D6376" s="85">
        <v>45534.0</v>
      </c>
      <c r="E6376" s="86">
        <v>11.01</v>
      </c>
      <c r="F6376" s="87">
        <v>14.83</v>
      </c>
      <c r="G6376" s="88">
        <f t="shared" si="1"/>
        <v>3.82</v>
      </c>
      <c r="H6376" s="89">
        <f t="shared" si="18"/>
        <v>0.2575859744</v>
      </c>
      <c r="I6376" s="78" t="s">
        <v>7299</v>
      </c>
      <c r="J6376" s="78" t="s">
        <v>69</v>
      </c>
      <c r="K6376" s="58">
        <f t="shared" si="17"/>
        <v>0</v>
      </c>
      <c r="L6376" s="91" t="str">
        <f t="shared" si="8"/>
        <v>Fri</v>
      </c>
      <c r="M6376" s="78" t="str">
        <f>IFERROR(VLOOKUP(A6376, Entries!A:B,2,false),"")</f>
        <v>Maximum Entertainment</v>
      </c>
      <c r="N6376" s="23" t="str">
        <f>IFERROR(VLOOKUP(A6376, Entries!A:K,11,false),"")</f>
        <v/>
      </c>
    </row>
    <row r="6377">
      <c r="A6377" s="78" t="s">
        <v>7290</v>
      </c>
      <c r="B6377" s="78" t="s">
        <v>21</v>
      </c>
      <c r="C6377" s="85">
        <v>45534.0</v>
      </c>
      <c r="D6377" s="85">
        <v>45534.0</v>
      </c>
      <c r="E6377" s="86">
        <v>11.01</v>
      </c>
      <c r="F6377" s="87">
        <v>15.12</v>
      </c>
      <c r="G6377" s="88">
        <f t="shared" si="1"/>
        <v>4.11</v>
      </c>
      <c r="H6377" s="89">
        <f t="shared" si="18"/>
        <v>0.2718253968</v>
      </c>
      <c r="I6377" s="78" t="s">
        <v>7300</v>
      </c>
      <c r="J6377" s="78" t="s">
        <v>69</v>
      </c>
      <c r="K6377" s="58">
        <f t="shared" si="17"/>
        <v>0</v>
      </c>
      <c r="L6377" s="91" t="str">
        <f t="shared" si="8"/>
        <v>Fri</v>
      </c>
      <c r="M6377" s="78" t="str">
        <f>IFERROR(VLOOKUP(A6377, Entries!A:B,2,false),"")</f>
        <v>Maximum Entertainment</v>
      </c>
      <c r="N6377" s="23" t="str">
        <f>IFERROR(VLOOKUP(A6377, Entries!A:K,11,false),"")</f>
        <v/>
      </c>
    </row>
    <row r="6378">
      <c r="A6378" s="78" t="s">
        <v>7290</v>
      </c>
      <c r="B6378" s="78" t="s">
        <v>21</v>
      </c>
      <c r="C6378" s="85">
        <v>45534.0</v>
      </c>
      <c r="D6378" s="85">
        <v>45534.0</v>
      </c>
      <c r="E6378" s="86">
        <v>11.72</v>
      </c>
      <c r="F6378" s="87">
        <v>15.19</v>
      </c>
      <c r="G6378" s="88">
        <f t="shared" si="1"/>
        <v>3.47</v>
      </c>
      <c r="H6378" s="89">
        <f t="shared" si="18"/>
        <v>0.228439763</v>
      </c>
      <c r="I6378" s="78" t="s">
        <v>7301</v>
      </c>
      <c r="J6378" s="78" t="s">
        <v>69</v>
      </c>
      <c r="K6378" s="58">
        <f t="shared" si="17"/>
        <v>0</v>
      </c>
      <c r="L6378" s="91" t="str">
        <f t="shared" si="8"/>
        <v>Fri</v>
      </c>
      <c r="M6378" s="78" t="str">
        <f>IFERROR(VLOOKUP(A6378, Entries!A:B,2,false),"")</f>
        <v>Maximum Entertainment</v>
      </c>
      <c r="N6378" s="23" t="str">
        <f>IFERROR(VLOOKUP(A6378, Entries!A:K,11,false),"")</f>
        <v/>
      </c>
    </row>
    <row r="6379">
      <c r="A6379" s="78" t="s">
        <v>7290</v>
      </c>
      <c r="B6379" s="78" t="s">
        <v>21</v>
      </c>
      <c r="C6379" s="85">
        <v>45534.0</v>
      </c>
      <c r="D6379" s="85">
        <v>45535.0</v>
      </c>
      <c r="E6379" s="86">
        <v>11.72</v>
      </c>
      <c r="F6379" s="87">
        <v>14.21</v>
      </c>
      <c r="G6379" s="88">
        <f t="shared" si="1"/>
        <v>2.49</v>
      </c>
      <c r="H6379" s="89">
        <f t="shared" si="18"/>
        <v>0.1752287122</v>
      </c>
      <c r="I6379" s="78" t="s">
        <v>7302</v>
      </c>
      <c r="J6379" s="78" t="s">
        <v>69</v>
      </c>
      <c r="K6379" s="58">
        <f t="shared" si="17"/>
        <v>1</v>
      </c>
      <c r="L6379" s="91" t="str">
        <f t="shared" si="8"/>
        <v>Sat</v>
      </c>
      <c r="M6379" s="78" t="str">
        <f>IFERROR(VLOOKUP(A6379, Entries!A:B,2,false),"")</f>
        <v>Maximum Entertainment</v>
      </c>
      <c r="N6379" s="23" t="str">
        <f>IFERROR(VLOOKUP(A6379, Entries!A:K,11,false),"")</f>
        <v/>
      </c>
    </row>
    <row r="6380">
      <c r="A6380" s="78" t="s">
        <v>7290</v>
      </c>
      <c r="B6380" s="78" t="s">
        <v>21</v>
      </c>
      <c r="C6380" s="85">
        <v>45534.0</v>
      </c>
      <c r="D6380" s="85">
        <v>45535.0</v>
      </c>
      <c r="E6380" s="86">
        <v>11.73</v>
      </c>
      <c r="F6380" s="87">
        <v>14.21</v>
      </c>
      <c r="G6380" s="88">
        <f t="shared" si="1"/>
        <v>2.48</v>
      </c>
      <c r="H6380" s="89">
        <f t="shared" si="18"/>
        <v>0.1745249824</v>
      </c>
      <c r="I6380" s="78" t="s">
        <v>7303</v>
      </c>
      <c r="J6380" s="78" t="s">
        <v>69</v>
      </c>
      <c r="K6380" s="58">
        <f t="shared" si="17"/>
        <v>1</v>
      </c>
      <c r="L6380" s="91" t="str">
        <f t="shared" si="8"/>
        <v>Sat</v>
      </c>
      <c r="M6380" s="78" t="str">
        <f>IFERROR(VLOOKUP(A6380, Entries!A:B,2,false),"")</f>
        <v>Maximum Entertainment</v>
      </c>
      <c r="N6380" s="23" t="str">
        <f>IFERROR(VLOOKUP(A6380, Entries!A:K,11,false),"")</f>
        <v/>
      </c>
    </row>
    <row r="6381">
      <c r="A6381" s="78" t="s">
        <v>7236</v>
      </c>
      <c r="B6381" s="78" t="s">
        <v>18</v>
      </c>
      <c r="C6381" s="85">
        <v>45534.0</v>
      </c>
      <c r="D6381" s="85">
        <v>45542.0</v>
      </c>
      <c r="E6381" s="86">
        <v>22.0</v>
      </c>
      <c r="F6381" s="87">
        <v>36.71</v>
      </c>
      <c r="G6381" s="88">
        <f t="shared" si="1"/>
        <v>14.71</v>
      </c>
      <c r="H6381" s="89">
        <f t="shared" si="18"/>
        <v>0.4007082539</v>
      </c>
      <c r="I6381" s="78" t="s">
        <v>7304</v>
      </c>
      <c r="J6381" s="78" t="s">
        <v>69</v>
      </c>
      <c r="K6381" s="58">
        <f t="shared" si="17"/>
        <v>8</v>
      </c>
      <c r="L6381" s="91" t="str">
        <f t="shared" si="8"/>
        <v>Sat</v>
      </c>
      <c r="M6381" s="78" t="str">
        <f>IFERROR(VLOOKUP(A6381, Entries!A:B,2,false),"")</f>
        <v>PlayWay</v>
      </c>
      <c r="N6381" s="23" t="str">
        <f>IFERROR(VLOOKUP(A6381, Entries!A:K,11,false),"")</f>
        <v/>
      </c>
    </row>
    <row r="6382">
      <c r="A6382" s="78" t="s">
        <v>7290</v>
      </c>
      <c r="B6382" s="78" t="s">
        <v>21</v>
      </c>
      <c r="C6382" s="85">
        <v>45535.0</v>
      </c>
      <c r="D6382" s="85">
        <v>45536.0</v>
      </c>
      <c r="E6382" s="86">
        <v>11.04</v>
      </c>
      <c r="F6382" s="87">
        <v>13.75</v>
      </c>
      <c r="G6382" s="88">
        <f t="shared" si="1"/>
        <v>2.71</v>
      </c>
      <c r="H6382" s="89">
        <f t="shared" si="18"/>
        <v>0.1970909091</v>
      </c>
      <c r="I6382" s="78" t="s">
        <v>7305</v>
      </c>
      <c r="J6382" s="78" t="s">
        <v>69</v>
      </c>
      <c r="K6382" s="58">
        <f t="shared" si="17"/>
        <v>1</v>
      </c>
      <c r="L6382" s="91" t="str">
        <f t="shared" si="8"/>
        <v>Sun</v>
      </c>
      <c r="M6382" s="78" t="str">
        <f>IFERROR(VLOOKUP(A6382, Entries!A:B,2,false),"")</f>
        <v>Maximum Entertainment</v>
      </c>
      <c r="N6382" s="23" t="str">
        <f>IFERROR(VLOOKUP(A6382, Entries!A:K,11,false),"")</f>
        <v/>
      </c>
    </row>
    <row r="6383">
      <c r="A6383" s="78" t="s">
        <v>7290</v>
      </c>
      <c r="B6383" s="78" t="s">
        <v>21</v>
      </c>
      <c r="C6383" s="85">
        <v>45535.0</v>
      </c>
      <c r="D6383" s="85">
        <v>45538.0</v>
      </c>
      <c r="E6383" s="86">
        <v>11.04</v>
      </c>
      <c r="F6383" s="87">
        <v>13.74</v>
      </c>
      <c r="G6383" s="88">
        <f t="shared" si="1"/>
        <v>2.7</v>
      </c>
      <c r="H6383" s="89">
        <f t="shared" si="18"/>
        <v>0.1965065502</v>
      </c>
      <c r="I6383" s="78" t="s">
        <v>7306</v>
      </c>
      <c r="J6383" s="78" t="s">
        <v>69</v>
      </c>
      <c r="K6383" s="58">
        <f t="shared" si="17"/>
        <v>3</v>
      </c>
      <c r="L6383" s="91" t="str">
        <f t="shared" si="8"/>
        <v>Tue</v>
      </c>
      <c r="M6383" s="78" t="str">
        <f>IFERROR(VLOOKUP(A6383, Entries!A:B,2,false),"")</f>
        <v>Maximum Entertainment</v>
      </c>
      <c r="N6383" s="23" t="str">
        <f>IFERROR(VLOOKUP(A6383, Entries!A:K,11,false),"")</f>
        <v/>
      </c>
    </row>
    <row r="6384">
      <c r="A6384" s="78" t="s">
        <v>7290</v>
      </c>
      <c r="B6384" s="78" t="s">
        <v>21</v>
      </c>
      <c r="C6384" s="85">
        <v>45535.0</v>
      </c>
      <c r="D6384" s="85">
        <v>45538.0</v>
      </c>
      <c r="E6384" s="86">
        <v>11.04</v>
      </c>
      <c r="F6384" s="87">
        <v>13.74</v>
      </c>
      <c r="G6384" s="88">
        <f t="shared" si="1"/>
        <v>2.7</v>
      </c>
      <c r="H6384" s="89">
        <f t="shared" si="18"/>
        <v>0.1965065502</v>
      </c>
      <c r="I6384" s="78" t="s">
        <v>7307</v>
      </c>
      <c r="J6384" s="78" t="s">
        <v>69</v>
      </c>
      <c r="K6384" s="58">
        <f t="shared" si="17"/>
        <v>3</v>
      </c>
      <c r="L6384" s="91" t="str">
        <f t="shared" si="8"/>
        <v>Tue</v>
      </c>
      <c r="M6384" s="78" t="str">
        <f>IFERROR(VLOOKUP(A6384, Entries!A:B,2,false),"")</f>
        <v>Maximum Entertainment</v>
      </c>
      <c r="N6384" s="23" t="str">
        <f>IFERROR(VLOOKUP(A6384, Entries!A:K,11,false),"")</f>
        <v/>
      </c>
    </row>
    <row r="6385">
      <c r="A6385" s="78" t="s">
        <v>7257</v>
      </c>
      <c r="B6385" s="78" t="s">
        <v>18</v>
      </c>
      <c r="C6385" s="85">
        <v>45535.0</v>
      </c>
      <c r="D6385" s="85">
        <v>45539.0</v>
      </c>
      <c r="E6385" s="86">
        <v>30.54</v>
      </c>
      <c r="F6385" s="87">
        <v>34.4</v>
      </c>
      <c r="G6385" s="88">
        <f t="shared" si="1"/>
        <v>3.86</v>
      </c>
      <c r="H6385" s="89">
        <f t="shared" si="18"/>
        <v>0.1122093023</v>
      </c>
      <c r="I6385" s="78" t="s">
        <v>7308</v>
      </c>
      <c r="J6385" s="78" t="s">
        <v>69</v>
      </c>
      <c r="K6385" s="58">
        <f t="shared" si="17"/>
        <v>4</v>
      </c>
      <c r="L6385" s="91" t="str">
        <f t="shared" si="8"/>
        <v>Wed</v>
      </c>
      <c r="M6385" s="78" t="str">
        <f>IFERROR(VLOOKUP(A6385, Entries!A:B,2,false),"")</f>
        <v>Electronic Arts</v>
      </c>
      <c r="N6385" s="23" t="str">
        <f>IFERROR(VLOOKUP(A6385, Entries!A:K,11,false),"")</f>
        <v/>
      </c>
    </row>
    <row r="6386">
      <c r="A6386" s="78" t="s">
        <v>7257</v>
      </c>
      <c r="B6386" s="78" t="s">
        <v>18</v>
      </c>
      <c r="C6386" s="85">
        <v>45535.0</v>
      </c>
      <c r="D6386" s="85">
        <v>45539.0</v>
      </c>
      <c r="E6386" s="86">
        <v>30.54</v>
      </c>
      <c r="F6386" s="87">
        <v>34.4</v>
      </c>
      <c r="G6386" s="88">
        <f t="shared" si="1"/>
        <v>3.86</v>
      </c>
      <c r="H6386" s="89">
        <f t="shared" si="18"/>
        <v>0.1122093023</v>
      </c>
      <c r="I6386" s="78" t="s">
        <v>7309</v>
      </c>
      <c r="J6386" s="78" t="s">
        <v>69</v>
      </c>
      <c r="K6386" s="58">
        <f t="shared" si="17"/>
        <v>4</v>
      </c>
      <c r="L6386" s="91" t="str">
        <f t="shared" si="8"/>
        <v>Wed</v>
      </c>
      <c r="M6386" s="78" t="str">
        <f>IFERROR(VLOOKUP(A6386, Entries!A:B,2,false),"")</f>
        <v>Electronic Arts</v>
      </c>
      <c r="N6386" s="23" t="str">
        <f>IFERROR(VLOOKUP(A6386, Entries!A:K,11,false),"")</f>
        <v/>
      </c>
    </row>
    <row r="6387">
      <c r="A6387" s="78" t="s">
        <v>7257</v>
      </c>
      <c r="B6387" s="78" t="s">
        <v>18</v>
      </c>
      <c r="C6387" s="85">
        <v>45535.0</v>
      </c>
      <c r="D6387" s="85">
        <v>45542.0</v>
      </c>
      <c r="E6387" s="86">
        <v>30.54</v>
      </c>
      <c r="F6387" s="87">
        <v>32.4</v>
      </c>
      <c r="G6387" s="88">
        <f t="shared" si="1"/>
        <v>1.86</v>
      </c>
      <c r="H6387" s="89">
        <f t="shared" si="18"/>
        <v>0.05740740741</v>
      </c>
      <c r="I6387" s="78" t="s">
        <v>7310</v>
      </c>
      <c r="J6387" s="78" t="s">
        <v>69</v>
      </c>
      <c r="K6387" s="58">
        <f t="shared" si="17"/>
        <v>7</v>
      </c>
      <c r="L6387" s="91" t="str">
        <f t="shared" si="8"/>
        <v>Sat</v>
      </c>
      <c r="M6387" s="78" t="str">
        <f>IFERROR(VLOOKUP(A6387, Entries!A:B,2,false),"")</f>
        <v>Electronic Arts</v>
      </c>
      <c r="N6387" s="23" t="str">
        <f>IFERROR(VLOOKUP(A6387, Entries!A:K,11,false),"")</f>
        <v/>
      </c>
    </row>
    <row r="6388">
      <c r="A6388" s="78" t="s">
        <v>7068</v>
      </c>
      <c r="B6388" s="78" t="s">
        <v>25</v>
      </c>
      <c r="C6388" s="85">
        <v>45536.0</v>
      </c>
      <c r="D6388" s="85">
        <v>45673.0</v>
      </c>
      <c r="E6388" s="86">
        <v>24.1</v>
      </c>
      <c r="F6388" s="87">
        <v>24.3</v>
      </c>
      <c r="G6388" s="88">
        <f t="shared" si="1"/>
        <v>0.2</v>
      </c>
      <c r="H6388" s="89">
        <f t="shared" si="18"/>
        <v>0.008230452675</v>
      </c>
      <c r="I6388" s="78" t="s">
        <v>7311</v>
      </c>
      <c r="J6388" s="78" t="s">
        <v>69</v>
      </c>
      <c r="K6388" s="58">
        <f t="shared" si="17"/>
        <v>137</v>
      </c>
      <c r="L6388" s="91" t="str">
        <f t="shared" si="8"/>
        <v>Thu</v>
      </c>
      <c r="M6388" s="78" t="str">
        <f>IFERROR(VLOOKUP(A6388, Entries!A:B,2,false),"")</f>
        <v/>
      </c>
      <c r="N6388" s="23" t="str">
        <f>IFERROR(VLOOKUP(A6388, Entries!A:K,11,false),"")</f>
        <v/>
      </c>
    </row>
    <row r="6389">
      <c r="A6389" s="78" t="s">
        <v>4928</v>
      </c>
      <c r="B6389" s="78" t="s">
        <v>19</v>
      </c>
      <c r="C6389" s="85">
        <v>45536.0</v>
      </c>
      <c r="D6389" s="85">
        <v>45544.0</v>
      </c>
      <c r="E6389" s="86">
        <v>27.39</v>
      </c>
      <c r="F6389" s="87">
        <v>31.06</v>
      </c>
      <c r="G6389" s="88">
        <f t="shared" si="1"/>
        <v>3.67</v>
      </c>
      <c r="H6389" s="89">
        <f t="shared" si="18"/>
        <v>0.1181584031</v>
      </c>
      <c r="I6389" s="78" t="s">
        <v>7312</v>
      </c>
      <c r="J6389" s="78" t="s">
        <v>69</v>
      </c>
      <c r="K6389" s="58">
        <f t="shared" si="17"/>
        <v>8</v>
      </c>
      <c r="L6389" s="91" t="str">
        <f t="shared" si="8"/>
        <v>Mon</v>
      </c>
      <c r="M6389" s="78" t="str">
        <f>IFERROR(VLOOKUP(A6389, Entries!A:B,2,false),"")</f>
        <v>Eleventh Hour Games</v>
      </c>
      <c r="N6389" s="23" t="str">
        <f>IFERROR(VLOOKUP(A6389, Entries!A:K,11,false),"")</f>
        <v/>
      </c>
    </row>
    <row r="6390">
      <c r="A6390" s="78" t="s">
        <v>4064</v>
      </c>
      <c r="B6390" s="78" t="s">
        <v>21</v>
      </c>
      <c r="C6390" s="85">
        <v>45537.0</v>
      </c>
      <c r="D6390" s="85">
        <v>45542.0</v>
      </c>
      <c r="E6390" s="86">
        <v>8.43</v>
      </c>
      <c r="F6390" s="87">
        <v>11.56</v>
      </c>
      <c r="G6390" s="88">
        <f t="shared" si="1"/>
        <v>3.13</v>
      </c>
      <c r="H6390" s="89">
        <f t="shared" si="18"/>
        <v>0.2707612457</v>
      </c>
      <c r="I6390" s="78" t="s">
        <v>7313</v>
      </c>
      <c r="J6390" s="78" t="s">
        <v>69</v>
      </c>
      <c r="K6390" s="58">
        <f t="shared" si="17"/>
        <v>5</v>
      </c>
      <c r="L6390" s="91" t="str">
        <f t="shared" si="8"/>
        <v>Sat</v>
      </c>
      <c r="M6390" s="78" t="str">
        <f>IFERROR(VLOOKUP(A6390, Entries!A:B,2,false),"")</f>
        <v>WanadevStudio</v>
      </c>
      <c r="N6390" s="23" t="str">
        <f>IFERROR(VLOOKUP(A6390, Entries!A:K,11,false),"")</f>
        <v/>
      </c>
    </row>
    <row r="6391">
      <c r="A6391" s="78" t="s">
        <v>4064</v>
      </c>
      <c r="B6391" s="78" t="s">
        <v>21</v>
      </c>
      <c r="C6391" s="85">
        <v>45537.0</v>
      </c>
      <c r="D6391" s="25"/>
      <c r="E6391" s="86">
        <v>8.42</v>
      </c>
      <c r="F6391" s="88"/>
      <c r="G6391" s="88">
        <f t="shared" si="1"/>
        <v>-8.42</v>
      </c>
      <c r="H6391" s="89" t="str">
        <f t="shared" si="18"/>
        <v/>
      </c>
      <c r="I6391" s="103" t="s">
        <v>7314</v>
      </c>
      <c r="J6391" s="78" t="s">
        <v>1129</v>
      </c>
      <c r="K6391" s="58" t="str">
        <f t="shared" si="17"/>
        <v/>
      </c>
      <c r="L6391" s="91" t="str">
        <f t="shared" si="8"/>
        <v/>
      </c>
      <c r="M6391" s="78" t="str">
        <f>IFERROR(VLOOKUP(A6391, Entries!A:B,2,false),"")</f>
        <v>WanadevStudio</v>
      </c>
      <c r="N6391" s="23" t="str">
        <f>IFERROR(VLOOKUP(A6391, Entries!A:K,11,false),"")</f>
        <v/>
      </c>
    </row>
    <row r="6392">
      <c r="A6392" s="78" t="s">
        <v>7315</v>
      </c>
      <c r="B6392" s="78" t="s">
        <v>19</v>
      </c>
      <c r="C6392" s="85">
        <v>45537.0</v>
      </c>
      <c r="D6392" s="85">
        <v>45538.0</v>
      </c>
      <c r="E6392" s="86">
        <v>5.5</v>
      </c>
      <c r="F6392" s="87">
        <v>7.55</v>
      </c>
      <c r="G6392" s="88">
        <f t="shared" si="1"/>
        <v>2.05</v>
      </c>
      <c r="H6392" s="89">
        <f t="shared" si="18"/>
        <v>0.2715231788</v>
      </c>
      <c r="I6392" s="78" t="s">
        <v>7316</v>
      </c>
      <c r="J6392" s="78" t="s">
        <v>69</v>
      </c>
      <c r="K6392" s="58">
        <f t="shared" si="17"/>
        <v>1</v>
      </c>
      <c r="L6392" s="91" t="str">
        <f t="shared" si="8"/>
        <v>Tue</v>
      </c>
      <c r="M6392" s="78" t="str">
        <f>IFERROR(VLOOKUP(A6392, Entries!A:B,2,false),"")</f>
        <v/>
      </c>
      <c r="N6392" s="23" t="str">
        <f>IFERROR(VLOOKUP(A6392, Entries!A:K,11,false),"")</f>
        <v/>
      </c>
    </row>
    <row r="6393">
      <c r="A6393" s="78" t="s">
        <v>7317</v>
      </c>
      <c r="B6393" s="78" t="s">
        <v>19</v>
      </c>
      <c r="C6393" s="85">
        <v>45537.0</v>
      </c>
      <c r="D6393" s="85">
        <v>45601.0</v>
      </c>
      <c r="E6393" s="86">
        <v>6.5</v>
      </c>
      <c r="F6393" s="87">
        <v>7.01</v>
      </c>
      <c r="G6393" s="88">
        <f t="shared" si="1"/>
        <v>0.51</v>
      </c>
      <c r="H6393" s="89">
        <f t="shared" si="18"/>
        <v>0.0727532097</v>
      </c>
      <c r="I6393" s="78" t="s">
        <v>7318</v>
      </c>
      <c r="J6393" s="78" t="s">
        <v>69</v>
      </c>
      <c r="K6393" s="58">
        <f t="shared" si="17"/>
        <v>64</v>
      </c>
      <c r="L6393" s="91" t="str">
        <f t="shared" si="8"/>
        <v>Tue</v>
      </c>
      <c r="M6393" s="78" t="str">
        <f>IFERROR(VLOOKUP(A6393, Entries!A:B,2,false),"")</f>
        <v>Bethesda Softworks</v>
      </c>
      <c r="N6393" s="23" t="str">
        <f>IFERROR(VLOOKUP(A6393, Entries!A:K,11,false),"")</f>
        <v/>
      </c>
    </row>
    <row r="6394">
      <c r="A6394" s="78" t="s">
        <v>6274</v>
      </c>
      <c r="B6394" s="78" t="s">
        <v>19</v>
      </c>
      <c r="C6394" s="85">
        <v>45537.0</v>
      </c>
      <c r="D6394" s="85">
        <v>45537.0</v>
      </c>
      <c r="E6394" s="86">
        <v>5.16</v>
      </c>
      <c r="F6394" s="87">
        <v>8.58</v>
      </c>
      <c r="G6394" s="88">
        <f t="shared" si="1"/>
        <v>3.42</v>
      </c>
      <c r="H6394" s="89">
        <f t="shared" si="18"/>
        <v>0.3986013986</v>
      </c>
      <c r="I6394" s="78" t="s">
        <v>7319</v>
      </c>
      <c r="J6394" s="78" t="s">
        <v>69</v>
      </c>
      <c r="K6394" s="58">
        <f t="shared" si="17"/>
        <v>0</v>
      </c>
      <c r="L6394" s="91" t="str">
        <f t="shared" si="8"/>
        <v>Mon</v>
      </c>
      <c r="M6394" s="78" t="str">
        <f>IFERROR(VLOOKUP(A6394, Entries!A:B,2,false),"")</f>
        <v>Bethesda Softworks</v>
      </c>
      <c r="N6394" s="23" t="str">
        <f>IFERROR(VLOOKUP(A6394, Entries!A:K,11,false),"")</f>
        <v/>
      </c>
    </row>
    <row r="6395">
      <c r="A6395" s="78" t="s">
        <v>7320</v>
      </c>
      <c r="B6395" s="78" t="s">
        <v>19</v>
      </c>
      <c r="C6395" s="85">
        <v>45537.0</v>
      </c>
      <c r="D6395" s="85">
        <v>45538.0</v>
      </c>
      <c r="E6395" s="86">
        <v>1.5</v>
      </c>
      <c r="F6395" s="87">
        <v>3.04</v>
      </c>
      <c r="G6395" s="88">
        <f t="shared" si="1"/>
        <v>1.54</v>
      </c>
      <c r="H6395" s="89">
        <f t="shared" si="18"/>
        <v>0.5065789474</v>
      </c>
      <c r="I6395" s="78" t="s">
        <v>7321</v>
      </c>
      <c r="J6395" s="78" t="s">
        <v>69</v>
      </c>
      <c r="K6395" s="58">
        <f t="shared" si="17"/>
        <v>1</v>
      </c>
      <c r="L6395" s="91" t="str">
        <f t="shared" si="8"/>
        <v>Tue</v>
      </c>
      <c r="M6395" s="78" t="str">
        <f>IFERROR(VLOOKUP(A6395, Entries!A:B,2,false),"")</f>
        <v/>
      </c>
      <c r="N6395" s="23" t="str">
        <f>IFERROR(VLOOKUP(A6395, Entries!A:K,11,false),"")</f>
        <v/>
      </c>
    </row>
    <row r="6396">
      <c r="A6396" s="78" t="s">
        <v>7322</v>
      </c>
      <c r="B6396" s="78" t="s">
        <v>19</v>
      </c>
      <c r="C6396" s="85">
        <v>45537.0</v>
      </c>
      <c r="D6396" s="85">
        <v>45537.0</v>
      </c>
      <c r="E6396" s="86">
        <v>1.5</v>
      </c>
      <c r="F6396" s="87">
        <v>3.18</v>
      </c>
      <c r="G6396" s="88">
        <f t="shared" si="1"/>
        <v>1.68</v>
      </c>
      <c r="H6396" s="89">
        <f t="shared" si="18"/>
        <v>0.5283018868</v>
      </c>
      <c r="I6396" s="78" t="s">
        <v>7323</v>
      </c>
      <c r="J6396" s="78" t="s">
        <v>69</v>
      </c>
      <c r="K6396" s="58">
        <f t="shared" si="17"/>
        <v>0</v>
      </c>
      <c r="L6396" s="91" t="str">
        <f t="shared" si="8"/>
        <v>Mon</v>
      </c>
      <c r="M6396" s="78" t="str">
        <f>IFERROR(VLOOKUP(A6396, Entries!A:B,2,false),"")</f>
        <v/>
      </c>
      <c r="N6396" s="23" t="str">
        <f>IFERROR(VLOOKUP(A6396, Entries!A:K,11,false),"")</f>
        <v/>
      </c>
    </row>
    <row r="6397">
      <c r="A6397" s="78" t="s">
        <v>7324</v>
      </c>
      <c r="B6397" s="78" t="s">
        <v>19</v>
      </c>
      <c r="C6397" s="85">
        <v>45537.0</v>
      </c>
      <c r="D6397" s="85">
        <v>45537.0</v>
      </c>
      <c r="E6397" s="86">
        <v>0.0</v>
      </c>
      <c r="F6397" s="87">
        <v>0.48</v>
      </c>
      <c r="G6397" s="88">
        <f t="shared" si="1"/>
        <v>0.48</v>
      </c>
      <c r="H6397" s="89">
        <f t="shared" si="18"/>
        <v>1</v>
      </c>
      <c r="I6397" s="78" t="s">
        <v>7325</v>
      </c>
      <c r="J6397" s="78" t="s">
        <v>69</v>
      </c>
      <c r="K6397" s="58">
        <f t="shared" si="17"/>
        <v>0</v>
      </c>
      <c r="L6397" s="91" t="str">
        <f t="shared" si="8"/>
        <v>Mon</v>
      </c>
      <c r="M6397" s="78" t="str">
        <f>IFERROR(VLOOKUP(A6397, Entries!A:B,2,false),"")</f>
        <v/>
      </c>
      <c r="N6397" s="23" t="str">
        <f>IFERROR(VLOOKUP(A6397, Entries!A:K,11,false),"")</f>
        <v/>
      </c>
    </row>
    <row r="6398">
      <c r="A6398" s="78" t="s">
        <v>7326</v>
      </c>
      <c r="B6398" s="78" t="s">
        <v>19</v>
      </c>
      <c r="C6398" s="85">
        <v>45537.0</v>
      </c>
      <c r="D6398" s="85">
        <v>45537.0</v>
      </c>
      <c r="E6398" s="86">
        <v>0.0</v>
      </c>
      <c r="F6398" s="87">
        <v>0.8</v>
      </c>
      <c r="G6398" s="88">
        <f t="shared" si="1"/>
        <v>0.8</v>
      </c>
      <c r="H6398" s="89">
        <f t="shared" si="18"/>
        <v>1</v>
      </c>
      <c r="I6398" s="78" t="s">
        <v>7327</v>
      </c>
      <c r="J6398" s="78" t="s">
        <v>69</v>
      </c>
      <c r="K6398" s="58">
        <f t="shared" si="17"/>
        <v>0</v>
      </c>
      <c r="L6398" s="91" t="str">
        <f t="shared" si="8"/>
        <v>Mon</v>
      </c>
      <c r="M6398" s="78" t="str">
        <f>IFERROR(VLOOKUP(A6398, Entries!A:B,2,false),"")</f>
        <v/>
      </c>
      <c r="N6398" s="23" t="str">
        <f>IFERROR(VLOOKUP(A6398, Entries!A:K,11,false),"")</f>
        <v/>
      </c>
    </row>
    <row r="6399">
      <c r="A6399" s="78" t="s">
        <v>7290</v>
      </c>
      <c r="B6399" s="78" t="s">
        <v>21</v>
      </c>
      <c r="C6399" s="85">
        <v>45537.0</v>
      </c>
      <c r="D6399" s="85"/>
      <c r="E6399" s="86">
        <v>11.0</v>
      </c>
      <c r="F6399" s="87"/>
      <c r="G6399" s="88">
        <f t="shared" si="1"/>
        <v>-11</v>
      </c>
      <c r="H6399" s="89" t="str">
        <f t="shared" si="18"/>
        <v/>
      </c>
      <c r="I6399" s="103" t="s">
        <v>7328</v>
      </c>
      <c r="J6399" s="78" t="s">
        <v>1129</v>
      </c>
      <c r="K6399" s="58" t="str">
        <f t="shared" si="17"/>
        <v/>
      </c>
      <c r="L6399" s="91" t="str">
        <f t="shared" si="8"/>
        <v/>
      </c>
      <c r="M6399" s="78" t="str">
        <f>IFERROR(VLOOKUP(A6399, Entries!A:B,2,false),"")</f>
        <v>Maximum Entertainment</v>
      </c>
      <c r="N6399" s="23" t="str">
        <f>IFERROR(VLOOKUP(A6399, Entries!A:K,11,false),"")</f>
        <v/>
      </c>
    </row>
    <row r="6400">
      <c r="A6400" s="78" t="s">
        <v>7290</v>
      </c>
      <c r="B6400" s="78" t="s">
        <v>21</v>
      </c>
      <c r="C6400" s="85">
        <v>45537.0</v>
      </c>
      <c r="D6400" s="85">
        <v>45543.0</v>
      </c>
      <c r="E6400" s="86">
        <v>11.0</v>
      </c>
      <c r="F6400" s="87">
        <v>11.96</v>
      </c>
      <c r="G6400" s="88">
        <f t="shared" si="1"/>
        <v>0.96</v>
      </c>
      <c r="H6400" s="89">
        <f t="shared" si="18"/>
        <v>0.08026755853</v>
      </c>
      <c r="I6400" s="78" t="s">
        <v>7329</v>
      </c>
      <c r="J6400" s="78" t="s">
        <v>69</v>
      </c>
      <c r="K6400" s="58">
        <f t="shared" si="17"/>
        <v>6</v>
      </c>
      <c r="L6400" s="91" t="str">
        <f t="shared" si="8"/>
        <v>Sun</v>
      </c>
      <c r="M6400" s="78" t="str">
        <f>IFERROR(VLOOKUP(A6400, Entries!A:B,2,false),"")</f>
        <v>Maximum Entertainment</v>
      </c>
      <c r="N6400" s="23" t="str">
        <f>IFERROR(VLOOKUP(A6400, Entries!A:K,11,false),"")</f>
        <v/>
      </c>
    </row>
    <row r="6401">
      <c r="A6401" s="78" t="s">
        <v>7290</v>
      </c>
      <c r="B6401" s="78" t="s">
        <v>21</v>
      </c>
      <c r="C6401" s="85">
        <v>45537.0</v>
      </c>
      <c r="D6401" s="85">
        <v>45543.0</v>
      </c>
      <c r="E6401" s="86">
        <v>10.98</v>
      </c>
      <c r="F6401" s="87">
        <v>11.96</v>
      </c>
      <c r="G6401" s="88">
        <f t="shared" si="1"/>
        <v>0.98</v>
      </c>
      <c r="H6401" s="89">
        <f t="shared" si="18"/>
        <v>0.08193979933</v>
      </c>
      <c r="I6401" s="78" t="s">
        <v>7330</v>
      </c>
      <c r="J6401" s="78" t="s">
        <v>69</v>
      </c>
      <c r="K6401" s="58">
        <f t="shared" si="17"/>
        <v>6</v>
      </c>
      <c r="L6401" s="91" t="str">
        <f t="shared" si="8"/>
        <v>Sun</v>
      </c>
      <c r="M6401" s="78" t="str">
        <f>IFERROR(VLOOKUP(A6401, Entries!A:B,2,false),"")</f>
        <v>Maximum Entertainment</v>
      </c>
      <c r="N6401" s="23" t="str">
        <f>IFERROR(VLOOKUP(A6401, Entries!A:K,11,false),"")</f>
        <v/>
      </c>
    </row>
    <row r="6402">
      <c r="A6402" s="78" t="s">
        <v>7290</v>
      </c>
      <c r="B6402" s="78" t="s">
        <v>21</v>
      </c>
      <c r="C6402" s="85">
        <v>45538.0</v>
      </c>
      <c r="D6402" s="85">
        <v>45543.0</v>
      </c>
      <c r="E6402" s="86">
        <v>10.86</v>
      </c>
      <c r="F6402" s="87">
        <v>11.96</v>
      </c>
      <c r="G6402" s="88">
        <f t="shared" si="1"/>
        <v>1.1</v>
      </c>
      <c r="H6402" s="89">
        <f t="shared" si="18"/>
        <v>0.09197324415</v>
      </c>
      <c r="I6402" s="78" t="s">
        <v>7331</v>
      </c>
      <c r="J6402" s="78" t="s">
        <v>69</v>
      </c>
      <c r="K6402" s="58">
        <f t="shared" si="17"/>
        <v>5</v>
      </c>
      <c r="L6402" s="91" t="str">
        <f t="shared" si="8"/>
        <v>Sun</v>
      </c>
      <c r="M6402" s="78" t="str">
        <f>IFERROR(VLOOKUP(A6402, Entries!A:B,2,false),"")</f>
        <v>Maximum Entertainment</v>
      </c>
      <c r="N6402" s="23" t="str">
        <f>IFERROR(VLOOKUP(A6402, Entries!A:K,11,false),"")</f>
        <v/>
      </c>
    </row>
    <row r="6403">
      <c r="A6403" s="78" t="s">
        <v>7290</v>
      </c>
      <c r="B6403" s="78" t="s">
        <v>21</v>
      </c>
      <c r="C6403" s="85">
        <v>45538.0</v>
      </c>
      <c r="D6403" s="85">
        <v>45543.0</v>
      </c>
      <c r="E6403" s="86">
        <v>10.86</v>
      </c>
      <c r="F6403" s="87">
        <v>11.96</v>
      </c>
      <c r="G6403" s="88">
        <f t="shared" si="1"/>
        <v>1.1</v>
      </c>
      <c r="H6403" s="89">
        <f t="shared" si="18"/>
        <v>0.09197324415</v>
      </c>
      <c r="I6403" s="78" t="s">
        <v>7332</v>
      </c>
      <c r="J6403" s="78" t="s">
        <v>69</v>
      </c>
      <c r="K6403" s="58">
        <f t="shared" si="17"/>
        <v>5</v>
      </c>
      <c r="L6403" s="91" t="str">
        <f t="shared" si="8"/>
        <v>Sun</v>
      </c>
      <c r="M6403" s="78" t="str">
        <f>IFERROR(VLOOKUP(A6403, Entries!A:B,2,false),"")</f>
        <v>Maximum Entertainment</v>
      </c>
      <c r="N6403" s="23" t="str">
        <f>IFERROR(VLOOKUP(A6403, Entries!A:K,11,false),"")</f>
        <v/>
      </c>
    </row>
    <row r="6404">
      <c r="A6404" s="78" t="s">
        <v>7333</v>
      </c>
      <c r="B6404" s="78" t="s">
        <v>23</v>
      </c>
      <c r="C6404" s="85">
        <v>45539.0</v>
      </c>
      <c r="D6404" s="85">
        <v>45540.0</v>
      </c>
      <c r="E6404" s="86">
        <v>25.09</v>
      </c>
      <c r="F6404" s="87">
        <v>36.89</v>
      </c>
      <c r="G6404" s="88">
        <f t="shared" si="1"/>
        <v>11.8</v>
      </c>
      <c r="H6404" s="89">
        <f t="shared" si="18"/>
        <v>0.3198698834</v>
      </c>
      <c r="I6404" s="78" t="s">
        <v>7334</v>
      </c>
      <c r="J6404" s="78" t="s">
        <v>69</v>
      </c>
      <c r="K6404" s="58">
        <f t="shared" si="17"/>
        <v>1</v>
      </c>
      <c r="L6404" s="91" t="str">
        <f t="shared" si="8"/>
        <v>Thu</v>
      </c>
      <c r="M6404" s="78" t="str">
        <f>IFERROR(VLOOKUP(A6404, Entries!A:B,2,false),"")</f>
        <v/>
      </c>
      <c r="N6404" s="23" t="str">
        <f>IFERROR(VLOOKUP(A6404, Entries!A:K,11,false),"")</f>
        <v/>
      </c>
    </row>
    <row r="6405">
      <c r="A6405" s="78" t="s">
        <v>7290</v>
      </c>
      <c r="B6405" s="78" t="s">
        <v>21</v>
      </c>
      <c r="C6405" s="85">
        <v>45539.0</v>
      </c>
      <c r="D6405" s="85">
        <v>45543.0</v>
      </c>
      <c r="E6405" s="86">
        <v>9.12</v>
      </c>
      <c r="F6405" s="87">
        <v>11.96</v>
      </c>
      <c r="G6405" s="88">
        <f t="shared" si="1"/>
        <v>2.84</v>
      </c>
      <c r="H6405" s="89">
        <f t="shared" si="18"/>
        <v>0.237458194</v>
      </c>
      <c r="I6405" s="78" t="s">
        <v>7335</v>
      </c>
      <c r="J6405" s="78" t="s">
        <v>69</v>
      </c>
      <c r="K6405" s="58">
        <f t="shared" si="17"/>
        <v>4</v>
      </c>
      <c r="L6405" s="91" t="str">
        <f t="shared" si="8"/>
        <v>Sun</v>
      </c>
      <c r="M6405" s="78" t="str">
        <f>IFERROR(VLOOKUP(A6405, Entries!A:B,2,false),"")</f>
        <v>Maximum Entertainment</v>
      </c>
      <c r="N6405" s="23" t="str">
        <f>IFERROR(VLOOKUP(A6405, Entries!A:K,11,false),"")</f>
        <v/>
      </c>
    </row>
    <row r="6406">
      <c r="A6406" s="78" t="s">
        <v>7290</v>
      </c>
      <c r="B6406" s="78" t="s">
        <v>21</v>
      </c>
      <c r="C6406" s="85">
        <v>45539.0</v>
      </c>
      <c r="D6406" s="85">
        <v>45543.0</v>
      </c>
      <c r="E6406" s="86">
        <v>9.12</v>
      </c>
      <c r="F6406" s="87">
        <v>11.96</v>
      </c>
      <c r="G6406" s="88">
        <f t="shared" si="1"/>
        <v>2.84</v>
      </c>
      <c r="H6406" s="89">
        <f t="shared" si="18"/>
        <v>0.237458194</v>
      </c>
      <c r="I6406" s="78" t="s">
        <v>7336</v>
      </c>
      <c r="J6406" s="78" t="s">
        <v>69</v>
      </c>
      <c r="K6406" s="58">
        <f t="shared" si="17"/>
        <v>4</v>
      </c>
      <c r="L6406" s="91" t="str">
        <f t="shared" si="8"/>
        <v>Sun</v>
      </c>
      <c r="M6406" s="78" t="str">
        <f>IFERROR(VLOOKUP(A6406, Entries!A:B,2,false),"")</f>
        <v>Maximum Entertainment</v>
      </c>
      <c r="N6406" s="23" t="str">
        <f>IFERROR(VLOOKUP(A6406, Entries!A:K,11,false),"")</f>
        <v/>
      </c>
    </row>
    <row r="6407">
      <c r="A6407" s="78" t="s">
        <v>7290</v>
      </c>
      <c r="B6407" s="78" t="s">
        <v>21</v>
      </c>
      <c r="C6407" s="85">
        <v>45539.0</v>
      </c>
      <c r="D6407" s="25"/>
      <c r="E6407" s="86">
        <v>9.12</v>
      </c>
      <c r="F6407" s="88"/>
      <c r="G6407" s="88">
        <f t="shared" si="1"/>
        <v>-9.12</v>
      </c>
      <c r="H6407" s="89" t="str">
        <f t="shared" si="18"/>
        <v/>
      </c>
      <c r="I6407" s="103" t="s">
        <v>7337</v>
      </c>
      <c r="J6407" s="78" t="s">
        <v>1129</v>
      </c>
      <c r="K6407" s="58" t="str">
        <f t="shared" si="17"/>
        <v/>
      </c>
      <c r="L6407" s="91" t="str">
        <f t="shared" si="8"/>
        <v/>
      </c>
      <c r="M6407" s="78" t="str">
        <f>IFERROR(VLOOKUP(A6407, Entries!A:B,2,false),"")</f>
        <v>Maximum Entertainment</v>
      </c>
      <c r="N6407" s="23" t="str">
        <f>IFERROR(VLOOKUP(A6407, Entries!A:K,11,false),"")</f>
        <v/>
      </c>
    </row>
    <row r="6408">
      <c r="A6408" s="78" t="s">
        <v>7290</v>
      </c>
      <c r="B6408" s="78" t="s">
        <v>21</v>
      </c>
      <c r="C6408" s="85">
        <v>45539.0</v>
      </c>
      <c r="D6408" s="25"/>
      <c r="E6408" s="86">
        <v>9.12</v>
      </c>
      <c r="F6408" s="88"/>
      <c r="G6408" s="88">
        <f t="shared" si="1"/>
        <v>-9.12</v>
      </c>
      <c r="H6408" s="89" t="str">
        <f t="shared" si="18"/>
        <v/>
      </c>
      <c r="I6408" s="103" t="s">
        <v>7338</v>
      </c>
      <c r="J6408" s="78" t="s">
        <v>1129</v>
      </c>
      <c r="K6408" s="58" t="str">
        <f t="shared" si="17"/>
        <v/>
      </c>
      <c r="L6408" s="91" t="str">
        <f t="shared" si="8"/>
        <v/>
      </c>
      <c r="M6408" s="78" t="str">
        <f>IFERROR(VLOOKUP(A6408, Entries!A:B,2,false),"")</f>
        <v>Maximum Entertainment</v>
      </c>
      <c r="N6408" s="23" t="str">
        <f>IFERROR(VLOOKUP(A6408, Entries!A:K,11,false),"")</f>
        <v/>
      </c>
    </row>
    <row r="6409">
      <c r="A6409" s="78" t="s">
        <v>7290</v>
      </c>
      <c r="B6409" s="78" t="s">
        <v>21</v>
      </c>
      <c r="C6409" s="85">
        <v>45539.0</v>
      </c>
      <c r="D6409" s="25"/>
      <c r="E6409" s="86">
        <v>9.14</v>
      </c>
      <c r="F6409" s="88"/>
      <c r="G6409" s="88">
        <f t="shared" si="1"/>
        <v>-9.14</v>
      </c>
      <c r="H6409" s="89" t="str">
        <f t="shared" si="18"/>
        <v/>
      </c>
      <c r="I6409" s="103" t="s">
        <v>7339</v>
      </c>
      <c r="J6409" s="78" t="s">
        <v>1129</v>
      </c>
      <c r="K6409" s="58" t="str">
        <f t="shared" si="17"/>
        <v/>
      </c>
      <c r="L6409" s="91" t="str">
        <f t="shared" si="8"/>
        <v/>
      </c>
      <c r="M6409" s="78" t="str">
        <f>IFERROR(VLOOKUP(A6409, Entries!A:B,2,false),"")</f>
        <v>Maximum Entertainment</v>
      </c>
      <c r="N6409" s="23" t="str">
        <f>IFERROR(VLOOKUP(A6409, Entries!A:K,11,false),"")</f>
        <v/>
      </c>
    </row>
    <row r="6410">
      <c r="A6410" s="78" t="s">
        <v>7333</v>
      </c>
      <c r="B6410" s="78" t="s">
        <v>23</v>
      </c>
      <c r="C6410" s="85">
        <v>45540.0</v>
      </c>
      <c r="D6410" s="85">
        <v>45543.0</v>
      </c>
      <c r="E6410" s="86">
        <v>25.06</v>
      </c>
      <c r="F6410" s="87">
        <v>36.71</v>
      </c>
      <c r="G6410" s="88">
        <f t="shared" si="1"/>
        <v>11.65</v>
      </c>
      <c r="H6410" s="89">
        <f t="shared" si="18"/>
        <v>0.3173522201</v>
      </c>
      <c r="I6410" s="78" t="s">
        <v>7340</v>
      </c>
      <c r="J6410" s="78" t="s">
        <v>69</v>
      </c>
      <c r="K6410" s="58">
        <f t="shared" si="17"/>
        <v>3</v>
      </c>
      <c r="L6410" s="91" t="str">
        <f t="shared" si="8"/>
        <v>Sun</v>
      </c>
      <c r="M6410" s="78" t="str">
        <f>IFERROR(VLOOKUP(A6410, Entries!A:B,2,false),"")</f>
        <v/>
      </c>
      <c r="N6410" s="23" t="str">
        <f>IFERROR(VLOOKUP(A6410, Entries!A:K,11,false),"")</f>
        <v/>
      </c>
    </row>
    <row r="6411">
      <c r="A6411" s="78" t="s">
        <v>7315</v>
      </c>
      <c r="B6411" s="78" t="s">
        <v>19</v>
      </c>
      <c r="C6411" s="85">
        <v>45540.0</v>
      </c>
      <c r="D6411" s="85">
        <v>45541.0</v>
      </c>
      <c r="E6411" s="86">
        <v>5.5</v>
      </c>
      <c r="F6411" s="87">
        <v>8.47</v>
      </c>
      <c r="G6411" s="88">
        <f t="shared" si="1"/>
        <v>2.97</v>
      </c>
      <c r="H6411" s="89">
        <f t="shared" si="18"/>
        <v>0.3506493506</v>
      </c>
      <c r="I6411" s="78" t="s">
        <v>7341</v>
      </c>
      <c r="J6411" s="78" t="s">
        <v>69</v>
      </c>
      <c r="K6411" s="58">
        <f t="shared" si="17"/>
        <v>1</v>
      </c>
      <c r="L6411" s="91" t="str">
        <f t="shared" si="8"/>
        <v>Fri</v>
      </c>
      <c r="M6411" s="78" t="str">
        <f>IFERROR(VLOOKUP(A6411, Entries!A:B,2,false),"")</f>
        <v/>
      </c>
      <c r="N6411" s="23" t="str">
        <f>IFERROR(VLOOKUP(A6411, Entries!A:K,11,false),"")</f>
        <v/>
      </c>
    </row>
    <row r="6412">
      <c r="A6412" s="78" t="s">
        <v>7317</v>
      </c>
      <c r="B6412" s="78" t="s">
        <v>19</v>
      </c>
      <c r="C6412" s="85">
        <v>45540.0</v>
      </c>
      <c r="D6412" s="85">
        <v>45976.0</v>
      </c>
      <c r="E6412" s="86">
        <v>6.5</v>
      </c>
      <c r="F6412" s="87">
        <v>6.33</v>
      </c>
      <c r="G6412" s="88">
        <f t="shared" si="1"/>
        <v>-0.17</v>
      </c>
      <c r="H6412" s="89">
        <f t="shared" si="18"/>
        <v>-0.02685624013</v>
      </c>
      <c r="I6412" s="103" t="s">
        <v>7342</v>
      </c>
      <c r="J6412" s="78" t="s">
        <v>69</v>
      </c>
      <c r="K6412" s="58">
        <f t="shared" si="17"/>
        <v>436</v>
      </c>
      <c r="L6412" s="91" t="str">
        <f t="shared" si="8"/>
        <v>Sat</v>
      </c>
      <c r="M6412" s="78" t="str">
        <f>IFERROR(VLOOKUP(A6412, Entries!A:B,2,false),"")</f>
        <v>Bethesda Softworks</v>
      </c>
      <c r="N6412" s="23" t="str">
        <f>IFERROR(VLOOKUP(A6412, Entries!A:K,11,false),"")</f>
        <v/>
      </c>
    </row>
    <row r="6413">
      <c r="A6413" s="78" t="s">
        <v>6274</v>
      </c>
      <c r="B6413" s="78" t="s">
        <v>19</v>
      </c>
      <c r="C6413" s="85">
        <v>45540.0</v>
      </c>
      <c r="D6413" s="85">
        <v>45540.0</v>
      </c>
      <c r="E6413" s="86">
        <v>5.17</v>
      </c>
      <c r="F6413" s="87">
        <v>8.63</v>
      </c>
      <c r="G6413" s="88">
        <f t="shared" si="1"/>
        <v>3.46</v>
      </c>
      <c r="H6413" s="89">
        <f t="shared" si="18"/>
        <v>0.4009269988</v>
      </c>
      <c r="I6413" s="78" t="s">
        <v>7343</v>
      </c>
      <c r="J6413" s="78" t="s">
        <v>69</v>
      </c>
      <c r="K6413" s="58">
        <f t="shared" si="17"/>
        <v>0</v>
      </c>
      <c r="L6413" s="91" t="str">
        <f t="shared" si="8"/>
        <v>Thu</v>
      </c>
      <c r="M6413" s="78" t="str">
        <f>IFERROR(VLOOKUP(A6413, Entries!A:B,2,false),"")</f>
        <v>Bethesda Softworks</v>
      </c>
      <c r="N6413" s="23" t="str">
        <f>IFERROR(VLOOKUP(A6413, Entries!A:K,11,false),"")</f>
        <v/>
      </c>
    </row>
    <row r="6414">
      <c r="A6414" s="78" t="s">
        <v>7320</v>
      </c>
      <c r="B6414" s="78" t="s">
        <v>19</v>
      </c>
      <c r="C6414" s="85">
        <v>45540.0</v>
      </c>
      <c r="D6414" s="85">
        <v>45544.0</v>
      </c>
      <c r="E6414" s="86">
        <v>1.5</v>
      </c>
      <c r="F6414" s="87">
        <v>3.99</v>
      </c>
      <c r="G6414" s="88">
        <f t="shared" si="1"/>
        <v>2.49</v>
      </c>
      <c r="H6414" s="89">
        <f t="shared" si="18"/>
        <v>0.6240601504</v>
      </c>
      <c r="I6414" s="78" t="s">
        <v>7344</v>
      </c>
      <c r="J6414" s="78" t="s">
        <v>69</v>
      </c>
      <c r="K6414" s="58">
        <f t="shared" si="17"/>
        <v>4</v>
      </c>
      <c r="L6414" s="91" t="str">
        <f t="shared" si="8"/>
        <v>Mon</v>
      </c>
      <c r="M6414" s="78" t="str">
        <f>IFERROR(VLOOKUP(A6414, Entries!A:B,2,false),"")</f>
        <v/>
      </c>
      <c r="N6414" s="23" t="str">
        <f>IFERROR(VLOOKUP(A6414, Entries!A:K,11,false),"")</f>
        <v/>
      </c>
    </row>
    <row r="6415">
      <c r="A6415" s="78" t="s">
        <v>7322</v>
      </c>
      <c r="B6415" s="78" t="s">
        <v>19</v>
      </c>
      <c r="C6415" s="85">
        <v>45540.0</v>
      </c>
      <c r="D6415" s="85">
        <v>45540.0</v>
      </c>
      <c r="E6415" s="86">
        <v>1.5</v>
      </c>
      <c r="F6415" s="87">
        <v>3.22</v>
      </c>
      <c r="G6415" s="88">
        <f t="shared" si="1"/>
        <v>1.72</v>
      </c>
      <c r="H6415" s="89">
        <f t="shared" si="18"/>
        <v>0.5341614907</v>
      </c>
      <c r="I6415" s="78" t="s">
        <v>7345</v>
      </c>
      <c r="J6415" s="78" t="s">
        <v>69</v>
      </c>
      <c r="K6415" s="58">
        <f t="shared" si="17"/>
        <v>0</v>
      </c>
      <c r="L6415" s="91" t="str">
        <f t="shared" si="8"/>
        <v>Thu</v>
      </c>
      <c r="M6415" s="78" t="str">
        <f>IFERROR(VLOOKUP(A6415, Entries!A:B,2,false),"")</f>
        <v/>
      </c>
      <c r="N6415" s="23" t="str">
        <f>IFERROR(VLOOKUP(A6415, Entries!A:K,11,false),"")</f>
        <v/>
      </c>
    </row>
    <row r="6416">
      <c r="A6416" s="78" t="s">
        <v>7324</v>
      </c>
      <c r="B6416" s="78" t="s">
        <v>19</v>
      </c>
      <c r="C6416" s="85">
        <v>45540.0</v>
      </c>
      <c r="D6416" s="85">
        <v>45541.0</v>
      </c>
      <c r="E6416" s="86">
        <v>0.0</v>
      </c>
      <c r="F6416" s="87">
        <v>0.32</v>
      </c>
      <c r="G6416" s="88">
        <f t="shared" si="1"/>
        <v>0.32</v>
      </c>
      <c r="H6416" s="89">
        <f t="shared" si="18"/>
        <v>1</v>
      </c>
      <c r="I6416" s="78" t="s">
        <v>7346</v>
      </c>
      <c r="J6416" s="78" t="s">
        <v>69</v>
      </c>
      <c r="K6416" s="58">
        <f t="shared" si="17"/>
        <v>1</v>
      </c>
      <c r="L6416" s="91" t="str">
        <f t="shared" si="8"/>
        <v>Fri</v>
      </c>
      <c r="M6416" s="78" t="str">
        <f>IFERROR(VLOOKUP(A6416, Entries!A:B,2,false),"")</f>
        <v/>
      </c>
      <c r="N6416" s="23" t="str">
        <f>IFERROR(VLOOKUP(A6416, Entries!A:K,11,false),"")</f>
        <v/>
      </c>
    </row>
    <row r="6417">
      <c r="A6417" s="78" t="s">
        <v>7326</v>
      </c>
      <c r="B6417" s="78" t="s">
        <v>19</v>
      </c>
      <c r="C6417" s="85">
        <v>45540.0</v>
      </c>
      <c r="D6417" s="85">
        <v>45543.0</v>
      </c>
      <c r="E6417" s="86">
        <v>0.0</v>
      </c>
      <c r="F6417" s="87">
        <v>0.79</v>
      </c>
      <c r="G6417" s="88">
        <f t="shared" si="1"/>
        <v>0.79</v>
      </c>
      <c r="H6417" s="89">
        <f t="shared" si="18"/>
        <v>1</v>
      </c>
      <c r="I6417" s="78" t="s">
        <v>7347</v>
      </c>
      <c r="J6417" s="78" t="s">
        <v>69</v>
      </c>
      <c r="K6417" s="58">
        <f t="shared" si="17"/>
        <v>3</v>
      </c>
      <c r="L6417" s="91" t="str">
        <f t="shared" si="8"/>
        <v>Sun</v>
      </c>
      <c r="M6417" s="78" t="str">
        <f>IFERROR(VLOOKUP(A6417, Entries!A:B,2,false),"")</f>
        <v/>
      </c>
      <c r="N6417" s="23" t="str">
        <f>IFERROR(VLOOKUP(A6417, Entries!A:K,11,false),"")</f>
        <v/>
      </c>
    </row>
    <row r="6418">
      <c r="A6418" s="78" t="s">
        <v>7092</v>
      </c>
      <c r="B6418" s="78" t="s">
        <v>23</v>
      </c>
      <c r="C6418" s="85">
        <v>45540.0</v>
      </c>
      <c r="D6418" s="85">
        <v>45548.0</v>
      </c>
      <c r="E6418" s="86">
        <v>8.48</v>
      </c>
      <c r="F6418" s="87">
        <v>10.61</v>
      </c>
      <c r="G6418" s="88">
        <f t="shared" si="1"/>
        <v>2.13</v>
      </c>
      <c r="H6418" s="89">
        <f t="shared" si="18"/>
        <v>0.2007540057</v>
      </c>
      <c r="I6418" s="78" t="s">
        <v>7348</v>
      </c>
      <c r="J6418" s="78" t="s">
        <v>69</v>
      </c>
      <c r="K6418" s="58">
        <f t="shared" si="17"/>
        <v>8</v>
      </c>
      <c r="L6418" s="91" t="str">
        <f t="shared" si="8"/>
        <v>Fri</v>
      </c>
      <c r="M6418" s="78" t="str">
        <f>IFERROR(VLOOKUP(A6418, Entries!A:B,2,false),"")</f>
        <v>IO Interactive</v>
      </c>
      <c r="N6418" s="23" t="str">
        <f>IFERROR(VLOOKUP(A6418, Entries!A:K,11,false),"")</f>
        <v/>
      </c>
    </row>
    <row r="6419">
      <c r="A6419" s="78" t="s">
        <v>5510</v>
      </c>
      <c r="B6419" s="78" t="s">
        <v>21</v>
      </c>
      <c r="C6419" s="85">
        <v>45541.0</v>
      </c>
      <c r="D6419" s="85">
        <v>45541.0</v>
      </c>
      <c r="E6419" s="86">
        <v>15.6</v>
      </c>
      <c r="F6419" s="87">
        <v>18.22</v>
      </c>
      <c r="G6419" s="88">
        <f t="shared" si="1"/>
        <v>2.62</v>
      </c>
      <c r="H6419" s="89">
        <f t="shared" si="18"/>
        <v>0.1437980241</v>
      </c>
      <c r="I6419" s="78" t="s">
        <v>7349</v>
      </c>
      <c r="J6419" s="78" t="s">
        <v>69</v>
      </c>
      <c r="K6419" s="58">
        <f t="shared" si="17"/>
        <v>0</v>
      </c>
      <c r="L6419" s="91" t="str">
        <f t="shared" si="8"/>
        <v>Fri</v>
      </c>
      <c r="M6419" s="78"/>
      <c r="N6419" s="23" t="str">
        <f>IFERROR(VLOOKUP(A6419, Entries!A:K,11,false),"")</f>
        <v/>
      </c>
    </row>
    <row r="6420">
      <c r="A6420" s="78" t="s">
        <v>5933</v>
      </c>
      <c r="B6420" s="78" t="s">
        <v>18</v>
      </c>
      <c r="C6420" s="85">
        <v>45541.0</v>
      </c>
      <c r="D6420" s="85">
        <v>46132.0</v>
      </c>
      <c r="E6420" s="86">
        <v>42.94</v>
      </c>
      <c r="F6420" s="87">
        <v>44.75</v>
      </c>
      <c r="G6420" s="88">
        <f t="shared" si="1"/>
        <v>1.81</v>
      </c>
      <c r="H6420" s="89">
        <f t="shared" si="18"/>
        <v>0.04044692737</v>
      </c>
      <c r="I6420" s="103" t="s">
        <v>7350</v>
      </c>
      <c r="J6420" s="78" t="s">
        <v>69</v>
      </c>
      <c r="K6420" s="58">
        <f t="shared" si="17"/>
        <v>591</v>
      </c>
      <c r="L6420" s="91" t="str">
        <f t="shared" si="8"/>
        <v>Mon</v>
      </c>
      <c r="M6420" s="78" t="str">
        <f>IFERROR(VLOOKUP(A6420, Entries!A:B,2,false),"")</f>
        <v>Pocketpair</v>
      </c>
      <c r="N6420" s="23" t="str">
        <f>IFERROR(VLOOKUP(A6420, Entries!A:K,11,false),"")</f>
        <v/>
      </c>
    </row>
    <row r="6421">
      <c r="A6421" s="78" t="s">
        <v>5933</v>
      </c>
      <c r="B6421" s="78" t="s">
        <v>18</v>
      </c>
      <c r="C6421" s="85">
        <v>45541.0</v>
      </c>
      <c r="D6421" s="85">
        <v>46137.0</v>
      </c>
      <c r="E6421" s="86">
        <v>42.94</v>
      </c>
      <c r="F6421" s="87">
        <v>43.74</v>
      </c>
      <c r="G6421" s="88">
        <f t="shared" si="1"/>
        <v>0.8</v>
      </c>
      <c r="H6421" s="89">
        <f t="shared" si="18"/>
        <v>0.01828989483</v>
      </c>
      <c r="I6421" s="103" t="s">
        <v>7351</v>
      </c>
      <c r="J6421" s="78" t="s">
        <v>69</v>
      </c>
      <c r="K6421" s="58">
        <f t="shared" si="17"/>
        <v>596</v>
      </c>
      <c r="L6421" s="91" t="str">
        <f t="shared" si="8"/>
        <v>Sat</v>
      </c>
      <c r="M6421" s="78" t="str">
        <f>IFERROR(VLOOKUP(A6421, Entries!A:B,2,false),"")</f>
        <v>Pocketpair</v>
      </c>
      <c r="N6421" s="23" t="str">
        <f>IFERROR(VLOOKUP(A6421, Entries!A:K,11,false),"")</f>
        <v/>
      </c>
    </row>
    <row r="6422">
      <c r="A6422" s="78" t="s">
        <v>6024</v>
      </c>
      <c r="B6422" s="78" t="s">
        <v>25</v>
      </c>
      <c r="C6422" s="85">
        <v>45542.0</v>
      </c>
      <c r="D6422" s="85">
        <v>45555.0</v>
      </c>
      <c r="E6422" s="86">
        <v>40.1</v>
      </c>
      <c r="F6422" s="87">
        <v>52.41</v>
      </c>
      <c r="G6422" s="88">
        <f t="shared" si="1"/>
        <v>12.31</v>
      </c>
      <c r="H6422" s="89">
        <f t="shared" si="18"/>
        <v>0.2348788399</v>
      </c>
      <c r="I6422" s="78" t="s">
        <v>7352</v>
      </c>
      <c r="J6422" s="78" t="s">
        <v>69</v>
      </c>
      <c r="K6422" s="58">
        <f t="shared" si="17"/>
        <v>13</v>
      </c>
      <c r="L6422" s="91" t="str">
        <f t="shared" si="8"/>
        <v>Fri</v>
      </c>
      <c r="M6422" s="78" t="str">
        <f>IFERROR(VLOOKUP(A6422, Entries!A:B,2,false),"")</f>
        <v>BANDAI NAMCO</v>
      </c>
      <c r="N6422" s="23" t="str">
        <f>IFERROR(VLOOKUP(A6422, Entries!A:K,11,false),"")</f>
        <v/>
      </c>
    </row>
    <row r="6423">
      <c r="A6423" s="78" t="s">
        <v>7353</v>
      </c>
      <c r="B6423" s="78" t="s">
        <v>22</v>
      </c>
      <c r="C6423" s="85">
        <v>45542.0</v>
      </c>
      <c r="D6423" s="85">
        <v>45675.0</v>
      </c>
      <c r="E6423" s="86">
        <v>6.39</v>
      </c>
      <c r="F6423" s="87">
        <v>9.88</v>
      </c>
      <c r="G6423" s="88">
        <f t="shared" si="1"/>
        <v>3.49</v>
      </c>
      <c r="H6423" s="89">
        <f t="shared" si="18"/>
        <v>0.3532388664</v>
      </c>
      <c r="I6423" s="78" t="s">
        <v>7354</v>
      </c>
      <c r="J6423" s="78" t="s">
        <v>69</v>
      </c>
      <c r="K6423" s="58">
        <f t="shared" si="17"/>
        <v>133</v>
      </c>
      <c r="L6423" s="91" t="str">
        <f t="shared" si="8"/>
        <v>Sat</v>
      </c>
      <c r="M6423" s="78" t="str">
        <f>IFERROR(VLOOKUP(A6423, Entries!A:B,2,false),"")</f>
        <v/>
      </c>
      <c r="N6423" s="23" t="str">
        <f>IFERROR(VLOOKUP(A6423, Entries!A:K,11,false),"")</f>
        <v/>
      </c>
      <c r="P6423" s="78" t="s">
        <v>7355</v>
      </c>
    </row>
    <row r="6424">
      <c r="A6424" s="78" t="s">
        <v>7353</v>
      </c>
      <c r="B6424" s="78" t="s">
        <v>22</v>
      </c>
      <c r="C6424" s="85">
        <v>45542.0</v>
      </c>
      <c r="D6424" s="85">
        <v>45552.0</v>
      </c>
      <c r="E6424" s="86">
        <v>6.4</v>
      </c>
      <c r="F6424" s="87">
        <v>11.07</v>
      </c>
      <c r="G6424" s="88">
        <f t="shared" si="1"/>
        <v>4.67</v>
      </c>
      <c r="H6424" s="89">
        <f t="shared" si="18"/>
        <v>0.4218608853</v>
      </c>
      <c r="I6424" s="78" t="s">
        <v>7356</v>
      </c>
      <c r="J6424" s="78" t="s">
        <v>69</v>
      </c>
      <c r="K6424" s="58">
        <f t="shared" si="17"/>
        <v>10</v>
      </c>
      <c r="L6424" s="91" t="str">
        <f t="shared" si="8"/>
        <v>Tue</v>
      </c>
      <c r="M6424" s="78" t="str">
        <f>IFERROR(VLOOKUP(A6424, Entries!A:B,2,false),"")</f>
        <v/>
      </c>
      <c r="N6424" s="23" t="str">
        <f>IFERROR(VLOOKUP(A6424, Entries!A:K,11,false),"")</f>
        <v/>
      </c>
    </row>
    <row r="6425">
      <c r="A6425" s="78" t="s">
        <v>7357</v>
      </c>
      <c r="B6425" s="78" t="s">
        <v>22</v>
      </c>
      <c r="C6425" s="85">
        <v>45544.0</v>
      </c>
      <c r="D6425" s="25"/>
      <c r="E6425" s="86">
        <v>10.0</v>
      </c>
      <c r="F6425" s="88"/>
      <c r="G6425" s="88">
        <f t="shared" si="1"/>
        <v>-10</v>
      </c>
      <c r="H6425" s="89" t="str">
        <f t="shared" si="18"/>
        <v/>
      </c>
      <c r="I6425" s="103" t="s">
        <v>7358</v>
      </c>
      <c r="J6425" s="78" t="s">
        <v>1129</v>
      </c>
      <c r="K6425" s="58" t="str">
        <f t="shared" si="17"/>
        <v/>
      </c>
      <c r="L6425" s="91" t="str">
        <f t="shared" si="8"/>
        <v/>
      </c>
      <c r="M6425" s="78" t="str">
        <f>IFERROR(VLOOKUP(A6425, Entries!A:B,2,false),"")</f>
        <v/>
      </c>
      <c r="N6425" s="23" t="str">
        <f>IFERROR(VLOOKUP(A6425, Entries!A:K,11,false),"")</f>
        <v/>
      </c>
    </row>
    <row r="6426">
      <c r="A6426" s="78" t="s">
        <v>7257</v>
      </c>
      <c r="B6426" s="78" t="s">
        <v>21</v>
      </c>
      <c r="C6426" s="85">
        <v>45542.0</v>
      </c>
      <c r="D6426" s="85">
        <v>45543.0</v>
      </c>
      <c r="E6426" s="86">
        <v>29.31</v>
      </c>
      <c r="F6426" s="87">
        <v>32.4</v>
      </c>
      <c r="G6426" s="88">
        <f t="shared" si="1"/>
        <v>3.09</v>
      </c>
      <c r="H6426" s="89">
        <f t="shared" si="18"/>
        <v>0.09537037037</v>
      </c>
      <c r="I6426" s="78" t="s">
        <v>7359</v>
      </c>
      <c r="J6426" s="78" t="s">
        <v>69</v>
      </c>
      <c r="K6426" s="58">
        <f t="shared" si="17"/>
        <v>1</v>
      </c>
      <c r="L6426" s="91" t="str">
        <f t="shared" si="8"/>
        <v>Sun</v>
      </c>
      <c r="M6426" s="78"/>
      <c r="N6426" s="23" t="str">
        <f>IFERROR(VLOOKUP(A6426, Entries!A:K,11,false),"")</f>
        <v/>
      </c>
    </row>
    <row r="6427">
      <c r="A6427" s="78" t="s">
        <v>7257</v>
      </c>
      <c r="B6427" s="78" t="s">
        <v>21</v>
      </c>
      <c r="C6427" s="85">
        <v>45543.0</v>
      </c>
      <c r="D6427" s="85">
        <v>45549.0</v>
      </c>
      <c r="E6427" s="86">
        <v>29.46</v>
      </c>
      <c r="F6427" s="87">
        <v>31.43</v>
      </c>
      <c r="G6427" s="88">
        <f t="shared" si="1"/>
        <v>1.97</v>
      </c>
      <c r="H6427" s="89">
        <f t="shared" si="18"/>
        <v>0.06267896914</v>
      </c>
      <c r="I6427" s="78" t="s">
        <v>7360</v>
      </c>
      <c r="J6427" s="78" t="s">
        <v>69</v>
      </c>
      <c r="K6427" s="58">
        <f t="shared" si="17"/>
        <v>6</v>
      </c>
      <c r="L6427" s="91" t="str">
        <f t="shared" si="8"/>
        <v>Sat</v>
      </c>
      <c r="M6427" s="78" t="str">
        <f>IFERROR(VLOOKUP(A6427, Entries!A:B,2,false),"")</f>
        <v>Electronic Arts</v>
      </c>
      <c r="N6427" s="23" t="str">
        <f>IFERROR(VLOOKUP(A6427, Entries!A:K,11,false),"")</f>
        <v/>
      </c>
    </row>
    <row r="6428">
      <c r="A6428" s="78" t="s">
        <v>7333</v>
      </c>
      <c r="B6428" s="78" t="s">
        <v>23</v>
      </c>
      <c r="C6428" s="85">
        <v>45543.0</v>
      </c>
      <c r="D6428" s="25"/>
      <c r="E6428" s="86">
        <v>22.07</v>
      </c>
      <c r="F6428" s="88"/>
      <c r="G6428" s="88">
        <f t="shared" si="1"/>
        <v>-22.07</v>
      </c>
      <c r="H6428" s="89" t="str">
        <f t="shared" si="18"/>
        <v/>
      </c>
      <c r="I6428" s="103" t="s">
        <v>7361</v>
      </c>
      <c r="J6428" s="78" t="s">
        <v>1129</v>
      </c>
      <c r="K6428" s="58" t="str">
        <f t="shared" si="17"/>
        <v/>
      </c>
      <c r="L6428" s="91" t="str">
        <f t="shared" si="8"/>
        <v/>
      </c>
      <c r="M6428" s="78" t="str">
        <f>IFERROR(VLOOKUP(A6428, Entries!A:B,2,false),"")</f>
        <v/>
      </c>
      <c r="N6428" s="23" t="str">
        <f>IFERROR(VLOOKUP(A6428, Entries!A:K,11,false),"")</f>
        <v/>
      </c>
    </row>
    <row r="6429">
      <c r="A6429" s="78" t="s">
        <v>6977</v>
      </c>
      <c r="B6429" s="78" t="s">
        <v>23</v>
      </c>
      <c r="C6429" s="85">
        <v>45544.0</v>
      </c>
      <c r="D6429" s="85">
        <v>45547.0</v>
      </c>
      <c r="E6429" s="86">
        <v>8.93</v>
      </c>
      <c r="F6429" s="87">
        <v>12.21</v>
      </c>
      <c r="G6429" s="88">
        <f t="shared" si="1"/>
        <v>3.28</v>
      </c>
      <c r="H6429" s="89">
        <f t="shared" si="18"/>
        <v>0.2686322686</v>
      </c>
      <c r="I6429" s="78" t="s">
        <v>7362</v>
      </c>
      <c r="J6429" s="78" t="s">
        <v>69</v>
      </c>
      <c r="K6429" s="58">
        <f t="shared" si="17"/>
        <v>3</v>
      </c>
      <c r="L6429" s="91" t="str">
        <f t="shared" si="8"/>
        <v>Thu</v>
      </c>
      <c r="M6429" s="78" t="str">
        <f>IFERROR(VLOOKUP(A6429, Entries!A:B,2,false),"")</f>
        <v>Dear Villagers</v>
      </c>
      <c r="N6429" s="23" t="str">
        <f>IFERROR(VLOOKUP(A6429, Entries!A:K,11,false),"")</f>
        <v/>
      </c>
    </row>
    <row r="6430">
      <c r="A6430" s="78" t="s">
        <v>7315</v>
      </c>
      <c r="B6430" s="78" t="s">
        <v>19</v>
      </c>
      <c r="C6430" s="85">
        <v>45544.0</v>
      </c>
      <c r="D6430" s="85">
        <v>45548.0</v>
      </c>
      <c r="E6430" s="86">
        <v>5.5</v>
      </c>
      <c r="F6430" s="87">
        <v>8.37</v>
      </c>
      <c r="G6430" s="88">
        <f t="shared" si="1"/>
        <v>2.87</v>
      </c>
      <c r="H6430" s="89">
        <f t="shared" si="18"/>
        <v>0.3428912784</v>
      </c>
      <c r="I6430" s="78" t="s">
        <v>7363</v>
      </c>
      <c r="J6430" s="78" t="s">
        <v>69</v>
      </c>
      <c r="K6430" s="58">
        <f t="shared" si="17"/>
        <v>4</v>
      </c>
      <c r="L6430" s="91" t="str">
        <f t="shared" si="8"/>
        <v>Fri</v>
      </c>
      <c r="M6430" s="78" t="str">
        <f>IFERROR(VLOOKUP(A6430, Entries!A:B,2,false),"")</f>
        <v/>
      </c>
      <c r="N6430" s="23" t="str">
        <f>IFERROR(VLOOKUP(A6430, Entries!A:K,11,false),"")</f>
        <v/>
      </c>
    </row>
    <row r="6431">
      <c r="A6431" s="78" t="s">
        <v>7317</v>
      </c>
      <c r="B6431" s="78" t="s">
        <v>19</v>
      </c>
      <c r="C6431" s="85">
        <v>45544.0</v>
      </c>
      <c r="D6431" s="85">
        <v>45976.0</v>
      </c>
      <c r="E6431" s="86">
        <v>6.5</v>
      </c>
      <c r="F6431" s="87">
        <v>6.33</v>
      </c>
      <c r="G6431" s="88">
        <f t="shared" si="1"/>
        <v>-0.17</v>
      </c>
      <c r="H6431" s="89">
        <f t="shared" si="18"/>
        <v>-0.02685624013</v>
      </c>
      <c r="I6431" s="103" t="s">
        <v>7364</v>
      </c>
      <c r="J6431" s="78" t="s">
        <v>69</v>
      </c>
      <c r="K6431" s="58">
        <f t="shared" si="17"/>
        <v>432</v>
      </c>
      <c r="L6431" s="91" t="str">
        <f t="shared" si="8"/>
        <v>Sat</v>
      </c>
      <c r="M6431" s="78" t="str">
        <f>IFERROR(VLOOKUP(A6431, Entries!A:B,2,false),"")</f>
        <v>Bethesda Softworks</v>
      </c>
      <c r="N6431" s="23" t="str">
        <f>IFERROR(VLOOKUP(A6431, Entries!A:K,11,false),"")</f>
        <v/>
      </c>
    </row>
    <row r="6432">
      <c r="A6432" s="78" t="s">
        <v>6274</v>
      </c>
      <c r="B6432" s="78" t="s">
        <v>19</v>
      </c>
      <c r="C6432" s="85">
        <v>45544.0</v>
      </c>
      <c r="D6432" s="85">
        <v>45546.0</v>
      </c>
      <c r="E6432" s="86">
        <v>5.12</v>
      </c>
      <c r="F6432" s="87">
        <v>9.04</v>
      </c>
      <c r="G6432" s="88">
        <f t="shared" si="1"/>
        <v>3.92</v>
      </c>
      <c r="H6432" s="89">
        <f t="shared" si="18"/>
        <v>0.4336283186</v>
      </c>
      <c r="I6432" s="78" t="s">
        <v>7365</v>
      </c>
      <c r="J6432" s="78" t="s">
        <v>69</v>
      </c>
      <c r="K6432" s="58">
        <f t="shared" si="17"/>
        <v>2</v>
      </c>
      <c r="L6432" s="91" t="str">
        <f t="shared" si="8"/>
        <v>Wed</v>
      </c>
      <c r="M6432" s="78" t="str">
        <f>IFERROR(VLOOKUP(A6431, Entries!A:B,2,false),"")</f>
        <v>Bethesda Softworks</v>
      </c>
      <c r="N6432" s="23" t="str">
        <f>IFERROR(VLOOKUP(A6432, Entries!A:K,11,false),"")</f>
        <v/>
      </c>
    </row>
    <row r="6433">
      <c r="A6433" s="78" t="s">
        <v>7320</v>
      </c>
      <c r="B6433" s="78" t="s">
        <v>19</v>
      </c>
      <c r="C6433" s="85">
        <v>45544.0</v>
      </c>
      <c r="D6433" s="85">
        <v>45582.0</v>
      </c>
      <c r="E6433" s="86">
        <v>1.5</v>
      </c>
      <c r="F6433" s="87">
        <v>3.53</v>
      </c>
      <c r="G6433" s="88">
        <f t="shared" si="1"/>
        <v>2.03</v>
      </c>
      <c r="H6433" s="89">
        <f t="shared" si="18"/>
        <v>0.5750708215</v>
      </c>
      <c r="I6433" s="78" t="s">
        <v>7366</v>
      </c>
      <c r="J6433" s="78" t="s">
        <v>69</v>
      </c>
      <c r="K6433" s="58">
        <f t="shared" si="17"/>
        <v>38</v>
      </c>
      <c r="L6433" s="91" t="str">
        <f t="shared" si="8"/>
        <v>Thu</v>
      </c>
      <c r="M6433" s="78" t="str">
        <f>IFERROR(VLOOKUP(A6433, Entries!A:B,2,false),"")</f>
        <v/>
      </c>
      <c r="N6433" s="23" t="str">
        <f>IFERROR(VLOOKUP(A6433, Entries!A:K,11,false),"")</f>
        <v/>
      </c>
    </row>
    <row r="6434">
      <c r="A6434" s="78" t="s">
        <v>7322</v>
      </c>
      <c r="B6434" s="78" t="s">
        <v>19</v>
      </c>
      <c r="C6434" s="85">
        <v>45544.0</v>
      </c>
      <c r="D6434" s="85">
        <v>45545.0</v>
      </c>
      <c r="E6434" s="86">
        <v>1.5</v>
      </c>
      <c r="F6434" s="87">
        <v>3.24</v>
      </c>
      <c r="G6434" s="88">
        <f t="shared" si="1"/>
        <v>1.74</v>
      </c>
      <c r="H6434" s="89">
        <f t="shared" si="18"/>
        <v>0.537037037</v>
      </c>
      <c r="I6434" s="78" t="s">
        <v>7367</v>
      </c>
      <c r="J6434" s="78" t="s">
        <v>69</v>
      </c>
      <c r="K6434" s="58">
        <f t="shared" si="17"/>
        <v>1</v>
      </c>
      <c r="L6434" s="91" t="str">
        <f t="shared" si="8"/>
        <v>Tue</v>
      </c>
      <c r="M6434" s="78" t="str">
        <f>IFERROR(VLOOKUP(A6434, Entries!A:B,2,false),"")</f>
        <v/>
      </c>
      <c r="N6434" s="23" t="str">
        <f>IFERROR(VLOOKUP(A6434, Entries!A:K,11,false),"")</f>
        <v/>
      </c>
    </row>
    <row r="6435">
      <c r="A6435" s="78" t="s">
        <v>7324</v>
      </c>
      <c r="B6435" s="78" t="s">
        <v>19</v>
      </c>
      <c r="C6435" s="85">
        <v>45544.0</v>
      </c>
      <c r="D6435" s="85">
        <v>45548.0</v>
      </c>
      <c r="E6435" s="86">
        <v>0.0</v>
      </c>
      <c r="F6435" s="87">
        <v>0.74</v>
      </c>
      <c r="G6435" s="88">
        <f t="shared" si="1"/>
        <v>0.74</v>
      </c>
      <c r="H6435" s="89">
        <f t="shared" si="18"/>
        <v>1</v>
      </c>
      <c r="I6435" s="78" t="s">
        <v>7368</v>
      </c>
      <c r="J6435" s="78" t="s">
        <v>69</v>
      </c>
      <c r="K6435" s="58">
        <f t="shared" si="17"/>
        <v>4</v>
      </c>
      <c r="L6435" s="91" t="str">
        <f t="shared" si="8"/>
        <v>Fri</v>
      </c>
      <c r="M6435" s="78" t="str">
        <f>IFERROR(VLOOKUP(A6435, Entries!A:B,2,false),"")</f>
        <v/>
      </c>
      <c r="N6435" s="23" t="str">
        <f>IFERROR(VLOOKUP(A6435, Entries!A:K,11,false),"")</f>
        <v/>
      </c>
    </row>
    <row r="6436">
      <c r="A6436" s="78" t="s">
        <v>7326</v>
      </c>
      <c r="B6436" s="78" t="s">
        <v>19</v>
      </c>
      <c r="C6436" s="85">
        <v>45544.0</v>
      </c>
      <c r="D6436" s="85">
        <v>45548.0</v>
      </c>
      <c r="E6436" s="86">
        <v>0.0</v>
      </c>
      <c r="F6436" s="87">
        <v>0.77</v>
      </c>
      <c r="G6436" s="88">
        <f t="shared" si="1"/>
        <v>0.77</v>
      </c>
      <c r="H6436" s="89">
        <f t="shared" si="18"/>
        <v>1</v>
      </c>
      <c r="I6436" s="78" t="s">
        <v>7369</v>
      </c>
      <c r="J6436" s="78" t="s">
        <v>69</v>
      </c>
      <c r="K6436" s="58">
        <f t="shared" si="17"/>
        <v>4</v>
      </c>
      <c r="L6436" s="91" t="str">
        <f t="shared" si="8"/>
        <v>Fri</v>
      </c>
      <c r="M6436" s="78" t="str">
        <f>IFERROR(VLOOKUP(A6436, Entries!A:B,2,false),"")</f>
        <v/>
      </c>
      <c r="N6436" s="23" t="str">
        <f>IFERROR(VLOOKUP(A6436, Entries!A:K,11,false),"")</f>
        <v/>
      </c>
    </row>
    <row r="6437">
      <c r="A6437" s="78" t="s">
        <v>7370</v>
      </c>
      <c r="B6437" s="78" t="s">
        <v>21</v>
      </c>
      <c r="C6437" s="85">
        <v>45545.0</v>
      </c>
      <c r="D6437" s="85">
        <v>45545.0</v>
      </c>
      <c r="E6437" s="86">
        <v>22.6</v>
      </c>
      <c r="F6437" s="87">
        <v>24.82</v>
      </c>
      <c r="G6437" s="88">
        <f t="shared" si="1"/>
        <v>2.22</v>
      </c>
      <c r="H6437" s="89">
        <f t="shared" si="18"/>
        <v>0.08944399678</v>
      </c>
      <c r="I6437" s="78" t="s">
        <v>7371</v>
      </c>
      <c r="J6437" s="78" t="s">
        <v>69</v>
      </c>
      <c r="K6437" s="58">
        <f t="shared" si="17"/>
        <v>0</v>
      </c>
      <c r="L6437" s="91" t="str">
        <f t="shared" si="8"/>
        <v>Tue</v>
      </c>
      <c r="M6437" s="78" t="str">
        <f>IFERROR(VLOOKUP(A6437, Entries!A:B,2,false),"")</f>
        <v/>
      </c>
      <c r="N6437" s="23" t="str">
        <f>IFERROR(VLOOKUP(A6437, Entries!A:K,11,false),"")</f>
        <v/>
      </c>
    </row>
    <row r="6438">
      <c r="A6438" s="78" t="s">
        <v>7370</v>
      </c>
      <c r="B6438" s="78" t="s">
        <v>21</v>
      </c>
      <c r="C6438" s="85">
        <v>45545.0</v>
      </c>
      <c r="D6438" s="85">
        <v>45548.0</v>
      </c>
      <c r="E6438" s="86">
        <v>22.6</v>
      </c>
      <c r="F6438" s="87">
        <v>26.2</v>
      </c>
      <c r="G6438" s="88">
        <f t="shared" si="1"/>
        <v>3.6</v>
      </c>
      <c r="H6438" s="89">
        <f t="shared" si="18"/>
        <v>0.1374045802</v>
      </c>
      <c r="I6438" s="78" t="s">
        <v>7372</v>
      </c>
      <c r="J6438" s="78" t="s">
        <v>69</v>
      </c>
      <c r="K6438" s="58">
        <f t="shared" si="17"/>
        <v>3</v>
      </c>
      <c r="L6438" s="91" t="str">
        <f t="shared" si="8"/>
        <v>Fri</v>
      </c>
      <c r="M6438" s="78" t="str">
        <f>IFERROR(VLOOKUP(A6438, Entries!A:B,2,false),"")</f>
        <v/>
      </c>
      <c r="N6438" s="23" t="str">
        <f>IFERROR(VLOOKUP(A6438, Entries!A:K,11,false),"")</f>
        <v/>
      </c>
    </row>
    <row r="6439">
      <c r="A6439" s="78" t="s">
        <v>7373</v>
      </c>
      <c r="B6439" s="78" t="s">
        <v>21</v>
      </c>
      <c r="C6439" s="85">
        <v>45546.0</v>
      </c>
      <c r="D6439" s="25"/>
      <c r="E6439" s="86">
        <v>38.4</v>
      </c>
      <c r="F6439" s="88"/>
      <c r="G6439" s="88">
        <f t="shared" si="1"/>
        <v>-38.4</v>
      </c>
      <c r="H6439" s="89" t="str">
        <f t="shared" si="18"/>
        <v/>
      </c>
      <c r="I6439" s="103" t="s">
        <v>7374</v>
      </c>
      <c r="J6439" s="78" t="s">
        <v>1129</v>
      </c>
      <c r="K6439" s="58" t="str">
        <f t="shared" si="17"/>
        <v/>
      </c>
      <c r="L6439" s="91" t="str">
        <f t="shared" si="8"/>
        <v/>
      </c>
      <c r="M6439" s="78" t="str">
        <f>IFERROR(VLOOKUP(A6439, Entries!A:B,2,false),"")</f>
        <v/>
      </c>
      <c r="N6439" s="23" t="str">
        <f>IFERROR(VLOOKUP(A6439, Entries!A:K,11,false),"")</f>
        <v/>
      </c>
    </row>
    <row r="6440">
      <c r="A6440" s="78" t="s">
        <v>5676</v>
      </c>
      <c r="B6440" s="78" t="s">
        <v>21</v>
      </c>
      <c r="C6440" s="85">
        <v>45546.0</v>
      </c>
      <c r="D6440" s="85">
        <v>45547.0</v>
      </c>
      <c r="E6440" s="86">
        <v>35.79</v>
      </c>
      <c r="F6440" s="87">
        <v>41.68</v>
      </c>
      <c r="G6440" s="88">
        <f t="shared" si="1"/>
        <v>5.89</v>
      </c>
      <c r="H6440" s="89">
        <f t="shared" si="18"/>
        <v>0.1413147793</v>
      </c>
      <c r="I6440" s="78" t="s">
        <v>7375</v>
      </c>
      <c r="J6440" s="78" t="s">
        <v>69</v>
      </c>
      <c r="K6440" s="58">
        <f t="shared" si="17"/>
        <v>1</v>
      </c>
      <c r="L6440" s="91" t="str">
        <f t="shared" si="8"/>
        <v>Thu</v>
      </c>
      <c r="M6440" s="78" t="str">
        <f>IFERROR(VLOOKUP(A6440, Entries!A:B,2,false),"")</f>
        <v>Bethesda Softworks</v>
      </c>
      <c r="N6440" s="23" t="str">
        <f>IFERROR(VLOOKUP(A6440, Entries!A:K,11,false),"")</f>
        <v/>
      </c>
    </row>
    <row r="6441">
      <c r="A6441" s="78" t="s">
        <v>5676</v>
      </c>
      <c r="B6441" s="78" t="s">
        <v>21</v>
      </c>
      <c r="C6441" s="85">
        <v>45547.0</v>
      </c>
      <c r="D6441" s="85">
        <v>45547.0</v>
      </c>
      <c r="E6441" s="86">
        <v>35.79</v>
      </c>
      <c r="F6441" s="87">
        <v>41.77</v>
      </c>
      <c r="G6441" s="88">
        <f t="shared" si="1"/>
        <v>5.98</v>
      </c>
      <c r="H6441" s="89">
        <f t="shared" si="18"/>
        <v>0.1431649509</v>
      </c>
      <c r="I6441" s="78" t="s">
        <v>7376</v>
      </c>
      <c r="J6441" s="78" t="s">
        <v>69</v>
      </c>
      <c r="K6441" s="58">
        <f t="shared" si="17"/>
        <v>0</v>
      </c>
      <c r="L6441" s="91" t="str">
        <f t="shared" si="8"/>
        <v>Thu</v>
      </c>
      <c r="M6441" s="78" t="str">
        <f>IFERROR(VLOOKUP(A6441, Entries!A:B,2,false),"")</f>
        <v>Bethesda Softworks</v>
      </c>
      <c r="N6441" s="23" t="str">
        <f>IFERROR(VLOOKUP(A6441, Entries!A:K,11,false),"")</f>
        <v/>
      </c>
    </row>
    <row r="6442">
      <c r="A6442" s="78" t="s">
        <v>5676</v>
      </c>
      <c r="B6442" s="78" t="s">
        <v>21</v>
      </c>
      <c r="C6442" s="85">
        <v>45547.0</v>
      </c>
      <c r="D6442" s="85">
        <v>45547.0</v>
      </c>
      <c r="E6442" s="86">
        <v>35.79</v>
      </c>
      <c r="F6442" s="87">
        <v>41.86</v>
      </c>
      <c r="G6442" s="88">
        <f t="shared" si="1"/>
        <v>6.07</v>
      </c>
      <c r="H6442" s="89">
        <f t="shared" si="18"/>
        <v>0.1450071667</v>
      </c>
      <c r="I6442" s="78" t="s">
        <v>7377</v>
      </c>
      <c r="J6442" s="78" t="s">
        <v>69</v>
      </c>
      <c r="K6442" s="58">
        <f t="shared" si="17"/>
        <v>0</v>
      </c>
      <c r="L6442" s="91" t="str">
        <f t="shared" si="8"/>
        <v>Thu</v>
      </c>
      <c r="M6442" s="78" t="str">
        <f>IFERROR(VLOOKUP(A6442, Entries!A:B,2,false),"")</f>
        <v>Bethesda Softworks</v>
      </c>
      <c r="N6442" s="23" t="str">
        <f>IFERROR(VLOOKUP(A6442, Entries!A:K,11,false),"")</f>
        <v/>
      </c>
    </row>
    <row r="6443">
      <c r="A6443" s="78" t="s">
        <v>6977</v>
      </c>
      <c r="B6443" s="78" t="s">
        <v>23</v>
      </c>
      <c r="C6443" s="85">
        <v>45547.0</v>
      </c>
      <c r="D6443" s="85">
        <v>45548.0</v>
      </c>
      <c r="E6443" s="86">
        <v>8.99</v>
      </c>
      <c r="F6443" s="87">
        <v>12.13</v>
      </c>
      <c r="G6443" s="88">
        <f t="shared" si="1"/>
        <v>3.14</v>
      </c>
      <c r="H6443" s="89">
        <f t="shared" si="18"/>
        <v>0.2588623248</v>
      </c>
      <c r="I6443" s="78" t="s">
        <v>7378</v>
      </c>
      <c r="J6443" s="78" t="s">
        <v>69</v>
      </c>
      <c r="K6443" s="58">
        <f t="shared" si="17"/>
        <v>1</v>
      </c>
      <c r="L6443" s="91" t="str">
        <f t="shared" si="8"/>
        <v>Fri</v>
      </c>
      <c r="M6443" s="78" t="str">
        <f>IFERROR(VLOOKUP(A6443, Entries!A:B,2,false),"")</f>
        <v>Dear Villagers</v>
      </c>
      <c r="N6443" s="23" t="str">
        <f>IFERROR(VLOOKUP(A6443, Entries!A:K,11,false),"")</f>
        <v/>
      </c>
    </row>
    <row r="6444">
      <c r="A6444" s="78" t="s">
        <v>5676</v>
      </c>
      <c r="B6444" s="78" t="s">
        <v>21</v>
      </c>
      <c r="C6444" s="85">
        <v>45547.0</v>
      </c>
      <c r="D6444" s="85">
        <v>45548.0</v>
      </c>
      <c r="E6444" s="86">
        <v>36.68</v>
      </c>
      <c r="F6444" s="87">
        <v>43.95</v>
      </c>
      <c r="G6444" s="88">
        <f t="shared" si="1"/>
        <v>7.27</v>
      </c>
      <c r="H6444" s="89">
        <f t="shared" si="18"/>
        <v>0.1654152446</v>
      </c>
      <c r="I6444" s="78" t="s">
        <v>7379</v>
      </c>
      <c r="J6444" s="78" t="s">
        <v>69</v>
      </c>
      <c r="K6444" s="58">
        <f t="shared" si="17"/>
        <v>1</v>
      </c>
      <c r="L6444" s="91" t="str">
        <f t="shared" si="8"/>
        <v>Fri</v>
      </c>
      <c r="M6444" s="78" t="str">
        <f>IFERROR(VLOOKUP(A6444, Entries!A:B,2,false),"")</f>
        <v>Bethesda Softworks</v>
      </c>
      <c r="N6444" s="23" t="str">
        <f>IFERROR(VLOOKUP(A6444, Entries!A:K,11,false),"")</f>
        <v/>
      </c>
    </row>
    <row r="6445">
      <c r="A6445" s="78" t="s">
        <v>6977</v>
      </c>
      <c r="B6445" s="78" t="s">
        <v>23</v>
      </c>
      <c r="C6445" s="85">
        <v>45548.0</v>
      </c>
      <c r="D6445" s="85">
        <v>45549.0</v>
      </c>
      <c r="E6445" s="86">
        <v>8.99</v>
      </c>
      <c r="F6445" s="87">
        <v>11.9</v>
      </c>
      <c r="G6445" s="88">
        <f t="shared" si="1"/>
        <v>2.91</v>
      </c>
      <c r="H6445" s="89">
        <f t="shared" si="18"/>
        <v>0.2445378151</v>
      </c>
      <c r="I6445" s="78" t="s">
        <v>7380</v>
      </c>
      <c r="J6445" s="78" t="s">
        <v>69</v>
      </c>
      <c r="K6445" s="58">
        <f t="shared" si="17"/>
        <v>1</v>
      </c>
      <c r="L6445" s="91" t="str">
        <f t="shared" si="8"/>
        <v>Sat</v>
      </c>
      <c r="M6445" s="78" t="str">
        <f>IFERROR(VLOOKUP(A6445, Entries!A:B,2,false),"")</f>
        <v>Dear Villagers</v>
      </c>
      <c r="N6445" s="23" t="str">
        <f>IFERROR(VLOOKUP(A6445, Entries!A:K,11,false),"")</f>
        <v/>
      </c>
    </row>
    <row r="6446">
      <c r="A6446" s="78" t="s">
        <v>5676</v>
      </c>
      <c r="B6446" s="78" t="s">
        <v>21</v>
      </c>
      <c r="C6446" s="85">
        <v>45548.0</v>
      </c>
      <c r="D6446" s="85">
        <v>45548.0</v>
      </c>
      <c r="E6446" s="86">
        <v>35.79</v>
      </c>
      <c r="F6446" s="87">
        <v>41.77</v>
      </c>
      <c r="G6446" s="88">
        <f t="shared" si="1"/>
        <v>5.98</v>
      </c>
      <c r="H6446" s="89">
        <f t="shared" si="18"/>
        <v>0.1431649509</v>
      </c>
      <c r="I6446" s="78" t="s">
        <v>7381</v>
      </c>
      <c r="J6446" s="78" t="s">
        <v>69</v>
      </c>
      <c r="K6446" s="58">
        <f t="shared" si="17"/>
        <v>0</v>
      </c>
      <c r="L6446" s="91" t="str">
        <f t="shared" si="8"/>
        <v>Fri</v>
      </c>
      <c r="M6446" s="78" t="str">
        <f>IFERROR(VLOOKUP(A6446, Entries!A:B,2,false),"")</f>
        <v>Bethesda Softworks</v>
      </c>
      <c r="N6446" s="23" t="str">
        <f>IFERROR(VLOOKUP(A6446, Entries!A:K,11,false),"")</f>
        <v/>
      </c>
    </row>
    <row r="6447">
      <c r="A6447" s="78" t="s">
        <v>1786</v>
      </c>
      <c r="B6447" s="78" t="s">
        <v>19</v>
      </c>
      <c r="C6447" s="85">
        <v>45548.0</v>
      </c>
      <c r="D6447" s="85">
        <v>45548.0</v>
      </c>
      <c r="E6447" s="86">
        <v>11.86</v>
      </c>
      <c r="F6447" s="87">
        <v>12.96</v>
      </c>
      <c r="G6447" s="88">
        <f t="shared" si="1"/>
        <v>1.1</v>
      </c>
      <c r="H6447" s="89">
        <f t="shared" si="18"/>
        <v>0.08487654321</v>
      </c>
      <c r="I6447" s="78" t="s">
        <v>7382</v>
      </c>
      <c r="J6447" s="78" t="s">
        <v>69</v>
      </c>
      <c r="K6447" s="58">
        <f t="shared" si="17"/>
        <v>0</v>
      </c>
      <c r="L6447" s="91" t="str">
        <f t="shared" si="8"/>
        <v>Fri</v>
      </c>
      <c r="M6447" s="78" t="str">
        <f>IFERROR(VLOOKUP(A6447, Entries!A:B,2,false),"")</f>
        <v>Bethesda Softworks</v>
      </c>
      <c r="N6447" s="23" t="str">
        <f>IFERROR(VLOOKUP(A6447, Entries!A:K,11,false),"")</f>
        <v/>
      </c>
    </row>
    <row r="6448">
      <c r="A6448" s="78" t="s">
        <v>5676</v>
      </c>
      <c r="B6448" s="78" t="s">
        <v>21</v>
      </c>
      <c r="C6448" s="85">
        <v>45548.0</v>
      </c>
      <c r="D6448" s="85">
        <v>45548.0</v>
      </c>
      <c r="E6448" s="86">
        <v>35.79</v>
      </c>
      <c r="F6448" s="87">
        <v>43.95</v>
      </c>
      <c r="G6448" s="88">
        <f t="shared" si="1"/>
        <v>8.16</v>
      </c>
      <c r="H6448" s="89">
        <f t="shared" si="18"/>
        <v>0.185665529</v>
      </c>
      <c r="I6448" s="78" t="s">
        <v>7383</v>
      </c>
      <c r="J6448" s="78" t="s">
        <v>69</v>
      </c>
      <c r="K6448" s="58">
        <f t="shared" si="17"/>
        <v>0</v>
      </c>
      <c r="L6448" s="91" t="str">
        <f t="shared" si="8"/>
        <v>Fri</v>
      </c>
      <c r="M6448" s="78" t="str">
        <f>IFERROR(VLOOKUP(A6448, Entries!A:B,2,false),"")</f>
        <v>Bethesda Softworks</v>
      </c>
      <c r="N6448" s="23" t="str">
        <f>IFERROR(VLOOKUP(A6448, Entries!A:K,11,false),"")</f>
        <v/>
      </c>
    </row>
    <row r="6449">
      <c r="A6449" s="78" t="s">
        <v>7384</v>
      </c>
      <c r="B6449" s="78" t="s">
        <v>22</v>
      </c>
      <c r="C6449" s="85">
        <v>45548.0</v>
      </c>
      <c r="D6449" s="85">
        <v>45548.0</v>
      </c>
      <c r="E6449" s="86">
        <v>7.94</v>
      </c>
      <c r="F6449" s="87">
        <v>8.71</v>
      </c>
      <c r="G6449" s="88">
        <f t="shared" si="1"/>
        <v>0.77</v>
      </c>
      <c r="H6449" s="89">
        <f t="shared" si="18"/>
        <v>0.08840413318</v>
      </c>
      <c r="I6449" s="78" t="s">
        <v>7385</v>
      </c>
      <c r="J6449" s="78" t="s">
        <v>69</v>
      </c>
      <c r="K6449" s="58">
        <f t="shared" si="17"/>
        <v>0</v>
      </c>
      <c r="L6449" s="91" t="str">
        <f t="shared" si="8"/>
        <v>Fri</v>
      </c>
      <c r="M6449" s="78" t="str">
        <f>IFERROR(VLOOKUP(A6449, Entries!A:B,2,false),"")</f>
        <v>tinyBuild</v>
      </c>
      <c r="N6449" s="23" t="str">
        <f>IFERROR(VLOOKUP(A6449, Entries!A:K,11,false),"")</f>
        <v/>
      </c>
    </row>
    <row r="6450">
      <c r="A6450" s="78" t="s">
        <v>7384</v>
      </c>
      <c r="B6450" s="78" t="s">
        <v>22</v>
      </c>
      <c r="C6450" s="85">
        <v>45548.0</v>
      </c>
      <c r="D6450" s="85">
        <v>45548.0</v>
      </c>
      <c r="E6450" s="86">
        <v>7.94</v>
      </c>
      <c r="F6450" s="87">
        <v>8.26</v>
      </c>
      <c r="G6450" s="88">
        <f t="shared" si="1"/>
        <v>0.32</v>
      </c>
      <c r="H6450" s="89">
        <f t="shared" si="18"/>
        <v>0.0387409201</v>
      </c>
      <c r="I6450" s="78" t="s">
        <v>7386</v>
      </c>
      <c r="J6450" s="78" t="s">
        <v>69</v>
      </c>
      <c r="K6450" s="58">
        <f t="shared" si="17"/>
        <v>0</v>
      </c>
      <c r="L6450" s="91" t="str">
        <f t="shared" si="8"/>
        <v>Fri</v>
      </c>
      <c r="M6450" s="78" t="str">
        <f>IFERROR(VLOOKUP(A6450, Entries!A:B,2,false),"")</f>
        <v>tinyBuild</v>
      </c>
      <c r="N6450" s="23" t="str">
        <f>IFERROR(VLOOKUP(A6450, Entries!A:K,11,false),"")</f>
        <v/>
      </c>
    </row>
    <row r="6451">
      <c r="A6451" s="78" t="s">
        <v>1786</v>
      </c>
      <c r="B6451" s="78" t="s">
        <v>19</v>
      </c>
      <c r="C6451" s="85">
        <v>45548.0</v>
      </c>
      <c r="D6451" s="85">
        <v>45549.0</v>
      </c>
      <c r="E6451" s="86">
        <v>12.49</v>
      </c>
      <c r="F6451" s="87">
        <v>12.96</v>
      </c>
      <c r="G6451" s="88">
        <f t="shared" si="1"/>
        <v>0.47</v>
      </c>
      <c r="H6451" s="89">
        <f t="shared" si="18"/>
        <v>0.0362654321</v>
      </c>
      <c r="I6451" s="78" t="s">
        <v>7387</v>
      </c>
      <c r="J6451" s="78" t="s">
        <v>69</v>
      </c>
      <c r="K6451" s="58">
        <f t="shared" si="17"/>
        <v>1</v>
      </c>
      <c r="L6451" s="91" t="str">
        <f t="shared" si="8"/>
        <v>Sat</v>
      </c>
      <c r="M6451" s="78" t="str">
        <f>IFERROR(VLOOKUP(A6451, Entries!A:B,2,false),"")</f>
        <v>Bethesda Softworks</v>
      </c>
      <c r="N6451" s="23" t="str">
        <f>IFERROR(VLOOKUP(A6451, Entries!A:K,11,false),"")</f>
        <v/>
      </c>
    </row>
    <row r="6452">
      <c r="A6452" s="78" t="s">
        <v>7384</v>
      </c>
      <c r="B6452" s="78" t="s">
        <v>22</v>
      </c>
      <c r="C6452" s="85">
        <v>45548.0</v>
      </c>
      <c r="D6452" s="85">
        <v>45549.0</v>
      </c>
      <c r="E6452" s="86">
        <v>7.94</v>
      </c>
      <c r="F6452" s="87">
        <v>9.38</v>
      </c>
      <c r="G6452" s="88">
        <f t="shared" si="1"/>
        <v>1.44</v>
      </c>
      <c r="H6452" s="89">
        <f t="shared" si="18"/>
        <v>0.1535181237</v>
      </c>
      <c r="I6452" s="78" t="s">
        <v>7388</v>
      </c>
      <c r="J6452" s="78" t="s">
        <v>69</v>
      </c>
      <c r="K6452" s="58">
        <f t="shared" si="17"/>
        <v>1</v>
      </c>
      <c r="L6452" s="91" t="str">
        <f t="shared" si="8"/>
        <v>Sat</v>
      </c>
      <c r="M6452" s="78" t="str">
        <f>IFERROR(VLOOKUP(A6452, Entries!A:B,2,false),"")</f>
        <v>tinyBuild</v>
      </c>
      <c r="N6452" s="23" t="str">
        <f>IFERROR(VLOOKUP(A6452, Entries!A:K,11,false),"")</f>
        <v/>
      </c>
    </row>
    <row r="6453">
      <c r="A6453" s="78" t="s">
        <v>7384</v>
      </c>
      <c r="B6453" s="78" t="s">
        <v>29</v>
      </c>
      <c r="C6453" s="85">
        <v>45548.0</v>
      </c>
      <c r="D6453" s="85">
        <v>45550.0</v>
      </c>
      <c r="E6453" s="86">
        <v>1.05</v>
      </c>
      <c r="F6453" s="87">
        <v>9.1</v>
      </c>
      <c r="G6453" s="88">
        <f t="shared" si="1"/>
        <v>8.05</v>
      </c>
      <c r="H6453" s="89">
        <f t="shared" si="18"/>
        <v>0.8846153846</v>
      </c>
      <c r="I6453" s="78" t="s">
        <v>7389</v>
      </c>
      <c r="J6453" s="78" t="s">
        <v>69</v>
      </c>
      <c r="K6453" s="58">
        <f t="shared" si="17"/>
        <v>2</v>
      </c>
      <c r="L6453" s="91" t="str">
        <f t="shared" si="8"/>
        <v>Sun</v>
      </c>
      <c r="M6453" s="78" t="str">
        <f>IFERROR(VLOOKUP(A6453, Entries!A:B,2,false),"")</f>
        <v>tinyBuild</v>
      </c>
      <c r="N6453" s="23" t="str">
        <f>IFERROR(VLOOKUP(A6453, Entries!A:K,11,false),"")</f>
        <v/>
      </c>
    </row>
    <row r="6454">
      <c r="A6454" s="78" t="s">
        <v>7092</v>
      </c>
      <c r="B6454" s="78" t="s">
        <v>23</v>
      </c>
      <c r="C6454" s="85">
        <v>45549.0</v>
      </c>
      <c r="D6454" s="85">
        <v>45550.0</v>
      </c>
      <c r="E6454" s="86">
        <v>8.46</v>
      </c>
      <c r="F6454" s="87">
        <v>10.57</v>
      </c>
      <c r="G6454" s="88">
        <f t="shared" si="1"/>
        <v>2.11</v>
      </c>
      <c r="H6454" s="89">
        <f t="shared" si="18"/>
        <v>0.1996215705</v>
      </c>
      <c r="I6454" s="78" t="s">
        <v>7390</v>
      </c>
      <c r="J6454" s="78" t="s">
        <v>69</v>
      </c>
      <c r="K6454" s="58">
        <f t="shared" si="17"/>
        <v>1</v>
      </c>
      <c r="L6454" s="91" t="str">
        <f t="shared" si="8"/>
        <v>Sun</v>
      </c>
      <c r="M6454" s="78" t="str">
        <f>IFERROR(VLOOKUP(A6454, Entries!A:B,2,false),"")</f>
        <v>IO Interactive</v>
      </c>
      <c r="N6454" s="23" t="str">
        <f>IFERROR(VLOOKUP(A6454, Entries!A:K,11,false),"")</f>
        <v/>
      </c>
    </row>
    <row r="6455">
      <c r="A6455" s="78" t="s">
        <v>7257</v>
      </c>
      <c r="B6455" s="78" t="s">
        <v>18</v>
      </c>
      <c r="C6455" s="85">
        <v>45549.0</v>
      </c>
      <c r="D6455" s="85">
        <v>45549.0</v>
      </c>
      <c r="E6455" s="86">
        <v>28.78</v>
      </c>
      <c r="F6455" s="87">
        <v>32.27</v>
      </c>
      <c r="G6455" s="88">
        <f t="shared" si="1"/>
        <v>3.49</v>
      </c>
      <c r="H6455" s="89">
        <f t="shared" si="18"/>
        <v>0.1081499845</v>
      </c>
      <c r="I6455" s="78" t="s">
        <v>7391</v>
      </c>
      <c r="J6455" s="78" t="s">
        <v>69</v>
      </c>
      <c r="K6455" s="58">
        <f t="shared" si="17"/>
        <v>0</v>
      </c>
      <c r="L6455" s="91" t="str">
        <f t="shared" si="8"/>
        <v>Sat</v>
      </c>
      <c r="M6455" s="78" t="str">
        <f>IFERROR(VLOOKUP(A6455, Entries!A:B,2,false),"")</f>
        <v>Electronic Arts</v>
      </c>
      <c r="N6455" s="23" t="str">
        <f>IFERROR(VLOOKUP(A6455, Entries!A:K,11,false),"")</f>
        <v/>
      </c>
    </row>
    <row r="6456">
      <c r="A6456" s="78" t="s">
        <v>7257</v>
      </c>
      <c r="B6456" s="78" t="s">
        <v>18</v>
      </c>
      <c r="C6456" s="85">
        <v>45549.0</v>
      </c>
      <c r="D6456" s="85">
        <v>45549.0</v>
      </c>
      <c r="E6456" s="86">
        <v>28.78</v>
      </c>
      <c r="F6456" s="87">
        <v>32.27</v>
      </c>
      <c r="G6456" s="88">
        <f t="shared" si="1"/>
        <v>3.49</v>
      </c>
      <c r="H6456" s="89">
        <f t="shared" si="18"/>
        <v>0.1081499845</v>
      </c>
      <c r="I6456" s="78" t="s">
        <v>7392</v>
      </c>
      <c r="J6456" s="78" t="s">
        <v>69</v>
      </c>
      <c r="K6456" s="58">
        <f t="shared" si="17"/>
        <v>0</v>
      </c>
      <c r="L6456" s="91" t="str">
        <f t="shared" si="8"/>
        <v>Sat</v>
      </c>
      <c r="M6456" s="78" t="str">
        <f>IFERROR(VLOOKUP(A6456, Entries!A:B,2,false),"")</f>
        <v>Electronic Arts</v>
      </c>
      <c r="N6456" s="23" t="str">
        <f>IFERROR(VLOOKUP(A6456, Entries!A:K,11,false),"")</f>
        <v/>
      </c>
    </row>
    <row r="6457">
      <c r="A6457" s="78" t="s">
        <v>4928</v>
      </c>
      <c r="B6457" s="78" t="s">
        <v>19</v>
      </c>
      <c r="C6457" s="85">
        <v>45549.0</v>
      </c>
      <c r="D6457" s="85">
        <v>45552.0</v>
      </c>
      <c r="E6457" s="86">
        <v>27.33</v>
      </c>
      <c r="F6457" s="87">
        <v>31.05</v>
      </c>
      <c r="G6457" s="88">
        <f t="shared" si="1"/>
        <v>3.72</v>
      </c>
      <c r="H6457" s="89">
        <f t="shared" si="18"/>
        <v>0.1198067633</v>
      </c>
      <c r="I6457" s="78" t="s">
        <v>7393</v>
      </c>
      <c r="J6457" s="78" t="s">
        <v>69</v>
      </c>
      <c r="K6457" s="58">
        <f t="shared" si="17"/>
        <v>3</v>
      </c>
      <c r="L6457" s="91" t="str">
        <f t="shared" si="8"/>
        <v>Tue</v>
      </c>
      <c r="M6457" s="78" t="str">
        <f>IFERROR(VLOOKUP(A6457, Entries!A:B,2,false),"")</f>
        <v>Eleventh Hour Games</v>
      </c>
      <c r="N6457" s="23" t="str">
        <f>IFERROR(VLOOKUP(A6457, Entries!A:K,11,false),"")</f>
        <v/>
      </c>
    </row>
    <row r="6458">
      <c r="A6458" s="78" t="s">
        <v>7394</v>
      </c>
      <c r="B6458" s="78" t="s">
        <v>21</v>
      </c>
      <c r="C6458" s="85">
        <v>45549.0</v>
      </c>
      <c r="D6458" s="85">
        <v>45553.0</v>
      </c>
      <c r="E6458" s="86">
        <v>25.67</v>
      </c>
      <c r="F6458" s="87">
        <v>34.56</v>
      </c>
      <c r="G6458" s="88">
        <f t="shared" si="1"/>
        <v>8.89</v>
      </c>
      <c r="H6458" s="89">
        <f t="shared" si="18"/>
        <v>0.2572337963</v>
      </c>
      <c r="I6458" s="78" t="s">
        <v>7395</v>
      </c>
      <c r="J6458" s="78" t="s">
        <v>69</v>
      </c>
      <c r="K6458" s="58">
        <f t="shared" si="17"/>
        <v>4</v>
      </c>
      <c r="L6458" s="91" t="str">
        <f t="shared" si="8"/>
        <v>Wed</v>
      </c>
      <c r="M6458" s="78" t="str">
        <f>IFERROR(VLOOKUP(A6458, Entries!A:B,2,false),"")</f>
        <v/>
      </c>
      <c r="N6458" s="23" t="str">
        <f>IFERROR(VLOOKUP(A6458, Entries!A:K,11,false),"")</f>
        <v/>
      </c>
    </row>
    <row r="6459">
      <c r="A6459" s="78" t="s">
        <v>7257</v>
      </c>
      <c r="B6459" s="78" t="s">
        <v>18</v>
      </c>
      <c r="C6459" s="85">
        <v>45549.0</v>
      </c>
      <c r="D6459" s="85">
        <v>45550.0</v>
      </c>
      <c r="E6459" s="86">
        <v>28.7</v>
      </c>
      <c r="F6459" s="87">
        <v>32.27</v>
      </c>
      <c r="G6459" s="88">
        <f t="shared" si="1"/>
        <v>3.57</v>
      </c>
      <c r="H6459" s="89">
        <f t="shared" si="18"/>
        <v>0.1106290672</v>
      </c>
      <c r="I6459" s="78" t="s">
        <v>7396</v>
      </c>
      <c r="J6459" s="78" t="s">
        <v>69</v>
      </c>
      <c r="K6459" s="58">
        <f t="shared" si="17"/>
        <v>1</v>
      </c>
      <c r="L6459" s="91" t="str">
        <f t="shared" si="8"/>
        <v>Sun</v>
      </c>
      <c r="M6459" s="78" t="str">
        <f>IFERROR(VLOOKUP(A6459, Entries!A:B,2,false),"")</f>
        <v>Electronic Arts</v>
      </c>
      <c r="N6459" s="23" t="str">
        <f>IFERROR(VLOOKUP(A6459, Entries!A:K,11,false),"")</f>
        <v/>
      </c>
    </row>
    <row r="6460">
      <c r="A6460" s="78" t="s">
        <v>7257</v>
      </c>
      <c r="B6460" s="78" t="s">
        <v>18</v>
      </c>
      <c r="C6460" s="85">
        <v>45549.0</v>
      </c>
      <c r="D6460" s="85">
        <v>45550.0</v>
      </c>
      <c r="E6460" s="86">
        <v>28.7</v>
      </c>
      <c r="F6460" s="87">
        <v>32.27</v>
      </c>
      <c r="G6460" s="88">
        <f t="shared" si="1"/>
        <v>3.57</v>
      </c>
      <c r="H6460" s="89">
        <f t="shared" si="18"/>
        <v>0.1106290672</v>
      </c>
      <c r="I6460" s="78" t="s">
        <v>7397</v>
      </c>
      <c r="J6460" s="78" t="s">
        <v>69</v>
      </c>
      <c r="K6460" s="58">
        <f t="shared" si="17"/>
        <v>1</v>
      </c>
      <c r="L6460" s="91" t="str">
        <f t="shared" si="8"/>
        <v>Sun</v>
      </c>
      <c r="M6460" s="78" t="str">
        <f>IFERROR(VLOOKUP(A6460, Entries!A:B,2,false),"")</f>
        <v>Electronic Arts</v>
      </c>
      <c r="N6460" s="23" t="str">
        <f>IFERROR(VLOOKUP(A6460, Entries!A:K,11,false),"")</f>
        <v/>
      </c>
    </row>
    <row r="6461">
      <c r="A6461" s="78" t="s">
        <v>7257</v>
      </c>
      <c r="B6461" s="78" t="s">
        <v>18</v>
      </c>
      <c r="C6461" s="85">
        <v>45549.0</v>
      </c>
      <c r="D6461" s="85">
        <v>45550.0</v>
      </c>
      <c r="E6461" s="86">
        <v>28.72</v>
      </c>
      <c r="F6461" s="87">
        <v>32.27</v>
      </c>
      <c r="G6461" s="88">
        <f t="shared" si="1"/>
        <v>3.55</v>
      </c>
      <c r="H6461" s="89">
        <f t="shared" si="18"/>
        <v>0.1100092966</v>
      </c>
      <c r="I6461" s="78" t="s">
        <v>7398</v>
      </c>
      <c r="J6461" s="78" t="s">
        <v>69</v>
      </c>
      <c r="K6461" s="58">
        <f t="shared" si="17"/>
        <v>1</v>
      </c>
      <c r="L6461" s="91" t="str">
        <f t="shared" si="8"/>
        <v>Sun</v>
      </c>
      <c r="M6461" s="78" t="str">
        <f>IFERROR(VLOOKUP(A6461, Entries!A:B,2,false),"")</f>
        <v>Electronic Arts</v>
      </c>
      <c r="N6461" s="23" t="str">
        <f>IFERROR(VLOOKUP(A6461, Entries!A:K,11,false),"")</f>
        <v/>
      </c>
    </row>
    <row r="6462">
      <c r="A6462" s="78" t="s">
        <v>6977</v>
      </c>
      <c r="B6462" s="78" t="s">
        <v>23</v>
      </c>
      <c r="C6462" s="85">
        <v>45549.0</v>
      </c>
      <c r="D6462" s="85">
        <v>45549.0</v>
      </c>
      <c r="E6462" s="86">
        <v>8.93</v>
      </c>
      <c r="F6462" s="87">
        <v>11.96</v>
      </c>
      <c r="G6462" s="88">
        <f t="shared" si="1"/>
        <v>3.03</v>
      </c>
      <c r="H6462" s="89">
        <f t="shared" si="18"/>
        <v>0.2533444816</v>
      </c>
      <c r="I6462" s="78" t="s">
        <v>7399</v>
      </c>
      <c r="J6462" s="78" t="s">
        <v>69</v>
      </c>
      <c r="K6462" s="58">
        <f t="shared" si="17"/>
        <v>0</v>
      </c>
      <c r="L6462" s="91" t="str">
        <f t="shared" si="8"/>
        <v>Sat</v>
      </c>
      <c r="M6462" s="78" t="str">
        <f>IFERROR(VLOOKUP(A6462, Entries!A:B,2,false),"")</f>
        <v>Dear Villagers</v>
      </c>
      <c r="N6462" s="23" t="str">
        <f>IFERROR(VLOOKUP(A6462, Entries!A:K,11,false),"")</f>
        <v/>
      </c>
    </row>
    <row r="6463">
      <c r="A6463" s="78" t="s">
        <v>5676</v>
      </c>
      <c r="B6463" s="78" t="s">
        <v>21</v>
      </c>
      <c r="C6463" s="85">
        <v>45549.0</v>
      </c>
      <c r="D6463" s="85">
        <v>45549.0</v>
      </c>
      <c r="E6463" s="86">
        <v>36.2</v>
      </c>
      <c r="F6463" s="87">
        <v>43.96</v>
      </c>
      <c r="G6463" s="88">
        <f t="shared" si="1"/>
        <v>7.76</v>
      </c>
      <c r="H6463" s="89">
        <f t="shared" si="18"/>
        <v>0.1765241128</v>
      </c>
      <c r="I6463" s="78" t="s">
        <v>7400</v>
      </c>
      <c r="J6463" s="78" t="s">
        <v>69</v>
      </c>
      <c r="K6463" s="58">
        <f t="shared" si="17"/>
        <v>0</v>
      </c>
      <c r="L6463" s="91" t="str">
        <f t="shared" si="8"/>
        <v>Sat</v>
      </c>
      <c r="M6463" s="78" t="str">
        <f>IFERROR(VLOOKUP(A6463, Entries!A:B,2,false),"")</f>
        <v>Bethesda Softworks</v>
      </c>
      <c r="N6463" s="23" t="str">
        <f>IFERROR(VLOOKUP(A6463, Entries!A:K,11,false),"")</f>
        <v/>
      </c>
    </row>
    <row r="6464">
      <c r="A6464" s="78" t="s">
        <v>6977</v>
      </c>
      <c r="B6464" s="78" t="s">
        <v>23</v>
      </c>
      <c r="C6464" s="85">
        <v>45549.0</v>
      </c>
      <c r="D6464" s="85">
        <v>45553.0</v>
      </c>
      <c r="E6464" s="86">
        <v>8.93</v>
      </c>
      <c r="F6464" s="87">
        <v>15.06</v>
      </c>
      <c r="G6464" s="88">
        <f t="shared" si="1"/>
        <v>6.13</v>
      </c>
      <c r="H6464" s="89">
        <f t="shared" si="18"/>
        <v>0.4070385126</v>
      </c>
      <c r="I6464" s="78" t="s">
        <v>7401</v>
      </c>
      <c r="J6464" s="78" t="s">
        <v>69</v>
      </c>
      <c r="K6464" s="58">
        <f t="shared" si="17"/>
        <v>4</v>
      </c>
      <c r="L6464" s="91" t="str">
        <f t="shared" si="8"/>
        <v>Wed</v>
      </c>
      <c r="M6464" s="78" t="str">
        <f>IFERROR(VLOOKUP(A6464, Entries!A:B,2,false),"")</f>
        <v>Dear Villagers</v>
      </c>
      <c r="N6464" s="23" t="str">
        <f>IFERROR(VLOOKUP(A6464, Entries!A:K,11,false),"")</f>
        <v/>
      </c>
      <c r="P6464" s="78" t="s">
        <v>7402</v>
      </c>
    </row>
    <row r="6465">
      <c r="A6465" s="78" t="s">
        <v>5676</v>
      </c>
      <c r="B6465" s="78" t="s">
        <v>21</v>
      </c>
      <c r="C6465" s="85">
        <v>45550.0</v>
      </c>
      <c r="D6465" s="85">
        <v>45550.0</v>
      </c>
      <c r="E6465" s="86">
        <v>36.72</v>
      </c>
      <c r="F6465" s="87">
        <v>43.98</v>
      </c>
      <c r="G6465" s="88">
        <f t="shared" si="1"/>
        <v>7.26</v>
      </c>
      <c r="H6465" s="89">
        <f t="shared" si="18"/>
        <v>0.1650750341</v>
      </c>
      <c r="I6465" s="78" t="s">
        <v>7403</v>
      </c>
      <c r="J6465" s="78" t="s">
        <v>69</v>
      </c>
      <c r="K6465" s="58">
        <f t="shared" si="17"/>
        <v>0</v>
      </c>
      <c r="L6465" s="91" t="str">
        <f t="shared" si="8"/>
        <v>Sun</v>
      </c>
      <c r="M6465" s="78" t="str">
        <f>IFERROR(VLOOKUP(A6465, Entries!A:B,2,false),"")</f>
        <v>Bethesda Softworks</v>
      </c>
      <c r="N6465" s="23" t="str">
        <f>IFERROR(VLOOKUP(A6465, Entries!A:K,11,false),"")</f>
        <v/>
      </c>
    </row>
    <row r="6466">
      <c r="A6466" s="78" t="s">
        <v>5676</v>
      </c>
      <c r="B6466" s="78" t="s">
        <v>21</v>
      </c>
      <c r="C6466" s="85">
        <v>45550.0</v>
      </c>
      <c r="D6466" s="85">
        <v>45550.0</v>
      </c>
      <c r="E6466" s="86">
        <v>36.72</v>
      </c>
      <c r="F6466" s="87">
        <v>43.98</v>
      </c>
      <c r="G6466" s="88">
        <f t="shared" si="1"/>
        <v>7.26</v>
      </c>
      <c r="H6466" s="89">
        <f t="shared" si="18"/>
        <v>0.1650750341</v>
      </c>
      <c r="I6466" s="78" t="s">
        <v>7404</v>
      </c>
      <c r="J6466" s="78" t="s">
        <v>69</v>
      </c>
      <c r="K6466" s="58">
        <f t="shared" si="17"/>
        <v>0</v>
      </c>
      <c r="L6466" s="91" t="str">
        <f t="shared" si="8"/>
        <v>Sun</v>
      </c>
      <c r="M6466" s="78" t="str">
        <f>IFERROR(VLOOKUP(A6466, Entries!A:B,2,false),"")</f>
        <v>Bethesda Softworks</v>
      </c>
      <c r="N6466" s="23" t="str">
        <f>IFERROR(VLOOKUP(A6466, Entries!A:K,11,false),"")</f>
        <v/>
      </c>
    </row>
    <row r="6467">
      <c r="A6467" s="78" t="s">
        <v>5676</v>
      </c>
      <c r="B6467" s="78" t="s">
        <v>21</v>
      </c>
      <c r="C6467" s="85">
        <v>45550.0</v>
      </c>
      <c r="D6467" s="85">
        <v>45550.0</v>
      </c>
      <c r="E6467" s="86">
        <v>36.72</v>
      </c>
      <c r="F6467" s="87">
        <v>46.69</v>
      </c>
      <c r="G6467" s="88">
        <f t="shared" si="1"/>
        <v>9.97</v>
      </c>
      <c r="H6467" s="89">
        <f t="shared" si="18"/>
        <v>0.2135360891</v>
      </c>
      <c r="I6467" s="78" t="s">
        <v>7405</v>
      </c>
      <c r="J6467" s="78" t="s">
        <v>69</v>
      </c>
      <c r="K6467" s="58">
        <f t="shared" si="17"/>
        <v>0</v>
      </c>
      <c r="L6467" s="91" t="str">
        <f t="shared" si="8"/>
        <v>Sun</v>
      </c>
      <c r="M6467" s="78" t="str">
        <f>IFERROR(VLOOKUP(A6467, Entries!A:B,2,false),"")</f>
        <v>Bethesda Softworks</v>
      </c>
      <c r="N6467" s="23" t="str">
        <f>IFERROR(VLOOKUP(A6467, Entries!A:K,11,false),"")</f>
        <v/>
      </c>
    </row>
    <row r="6468">
      <c r="A6468" s="78" t="s">
        <v>5676</v>
      </c>
      <c r="B6468" s="78" t="s">
        <v>21</v>
      </c>
      <c r="C6468" s="85">
        <v>45550.0</v>
      </c>
      <c r="D6468" s="85">
        <v>45551.0</v>
      </c>
      <c r="E6468" s="86">
        <v>35.4</v>
      </c>
      <c r="F6468" s="87">
        <v>46.97</v>
      </c>
      <c r="G6468" s="88">
        <f t="shared" si="1"/>
        <v>11.57</v>
      </c>
      <c r="H6468" s="89">
        <f t="shared" si="18"/>
        <v>0.246327443</v>
      </c>
      <c r="I6468" s="78" t="s">
        <v>7406</v>
      </c>
      <c r="J6468" s="78" t="s">
        <v>69</v>
      </c>
      <c r="K6468" s="58">
        <f t="shared" si="17"/>
        <v>1</v>
      </c>
      <c r="L6468" s="91" t="str">
        <f t="shared" si="8"/>
        <v>Mon</v>
      </c>
      <c r="M6468" s="78" t="str">
        <f>IFERROR(VLOOKUP(A6468, Entries!A:B,2,false),"")</f>
        <v>Bethesda Softworks</v>
      </c>
      <c r="N6468" s="23" t="str">
        <f>IFERROR(VLOOKUP(A6468, Entries!A:K,11,false),"")</f>
        <v/>
      </c>
    </row>
    <row r="6469">
      <c r="A6469" s="78" t="s">
        <v>5676</v>
      </c>
      <c r="B6469" s="78" t="s">
        <v>21</v>
      </c>
      <c r="C6469" s="85">
        <v>45550.0</v>
      </c>
      <c r="D6469" s="85">
        <v>45551.0</v>
      </c>
      <c r="E6469" s="86">
        <v>35.4</v>
      </c>
      <c r="F6469" s="87">
        <v>46.97</v>
      </c>
      <c r="G6469" s="88">
        <f t="shared" si="1"/>
        <v>11.57</v>
      </c>
      <c r="H6469" s="89">
        <f t="shared" si="18"/>
        <v>0.246327443</v>
      </c>
      <c r="I6469" s="78" t="s">
        <v>7407</v>
      </c>
      <c r="J6469" s="78" t="s">
        <v>69</v>
      </c>
      <c r="K6469" s="58">
        <f t="shared" si="17"/>
        <v>1</v>
      </c>
      <c r="L6469" s="91" t="str">
        <f t="shared" si="8"/>
        <v>Mon</v>
      </c>
      <c r="M6469" s="78" t="str">
        <f>IFERROR(VLOOKUP(A6469, Entries!A:B,2,false),"")</f>
        <v>Bethesda Softworks</v>
      </c>
      <c r="N6469" s="23" t="str">
        <f>IFERROR(VLOOKUP(A6469, Entries!A:K,11,false),"")</f>
        <v/>
      </c>
    </row>
    <row r="6470">
      <c r="A6470" s="78" t="s">
        <v>7408</v>
      </c>
      <c r="B6470" s="78" t="s">
        <v>18</v>
      </c>
      <c r="C6470" s="85">
        <v>45550.0</v>
      </c>
      <c r="D6470" s="85">
        <v>45550.0</v>
      </c>
      <c r="E6470" s="86">
        <v>26.1</v>
      </c>
      <c r="F6470" s="87">
        <v>33.18</v>
      </c>
      <c r="G6470" s="88">
        <f t="shared" si="1"/>
        <v>7.08</v>
      </c>
      <c r="H6470" s="89">
        <f t="shared" si="18"/>
        <v>0.2133815552</v>
      </c>
      <c r="I6470" s="78" t="s">
        <v>7409</v>
      </c>
      <c r="J6470" s="78" t="s">
        <v>69</v>
      </c>
      <c r="K6470" s="58">
        <f t="shared" si="17"/>
        <v>0</v>
      </c>
      <c r="L6470" s="91" t="str">
        <f t="shared" si="8"/>
        <v>Sun</v>
      </c>
      <c r="M6470" s="78" t="str">
        <f>IFERROR(VLOOKUP(A6470, Entries!A:B,2,false),"")</f>
        <v>Nacon</v>
      </c>
      <c r="N6470" s="23" t="str">
        <f>IFERROR(VLOOKUP(A6470, Entries!A:K,11,false),"")</f>
        <v/>
      </c>
    </row>
    <row r="6471">
      <c r="A6471" s="78" t="s">
        <v>7408</v>
      </c>
      <c r="B6471" s="78" t="s">
        <v>18</v>
      </c>
      <c r="C6471" s="85">
        <v>45550.0</v>
      </c>
      <c r="D6471" s="85">
        <v>45550.0</v>
      </c>
      <c r="E6471" s="86">
        <v>26.1</v>
      </c>
      <c r="F6471" s="87">
        <v>33.18</v>
      </c>
      <c r="G6471" s="88">
        <f t="shared" si="1"/>
        <v>7.08</v>
      </c>
      <c r="H6471" s="89">
        <f t="shared" si="18"/>
        <v>0.2133815552</v>
      </c>
      <c r="I6471" s="78" t="s">
        <v>7410</v>
      </c>
      <c r="J6471" s="78" t="s">
        <v>69</v>
      </c>
      <c r="K6471" s="58">
        <f t="shared" si="17"/>
        <v>0</v>
      </c>
      <c r="L6471" s="91" t="str">
        <f t="shared" si="8"/>
        <v>Sun</v>
      </c>
      <c r="M6471" s="78" t="str">
        <f>IFERROR(VLOOKUP(A6471, Entries!A:B,2,false),"")</f>
        <v>Nacon</v>
      </c>
      <c r="N6471" s="23" t="str">
        <f>IFERROR(VLOOKUP(A6471, Entries!A:K,11,false),"")</f>
        <v/>
      </c>
    </row>
    <row r="6472">
      <c r="A6472" s="78" t="s">
        <v>7408</v>
      </c>
      <c r="B6472" s="78" t="s">
        <v>18</v>
      </c>
      <c r="C6472" s="85">
        <v>45550.0</v>
      </c>
      <c r="D6472" s="85">
        <v>45550.0</v>
      </c>
      <c r="E6472" s="86">
        <v>26.11</v>
      </c>
      <c r="F6472" s="87">
        <v>34.1</v>
      </c>
      <c r="G6472" s="88">
        <f t="shared" si="1"/>
        <v>7.99</v>
      </c>
      <c r="H6472" s="89">
        <f t="shared" si="18"/>
        <v>0.2343108504</v>
      </c>
      <c r="I6472" s="78" t="s">
        <v>7411</v>
      </c>
      <c r="J6472" s="78" t="s">
        <v>69</v>
      </c>
      <c r="K6472" s="58">
        <f t="shared" si="17"/>
        <v>0</v>
      </c>
      <c r="L6472" s="91" t="str">
        <f t="shared" si="8"/>
        <v>Sun</v>
      </c>
      <c r="M6472" s="78" t="str">
        <f>IFERROR(VLOOKUP(A6472, Entries!A:B,2,false),"")</f>
        <v>Nacon</v>
      </c>
      <c r="N6472" s="23" t="str">
        <f>IFERROR(VLOOKUP(A6472, Entries!A:K,11,false),"")</f>
        <v/>
      </c>
    </row>
    <row r="6473">
      <c r="A6473" s="78" t="s">
        <v>7249</v>
      </c>
      <c r="B6473" s="78" t="s">
        <v>19</v>
      </c>
      <c r="C6473" s="85">
        <v>45550.0</v>
      </c>
      <c r="D6473" s="85">
        <v>45556.0</v>
      </c>
      <c r="E6473" s="86">
        <v>3.57</v>
      </c>
      <c r="F6473" s="87">
        <v>4.15</v>
      </c>
      <c r="G6473" s="88">
        <f t="shared" si="1"/>
        <v>0.58</v>
      </c>
      <c r="H6473" s="89">
        <f t="shared" si="18"/>
        <v>0.1397590361</v>
      </c>
      <c r="I6473" s="78" t="s">
        <v>7412</v>
      </c>
      <c r="J6473" s="78" t="s">
        <v>69</v>
      </c>
      <c r="K6473" s="58">
        <f t="shared" si="17"/>
        <v>6</v>
      </c>
      <c r="L6473" s="91" t="str">
        <f t="shared" si="8"/>
        <v>Sat</v>
      </c>
      <c r="M6473" s="78" t="str">
        <f>IFERROR(VLOOKUP(A6474, Entries!A:B,2,false),"")</f>
        <v>tinyBuild</v>
      </c>
      <c r="N6473" s="23" t="str">
        <f>IFERROR(VLOOKUP(A6473, Entries!A:K,11,false),"")</f>
        <v/>
      </c>
    </row>
    <row r="6474">
      <c r="A6474" s="78" t="s">
        <v>7384</v>
      </c>
      <c r="B6474" s="78" t="s">
        <v>22</v>
      </c>
      <c r="C6474" s="85">
        <v>45550.0</v>
      </c>
      <c r="D6474" s="85">
        <v>45550.0</v>
      </c>
      <c r="E6474" s="86">
        <v>7.9</v>
      </c>
      <c r="F6474" s="87">
        <v>9.18</v>
      </c>
      <c r="G6474" s="88">
        <f t="shared" si="1"/>
        <v>1.28</v>
      </c>
      <c r="H6474" s="89">
        <f t="shared" si="18"/>
        <v>0.1394335512</v>
      </c>
      <c r="I6474" s="78" t="s">
        <v>7413</v>
      </c>
      <c r="J6474" s="78" t="s">
        <v>69</v>
      </c>
      <c r="K6474" s="58">
        <f t="shared" si="17"/>
        <v>0</v>
      </c>
      <c r="L6474" s="91" t="str">
        <f t="shared" si="8"/>
        <v>Sun</v>
      </c>
      <c r="M6474" s="78" t="str">
        <f>IFERROR(VLOOKUP(A6475, Entries!A:B,2,false),"")</f>
        <v>tinyBuild</v>
      </c>
      <c r="N6474" s="23" t="str">
        <f>IFERROR(VLOOKUP(A6474, Entries!A:K,11,false),"")</f>
        <v/>
      </c>
    </row>
    <row r="6475">
      <c r="A6475" s="78" t="s">
        <v>7384</v>
      </c>
      <c r="B6475" s="78" t="s">
        <v>22</v>
      </c>
      <c r="C6475" s="85">
        <v>45550.0</v>
      </c>
      <c r="D6475" s="85">
        <v>45550.0</v>
      </c>
      <c r="E6475" s="86">
        <v>7.89</v>
      </c>
      <c r="F6475" s="87">
        <v>9.18</v>
      </c>
      <c r="G6475" s="88">
        <f t="shared" si="1"/>
        <v>1.29</v>
      </c>
      <c r="H6475" s="89">
        <f t="shared" si="18"/>
        <v>0.1405228758</v>
      </c>
      <c r="I6475" s="78" t="s">
        <v>7414</v>
      </c>
      <c r="J6475" s="78" t="s">
        <v>69</v>
      </c>
      <c r="K6475" s="58">
        <f t="shared" si="17"/>
        <v>0</v>
      </c>
      <c r="L6475" s="91" t="str">
        <f t="shared" si="8"/>
        <v>Sun</v>
      </c>
      <c r="M6475" s="78" t="str">
        <f>IFERROR(VLOOKUP(A6476, Entries!A:B,2,false),"")</f>
        <v>tinyBuild</v>
      </c>
      <c r="N6475" s="23" t="str">
        <f>IFERROR(VLOOKUP(A6475, Entries!A:K,11,false),"")</f>
        <v/>
      </c>
    </row>
    <row r="6476">
      <c r="A6476" s="78" t="s">
        <v>7384</v>
      </c>
      <c r="B6476" s="78" t="s">
        <v>22</v>
      </c>
      <c r="C6476" s="85">
        <v>45550.0</v>
      </c>
      <c r="D6476" s="85">
        <v>45550.0</v>
      </c>
      <c r="E6476" s="86">
        <v>7.9</v>
      </c>
      <c r="F6476" s="87">
        <v>9.18</v>
      </c>
      <c r="G6476" s="88">
        <f t="shared" si="1"/>
        <v>1.28</v>
      </c>
      <c r="H6476" s="89">
        <f t="shared" si="18"/>
        <v>0.1394335512</v>
      </c>
      <c r="I6476" s="78" t="s">
        <v>7415</v>
      </c>
      <c r="J6476" s="78" t="s">
        <v>69</v>
      </c>
      <c r="K6476" s="58">
        <f t="shared" si="17"/>
        <v>0</v>
      </c>
      <c r="L6476" s="91" t="str">
        <f t="shared" si="8"/>
        <v>Sun</v>
      </c>
      <c r="M6476" s="78" t="str">
        <f>IFERROR(VLOOKUP(A6476, Entries!A:B,2,false),"")</f>
        <v>tinyBuild</v>
      </c>
      <c r="N6476" s="23" t="str">
        <f>IFERROR(VLOOKUP(A6476, Entries!A:K,11,false),"")</f>
        <v/>
      </c>
    </row>
    <row r="6477">
      <c r="A6477" s="78" t="s">
        <v>7384</v>
      </c>
      <c r="B6477" s="78" t="s">
        <v>22</v>
      </c>
      <c r="C6477" s="85">
        <v>45550.0</v>
      </c>
      <c r="D6477" s="85">
        <v>45550.0</v>
      </c>
      <c r="E6477" s="86">
        <v>7.89</v>
      </c>
      <c r="F6477" s="87">
        <v>9.18</v>
      </c>
      <c r="G6477" s="88">
        <f t="shared" si="1"/>
        <v>1.29</v>
      </c>
      <c r="H6477" s="89">
        <f t="shared" si="18"/>
        <v>0.1405228758</v>
      </c>
      <c r="I6477" s="78" t="s">
        <v>7416</v>
      </c>
      <c r="J6477" s="78" t="s">
        <v>69</v>
      </c>
      <c r="K6477" s="58">
        <f t="shared" si="17"/>
        <v>0</v>
      </c>
      <c r="L6477" s="91" t="str">
        <f t="shared" si="8"/>
        <v>Sun</v>
      </c>
      <c r="M6477" s="78" t="str">
        <f>IFERROR(VLOOKUP(A6477, Entries!A:B,2,false),"")</f>
        <v>tinyBuild</v>
      </c>
      <c r="N6477" s="23" t="str">
        <f>IFERROR(VLOOKUP(A6477, Entries!A:K,11,false),"")</f>
        <v/>
      </c>
    </row>
    <row r="6478">
      <c r="A6478" s="78" t="s">
        <v>7257</v>
      </c>
      <c r="B6478" s="78" t="s">
        <v>18</v>
      </c>
      <c r="C6478" s="85">
        <v>45550.0</v>
      </c>
      <c r="D6478" s="85">
        <v>45550.0</v>
      </c>
      <c r="E6478" s="86">
        <v>28.68</v>
      </c>
      <c r="F6478" s="87">
        <v>32.27</v>
      </c>
      <c r="G6478" s="88">
        <f t="shared" si="1"/>
        <v>3.59</v>
      </c>
      <c r="H6478" s="89">
        <f t="shared" si="18"/>
        <v>0.1112488379</v>
      </c>
      <c r="I6478" s="78" t="s">
        <v>7417</v>
      </c>
      <c r="J6478" s="78" t="s">
        <v>69</v>
      </c>
      <c r="K6478" s="58">
        <f t="shared" si="17"/>
        <v>0</v>
      </c>
      <c r="L6478" s="91" t="str">
        <f t="shared" si="8"/>
        <v>Sun</v>
      </c>
      <c r="M6478" s="78" t="str">
        <f>IFERROR(VLOOKUP(A6478, Entries!A:B,2,false),"")</f>
        <v>Electronic Arts</v>
      </c>
      <c r="N6478" s="23" t="str">
        <f>IFERROR(VLOOKUP(A6478, Entries!A:K,11,false),"")</f>
        <v/>
      </c>
    </row>
    <row r="6479">
      <c r="A6479" s="78" t="s">
        <v>7257</v>
      </c>
      <c r="B6479" s="78" t="s">
        <v>18</v>
      </c>
      <c r="C6479" s="85">
        <v>45550.0</v>
      </c>
      <c r="D6479" s="85">
        <v>45551.0</v>
      </c>
      <c r="E6479" s="86">
        <v>28.69</v>
      </c>
      <c r="F6479" s="87">
        <v>32.28</v>
      </c>
      <c r="G6479" s="88">
        <f t="shared" si="1"/>
        <v>3.59</v>
      </c>
      <c r="H6479" s="89">
        <f t="shared" si="18"/>
        <v>0.1112143742</v>
      </c>
      <c r="I6479" s="78" t="s">
        <v>7418</v>
      </c>
      <c r="J6479" s="78" t="s">
        <v>69</v>
      </c>
      <c r="K6479" s="58">
        <f t="shared" si="17"/>
        <v>1</v>
      </c>
      <c r="L6479" s="91" t="str">
        <f t="shared" si="8"/>
        <v>Mon</v>
      </c>
      <c r="M6479" s="78" t="str">
        <f>IFERROR(VLOOKUP(A6479, Entries!A:B,2,false),"")</f>
        <v>Electronic Arts</v>
      </c>
      <c r="N6479" s="23" t="str">
        <f>IFERROR(VLOOKUP(A6479, Entries!A:K,11,false),"")</f>
        <v/>
      </c>
    </row>
    <row r="6480">
      <c r="A6480" s="78" t="s">
        <v>7257</v>
      </c>
      <c r="B6480" s="78" t="s">
        <v>18</v>
      </c>
      <c r="C6480" s="85">
        <v>45550.0</v>
      </c>
      <c r="D6480" s="85">
        <v>45553.0</v>
      </c>
      <c r="E6480" s="86">
        <v>28.69</v>
      </c>
      <c r="F6480" s="87">
        <v>32.18</v>
      </c>
      <c r="G6480" s="88">
        <f t="shared" si="1"/>
        <v>3.49</v>
      </c>
      <c r="H6480" s="89">
        <f t="shared" si="18"/>
        <v>0.1084524549</v>
      </c>
      <c r="I6480" s="78" t="s">
        <v>7419</v>
      </c>
      <c r="J6480" s="78" t="s">
        <v>69</v>
      </c>
      <c r="K6480" s="58">
        <f t="shared" si="17"/>
        <v>3</v>
      </c>
      <c r="L6480" s="91" t="str">
        <f t="shared" si="8"/>
        <v>Wed</v>
      </c>
      <c r="M6480" s="78" t="str">
        <f>IFERROR(VLOOKUP(A6480, Entries!A:B,2,false),"")</f>
        <v>Electronic Arts</v>
      </c>
      <c r="N6480" s="23" t="str">
        <f>IFERROR(VLOOKUP(A6480, Entries!A:K,11,false),"")</f>
        <v/>
      </c>
    </row>
    <row r="6481">
      <c r="A6481" s="78" t="s">
        <v>7384</v>
      </c>
      <c r="B6481" s="78" t="s">
        <v>22</v>
      </c>
      <c r="C6481" s="85">
        <v>45550.0</v>
      </c>
      <c r="D6481" s="85">
        <v>45550.0</v>
      </c>
      <c r="E6481" s="86">
        <v>7.89</v>
      </c>
      <c r="F6481" s="87">
        <v>9.18</v>
      </c>
      <c r="G6481" s="88">
        <f t="shared" si="1"/>
        <v>1.29</v>
      </c>
      <c r="H6481" s="89">
        <f t="shared" si="18"/>
        <v>0.1405228758</v>
      </c>
      <c r="I6481" s="78" t="s">
        <v>7420</v>
      </c>
      <c r="J6481" s="78" t="s">
        <v>69</v>
      </c>
      <c r="K6481" s="58">
        <f t="shared" si="17"/>
        <v>0</v>
      </c>
      <c r="L6481" s="91" t="str">
        <f t="shared" si="8"/>
        <v>Sun</v>
      </c>
      <c r="M6481" s="78" t="str">
        <f>IFERROR(VLOOKUP(A6481, Entries!A:B,2,false),"")</f>
        <v>tinyBuild</v>
      </c>
      <c r="N6481" s="23" t="str">
        <f>IFERROR(VLOOKUP(A6481, Entries!A:K,11,false),"")</f>
        <v/>
      </c>
    </row>
    <row r="6482">
      <c r="A6482" s="78" t="s">
        <v>7384</v>
      </c>
      <c r="B6482" s="78" t="s">
        <v>22</v>
      </c>
      <c r="C6482" s="85">
        <v>45550.0</v>
      </c>
      <c r="D6482" s="85">
        <v>45550.0</v>
      </c>
      <c r="E6482" s="86">
        <v>7.9</v>
      </c>
      <c r="F6482" s="87">
        <v>9.18</v>
      </c>
      <c r="G6482" s="88">
        <f t="shared" si="1"/>
        <v>1.28</v>
      </c>
      <c r="H6482" s="89">
        <f t="shared" si="18"/>
        <v>0.1394335512</v>
      </c>
      <c r="I6482" s="78" t="s">
        <v>7421</v>
      </c>
      <c r="J6482" s="78" t="s">
        <v>69</v>
      </c>
      <c r="K6482" s="58">
        <f t="shared" si="17"/>
        <v>0</v>
      </c>
      <c r="L6482" s="91" t="str">
        <f t="shared" si="8"/>
        <v>Sun</v>
      </c>
      <c r="M6482" s="78" t="str">
        <f>IFERROR(VLOOKUP(A6482, Entries!A:B,2,false),"")</f>
        <v>tinyBuild</v>
      </c>
      <c r="N6482" s="23" t="str">
        <f>IFERROR(VLOOKUP(A6482, Entries!A:K,11,false),"")</f>
        <v/>
      </c>
    </row>
    <row r="6483">
      <c r="A6483" s="78" t="s">
        <v>7408</v>
      </c>
      <c r="B6483" s="78" t="s">
        <v>18</v>
      </c>
      <c r="C6483" s="85">
        <v>45550.0</v>
      </c>
      <c r="D6483" s="85">
        <v>45643.0</v>
      </c>
      <c r="E6483" s="86">
        <v>26.1</v>
      </c>
      <c r="F6483" s="87">
        <v>31.31</v>
      </c>
      <c r="G6483" s="88">
        <f t="shared" si="1"/>
        <v>5.21</v>
      </c>
      <c r="H6483" s="89">
        <f t="shared" si="18"/>
        <v>0.166400511</v>
      </c>
      <c r="I6483" s="78" t="s">
        <v>7422</v>
      </c>
      <c r="J6483" s="78" t="s">
        <v>69</v>
      </c>
      <c r="K6483" s="58">
        <f t="shared" si="17"/>
        <v>93</v>
      </c>
      <c r="L6483" s="91" t="str">
        <f t="shared" si="8"/>
        <v>Tue</v>
      </c>
      <c r="M6483" s="78" t="str">
        <f>IFERROR(VLOOKUP(A6483, Entries!A:B,2,false),"")</f>
        <v>Nacon</v>
      </c>
      <c r="N6483" s="23" t="str">
        <f>IFERROR(VLOOKUP(A6483, Entries!A:K,11,false),"")</f>
        <v/>
      </c>
    </row>
    <row r="6484">
      <c r="A6484" s="78" t="s">
        <v>7384</v>
      </c>
      <c r="B6484" s="78" t="s">
        <v>22</v>
      </c>
      <c r="C6484" s="85">
        <v>45550.0</v>
      </c>
      <c r="D6484" s="85">
        <v>45550.0</v>
      </c>
      <c r="E6484" s="86">
        <v>7.9</v>
      </c>
      <c r="F6484" s="87">
        <v>9.05</v>
      </c>
      <c r="G6484" s="88">
        <f t="shared" si="1"/>
        <v>1.15</v>
      </c>
      <c r="H6484" s="89">
        <f t="shared" si="18"/>
        <v>0.1270718232</v>
      </c>
      <c r="I6484" s="78" t="s">
        <v>7423</v>
      </c>
      <c r="J6484" s="78" t="s">
        <v>69</v>
      </c>
      <c r="K6484" s="58">
        <f t="shared" si="17"/>
        <v>0</v>
      </c>
      <c r="L6484" s="91" t="str">
        <f t="shared" si="8"/>
        <v>Sun</v>
      </c>
      <c r="M6484" s="78" t="str">
        <f>IFERROR(VLOOKUP(A6484, Entries!A:B,2,false),"")</f>
        <v>tinyBuild</v>
      </c>
      <c r="N6484" s="23" t="str">
        <f>IFERROR(VLOOKUP(A6484, Entries!A:K,11,false),"")</f>
        <v/>
      </c>
    </row>
    <row r="6485">
      <c r="A6485" s="78" t="s">
        <v>7384</v>
      </c>
      <c r="B6485" s="78" t="s">
        <v>22</v>
      </c>
      <c r="C6485" s="85">
        <v>45550.0</v>
      </c>
      <c r="D6485" s="85">
        <v>45557.0</v>
      </c>
      <c r="E6485" s="86">
        <v>7.89</v>
      </c>
      <c r="F6485" s="87">
        <v>8.51</v>
      </c>
      <c r="G6485" s="88">
        <f t="shared" si="1"/>
        <v>0.62</v>
      </c>
      <c r="H6485" s="89">
        <f t="shared" si="18"/>
        <v>0.07285546416</v>
      </c>
      <c r="I6485" s="78" t="s">
        <v>7424</v>
      </c>
      <c r="J6485" s="78" t="s">
        <v>69</v>
      </c>
      <c r="K6485" s="58">
        <f t="shared" si="17"/>
        <v>7</v>
      </c>
      <c r="L6485" s="91" t="str">
        <f t="shared" si="8"/>
        <v>Sun</v>
      </c>
      <c r="M6485" s="78" t="str">
        <f>IFERROR(VLOOKUP(A6485, Entries!A:B,2,false),"")</f>
        <v>tinyBuild</v>
      </c>
      <c r="N6485" s="23" t="str">
        <f>IFERROR(VLOOKUP(A6485, Entries!A:K,11,false),"")</f>
        <v/>
      </c>
    </row>
    <row r="6486">
      <c r="A6486" s="78" t="s">
        <v>7384</v>
      </c>
      <c r="B6486" s="78" t="s">
        <v>22</v>
      </c>
      <c r="C6486" s="85">
        <v>45550.0</v>
      </c>
      <c r="D6486" s="85">
        <v>45557.0</v>
      </c>
      <c r="E6486" s="86">
        <v>7.9</v>
      </c>
      <c r="F6486" s="87">
        <v>8.51</v>
      </c>
      <c r="G6486" s="88">
        <f t="shared" si="1"/>
        <v>0.61</v>
      </c>
      <c r="H6486" s="89">
        <f t="shared" si="18"/>
        <v>0.07168037603</v>
      </c>
      <c r="I6486" s="78" t="s">
        <v>7425</v>
      </c>
      <c r="J6486" s="78" t="s">
        <v>69</v>
      </c>
      <c r="K6486" s="58">
        <f t="shared" si="17"/>
        <v>7</v>
      </c>
      <c r="L6486" s="91" t="str">
        <f t="shared" si="8"/>
        <v>Sun</v>
      </c>
      <c r="M6486" s="78" t="str">
        <f>IFERROR(VLOOKUP(A6486, Entries!A:B,2,false),"")</f>
        <v>tinyBuild</v>
      </c>
      <c r="N6486" s="23" t="str">
        <f>IFERROR(VLOOKUP(A6486, Entries!A:K,11,false),"")</f>
        <v/>
      </c>
    </row>
    <row r="6487">
      <c r="A6487" s="78" t="s">
        <v>7426</v>
      </c>
      <c r="B6487" s="78" t="s">
        <v>22</v>
      </c>
      <c r="C6487" s="85">
        <v>45550.0</v>
      </c>
      <c r="D6487" s="85">
        <v>45550.0</v>
      </c>
      <c r="E6487" s="86">
        <v>19.75</v>
      </c>
      <c r="F6487" s="87">
        <v>24.98</v>
      </c>
      <c r="G6487" s="88">
        <f t="shared" si="1"/>
        <v>5.23</v>
      </c>
      <c r="H6487" s="89">
        <f t="shared" si="18"/>
        <v>0.209367494</v>
      </c>
      <c r="I6487" s="78" t="s">
        <v>7427</v>
      </c>
      <c r="J6487" s="78" t="s">
        <v>69</v>
      </c>
      <c r="K6487" s="58">
        <f t="shared" si="17"/>
        <v>0</v>
      </c>
      <c r="L6487" s="91" t="str">
        <f t="shared" si="8"/>
        <v>Sun</v>
      </c>
      <c r="M6487" s="78" t="str">
        <f>IFERROR(VLOOKUP(A6487, Entries!A:B,2,false),"")</f>
        <v>Nacon</v>
      </c>
      <c r="N6487" s="23" t="str">
        <f>IFERROR(VLOOKUP(A6487, Entries!A:K,11,false),"")</f>
        <v/>
      </c>
    </row>
    <row r="6488">
      <c r="A6488" s="78" t="s">
        <v>7426</v>
      </c>
      <c r="B6488" s="78" t="s">
        <v>22</v>
      </c>
      <c r="C6488" s="85">
        <v>45550.0</v>
      </c>
      <c r="D6488" s="85">
        <v>45550.0</v>
      </c>
      <c r="E6488" s="86">
        <v>19.75</v>
      </c>
      <c r="F6488" s="87">
        <v>24.98</v>
      </c>
      <c r="G6488" s="88">
        <f t="shared" si="1"/>
        <v>5.23</v>
      </c>
      <c r="H6488" s="89">
        <f t="shared" si="18"/>
        <v>0.209367494</v>
      </c>
      <c r="I6488" s="78" t="s">
        <v>7428</v>
      </c>
      <c r="J6488" s="78" t="s">
        <v>69</v>
      </c>
      <c r="K6488" s="58">
        <f t="shared" si="17"/>
        <v>0</v>
      </c>
      <c r="L6488" s="91" t="str">
        <f t="shared" si="8"/>
        <v>Sun</v>
      </c>
      <c r="M6488" s="78" t="str">
        <f>IFERROR(VLOOKUP(A6488, Entries!A:B,2,false),"")</f>
        <v>Nacon</v>
      </c>
      <c r="N6488" s="23" t="str">
        <f>IFERROR(VLOOKUP(A6488, Entries!A:K,11,false),"")</f>
        <v/>
      </c>
    </row>
    <row r="6489">
      <c r="A6489" s="78" t="s">
        <v>7426</v>
      </c>
      <c r="B6489" s="78" t="s">
        <v>22</v>
      </c>
      <c r="C6489" s="85">
        <v>45550.0</v>
      </c>
      <c r="D6489" s="85">
        <v>45550.0</v>
      </c>
      <c r="E6489" s="86">
        <v>19.75</v>
      </c>
      <c r="F6489" s="87">
        <v>24.99</v>
      </c>
      <c r="G6489" s="88">
        <f t="shared" si="1"/>
        <v>5.24</v>
      </c>
      <c r="H6489" s="89">
        <f t="shared" si="18"/>
        <v>0.2096838735</v>
      </c>
      <c r="I6489" s="78" t="s">
        <v>7429</v>
      </c>
      <c r="J6489" s="78" t="s">
        <v>69</v>
      </c>
      <c r="K6489" s="58">
        <f t="shared" si="17"/>
        <v>0</v>
      </c>
      <c r="L6489" s="91" t="str">
        <f t="shared" si="8"/>
        <v>Sun</v>
      </c>
      <c r="M6489" s="78" t="str">
        <f>IFERROR(VLOOKUP(A6489, Entries!A:B,2,false),"")</f>
        <v>Nacon</v>
      </c>
      <c r="N6489" s="23" t="str">
        <f>IFERROR(VLOOKUP(A6489, Entries!A:K,11,false),"")</f>
        <v/>
      </c>
    </row>
    <row r="6490">
      <c r="A6490" s="78" t="s">
        <v>7426</v>
      </c>
      <c r="B6490" s="78" t="s">
        <v>22</v>
      </c>
      <c r="C6490" s="85">
        <v>45550.0</v>
      </c>
      <c r="D6490" s="85">
        <v>45550.0</v>
      </c>
      <c r="E6490" s="86">
        <v>19.75</v>
      </c>
      <c r="F6490" s="87">
        <v>24.99</v>
      </c>
      <c r="G6490" s="88">
        <f t="shared" si="1"/>
        <v>5.24</v>
      </c>
      <c r="H6490" s="89">
        <f t="shared" si="18"/>
        <v>0.2096838735</v>
      </c>
      <c r="I6490" s="78" t="s">
        <v>7430</v>
      </c>
      <c r="J6490" s="78" t="s">
        <v>69</v>
      </c>
      <c r="K6490" s="58">
        <f t="shared" si="17"/>
        <v>0</v>
      </c>
      <c r="L6490" s="91" t="str">
        <f t="shared" si="8"/>
        <v>Sun</v>
      </c>
      <c r="M6490" s="78" t="str">
        <f>IFERROR(VLOOKUP(A6490, Entries!A:B,2,false),"")</f>
        <v>Nacon</v>
      </c>
      <c r="N6490" s="23" t="str">
        <f>IFERROR(VLOOKUP(A6490, Entries!A:K,11,false),"")</f>
        <v/>
      </c>
    </row>
    <row r="6491">
      <c r="A6491" s="78" t="s">
        <v>7426</v>
      </c>
      <c r="B6491" s="78" t="s">
        <v>22</v>
      </c>
      <c r="C6491" s="85">
        <v>45550.0</v>
      </c>
      <c r="D6491" s="85">
        <v>45550.0</v>
      </c>
      <c r="E6491" s="86">
        <v>19.75</v>
      </c>
      <c r="F6491" s="87">
        <v>24.99</v>
      </c>
      <c r="G6491" s="88">
        <f t="shared" si="1"/>
        <v>5.24</v>
      </c>
      <c r="H6491" s="89">
        <f t="shared" si="18"/>
        <v>0.2096838735</v>
      </c>
      <c r="I6491" s="78" t="s">
        <v>7431</v>
      </c>
      <c r="J6491" s="78" t="s">
        <v>69</v>
      </c>
      <c r="K6491" s="58">
        <f t="shared" si="17"/>
        <v>0</v>
      </c>
      <c r="L6491" s="91" t="str">
        <f t="shared" si="8"/>
        <v>Sun</v>
      </c>
      <c r="M6491" s="78" t="str">
        <f>IFERROR(VLOOKUP(A6491, Entries!A:B,2,false),"")</f>
        <v>Nacon</v>
      </c>
      <c r="N6491" s="23" t="str">
        <f>IFERROR(VLOOKUP(A6491, Entries!A:K,11,false),"")</f>
        <v/>
      </c>
    </row>
    <row r="6492">
      <c r="A6492" s="78" t="s">
        <v>7426</v>
      </c>
      <c r="B6492" s="78" t="s">
        <v>22</v>
      </c>
      <c r="C6492" s="85">
        <v>45550.0</v>
      </c>
      <c r="D6492" s="85">
        <v>45550.0</v>
      </c>
      <c r="E6492" s="86">
        <v>19.75</v>
      </c>
      <c r="F6492" s="87">
        <v>24.99</v>
      </c>
      <c r="G6492" s="88">
        <f t="shared" si="1"/>
        <v>5.24</v>
      </c>
      <c r="H6492" s="89">
        <f t="shared" si="18"/>
        <v>0.2096838735</v>
      </c>
      <c r="I6492" s="78" t="s">
        <v>7432</v>
      </c>
      <c r="J6492" s="78" t="s">
        <v>69</v>
      </c>
      <c r="K6492" s="58">
        <f t="shared" si="17"/>
        <v>0</v>
      </c>
      <c r="L6492" s="91" t="str">
        <f t="shared" si="8"/>
        <v>Sun</v>
      </c>
      <c r="M6492" s="78" t="str">
        <f>IFERROR(VLOOKUP(A6492, Entries!A:B,2,false),"")</f>
        <v>Nacon</v>
      </c>
      <c r="N6492" s="23" t="str">
        <f>IFERROR(VLOOKUP(A6492, Entries!A:K,11,false),"")</f>
        <v/>
      </c>
    </row>
    <row r="6493">
      <c r="A6493" s="78" t="s">
        <v>7426</v>
      </c>
      <c r="B6493" s="78" t="s">
        <v>22</v>
      </c>
      <c r="C6493" s="85">
        <v>45550.0</v>
      </c>
      <c r="D6493" s="85">
        <v>45550.0</v>
      </c>
      <c r="E6493" s="86">
        <v>19.75</v>
      </c>
      <c r="F6493" s="87">
        <v>24.99</v>
      </c>
      <c r="G6493" s="88">
        <f t="shared" si="1"/>
        <v>5.24</v>
      </c>
      <c r="H6493" s="89">
        <f t="shared" si="18"/>
        <v>0.2096838735</v>
      </c>
      <c r="I6493" s="78" t="s">
        <v>7433</v>
      </c>
      <c r="J6493" s="78" t="s">
        <v>69</v>
      </c>
      <c r="K6493" s="58">
        <f t="shared" si="17"/>
        <v>0</v>
      </c>
      <c r="L6493" s="91" t="str">
        <f t="shared" si="8"/>
        <v>Sun</v>
      </c>
      <c r="M6493" s="78" t="str">
        <f>IFERROR(VLOOKUP(A6493, Entries!A:B,2,false),"")</f>
        <v>Nacon</v>
      </c>
      <c r="N6493" s="23" t="str">
        <f>IFERROR(VLOOKUP(A6493, Entries!A:K,11,false),"")</f>
        <v/>
      </c>
    </row>
    <row r="6494">
      <c r="A6494" s="78" t="s">
        <v>7426</v>
      </c>
      <c r="B6494" s="78" t="s">
        <v>22</v>
      </c>
      <c r="C6494" s="85">
        <v>45550.0</v>
      </c>
      <c r="D6494" s="85">
        <v>45550.0</v>
      </c>
      <c r="E6494" s="86">
        <v>19.75</v>
      </c>
      <c r="F6494" s="87">
        <v>25.99</v>
      </c>
      <c r="G6494" s="88">
        <f t="shared" si="1"/>
        <v>6.24</v>
      </c>
      <c r="H6494" s="89">
        <f t="shared" si="18"/>
        <v>0.2400923432</v>
      </c>
      <c r="I6494" s="78" t="s">
        <v>7434</v>
      </c>
      <c r="J6494" s="78" t="s">
        <v>69</v>
      </c>
      <c r="K6494" s="58">
        <f t="shared" si="17"/>
        <v>0</v>
      </c>
      <c r="L6494" s="91" t="str">
        <f t="shared" si="8"/>
        <v>Sun</v>
      </c>
      <c r="M6494" s="78" t="str">
        <f>IFERROR(VLOOKUP(A6494, Entries!A:B,2,false),"")</f>
        <v>Nacon</v>
      </c>
      <c r="N6494" s="23" t="str">
        <f>IFERROR(VLOOKUP(A6494, Entries!A:K,11,false),"")</f>
        <v/>
      </c>
    </row>
    <row r="6495">
      <c r="A6495" s="78" t="s">
        <v>7426</v>
      </c>
      <c r="B6495" s="78" t="s">
        <v>22</v>
      </c>
      <c r="C6495" s="85">
        <v>45550.0</v>
      </c>
      <c r="D6495" s="85">
        <v>45550.0</v>
      </c>
      <c r="E6495" s="86">
        <v>19.75</v>
      </c>
      <c r="F6495" s="87">
        <v>25.99</v>
      </c>
      <c r="G6495" s="88">
        <f t="shared" si="1"/>
        <v>6.24</v>
      </c>
      <c r="H6495" s="89">
        <f t="shared" si="18"/>
        <v>0.2400923432</v>
      </c>
      <c r="I6495" s="78" t="s">
        <v>7435</v>
      </c>
      <c r="J6495" s="78" t="s">
        <v>69</v>
      </c>
      <c r="K6495" s="58">
        <f t="shared" si="17"/>
        <v>0</v>
      </c>
      <c r="L6495" s="91" t="str">
        <f t="shared" si="8"/>
        <v>Sun</v>
      </c>
      <c r="M6495" s="78" t="str">
        <f>IFERROR(VLOOKUP(A6495, Entries!A:B,2,false),"")</f>
        <v>Nacon</v>
      </c>
      <c r="N6495" s="23" t="str">
        <f>IFERROR(VLOOKUP(A6495, Entries!A:K,11,false),"")</f>
        <v/>
      </c>
    </row>
    <row r="6496">
      <c r="A6496" s="78" t="s">
        <v>7426</v>
      </c>
      <c r="B6496" s="78" t="s">
        <v>22</v>
      </c>
      <c r="C6496" s="85">
        <v>45550.0</v>
      </c>
      <c r="D6496" s="85">
        <v>45550.0</v>
      </c>
      <c r="E6496" s="86">
        <v>19.75</v>
      </c>
      <c r="F6496" s="87">
        <v>27.53</v>
      </c>
      <c r="G6496" s="88">
        <f t="shared" si="1"/>
        <v>7.78</v>
      </c>
      <c r="H6496" s="89">
        <f t="shared" si="18"/>
        <v>0.2826007991</v>
      </c>
      <c r="I6496" s="78" t="s">
        <v>7436</v>
      </c>
      <c r="J6496" s="78" t="s">
        <v>69</v>
      </c>
      <c r="K6496" s="58">
        <f t="shared" si="17"/>
        <v>0</v>
      </c>
      <c r="L6496" s="91" t="str">
        <f t="shared" si="8"/>
        <v>Sun</v>
      </c>
      <c r="M6496" s="78" t="str">
        <f>IFERROR(VLOOKUP(A6496, Entries!A:B,2,false),"")</f>
        <v>Nacon</v>
      </c>
      <c r="N6496" s="23" t="str">
        <f>IFERROR(VLOOKUP(A6496, Entries!A:K,11,false),"")</f>
        <v/>
      </c>
    </row>
    <row r="6497">
      <c r="A6497" s="78" t="s">
        <v>7092</v>
      </c>
      <c r="B6497" s="78" t="s">
        <v>23</v>
      </c>
      <c r="C6497" s="85">
        <v>45550.0</v>
      </c>
      <c r="D6497" s="85">
        <v>45557.0</v>
      </c>
      <c r="E6497" s="86">
        <v>8.46</v>
      </c>
      <c r="F6497" s="87">
        <v>10.67</v>
      </c>
      <c r="G6497" s="88">
        <f t="shared" si="1"/>
        <v>2.21</v>
      </c>
      <c r="H6497" s="89">
        <f t="shared" si="18"/>
        <v>0.2071227741</v>
      </c>
      <c r="I6497" s="78" t="s">
        <v>7437</v>
      </c>
      <c r="J6497" s="78" t="s">
        <v>69</v>
      </c>
      <c r="K6497" s="58">
        <f t="shared" si="17"/>
        <v>7</v>
      </c>
      <c r="L6497" s="91" t="str">
        <f t="shared" si="8"/>
        <v>Sun</v>
      </c>
      <c r="M6497" s="78" t="str">
        <f>IFERROR(VLOOKUP(A6497, Entries!A:B,2,false),"")</f>
        <v>IO Interactive</v>
      </c>
      <c r="N6497" s="23" t="str">
        <f>IFERROR(VLOOKUP(A6497, Entries!A:K,11,false),"")</f>
        <v/>
      </c>
    </row>
    <row r="6498">
      <c r="A6498" s="78" t="s">
        <v>7426</v>
      </c>
      <c r="B6498" s="78" t="s">
        <v>22</v>
      </c>
      <c r="C6498" s="85">
        <v>45550.0</v>
      </c>
      <c r="D6498" s="85">
        <v>45550.0</v>
      </c>
      <c r="E6498" s="86">
        <v>19.75</v>
      </c>
      <c r="F6498" s="87">
        <v>27.53</v>
      </c>
      <c r="G6498" s="88">
        <f t="shared" si="1"/>
        <v>7.78</v>
      </c>
      <c r="H6498" s="89">
        <f t="shared" si="18"/>
        <v>0.2826007991</v>
      </c>
      <c r="I6498" s="78" t="s">
        <v>7438</v>
      </c>
      <c r="J6498" s="78" t="s">
        <v>69</v>
      </c>
      <c r="K6498" s="58">
        <f t="shared" si="17"/>
        <v>0</v>
      </c>
      <c r="L6498" s="91" t="str">
        <f t="shared" si="8"/>
        <v>Sun</v>
      </c>
      <c r="M6498" s="78" t="str">
        <f>IFERROR(VLOOKUP(A6498, Entries!A:B,2,false),"")</f>
        <v>Nacon</v>
      </c>
      <c r="N6498" s="23" t="str">
        <f>IFERROR(VLOOKUP(A6498, Entries!A:K,11,false),"")</f>
        <v/>
      </c>
    </row>
    <row r="6499">
      <c r="A6499" s="78" t="s">
        <v>7426</v>
      </c>
      <c r="B6499" s="78" t="s">
        <v>22</v>
      </c>
      <c r="C6499" s="85">
        <v>45550.0</v>
      </c>
      <c r="D6499" s="85">
        <v>45550.0</v>
      </c>
      <c r="E6499" s="86">
        <v>19.75</v>
      </c>
      <c r="F6499" s="87">
        <v>27.53</v>
      </c>
      <c r="G6499" s="88">
        <f t="shared" si="1"/>
        <v>7.78</v>
      </c>
      <c r="H6499" s="89">
        <f t="shared" si="18"/>
        <v>0.2826007991</v>
      </c>
      <c r="I6499" s="78" t="s">
        <v>7439</v>
      </c>
      <c r="J6499" s="78" t="s">
        <v>69</v>
      </c>
      <c r="K6499" s="58">
        <f t="shared" si="17"/>
        <v>0</v>
      </c>
      <c r="L6499" s="91" t="str">
        <f t="shared" si="8"/>
        <v>Sun</v>
      </c>
      <c r="M6499" s="78" t="str">
        <f>IFERROR(VLOOKUP(A6499, Entries!A:B,2,false),"")</f>
        <v>Nacon</v>
      </c>
      <c r="N6499" s="23" t="str">
        <f>IFERROR(VLOOKUP(A6499, Entries!A:K,11,false),"")</f>
        <v/>
      </c>
    </row>
    <row r="6500">
      <c r="A6500" s="78" t="s">
        <v>7426</v>
      </c>
      <c r="B6500" s="78" t="s">
        <v>22</v>
      </c>
      <c r="C6500" s="85">
        <v>45550.0</v>
      </c>
      <c r="D6500" s="85">
        <v>45550.0</v>
      </c>
      <c r="E6500" s="86">
        <v>19.75</v>
      </c>
      <c r="F6500" s="87">
        <v>27.53</v>
      </c>
      <c r="G6500" s="88">
        <f t="shared" si="1"/>
        <v>7.78</v>
      </c>
      <c r="H6500" s="89">
        <f t="shared" si="18"/>
        <v>0.2826007991</v>
      </c>
      <c r="I6500" s="78" t="s">
        <v>7440</v>
      </c>
      <c r="J6500" s="78" t="s">
        <v>69</v>
      </c>
      <c r="K6500" s="58">
        <f t="shared" si="17"/>
        <v>0</v>
      </c>
      <c r="L6500" s="91" t="str">
        <f t="shared" si="8"/>
        <v>Sun</v>
      </c>
      <c r="M6500" s="78" t="str">
        <f>IFERROR(VLOOKUP(A6500, Entries!A:B,2,false),"")</f>
        <v>Nacon</v>
      </c>
      <c r="N6500" s="23" t="str">
        <f>IFERROR(VLOOKUP(A6500, Entries!A:K,11,false),"")</f>
        <v/>
      </c>
    </row>
    <row r="6501">
      <c r="A6501" s="78" t="s">
        <v>7426</v>
      </c>
      <c r="B6501" s="78" t="s">
        <v>22</v>
      </c>
      <c r="C6501" s="85">
        <v>45550.0</v>
      </c>
      <c r="D6501" s="85">
        <v>45550.0</v>
      </c>
      <c r="E6501" s="86">
        <v>19.75</v>
      </c>
      <c r="F6501" s="87">
        <v>27.49</v>
      </c>
      <c r="G6501" s="88">
        <f t="shared" si="1"/>
        <v>7.74</v>
      </c>
      <c r="H6501" s="89">
        <f t="shared" si="18"/>
        <v>0.2815569298</v>
      </c>
      <c r="I6501" s="78" t="s">
        <v>7441</v>
      </c>
      <c r="J6501" s="78" t="s">
        <v>69</v>
      </c>
      <c r="K6501" s="58">
        <f t="shared" si="17"/>
        <v>0</v>
      </c>
      <c r="L6501" s="91" t="str">
        <f t="shared" si="8"/>
        <v>Sun</v>
      </c>
      <c r="M6501" s="78" t="str">
        <f>IFERROR(VLOOKUP(A6501, Entries!A:B,2,false),"")</f>
        <v>Nacon</v>
      </c>
      <c r="N6501" s="23" t="str">
        <f>IFERROR(VLOOKUP(A6501, Entries!A:K,11,false),"")</f>
        <v/>
      </c>
    </row>
    <row r="6502">
      <c r="A6502" s="78" t="s">
        <v>7426</v>
      </c>
      <c r="B6502" s="78" t="s">
        <v>22</v>
      </c>
      <c r="C6502" s="85">
        <v>45550.0</v>
      </c>
      <c r="D6502" s="85">
        <v>45550.0</v>
      </c>
      <c r="E6502" s="86">
        <v>19.75</v>
      </c>
      <c r="F6502" s="87">
        <v>27.49</v>
      </c>
      <c r="G6502" s="88">
        <f t="shared" si="1"/>
        <v>7.74</v>
      </c>
      <c r="H6502" s="89">
        <f t="shared" si="18"/>
        <v>0.2815569298</v>
      </c>
      <c r="I6502" s="78" t="s">
        <v>7442</v>
      </c>
      <c r="J6502" s="78" t="s">
        <v>69</v>
      </c>
      <c r="K6502" s="58">
        <f t="shared" si="17"/>
        <v>0</v>
      </c>
      <c r="L6502" s="91" t="str">
        <f t="shared" si="8"/>
        <v>Sun</v>
      </c>
      <c r="M6502" s="78" t="str">
        <f>IFERROR(VLOOKUP(A6502, Entries!A:B,2,false),"")</f>
        <v>Nacon</v>
      </c>
      <c r="N6502" s="23" t="str">
        <f>IFERROR(VLOOKUP(A6502, Entries!A:K,11,false),"")</f>
        <v/>
      </c>
    </row>
    <row r="6503">
      <c r="A6503" s="78" t="s">
        <v>7426</v>
      </c>
      <c r="B6503" s="78" t="s">
        <v>22</v>
      </c>
      <c r="C6503" s="85">
        <v>45550.0</v>
      </c>
      <c r="D6503" s="85">
        <v>45550.0</v>
      </c>
      <c r="E6503" s="86">
        <v>19.75</v>
      </c>
      <c r="F6503" s="87">
        <v>27.47</v>
      </c>
      <c r="G6503" s="88">
        <f t="shared" si="1"/>
        <v>7.72</v>
      </c>
      <c r="H6503" s="89">
        <f t="shared" si="18"/>
        <v>0.2810338551</v>
      </c>
      <c r="I6503" s="78" t="s">
        <v>7443</v>
      </c>
      <c r="J6503" s="78" t="s">
        <v>69</v>
      </c>
      <c r="K6503" s="58">
        <f t="shared" si="17"/>
        <v>0</v>
      </c>
      <c r="L6503" s="91" t="str">
        <f t="shared" si="8"/>
        <v>Sun</v>
      </c>
      <c r="M6503" s="78" t="str">
        <f>IFERROR(VLOOKUP(A6503, Entries!A:B,2,false),"")</f>
        <v>Nacon</v>
      </c>
      <c r="N6503" s="23" t="str">
        <f>IFERROR(VLOOKUP(A6503, Entries!A:K,11,false),"")</f>
        <v/>
      </c>
    </row>
    <row r="6504">
      <c r="A6504" s="78" t="s">
        <v>7426</v>
      </c>
      <c r="B6504" s="78" t="s">
        <v>22</v>
      </c>
      <c r="C6504" s="85">
        <v>45550.0</v>
      </c>
      <c r="D6504" s="85">
        <v>45550.0</v>
      </c>
      <c r="E6504" s="86">
        <v>19.75</v>
      </c>
      <c r="F6504" s="87">
        <v>27.47</v>
      </c>
      <c r="G6504" s="88">
        <f t="shared" si="1"/>
        <v>7.72</v>
      </c>
      <c r="H6504" s="89">
        <f t="shared" si="18"/>
        <v>0.2810338551</v>
      </c>
      <c r="I6504" s="78" t="s">
        <v>7444</v>
      </c>
      <c r="J6504" s="78" t="s">
        <v>69</v>
      </c>
      <c r="K6504" s="58">
        <f t="shared" si="17"/>
        <v>0</v>
      </c>
      <c r="L6504" s="91" t="str">
        <f t="shared" si="8"/>
        <v>Sun</v>
      </c>
      <c r="M6504" s="78" t="str">
        <f>IFERROR(VLOOKUP(A6504, Entries!A:B,2,false),"")</f>
        <v>Nacon</v>
      </c>
      <c r="N6504" s="23" t="str">
        <f>IFERROR(VLOOKUP(A6504, Entries!A:K,11,false),"")</f>
        <v/>
      </c>
    </row>
    <row r="6505">
      <c r="A6505" s="78" t="s">
        <v>7426</v>
      </c>
      <c r="B6505" s="78" t="s">
        <v>22</v>
      </c>
      <c r="C6505" s="85">
        <v>45550.0</v>
      </c>
      <c r="D6505" s="85">
        <v>45550.0</v>
      </c>
      <c r="E6505" s="86">
        <v>19.75</v>
      </c>
      <c r="F6505" s="87">
        <v>27.47</v>
      </c>
      <c r="G6505" s="88">
        <f t="shared" si="1"/>
        <v>7.72</v>
      </c>
      <c r="H6505" s="89">
        <f t="shared" si="18"/>
        <v>0.2810338551</v>
      </c>
      <c r="I6505" s="78" t="s">
        <v>7445</v>
      </c>
      <c r="J6505" s="78" t="s">
        <v>69</v>
      </c>
      <c r="K6505" s="58">
        <f t="shared" si="17"/>
        <v>0</v>
      </c>
      <c r="L6505" s="91" t="str">
        <f t="shared" si="8"/>
        <v>Sun</v>
      </c>
      <c r="M6505" s="78" t="str">
        <f>IFERROR(VLOOKUP(A6505, Entries!A:B,2,false),"")</f>
        <v>Nacon</v>
      </c>
      <c r="N6505" s="23" t="str">
        <f>IFERROR(VLOOKUP(A6505, Entries!A:K,11,false),"")</f>
        <v/>
      </c>
    </row>
    <row r="6506">
      <c r="A6506" s="78" t="s">
        <v>7426</v>
      </c>
      <c r="B6506" s="78" t="s">
        <v>22</v>
      </c>
      <c r="C6506" s="85">
        <v>45550.0</v>
      </c>
      <c r="D6506" s="85">
        <v>45550.0</v>
      </c>
      <c r="E6506" s="86">
        <v>19.75</v>
      </c>
      <c r="F6506" s="87">
        <v>27.47</v>
      </c>
      <c r="G6506" s="88">
        <f t="shared" si="1"/>
        <v>7.72</v>
      </c>
      <c r="H6506" s="89">
        <f t="shared" si="18"/>
        <v>0.2810338551</v>
      </c>
      <c r="I6506" s="78" t="s">
        <v>7446</v>
      </c>
      <c r="J6506" s="78" t="s">
        <v>69</v>
      </c>
      <c r="K6506" s="58">
        <f t="shared" si="17"/>
        <v>0</v>
      </c>
      <c r="L6506" s="91" t="str">
        <f t="shared" si="8"/>
        <v>Sun</v>
      </c>
      <c r="M6506" s="78" t="str">
        <f>IFERROR(VLOOKUP(A6506, Entries!A:B,2,false),"")</f>
        <v>Nacon</v>
      </c>
      <c r="N6506" s="23" t="str">
        <f>IFERROR(VLOOKUP(A6506, Entries!A:K,11,false),"")</f>
        <v/>
      </c>
    </row>
    <row r="6507">
      <c r="A6507" s="78" t="s">
        <v>7426</v>
      </c>
      <c r="B6507" s="78" t="s">
        <v>22</v>
      </c>
      <c r="C6507" s="85">
        <v>45550.0</v>
      </c>
      <c r="D6507" s="85">
        <v>45550.0</v>
      </c>
      <c r="E6507" s="86">
        <v>19.75</v>
      </c>
      <c r="F6507" s="87">
        <v>27.47</v>
      </c>
      <c r="G6507" s="88">
        <f t="shared" si="1"/>
        <v>7.72</v>
      </c>
      <c r="H6507" s="89">
        <f t="shared" si="18"/>
        <v>0.2810338551</v>
      </c>
      <c r="I6507" s="78" t="s">
        <v>7447</v>
      </c>
      <c r="J6507" s="78" t="s">
        <v>69</v>
      </c>
      <c r="K6507" s="58">
        <f t="shared" si="17"/>
        <v>0</v>
      </c>
      <c r="L6507" s="91" t="str">
        <f t="shared" si="8"/>
        <v>Sun</v>
      </c>
      <c r="M6507" s="78" t="str">
        <f>IFERROR(VLOOKUP(A6507, Entries!A:B,2,false),"")</f>
        <v>Nacon</v>
      </c>
      <c r="N6507" s="23" t="str">
        <f>IFERROR(VLOOKUP(A6507, Entries!A:K,11,false),"")</f>
        <v/>
      </c>
    </row>
    <row r="6508">
      <c r="A6508" s="78" t="s">
        <v>7426</v>
      </c>
      <c r="B6508" s="78" t="s">
        <v>22</v>
      </c>
      <c r="C6508" s="85">
        <v>45550.0</v>
      </c>
      <c r="D6508" s="85">
        <v>45550.0</v>
      </c>
      <c r="E6508" s="86">
        <v>19.75</v>
      </c>
      <c r="F6508" s="87">
        <v>27.47</v>
      </c>
      <c r="G6508" s="88">
        <f t="shared" si="1"/>
        <v>7.72</v>
      </c>
      <c r="H6508" s="89">
        <f t="shared" si="18"/>
        <v>0.2810338551</v>
      </c>
      <c r="I6508" s="78" t="s">
        <v>7448</v>
      </c>
      <c r="J6508" s="78" t="s">
        <v>69</v>
      </c>
      <c r="K6508" s="58">
        <f t="shared" si="17"/>
        <v>0</v>
      </c>
      <c r="L6508" s="91" t="str">
        <f t="shared" si="8"/>
        <v>Sun</v>
      </c>
      <c r="M6508" s="78" t="str">
        <f>IFERROR(VLOOKUP(A6508, Entries!A:B,2,false),"")</f>
        <v>Nacon</v>
      </c>
      <c r="N6508" s="23" t="str">
        <f>IFERROR(VLOOKUP(A6508, Entries!A:K,11,false),"")</f>
        <v/>
      </c>
    </row>
    <row r="6509">
      <c r="A6509" s="78" t="s">
        <v>7426</v>
      </c>
      <c r="B6509" s="78" t="s">
        <v>22</v>
      </c>
      <c r="C6509" s="85">
        <v>45550.0</v>
      </c>
      <c r="D6509" s="85">
        <v>45550.0</v>
      </c>
      <c r="E6509" s="86">
        <v>19.75</v>
      </c>
      <c r="F6509" s="87">
        <v>27.47</v>
      </c>
      <c r="G6509" s="88">
        <f t="shared" si="1"/>
        <v>7.72</v>
      </c>
      <c r="H6509" s="89">
        <f t="shared" si="18"/>
        <v>0.2810338551</v>
      </c>
      <c r="I6509" s="78" t="s">
        <v>7449</v>
      </c>
      <c r="J6509" s="78" t="s">
        <v>69</v>
      </c>
      <c r="K6509" s="58">
        <f t="shared" si="17"/>
        <v>0</v>
      </c>
      <c r="L6509" s="91" t="str">
        <f t="shared" si="8"/>
        <v>Sun</v>
      </c>
      <c r="M6509" s="78" t="str">
        <f>IFERROR(VLOOKUP(A6509, Entries!A:B,2,false),"")</f>
        <v>Nacon</v>
      </c>
      <c r="N6509" s="23" t="str">
        <f>IFERROR(VLOOKUP(A6509, Entries!A:K,11,false),"")</f>
        <v/>
      </c>
    </row>
    <row r="6510">
      <c r="A6510" s="78" t="s">
        <v>7426</v>
      </c>
      <c r="B6510" s="78" t="s">
        <v>22</v>
      </c>
      <c r="C6510" s="85">
        <v>45550.0</v>
      </c>
      <c r="D6510" s="85">
        <v>45550.0</v>
      </c>
      <c r="E6510" s="86">
        <v>19.75</v>
      </c>
      <c r="F6510" s="87">
        <v>27.47</v>
      </c>
      <c r="G6510" s="88">
        <f t="shared" si="1"/>
        <v>7.72</v>
      </c>
      <c r="H6510" s="89">
        <f t="shared" si="18"/>
        <v>0.2810338551</v>
      </c>
      <c r="I6510" s="78" t="s">
        <v>7450</v>
      </c>
      <c r="J6510" s="78" t="s">
        <v>69</v>
      </c>
      <c r="K6510" s="58">
        <f t="shared" si="17"/>
        <v>0</v>
      </c>
      <c r="L6510" s="91" t="str">
        <f t="shared" si="8"/>
        <v>Sun</v>
      </c>
      <c r="M6510" s="78" t="str">
        <f>IFERROR(VLOOKUP(A6510, Entries!A:B,2,false),"")</f>
        <v>Nacon</v>
      </c>
      <c r="N6510" s="23" t="str">
        <f>IFERROR(VLOOKUP(A6510, Entries!A:K,11,false),"")</f>
        <v/>
      </c>
    </row>
    <row r="6511">
      <c r="A6511" s="78" t="s">
        <v>7426</v>
      </c>
      <c r="B6511" s="78" t="s">
        <v>22</v>
      </c>
      <c r="C6511" s="85">
        <v>45550.0</v>
      </c>
      <c r="D6511" s="85">
        <v>45550.0</v>
      </c>
      <c r="E6511" s="86">
        <v>19.75</v>
      </c>
      <c r="F6511" s="87">
        <v>27.99</v>
      </c>
      <c r="G6511" s="88">
        <f t="shared" si="1"/>
        <v>8.24</v>
      </c>
      <c r="H6511" s="89">
        <f t="shared" si="18"/>
        <v>0.2943908539</v>
      </c>
      <c r="I6511" s="78" t="s">
        <v>7451</v>
      </c>
      <c r="J6511" s="78" t="s">
        <v>69</v>
      </c>
      <c r="K6511" s="58">
        <f t="shared" si="17"/>
        <v>0</v>
      </c>
      <c r="L6511" s="91" t="str">
        <f t="shared" si="8"/>
        <v>Sun</v>
      </c>
      <c r="M6511" s="78" t="str">
        <f>IFERROR(VLOOKUP(A6511, Entries!A:B,2,false),"")</f>
        <v>Nacon</v>
      </c>
      <c r="N6511" s="23" t="str">
        <f>IFERROR(VLOOKUP(A6511, Entries!A:K,11,false),"")</f>
        <v/>
      </c>
    </row>
    <row r="6512">
      <c r="A6512" s="78" t="s">
        <v>7426</v>
      </c>
      <c r="B6512" s="78" t="s">
        <v>22</v>
      </c>
      <c r="C6512" s="85">
        <v>45550.0</v>
      </c>
      <c r="D6512" s="85">
        <v>45550.0</v>
      </c>
      <c r="E6512" s="86">
        <v>19.75</v>
      </c>
      <c r="F6512" s="87">
        <v>27.59</v>
      </c>
      <c r="G6512" s="88">
        <f t="shared" si="1"/>
        <v>7.84</v>
      </c>
      <c r="H6512" s="89">
        <f t="shared" si="18"/>
        <v>0.2841609279</v>
      </c>
      <c r="I6512" s="78" t="s">
        <v>7452</v>
      </c>
      <c r="J6512" s="78" t="s">
        <v>69</v>
      </c>
      <c r="K6512" s="58">
        <f t="shared" si="17"/>
        <v>0</v>
      </c>
      <c r="L6512" s="91" t="str">
        <f t="shared" si="8"/>
        <v>Sun</v>
      </c>
      <c r="M6512" s="78" t="str">
        <f>IFERROR(VLOOKUP(A6512, Entries!A:B,2,false),"")</f>
        <v>Nacon</v>
      </c>
      <c r="N6512" s="23" t="str">
        <f>IFERROR(VLOOKUP(A6512, Entries!A:K,11,false),"")</f>
        <v/>
      </c>
    </row>
    <row r="6513">
      <c r="A6513" s="78" t="s">
        <v>7426</v>
      </c>
      <c r="B6513" s="78" t="s">
        <v>22</v>
      </c>
      <c r="C6513" s="85">
        <v>45550.0</v>
      </c>
      <c r="D6513" s="85">
        <v>45550.0</v>
      </c>
      <c r="E6513" s="86">
        <v>19.75</v>
      </c>
      <c r="F6513" s="87">
        <v>27.59</v>
      </c>
      <c r="G6513" s="88">
        <f t="shared" si="1"/>
        <v>7.84</v>
      </c>
      <c r="H6513" s="89">
        <f t="shared" si="18"/>
        <v>0.2841609279</v>
      </c>
      <c r="I6513" s="78" t="s">
        <v>7453</v>
      </c>
      <c r="J6513" s="78" t="s">
        <v>69</v>
      </c>
      <c r="K6513" s="58">
        <f t="shared" si="17"/>
        <v>0</v>
      </c>
      <c r="L6513" s="91" t="str">
        <f t="shared" si="8"/>
        <v>Sun</v>
      </c>
      <c r="M6513" s="78" t="str">
        <f>IFERROR(VLOOKUP(A6513, Entries!A:B,2,false),"")</f>
        <v>Nacon</v>
      </c>
      <c r="N6513" s="23" t="str">
        <f>IFERROR(VLOOKUP(A6513, Entries!A:K,11,false),"")</f>
        <v/>
      </c>
    </row>
    <row r="6514">
      <c r="A6514" s="78" t="s">
        <v>7426</v>
      </c>
      <c r="B6514" s="78" t="s">
        <v>22</v>
      </c>
      <c r="C6514" s="85">
        <v>45550.0</v>
      </c>
      <c r="D6514" s="85">
        <v>45554.0</v>
      </c>
      <c r="E6514" s="86">
        <v>19.75</v>
      </c>
      <c r="F6514" s="87">
        <v>27.62</v>
      </c>
      <c r="G6514" s="88">
        <f t="shared" si="1"/>
        <v>7.87</v>
      </c>
      <c r="H6514" s="89">
        <f t="shared" si="18"/>
        <v>0.2849384504</v>
      </c>
      <c r="I6514" s="78" t="s">
        <v>7454</v>
      </c>
      <c r="J6514" s="78" t="s">
        <v>69</v>
      </c>
      <c r="K6514" s="58">
        <f t="shared" si="17"/>
        <v>4</v>
      </c>
      <c r="L6514" s="91" t="str">
        <f t="shared" si="8"/>
        <v>Thu</v>
      </c>
      <c r="M6514" s="78" t="str">
        <f>IFERROR(VLOOKUP(A6514, Entries!A:B,2,false),"")</f>
        <v>Nacon</v>
      </c>
      <c r="N6514" s="23" t="str">
        <f>IFERROR(VLOOKUP(A6514, Entries!A:K,11,false),"")</f>
        <v/>
      </c>
    </row>
    <row r="6515">
      <c r="A6515" s="78" t="s">
        <v>7426</v>
      </c>
      <c r="B6515" s="78" t="s">
        <v>22</v>
      </c>
      <c r="C6515" s="85">
        <v>45553.0</v>
      </c>
      <c r="D6515" s="85">
        <v>45553.0</v>
      </c>
      <c r="E6515" s="86">
        <v>19.68</v>
      </c>
      <c r="F6515" s="87">
        <v>27.62</v>
      </c>
      <c r="G6515" s="88">
        <f t="shared" si="1"/>
        <v>7.94</v>
      </c>
      <c r="H6515" s="89">
        <f t="shared" si="18"/>
        <v>0.2874728458</v>
      </c>
      <c r="I6515" s="78" t="s">
        <v>7455</v>
      </c>
      <c r="J6515" s="78" t="s">
        <v>69</v>
      </c>
      <c r="K6515" s="58">
        <f t="shared" si="17"/>
        <v>0</v>
      </c>
      <c r="L6515" s="91" t="str">
        <f t="shared" si="8"/>
        <v>Wed</v>
      </c>
      <c r="M6515" s="78" t="str">
        <f>IFERROR(VLOOKUP(A6515, Entries!A:B,2,false),"")</f>
        <v>Nacon</v>
      </c>
      <c r="N6515" s="23" t="str">
        <f>IFERROR(VLOOKUP(A6515, Entries!A:K,11,false),"")</f>
        <v/>
      </c>
    </row>
    <row r="6516">
      <c r="A6516" s="78" t="s">
        <v>7426</v>
      </c>
      <c r="B6516" s="78" t="s">
        <v>22</v>
      </c>
      <c r="C6516" s="85">
        <v>45554.0</v>
      </c>
      <c r="D6516" s="85">
        <v>45554.0</v>
      </c>
      <c r="E6516" s="86">
        <v>19.71</v>
      </c>
      <c r="F6516" s="87">
        <v>26.62</v>
      </c>
      <c r="G6516" s="88">
        <f t="shared" si="1"/>
        <v>6.91</v>
      </c>
      <c r="H6516" s="89">
        <f t="shared" si="18"/>
        <v>0.2595792637</v>
      </c>
      <c r="I6516" s="78" t="s">
        <v>7456</v>
      </c>
      <c r="J6516" s="78" t="s">
        <v>69</v>
      </c>
      <c r="K6516" s="58">
        <f t="shared" si="17"/>
        <v>0</v>
      </c>
      <c r="L6516" s="91" t="str">
        <f t="shared" si="8"/>
        <v>Thu</v>
      </c>
      <c r="M6516" s="78" t="str">
        <f>IFERROR(VLOOKUP(A6516, Entries!A:B,2,false),"")</f>
        <v>Nacon</v>
      </c>
      <c r="N6516" s="23" t="str">
        <f>IFERROR(VLOOKUP(A6516, Entries!A:K,11,false),"")</f>
        <v/>
      </c>
    </row>
    <row r="6517">
      <c r="A6517" s="78" t="s">
        <v>4928</v>
      </c>
      <c r="B6517" s="78" t="s">
        <v>19</v>
      </c>
      <c r="C6517" s="85">
        <v>45554.0</v>
      </c>
      <c r="D6517" s="85">
        <v>45556.0</v>
      </c>
      <c r="E6517" s="86">
        <v>26.28</v>
      </c>
      <c r="F6517" s="87">
        <v>30.99</v>
      </c>
      <c r="G6517" s="88">
        <f t="shared" si="1"/>
        <v>4.71</v>
      </c>
      <c r="H6517" s="89">
        <f t="shared" si="18"/>
        <v>0.1519845111</v>
      </c>
      <c r="I6517" s="78" t="s">
        <v>7457</v>
      </c>
      <c r="J6517" s="78" t="s">
        <v>69</v>
      </c>
      <c r="K6517" s="58">
        <f t="shared" si="17"/>
        <v>2</v>
      </c>
      <c r="L6517" s="91" t="str">
        <f t="shared" si="8"/>
        <v>Sat</v>
      </c>
      <c r="M6517" s="78" t="str">
        <f>IFERROR(VLOOKUP(A6517, Entries!A:B,2,false),"")</f>
        <v>Eleventh Hour Games</v>
      </c>
      <c r="N6517" s="23" t="str">
        <f>IFERROR(VLOOKUP(A6517, Entries!A:K,11,false),"")</f>
        <v/>
      </c>
    </row>
    <row r="6518">
      <c r="A6518" s="78" t="s">
        <v>7257</v>
      </c>
      <c r="B6518" s="78" t="s">
        <v>18</v>
      </c>
      <c r="C6518" s="85">
        <v>45554.0</v>
      </c>
      <c r="D6518" s="85">
        <v>45554.0</v>
      </c>
      <c r="E6518" s="86">
        <v>28.61</v>
      </c>
      <c r="F6518" s="87">
        <v>34.24</v>
      </c>
      <c r="G6518" s="88">
        <f t="shared" si="1"/>
        <v>5.63</v>
      </c>
      <c r="H6518" s="89">
        <f t="shared" si="18"/>
        <v>0.1644275701</v>
      </c>
      <c r="I6518" s="78" t="s">
        <v>7458</v>
      </c>
      <c r="J6518" s="78" t="s">
        <v>69</v>
      </c>
      <c r="K6518" s="58">
        <f t="shared" si="17"/>
        <v>0</v>
      </c>
      <c r="L6518" s="91" t="str">
        <f t="shared" si="8"/>
        <v>Thu</v>
      </c>
      <c r="M6518" s="78" t="str">
        <f>IFERROR(VLOOKUP(A6518, Entries!A:B,2,false),"")</f>
        <v>Electronic Arts</v>
      </c>
      <c r="N6518" s="23" t="str">
        <f>IFERROR(VLOOKUP(A6518, Entries!A:K,11,false),"")</f>
        <v/>
      </c>
    </row>
    <row r="6519">
      <c r="A6519" s="78" t="s">
        <v>7257</v>
      </c>
      <c r="B6519" s="78" t="s">
        <v>18</v>
      </c>
      <c r="C6519" s="85">
        <v>45554.0</v>
      </c>
      <c r="D6519" s="85">
        <v>45564.0</v>
      </c>
      <c r="E6519" s="86">
        <v>28.62</v>
      </c>
      <c r="F6519" s="87">
        <v>37.04</v>
      </c>
      <c r="G6519" s="88">
        <f t="shared" si="1"/>
        <v>8.42</v>
      </c>
      <c r="H6519" s="89">
        <f t="shared" si="18"/>
        <v>0.2273218143</v>
      </c>
      <c r="I6519" s="78" t="s">
        <v>7459</v>
      </c>
      <c r="J6519" s="78" t="s">
        <v>69</v>
      </c>
      <c r="K6519" s="58">
        <f t="shared" si="17"/>
        <v>10</v>
      </c>
      <c r="L6519" s="91" t="str">
        <f t="shared" si="8"/>
        <v>Sun</v>
      </c>
      <c r="M6519" s="78" t="str">
        <f>IFERROR(VLOOKUP(A6519, Entries!A:B,2,false),"")</f>
        <v>Electronic Arts</v>
      </c>
      <c r="N6519" s="23" t="str">
        <f>IFERROR(VLOOKUP(A6519, Entries!A:K,11,false),"")</f>
        <v/>
      </c>
    </row>
    <row r="6520">
      <c r="A6520" s="78" t="s">
        <v>7394</v>
      </c>
      <c r="B6520" s="78" t="s">
        <v>25</v>
      </c>
      <c r="C6520" s="85">
        <v>45554.0</v>
      </c>
      <c r="D6520" s="85">
        <v>45559.0</v>
      </c>
      <c r="E6520" s="86">
        <v>27.97</v>
      </c>
      <c r="F6520" s="87">
        <v>35.86</v>
      </c>
      <c r="G6520" s="88">
        <f t="shared" si="1"/>
        <v>7.89</v>
      </c>
      <c r="H6520" s="89">
        <f t="shared" si="18"/>
        <v>0.220022309</v>
      </c>
      <c r="I6520" s="78" t="s">
        <v>7460</v>
      </c>
      <c r="J6520" s="78" t="s">
        <v>69</v>
      </c>
      <c r="K6520" s="58">
        <f t="shared" si="17"/>
        <v>5</v>
      </c>
      <c r="L6520" s="91" t="str">
        <f t="shared" si="8"/>
        <v>Tue</v>
      </c>
      <c r="M6520" s="78" t="str">
        <f>IFERROR(VLOOKUP(A6520, Entries!A:B,2,false),"")</f>
        <v/>
      </c>
      <c r="N6520" s="23" t="str">
        <f>IFERROR(VLOOKUP(A6520, Entries!A:K,11,false),"")</f>
        <v/>
      </c>
    </row>
    <row r="6521">
      <c r="A6521" s="78" t="s">
        <v>7461</v>
      </c>
      <c r="B6521" s="78" t="s">
        <v>21</v>
      </c>
      <c r="C6521" s="85">
        <v>45554.0</v>
      </c>
      <c r="D6521" s="85">
        <v>45555.0</v>
      </c>
      <c r="E6521" s="86">
        <v>23.03</v>
      </c>
      <c r="F6521" s="87">
        <v>25.32</v>
      </c>
      <c r="G6521" s="88">
        <f t="shared" si="1"/>
        <v>2.29</v>
      </c>
      <c r="H6521" s="89">
        <f t="shared" si="18"/>
        <v>0.09044233807</v>
      </c>
      <c r="I6521" s="78" t="s">
        <v>7462</v>
      </c>
      <c r="J6521" s="78" t="s">
        <v>69</v>
      </c>
      <c r="K6521" s="58">
        <f t="shared" si="17"/>
        <v>1</v>
      </c>
      <c r="L6521" s="91" t="str">
        <f t="shared" si="8"/>
        <v>Fri</v>
      </c>
      <c r="M6521" s="78" t="str">
        <f>IFERROR(VLOOKUP(A6521, Entries!A:B,2,false),"")</f>
        <v/>
      </c>
      <c r="N6521" s="23" t="str">
        <f>IFERROR(VLOOKUP(A6521, Entries!A:K,11,false),"")</f>
        <v/>
      </c>
    </row>
    <row r="6522">
      <c r="A6522" s="78" t="s">
        <v>7426</v>
      </c>
      <c r="B6522" s="78" t="s">
        <v>22</v>
      </c>
      <c r="C6522" s="85">
        <v>45554.0</v>
      </c>
      <c r="D6522" s="85">
        <v>45555.0</v>
      </c>
      <c r="E6522" s="86">
        <v>19.71</v>
      </c>
      <c r="F6522" s="87">
        <v>26.51</v>
      </c>
      <c r="G6522" s="88">
        <f t="shared" si="1"/>
        <v>6.8</v>
      </c>
      <c r="H6522" s="89">
        <f t="shared" si="18"/>
        <v>0.2565069785</v>
      </c>
      <c r="I6522" s="78" t="s">
        <v>7463</v>
      </c>
      <c r="J6522" s="78" t="s">
        <v>69</v>
      </c>
      <c r="K6522" s="58">
        <f t="shared" si="17"/>
        <v>1</v>
      </c>
      <c r="L6522" s="91" t="str">
        <f t="shared" si="8"/>
        <v>Fri</v>
      </c>
      <c r="M6522" s="78" t="str">
        <f>IFERROR(VLOOKUP(A6522, Entries!A:B,2,false),"")</f>
        <v>Nacon</v>
      </c>
      <c r="N6522" s="23" t="str">
        <f>IFERROR(VLOOKUP(A6522, Entries!A:K,11,false),"")</f>
        <v/>
      </c>
    </row>
    <row r="6523">
      <c r="A6523" s="78" t="s">
        <v>7092</v>
      </c>
      <c r="B6523" s="78" t="s">
        <v>23</v>
      </c>
      <c r="C6523" s="85">
        <v>45554.0</v>
      </c>
      <c r="D6523" s="85">
        <v>45564.0</v>
      </c>
      <c r="E6523" s="86">
        <v>8.44</v>
      </c>
      <c r="F6523" s="87">
        <v>10.46</v>
      </c>
      <c r="G6523" s="88">
        <f t="shared" si="1"/>
        <v>2.02</v>
      </c>
      <c r="H6523" s="89">
        <f t="shared" si="18"/>
        <v>0.1931166348</v>
      </c>
      <c r="I6523" s="78" t="s">
        <v>7464</v>
      </c>
      <c r="J6523" s="78" t="s">
        <v>69</v>
      </c>
      <c r="K6523" s="58">
        <f t="shared" si="17"/>
        <v>10</v>
      </c>
      <c r="L6523" s="91" t="str">
        <f t="shared" si="8"/>
        <v>Sun</v>
      </c>
      <c r="M6523" s="78" t="str">
        <f>IFERROR(VLOOKUP(A6523, Entries!A:B,2,false),"")</f>
        <v>IO Interactive</v>
      </c>
      <c r="N6523" s="23" t="str">
        <f>IFERROR(VLOOKUP(A6523, Entries!A:K,11,false),"")</f>
        <v/>
      </c>
    </row>
    <row r="6524">
      <c r="A6524" s="78" t="s">
        <v>7257</v>
      </c>
      <c r="B6524" s="78" t="s">
        <v>18</v>
      </c>
      <c r="C6524" s="85">
        <v>45555.0</v>
      </c>
      <c r="D6524" s="85">
        <v>45567.0</v>
      </c>
      <c r="E6524" s="86">
        <v>28.61</v>
      </c>
      <c r="F6524" s="87">
        <v>37.0</v>
      </c>
      <c r="G6524" s="88">
        <f t="shared" si="1"/>
        <v>8.39</v>
      </c>
      <c r="H6524" s="89">
        <f t="shared" si="18"/>
        <v>0.2267567568</v>
      </c>
      <c r="I6524" s="78" t="s">
        <v>7465</v>
      </c>
      <c r="J6524" s="78" t="s">
        <v>69</v>
      </c>
      <c r="K6524" s="58">
        <f t="shared" si="17"/>
        <v>12</v>
      </c>
      <c r="L6524" s="91" t="str">
        <f t="shared" si="8"/>
        <v>Wed</v>
      </c>
      <c r="M6524" s="78" t="str">
        <f>IFERROR(VLOOKUP(A6524, Entries!A:B,2,false),"")</f>
        <v>Electronic Arts</v>
      </c>
      <c r="N6524" s="23" t="str">
        <f>IFERROR(VLOOKUP(A6524, Entries!A:K,11,false),"")</f>
        <v/>
      </c>
    </row>
    <row r="6525">
      <c r="A6525" s="78" t="s">
        <v>7257</v>
      </c>
      <c r="B6525" s="78" t="s">
        <v>18</v>
      </c>
      <c r="C6525" s="85">
        <v>45555.0</v>
      </c>
      <c r="D6525" s="85">
        <v>45576.0</v>
      </c>
      <c r="E6525" s="86">
        <v>28.62</v>
      </c>
      <c r="F6525" s="87">
        <v>40.4</v>
      </c>
      <c r="G6525" s="88">
        <f t="shared" si="1"/>
        <v>11.78</v>
      </c>
      <c r="H6525" s="89">
        <f t="shared" si="18"/>
        <v>0.2915841584</v>
      </c>
      <c r="I6525" s="78" t="s">
        <v>7466</v>
      </c>
      <c r="J6525" s="78" t="s">
        <v>69</v>
      </c>
      <c r="K6525" s="58">
        <f t="shared" si="17"/>
        <v>21</v>
      </c>
      <c r="L6525" s="91" t="str">
        <f t="shared" si="8"/>
        <v>Fri</v>
      </c>
      <c r="M6525" s="78" t="str">
        <f>IFERROR(VLOOKUP(A6525, Entries!A:B,2,false),"")</f>
        <v>Electronic Arts</v>
      </c>
      <c r="N6525" s="23" t="str">
        <f>IFERROR(VLOOKUP(A6525, Entries!A:K,11,false),"")</f>
        <v/>
      </c>
    </row>
    <row r="6526">
      <c r="A6526" s="78" t="s">
        <v>7426</v>
      </c>
      <c r="B6526" s="78" t="s">
        <v>22</v>
      </c>
      <c r="C6526" s="85">
        <v>45555.0</v>
      </c>
      <c r="D6526" s="85">
        <v>45555.0</v>
      </c>
      <c r="E6526" s="86">
        <v>19.76</v>
      </c>
      <c r="F6526" s="87">
        <v>26.51</v>
      </c>
      <c r="G6526" s="88">
        <f t="shared" si="1"/>
        <v>6.75</v>
      </c>
      <c r="H6526" s="89">
        <f t="shared" si="18"/>
        <v>0.2546208978</v>
      </c>
      <c r="I6526" s="78" t="s">
        <v>7467</v>
      </c>
      <c r="J6526" s="78" t="s">
        <v>69</v>
      </c>
      <c r="K6526" s="58">
        <f t="shared" si="17"/>
        <v>0</v>
      </c>
      <c r="L6526" s="91" t="str">
        <f t="shared" si="8"/>
        <v>Fri</v>
      </c>
      <c r="M6526" s="78" t="str">
        <f>IFERROR(VLOOKUP(A6526, Entries!A:B,2,false),"")</f>
        <v>Nacon</v>
      </c>
      <c r="N6526" s="23" t="str">
        <f>IFERROR(VLOOKUP(A6526, Entries!A:K,11,false),"")</f>
        <v/>
      </c>
    </row>
    <row r="6527">
      <c r="A6527" s="78" t="s">
        <v>7426</v>
      </c>
      <c r="B6527" s="78" t="s">
        <v>22</v>
      </c>
      <c r="C6527" s="85">
        <v>45555.0</v>
      </c>
      <c r="D6527" s="85">
        <v>45555.0</v>
      </c>
      <c r="E6527" s="86">
        <v>19.76</v>
      </c>
      <c r="F6527" s="87">
        <v>26.51</v>
      </c>
      <c r="G6527" s="88">
        <f t="shared" si="1"/>
        <v>6.75</v>
      </c>
      <c r="H6527" s="89">
        <f t="shared" si="18"/>
        <v>0.2546208978</v>
      </c>
      <c r="I6527" s="78" t="s">
        <v>7468</v>
      </c>
      <c r="J6527" s="78" t="s">
        <v>69</v>
      </c>
      <c r="K6527" s="58">
        <f t="shared" si="17"/>
        <v>0</v>
      </c>
      <c r="L6527" s="91" t="str">
        <f t="shared" si="8"/>
        <v>Fri</v>
      </c>
      <c r="M6527" s="78" t="str">
        <f>IFERROR(VLOOKUP(A6527, Entries!A:B,2,false),"")</f>
        <v>Nacon</v>
      </c>
      <c r="N6527" s="23" t="str">
        <f>IFERROR(VLOOKUP(A6527, Entries!A:K,11,false),"")</f>
        <v/>
      </c>
    </row>
    <row r="6528">
      <c r="A6528" s="78" t="s">
        <v>5676</v>
      </c>
      <c r="B6528" s="78" t="s">
        <v>21</v>
      </c>
      <c r="C6528" s="85">
        <v>45555.0</v>
      </c>
      <c r="D6528" s="85">
        <v>45555.0</v>
      </c>
      <c r="E6528" s="86">
        <v>36.63</v>
      </c>
      <c r="F6528" s="87">
        <v>43.9</v>
      </c>
      <c r="G6528" s="88">
        <f t="shared" si="1"/>
        <v>7.27</v>
      </c>
      <c r="H6528" s="89">
        <f t="shared" si="18"/>
        <v>0.1656036446</v>
      </c>
      <c r="I6528" s="78" t="s">
        <v>7469</v>
      </c>
      <c r="J6528" s="78" t="s">
        <v>69</v>
      </c>
      <c r="K6528" s="58">
        <f t="shared" si="17"/>
        <v>0</v>
      </c>
      <c r="L6528" s="91" t="str">
        <f t="shared" si="8"/>
        <v>Fri</v>
      </c>
      <c r="M6528" s="78" t="str">
        <f>IFERROR(VLOOKUP(A6528, Entries!A:B,2,false),"")</f>
        <v>Bethesda Softworks</v>
      </c>
      <c r="N6528" s="23" t="str">
        <f>IFERROR(VLOOKUP(A6528, Entries!A:K,11,false),"")</f>
        <v/>
      </c>
    </row>
    <row r="6529">
      <c r="A6529" s="78" t="s">
        <v>5676</v>
      </c>
      <c r="B6529" s="78" t="s">
        <v>21</v>
      </c>
      <c r="C6529" s="85">
        <v>45555.0</v>
      </c>
      <c r="D6529" s="85">
        <v>45556.0</v>
      </c>
      <c r="E6529" s="86">
        <v>36.63</v>
      </c>
      <c r="F6529" s="87">
        <v>43.95</v>
      </c>
      <c r="G6529" s="88">
        <f t="shared" si="1"/>
        <v>7.32</v>
      </c>
      <c r="H6529" s="89">
        <f t="shared" si="18"/>
        <v>0.166552901</v>
      </c>
      <c r="I6529" s="78" t="s">
        <v>7470</v>
      </c>
      <c r="J6529" s="78" t="s">
        <v>69</v>
      </c>
      <c r="K6529" s="58">
        <f t="shared" si="17"/>
        <v>1</v>
      </c>
      <c r="L6529" s="91" t="str">
        <f t="shared" si="8"/>
        <v>Sat</v>
      </c>
      <c r="M6529" s="78" t="str">
        <f>IFERROR(VLOOKUP(A6529, Entries!A:B,2,false),"")</f>
        <v>Bethesda Softworks</v>
      </c>
      <c r="N6529" s="23" t="str">
        <f>IFERROR(VLOOKUP(A6529, Entries!A:K,11,false),"")</f>
        <v/>
      </c>
    </row>
    <row r="6530">
      <c r="A6530" s="78" t="s">
        <v>5676</v>
      </c>
      <c r="B6530" s="78" t="s">
        <v>21</v>
      </c>
      <c r="C6530" s="85">
        <v>45555.0</v>
      </c>
      <c r="D6530" s="85">
        <v>45556.0</v>
      </c>
      <c r="E6530" s="86">
        <v>36.62</v>
      </c>
      <c r="F6530" s="87">
        <v>43.98</v>
      </c>
      <c r="G6530" s="88">
        <f t="shared" si="1"/>
        <v>7.36</v>
      </c>
      <c r="H6530" s="89">
        <f t="shared" si="18"/>
        <v>0.1673487949</v>
      </c>
      <c r="I6530" s="78" t="s">
        <v>7471</v>
      </c>
      <c r="J6530" s="78" t="s">
        <v>69</v>
      </c>
      <c r="K6530" s="58">
        <f t="shared" si="17"/>
        <v>1</v>
      </c>
      <c r="L6530" s="91" t="str">
        <f t="shared" si="8"/>
        <v>Sat</v>
      </c>
      <c r="M6530" s="78" t="str">
        <f>IFERROR(VLOOKUP(A6530, Entries!A:B,2,false),"")</f>
        <v>Bethesda Softworks</v>
      </c>
      <c r="N6530" s="23" t="str">
        <f>IFERROR(VLOOKUP(A6530, Entries!A:K,11,false),"")</f>
        <v/>
      </c>
    </row>
    <row r="6531">
      <c r="A6531" s="78" t="s">
        <v>7426</v>
      </c>
      <c r="B6531" s="78" t="s">
        <v>22</v>
      </c>
      <c r="C6531" s="85">
        <v>45555.0</v>
      </c>
      <c r="D6531" s="85">
        <v>45555.0</v>
      </c>
      <c r="E6531" s="86">
        <v>19.75</v>
      </c>
      <c r="F6531" s="87">
        <v>26.15</v>
      </c>
      <c r="G6531" s="88">
        <f t="shared" si="1"/>
        <v>6.4</v>
      </c>
      <c r="H6531" s="89">
        <f t="shared" si="18"/>
        <v>0.2447418738</v>
      </c>
      <c r="I6531" s="78" t="s">
        <v>7472</v>
      </c>
      <c r="J6531" s="78" t="s">
        <v>69</v>
      </c>
      <c r="K6531" s="58">
        <f t="shared" si="17"/>
        <v>0</v>
      </c>
      <c r="L6531" s="91" t="str">
        <f t="shared" si="8"/>
        <v>Fri</v>
      </c>
      <c r="M6531" s="78" t="str">
        <f>IFERROR(VLOOKUP(A6531, Entries!A:B,2,false),"")</f>
        <v>Nacon</v>
      </c>
      <c r="N6531" s="23" t="str">
        <f>IFERROR(VLOOKUP(A6531, Entries!A:K,11,false),"")</f>
        <v/>
      </c>
    </row>
    <row r="6532">
      <c r="A6532" s="78" t="s">
        <v>7426</v>
      </c>
      <c r="B6532" s="78" t="s">
        <v>22</v>
      </c>
      <c r="C6532" s="85">
        <v>45555.0</v>
      </c>
      <c r="D6532" s="85">
        <v>45555.0</v>
      </c>
      <c r="E6532" s="86">
        <v>19.76</v>
      </c>
      <c r="F6532" s="87">
        <v>25.67</v>
      </c>
      <c r="G6532" s="88">
        <f t="shared" si="1"/>
        <v>5.91</v>
      </c>
      <c r="H6532" s="89">
        <f t="shared" si="18"/>
        <v>0.2302298403</v>
      </c>
      <c r="I6532" s="78" t="s">
        <v>7473</v>
      </c>
      <c r="J6532" s="78" t="s">
        <v>69</v>
      </c>
      <c r="K6532" s="58">
        <f t="shared" si="17"/>
        <v>0</v>
      </c>
      <c r="L6532" s="91" t="str">
        <f t="shared" si="8"/>
        <v>Fri</v>
      </c>
      <c r="M6532" s="78" t="str">
        <f>IFERROR(VLOOKUP(A6532, Entries!A:B,2,false),"")</f>
        <v>Nacon</v>
      </c>
      <c r="N6532" s="23" t="str">
        <f>IFERROR(VLOOKUP(A6532, Entries!A:K,11,false),"")</f>
        <v/>
      </c>
    </row>
    <row r="6533">
      <c r="A6533" s="78" t="s">
        <v>7474</v>
      </c>
      <c r="B6533" s="78" t="s">
        <v>25</v>
      </c>
      <c r="C6533" s="85">
        <v>45555.0</v>
      </c>
      <c r="D6533" s="85">
        <v>45587.0</v>
      </c>
      <c r="E6533" s="86">
        <v>20.28</v>
      </c>
      <c r="F6533" s="87">
        <v>22.29</v>
      </c>
      <c r="G6533" s="88">
        <f t="shared" si="1"/>
        <v>2.01</v>
      </c>
      <c r="H6533" s="89">
        <f t="shared" si="18"/>
        <v>0.09017496635</v>
      </c>
      <c r="I6533" s="78" t="s">
        <v>7475</v>
      </c>
      <c r="J6533" s="78" t="s">
        <v>69</v>
      </c>
      <c r="K6533" s="58">
        <f t="shared" si="17"/>
        <v>32</v>
      </c>
      <c r="L6533" s="91" t="str">
        <f t="shared" si="8"/>
        <v>Tue</v>
      </c>
      <c r="M6533" s="78" t="str">
        <f>IFERROR(VLOOKUP(A6533, Entries!A:B,2,false),"")</f>
        <v/>
      </c>
      <c r="N6533" s="23" t="str">
        <f>IFERROR(VLOOKUP(A6533, Entries!A:K,11,false),"")</f>
        <v/>
      </c>
    </row>
    <row r="6534">
      <c r="A6534" s="78" t="s">
        <v>7426</v>
      </c>
      <c r="B6534" s="78" t="s">
        <v>22</v>
      </c>
      <c r="C6534" s="85">
        <v>45555.0</v>
      </c>
      <c r="D6534" s="85">
        <v>45555.0</v>
      </c>
      <c r="E6534" s="86">
        <v>19.75</v>
      </c>
      <c r="F6534" s="87">
        <v>25.39</v>
      </c>
      <c r="G6534" s="88">
        <f t="shared" si="1"/>
        <v>5.64</v>
      </c>
      <c r="H6534" s="89">
        <f t="shared" si="18"/>
        <v>0.2221346987</v>
      </c>
      <c r="I6534" s="78" t="s">
        <v>7476</v>
      </c>
      <c r="J6534" s="78" t="s">
        <v>69</v>
      </c>
      <c r="K6534" s="58">
        <f t="shared" si="17"/>
        <v>0</v>
      </c>
      <c r="L6534" s="91" t="str">
        <f t="shared" si="8"/>
        <v>Fri</v>
      </c>
      <c r="M6534" s="78" t="str">
        <f>IFERROR(VLOOKUP(A6534, Entries!A:B,2,false),"")</f>
        <v>Nacon</v>
      </c>
      <c r="N6534" s="23" t="str">
        <f>IFERROR(VLOOKUP(A6534, Entries!A:K,11,false),"")</f>
        <v/>
      </c>
    </row>
    <row r="6535">
      <c r="A6535" s="78" t="s">
        <v>7426</v>
      </c>
      <c r="B6535" s="78" t="s">
        <v>22</v>
      </c>
      <c r="C6535" s="85">
        <v>45555.0</v>
      </c>
      <c r="D6535" s="85">
        <v>45556.0</v>
      </c>
      <c r="E6535" s="86">
        <v>19.76</v>
      </c>
      <c r="F6535" s="87">
        <v>25.0</v>
      </c>
      <c r="G6535" s="88">
        <f t="shared" si="1"/>
        <v>5.24</v>
      </c>
      <c r="H6535" s="89">
        <f t="shared" si="18"/>
        <v>0.2096</v>
      </c>
      <c r="I6535" s="78" t="s">
        <v>7477</v>
      </c>
      <c r="J6535" s="78" t="s">
        <v>69</v>
      </c>
      <c r="K6535" s="58">
        <f t="shared" si="17"/>
        <v>1</v>
      </c>
      <c r="L6535" s="91" t="str">
        <f t="shared" si="8"/>
        <v>Sat</v>
      </c>
      <c r="M6535" s="78" t="str">
        <f>IFERROR(VLOOKUP(A6535, Entries!A:B,2,false),"")</f>
        <v>Nacon</v>
      </c>
      <c r="N6535" s="23" t="str">
        <f>IFERROR(VLOOKUP(A6535, Entries!A:K,11,false),"")</f>
        <v/>
      </c>
    </row>
    <row r="6536">
      <c r="A6536" s="78" t="s">
        <v>7426</v>
      </c>
      <c r="B6536" s="78" t="s">
        <v>22</v>
      </c>
      <c r="C6536" s="85">
        <v>45555.0</v>
      </c>
      <c r="D6536" s="85">
        <v>45556.0</v>
      </c>
      <c r="E6536" s="86">
        <v>19.76</v>
      </c>
      <c r="F6536" s="87">
        <v>25.0</v>
      </c>
      <c r="G6536" s="88">
        <f t="shared" si="1"/>
        <v>5.24</v>
      </c>
      <c r="H6536" s="89">
        <f t="shared" si="18"/>
        <v>0.2096</v>
      </c>
      <c r="I6536" s="78" t="s">
        <v>7478</v>
      </c>
      <c r="J6536" s="78" t="s">
        <v>69</v>
      </c>
      <c r="K6536" s="58">
        <f t="shared" si="17"/>
        <v>1</v>
      </c>
      <c r="L6536" s="91" t="str">
        <f t="shared" si="8"/>
        <v>Sat</v>
      </c>
      <c r="M6536" s="78" t="str">
        <f>IFERROR(VLOOKUP(A6536, Entries!A:B,2,false),"")</f>
        <v>Nacon</v>
      </c>
      <c r="N6536" s="23" t="str">
        <f>IFERROR(VLOOKUP(A6536, Entries!A:K,11,false),"")</f>
        <v/>
      </c>
    </row>
    <row r="6537">
      <c r="A6537" s="78" t="s">
        <v>6024</v>
      </c>
      <c r="B6537" s="78" t="s">
        <v>25</v>
      </c>
      <c r="C6537" s="85">
        <v>45555.0</v>
      </c>
      <c r="D6537" s="85">
        <v>45559.0</v>
      </c>
      <c r="E6537" s="86">
        <v>40.1</v>
      </c>
      <c r="F6537" s="87">
        <v>52.41</v>
      </c>
      <c r="G6537" s="88">
        <f t="shared" si="1"/>
        <v>12.31</v>
      </c>
      <c r="H6537" s="89">
        <f t="shared" si="18"/>
        <v>0.2348788399</v>
      </c>
      <c r="I6537" s="78" t="s">
        <v>7479</v>
      </c>
      <c r="J6537" s="78" t="s">
        <v>69</v>
      </c>
      <c r="K6537" s="58">
        <f t="shared" si="17"/>
        <v>4</v>
      </c>
      <c r="L6537" s="91" t="str">
        <f t="shared" si="8"/>
        <v>Tue</v>
      </c>
      <c r="M6537" s="78" t="str">
        <f>IFERROR(VLOOKUP(A6537, Entries!A:B,2,false),"")</f>
        <v>BANDAI NAMCO</v>
      </c>
      <c r="N6537" s="23" t="str">
        <f>IFERROR(VLOOKUP(A6537, Entries!A:K,11,false),"")</f>
        <v/>
      </c>
    </row>
    <row r="6538">
      <c r="A6538" s="78" t="s">
        <v>7426</v>
      </c>
      <c r="B6538" s="78" t="s">
        <v>22</v>
      </c>
      <c r="C6538" s="85">
        <v>45556.0</v>
      </c>
      <c r="D6538" s="85">
        <v>45556.0</v>
      </c>
      <c r="E6538" s="86">
        <v>19.76</v>
      </c>
      <c r="F6538" s="87">
        <v>25.0</v>
      </c>
      <c r="G6538" s="88">
        <f t="shared" si="1"/>
        <v>5.24</v>
      </c>
      <c r="H6538" s="89">
        <f t="shared" si="18"/>
        <v>0.2096</v>
      </c>
      <c r="I6538" s="78" t="s">
        <v>7480</v>
      </c>
      <c r="J6538" s="78" t="s">
        <v>69</v>
      </c>
      <c r="K6538" s="58">
        <f t="shared" si="17"/>
        <v>0</v>
      </c>
      <c r="L6538" s="91" t="str">
        <f t="shared" si="8"/>
        <v>Sat</v>
      </c>
      <c r="M6538" s="78" t="str">
        <f>IFERROR(VLOOKUP(A6538, Entries!A:B,2,false),"")</f>
        <v>Nacon</v>
      </c>
      <c r="N6538" s="23" t="str">
        <f>IFERROR(VLOOKUP(A6538, Entries!A:K,11,false),"")</f>
        <v/>
      </c>
    </row>
    <row r="6539">
      <c r="A6539" s="78" t="s">
        <v>7426</v>
      </c>
      <c r="B6539" s="78" t="s">
        <v>22</v>
      </c>
      <c r="C6539" s="85">
        <v>45556.0</v>
      </c>
      <c r="D6539" s="85">
        <v>45556.0</v>
      </c>
      <c r="E6539" s="86">
        <v>19.76</v>
      </c>
      <c r="F6539" s="87">
        <v>25.0</v>
      </c>
      <c r="G6539" s="88">
        <f t="shared" si="1"/>
        <v>5.24</v>
      </c>
      <c r="H6539" s="89">
        <f t="shared" si="18"/>
        <v>0.2096</v>
      </c>
      <c r="I6539" s="78" t="s">
        <v>7481</v>
      </c>
      <c r="J6539" s="78" t="s">
        <v>69</v>
      </c>
      <c r="K6539" s="58">
        <f t="shared" si="17"/>
        <v>0</v>
      </c>
      <c r="L6539" s="91" t="str">
        <f t="shared" si="8"/>
        <v>Sat</v>
      </c>
      <c r="M6539" s="78" t="str">
        <f>IFERROR(VLOOKUP(A6539, Entries!A:B,2,false),"")</f>
        <v>Nacon</v>
      </c>
      <c r="N6539" s="23" t="str">
        <f>IFERROR(VLOOKUP(A6539, Entries!A:K,11,false),"")</f>
        <v/>
      </c>
    </row>
    <row r="6540">
      <c r="A6540" s="78" t="s">
        <v>7426</v>
      </c>
      <c r="B6540" s="78" t="s">
        <v>22</v>
      </c>
      <c r="C6540" s="85">
        <v>45556.0</v>
      </c>
      <c r="D6540" s="85">
        <v>45556.0</v>
      </c>
      <c r="E6540" s="86">
        <v>19.76</v>
      </c>
      <c r="F6540" s="87">
        <v>25.0</v>
      </c>
      <c r="G6540" s="88">
        <f t="shared" si="1"/>
        <v>5.24</v>
      </c>
      <c r="H6540" s="89">
        <f t="shared" si="18"/>
        <v>0.2096</v>
      </c>
      <c r="I6540" s="78" t="s">
        <v>7482</v>
      </c>
      <c r="J6540" s="78" t="s">
        <v>69</v>
      </c>
      <c r="K6540" s="58">
        <f t="shared" si="17"/>
        <v>0</v>
      </c>
      <c r="L6540" s="91" t="str">
        <f t="shared" si="8"/>
        <v>Sat</v>
      </c>
      <c r="M6540" s="78" t="str">
        <f>IFERROR(VLOOKUP(A6540, Entries!A:B,2,false),"")</f>
        <v>Nacon</v>
      </c>
      <c r="N6540" s="23" t="str">
        <f>IFERROR(VLOOKUP(A6540, Entries!A:K,11,false),"")</f>
        <v/>
      </c>
    </row>
    <row r="6541">
      <c r="A6541" s="78" t="s">
        <v>7426</v>
      </c>
      <c r="B6541" s="78" t="s">
        <v>22</v>
      </c>
      <c r="C6541" s="85">
        <v>45556.0</v>
      </c>
      <c r="D6541" s="85">
        <v>45556.0</v>
      </c>
      <c r="E6541" s="86">
        <v>19.75</v>
      </c>
      <c r="F6541" s="87">
        <v>25.0</v>
      </c>
      <c r="G6541" s="88">
        <f t="shared" si="1"/>
        <v>5.25</v>
      </c>
      <c r="H6541" s="89">
        <f t="shared" si="18"/>
        <v>0.21</v>
      </c>
      <c r="I6541" s="78" t="s">
        <v>7483</v>
      </c>
      <c r="J6541" s="78" t="s">
        <v>69</v>
      </c>
      <c r="K6541" s="58">
        <f t="shared" si="17"/>
        <v>0</v>
      </c>
      <c r="L6541" s="91" t="str">
        <f t="shared" si="8"/>
        <v>Sat</v>
      </c>
      <c r="M6541" s="78" t="str">
        <f>IFERROR(VLOOKUP(A6541, Entries!A:B,2,false),"")</f>
        <v>Nacon</v>
      </c>
      <c r="N6541" s="23" t="str">
        <f>IFERROR(VLOOKUP(A6541, Entries!A:K,11,false),"")</f>
        <v/>
      </c>
    </row>
    <row r="6542">
      <c r="A6542" s="78" t="s">
        <v>7426</v>
      </c>
      <c r="B6542" s="78" t="s">
        <v>22</v>
      </c>
      <c r="C6542" s="85">
        <v>45556.0</v>
      </c>
      <c r="D6542" s="85">
        <v>45556.0</v>
      </c>
      <c r="E6542" s="86">
        <v>19.63</v>
      </c>
      <c r="F6542" s="87">
        <v>25.0</v>
      </c>
      <c r="G6542" s="88">
        <f t="shared" si="1"/>
        <v>5.37</v>
      </c>
      <c r="H6542" s="89">
        <f t="shared" si="18"/>
        <v>0.2148</v>
      </c>
      <c r="I6542" s="78" t="s">
        <v>7484</v>
      </c>
      <c r="J6542" s="78" t="s">
        <v>69</v>
      </c>
      <c r="K6542" s="58">
        <f t="shared" si="17"/>
        <v>0</v>
      </c>
      <c r="L6542" s="91" t="str">
        <f t="shared" si="8"/>
        <v>Sat</v>
      </c>
      <c r="M6542" s="78" t="str">
        <f>IFERROR(VLOOKUP(A6542, Entries!A:B,2,false),"")</f>
        <v>Nacon</v>
      </c>
      <c r="N6542" s="23" t="str">
        <f>IFERROR(VLOOKUP(A6542, Entries!A:K,11,false),"")</f>
        <v/>
      </c>
    </row>
    <row r="6543">
      <c r="A6543" s="78" t="s">
        <v>7426</v>
      </c>
      <c r="B6543" s="78" t="s">
        <v>22</v>
      </c>
      <c r="C6543" s="85">
        <v>45556.0</v>
      </c>
      <c r="D6543" s="85">
        <v>45556.0</v>
      </c>
      <c r="E6543" s="86">
        <v>19.64</v>
      </c>
      <c r="F6543" s="87">
        <v>25.91</v>
      </c>
      <c r="G6543" s="88">
        <f t="shared" si="1"/>
        <v>6.27</v>
      </c>
      <c r="H6543" s="89">
        <f t="shared" si="18"/>
        <v>0.2419915091</v>
      </c>
      <c r="I6543" s="78" t="s">
        <v>7485</v>
      </c>
      <c r="J6543" s="78" t="s">
        <v>69</v>
      </c>
      <c r="K6543" s="58">
        <f t="shared" si="17"/>
        <v>0</v>
      </c>
      <c r="L6543" s="91" t="str">
        <f t="shared" si="8"/>
        <v>Sat</v>
      </c>
      <c r="M6543" s="78" t="str">
        <f>IFERROR(VLOOKUP(A6543, Entries!A:B,2,false),"")</f>
        <v>Nacon</v>
      </c>
      <c r="N6543" s="23" t="str">
        <f>IFERROR(VLOOKUP(A6543, Entries!A:K,11,false),"")</f>
        <v/>
      </c>
    </row>
    <row r="6544">
      <c r="A6544" s="78" t="s">
        <v>7426</v>
      </c>
      <c r="B6544" s="78" t="s">
        <v>22</v>
      </c>
      <c r="C6544" s="85">
        <v>45556.0</v>
      </c>
      <c r="D6544" s="85">
        <v>45556.0</v>
      </c>
      <c r="E6544" s="86">
        <v>19.64</v>
      </c>
      <c r="F6544" s="87">
        <v>25.89</v>
      </c>
      <c r="G6544" s="88">
        <f t="shared" si="1"/>
        <v>6.25</v>
      </c>
      <c r="H6544" s="89">
        <f t="shared" si="18"/>
        <v>0.2414059482</v>
      </c>
      <c r="I6544" s="78" t="s">
        <v>7486</v>
      </c>
      <c r="J6544" s="78" t="s">
        <v>69</v>
      </c>
      <c r="K6544" s="58">
        <f t="shared" si="17"/>
        <v>0</v>
      </c>
      <c r="L6544" s="91" t="str">
        <f t="shared" si="8"/>
        <v>Sat</v>
      </c>
      <c r="M6544" s="78" t="str">
        <f>IFERROR(VLOOKUP(A6544, Entries!A:B,2,false),"")</f>
        <v>Nacon</v>
      </c>
      <c r="N6544" s="23" t="str">
        <f>IFERROR(VLOOKUP(A6544, Entries!A:K,11,false),"")</f>
        <v/>
      </c>
    </row>
    <row r="6545">
      <c r="A6545" s="78" t="s">
        <v>7426</v>
      </c>
      <c r="B6545" s="78" t="s">
        <v>22</v>
      </c>
      <c r="C6545" s="85">
        <v>45556.0</v>
      </c>
      <c r="D6545" s="85">
        <v>45557.0</v>
      </c>
      <c r="E6545" s="86">
        <v>19.64</v>
      </c>
      <c r="F6545" s="87">
        <v>25.77</v>
      </c>
      <c r="G6545" s="88">
        <f t="shared" si="1"/>
        <v>6.13</v>
      </c>
      <c r="H6545" s="89">
        <f t="shared" si="18"/>
        <v>0.2378734963</v>
      </c>
      <c r="I6545" s="78" t="s">
        <v>7487</v>
      </c>
      <c r="J6545" s="78" t="s">
        <v>69</v>
      </c>
      <c r="K6545" s="58">
        <f t="shared" si="17"/>
        <v>1</v>
      </c>
      <c r="L6545" s="91" t="str">
        <f t="shared" si="8"/>
        <v>Sun</v>
      </c>
      <c r="M6545" s="78" t="str">
        <f>IFERROR(VLOOKUP(A6545, Entries!A:B,2,false),"")</f>
        <v>Nacon</v>
      </c>
      <c r="N6545" s="23" t="str">
        <f>IFERROR(VLOOKUP(A6545, Entries!A:K,11,false),"")</f>
        <v/>
      </c>
    </row>
    <row r="6546">
      <c r="A6546" s="78" t="s">
        <v>7426</v>
      </c>
      <c r="B6546" s="78" t="s">
        <v>22</v>
      </c>
      <c r="C6546" s="85">
        <v>45556.0</v>
      </c>
      <c r="D6546" s="85">
        <v>45558.0</v>
      </c>
      <c r="E6546" s="86">
        <v>19.63</v>
      </c>
      <c r="F6546" s="87">
        <v>26.59</v>
      </c>
      <c r="G6546" s="88">
        <f t="shared" si="1"/>
        <v>6.96</v>
      </c>
      <c r="H6546" s="89">
        <f t="shared" si="18"/>
        <v>0.2617525385</v>
      </c>
      <c r="I6546" s="78" t="s">
        <v>7488</v>
      </c>
      <c r="J6546" s="78" t="s">
        <v>69</v>
      </c>
      <c r="K6546" s="58">
        <f t="shared" si="17"/>
        <v>2</v>
      </c>
      <c r="L6546" s="91" t="str">
        <f t="shared" si="8"/>
        <v>Mon</v>
      </c>
      <c r="M6546" s="78" t="str">
        <f>IFERROR(VLOOKUP(A6546, Entries!A:B,2,false),"")</f>
        <v>Nacon</v>
      </c>
      <c r="N6546" s="23" t="str">
        <f>IFERROR(VLOOKUP(A6546, Entries!A:K,11,false),"")</f>
        <v/>
      </c>
    </row>
    <row r="6547">
      <c r="A6547" s="78" t="s">
        <v>7426</v>
      </c>
      <c r="B6547" s="78" t="s">
        <v>22</v>
      </c>
      <c r="C6547" s="85">
        <v>45556.0</v>
      </c>
      <c r="D6547" s="85">
        <v>45558.0</v>
      </c>
      <c r="E6547" s="86">
        <v>19.64</v>
      </c>
      <c r="F6547" s="87">
        <v>26.59</v>
      </c>
      <c r="G6547" s="88">
        <f t="shared" si="1"/>
        <v>6.95</v>
      </c>
      <c r="H6547" s="89">
        <f t="shared" si="18"/>
        <v>0.2613764573</v>
      </c>
      <c r="I6547" s="78" t="s">
        <v>7489</v>
      </c>
      <c r="J6547" s="78" t="s">
        <v>69</v>
      </c>
      <c r="K6547" s="58">
        <f t="shared" si="17"/>
        <v>2</v>
      </c>
      <c r="L6547" s="91" t="str">
        <f t="shared" si="8"/>
        <v>Mon</v>
      </c>
      <c r="M6547" s="78" t="str">
        <f>IFERROR(VLOOKUP(A6547, Entries!A:B,2,false),"")</f>
        <v>Nacon</v>
      </c>
      <c r="N6547" s="23" t="str">
        <f>IFERROR(VLOOKUP(A6547, Entries!A:K,11,false),"")</f>
        <v/>
      </c>
    </row>
    <row r="6548">
      <c r="A6548" s="78" t="s">
        <v>7490</v>
      </c>
      <c r="B6548" s="78" t="s">
        <v>21</v>
      </c>
      <c r="C6548" s="85">
        <v>45556.0</v>
      </c>
      <c r="D6548" s="85">
        <v>45556.0</v>
      </c>
      <c r="E6548" s="86">
        <v>30.12</v>
      </c>
      <c r="F6548" s="87">
        <v>33.64</v>
      </c>
      <c r="G6548" s="88">
        <f t="shared" si="1"/>
        <v>3.52</v>
      </c>
      <c r="H6548" s="89">
        <f t="shared" si="18"/>
        <v>0.1046373365</v>
      </c>
      <c r="I6548" s="78" t="s">
        <v>7491</v>
      </c>
      <c r="J6548" s="78" t="s">
        <v>69</v>
      </c>
      <c r="K6548" s="58">
        <f t="shared" si="17"/>
        <v>0</v>
      </c>
      <c r="L6548" s="91" t="str">
        <f t="shared" si="8"/>
        <v>Sat</v>
      </c>
      <c r="M6548" s="78" t="str">
        <f>IFERROR(VLOOKUP(A6548, Entries!A:B,2,false),"")</f>
        <v/>
      </c>
      <c r="N6548" s="23" t="str">
        <f>IFERROR(VLOOKUP(A6548, Entries!A:K,11,false),"")</f>
        <v/>
      </c>
    </row>
    <row r="6549">
      <c r="A6549" s="78" t="s">
        <v>4928</v>
      </c>
      <c r="B6549" s="78" t="s">
        <v>19</v>
      </c>
      <c r="C6549" s="85">
        <v>45556.0</v>
      </c>
      <c r="D6549" s="85">
        <v>45556.0</v>
      </c>
      <c r="E6549" s="86">
        <v>26.19</v>
      </c>
      <c r="F6549" s="87">
        <v>31.02</v>
      </c>
      <c r="G6549" s="88">
        <f t="shared" si="1"/>
        <v>4.83</v>
      </c>
      <c r="H6549" s="89">
        <f t="shared" si="18"/>
        <v>0.1557059961</v>
      </c>
      <c r="I6549" s="78" t="s">
        <v>7492</v>
      </c>
      <c r="J6549" s="78" t="s">
        <v>69</v>
      </c>
      <c r="K6549" s="58">
        <f t="shared" si="17"/>
        <v>0</v>
      </c>
      <c r="L6549" s="91" t="str">
        <f t="shared" si="8"/>
        <v>Sat</v>
      </c>
      <c r="M6549" s="78" t="str">
        <f>IFERROR(VLOOKUP(A6549, Entries!A:B,2,false),"")</f>
        <v>Eleventh Hour Games</v>
      </c>
      <c r="N6549" s="23" t="str">
        <f>IFERROR(VLOOKUP(A6549, Entries!A:K,11,false),"")</f>
        <v/>
      </c>
    </row>
    <row r="6550">
      <c r="A6550" s="78" t="s">
        <v>7426</v>
      </c>
      <c r="B6550" s="78" t="s">
        <v>22</v>
      </c>
      <c r="C6550" s="85">
        <v>45556.0</v>
      </c>
      <c r="D6550" s="85">
        <v>45558.0</v>
      </c>
      <c r="E6550" s="86">
        <v>19.64</v>
      </c>
      <c r="F6550" s="87">
        <v>26.6</v>
      </c>
      <c r="G6550" s="88">
        <f t="shared" si="1"/>
        <v>6.96</v>
      </c>
      <c r="H6550" s="89">
        <f t="shared" si="18"/>
        <v>0.2616541353</v>
      </c>
      <c r="I6550" s="78" t="s">
        <v>7493</v>
      </c>
      <c r="J6550" s="78" t="s">
        <v>69</v>
      </c>
      <c r="K6550" s="58">
        <f t="shared" si="17"/>
        <v>2</v>
      </c>
      <c r="L6550" s="91" t="str">
        <f t="shared" si="8"/>
        <v>Mon</v>
      </c>
      <c r="M6550" s="78" t="str">
        <f>IFERROR(VLOOKUP(A6550, Entries!A:B,2,false),"")</f>
        <v>Nacon</v>
      </c>
      <c r="N6550" s="23" t="str">
        <f>IFERROR(VLOOKUP(A6550, Entries!A:K,11,false),"")</f>
        <v/>
      </c>
    </row>
    <row r="6551">
      <c r="A6551" s="78" t="s">
        <v>7092</v>
      </c>
      <c r="B6551" s="78" t="s">
        <v>23</v>
      </c>
      <c r="C6551" s="85">
        <v>45557.0</v>
      </c>
      <c r="D6551" s="85">
        <v>45564.0</v>
      </c>
      <c r="E6551" s="86">
        <v>8.41</v>
      </c>
      <c r="F6551" s="87">
        <v>10.46</v>
      </c>
      <c r="G6551" s="88">
        <f t="shared" si="1"/>
        <v>2.05</v>
      </c>
      <c r="H6551" s="89">
        <f t="shared" si="18"/>
        <v>0.1959847036</v>
      </c>
      <c r="I6551" s="78" t="s">
        <v>7494</v>
      </c>
      <c r="J6551" s="78" t="s">
        <v>69</v>
      </c>
      <c r="K6551" s="58">
        <f t="shared" si="17"/>
        <v>7</v>
      </c>
      <c r="L6551" s="91" t="str">
        <f t="shared" si="8"/>
        <v>Sun</v>
      </c>
      <c r="M6551" s="78" t="str">
        <f>IFERROR(VLOOKUP(A6551, Entries!A:B,2,false),"")</f>
        <v>IO Interactive</v>
      </c>
      <c r="N6551" s="23" t="str">
        <f>IFERROR(VLOOKUP(A6551, Entries!A:K,11,false),"")</f>
        <v/>
      </c>
    </row>
    <row r="6552">
      <c r="A6552" s="78" t="s">
        <v>7426</v>
      </c>
      <c r="B6552" s="78" t="s">
        <v>22</v>
      </c>
      <c r="C6552" s="85">
        <v>45557.0</v>
      </c>
      <c r="D6552" s="85">
        <v>45558.0</v>
      </c>
      <c r="E6552" s="86">
        <v>19.63</v>
      </c>
      <c r="F6552" s="87">
        <v>26.6</v>
      </c>
      <c r="G6552" s="88">
        <f t="shared" si="1"/>
        <v>6.97</v>
      </c>
      <c r="H6552" s="89">
        <f t="shared" si="18"/>
        <v>0.2620300752</v>
      </c>
      <c r="I6552" s="78" t="s">
        <v>7495</v>
      </c>
      <c r="J6552" s="78" t="s">
        <v>69</v>
      </c>
      <c r="K6552" s="58">
        <f t="shared" si="17"/>
        <v>1</v>
      </c>
      <c r="L6552" s="91" t="str">
        <f t="shared" si="8"/>
        <v>Mon</v>
      </c>
      <c r="M6552" s="78" t="str">
        <f>IFERROR(VLOOKUP(A6552, Entries!A:B,2,false),"")</f>
        <v>Nacon</v>
      </c>
      <c r="N6552" s="23" t="str">
        <f>IFERROR(VLOOKUP(A6552, Entries!A:K,11,false),"")</f>
        <v/>
      </c>
    </row>
    <row r="6553">
      <c r="A6553" s="78" t="s">
        <v>7426</v>
      </c>
      <c r="B6553" s="78" t="s">
        <v>22</v>
      </c>
      <c r="C6553" s="85">
        <v>45557.0</v>
      </c>
      <c r="D6553" s="85">
        <v>45558.0</v>
      </c>
      <c r="E6553" s="86">
        <v>19.64</v>
      </c>
      <c r="F6553" s="87">
        <v>26.58</v>
      </c>
      <c r="G6553" s="88">
        <f t="shared" si="1"/>
        <v>6.94</v>
      </c>
      <c r="H6553" s="89">
        <f t="shared" si="18"/>
        <v>0.2610985704</v>
      </c>
      <c r="I6553" s="78" t="s">
        <v>7496</v>
      </c>
      <c r="J6553" s="78" t="s">
        <v>69</v>
      </c>
      <c r="K6553" s="58">
        <f t="shared" si="17"/>
        <v>1</v>
      </c>
      <c r="L6553" s="91" t="str">
        <f t="shared" si="8"/>
        <v>Mon</v>
      </c>
      <c r="M6553" s="78" t="str">
        <f>IFERROR(VLOOKUP(A6553, Entries!A:B,2,false),"")</f>
        <v>Nacon</v>
      </c>
      <c r="N6553" s="23" t="str">
        <f>IFERROR(VLOOKUP(A6553, Entries!A:K,11,false),"")</f>
        <v/>
      </c>
    </row>
    <row r="6554">
      <c r="A6554" s="78" t="s">
        <v>4928</v>
      </c>
      <c r="B6554" s="78" t="s">
        <v>19</v>
      </c>
      <c r="C6554" s="85">
        <v>45557.0</v>
      </c>
      <c r="D6554" s="85">
        <v>45557.0</v>
      </c>
      <c r="E6554" s="86">
        <v>24.35</v>
      </c>
      <c r="F6554" s="87">
        <v>30.96</v>
      </c>
      <c r="G6554" s="88">
        <f t="shared" si="1"/>
        <v>6.61</v>
      </c>
      <c r="H6554" s="89">
        <f t="shared" si="18"/>
        <v>0.213501292</v>
      </c>
      <c r="I6554" s="78" t="s">
        <v>7497</v>
      </c>
      <c r="J6554" s="78" t="s">
        <v>69</v>
      </c>
      <c r="K6554" s="58">
        <f t="shared" si="17"/>
        <v>0</v>
      </c>
      <c r="L6554" s="91" t="str">
        <f t="shared" si="8"/>
        <v>Sun</v>
      </c>
      <c r="M6554" s="78" t="str">
        <f>IFERROR(VLOOKUP(A6554, Entries!A:B,2,false),"")</f>
        <v>Eleventh Hour Games</v>
      </c>
      <c r="N6554" s="23" t="str">
        <f>IFERROR(VLOOKUP(A6554, Entries!A:K,11,false),"")</f>
        <v/>
      </c>
    </row>
    <row r="6555">
      <c r="A6555" s="78" t="s">
        <v>7384</v>
      </c>
      <c r="B6555" s="78" t="s">
        <v>22</v>
      </c>
      <c r="C6555" s="85">
        <v>45557.0</v>
      </c>
      <c r="D6555" s="85">
        <v>45557.0</v>
      </c>
      <c r="E6555" s="86">
        <v>8.35</v>
      </c>
      <c r="F6555" s="87">
        <v>8.51</v>
      </c>
      <c r="G6555" s="88">
        <f t="shared" si="1"/>
        <v>0.16</v>
      </c>
      <c r="H6555" s="89">
        <f t="shared" si="18"/>
        <v>0.01880141011</v>
      </c>
      <c r="I6555" s="78" t="s">
        <v>7498</v>
      </c>
      <c r="J6555" s="78" t="s">
        <v>69</v>
      </c>
      <c r="K6555" s="58">
        <f t="shared" si="17"/>
        <v>0</v>
      </c>
      <c r="L6555" s="91" t="str">
        <f t="shared" si="8"/>
        <v>Sun</v>
      </c>
      <c r="M6555" s="78" t="str">
        <f>IFERROR(VLOOKUP(A6555, Entries!A:B,2,false),"")</f>
        <v>tinyBuild</v>
      </c>
      <c r="N6555" s="23" t="str">
        <f>IFERROR(VLOOKUP(A6555, Entries!A:K,11,false),"")</f>
        <v/>
      </c>
    </row>
    <row r="6556">
      <c r="A6556" s="78" t="s">
        <v>4928</v>
      </c>
      <c r="B6556" s="78" t="s">
        <v>19</v>
      </c>
      <c r="C6556" s="85">
        <v>45557.0</v>
      </c>
      <c r="D6556" s="85">
        <v>45571.0</v>
      </c>
      <c r="E6556" s="86">
        <v>24.31</v>
      </c>
      <c r="F6556" s="87">
        <v>30.97</v>
      </c>
      <c r="G6556" s="88">
        <f t="shared" si="1"/>
        <v>6.66</v>
      </c>
      <c r="H6556" s="89">
        <f t="shared" si="18"/>
        <v>0.2150468195</v>
      </c>
      <c r="I6556" s="78" t="s">
        <v>7499</v>
      </c>
      <c r="J6556" s="78" t="s">
        <v>69</v>
      </c>
      <c r="K6556" s="58">
        <f t="shared" si="17"/>
        <v>14</v>
      </c>
      <c r="L6556" s="91" t="str">
        <f t="shared" si="8"/>
        <v>Sun</v>
      </c>
      <c r="M6556" s="78" t="str">
        <f>IFERROR(VLOOKUP(A6556, Entries!A:B,2,false),"")</f>
        <v>Eleventh Hour Games</v>
      </c>
      <c r="N6556" s="23" t="str">
        <f>IFERROR(VLOOKUP(A6556, Entries!A:K,11,false),"")</f>
        <v/>
      </c>
    </row>
    <row r="6557">
      <c r="A6557" s="78" t="s">
        <v>7500</v>
      </c>
      <c r="B6557" s="78" t="s">
        <v>19</v>
      </c>
      <c r="C6557" s="85">
        <v>45557.0</v>
      </c>
      <c r="D6557" s="85">
        <v>45558.0</v>
      </c>
      <c r="E6557" s="86">
        <v>0.0</v>
      </c>
      <c r="F6557" s="87">
        <v>0.16</v>
      </c>
      <c r="G6557" s="88">
        <f t="shared" si="1"/>
        <v>0.16</v>
      </c>
      <c r="H6557" s="89">
        <f t="shared" si="18"/>
        <v>1</v>
      </c>
      <c r="I6557" s="78" t="s">
        <v>7501</v>
      </c>
      <c r="J6557" s="78" t="s">
        <v>69</v>
      </c>
      <c r="K6557" s="58">
        <f t="shared" si="17"/>
        <v>1</v>
      </c>
      <c r="L6557" s="91" t="str">
        <f t="shared" si="8"/>
        <v>Mon</v>
      </c>
      <c r="M6557" s="78" t="str">
        <f>IFERROR(VLOOKUP(A6557, Entries!A:B,2,false),"")</f>
        <v/>
      </c>
      <c r="N6557" s="23" t="str">
        <f>IFERROR(VLOOKUP(A6557, Entries!A:K,11,false),"")</f>
        <v/>
      </c>
    </row>
    <row r="6558">
      <c r="A6558" s="78" t="s">
        <v>5676</v>
      </c>
      <c r="B6558" s="78" t="s">
        <v>21</v>
      </c>
      <c r="C6558" s="85">
        <v>45558.0</v>
      </c>
      <c r="D6558" s="85">
        <v>45558.0</v>
      </c>
      <c r="E6558" s="86">
        <v>36.73</v>
      </c>
      <c r="F6558" s="87">
        <v>44.08</v>
      </c>
      <c r="G6558" s="88">
        <f t="shared" si="1"/>
        <v>7.35</v>
      </c>
      <c r="H6558" s="89">
        <f t="shared" si="18"/>
        <v>0.1667422868</v>
      </c>
      <c r="I6558" s="78" t="s">
        <v>7502</v>
      </c>
      <c r="J6558" s="78" t="s">
        <v>69</v>
      </c>
      <c r="K6558" s="58">
        <f t="shared" si="17"/>
        <v>0</v>
      </c>
      <c r="L6558" s="91" t="str">
        <f t="shared" si="8"/>
        <v>Mon</v>
      </c>
      <c r="M6558" s="78" t="str">
        <f>IFERROR(VLOOKUP(A6558, Entries!A:B,2,false),"")</f>
        <v>Bethesda Softworks</v>
      </c>
      <c r="N6558" s="23" t="str">
        <f>IFERROR(VLOOKUP(A6558, Entries!A:K,11,false),"")</f>
        <v/>
      </c>
    </row>
    <row r="6559">
      <c r="A6559" s="78" t="s">
        <v>7426</v>
      </c>
      <c r="B6559" s="78" t="s">
        <v>22</v>
      </c>
      <c r="C6559" s="85">
        <v>45558.0</v>
      </c>
      <c r="D6559" s="85">
        <v>45558.0</v>
      </c>
      <c r="E6559" s="86">
        <v>19.63</v>
      </c>
      <c r="F6559" s="87">
        <v>27.64</v>
      </c>
      <c r="G6559" s="88">
        <f t="shared" si="1"/>
        <v>8.01</v>
      </c>
      <c r="H6559" s="89">
        <f t="shared" si="18"/>
        <v>0.2897973951</v>
      </c>
      <c r="I6559" s="78" t="s">
        <v>7503</v>
      </c>
      <c r="J6559" s="78" t="s">
        <v>69</v>
      </c>
      <c r="K6559" s="58">
        <f t="shared" si="17"/>
        <v>0</v>
      </c>
      <c r="L6559" s="91" t="str">
        <f t="shared" si="8"/>
        <v>Mon</v>
      </c>
      <c r="M6559" s="78" t="str">
        <f>IFERROR(VLOOKUP(A6559, Entries!A:B,2,false),"")</f>
        <v>Nacon</v>
      </c>
      <c r="N6559" s="23" t="str">
        <f>IFERROR(VLOOKUP(A6559, Entries!A:K,11,false),"")</f>
        <v/>
      </c>
    </row>
    <row r="6560">
      <c r="A6560" s="78" t="s">
        <v>7426</v>
      </c>
      <c r="B6560" s="78" t="s">
        <v>22</v>
      </c>
      <c r="C6560" s="85">
        <v>45558.0</v>
      </c>
      <c r="D6560" s="85">
        <v>45559.0</v>
      </c>
      <c r="E6560" s="86">
        <v>19.64</v>
      </c>
      <c r="F6560" s="87">
        <v>27.53</v>
      </c>
      <c r="G6560" s="88">
        <f t="shared" si="1"/>
        <v>7.89</v>
      </c>
      <c r="H6560" s="89">
        <f t="shared" si="18"/>
        <v>0.2865964402</v>
      </c>
      <c r="I6560" s="78" t="s">
        <v>7504</v>
      </c>
      <c r="J6560" s="78" t="s">
        <v>69</v>
      </c>
      <c r="K6560" s="58">
        <f t="shared" si="17"/>
        <v>1</v>
      </c>
      <c r="L6560" s="91" t="str">
        <f t="shared" si="8"/>
        <v>Tue</v>
      </c>
      <c r="M6560" s="78" t="str">
        <f>IFERROR(VLOOKUP(A6560, Entries!A:B,2,false),"")</f>
        <v>Nacon</v>
      </c>
      <c r="N6560" s="23" t="str">
        <f>IFERROR(VLOOKUP(A6560, Entries!A:K,11,false),"")</f>
        <v/>
      </c>
    </row>
    <row r="6561">
      <c r="A6561" s="78" t="s">
        <v>7426</v>
      </c>
      <c r="B6561" s="78" t="s">
        <v>22</v>
      </c>
      <c r="C6561" s="85">
        <v>45558.0</v>
      </c>
      <c r="D6561" s="85">
        <v>45559.0</v>
      </c>
      <c r="E6561" s="86">
        <v>19.64</v>
      </c>
      <c r="F6561" s="87">
        <v>27.51</v>
      </c>
      <c r="G6561" s="88">
        <f t="shared" si="1"/>
        <v>7.87</v>
      </c>
      <c r="H6561" s="89">
        <f t="shared" si="18"/>
        <v>0.2860777899</v>
      </c>
      <c r="I6561" s="78" t="s">
        <v>7505</v>
      </c>
      <c r="J6561" s="78" t="s">
        <v>69</v>
      </c>
      <c r="K6561" s="58">
        <f t="shared" si="17"/>
        <v>1</v>
      </c>
      <c r="L6561" s="91" t="str">
        <f t="shared" si="8"/>
        <v>Tue</v>
      </c>
      <c r="M6561" s="78" t="str">
        <f>IFERROR(VLOOKUP(A6561, Entries!A:B,2,false),"")</f>
        <v>Nacon</v>
      </c>
      <c r="N6561" s="23" t="str">
        <f>IFERROR(VLOOKUP(A6561, Entries!A:K,11,false),"")</f>
        <v/>
      </c>
    </row>
    <row r="6562">
      <c r="A6562" s="78" t="s">
        <v>7426</v>
      </c>
      <c r="B6562" s="78" t="s">
        <v>22</v>
      </c>
      <c r="C6562" s="85">
        <v>45561.0</v>
      </c>
      <c r="D6562" s="85">
        <v>45561.0</v>
      </c>
      <c r="E6562" s="86">
        <v>19.66</v>
      </c>
      <c r="F6562" s="87">
        <v>27.77</v>
      </c>
      <c r="G6562" s="88">
        <f t="shared" si="1"/>
        <v>8.11</v>
      </c>
      <c r="H6562" s="89">
        <f t="shared" si="18"/>
        <v>0.2920417717</v>
      </c>
      <c r="I6562" s="78" t="s">
        <v>7506</v>
      </c>
      <c r="J6562" s="78" t="s">
        <v>69</v>
      </c>
      <c r="K6562" s="58">
        <f t="shared" si="17"/>
        <v>0</v>
      </c>
      <c r="L6562" s="91" t="str">
        <f t="shared" si="8"/>
        <v>Thu</v>
      </c>
      <c r="M6562" s="78" t="str">
        <f>IFERROR(VLOOKUP(A6562, Entries!A:B,2,false),"")</f>
        <v>Nacon</v>
      </c>
      <c r="N6562" s="23" t="str">
        <f>IFERROR(VLOOKUP(A6562, Entries!A:K,11,false),"")</f>
        <v/>
      </c>
    </row>
    <row r="6563">
      <c r="A6563" s="78" t="s">
        <v>7426</v>
      </c>
      <c r="B6563" s="78" t="s">
        <v>22</v>
      </c>
      <c r="C6563" s="85">
        <v>45561.0</v>
      </c>
      <c r="D6563" s="85">
        <v>45561.0</v>
      </c>
      <c r="E6563" s="86">
        <v>19.66</v>
      </c>
      <c r="F6563" s="87">
        <v>27.77</v>
      </c>
      <c r="G6563" s="88">
        <f t="shared" si="1"/>
        <v>8.11</v>
      </c>
      <c r="H6563" s="89">
        <f t="shared" si="18"/>
        <v>0.2920417717</v>
      </c>
      <c r="I6563" s="78" t="s">
        <v>7507</v>
      </c>
      <c r="J6563" s="78" t="s">
        <v>69</v>
      </c>
      <c r="K6563" s="58">
        <f t="shared" si="17"/>
        <v>0</v>
      </c>
      <c r="L6563" s="91" t="str">
        <f t="shared" si="8"/>
        <v>Thu</v>
      </c>
      <c r="M6563" s="78" t="str">
        <f>IFERROR(VLOOKUP(A6563, Entries!A:B,2,false),"")</f>
        <v>Nacon</v>
      </c>
      <c r="N6563" s="23" t="str">
        <f>IFERROR(VLOOKUP(A6563, Entries!A:K,11,false),"")</f>
        <v/>
      </c>
    </row>
    <row r="6564">
      <c r="A6564" s="78" t="s">
        <v>7508</v>
      </c>
      <c r="B6564" s="78" t="s">
        <v>22</v>
      </c>
      <c r="C6564" s="85">
        <v>45561.0</v>
      </c>
      <c r="D6564" s="85">
        <v>45566.0</v>
      </c>
      <c r="E6564" s="86">
        <v>25.28</v>
      </c>
      <c r="F6564" s="87">
        <v>33.18</v>
      </c>
      <c r="G6564" s="88">
        <f t="shared" si="1"/>
        <v>7.9</v>
      </c>
      <c r="H6564" s="89">
        <f t="shared" si="18"/>
        <v>0.2380952381</v>
      </c>
      <c r="I6564" s="78" t="s">
        <v>561</v>
      </c>
      <c r="J6564" s="78" t="s">
        <v>69</v>
      </c>
      <c r="K6564" s="58">
        <f t="shared" si="17"/>
        <v>5</v>
      </c>
      <c r="L6564" s="91" t="str">
        <f t="shared" si="8"/>
        <v>Tue</v>
      </c>
      <c r="M6564" s="78" t="str">
        <f>IFERROR(VLOOKUP(A6564, Entries!A:B,2,false),"")</f>
        <v/>
      </c>
      <c r="N6564" s="23" t="str">
        <f>IFERROR(VLOOKUP(A6564, Entries!A:K,11,false),"")</f>
        <v/>
      </c>
    </row>
    <row r="6565">
      <c r="A6565" s="78" t="s">
        <v>7426</v>
      </c>
      <c r="B6565" s="78" t="s">
        <v>22</v>
      </c>
      <c r="C6565" s="85">
        <v>45561.0</v>
      </c>
      <c r="D6565" s="85">
        <v>45562.0</v>
      </c>
      <c r="E6565" s="86">
        <v>19.66</v>
      </c>
      <c r="F6565" s="87">
        <v>27.7</v>
      </c>
      <c r="G6565" s="88">
        <f t="shared" si="1"/>
        <v>8.04</v>
      </c>
      <c r="H6565" s="89">
        <f t="shared" si="18"/>
        <v>0.2902527076</v>
      </c>
      <c r="I6565" s="78" t="s">
        <v>7509</v>
      </c>
      <c r="J6565" s="78" t="s">
        <v>69</v>
      </c>
      <c r="K6565" s="58">
        <f t="shared" si="17"/>
        <v>1</v>
      </c>
      <c r="L6565" s="91" t="str">
        <f t="shared" si="8"/>
        <v>Fri</v>
      </c>
      <c r="M6565" s="78" t="str">
        <f>IFERROR(VLOOKUP(A6565, Entries!A:B,2,false),"")</f>
        <v>Nacon</v>
      </c>
      <c r="N6565" s="23" t="str">
        <f>IFERROR(VLOOKUP(A6565, Entries!A:K,11,false),"")</f>
        <v/>
      </c>
    </row>
    <row r="6566">
      <c r="A6566" s="78" t="s">
        <v>7426</v>
      </c>
      <c r="B6566" s="78" t="s">
        <v>22</v>
      </c>
      <c r="C6566" s="85">
        <v>45561.0</v>
      </c>
      <c r="D6566" s="85">
        <v>45562.0</v>
      </c>
      <c r="E6566" s="86">
        <v>19.66</v>
      </c>
      <c r="F6566" s="87">
        <v>27.68</v>
      </c>
      <c r="G6566" s="88">
        <f t="shared" si="1"/>
        <v>8.02</v>
      </c>
      <c r="H6566" s="89">
        <f t="shared" si="18"/>
        <v>0.2897398844</v>
      </c>
      <c r="I6566" s="78" t="s">
        <v>7510</v>
      </c>
      <c r="J6566" s="78" t="s">
        <v>69</v>
      </c>
      <c r="K6566" s="58">
        <f t="shared" si="17"/>
        <v>1</v>
      </c>
      <c r="L6566" s="91" t="str">
        <f t="shared" si="8"/>
        <v>Fri</v>
      </c>
      <c r="M6566" s="78" t="str">
        <f>IFERROR(VLOOKUP(A6566, Entries!A:B,2,false),"")</f>
        <v>Nacon</v>
      </c>
      <c r="N6566" s="23" t="str">
        <f>IFERROR(VLOOKUP(A6566, Entries!A:K,11,false),"")</f>
        <v/>
      </c>
    </row>
    <row r="6567">
      <c r="A6567" s="78" t="s">
        <v>7224</v>
      </c>
      <c r="B6567" s="78" t="s">
        <v>21</v>
      </c>
      <c r="C6567" s="85">
        <v>45562.0</v>
      </c>
      <c r="D6567" s="85">
        <v>45565.0</v>
      </c>
      <c r="E6567" s="86">
        <v>18.17</v>
      </c>
      <c r="F6567" s="87">
        <v>24.09</v>
      </c>
      <c r="G6567" s="88">
        <f t="shared" si="1"/>
        <v>5.92</v>
      </c>
      <c r="H6567" s="89">
        <f t="shared" si="18"/>
        <v>0.2457451225</v>
      </c>
      <c r="I6567" s="78" t="s">
        <v>7511</v>
      </c>
      <c r="J6567" s="78" t="s">
        <v>69</v>
      </c>
      <c r="K6567" s="58">
        <f t="shared" si="17"/>
        <v>3</v>
      </c>
      <c r="L6567" s="91" t="str">
        <f t="shared" si="8"/>
        <v>Mon</v>
      </c>
      <c r="M6567" s="78" t="str">
        <f>IFERROR(VLOOKUP(A6567, Entries!A:B,2,false),"")</f>
        <v/>
      </c>
      <c r="N6567" s="23" t="str">
        <f>IFERROR(VLOOKUP(A6567, Entries!A:K,11,false),"")</f>
        <v/>
      </c>
    </row>
    <row r="6568">
      <c r="A6568" s="78" t="s">
        <v>7461</v>
      </c>
      <c r="B6568" s="78" t="s">
        <v>21</v>
      </c>
      <c r="C6568" s="85">
        <v>45562.0</v>
      </c>
      <c r="D6568" s="85">
        <v>45562.0</v>
      </c>
      <c r="E6568" s="86">
        <v>22.94</v>
      </c>
      <c r="F6568" s="87">
        <v>24.92</v>
      </c>
      <c r="G6568" s="88">
        <f t="shared" si="1"/>
        <v>1.98</v>
      </c>
      <c r="H6568" s="89">
        <f t="shared" si="18"/>
        <v>0.07945425361</v>
      </c>
      <c r="I6568" s="78" t="s">
        <v>7512</v>
      </c>
      <c r="J6568" s="78" t="s">
        <v>69</v>
      </c>
      <c r="K6568" s="58">
        <f t="shared" si="17"/>
        <v>0</v>
      </c>
      <c r="L6568" s="91" t="str">
        <f t="shared" si="8"/>
        <v>Fri</v>
      </c>
      <c r="M6568" s="78" t="str">
        <f>IFERROR(VLOOKUP(A6568, Entries!A:B,2,false),"")</f>
        <v/>
      </c>
      <c r="N6568" s="23" t="str">
        <f>IFERROR(VLOOKUP(A6568, Entries!A:K,11,false),"")</f>
        <v/>
      </c>
    </row>
    <row r="6569">
      <c r="A6569" s="78" t="s">
        <v>7426</v>
      </c>
      <c r="B6569" s="78" t="s">
        <v>22</v>
      </c>
      <c r="C6569" s="85">
        <v>45562.0</v>
      </c>
      <c r="D6569" s="85">
        <v>45562.0</v>
      </c>
      <c r="E6569" s="86">
        <v>19.65</v>
      </c>
      <c r="F6569" s="87">
        <v>27.61</v>
      </c>
      <c r="G6569" s="88">
        <f t="shared" si="1"/>
        <v>7.96</v>
      </c>
      <c r="H6569" s="89">
        <f t="shared" si="18"/>
        <v>0.2883013401</v>
      </c>
      <c r="I6569" s="78" t="s">
        <v>7513</v>
      </c>
      <c r="J6569" s="78" t="s">
        <v>69</v>
      </c>
      <c r="K6569" s="58">
        <f t="shared" si="17"/>
        <v>0</v>
      </c>
      <c r="L6569" s="91" t="str">
        <f t="shared" si="8"/>
        <v>Fri</v>
      </c>
      <c r="M6569" s="78" t="str">
        <f>IFERROR(VLOOKUP(A6569, Entries!A:B,2,false),"")</f>
        <v>Nacon</v>
      </c>
      <c r="N6569" s="23" t="str">
        <f>IFERROR(VLOOKUP(A6569, Entries!A:K,11,false),"")</f>
        <v/>
      </c>
    </row>
    <row r="6570">
      <c r="A6570" s="78" t="s">
        <v>7426</v>
      </c>
      <c r="B6570" s="78" t="s">
        <v>22</v>
      </c>
      <c r="C6570" s="85">
        <v>45562.0</v>
      </c>
      <c r="D6570" s="85">
        <v>45563.0</v>
      </c>
      <c r="E6570" s="86">
        <v>19.66</v>
      </c>
      <c r="F6570" s="87">
        <v>27.61</v>
      </c>
      <c r="G6570" s="88">
        <f t="shared" si="1"/>
        <v>7.95</v>
      </c>
      <c r="H6570" s="89">
        <f t="shared" si="18"/>
        <v>0.2879391525</v>
      </c>
      <c r="I6570" s="78" t="s">
        <v>7514</v>
      </c>
      <c r="J6570" s="78" t="s">
        <v>69</v>
      </c>
      <c r="K6570" s="58">
        <f t="shared" si="17"/>
        <v>1</v>
      </c>
      <c r="L6570" s="91" t="str">
        <f t="shared" si="8"/>
        <v>Sat</v>
      </c>
      <c r="M6570" s="78" t="str">
        <f>IFERROR(VLOOKUP(A6570, Entries!A:B,2,false),"")</f>
        <v>Nacon</v>
      </c>
      <c r="N6570" s="23" t="str">
        <f>IFERROR(VLOOKUP(A6570, Entries!A:K,11,false),"")</f>
        <v/>
      </c>
    </row>
    <row r="6571">
      <c r="A6571" s="78" t="s">
        <v>7515</v>
      </c>
      <c r="B6571" s="78" t="s">
        <v>22</v>
      </c>
      <c r="C6571" s="85">
        <v>45562.0</v>
      </c>
      <c r="D6571" s="85">
        <v>45564.0</v>
      </c>
      <c r="E6571" s="86">
        <v>9.95</v>
      </c>
      <c r="F6571" s="87">
        <v>13.01</v>
      </c>
      <c r="G6571" s="88">
        <f t="shared" si="1"/>
        <v>3.06</v>
      </c>
      <c r="H6571" s="89">
        <f t="shared" si="18"/>
        <v>0.2352036895</v>
      </c>
      <c r="I6571" s="78" t="s">
        <v>7516</v>
      </c>
      <c r="J6571" s="78" t="s">
        <v>69</v>
      </c>
      <c r="K6571" s="58">
        <f t="shared" si="17"/>
        <v>2</v>
      </c>
      <c r="L6571" s="91" t="str">
        <f t="shared" si="8"/>
        <v>Sun</v>
      </c>
      <c r="M6571" s="98" t="str">
        <f>IFERROR(VLOOKUP(A6571, Entries!A:B,2,false),"")</f>
        <v>indie.io</v>
      </c>
      <c r="N6571" s="23" t="str">
        <f>IFERROR(VLOOKUP(A6571, Entries!A:K,11,false),"")</f>
        <v/>
      </c>
    </row>
    <row r="6572">
      <c r="A6572" s="78" t="s">
        <v>7517</v>
      </c>
      <c r="B6572" s="78" t="s">
        <v>22</v>
      </c>
      <c r="C6572" s="85">
        <v>45562.0</v>
      </c>
      <c r="D6572" s="85">
        <v>45563.0</v>
      </c>
      <c r="E6572" s="86">
        <v>19.89</v>
      </c>
      <c r="F6572" s="87">
        <v>24.47</v>
      </c>
      <c r="G6572" s="88">
        <f t="shared" si="1"/>
        <v>4.58</v>
      </c>
      <c r="H6572" s="89">
        <f t="shared" si="18"/>
        <v>0.1871679608</v>
      </c>
      <c r="I6572" s="78" t="s">
        <v>7518</v>
      </c>
      <c r="J6572" s="78" t="s">
        <v>69</v>
      </c>
      <c r="K6572" s="58">
        <f t="shared" si="17"/>
        <v>1</v>
      </c>
      <c r="L6572" s="91" t="str">
        <f t="shared" si="8"/>
        <v>Sat</v>
      </c>
      <c r="M6572" s="78" t="str">
        <f>IFERROR(VLOOKUP(A6572, Entries!A:B,2,false),"")</f>
        <v>Nacon</v>
      </c>
      <c r="N6572" s="23" t="str">
        <f>IFERROR(VLOOKUP(A6572, Entries!A:K,11,false),"")</f>
        <v/>
      </c>
    </row>
    <row r="6573">
      <c r="A6573" s="78" t="s">
        <v>7426</v>
      </c>
      <c r="B6573" s="78" t="s">
        <v>22</v>
      </c>
      <c r="C6573" s="85">
        <v>45562.0</v>
      </c>
      <c r="D6573" s="85">
        <v>45563.0</v>
      </c>
      <c r="E6573" s="86">
        <v>19.65</v>
      </c>
      <c r="F6573" s="87">
        <v>27.61</v>
      </c>
      <c r="G6573" s="88">
        <f t="shared" si="1"/>
        <v>7.96</v>
      </c>
      <c r="H6573" s="89">
        <f t="shared" si="18"/>
        <v>0.2883013401</v>
      </c>
      <c r="I6573" s="78" t="s">
        <v>7519</v>
      </c>
      <c r="J6573" s="78" t="s">
        <v>69</v>
      </c>
      <c r="K6573" s="58">
        <f t="shared" si="17"/>
        <v>1</v>
      </c>
      <c r="L6573" s="91" t="str">
        <f t="shared" si="8"/>
        <v>Sat</v>
      </c>
      <c r="M6573" s="78" t="str">
        <f>IFERROR(VLOOKUP(A6573, Entries!A:B,2,false),"")</f>
        <v>Nacon</v>
      </c>
      <c r="N6573" s="23" t="str">
        <f>IFERROR(VLOOKUP(A6573, Entries!A:K,11,false),"")</f>
        <v/>
      </c>
    </row>
    <row r="6574">
      <c r="A6574" s="78" t="s">
        <v>7426</v>
      </c>
      <c r="B6574" s="78" t="s">
        <v>22</v>
      </c>
      <c r="C6574" s="85">
        <v>45562.0</v>
      </c>
      <c r="D6574" s="85">
        <v>45563.0</v>
      </c>
      <c r="E6574" s="86">
        <v>19.66</v>
      </c>
      <c r="F6574" s="87">
        <v>27.61</v>
      </c>
      <c r="G6574" s="88">
        <f t="shared" si="1"/>
        <v>7.95</v>
      </c>
      <c r="H6574" s="89">
        <f t="shared" si="18"/>
        <v>0.2879391525</v>
      </c>
      <c r="I6574" s="78" t="s">
        <v>7520</v>
      </c>
      <c r="J6574" s="78" t="s">
        <v>69</v>
      </c>
      <c r="K6574" s="58">
        <f t="shared" si="17"/>
        <v>1</v>
      </c>
      <c r="L6574" s="91" t="str">
        <f t="shared" si="8"/>
        <v>Sat</v>
      </c>
      <c r="M6574" s="78" t="str">
        <f>IFERROR(VLOOKUP(A6574, Entries!A:B,2,false),"")</f>
        <v>Nacon</v>
      </c>
      <c r="N6574" s="23" t="str">
        <f>IFERROR(VLOOKUP(A6574, Entries!A:K,11,false),"")</f>
        <v/>
      </c>
    </row>
    <row r="6575">
      <c r="A6575" s="78" t="s">
        <v>7426</v>
      </c>
      <c r="B6575" s="78" t="s">
        <v>22</v>
      </c>
      <c r="C6575" s="85">
        <v>45563.0</v>
      </c>
      <c r="D6575" s="85">
        <v>45563.0</v>
      </c>
      <c r="E6575" s="86">
        <v>19.65</v>
      </c>
      <c r="F6575" s="87">
        <v>27.61</v>
      </c>
      <c r="G6575" s="88">
        <f t="shared" si="1"/>
        <v>7.96</v>
      </c>
      <c r="H6575" s="89">
        <f t="shared" si="18"/>
        <v>0.2883013401</v>
      </c>
      <c r="I6575" s="78" t="s">
        <v>7521</v>
      </c>
      <c r="J6575" s="78" t="s">
        <v>69</v>
      </c>
      <c r="K6575" s="58">
        <f t="shared" si="17"/>
        <v>0</v>
      </c>
      <c r="L6575" s="91" t="str">
        <f t="shared" si="8"/>
        <v>Sat</v>
      </c>
      <c r="M6575" s="78" t="str">
        <f>IFERROR(VLOOKUP(A6575, Entries!A:B,2,false),"")</f>
        <v>Nacon</v>
      </c>
      <c r="N6575" s="23" t="str">
        <f>IFERROR(VLOOKUP(A6575, Entries!A:K,11,false),"")</f>
        <v/>
      </c>
    </row>
    <row r="6576">
      <c r="A6576" s="78" t="s">
        <v>7426</v>
      </c>
      <c r="B6576" s="78" t="s">
        <v>22</v>
      </c>
      <c r="C6576" s="85">
        <v>45563.0</v>
      </c>
      <c r="D6576" s="85">
        <v>45563.0</v>
      </c>
      <c r="E6576" s="86">
        <v>19.66</v>
      </c>
      <c r="F6576" s="87">
        <v>27.61</v>
      </c>
      <c r="G6576" s="88">
        <f t="shared" si="1"/>
        <v>7.95</v>
      </c>
      <c r="H6576" s="89">
        <f t="shared" si="18"/>
        <v>0.2879391525</v>
      </c>
      <c r="I6576" s="78" t="s">
        <v>7522</v>
      </c>
      <c r="J6576" s="78" t="s">
        <v>69</v>
      </c>
      <c r="K6576" s="58">
        <f t="shared" si="17"/>
        <v>0</v>
      </c>
      <c r="L6576" s="91" t="str">
        <f t="shared" si="8"/>
        <v>Sat</v>
      </c>
      <c r="M6576" s="78" t="str">
        <f>IFERROR(VLOOKUP(A6576, Entries!A:B,2,false),"")</f>
        <v>Nacon</v>
      </c>
      <c r="N6576" s="23" t="str">
        <f>IFERROR(VLOOKUP(A6576, Entries!A:K,11,false),"")</f>
        <v/>
      </c>
    </row>
    <row r="6577">
      <c r="A6577" s="78" t="s">
        <v>7426</v>
      </c>
      <c r="B6577" s="78" t="s">
        <v>22</v>
      </c>
      <c r="C6577" s="85">
        <v>45563.0</v>
      </c>
      <c r="D6577" s="85">
        <v>45563.0</v>
      </c>
      <c r="E6577" s="86">
        <v>19.65</v>
      </c>
      <c r="F6577" s="87">
        <v>27.61</v>
      </c>
      <c r="G6577" s="88">
        <f t="shared" si="1"/>
        <v>7.96</v>
      </c>
      <c r="H6577" s="89">
        <f t="shared" si="18"/>
        <v>0.2883013401</v>
      </c>
      <c r="I6577" s="78" t="s">
        <v>7523</v>
      </c>
      <c r="J6577" s="78" t="s">
        <v>69</v>
      </c>
      <c r="K6577" s="58">
        <f t="shared" si="17"/>
        <v>0</v>
      </c>
      <c r="L6577" s="91" t="str">
        <f t="shared" si="8"/>
        <v>Sat</v>
      </c>
      <c r="M6577" s="78" t="str">
        <f>IFERROR(VLOOKUP(A6577, Entries!A:B,2,false),"")</f>
        <v>Nacon</v>
      </c>
      <c r="N6577" s="23" t="str">
        <f>IFERROR(VLOOKUP(A6577, Entries!A:K,11,false),"")</f>
        <v/>
      </c>
    </row>
    <row r="6578">
      <c r="A6578" s="78" t="s">
        <v>7426</v>
      </c>
      <c r="B6578" s="78" t="s">
        <v>22</v>
      </c>
      <c r="C6578" s="85">
        <v>45563.0</v>
      </c>
      <c r="D6578" s="85">
        <v>45563.0</v>
      </c>
      <c r="E6578" s="86">
        <v>19.66</v>
      </c>
      <c r="F6578" s="87">
        <v>27.59</v>
      </c>
      <c r="G6578" s="88">
        <f t="shared" si="1"/>
        <v>7.93</v>
      </c>
      <c r="H6578" s="89">
        <f t="shared" si="18"/>
        <v>0.2874229793</v>
      </c>
      <c r="I6578" s="78" t="s">
        <v>7524</v>
      </c>
      <c r="J6578" s="78" t="s">
        <v>69</v>
      </c>
      <c r="K6578" s="58">
        <f t="shared" si="17"/>
        <v>0</v>
      </c>
      <c r="L6578" s="91" t="str">
        <f t="shared" si="8"/>
        <v>Sat</v>
      </c>
      <c r="M6578" s="78" t="str">
        <f>IFERROR(VLOOKUP(A6578, Entries!A:B,2,false),"")</f>
        <v>Nacon</v>
      </c>
      <c r="N6578" s="23" t="str">
        <f>IFERROR(VLOOKUP(A6578, Entries!A:K,11,false),"")</f>
        <v/>
      </c>
    </row>
    <row r="6579">
      <c r="A6579" s="78" t="s">
        <v>7517</v>
      </c>
      <c r="B6579" s="78" t="s">
        <v>22</v>
      </c>
      <c r="C6579" s="85">
        <v>45563.0</v>
      </c>
      <c r="D6579" s="85">
        <v>45563.0</v>
      </c>
      <c r="E6579" s="86">
        <v>19.89</v>
      </c>
      <c r="F6579" s="87">
        <v>24.45</v>
      </c>
      <c r="G6579" s="88">
        <f t="shared" si="1"/>
        <v>4.56</v>
      </c>
      <c r="H6579" s="89">
        <f t="shared" si="18"/>
        <v>0.1865030675</v>
      </c>
      <c r="I6579" s="78" t="s">
        <v>7525</v>
      </c>
      <c r="J6579" s="78" t="s">
        <v>69</v>
      </c>
      <c r="K6579" s="58">
        <f t="shared" si="17"/>
        <v>0</v>
      </c>
      <c r="L6579" s="91" t="str">
        <f t="shared" si="8"/>
        <v>Sat</v>
      </c>
      <c r="M6579" s="78" t="str">
        <f>IFERROR(VLOOKUP(A6579, Entries!A:B,2,false),"")</f>
        <v>Nacon</v>
      </c>
      <c r="N6579" s="23" t="str">
        <f>IFERROR(VLOOKUP(A6579, Entries!A:K,11,false),"")</f>
        <v/>
      </c>
    </row>
    <row r="6580">
      <c r="A6580" s="78" t="s">
        <v>7426</v>
      </c>
      <c r="B6580" s="78" t="s">
        <v>22</v>
      </c>
      <c r="C6580" s="85">
        <v>45563.0</v>
      </c>
      <c r="D6580" s="85">
        <v>45563.0</v>
      </c>
      <c r="E6580" s="86">
        <v>19.65</v>
      </c>
      <c r="F6580" s="87">
        <v>27.59</v>
      </c>
      <c r="G6580" s="88">
        <f t="shared" si="1"/>
        <v>7.94</v>
      </c>
      <c r="H6580" s="89">
        <f t="shared" si="18"/>
        <v>0.2877854295</v>
      </c>
      <c r="I6580" s="78" t="s">
        <v>7526</v>
      </c>
      <c r="J6580" s="78" t="s">
        <v>69</v>
      </c>
      <c r="K6580" s="58">
        <f t="shared" si="17"/>
        <v>0</v>
      </c>
      <c r="L6580" s="91" t="str">
        <f t="shared" si="8"/>
        <v>Sat</v>
      </c>
      <c r="M6580" s="78" t="str">
        <f>IFERROR(VLOOKUP(A6580, Entries!A:B,2,false),"")</f>
        <v>Nacon</v>
      </c>
      <c r="N6580" s="23" t="str">
        <f>IFERROR(VLOOKUP(A6580, Entries!A:K,11,false),"")</f>
        <v/>
      </c>
    </row>
    <row r="6581">
      <c r="A6581" s="78" t="s">
        <v>7426</v>
      </c>
      <c r="B6581" s="78" t="s">
        <v>22</v>
      </c>
      <c r="C6581" s="85">
        <v>45563.0</v>
      </c>
      <c r="D6581" s="85">
        <v>45563.0</v>
      </c>
      <c r="E6581" s="86">
        <v>19.66</v>
      </c>
      <c r="F6581" s="87">
        <v>27.57</v>
      </c>
      <c r="G6581" s="88">
        <f t="shared" si="1"/>
        <v>7.91</v>
      </c>
      <c r="H6581" s="89">
        <f t="shared" si="18"/>
        <v>0.2869060573</v>
      </c>
      <c r="I6581" s="78" t="s">
        <v>7527</v>
      </c>
      <c r="J6581" s="78" t="s">
        <v>69</v>
      </c>
      <c r="K6581" s="58">
        <f t="shared" si="17"/>
        <v>0</v>
      </c>
      <c r="L6581" s="91" t="str">
        <f t="shared" si="8"/>
        <v>Sat</v>
      </c>
      <c r="M6581" s="78" t="str">
        <f>IFERROR(VLOOKUP(A6581, Entries!A:B,2,false),"")</f>
        <v>Nacon</v>
      </c>
      <c r="N6581" s="23" t="str">
        <f>IFERROR(VLOOKUP(A6581, Entries!A:K,11,false),"")</f>
        <v/>
      </c>
    </row>
    <row r="6582">
      <c r="A6582" s="78" t="s">
        <v>7517</v>
      </c>
      <c r="B6582" s="78" t="s">
        <v>22</v>
      </c>
      <c r="C6582" s="85">
        <v>45563.0</v>
      </c>
      <c r="D6582" s="85">
        <v>45563.0</v>
      </c>
      <c r="E6582" s="86">
        <v>19.89</v>
      </c>
      <c r="F6582" s="87">
        <v>24.45</v>
      </c>
      <c r="G6582" s="88">
        <f t="shared" si="1"/>
        <v>4.56</v>
      </c>
      <c r="H6582" s="89">
        <f t="shared" si="18"/>
        <v>0.1865030675</v>
      </c>
      <c r="I6582" s="78" t="s">
        <v>7528</v>
      </c>
      <c r="J6582" s="78" t="s">
        <v>69</v>
      </c>
      <c r="K6582" s="58">
        <f t="shared" si="17"/>
        <v>0</v>
      </c>
      <c r="L6582" s="91" t="str">
        <f t="shared" si="8"/>
        <v>Sat</v>
      </c>
      <c r="M6582" s="78" t="str">
        <f>IFERROR(VLOOKUP(A6582, Entries!A:B,2,false),"")</f>
        <v>Nacon</v>
      </c>
      <c r="N6582" s="23" t="str">
        <f>IFERROR(VLOOKUP(A6582, Entries!A:K,11,false),"")</f>
        <v/>
      </c>
    </row>
    <row r="6583">
      <c r="A6583" s="78" t="s">
        <v>7517</v>
      </c>
      <c r="B6583" s="78" t="s">
        <v>22</v>
      </c>
      <c r="C6583" s="85">
        <v>45563.0</v>
      </c>
      <c r="D6583" s="85">
        <v>45563.0</v>
      </c>
      <c r="E6583" s="86">
        <v>19.89</v>
      </c>
      <c r="F6583" s="87">
        <v>24.45</v>
      </c>
      <c r="G6583" s="88">
        <f t="shared" si="1"/>
        <v>4.56</v>
      </c>
      <c r="H6583" s="89">
        <f t="shared" si="18"/>
        <v>0.1865030675</v>
      </c>
      <c r="I6583" s="78" t="s">
        <v>7529</v>
      </c>
      <c r="J6583" s="78" t="s">
        <v>69</v>
      </c>
      <c r="K6583" s="58">
        <f t="shared" si="17"/>
        <v>0</v>
      </c>
      <c r="L6583" s="91" t="str">
        <f t="shared" si="8"/>
        <v>Sat</v>
      </c>
      <c r="M6583" s="78" t="str">
        <f>IFERROR(VLOOKUP(A6583, Entries!A:B,2,false),"")</f>
        <v>Nacon</v>
      </c>
      <c r="N6583" s="23" t="str">
        <f>IFERROR(VLOOKUP(A6583, Entries!A:K,11,false),"")</f>
        <v/>
      </c>
    </row>
    <row r="6584">
      <c r="A6584" s="78" t="s">
        <v>7517</v>
      </c>
      <c r="B6584" s="78" t="s">
        <v>22</v>
      </c>
      <c r="C6584" s="85">
        <v>45563.0</v>
      </c>
      <c r="D6584" s="85">
        <v>45563.0</v>
      </c>
      <c r="E6584" s="86">
        <v>19.89</v>
      </c>
      <c r="F6584" s="87">
        <v>24.39</v>
      </c>
      <c r="G6584" s="88">
        <f t="shared" si="1"/>
        <v>4.5</v>
      </c>
      <c r="H6584" s="89">
        <f t="shared" si="18"/>
        <v>0.184501845</v>
      </c>
      <c r="I6584" s="78" t="s">
        <v>7530</v>
      </c>
      <c r="J6584" s="78" t="s">
        <v>69</v>
      </c>
      <c r="K6584" s="58">
        <f t="shared" si="17"/>
        <v>0</v>
      </c>
      <c r="L6584" s="91" t="str">
        <f t="shared" si="8"/>
        <v>Sat</v>
      </c>
      <c r="M6584" s="78" t="str">
        <f>IFERROR(VLOOKUP(A6584, Entries!A:B,2,false),"")</f>
        <v>Nacon</v>
      </c>
      <c r="N6584" s="23" t="str">
        <f>IFERROR(VLOOKUP(A6584, Entries!A:K,11,false),"")</f>
        <v/>
      </c>
    </row>
    <row r="6585">
      <c r="A6585" s="78" t="s">
        <v>7517</v>
      </c>
      <c r="B6585" s="78" t="s">
        <v>22</v>
      </c>
      <c r="C6585" s="85">
        <v>45563.0</v>
      </c>
      <c r="D6585" s="85">
        <v>45565.0</v>
      </c>
      <c r="E6585" s="86">
        <v>19.89</v>
      </c>
      <c r="F6585" s="87">
        <v>24.2</v>
      </c>
      <c r="G6585" s="88">
        <f t="shared" si="1"/>
        <v>4.31</v>
      </c>
      <c r="H6585" s="89">
        <f t="shared" si="18"/>
        <v>0.1780991736</v>
      </c>
      <c r="I6585" s="78" t="s">
        <v>7531</v>
      </c>
      <c r="J6585" s="78" t="s">
        <v>69</v>
      </c>
      <c r="K6585" s="58">
        <f t="shared" si="17"/>
        <v>2</v>
      </c>
      <c r="L6585" s="91" t="str">
        <f t="shared" si="8"/>
        <v>Mon</v>
      </c>
      <c r="M6585" s="78" t="str">
        <f>IFERROR(VLOOKUP(A6585, Entries!A:B,2,false),"")</f>
        <v>Nacon</v>
      </c>
      <c r="N6585" s="23" t="str">
        <f>IFERROR(VLOOKUP(A6585, Entries!A:K,11,false),"")</f>
        <v/>
      </c>
    </row>
    <row r="6586">
      <c r="A6586" s="78" t="s">
        <v>7426</v>
      </c>
      <c r="B6586" s="78" t="s">
        <v>22</v>
      </c>
      <c r="C6586" s="85">
        <v>45563.0</v>
      </c>
      <c r="D6586" s="85">
        <v>45563.0</v>
      </c>
      <c r="E6586" s="86">
        <v>19.65</v>
      </c>
      <c r="F6586" s="87">
        <v>27.57</v>
      </c>
      <c r="G6586" s="88">
        <f t="shared" si="1"/>
        <v>7.92</v>
      </c>
      <c r="H6586" s="89">
        <f t="shared" si="18"/>
        <v>0.2872687704</v>
      </c>
      <c r="I6586" s="78" t="s">
        <v>7532</v>
      </c>
      <c r="J6586" s="78" t="s">
        <v>69</v>
      </c>
      <c r="K6586" s="58">
        <f t="shared" si="17"/>
        <v>0</v>
      </c>
      <c r="L6586" s="91" t="str">
        <f t="shared" si="8"/>
        <v>Sat</v>
      </c>
      <c r="M6586" s="78" t="str">
        <f>IFERROR(VLOOKUP(A6586, Entries!A:B,2,false),"")</f>
        <v>Nacon</v>
      </c>
      <c r="N6586" s="23" t="str">
        <f>IFERROR(VLOOKUP(A6586, Entries!A:K,11,false),"")</f>
        <v/>
      </c>
    </row>
    <row r="6587">
      <c r="A6587" s="78" t="s">
        <v>7426</v>
      </c>
      <c r="B6587" s="78" t="s">
        <v>22</v>
      </c>
      <c r="C6587" s="85">
        <v>45563.0</v>
      </c>
      <c r="D6587" s="85">
        <v>45563.0</v>
      </c>
      <c r="E6587" s="86">
        <v>19.66</v>
      </c>
      <c r="F6587" s="87">
        <v>27.57</v>
      </c>
      <c r="G6587" s="88">
        <f t="shared" si="1"/>
        <v>7.91</v>
      </c>
      <c r="H6587" s="89">
        <f t="shared" si="18"/>
        <v>0.2869060573</v>
      </c>
      <c r="I6587" s="78" t="s">
        <v>7533</v>
      </c>
      <c r="J6587" s="78" t="s">
        <v>69</v>
      </c>
      <c r="K6587" s="58">
        <f t="shared" si="17"/>
        <v>0</v>
      </c>
      <c r="L6587" s="91" t="str">
        <f t="shared" si="8"/>
        <v>Sat</v>
      </c>
      <c r="M6587" s="78" t="str">
        <f>IFERROR(VLOOKUP(A6587, Entries!A:B,2,false),"")</f>
        <v>Nacon</v>
      </c>
      <c r="N6587" s="23" t="str">
        <f>IFERROR(VLOOKUP(A6587, Entries!A:K,11,false),"")</f>
        <v/>
      </c>
    </row>
    <row r="6588">
      <c r="A6588" s="78" t="s">
        <v>7534</v>
      </c>
      <c r="B6588" s="78" t="s">
        <v>25</v>
      </c>
      <c r="C6588" s="85">
        <v>45563.0</v>
      </c>
      <c r="D6588" s="85">
        <v>45586.0</v>
      </c>
      <c r="E6588" s="86">
        <v>0.0</v>
      </c>
      <c r="F6588" s="87">
        <v>0.45</v>
      </c>
      <c r="G6588" s="88">
        <f t="shared" si="1"/>
        <v>0.45</v>
      </c>
      <c r="H6588" s="89">
        <f t="shared" si="18"/>
        <v>1</v>
      </c>
      <c r="I6588" s="78" t="s">
        <v>7535</v>
      </c>
      <c r="J6588" s="78" t="s">
        <v>69</v>
      </c>
      <c r="K6588" s="58">
        <f t="shared" si="17"/>
        <v>23</v>
      </c>
      <c r="L6588" s="91" t="str">
        <f t="shared" si="8"/>
        <v>Mon</v>
      </c>
      <c r="M6588" s="78" t="str">
        <f>IFERROR(VLOOKUP(A6588, Entries!A:B,2,false),"")</f>
        <v/>
      </c>
      <c r="N6588" s="23" t="str">
        <f>IFERROR(VLOOKUP(A6588, Entries!A:K,11,false),"")</f>
        <v/>
      </c>
    </row>
    <row r="6589">
      <c r="A6589" s="78" t="s">
        <v>7536</v>
      </c>
      <c r="B6589" s="78" t="s">
        <v>22</v>
      </c>
      <c r="C6589" s="85">
        <v>45563.0</v>
      </c>
      <c r="D6589" s="85">
        <v>45563.0</v>
      </c>
      <c r="E6589" s="86">
        <v>7.95</v>
      </c>
      <c r="F6589" s="87">
        <v>9.09</v>
      </c>
      <c r="G6589" s="88">
        <f t="shared" si="1"/>
        <v>1.14</v>
      </c>
      <c r="H6589" s="89">
        <f t="shared" si="18"/>
        <v>0.1254125413</v>
      </c>
      <c r="I6589" s="78" t="s">
        <v>7537</v>
      </c>
      <c r="J6589" s="78" t="s">
        <v>69</v>
      </c>
      <c r="K6589" s="58">
        <f t="shared" si="17"/>
        <v>0</v>
      </c>
      <c r="L6589" s="91" t="str">
        <f t="shared" si="8"/>
        <v>Sat</v>
      </c>
      <c r="M6589" s="78" t="str">
        <f>IFERROR(VLOOKUP(A6589, Entries!A:B,2,false),"")</f>
        <v/>
      </c>
      <c r="N6589" s="23" t="str">
        <f>IFERROR(VLOOKUP(A6589, Entries!A:K,11,false),"")</f>
        <v/>
      </c>
    </row>
    <row r="6590">
      <c r="A6590" s="78" t="s">
        <v>7426</v>
      </c>
      <c r="B6590" s="78" t="s">
        <v>22</v>
      </c>
      <c r="C6590" s="85">
        <v>45563.0</v>
      </c>
      <c r="D6590" s="85">
        <v>45563.0</v>
      </c>
      <c r="E6590" s="86">
        <v>19.65</v>
      </c>
      <c r="F6590" s="87">
        <v>27.55</v>
      </c>
      <c r="G6590" s="88">
        <f t="shared" si="1"/>
        <v>7.9</v>
      </c>
      <c r="H6590" s="89">
        <f t="shared" si="18"/>
        <v>0.2867513612</v>
      </c>
      <c r="I6590" s="78" t="s">
        <v>7538</v>
      </c>
      <c r="J6590" s="78" t="s">
        <v>69</v>
      </c>
      <c r="K6590" s="58">
        <f t="shared" si="17"/>
        <v>0</v>
      </c>
      <c r="L6590" s="91" t="str">
        <f t="shared" si="8"/>
        <v>Sat</v>
      </c>
      <c r="M6590" s="78" t="str">
        <f>IFERROR(VLOOKUP(A6590, Entries!A:B,2,false),"")</f>
        <v>Nacon</v>
      </c>
      <c r="N6590" s="23" t="str">
        <f>IFERROR(VLOOKUP(A6590, Entries!A:K,11,false),"")</f>
        <v/>
      </c>
    </row>
    <row r="6591">
      <c r="A6591" s="78" t="s">
        <v>7426</v>
      </c>
      <c r="B6591" s="78" t="s">
        <v>22</v>
      </c>
      <c r="C6591" s="85">
        <v>45563.0</v>
      </c>
      <c r="D6591" s="85">
        <v>45563.0</v>
      </c>
      <c r="E6591" s="86">
        <v>19.65</v>
      </c>
      <c r="F6591" s="87">
        <v>27.57</v>
      </c>
      <c r="G6591" s="88">
        <f t="shared" si="1"/>
        <v>7.92</v>
      </c>
      <c r="H6591" s="89">
        <f t="shared" si="18"/>
        <v>0.2872687704</v>
      </c>
      <c r="I6591" s="78" t="s">
        <v>7539</v>
      </c>
      <c r="J6591" s="78" t="s">
        <v>69</v>
      </c>
      <c r="K6591" s="58">
        <f t="shared" si="17"/>
        <v>0</v>
      </c>
      <c r="L6591" s="91" t="str">
        <f t="shared" si="8"/>
        <v>Sat</v>
      </c>
      <c r="M6591" s="78" t="str">
        <f>IFERROR(VLOOKUP(A6591, Entries!A:B,2,false),"")</f>
        <v>Nacon</v>
      </c>
      <c r="N6591" s="23" t="str">
        <f>IFERROR(VLOOKUP(A6591, Entries!A:K,11,false),"")</f>
        <v/>
      </c>
    </row>
    <row r="6592">
      <c r="A6592" s="78" t="s">
        <v>7426</v>
      </c>
      <c r="B6592" s="78" t="s">
        <v>22</v>
      </c>
      <c r="C6592" s="85">
        <v>45563.0</v>
      </c>
      <c r="D6592" s="85">
        <v>45563.0</v>
      </c>
      <c r="E6592" s="86">
        <v>19.66</v>
      </c>
      <c r="F6592" s="87">
        <v>27.55</v>
      </c>
      <c r="G6592" s="88">
        <f t="shared" si="1"/>
        <v>7.89</v>
      </c>
      <c r="H6592" s="89">
        <f t="shared" si="18"/>
        <v>0.2863883848</v>
      </c>
      <c r="I6592" s="78" t="s">
        <v>7540</v>
      </c>
      <c r="J6592" s="78" t="s">
        <v>69</v>
      </c>
      <c r="K6592" s="58">
        <f t="shared" si="17"/>
        <v>0</v>
      </c>
      <c r="L6592" s="91" t="str">
        <f t="shared" si="8"/>
        <v>Sat</v>
      </c>
      <c r="M6592" s="78" t="str">
        <f>IFERROR(VLOOKUP(A6592, Entries!A:B,2,false),"")</f>
        <v>Nacon</v>
      </c>
      <c r="N6592" s="23" t="str">
        <f>IFERROR(VLOOKUP(A6592, Entries!A:K,11,false),"")</f>
        <v/>
      </c>
    </row>
    <row r="6593">
      <c r="A6593" s="78" t="s">
        <v>7426</v>
      </c>
      <c r="B6593" s="78" t="s">
        <v>22</v>
      </c>
      <c r="C6593" s="85">
        <v>45563.0</v>
      </c>
      <c r="D6593" s="85">
        <v>45564.0</v>
      </c>
      <c r="E6593" s="86">
        <v>19.66</v>
      </c>
      <c r="F6593" s="87">
        <v>27.55</v>
      </c>
      <c r="G6593" s="88">
        <f t="shared" si="1"/>
        <v>7.89</v>
      </c>
      <c r="H6593" s="89">
        <f t="shared" si="18"/>
        <v>0.2863883848</v>
      </c>
      <c r="I6593" s="78" t="s">
        <v>7541</v>
      </c>
      <c r="J6593" s="78" t="s">
        <v>69</v>
      </c>
      <c r="K6593" s="58">
        <f t="shared" si="17"/>
        <v>1</v>
      </c>
      <c r="L6593" s="91" t="str">
        <f t="shared" si="8"/>
        <v>Sun</v>
      </c>
      <c r="M6593" s="78" t="str">
        <f>IFERROR(VLOOKUP(A6593, Entries!A:B,2,false),"")</f>
        <v>Nacon</v>
      </c>
      <c r="N6593" s="23" t="str">
        <f>IFERROR(VLOOKUP(A6593, Entries!A:K,11,false),"")</f>
        <v/>
      </c>
    </row>
    <row r="6594">
      <c r="A6594" s="78" t="s">
        <v>7426</v>
      </c>
      <c r="B6594" s="78" t="s">
        <v>22</v>
      </c>
      <c r="C6594" s="85">
        <v>45563.0</v>
      </c>
      <c r="D6594" s="85">
        <v>45564.0</v>
      </c>
      <c r="E6594" s="86">
        <v>19.66</v>
      </c>
      <c r="F6594" s="87">
        <v>27.55</v>
      </c>
      <c r="G6594" s="88">
        <f t="shared" si="1"/>
        <v>7.89</v>
      </c>
      <c r="H6594" s="89">
        <f t="shared" si="18"/>
        <v>0.2863883848</v>
      </c>
      <c r="I6594" s="78" t="s">
        <v>7542</v>
      </c>
      <c r="J6594" s="78" t="s">
        <v>69</v>
      </c>
      <c r="K6594" s="58">
        <f t="shared" si="17"/>
        <v>1</v>
      </c>
      <c r="L6594" s="91" t="str">
        <f t="shared" si="8"/>
        <v>Sun</v>
      </c>
      <c r="M6594" s="78" t="str">
        <f>IFERROR(VLOOKUP(A6594, Entries!A:B,2,false),"")</f>
        <v>Nacon</v>
      </c>
      <c r="N6594" s="23" t="str">
        <f>IFERROR(VLOOKUP(A6594, Entries!A:K,11,false),"")</f>
        <v/>
      </c>
    </row>
    <row r="6595">
      <c r="A6595" s="78" t="s">
        <v>7426</v>
      </c>
      <c r="B6595" s="78" t="s">
        <v>22</v>
      </c>
      <c r="C6595" s="85">
        <v>45563.0</v>
      </c>
      <c r="D6595" s="85">
        <v>45564.0</v>
      </c>
      <c r="E6595" s="86">
        <v>19.65</v>
      </c>
      <c r="F6595" s="87">
        <v>27.55</v>
      </c>
      <c r="G6595" s="88">
        <f t="shared" si="1"/>
        <v>7.9</v>
      </c>
      <c r="H6595" s="89">
        <f t="shared" si="18"/>
        <v>0.2867513612</v>
      </c>
      <c r="I6595" s="78" t="s">
        <v>7543</v>
      </c>
      <c r="J6595" s="78" t="s">
        <v>69</v>
      </c>
      <c r="K6595" s="58">
        <f t="shared" si="17"/>
        <v>1</v>
      </c>
      <c r="L6595" s="91" t="str">
        <f t="shared" si="8"/>
        <v>Sun</v>
      </c>
      <c r="M6595" s="78" t="str">
        <f>IFERROR(VLOOKUP(A6595, Entries!A:B,2,false),"")</f>
        <v>Nacon</v>
      </c>
      <c r="N6595" s="23" t="str">
        <f>IFERROR(VLOOKUP(A6595, Entries!A:K,11,false),"")</f>
        <v/>
      </c>
    </row>
    <row r="6596">
      <c r="A6596" s="78" t="s">
        <v>7426</v>
      </c>
      <c r="B6596" s="78" t="s">
        <v>22</v>
      </c>
      <c r="C6596" s="85">
        <v>45563.0</v>
      </c>
      <c r="D6596" s="85">
        <v>45564.0</v>
      </c>
      <c r="E6596" s="86">
        <v>19.66</v>
      </c>
      <c r="F6596" s="87">
        <v>27.53</v>
      </c>
      <c r="G6596" s="88">
        <f t="shared" si="1"/>
        <v>7.87</v>
      </c>
      <c r="H6596" s="89">
        <f t="shared" si="18"/>
        <v>0.28586996</v>
      </c>
      <c r="I6596" s="78" t="s">
        <v>7544</v>
      </c>
      <c r="J6596" s="78" t="s">
        <v>69</v>
      </c>
      <c r="K6596" s="58">
        <f t="shared" si="17"/>
        <v>1</v>
      </c>
      <c r="L6596" s="91" t="str">
        <f t="shared" si="8"/>
        <v>Sun</v>
      </c>
      <c r="M6596" s="78" t="str">
        <f>IFERROR(VLOOKUP(A6596, Entries!A:B,2,false),"")</f>
        <v>Nacon</v>
      </c>
      <c r="N6596" s="23" t="str">
        <f>IFERROR(VLOOKUP(A6596, Entries!A:K,11,false),"")</f>
        <v/>
      </c>
    </row>
    <row r="6597">
      <c r="A6597" s="78" t="s">
        <v>7426</v>
      </c>
      <c r="B6597" s="78" t="s">
        <v>22</v>
      </c>
      <c r="C6597" s="85">
        <v>45563.0</v>
      </c>
      <c r="D6597" s="85">
        <v>45566.0</v>
      </c>
      <c r="E6597" s="86">
        <v>19.66</v>
      </c>
      <c r="F6597" s="87">
        <v>20.94</v>
      </c>
      <c r="G6597" s="88">
        <f t="shared" si="1"/>
        <v>1.28</v>
      </c>
      <c r="H6597" s="89">
        <f t="shared" si="18"/>
        <v>0.06112702961</v>
      </c>
      <c r="I6597" s="78" t="s">
        <v>7545</v>
      </c>
      <c r="J6597" s="78" t="s">
        <v>69</v>
      </c>
      <c r="K6597" s="58">
        <f t="shared" si="17"/>
        <v>3</v>
      </c>
      <c r="L6597" s="91" t="str">
        <f t="shared" si="8"/>
        <v>Tue</v>
      </c>
      <c r="M6597" s="78" t="str">
        <f>IFERROR(VLOOKUP(A6597, Entries!A:B,2,false),"")</f>
        <v>Nacon</v>
      </c>
      <c r="N6597" s="23" t="str">
        <f>IFERROR(VLOOKUP(A6597, Entries!A:K,11,false),"")</f>
        <v/>
      </c>
    </row>
    <row r="6598">
      <c r="A6598" s="78" t="s">
        <v>7426</v>
      </c>
      <c r="B6598" s="78" t="s">
        <v>22</v>
      </c>
      <c r="C6598" s="85">
        <v>45563.0</v>
      </c>
      <c r="D6598" s="85">
        <v>45597.0</v>
      </c>
      <c r="E6598" s="86">
        <v>19.66</v>
      </c>
      <c r="F6598" s="87">
        <v>22.61</v>
      </c>
      <c r="G6598" s="88">
        <f t="shared" si="1"/>
        <v>2.95</v>
      </c>
      <c r="H6598" s="89">
        <f t="shared" si="18"/>
        <v>0.1304732419</v>
      </c>
      <c r="I6598" s="78" t="s">
        <v>7546</v>
      </c>
      <c r="J6598" s="78" t="s">
        <v>69</v>
      </c>
      <c r="K6598" s="58">
        <f t="shared" si="17"/>
        <v>34</v>
      </c>
      <c r="L6598" s="91" t="str">
        <f t="shared" si="8"/>
        <v>Fri</v>
      </c>
      <c r="M6598" s="78" t="str">
        <f>IFERROR(VLOOKUP(A6598, Entries!A:B,2,false),"")</f>
        <v>Nacon</v>
      </c>
      <c r="N6598" s="23" t="str">
        <f>IFERROR(VLOOKUP(A6598, Entries!A:K,11,false),"")</f>
        <v/>
      </c>
    </row>
    <row r="6599">
      <c r="A6599" s="78" t="s">
        <v>7517</v>
      </c>
      <c r="B6599" s="78" t="s">
        <v>22</v>
      </c>
      <c r="C6599" s="85">
        <v>45563.0</v>
      </c>
      <c r="D6599" s="85">
        <v>45565.0</v>
      </c>
      <c r="E6599" s="86">
        <v>19.89</v>
      </c>
      <c r="F6599" s="87">
        <v>20.94</v>
      </c>
      <c r="G6599" s="88">
        <f t="shared" si="1"/>
        <v>1.05</v>
      </c>
      <c r="H6599" s="89">
        <f t="shared" si="18"/>
        <v>0.05014326648</v>
      </c>
      <c r="I6599" s="78" t="s">
        <v>7547</v>
      </c>
      <c r="J6599" s="78" t="s">
        <v>69</v>
      </c>
      <c r="K6599" s="58">
        <f t="shared" si="17"/>
        <v>2</v>
      </c>
      <c r="L6599" s="91" t="str">
        <f t="shared" si="8"/>
        <v>Mon</v>
      </c>
      <c r="M6599" s="78" t="str">
        <f>IFERROR(VLOOKUP(A6599, Entries!A:B,2,false),"")</f>
        <v>Nacon</v>
      </c>
      <c r="N6599" s="23" t="str">
        <f>IFERROR(VLOOKUP(A6599, Entries!A:K,11,false),"")</f>
        <v/>
      </c>
    </row>
    <row r="6600">
      <c r="A6600" s="78" t="s">
        <v>7092</v>
      </c>
      <c r="B6600" s="78" t="s">
        <v>23</v>
      </c>
      <c r="C6600" s="85">
        <v>45564.0</v>
      </c>
      <c r="D6600" s="85">
        <v>45568.0</v>
      </c>
      <c r="E6600" s="86">
        <v>8.42</v>
      </c>
      <c r="F6600" s="87">
        <v>10.4</v>
      </c>
      <c r="G6600" s="88">
        <f t="shared" si="1"/>
        <v>1.98</v>
      </c>
      <c r="H6600" s="89">
        <f t="shared" si="18"/>
        <v>0.1903846154</v>
      </c>
      <c r="I6600" s="78" t="s">
        <v>7548</v>
      </c>
      <c r="J6600" s="78" t="s">
        <v>69</v>
      </c>
      <c r="K6600" s="58">
        <f t="shared" si="17"/>
        <v>4</v>
      </c>
      <c r="L6600" s="91" t="str">
        <f t="shared" si="8"/>
        <v>Thu</v>
      </c>
      <c r="M6600" s="78" t="str">
        <f>IFERROR(VLOOKUP(A6600, Entries!A:B,2,false),"")</f>
        <v>IO Interactive</v>
      </c>
      <c r="N6600" s="23" t="str">
        <f>IFERROR(VLOOKUP(A6600, Entries!A:K,11,false),"")</f>
        <v/>
      </c>
    </row>
    <row r="6601">
      <c r="A6601" s="78" t="s">
        <v>7426</v>
      </c>
      <c r="B6601" s="78" t="s">
        <v>22</v>
      </c>
      <c r="C6601" s="85">
        <v>45564.0</v>
      </c>
      <c r="D6601" s="85">
        <v>45564.0</v>
      </c>
      <c r="E6601" s="86">
        <v>19.65</v>
      </c>
      <c r="F6601" s="87">
        <v>27.53</v>
      </c>
      <c r="G6601" s="88">
        <f t="shared" si="1"/>
        <v>7.88</v>
      </c>
      <c r="H6601" s="89">
        <f t="shared" si="18"/>
        <v>0.2862332001</v>
      </c>
      <c r="I6601" s="78" t="s">
        <v>7549</v>
      </c>
      <c r="J6601" s="78" t="s">
        <v>69</v>
      </c>
      <c r="K6601" s="58">
        <f t="shared" si="17"/>
        <v>0</v>
      </c>
      <c r="L6601" s="91" t="str">
        <f t="shared" si="8"/>
        <v>Sun</v>
      </c>
      <c r="M6601" s="78" t="str">
        <f>IFERROR(VLOOKUP(A6601, Entries!A:B,2,false),"")</f>
        <v>Nacon</v>
      </c>
      <c r="N6601" s="23" t="str">
        <f>IFERROR(VLOOKUP(A6601, Entries!A:K,11,false),"")</f>
        <v/>
      </c>
    </row>
    <row r="6602">
      <c r="A6602" s="78" t="s">
        <v>7426</v>
      </c>
      <c r="B6602" s="78" t="s">
        <v>22</v>
      </c>
      <c r="C6602" s="85">
        <v>45564.0</v>
      </c>
      <c r="D6602" s="85">
        <v>45564.0</v>
      </c>
      <c r="E6602" s="86">
        <v>19.66</v>
      </c>
      <c r="F6602" s="87">
        <v>27.53</v>
      </c>
      <c r="G6602" s="88">
        <f t="shared" si="1"/>
        <v>7.87</v>
      </c>
      <c r="H6602" s="89">
        <f t="shared" si="18"/>
        <v>0.28586996</v>
      </c>
      <c r="I6602" s="78" t="s">
        <v>7550</v>
      </c>
      <c r="J6602" s="78" t="s">
        <v>69</v>
      </c>
      <c r="K6602" s="58">
        <f t="shared" si="17"/>
        <v>0</v>
      </c>
      <c r="L6602" s="91" t="str">
        <f t="shared" si="8"/>
        <v>Sun</v>
      </c>
      <c r="M6602" s="78" t="str">
        <f>IFERROR(VLOOKUP(A6602, Entries!A:B,2,false),"")</f>
        <v>Nacon</v>
      </c>
      <c r="N6602" s="23" t="str">
        <f>IFERROR(VLOOKUP(A6602, Entries!A:K,11,false),"")</f>
        <v/>
      </c>
    </row>
    <row r="6603">
      <c r="A6603" s="78" t="s">
        <v>7426</v>
      </c>
      <c r="B6603" s="78" t="s">
        <v>22</v>
      </c>
      <c r="C6603" s="85">
        <v>45564.0</v>
      </c>
      <c r="D6603" s="85">
        <v>45564.0</v>
      </c>
      <c r="E6603" s="86">
        <v>19.65</v>
      </c>
      <c r="F6603" s="87">
        <v>27.53</v>
      </c>
      <c r="G6603" s="88">
        <f t="shared" si="1"/>
        <v>7.88</v>
      </c>
      <c r="H6603" s="89">
        <f t="shared" si="18"/>
        <v>0.2862332001</v>
      </c>
      <c r="I6603" s="78" t="s">
        <v>7551</v>
      </c>
      <c r="J6603" s="78" t="s">
        <v>69</v>
      </c>
      <c r="K6603" s="58">
        <f t="shared" si="17"/>
        <v>0</v>
      </c>
      <c r="L6603" s="91" t="str">
        <f t="shared" si="8"/>
        <v>Sun</v>
      </c>
      <c r="M6603" s="78" t="str">
        <f>IFERROR(VLOOKUP(A6603, Entries!A:B,2,false),"")</f>
        <v>Nacon</v>
      </c>
      <c r="N6603" s="23" t="str">
        <f>IFERROR(VLOOKUP(A6603, Entries!A:K,11,false),"")</f>
        <v/>
      </c>
    </row>
    <row r="6604">
      <c r="A6604" s="78" t="s">
        <v>7426</v>
      </c>
      <c r="B6604" s="78" t="s">
        <v>22</v>
      </c>
      <c r="C6604" s="85">
        <v>45564.0</v>
      </c>
      <c r="D6604" s="85">
        <v>45564.0</v>
      </c>
      <c r="E6604" s="86">
        <v>19.66</v>
      </c>
      <c r="F6604" s="87">
        <v>27.53</v>
      </c>
      <c r="G6604" s="88">
        <f t="shared" si="1"/>
        <v>7.87</v>
      </c>
      <c r="H6604" s="89">
        <f t="shared" si="18"/>
        <v>0.28586996</v>
      </c>
      <c r="I6604" s="78" t="s">
        <v>7552</v>
      </c>
      <c r="J6604" s="78" t="s">
        <v>69</v>
      </c>
      <c r="K6604" s="58">
        <f t="shared" si="17"/>
        <v>0</v>
      </c>
      <c r="L6604" s="91" t="str">
        <f t="shared" si="8"/>
        <v>Sun</v>
      </c>
      <c r="M6604" s="78" t="str">
        <f>IFERROR(VLOOKUP(A6604, Entries!A:B,2,false),"")</f>
        <v>Nacon</v>
      </c>
      <c r="N6604" s="23" t="str">
        <f>IFERROR(VLOOKUP(A6604, Entries!A:K,11,false),"")</f>
        <v/>
      </c>
    </row>
    <row r="6605">
      <c r="A6605" s="78" t="s">
        <v>7426</v>
      </c>
      <c r="B6605" s="78" t="s">
        <v>22</v>
      </c>
      <c r="C6605" s="85">
        <v>45564.0</v>
      </c>
      <c r="D6605" s="85">
        <v>45564.0</v>
      </c>
      <c r="E6605" s="86">
        <v>19.66</v>
      </c>
      <c r="F6605" s="87">
        <v>27.53</v>
      </c>
      <c r="G6605" s="88">
        <f t="shared" si="1"/>
        <v>7.87</v>
      </c>
      <c r="H6605" s="89">
        <f t="shared" si="18"/>
        <v>0.28586996</v>
      </c>
      <c r="I6605" s="78" t="s">
        <v>7553</v>
      </c>
      <c r="J6605" s="78" t="s">
        <v>69</v>
      </c>
      <c r="K6605" s="58">
        <f t="shared" si="17"/>
        <v>0</v>
      </c>
      <c r="L6605" s="91" t="str">
        <f t="shared" si="8"/>
        <v>Sun</v>
      </c>
      <c r="M6605" s="78" t="str">
        <f>IFERROR(VLOOKUP(A6605, Entries!A:B,2,false),"")</f>
        <v>Nacon</v>
      </c>
      <c r="N6605" s="23" t="str">
        <f>IFERROR(VLOOKUP(A6605, Entries!A:K,11,false),"")</f>
        <v/>
      </c>
    </row>
    <row r="6606">
      <c r="A6606" s="78" t="s">
        <v>7426</v>
      </c>
      <c r="B6606" s="78" t="s">
        <v>22</v>
      </c>
      <c r="C6606" s="85">
        <v>45564.0</v>
      </c>
      <c r="D6606" s="85">
        <v>45564.0</v>
      </c>
      <c r="E6606" s="86">
        <v>19.66</v>
      </c>
      <c r="F6606" s="87">
        <v>27.53</v>
      </c>
      <c r="G6606" s="88">
        <f t="shared" si="1"/>
        <v>7.87</v>
      </c>
      <c r="H6606" s="89">
        <f t="shared" si="18"/>
        <v>0.28586996</v>
      </c>
      <c r="I6606" s="78" t="s">
        <v>7554</v>
      </c>
      <c r="J6606" s="78" t="s">
        <v>69</v>
      </c>
      <c r="K6606" s="58">
        <f t="shared" si="17"/>
        <v>0</v>
      </c>
      <c r="L6606" s="91" t="str">
        <f t="shared" si="8"/>
        <v>Sun</v>
      </c>
      <c r="M6606" s="78" t="str">
        <f>IFERROR(VLOOKUP(A6606, Entries!A:B,2,false),"")</f>
        <v>Nacon</v>
      </c>
      <c r="N6606" s="23" t="str">
        <f>IFERROR(VLOOKUP(A6606, Entries!A:K,11,false),"")</f>
        <v/>
      </c>
    </row>
    <row r="6607">
      <c r="A6607" s="78" t="s">
        <v>7515</v>
      </c>
      <c r="B6607" s="78" t="s">
        <v>22</v>
      </c>
      <c r="C6607" s="85">
        <v>45564.0</v>
      </c>
      <c r="D6607" s="85">
        <v>45565.0</v>
      </c>
      <c r="E6607" s="86">
        <v>9.95</v>
      </c>
      <c r="F6607" s="87">
        <v>11.86</v>
      </c>
      <c r="G6607" s="88">
        <f t="shared" si="1"/>
        <v>1.91</v>
      </c>
      <c r="H6607" s="89">
        <f t="shared" si="18"/>
        <v>0.1610455312</v>
      </c>
      <c r="I6607" s="78" t="s">
        <v>7555</v>
      </c>
      <c r="J6607" s="78" t="s">
        <v>69</v>
      </c>
      <c r="K6607" s="58">
        <f t="shared" si="17"/>
        <v>1</v>
      </c>
      <c r="L6607" s="91" t="str">
        <f t="shared" si="8"/>
        <v>Mon</v>
      </c>
      <c r="M6607" s="108" t="str">
        <f>IFERROR(VLOOKUP(A6607, Entries!A:B,2,false),"")</f>
        <v>indie.io</v>
      </c>
      <c r="N6607" s="23" t="str">
        <f>IFERROR(VLOOKUP(A6607, Entries!A:K,11,false),"")</f>
        <v/>
      </c>
    </row>
    <row r="6608">
      <c r="A6608" s="78" t="s">
        <v>7426</v>
      </c>
      <c r="B6608" s="78" t="s">
        <v>22</v>
      </c>
      <c r="C6608" s="85">
        <v>45564.0</v>
      </c>
      <c r="D6608" s="85">
        <v>45564.0</v>
      </c>
      <c r="E6608" s="86">
        <v>19.65</v>
      </c>
      <c r="F6608" s="87">
        <v>27.53</v>
      </c>
      <c r="G6608" s="88">
        <f t="shared" si="1"/>
        <v>7.88</v>
      </c>
      <c r="H6608" s="89">
        <f t="shared" si="18"/>
        <v>0.2862332001</v>
      </c>
      <c r="I6608" s="78" t="s">
        <v>7556</v>
      </c>
      <c r="J6608" s="78" t="s">
        <v>69</v>
      </c>
      <c r="K6608" s="58">
        <f t="shared" si="17"/>
        <v>0</v>
      </c>
      <c r="L6608" s="91" t="str">
        <f t="shared" si="8"/>
        <v>Sun</v>
      </c>
      <c r="M6608" s="78" t="str">
        <f>IFERROR(VLOOKUP(A6608, Entries!A:B,2,false),"")</f>
        <v>Nacon</v>
      </c>
      <c r="N6608" s="23" t="str">
        <f>IFERROR(VLOOKUP(A6608, Entries!A:K,11,false),"")</f>
        <v/>
      </c>
    </row>
    <row r="6609">
      <c r="A6609" s="78" t="s">
        <v>7426</v>
      </c>
      <c r="B6609" s="78" t="s">
        <v>22</v>
      </c>
      <c r="C6609" s="85">
        <v>45564.0</v>
      </c>
      <c r="D6609" s="85">
        <v>45564.0</v>
      </c>
      <c r="E6609" s="86">
        <v>19.66</v>
      </c>
      <c r="F6609" s="87">
        <v>27.53</v>
      </c>
      <c r="G6609" s="88">
        <f t="shared" si="1"/>
        <v>7.87</v>
      </c>
      <c r="H6609" s="89">
        <f t="shared" si="18"/>
        <v>0.28586996</v>
      </c>
      <c r="I6609" s="78" t="s">
        <v>7557</v>
      </c>
      <c r="J6609" s="78" t="s">
        <v>69</v>
      </c>
      <c r="K6609" s="58">
        <f t="shared" si="17"/>
        <v>0</v>
      </c>
      <c r="L6609" s="91" t="str">
        <f t="shared" si="8"/>
        <v>Sun</v>
      </c>
      <c r="M6609" s="78" t="str">
        <f>IFERROR(VLOOKUP(A6609, Entries!A:B,2,false),"")</f>
        <v>Nacon</v>
      </c>
      <c r="N6609" s="23" t="str">
        <f>IFERROR(VLOOKUP(A6609, Entries!A:K,11,false),"")</f>
        <v/>
      </c>
    </row>
    <row r="6610">
      <c r="A6610" s="78" t="s">
        <v>7426</v>
      </c>
      <c r="B6610" s="78" t="s">
        <v>22</v>
      </c>
      <c r="C6610" s="85">
        <v>45564.0</v>
      </c>
      <c r="D6610" s="85">
        <v>45564.0</v>
      </c>
      <c r="E6610" s="86">
        <v>19.65</v>
      </c>
      <c r="F6610" s="87">
        <v>27.51</v>
      </c>
      <c r="G6610" s="88">
        <f t="shared" si="1"/>
        <v>7.86</v>
      </c>
      <c r="H6610" s="89">
        <f t="shared" si="18"/>
        <v>0.2857142857</v>
      </c>
      <c r="I6610" s="78" t="s">
        <v>7558</v>
      </c>
      <c r="J6610" s="78" t="s">
        <v>69</v>
      </c>
      <c r="K6610" s="58">
        <f t="shared" si="17"/>
        <v>0</v>
      </c>
      <c r="L6610" s="91" t="str">
        <f t="shared" si="8"/>
        <v>Sun</v>
      </c>
      <c r="M6610" s="78" t="str">
        <f>IFERROR(VLOOKUP(A6610, Entries!A:B,2,false),"")</f>
        <v>Nacon</v>
      </c>
      <c r="N6610" s="23" t="str">
        <f>IFERROR(VLOOKUP(A6610, Entries!A:K,11,false),"")</f>
        <v/>
      </c>
    </row>
    <row r="6611">
      <c r="A6611" s="78" t="s">
        <v>7426</v>
      </c>
      <c r="B6611" s="78" t="s">
        <v>22</v>
      </c>
      <c r="C6611" s="85">
        <v>45564.0</v>
      </c>
      <c r="D6611" s="85">
        <v>45564.0</v>
      </c>
      <c r="E6611" s="86">
        <v>19.66</v>
      </c>
      <c r="F6611" s="87">
        <v>27.51</v>
      </c>
      <c r="G6611" s="88">
        <f t="shared" si="1"/>
        <v>7.85</v>
      </c>
      <c r="H6611" s="89">
        <f t="shared" si="18"/>
        <v>0.2853507815</v>
      </c>
      <c r="I6611" s="78" t="s">
        <v>7559</v>
      </c>
      <c r="J6611" s="78" t="s">
        <v>69</v>
      </c>
      <c r="K6611" s="58">
        <f t="shared" si="17"/>
        <v>0</v>
      </c>
      <c r="L6611" s="91" t="str">
        <f t="shared" si="8"/>
        <v>Sun</v>
      </c>
      <c r="M6611" s="78" t="str">
        <f>IFERROR(VLOOKUP(A6611, Entries!A:B,2,false),"")</f>
        <v>Nacon</v>
      </c>
      <c r="N6611" s="23" t="str">
        <f>IFERROR(VLOOKUP(A6611, Entries!A:K,11,false),"")</f>
        <v/>
      </c>
    </row>
    <row r="6612">
      <c r="A6612" s="78" t="s">
        <v>7426</v>
      </c>
      <c r="B6612" s="78" t="s">
        <v>22</v>
      </c>
      <c r="C6612" s="85">
        <v>45564.0</v>
      </c>
      <c r="D6612" s="85">
        <v>45565.0</v>
      </c>
      <c r="E6612" s="86">
        <v>19.65</v>
      </c>
      <c r="F6612" s="87">
        <v>27.49</v>
      </c>
      <c r="G6612" s="88">
        <f t="shared" si="1"/>
        <v>7.84</v>
      </c>
      <c r="H6612" s="89">
        <f t="shared" si="18"/>
        <v>0.2851946162</v>
      </c>
      <c r="I6612" s="78" t="s">
        <v>7560</v>
      </c>
      <c r="J6612" s="78" t="s">
        <v>69</v>
      </c>
      <c r="K6612" s="58">
        <f t="shared" si="17"/>
        <v>1</v>
      </c>
      <c r="L6612" s="91" t="str">
        <f t="shared" si="8"/>
        <v>Mon</v>
      </c>
      <c r="M6612" s="78" t="str">
        <f>IFERROR(VLOOKUP(A6612, Entries!A:B,2,false),"")</f>
        <v>Nacon</v>
      </c>
      <c r="N6612" s="23" t="str">
        <f>IFERROR(VLOOKUP(A6612, Entries!A:K,11,false),"")</f>
        <v/>
      </c>
    </row>
    <row r="6613">
      <c r="A6613" s="78" t="s">
        <v>7426</v>
      </c>
      <c r="B6613" s="78" t="s">
        <v>22</v>
      </c>
      <c r="C6613" s="85">
        <v>45564.0</v>
      </c>
      <c r="D6613" s="85">
        <v>45565.0</v>
      </c>
      <c r="E6613" s="86">
        <v>19.66</v>
      </c>
      <c r="F6613" s="87">
        <v>27.45</v>
      </c>
      <c r="G6613" s="88">
        <f t="shared" si="1"/>
        <v>7.79</v>
      </c>
      <c r="H6613" s="89">
        <f t="shared" si="18"/>
        <v>0.2837887067</v>
      </c>
      <c r="I6613" s="78" t="s">
        <v>7561</v>
      </c>
      <c r="J6613" s="78" t="s">
        <v>69</v>
      </c>
      <c r="K6613" s="58">
        <f t="shared" si="17"/>
        <v>1</v>
      </c>
      <c r="L6613" s="91" t="str">
        <f t="shared" si="8"/>
        <v>Mon</v>
      </c>
      <c r="M6613" s="78" t="str">
        <f>IFERROR(VLOOKUP(A6613, Entries!A:B,2,false),"")</f>
        <v>Nacon</v>
      </c>
      <c r="N6613" s="23" t="str">
        <f>IFERROR(VLOOKUP(A6613, Entries!A:K,11,false),"")</f>
        <v/>
      </c>
    </row>
    <row r="6614">
      <c r="A6614" s="78" t="s">
        <v>7426</v>
      </c>
      <c r="B6614" s="78" t="s">
        <v>22</v>
      </c>
      <c r="C6614" s="85">
        <v>45564.0</v>
      </c>
      <c r="D6614" s="85">
        <v>45565.0</v>
      </c>
      <c r="E6614" s="86">
        <v>19.65</v>
      </c>
      <c r="F6614" s="87">
        <v>27.45</v>
      </c>
      <c r="G6614" s="88">
        <f t="shared" si="1"/>
        <v>7.8</v>
      </c>
      <c r="H6614" s="89">
        <f t="shared" si="18"/>
        <v>0.2841530055</v>
      </c>
      <c r="I6614" s="78" t="s">
        <v>7562</v>
      </c>
      <c r="J6614" s="78" t="s">
        <v>69</v>
      </c>
      <c r="K6614" s="58">
        <f t="shared" si="17"/>
        <v>1</v>
      </c>
      <c r="L6614" s="91" t="str">
        <f t="shared" si="8"/>
        <v>Mon</v>
      </c>
      <c r="M6614" s="78" t="str">
        <f>IFERROR(VLOOKUP(A6614, Entries!A:B,2,false),"")</f>
        <v>Nacon</v>
      </c>
      <c r="N6614" s="23" t="str">
        <f>IFERROR(VLOOKUP(A6614, Entries!A:K,11,false),"")</f>
        <v/>
      </c>
    </row>
    <row r="6615">
      <c r="A6615" s="78" t="s">
        <v>7426</v>
      </c>
      <c r="B6615" s="78" t="s">
        <v>22</v>
      </c>
      <c r="C6615" s="85">
        <v>45564.0</v>
      </c>
      <c r="D6615" s="85">
        <v>45597.0</v>
      </c>
      <c r="E6615" s="86">
        <v>19.66</v>
      </c>
      <c r="F6615" s="87">
        <v>22.61</v>
      </c>
      <c r="G6615" s="88">
        <f t="shared" si="1"/>
        <v>2.95</v>
      </c>
      <c r="H6615" s="89">
        <f t="shared" si="18"/>
        <v>0.1304732419</v>
      </c>
      <c r="I6615" s="78" t="s">
        <v>7563</v>
      </c>
      <c r="J6615" s="78" t="s">
        <v>69</v>
      </c>
      <c r="K6615" s="58">
        <f t="shared" si="17"/>
        <v>33</v>
      </c>
      <c r="L6615" s="91" t="str">
        <f t="shared" si="8"/>
        <v>Fri</v>
      </c>
      <c r="M6615" s="78" t="str">
        <f>IFERROR(VLOOKUP(A6615, Entries!A:B,2,false),"")</f>
        <v>Nacon</v>
      </c>
      <c r="N6615" s="23" t="str">
        <f>IFERROR(VLOOKUP(A6615, Entries!A:K,11,false),"")</f>
        <v/>
      </c>
    </row>
    <row r="6616">
      <c r="A6616" s="78" t="s">
        <v>5676</v>
      </c>
      <c r="B6616" s="78" t="s">
        <v>21</v>
      </c>
      <c r="C6616" s="85">
        <v>45565.0</v>
      </c>
      <c r="D6616" s="85">
        <v>45565.0</v>
      </c>
      <c r="E6616" s="86">
        <v>37.55</v>
      </c>
      <c r="F6616" s="87">
        <v>43.61</v>
      </c>
      <c r="G6616" s="88">
        <f t="shared" si="1"/>
        <v>6.06</v>
      </c>
      <c r="H6616" s="89">
        <f t="shared" si="18"/>
        <v>0.1389589544</v>
      </c>
      <c r="I6616" s="78" t="s">
        <v>7564</v>
      </c>
      <c r="J6616" s="78" t="s">
        <v>69</v>
      </c>
      <c r="K6616" s="58">
        <f t="shared" si="17"/>
        <v>0</v>
      </c>
      <c r="L6616" s="91" t="str">
        <f t="shared" si="8"/>
        <v>Mon</v>
      </c>
      <c r="M6616" s="78" t="str">
        <f>IFERROR(VLOOKUP(A6616, Entries!A:B,2,false),"")</f>
        <v>Bethesda Softworks</v>
      </c>
      <c r="N6616" s="23" t="str">
        <f>IFERROR(VLOOKUP(A6616, Entries!A:K,11,false),"")</f>
        <v/>
      </c>
    </row>
    <row r="6617">
      <c r="A6617" s="78" t="s">
        <v>7517</v>
      </c>
      <c r="B6617" s="78" t="s">
        <v>22</v>
      </c>
      <c r="C6617" s="85">
        <v>45565.0</v>
      </c>
      <c r="D6617" s="85">
        <v>45566.0</v>
      </c>
      <c r="E6617" s="86">
        <v>19.89</v>
      </c>
      <c r="F6617" s="87">
        <v>20.94</v>
      </c>
      <c r="G6617" s="88">
        <f t="shared" si="1"/>
        <v>1.05</v>
      </c>
      <c r="H6617" s="89">
        <f t="shared" si="18"/>
        <v>0.05014326648</v>
      </c>
      <c r="I6617" s="78" t="s">
        <v>7565</v>
      </c>
      <c r="J6617" s="78" t="s">
        <v>69</v>
      </c>
      <c r="K6617" s="58">
        <f t="shared" si="17"/>
        <v>1</v>
      </c>
      <c r="L6617" s="91" t="str">
        <f t="shared" si="8"/>
        <v>Tue</v>
      </c>
      <c r="M6617" s="78" t="str">
        <f>IFERROR(VLOOKUP(A6617, Entries!A:B,2,false),"")</f>
        <v>Nacon</v>
      </c>
      <c r="N6617" s="23" t="str">
        <f>IFERROR(VLOOKUP(A6617, Entries!A:K,11,false),"")</f>
        <v/>
      </c>
    </row>
    <row r="6618">
      <c r="A6618" s="78" t="s">
        <v>7515</v>
      </c>
      <c r="B6618" s="78" t="s">
        <v>22</v>
      </c>
      <c r="C6618" s="85">
        <v>45565.0</v>
      </c>
      <c r="D6618" s="85">
        <v>45568.0</v>
      </c>
      <c r="E6618" s="86">
        <v>9.95</v>
      </c>
      <c r="F6618" s="87">
        <v>13.71</v>
      </c>
      <c r="G6618" s="88">
        <f t="shared" si="1"/>
        <v>3.76</v>
      </c>
      <c r="H6618" s="89">
        <f t="shared" si="18"/>
        <v>0.2742523705</v>
      </c>
      <c r="I6618" s="78" t="s">
        <v>7566</v>
      </c>
      <c r="J6618" s="78" t="s">
        <v>69</v>
      </c>
      <c r="K6618" s="58">
        <f t="shared" si="17"/>
        <v>3</v>
      </c>
      <c r="L6618" s="91" t="str">
        <f t="shared" si="8"/>
        <v>Thu</v>
      </c>
      <c r="M6618" s="108" t="str">
        <f>IFERROR(VLOOKUP(A6618, Entries!A:B,2,false),"")</f>
        <v>indie.io</v>
      </c>
      <c r="N6618" s="23" t="str">
        <f>IFERROR(VLOOKUP(A6618, Entries!A:K,11,false),"")</f>
        <v/>
      </c>
    </row>
    <row r="6619">
      <c r="A6619" s="78" t="s">
        <v>6977</v>
      </c>
      <c r="B6619" s="78" t="s">
        <v>23</v>
      </c>
      <c r="C6619" s="85">
        <v>45565.0</v>
      </c>
      <c r="D6619" s="85">
        <v>45572.0</v>
      </c>
      <c r="E6619" s="86">
        <v>8.36</v>
      </c>
      <c r="F6619" s="87">
        <v>12.33</v>
      </c>
      <c r="G6619" s="88">
        <f t="shared" si="1"/>
        <v>3.97</v>
      </c>
      <c r="H6619" s="89">
        <f t="shared" si="18"/>
        <v>0.3219789132</v>
      </c>
      <c r="I6619" s="78" t="s">
        <v>7567</v>
      </c>
      <c r="J6619" s="78" t="s">
        <v>69</v>
      </c>
      <c r="K6619" s="58">
        <f t="shared" si="17"/>
        <v>7</v>
      </c>
      <c r="L6619" s="91" t="str">
        <f t="shared" si="8"/>
        <v>Mon</v>
      </c>
      <c r="M6619" s="78" t="str">
        <f>IFERROR(VLOOKUP(A6619, Entries!A:B,2,false),"")</f>
        <v>Dear Villagers</v>
      </c>
      <c r="N6619" s="23" t="str">
        <f>IFERROR(VLOOKUP(A6619, Entries!A:K,11,false),"")</f>
        <v/>
      </c>
    </row>
    <row r="6620">
      <c r="A6620" s="78" t="s">
        <v>5613</v>
      </c>
      <c r="B6620" s="78" t="s">
        <v>22</v>
      </c>
      <c r="C6620" s="85">
        <v>45565.0</v>
      </c>
      <c r="D6620" s="85">
        <v>45571.0</v>
      </c>
      <c r="E6620" s="86">
        <v>10.1</v>
      </c>
      <c r="F6620" s="87">
        <v>15.58</v>
      </c>
      <c r="G6620" s="88">
        <f t="shared" si="1"/>
        <v>5.48</v>
      </c>
      <c r="H6620" s="89">
        <f t="shared" si="18"/>
        <v>0.351732991</v>
      </c>
      <c r="I6620" s="78" t="s">
        <v>7568</v>
      </c>
      <c r="J6620" s="78" t="s">
        <v>69</v>
      </c>
      <c r="K6620" s="58">
        <f t="shared" si="17"/>
        <v>6</v>
      </c>
      <c r="L6620" s="91" t="str">
        <f t="shared" si="8"/>
        <v>Sun</v>
      </c>
      <c r="M6620" s="78" t="str">
        <f>IFERROR(VLOOKUP(A6620, Entries!A:B,2,false),"")</f>
        <v>Shiro Games</v>
      </c>
      <c r="N6620" s="23" t="str">
        <f>IFERROR(VLOOKUP(A6620, Entries!A:K,11,false),"")</f>
        <v/>
      </c>
    </row>
    <row r="6621">
      <c r="A6621" s="78" t="s">
        <v>6188</v>
      </c>
      <c r="B6621" s="78" t="s">
        <v>19</v>
      </c>
      <c r="C6621" s="85">
        <v>45565.0</v>
      </c>
      <c r="D6621" s="85">
        <v>45568.0</v>
      </c>
      <c r="E6621" s="86">
        <v>13.34</v>
      </c>
      <c r="F6621" s="87">
        <v>17.65</v>
      </c>
      <c r="G6621" s="88">
        <f t="shared" si="1"/>
        <v>4.31</v>
      </c>
      <c r="H6621" s="89">
        <f t="shared" si="18"/>
        <v>0.2441926346</v>
      </c>
      <c r="I6621" s="78" t="s">
        <v>7569</v>
      </c>
      <c r="J6621" s="78" t="s">
        <v>69</v>
      </c>
      <c r="K6621" s="58">
        <f t="shared" si="17"/>
        <v>3</v>
      </c>
      <c r="L6621" s="91" t="str">
        <f t="shared" si="8"/>
        <v>Thu</v>
      </c>
      <c r="M6621" s="78" t="str">
        <f>IFERROR(VLOOKUP(A6621, Entries!A:B,2,false),"")</f>
        <v>Focus Home Interactive</v>
      </c>
      <c r="N6621" s="23" t="str">
        <f>IFERROR(VLOOKUP(A6621, Entries!A:K,11,false),"")</f>
        <v/>
      </c>
    </row>
    <row r="6622">
      <c r="A6622" s="78" t="s">
        <v>7394</v>
      </c>
      <c r="B6622" s="78" t="s">
        <v>25</v>
      </c>
      <c r="C6622" s="85">
        <v>45565.0</v>
      </c>
      <c r="D6622" s="85">
        <v>45593.0</v>
      </c>
      <c r="E6622" s="86">
        <v>30.98</v>
      </c>
      <c r="F6622" s="87">
        <v>35.53</v>
      </c>
      <c r="G6622" s="88">
        <f t="shared" si="1"/>
        <v>4.55</v>
      </c>
      <c r="H6622" s="89">
        <f t="shared" si="18"/>
        <v>0.1280607937</v>
      </c>
      <c r="I6622" s="78" t="s">
        <v>7570</v>
      </c>
      <c r="J6622" s="78" t="s">
        <v>69</v>
      </c>
      <c r="K6622" s="58">
        <f t="shared" si="17"/>
        <v>28</v>
      </c>
      <c r="L6622" s="91" t="str">
        <f t="shared" si="8"/>
        <v>Mon</v>
      </c>
      <c r="M6622" s="78" t="str">
        <f>IFERROR(VLOOKUP(A6622, Entries!A:B,2,false),"")</f>
        <v/>
      </c>
      <c r="N6622" s="23" t="str">
        <f>IFERROR(VLOOKUP(A6622, Entries!A:K,11,false),"")</f>
        <v/>
      </c>
    </row>
    <row r="6623">
      <c r="A6623" s="78" t="s">
        <v>7571</v>
      </c>
      <c r="B6623" s="78" t="s">
        <v>22</v>
      </c>
      <c r="C6623" s="85">
        <v>45565.0</v>
      </c>
      <c r="D6623" s="85">
        <v>45565.0</v>
      </c>
      <c r="E6623" s="86">
        <v>11.23</v>
      </c>
      <c r="F6623" s="87">
        <v>15.49</v>
      </c>
      <c r="G6623" s="88">
        <f t="shared" si="1"/>
        <v>4.26</v>
      </c>
      <c r="H6623" s="89">
        <f t="shared" si="18"/>
        <v>0.2750161394</v>
      </c>
      <c r="I6623" s="78" t="s">
        <v>7572</v>
      </c>
      <c r="J6623" s="78" t="s">
        <v>69</v>
      </c>
      <c r="K6623" s="58">
        <f t="shared" si="17"/>
        <v>0</v>
      </c>
      <c r="L6623" s="91" t="str">
        <f t="shared" si="8"/>
        <v>Mon</v>
      </c>
      <c r="M6623" s="78" t="str">
        <f>IFERROR(VLOOKUP(A6623, Entries!A:B,2,false),"")</f>
        <v>Tripwire Presents</v>
      </c>
      <c r="N6623" s="23" t="str">
        <f>IFERROR(VLOOKUP(A6623, Entries!A:K,11,false),"")</f>
        <v/>
      </c>
    </row>
    <row r="6624">
      <c r="A6624" s="78" t="s">
        <v>7571</v>
      </c>
      <c r="B6624" s="78" t="s">
        <v>22</v>
      </c>
      <c r="C6624" s="85">
        <v>45565.0</v>
      </c>
      <c r="D6624" s="85">
        <v>45566.0</v>
      </c>
      <c r="E6624" s="86">
        <v>11.23</v>
      </c>
      <c r="F6624" s="87">
        <v>15.12</v>
      </c>
      <c r="G6624" s="88">
        <f t="shared" si="1"/>
        <v>3.89</v>
      </c>
      <c r="H6624" s="89">
        <f t="shared" si="18"/>
        <v>0.2572751323</v>
      </c>
      <c r="I6624" s="78" t="s">
        <v>7573</v>
      </c>
      <c r="J6624" s="78" t="s">
        <v>69</v>
      </c>
      <c r="K6624" s="58">
        <f t="shared" si="17"/>
        <v>1</v>
      </c>
      <c r="L6624" s="91" t="str">
        <f t="shared" si="8"/>
        <v>Tue</v>
      </c>
      <c r="M6624" s="78" t="str">
        <f>IFERROR(VLOOKUP(A6624, Entries!A:B,2,false),"")</f>
        <v>Tripwire Presents</v>
      </c>
      <c r="N6624" s="23" t="str">
        <f>IFERROR(VLOOKUP(A6624, Entries!A:K,11,false),"")</f>
        <v/>
      </c>
    </row>
    <row r="6625">
      <c r="A6625" s="78" t="s">
        <v>7571</v>
      </c>
      <c r="B6625" s="78" t="s">
        <v>22</v>
      </c>
      <c r="C6625" s="85">
        <v>45565.0</v>
      </c>
      <c r="D6625" s="85">
        <v>45566.0</v>
      </c>
      <c r="E6625" s="86">
        <v>11.23</v>
      </c>
      <c r="F6625" s="87">
        <v>15.12</v>
      </c>
      <c r="G6625" s="88">
        <f t="shared" si="1"/>
        <v>3.89</v>
      </c>
      <c r="H6625" s="89">
        <f t="shared" si="18"/>
        <v>0.2572751323</v>
      </c>
      <c r="I6625" s="78" t="s">
        <v>7574</v>
      </c>
      <c r="J6625" s="78" t="s">
        <v>69</v>
      </c>
      <c r="K6625" s="58">
        <f t="shared" si="17"/>
        <v>1</v>
      </c>
      <c r="L6625" s="91" t="str">
        <f t="shared" si="8"/>
        <v>Tue</v>
      </c>
      <c r="M6625" s="78" t="str">
        <f>IFERROR(VLOOKUP(A6625, Entries!A:B,2,false),"")</f>
        <v>Tripwire Presents</v>
      </c>
      <c r="N6625" s="23" t="str">
        <f>IFERROR(VLOOKUP(A6625, Entries!A:K,11,false),"")</f>
        <v/>
      </c>
    </row>
    <row r="6626">
      <c r="A6626" s="78" t="s">
        <v>5676</v>
      </c>
      <c r="B6626" s="78" t="s">
        <v>21</v>
      </c>
      <c r="C6626" s="85">
        <v>45566.0</v>
      </c>
      <c r="D6626" s="85">
        <v>45566.0</v>
      </c>
      <c r="E6626" s="86">
        <v>37.55</v>
      </c>
      <c r="F6626" s="87">
        <v>46.98</v>
      </c>
      <c r="G6626" s="88">
        <f t="shared" si="1"/>
        <v>9.43</v>
      </c>
      <c r="H6626" s="89">
        <f t="shared" si="18"/>
        <v>0.2007237122</v>
      </c>
      <c r="I6626" s="78" t="s">
        <v>7575</v>
      </c>
      <c r="J6626" s="78" t="s">
        <v>69</v>
      </c>
      <c r="K6626" s="58">
        <f t="shared" si="17"/>
        <v>0</v>
      </c>
      <c r="L6626" s="91" t="str">
        <f t="shared" si="8"/>
        <v>Tue</v>
      </c>
      <c r="M6626" s="78" t="str">
        <f>IFERROR(VLOOKUP(A6626, Entries!A:B,2,false),"")</f>
        <v>Bethesda Softworks</v>
      </c>
      <c r="N6626" s="23" t="str">
        <f>IFERROR(VLOOKUP(A6626, Entries!A:K,11,false),"")</f>
        <v/>
      </c>
    </row>
    <row r="6627">
      <c r="A6627" s="78" t="s">
        <v>7571</v>
      </c>
      <c r="B6627" s="78" t="s">
        <v>22</v>
      </c>
      <c r="C6627" s="85">
        <v>45566.0</v>
      </c>
      <c r="D6627" s="85">
        <v>45566.0</v>
      </c>
      <c r="E6627" s="86">
        <v>11.24</v>
      </c>
      <c r="F6627" s="87">
        <v>14.67</v>
      </c>
      <c r="G6627" s="88">
        <f t="shared" si="1"/>
        <v>3.43</v>
      </c>
      <c r="H6627" s="89">
        <f t="shared" si="18"/>
        <v>0.2338104976</v>
      </c>
      <c r="I6627" s="78" t="s">
        <v>7576</v>
      </c>
      <c r="J6627" s="78" t="s">
        <v>69</v>
      </c>
      <c r="K6627" s="58">
        <f t="shared" si="17"/>
        <v>0</v>
      </c>
      <c r="L6627" s="91" t="str">
        <f t="shared" si="8"/>
        <v>Tue</v>
      </c>
      <c r="M6627" s="78" t="str">
        <f>IFERROR(VLOOKUP(A6627, Entries!A:B,2,false),"")</f>
        <v>Tripwire Presents</v>
      </c>
      <c r="N6627" s="23" t="str">
        <f>IFERROR(VLOOKUP(A6627, Entries!A:K,11,false),"")</f>
        <v/>
      </c>
    </row>
    <row r="6628">
      <c r="A6628" s="78" t="s">
        <v>7571</v>
      </c>
      <c r="B6628" s="78" t="s">
        <v>22</v>
      </c>
      <c r="C6628" s="85">
        <v>45566.0</v>
      </c>
      <c r="D6628" s="85">
        <v>45566.0</v>
      </c>
      <c r="E6628" s="86">
        <v>11.24</v>
      </c>
      <c r="F6628" s="87">
        <v>14.67</v>
      </c>
      <c r="G6628" s="88">
        <f t="shared" si="1"/>
        <v>3.43</v>
      </c>
      <c r="H6628" s="89">
        <f t="shared" si="18"/>
        <v>0.2338104976</v>
      </c>
      <c r="I6628" s="78" t="s">
        <v>7577</v>
      </c>
      <c r="J6628" s="78" t="s">
        <v>69</v>
      </c>
      <c r="K6628" s="58">
        <f t="shared" si="17"/>
        <v>0</v>
      </c>
      <c r="L6628" s="91" t="str">
        <f t="shared" si="8"/>
        <v>Tue</v>
      </c>
      <c r="M6628" s="78" t="str">
        <f>IFERROR(VLOOKUP(A6628, Entries!A:B,2,false),"")</f>
        <v>Tripwire Presents</v>
      </c>
      <c r="N6628" s="23" t="str">
        <f>IFERROR(VLOOKUP(A6628, Entries!A:K,11,false),"")</f>
        <v/>
      </c>
    </row>
    <row r="6629">
      <c r="A6629" s="78" t="s">
        <v>7571</v>
      </c>
      <c r="B6629" s="78" t="s">
        <v>22</v>
      </c>
      <c r="C6629" s="85">
        <v>45566.0</v>
      </c>
      <c r="D6629" s="85">
        <v>45566.0</v>
      </c>
      <c r="E6629" s="86">
        <v>11.24</v>
      </c>
      <c r="F6629" s="87">
        <v>14.11</v>
      </c>
      <c r="G6629" s="88">
        <f t="shared" si="1"/>
        <v>2.87</v>
      </c>
      <c r="H6629" s="89">
        <f t="shared" si="18"/>
        <v>0.2034018427</v>
      </c>
      <c r="I6629" s="78" t="s">
        <v>7578</v>
      </c>
      <c r="J6629" s="78" t="s">
        <v>69</v>
      </c>
      <c r="K6629" s="58">
        <f t="shared" si="17"/>
        <v>0</v>
      </c>
      <c r="L6629" s="91" t="str">
        <f t="shared" si="8"/>
        <v>Tue</v>
      </c>
      <c r="M6629" s="78" t="str">
        <f>IFERROR(VLOOKUP(A6629, Entries!A:B,2,false),"")</f>
        <v>Tripwire Presents</v>
      </c>
      <c r="N6629" s="23" t="str">
        <f>IFERROR(VLOOKUP(A6629, Entries!A:K,11,false),"")</f>
        <v/>
      </c>
    </row>
    <row r="6630">
      <c r="A6630" s="78" t="s">
        <v>7571</v>
      </c>
      <c r="B6630" s="78" t="s">
        <v>22</v>
      </c>
      <c r="C6630" s="85">
        <v>45566.0</v>
      </c>
      <c r="D6630" s="85">
        <v>45566.0</v>
      </c>
      <c r="E6630" s="86">
        <v>11.24</v>
      </c>
      <c r="F6630" s="87">
        <v>13.93</v>
      </c>
      <c r="G6630" s="88">
        <f t="shared" si="1"/>
        <v>2.69</v>
      </c>
      <c r="H6630" s="89">
        <f t="shared" si="18"/>
        <v>0.1931083991</v>
      </c>
      <c r="I6630" s="78" t="s">
        <v>7579</v>
      </c>
      <c r="J6630" s="78" t="s">
        <v>69</v>
      </c>
      <c r="K6630" s="58">
        <f t="shared" si="17"/>
        <v>0</v>
      </c>
      <c r="L6630" s="91" t="str">
        <f t="shared" si="8"/>
        <v>Tue</v>
      </c>
      <c r="M6630" s="78" t="str">
        <f>IFERROR(VLOOKUP(A6630, Entries!A:B,2,false),"")</f>
        <v>Tripwire Presents</v>
      </c>
      <c r="N6630" s="23" t="str">
        <f>IFERROR(VLOOKUP(A6630, Entries!A:K,11,false),"")</f>
        <v/>
      </c>
    </row>
    <row r="6631">
      <c r="A6631" s="78" t="s">
        <v>5676</v>
      </c>
      <c r="B6631" s="78" t="s">
        <v>21</v>
      </c>
      <c r="C6631" s="85">
        <v>45567.0</v>
      </c>
      <c r="D6631" s="85">
        <v>45568.0</v>
      </c>
      <c r="E6631" s="86">
        <v>37.55</v>
      </c>
      <c r="F6631" s="87">
        <v>46.99</v>
      </c>
      <c r="G6631" s="88">
        <f t="shared" si="1"/>
        <v>9.44</v>
      </c>
      <c r="H6631" s="89">
        <f t="shared" si="18"/>
        <v>0.2008938072</v>
      </c>
      <c r="I6631" s="78" t="s">
        <v>7580</v>
      </c>
      <c r="J6631" s="78" t="s">
        <v>69</v>
      </c>
      <c r="K6631" s="58">
        <f t="shared" si="17"/>
        <v>1</v>
      </c>
      <c r="L6631" s="91" t="str">
        <f t="shared" si="8"/>
        <v>Thu</v>
      </c>
      <c r="M6631" s="78" t="str">
        <f>IFERROR(VLOOKUP(A6631, Entries!A:B,2,false),"")</f>
        <v>Bethesda Softworks</v>
      </c>
      <c r="N6631" s="23" t="str">
        <f>IFERROR(VLOOKUP(A6631, Entries!A:K,11,false),"")</f>
        <v/>
      </c>
    </row>
    <row r="6632">
      <c r="A6632" s="78" t="s">
        <v>5676</v>
      </c>
      <c r="B6632" s="78" t="s">
        <v>21</v>
      </c>
      <c r="C6632" s="85">
        <v>45578.0</v>
      </c>
      <c r="D6632" s="85">
        <v>45619.0</v>
      </c>
      <c r="E6632" s="86">
        <v>37.55</v>
      </c>
      <c r="F6632" s="87">
        <v>43.29</v>
      </c>
      <c r="G6632" s="88">
        <f t="shared" si="1"/>
        <v>5.74</v>
      </c>
      <c r="H6632" s="89">
        <f t="shared" si="18"/>
        <v>0.1325941326</v>
      </c>
      <c r="I6632" s="78" t="s">
        <v>7581</v>
      </c>
      <c r="J6632" s="78" t="s">
        <v>69</v>
      </c>
      <c r="K6632" s="58">
        <f t="shared" si="17"/>
        <v>41</v>
      </c>
      <c r="L6632" s="91" t="str">
        <f t="shared" si="8"/>
        <v>Sat</v>
      </c>
      <c r="M6632" s="78" t="str">
        <f>IFERROR(VLOOKUP(A6632, Entries!A:B,2,false),"")</f>
        <v>Bethesda Softworks</v>
      </c>
      <c r="N6632" s="23" t="str">
        <f>IFERROR(VLOOKUP(A6632, Entries!A:K,11,false),"")</f>
        <v/>
      </c>
    </row>
    <row r="6633">
      <c r="A6633" s="78" t="s">
        <v>7515</v>
      </c>
      <c r="B6633" s="78" t="s">
        <v>22</v>
      </c>
      <c r="C6633" s="85">
        <v>45568.0</v>
      </c>
      <c r="D6633" s="85">
        <v>45568.0</v>
      </c>
      <c r="E6633" s="86">
        <v>10.61</v>
      </c>
      <c r="F6633" s="87">
        <v>13.71</v>
      </c>
      <c r="G6633" s="88">
        <f t="shared" si="1"/>
        <v>3.1</v>
      </c>
      <c r="H6633" s="89">
        <f t="shared" si="18"/>
        <v>0.2261123268</v>
      </c>
      <c r="I6633" s="78" t="s">
        <v>7582</v>
      </c>
      <c r="J6633" s="78" t="s">
        <v>69</v>
      </c>
      <c r="K6633" s="58">
        <f t="shared" si="17"/>
        <v>0</v>
      </c>
      <c r="L6633" s="91" t="str">
        <f t="shared" si="8"/>
        <v>Thu</v>
      </c>
      <c r="M6633" s="98" t="str">
        <f>IFERROR(VLOOKUP(A6633, Entries!A:B,2,false),"")</f>
        <v>indie.io</v>
      </c>
      <c r="N6633" s="23" t="str">
        <f>IFERROR(VLOOKUP(A6633, Entries!A:K,11,false),"")</f>
        <v/>
      </c>
    </row>
    <row r="6634">
      <c r="A6634" s="78" t="s">
        <v>6188</v>
      </c>
      <c r="B6634" s="78" t="s">
        <v>19</v>
      </c>
      <c r="C6634" s="85">
        <v>45568.0</v>
      </c>
      <c r="D6634" s="85">
        <v>45569.0</v>
      </c>
      <c r="E6634" s="86">
        <v>13.45</v>
      </c>
      <c r="F6634" s="87">
        <v>17.9</v>
      </c>
      <c r="G6634" s="88">
        <f t="shared" si="1"/>
        <v>4.45</v>
      </c>
      <c r="H6634" s="89">
        <f t="shared" si="18"/>
        <v>0.248603352</v>
      </c>
      <c r="I6634" s="78" t="s">
        <v>7583</v>
      </c>
      <c r="J6634" s="78" t="s">
        <v>69</v>
      </c>
      <c r="K6634" s="58">
        <f t="shared" si="17"/>
        <v>1</v>
      </c>
      <c r="L6634" s="91" t="str">
        <f t="shared" si="8"/>
        <v>Fri</v>
      </c>
      <c r="M6634" s="78" t="str">
        <f>IFERROR(VLOOKUP(A6634, Entries!A:B,2,false),"")</f>
        <v>Focus Home Interactive</v>
      </c>
      <c r="N6634" s="23" t="str">
        <f>IFERROR(VLOOKUP(A6634, Entries!A:K,11,false),"")</f>
        <v/>
      </c>
    </row>
    <row r="6635">
      <c r="A6635" s="78" t="s">
        <v>5676</v>
      </c>
      <c r="B6635" s="78" t="s">
        <v>21</v>
      </c>
      <c r="C6635" s="85">
        <v>45569.0</v>
      </c>
      <c r="D6635" s="85">
        <v>45569.0</v>
      </c>
      <c r="E6635" s="86">
        <v>36.72</v>
      </c>
      <c r="F6635" s="87">
        <v>46.69</v>
      </c>
      <c r="G6635" s="88">
        <f t="shared" si="1"/>
        <v>9.97</v>
      </c>
      <c r="H6635" s="89">
        <f t="shared" si="18"/>
        <v>0.2135360891</v>
      </c>
      <c r="I6635" s="78" t="s">
        <v>7584</v>
      </c>
      <c r="J6635" s="78" t="s">
        <v>69</v>
      </c>
      <c r="K6635" s="58">
        <f t="shared" si="17"/>
        <v>0</v>
      </c>
      <c r="L6635" s="91" t="str">
        <f t="shared" si="8"/>
        <v>Fri</v>
      </c>
      <c r="M6635" s="78" t="str">
        <f>IFERROR(VLOOKUP(A6635, Entries!A:B,2,false),"")</f>
        <v>Bethesda Softworks</v>
      </c>
      <c r="N6635" s="23" t="str">
        <f>IFERROR(VLOOKUP(A6635, Entries!A:K,11,false),"")</f>
        <v/>
      </c>
    </row>
    <row r="6636">
      <c r="A6636" s="78" t="s">
        <v>7585</v>
      </c>
      <c r="B6636" s="78" t="s">
        <v>21</v>
      </c>
      <c r="C6636" s="85">
        <v>45569.0</v>
      </c>
      <c r="D6636" s="85">
        <v>45569.0</v>
      </c>
      <c r="E6636" s="86">
        <v>37.1</v>
      </c>
      <c r="F6636" s="87">
        <v>52.39</v>
      </c>
      <c r="G6636" s="88">
        <f t="shared" si="1"/>
        <v>15.29</v>
      </c>
      <c r="H6636" s="89">
        <f t="shared" si="18"/>
        <v>0.2918495896</v>
      </c>
      <c r="I6636" s="78" t="s">
        <v>7586</v>
      </c>
      <c r="J6636" s="78" t="s">
        <v>69</v>
      </c>
      <c r="K6636" s="58">
        <f t="shared" si="17"/>
        <v>0</v>
      </c>
      <c r="L6636" s="91" t="str">
        <f t="shared" si="8"/>
        <v>Fri</v>
      </c>
      <c r="M6636" s="78" t="str">
        <f>IFERROR(VLOOKUP(A6636, Entries!A:B,2,false),"")</f>
        <v>PlayStation</v>
      </c>
      <c r="N6636" s="23" t="str">
        <f>IFERROR(VLOOKUP(A6636, Entries!A:K,11,false),"")</f>
        <v/>
      </c>
    </row>
    <row r="6637">
      <c r="A6637" s="78" t="s">
        <v>5676</v>
      </c>
      <c r="B6637" s="78" t="s">
        <v>21</v>
      </c>
      <c r="C6637" s="85">
        <v>45569.0</v>
      </c>
      <c r="D6637" s="85">
        <v>45571.0</v>
      </c>
      <c r="E6637" s="86">
        <v>41.82</v>
      </c>
      <c r="F6637" s="87">
        <v>45.99</v>
      </c>
      <c r="G6637" s="88">
        <f t="shared" si="1"/>
        <v>4.17</v>
      </c>
      <c r="H6637" s="89">
        <f t="shared" si="18"/>
        <v>0.09067188519</v>
      </c>
      <c r="I6637" s="78" t="s">
        <v>7587</v>
      </c>
      <c r="J6637" s="78" t="s">
        <v>69</v>
      </c>
      <c r="K6637" s="58">
        <f t="shared" si="17"/>
        <v>2</v>
      </c>
      <c r="L6637" s="91" t="str">
        <f t="shared" si="8"/>
        <v>Sun</v>
      </c>
      <c r="M6637" s="78" t="str">
        <f>IFERROR(VLOOKUP(A6637, Entries!A:B,2,false),"")</f>
        <v>Bethesda Softworks</v>
      </c>
      <c r="N6637" s="23" t="str">
        <f>IFERROR(VLOOKUP(A6637, Entries!A:K,11,false),"")</f>
        <v/>
      </c>
    </row>
    <row r="6638">
      <c r="A6638" s="78" t="s">
        <v>6188</v>
      </c>
      <c r="B6638" s="78" t="s">
        <v>19</v>
      </c>
      <c r="C6638" s="85">
        <v>45569.0</v>
      </c>
      <c r="D6638" s="85">
        <v>45572.0</v>
      </c>
      <c r="E6638" s="86">
        <v>13.48</v>
      </c>
      <c r="F6638" s="87">
        <v>17.9</v>
      </c>
      <c r="G6638" s="88">
        <f t="shared" si="1"/>
        <v>4.42</v>
      </c>
      <c r="H6638" s="89">
        <f t="shared" si="18"/>
        <v>0.2469273743</v>
      </c>
      <c r="I6638" s="78" t="s">
        <v>7588</v>
      </c>
      <c r="J6638" s="78" t="s">
        <v>69</v>
      </c>
      <c r="K6638" s="58">
        <f t="shared" si="17"/>
        <v>3</v>
      </c>
      <c r="L6638" s="91" t="str">
        <f t="shared" si="8"/>
        <v>Mon</v>
      </c>
      <c r="M6638" s="78" t="str">
        <f>IFERROR(VLOOKUP(A6638, Entries!A:B,2,false),"")</f>
        <v>Focus Home Interactive</v>
      </c>
      <c r="N6638" s="23" t="str">
        <f>IFERROR(VLOOKUP(A6638, Entries!A:K,11,false),"")</f>
        <v/>
      </c>
    </row>
    <row r="6639">
      <c r="A6639" s="78" t="s">
        <v>7589</v>
      </c>
      <c r="B6639" s="78" t="s">
        <v>32</v>
      </c>
      <c r="C6639" s="85">
        <v>45570.0</v>
      </c>
      <c r="D6639" s="85">
        <v>45570.0</v>
      </c>
      <c r="E6639" s="86">
        <v>13.19</v>
      </c>
      <c r="F6639" s="87">
        <v>15.12</v>
      </c>
      <c r="G6639" s="88">
        <f t="shared" si="1"/>
        <v>1.93</v>
      </c>
      <c r="H6639" s="89">
        <f t="shared" si="18"/>
        <v>0.1276455026</v>
      </c>
      <c r="I6639" s="78" t="s">
        <v>7590</v>
      </c>
      <c r="J6639" s="78" t="s">
        <v>69</v>
      </c>
      <c r="K6639" s="58">
        <f t="shared" si="17"/>
        <v>0</v>
      </c>
      <c r="L6639" s="91" t="str">
        <f t="shared" si="8"/>
        <v>Sat</v>
      </c>
      <c r="M6639" s="78" t="str">
        <f>IFERROR(VLOOKUP(A6639, Entries!A:B,2,false),"")</f>
        <v>Nacon</v>
      </c>
      <c r="N6639" s="23" t="str">
        <f>IFERROR(VLOOKUP(A6639, Entries!A:K,11,false),"")</f>
        <v/>
      </c>
    </row>
    <row r="6640">
      <c r="A6640" s="78" t="s">
        <v>7589</v>
      </c>
      <c r="B6640" s="78" t="s">
        <v>32</v>
      </c>
      <c r="C6640" s="85">
        <v>45570.0</v>
      </c>
      <c r="D6640" s="85">
        <v>45570.0</v>
      </c>
      <c r="E6640" s="86">
        <v>13.2</v>
      </c>
      <c r="F6640" s="87">
        <v>15.12</v>
      </c>
      <c r="G6640" s="88">
        <f t="shared" si="1"/>
        <v>1.92</v>
      </c>
      <c r="H6640" s="89">
        <f t="shared" si="18"/>
        <v>0.126984127</v>
      </c>
      <c r="I6640" s="78" t="s">
        <v>7591</v>
      </c>
      <c r="J6640" s="78" t="s">
        <v>69</v>
      </c>
      <c r="K6640" s="58">
        <f t="shared" si="17"/>
        <v>0</v>
      </c>
      <c r="L6640" s="91" t="str">
        <f t="shared" si="8"/>
        <v>Sat</v>
      </c>
      <c r="M6640" s="78" t="str">
        <f>IFERROR(VLOOKUP(A6640, Entries!A:B,2,false),"")</f>
        <v>Nacon</v>
      </c>
      <c r="N6640" s="23" t="str">
        <f>IFERROR(VLOOKUP(A6640, Entries!A:K,11,false),"")</f>
        <v/>
      </c>
    </row>
    <row r="6641">
      <c r="A6641" s="78" t="s">
        <v>7589</v>
      </c>
      <c r="B6641" s="78" t="s">
        <v>32</v>
      </c>
      <c r="C6641" s="85">
        <v>45570.0</v>
      </c>
      <c r="D6641" s="85">
        <v>45570.0</v>
      </c>
      <c r="E6641" s="86">
        <v>13.2</v>
      </c>
      <c r="F6641" s="87">
        <v>15.12</v>
      </c>
      <c r="G6641" s="88">
        <f t="shared" si="1"/>
        <v>1.92</v>
      </c>
      <c r="H6641" s="89">
        <f t="shared" si="18"/>
        <v>0.126984127</v>
      </c>
      <c r="I6641" s="78" t="s">
        <v>7592</v>
      </c>
      <c r="J6641" s="78" t="s">
        <v>69</v>
      </c>
      <c r="K6641" s="58">
        <f t="shared" si="17"/>
        <v>0</v>
      </c>
      <c r="L6641" s="91" t="str">
        <f t="shared" si="8"/>
        <v>Sat</v>
      </c>
      <c r="M6641" s="78" t="str">
        <f>IFERROR(VLOOKUP(A6641, Entries!A:B,2,false),"")</f>
        <v>Nacon</v>
      </c>
      <c r="N6641" s="23" t="str">
        <f>IFERROR(VLOOKUP(A6641, Entries!A:K,11,false),"")</f>
        <v/>
      </c>
    </row>
    <row r="6642">
      <c r="A6642" s="78" t="s">
        <v>7063</v>
      </c>
      <c r="B6642" s="78" t="s">
        <v>21</v>
      </c>
      <c r="C6642" s="85">
        <v>45570.0</v>
      </c>
      <c r="D6642" s="85">
        <v>45572.0</v>
      </c>
      <c r="E6642" s="86">
        <v>35.75</v>
      </c>
      <c r="F6642" s="87">
        <v>41.11</v>
      </c>
      <c r="G6642" s="88">
        <f t="shared" si="1"/>
        <v>5.36</v>
      </c>
      <c r="H6642" s="89">
        <f t="shared" si="18"/>
        <v>0.1303819022</v>
      </c>
      <c r="I6642" s="78" t="s">
        <v>7593</v>
      </c>
      <c r="J6642" s="78" t="s">
        <v>69</v>
      </c>
      <c r="K6642" s="58">
        <f t="shared" si="17"/>
        <v>2</v>
      </c>
      <c r="L6642" s="91" t="str">
        <f t="shared" si="8"/>
        <v>Mon</v>
      </c>
      <c r="M6642" s="78" t="str">
        <f>IFERROR(VLOOKUP(A6642, Entries!A:B,2,false),"")</f>
        <v>PlayStation</v>
      </c>
      <c r="N6642" s="23" t="str">
        <f>IFERROR(VLOOKUP(A6642, Entries!A:K,11,false),"")</f>
        <v/>
      </c>
    </row>
    <row r="6643">
      <c r="A6643" s="78" t="s">
        <v>7585</v>
      </c>
      <c r="B6643" s="78" t="s">
        <v>21</v>
      </c>
      <c r="C6643" s="85">
        <v>45570.0</v>
      </c>
      <c r="D6643" s="85">
        <v>45781.0</v>
      </c>
      <c r="E6643" s="86">
        <v>47.1</v>
      </c>
      <c r="F6643" s="87">
        <v>34.54</v>
      </c>
      <c r="G6643" s="88">
        <f t="shared" si="1"/>
        <v>-12.56</v>
      </c>
      <c r="H6643" s="89">
        <f t="shared" si="18"/>
        <v>-0.3636363636</v>
      </c>
      <c r="I6643" s="103" t="s">
        <v>7594</v>
      </c>
      <c r="J6643" s="78" t="s">
        <v>69</v>
      </c>
      <c r="K6643" s="58">
        <f t="shared" si="17"/>
        <v>211</v>
      </c>
      <c r="L6643" s="91" t="str">
        <f t="shared" si="8"/>
        <v>Sun</v>
      </c>
      <c r="M6643" s="78" t="str">
        <f>IFERROR(VLOOKUP(A6643, Entries!A:B,2,false),"")</f>
        <v>PlayStation</v>
      </c>
      <c r="N6643" s="23" t="str">
        <f>IFERROR(VLOOKUP(A6643, Entries!A:K,11,false),"")</f>
        <v/>
      </c>
    </row>
    <row r="6644">
      <c r="A6644" s="78" t="s">
        <v>7092</v>
      </c>
      <c r="B6644" s="78" t="s">
        <v>23</v>
      </c>
      <c r="C6644" s="85">
        <v>45570.0</v>
      </c>
      <c r="D6644" s="85">
        <v>45576.0</v>
      </c>
      <c r="E6644" s="86">
        <v>8.55</v>
      </c>
      <c r="F6644" s="87">
        <v>10.43</v>
      </c>
      <c r="G6644" s="88">
        <f t="shared" si="1"/>
        <v>1.88</v>
      </c>
      <c r="H6644" s="89">
        <f t="shared" si="18"/>
        <v>0.1802492809</v>
      </c>
      <c r="I6644" s="78" t="s">
        <v>7595</v>
      </c>
      <c r="J6644" s="78" t="s">
        <v>69</v>
      </c>
      <c r="K6644" s="58">
        <f t="shared" si="17"/>
        <v>6</v>
      </c>
      <c r="L6644" s="91" t="str">
        <f t="shared" si="8"/>
        <v>Fri</v>
      </c>
      <c r="M6644" s="78" t="str">
        <f>IFERROR(VLOOKUP(A6644, Entries!A:B,2,false),"")</f>
        <v>IO Interactive</v>
      </c>
      <c r="N6644" s="23" t="str">
        <f>IFERROR(VLOOKUP(A6644, Entries!A:K,11,false),"")</f>
        <v/>
      </c>
    </row>
    <row r="6645">
      <c r="A6645" s="78" t="s">
        <v>7517</v>
      </c>
      <c r="B6645" s="78" t="s">
        <v>22</v>
      </c>
      <c r="C6645" s="85">
        <v>45570.0</v>
      </c>
      <c r="D6645" s="85">
        <v>45572.0</v>
      </c>
      <c r="E6645" s="86">
        <v>20.2</v>
      </c>
      <c r="F6645" s="87">
        <v>23.99</v>
      </c>
      <c r="G6645" s="88">
        <f t="shared" si="1"/>
        <v>3.79</v>
      </c>
      <c r="H6645" s="89">
        <f t="shared" si="18"/>
        <v>0.1579824927</v>
      </c>
      <c r="I6645" s="78" t="s">
        <v>7596</v>
      </c>
      <c r="J6645" s="78" t="s">
        <v>69</v>
      </c>
      <c r="K6645" s="58">
        <f t="shared" si="17"/>
        <v>2</v>
      </c>
      <c r="L6645" s="91" t="str">
        <f t="shared" si="8"/>
        <v>Mon</v>
      </c>
      <c r="M6645" s="78" t="str">
        <f>IFERROR(VLOOKUP(A6645, Entries!A:B,2,false),"")</f>
        <v>Nacon</v>
      </c>
      <c r="N6645" s="23" t="str">
        <f>IFERROR(VLOOKUP(A6645, Entries!A:K,11,false),"")</f>
        <v/>
      </c>
    </row>
    <row r="6646">
      <c r="A6646" s="78" t="s">
        <v>5676</v>
      </c>
      <c r="B6646" s="78" t="s">
        <v>21</v>
      </c>
      <c r="C6646" s="85">
        <v>45570.0</v>
      </c>
      <c r="D6646" s="85">
        <v>45571.0</v>
      </c>
      <c r="E6646" s="86">
        <v>41.29</v>
      </c>
      <c r="F6646" s="87">
        <v>45.99</v>
      </c>
      <c r="G6646" s="88">
        <f t="shared" si="1"/>
        <v>4.7</v>
      </c>
      <c r="H6646" s="89">
        <f t="shared" si="18"/>
        <v>0.1021961296</v>
      </c>
      <c r="I6646" s="78" t="s">
        <v>7597</v>
      </c>
      <c r="J6646" s="78" t="s">
        <v>69</v>
      </c>
      <c r="K6646" s="58">
        <f t="shared" si="17"/>
        <v>1</v>
      </c>
      <c r="L6646" s="91" t="str">
        <f t="shared" si="8"/>
        <v>Sun</v>
      </c>
      <c r="M6646" s="78" t="str">
        <f>IFERROR(VLOOKUP(A6646, Entries!A:B,2,false),"")</f>
        <v>Bethesda Softworks</v>
      </c>
      <c r="N6646" s="23" t="str">
        <f>IFERROR(VLOOKUP(A6646, Entries!A:K,11,false),"")</f>
        <v/>
      </c>
    </row>
    <row r="6647">
      <c r="A6647" s="78" t="s">
        <v>7598</v>
      </c>
      <c r="B6647" s="78" t="s">
        <v>22</v>
      </c>
      <c r="C6647" s="85">
        <v>45570.0</v>
      </c>
      <c r="D6647" s="85">
        <v>45571.0</v>
      </c>
      <c r="E6647" s="86">
        <v>6.46</v>
      </c>
      <c r="F6647" s="87">
        <v>11.77</v>
      </c>
      <c r="G6647" s="88">
        <f t="shared" si="1"/>
        <v>5.31</v>
      </c>
      <c r="H6647" s="89">
        <f t="shared" si="18"/>
        <v>0.4511469839</v>
      </c>
      <c r="I6647" s="78" t="s">
        <v>7599</v>
      </c>
      <c r="J6647" s="78" t="s">
        <v>69</v>
      </c>
      <c r="K6647" s="58">
        <f t="shared" si="17"/>
        <v>1</v>
      </c>
      <c r="L6647" s="91" t="str">
        <f t="shared" si="8"/>
        <v>Sun</v>
      </c>
      <c r="M6647" s="78" t="str">
        <f>IFERROR(VLOOKUP(A6647, Entries!A:B,2,false),"")</f>
        <v/>
      </c>
      <c r="N6647" s="23" t="str">
        <f>IFERROR(VLOOKUP(A6647, Entries!A:K,11,false),"")</f>
        <v/>
      </c>
    </row>
    <row r="6648">
      <c r="A6648" s="78" t="s">
        <v>2466</v>
      </c>
      <c r="B6648" s="78" t="s">
        <v>19</v>
      </c>
      <c r="C6648" s="85">
        <v>45571.0</v>
      </c>
      <c r="D6648" s="85">
        <v>45571.0</v>
      </c>
      <c r="E6648" s="86">
        <v>6.77</v>
      </c>
      <c r="F6648" s="87">
        <v>9.16</v>
      </c>
      <c r="G6648" s="88">
        <f t="shared" si="1"/>
        <v>2.39</v>
      </c>
      <c r="H6648" s="89">
        <f t="shared" si="18"/>
        <v>0.2609170306</v>
      </c>
      <c r="I6648" s="78" t="s">
        <v>7600</v>
      </c>
      <c r="J6648" s="78" t="s">
        <v>69</v>
      </c>
      <c r="K6648" s="58">
        <f t="shared" si="17"/>
        <v>0</v>
      </c>
      <c r="L6648" s="91" t="str">
        <f t="shared" si="8"/>
        <v>Sun</v>
      </c>
      <c r="M6648" s="78" t="str">
        <f>IFERROR(VLOOKUP(A6648, Entries!A:B,2,false),"")</f>
        <v>Bethesda Softworks</v>
      </c>
      <c r="N6648" s="23" t="str">
        <f>IFERROR(VLOOKUP(A6648, Entries!A:K,11,false),"")</f>
        <v/>
      </c>
    </row>
    <row r="6649">
      <c r="A6649" s="78" t="s">
        <v>1786</v>
      </c>
      <c r="B6649" s="78" t="s">
        <v>19</v>
      </c>
      <c r="C6649" s="85">
        <v>45571.0</v>
      </c>
      <c r="D6649" s="85">
        <v>45571.0</v>
      </c>
      <c r="E6649" s="86">
        <v>6.78</v>
      </c>
      <c r="F6649" s="87">
        <v>11.3</v>
      </c>
      <c r="G6649" s="88">
        <f t="shared" si="1"/>
        <v>4.52</v>
      </c>
      <c r="H6649" s="89">
        <f t="shared" si="18"/>
        <v>0.4</v>
      </c>
      <c r="I6649" s="78" t="s">
        <v>7601</v>
      </c>
      <c r="J6649" s="78" t="s">
        <v>69</v>
      </c>
      <c r="K6649" s="58">
        <f t="shared" si="17"/>
        <v>0</v>
      </c>
      <c r="L6649" s="91" t="str">
        <f t="shared" si="8"/>
        <v>Sun</v>
      </c>
      <c r="M6649" s="78" t="str">
        <f>IFERROR(VLOOKUP(A6649, Entries!A:B,2,false),"")</f>
        <v>Bethesda Softworks</v>
      </c>
      <c r="N6649" s="23" t="str">
        <f>IFERROR(VLOOKUP(A6649, Entries!A:K,11,false),"")</f>
        <v/>
      </c>
    </row>
    <row r="6650">
      <c r="A6650" s="78" t="s">
        <v>7598</v>
      </c>
      <c r="B6650" s="78" t="s">
        <v>18</v>
      </c>
      <c r="C6650" s="85">
        <v>45571.0</v>
      </c>
      <c r="D6650" s="85">
        <v>45572.0</v>
      </c>
      <c r="E6650" s="86">
        <v>9.4</v>
      </c>
      <c r="F6650" s="87">
        <v>11.72</v>
      </c>
      <c r="G6650" s="88">
        <f t="shared" si="1"/>
        <v>2.32</v>
      </c>
      <c r="H6650" s="89">
        <f t="shared" si="18"/>
        <v>0.1979522184</v>
      </c>
      <c r="I6650" s="78" t="s">
        <v>7602</v>
      </c>
      <c r="J6650" s="78" t="s">
        <v>69</v>
      </c>
      <c r="K6650" s="58">
        <f t="shared" si="17"/>
        <v>1</v>
      </c>
      <c r="L6650" s="91" t="str">
        <f t="shared" si="8"/>
        <v>Mon</v>
      </c>
      <c r="M6650" s="78" t="str">
        <f>IFERROR(VLOOKUP(A6650, Entries!A:B,2,false),"")</f>
        <v/>
      </c>
      <c r="N6650" s="23" t="str">
        <f>IFERROR(VLOOKUP(A6650, Entries!A:K,11,false),"")</f>
        <v/>
      </c>
    </row>
    <row r="6651">
      <c r="A6651" s="78" t="s">
        <v>7598</v>
      </c>
      <c r="B6651" s="78" t="s">
        <v>18</v>
      </c>
      <c r="C6651" s="85">
        <v>45571.0</v>
      </c>
      <c r="D6651" s="85">
        <v>45577.0</v>
      </c>
      <c r="E6651" s="86">
        <v>9.4</v>
      </c>
      <c r="F6651" s="87">
        <v>11.54</v>
      </c>
      <c r="G6651" s="88">
        <f t="shared" si="1"/>
        <v>2.14</v>
      </c>
      <c r="H6651" s="89">
        <f t="shared" si="18"/>
        <v>0.1854419411</v>
      </c>
      <c r="I6651" s="78" t="s">
        <v>7603</v>
      </c>
      <c r="J6651" s="78" t="s">
        <v>69</v>
      </c>
      <c r="K6651" s="58">
        <f t="shared" si="17"/>
        <v>6</v>
      </c>
      <c r="L6651" s="91" t="str">
        <f t="shared" si="8"/>
        <v>Sat</v>
      </c>
      <c r="M6651" s="78" t="str">
        <f>IFERROR(VLOOKUP(A6651, Entries!A:B,2,false),"")</f>
        <v/>
      </c>
      <c r="N6651" s="23" t="str">
        <f>IFERROR(VLOOKUP(A6651, Entries!A:K,11,false),"")</f>
        <v/>
      </c>
    </row>
    <row r="6652">
      <c r="A6652" s="78" t="s">
        <v>7598</v>
      </c>
      <c r="B6652" s="78" t="s">
        <v>18</v>
      </c>
      <c r="C6652" s="85">
        <v>45571.0</v>
      </c>
      <c r="D6652" s="85">
        <v>45596.0</v>
      </c>
      <c r="E6652" s="86">
        <v>9.4</v>
      </c>
      <c r="F6652" s="87">
        <v>11.75</v>
      </c>
      <c r="G6652" s="88">
        <f t="shared" si="1"/>
        <v>2.35</v>
      </c>
      <c r="H6652" s="89">
        <f t="shared" si="18"/>
        <v>0.2</v>
      </c>
      <c r="I6652" s="78" t="s">
        <v>7604</v>
      </c>
      <c r="J6652" s="78" t="s">
        <v>69</v>
      </c>
      <c r="K6652" s="58">
        <f t="shared" si="17"/>
        <v>25</v>
      </c>
      <c r="L6652" s="91" t="str">
        <f t="shared" si="8"/>
        <v>Thu</v>
      </c>
      <c r="M6652" s="78" t="str">
        <f>IFERROR(VLOOKUP(A6652, Entries!A:B,2,false),"")</f>
        <v/>
      </c>
      <c r="N6652" s="23" t="str">
        <f>IFERROR(VLOOKUP(A6652, Entries!A:K,11,false),"")</f>
        <v/>
      </c>
    </row>
    <row r="6653">
      <c r="A6653" s="78" t="s">
        <v>4928</v>
      </c>
      <c r="B6653" s="78" t="s">
        <v>19</v>
      </c>
      <c r="C6653" s="85">
        <v>45571.0</v>
      </c>
      <c r="D6653" s="85">
        <v>45572.0</v>
      </c>
      <c r="E6653" s="86">
        <v>27.62</v>
      </c>
      <c r="F6653" s="87">
        <v>30.97</v>
      </c>
      <c r="G6653" s="88">
        <f t="shared" si="1"/>
        <v>3.35</v>
      </c>
      <c r="H6653" s="89">
        <f t="shared" si="18"/>
        <v>0.108169196</v>
      </c>
      <c r="I6653" s="78" t="s">
        <v>7605</v>
      </c>
      <c r="J6653" s="78" t="s">
        <v>69</v>
      </c>
      <c r="K6653" s="58">
        <f t="shared" si="17"/>
        <v>1</v>
      </c>
      <c r="L6653" s="91" t="str">
        <f t="shared" si="8"/>
        <v>Mon</v>
      </c>
      <c r="M6653" s="78" t="str">
        <f>IFERROR(VLOOKUP(A6653, Entries!A:B,2,false),"")</f>
        <v>Eleventh Hour Games</v>
      </c>
      <c r="N6653" s="23" t="str">
        <f>IFERROR(VLOOKUP(A6653, Entries!A:K,11,false),"")</f>
        <v/>
      </c>
    </row>
    <row r="6654">
      <c r="A6654" s="78" t="s">
        <v>2466</v>
      </c>
      <c r="B6654" s="78" t="s">
        <v>19</v>
      </c>
      <c r="C6654" s="85">
        <v>45571.0</v>
      </c>
      <c r="D6654" s="85">
        <v>45571.0</v>
      </c>
      <c r="E6654" s="86">
        <v>6.77</v>
      </c>
      <c r="F6654" s="87">
        <v>8.9</v>
      </c>
      <c r="G6654" s="88">
        <f t="shared" si="1"/>
        <v>2.13</v>
      </c>
      <c r="H6654" s="89">
        <f t="shared" si="18"/>
        <v>0.2393258427</v>
      </c>
      <c r="I6654" s="78" t="s">
        <v>7606</v>
      </c>
      <c r="J6654" s="78" t="s">
        <v>69</v>
      </c>
      <c r="K6654" s="58">
        <f t="shared" si="17"/>
        <v>0</v>
      </c>
      <c r="L6654" s="91" t="str">
        <f t="shared" si="8"/>
        <v>Sun</v>
      </c>
      <c r="M6654" s="78" t="str">
        <f>IFERROR(VLOOKUP(A6654, Entries!A:B,2,false),"")</f>
        <v>Bethesda Softworks</v>
      </c>
      <c r="N6654" s="23" t="str">
        <f>IFERROR(VLOOKUP(A6654, Entries!A:K,11,false),"")</f>
        <v/>
      </c>
    </row>
    <row r="6655">
      <c r="A6655" s="78" t="s">
        <v>1786</v>
      </c>
      <c r="B6655" s="78" t="s">
        <v>19</v>
      </c>
      <c r="C6655" s="85">
        <v>45571.0</v>
      </c>
      <c r="D6655" s="85">
        <v>45571.0</v>
      </c>
      <c r="E6655" s="86">
        <v>6.78</v>
      </c>
      <c r="F6655" s="87">
        <v>11.77</v>
      </c>
      <c r="G6655" s="88">
        <f t="shared" si="1"/>
        <v>4.99</v>
      </c>
      <c r="H6655" s="89">
        <f t="shared" si="18"/>
        <v>0.4239592184</v>
      </c>
      <c r="I6655" s="78" t="s">
        <v>7607</v>
      </c>
      <c r="J6655" s="78" t="s">
        <v>69</v>
      </c>
      <c r="K6655" s="58">
        <f t="shared" si="17"/>
        <v>0</v>
      </c>
      <c r="L6655" s="91" t="str">
        <f t="shared" si="8"/>
        <v>Sun</v>
      </c>
      <c r="M6655" s="78" t="str">
        <f>IFERROR(VLOOKUP(A6655, Entries!A:B,2,false),"")</f>
        <v>Bethesda Softworks</v>
      </c>
      <c r="N6655" s="23" t="str">
        <f>IFERROR(VLOOKUP(A6655, Entries!A:K,11,false),"")</f>
        <v/>
      </c>
    </row>
    <row r="6656">
      <c r="A6656" s="78" t="s">
        <v>5613</v>
      </c>
      <c r="B6656" s="78" t="s">
        <v>22</v>
      </c>
      <c r="C6656" s="85">
        <v>45571.0</v>
      </c>
      <c r="D6656" s="85">
        <v>45607.0</v>
      </c>
      <c r="E6656" s="86">
        <v>10.26</v>
      </c>
      <c r="F6656" s="87">
        <v>16.88</v>
      </c>
      <c r="G6656" s="88">
        <f t="shared" si="1"/>
        <v>6.62</v>
      </c>
      <c r="H6656" s="89">
        <f t="shared" si="18"/>
        <v>0.3921800948</v>
      </c>
      <c r="I6656" s="78" t="s">
        <v>7608</v>
      </c>
      <c r="J6656" s="78" t="s">
        <v>69</v>
      </c>
      <c r="K6656" s="58">
        <f t="shared" si="17"/>
        <v>36</v>
      </c>
      <c r="L6656" s="91" t="str">
        <f t="shared" si="8"/>
        <v>Mon</v>
      </c>
      <c r="M6656" s="78" t="str">
        <f>IFERROR(VLOOKUP(A6656, Entries!A:B,2,false),"")</f>
        <v>Shiro Games</v>
      </c>
      <c r="N6656" s="23" t="str">
        <f>IFERROR(VLOOKUP(A6656, Entries!A:K,11,false),"")</f>
        <v/>
      </c>
    </row>
    <row r="6657">
      <c r="A6657" s="78" t="s">
        <v>5676</v>
      </c>
      <c r="B6657" s="78" t="s">
        <v>21</v>
      </c>
      <c r="C6657" s="85">
        <v>45571.0</v>
      </c>
      <c r="D6657" s="85">
        <v>45572.0</v>
      </c>
      <c r="E6657" s="86">
        <v>39.21</v>
      </c>
      <c r="F6657" s="87">
        <v>45.8</v>
      </c>
      <c r="G6657" s="88">
        <f t="shared" si="1"/>
        <v>6.59</v>
      </c>
      <c r="H6657" s="89">
        <f t="shared" si="18"/>
        <v>0.1438864629</v>
      </c>
      <c r="I6657" s="78" t="s">
        <v>7609</v>
      </c>
      <c r="J6657" s="78" t="s">
        <v>69</v>
      </c>
      <c r="K6657" s="58">
        <f t="shared" si="17"/>
        <v>1</v>
      </c>
      <c r="L6657" s="91" t="str">
        <f t="shared" si="8"/>
        <v>Mon</v>
      </c>
      <c r="M6657" s="78" t="str">
        <f>IFERROR(VLOOKUP(A6657, Entries!A:B,2,false),"")</f>
        <v>Bethesda Softworks</v>
      </c>
      <c r="N6657" s="23" t="str">
        <f>IFERROR(VLOOKUP(A6657, Entries!A:K,11,false),"")</f>
        <v/>
      </c>
    </row>
    <row r="6658">
      <c r="A6658" s="78" t="s">
        <v>1786</v>
      </c>
      <c r="B6658" s="78" t="s">
        <v>19</v>
      </c>
      <c r="C6658" s="85">
        <v>45571.0</v>
      </c>
      <c r="D6658" s="85">
        <v>45572.0</v>
      </c>
      <c r="E6658" s="86">
        <v>6.77</v>
      </c>
      <c r="F6658" s="87">
        <v>11.77</v>
      </c>
      <c r="G6658" s="88">
        <f t="shared" si="1"/>
        <v>5</v>
      </c>
      <c r="H6658" s="89">
        <f t="shared" si="18"/>
        <v>0.424808836</v>
      </c>
      <c r="I6658" s="78" t="s">
        <v>7610</v>
      </c>
      <c r="J6658" s="78" t="s">
        <v>69</v>
      </c>
      <c r="K6658" s="58">
        <f t="shared" si="17"/>
        <v>1</v>
      </c>
      <c r="L6658" s="91" t="str">
        <f t="shared" si="8"/>
        <v>Mon</v>
      </c>
      <c r="M6658" s="78" t="str">
        <f>IFERROR(VLOOKUP(A6658, Entries!A:B,2,false),"")</f>
        <v>Bethesda Softworks</v>
      </c>
      <c r="N6658" s="23" t="str">
        <f>IFERROR(VLOOKUP(A6658, Entries!A:K,11,false),"")</f>
        <v/>
      </c>
    </row>
    <row r="6659">
      <c r="A6659" s="78" t="s">
        <v>2466</v>
      </c>
      <c r="B6659" s="78" t="s">
        <v>22</v>
      </c>
      <c r="C6659" s="85">
        <v>45571.0</v>
      </c>
      <c r="D6659" s="85">
        <v>45572.0</v>
      </c>
      <c r="E6659" s="86">
        <v>6.78</v>
      </c>
      <c r="F6659" s="87">
        <v>8.77</v>
      </c>
      <c r="G6659" s="88">
        <f t="shared" si="1"/>
        <v>1.99</v>
      </c>
      <c r="H6659" s="89">
        <f t="shared" si="18"/>
        <v>0.2269099202</v>
      </c>
      <c r="I6659" s="78" t="s">
        <v>7611</v>
      </c>
      <c r="J6659" s="78" t="s">
        <v>69</v>
      </c>
      <c r="K6659" s="58">
        <f t="shared" si="17"/>
        <v>1</v>
      </c>
      <c r="L6659" s="91" t="str">
        <f t="shared" si="8"/>
        <v>Mon</v>
      </c>
      <c r="M6659" s="78" t="str">
        <f>IFERROR(VLOOKUP(A6659, Entries!A:B,2,false),"")</f>
        <v>Bethesda Softworks</v>
      </c>
      <c r="N6659" s="23" t="str">
        <f>IFERROR(VLOOKUP(A6659, Entries!A:K,11,false),"")</f>
        <v/>
      </c>
    </row>
    <row r="6660">
      <c r="A6660" s="78" t="s">
        <v>7612</v>
      </c>
      <c r="B6660" s="78" t="s">
        <v>23</v>
      </c>
      <c r="C6660" s="85">
        <v>45572.0</v>
      </c>
      <c r="D6660" s="25"/>
      <c r="E6660" s="86">
        <v>24.72</v>
      </c>
      <c r="F6660" s="88"/>
      <c r="G6660" s="88">
        <f t="shared" si="1"/>
        <v>-24.72</v>
      </c>
      <c r="H6660" s="89" t="str">
        <f t="shared" si="18"/>
        <v/>
      </c>
      <c r="I6660" s="103" t="s">
        <v>7613</v>
      </c>
      <c r="J6660" s="78" t="s">
        <v>1129</v>
      </c>
      <c r="K6660" s="58" t="str">
        <f t="shared" si="17"/>
        <v/>
      </c>
      <c r="L6660" s="91" t="str">
        <f t="shared" si="8"/>
        <v/>
      </c>
      <c r="M6660" s="78" t="str">
        <f>IFERROR(VLOOKUP(A6660, Entries!A:B,2,false),"")</f>
        <v/>
      </c>
      <c r="N6660" s="23" t="str">
        <f>IFERROR(VLOOKUP(A6660, Entries!A:K,11,false),"")</f>
        <v/>
      </c>
    </row>
    <row r="6661">
      <c r="A6661" s="78" t="s">
        <v>6018</v>
      </c>
      <c r="B6661" s="78" t="s">
        <v>30</v>
      </c>
      <c r="C6661" s="85">
        <v>45572.0</v>
      </c>
      <c r="D6661" s="85">
        <v>45572.0</v>
      </c>
      <c r="E6661" s="86">
        <v>12.36</v>
      </c>
      <c r="F6661" s="87">
        <v>14.05</v>
      </c>
      <c r="G6661" s="88">
        <f t="shared" si="1"/>
        <v>1.69</v>
      </c>
      <c r="H6661" s="89">
        <f t="shared" si="18"/>
        <v>0.1202846975</v>
      </c>
      <c r="I6661" s="78" t="s">
        <v>7614</v>
      </c>
      <c r="J6661" s="78" t="s">
        <v>69</v>
      </c>
      <c r="K6661" s="58">
        <f t="shared" si="17"/>
        <v>0</v>
      </c>
      <c r="L6661" s="91" t="str">
        <f t="shared" si="8"/>
        <v>Mon</v>
      </c>
      <c r="M6661" s="78" t="str">
        <f>IFERROR(VLOOKUP(A6661, Entries!A:B,2,false),"")</f>
        <v>Square Enix</v>
      </c>
      <c r="N6661" s="23" t="str">
        <f>IFERROR(VLOOKUP(A6661, Entries!A:K,11,false),"")</f>
        <v/>
      </c>
    </row>
    <row r="6662">
      <c r="A6662" s="78" t="s">
        <v>5676</v>
      </c>
      <c r="B6662" s="109" t="s">
        <v>23</v>
      </c>
      <c r="C6662" s="85">
        <v>45572.0</v>
      </c>
      <c r="D6662" s="85">
        <v>45572.0</v>
      </c>
      <c r="E6662" s="86">
        <v>39.94</v>
      </c>
      <c r="F6662" s="87">
        <v>45.99</v>
      </c>
      <c r="G6662" s="88">
        <f t="shared" si="1"/>
        <v>6.05</v>
      </c>
      <c r="H6662" s="89">
        <f t="shared" si="18"/>
        <v>0.131550337</v>
      </c>
      <c r="I6662" s="78" t="s">
        <v>7615</v>
      </c>
      <c r="J6662" s="78" t="s">
        <v>69</v>
      </c>
      <c r="K6662" s="58">
        <f t="shared" si="17"/>
        <v>0</v>
      </c>
      <c r="L6662" s="91" t="str">
        <f t="shared" si="8"/>
        <v>Mon</v>
      </c>
      <c r="M6662" s="78" t="str">
        <f>IFERROR(VLOOKUP(A6662, Entries!A:B,2,false),"")</f>
        <v>Bethesda Softworks</v>
      </c>
      <c r="N6662" s="23" t="str">
        <f>IFERROR(VLOOKUP(A6662, Entries!A:K,11,false),"")</f>
        <v/>
      </c>
    </row>
    <row r="6663">
      <c r="A6663" s="78" t="s">
        <v>5676</v>
      </c>
      <c r="B6663" s="109" t="s">
        <v>23</v>
      </c>
      <c r="C6663" s="85">
        <v>45572.0</v>
      </c>
      <c r="D6663" s="85">
        <v>45572.0</v>
      </c>
      <c r="E6663" s="86">
        <v>39.94</v>
      </c>
      <c r="F6663" s="87">
        <v>45.99</v>
      </c>
      <c r="G6663" s="88">
        <f t="shared" si="1"/>
        <v>6.05</v>
      </c>
      <c r="H6663" s="89">
        <f t="shared" si="18"/>
        <v>0.131550337</v>
      </c>
      <c r="I6663" s="78" t="s">
        <v>7616</v>
      </c>
      <c r="J6663" s="78" t="s">
        <v>69</v>
      </c>
      <c r="K6663" s="58">
        <f t="shared" si="17"/>
        <v>0</v>
      </c>
      <c r="L6663" s="91" t="str">
        <f t="shared" si="8"/>
        <v>Mon</v>
      </c>
      <c r="M6663" s="78" t="str">
        <f>IFERROR(VLOOKUP(A6663, Entries!A:B,2,false),"")</f>
        <v>Bethesda Softworks</v>
      </c>
      <c r="N6663" s="23" t="str">
        <f>IFERROR(VLOOKUP(A6663, Entries!A:K,11,false),"")</f>
        <v/>
      </c>
    </row>
    <row r="6664">
      <c r="A6664" s="78" t="s">
        <v>6018</v>
      </c>
      <c r="B6664" s="78" t="s">
        <v>30</v>
      </c>
      <c r="C6664" s="85">
        <v>45572.0</v>
      </c>
      <c r="D6664" s="85">
        <v>45573.0</v>
      </c>
      <c r="E6664" s="86">
        <v>12.36</v>
      </c>
      <c r="F6664" s="87">
        <v>14.05</v>
      </c>
      <c r="G6664" s="88">
        <f t="shared" si="1"/>
        <v>1.69</v>
      </c>
      <c r="H6664" s="89">
        <f t="shared" si="18"/>
        <v>0.1202846975</v>
      </c>
      <c r="I6664" s="78" t="s">
        <v>7617</v>
      </c>
      <c r="J6664" s="78" t="s">
        <v>69</v>
      </c>
      <c r="K6664" s="58">
        <f t="shared" si="17"/>
        <v>1</v>
      </c>
      <c r="L6664" s="91" t="str">
        <f t="shared" si="8"/>
        <v>Tue</v>
      </c>
      <c r="M6664" s="78" t="str">
        <f>IFERROR(VLOOKUP(A6664, Entries!A:B,2,false),"")</f>
        <v>Square Enix</v>
      </c>
      <c r="N6664" s="23" t="str">
        <f>IFERROR(VLOOKUP(A6664, Entries!A:K,11,false),"")</f>
        <v/>
      </c>
    </row>
    <row r="6665">
      <c r="A6665" s="78" t="s">
        <v>7517</v>
      </c>
      <c r="B6665" s="78" t="s">
        <v>22</v>
      </c>
      <c r="C6665" s="85">
        <v>45572.0</v>
      </c>
      <c r="D6665" s="85">
        <v>45576.0</v>
      </c>
      <c r="E6665" s="86">
        <v>20.2</v>
      </c>
      <c r="F6665" s="87">
        <v>23.14</v>
      </c>
      <c r="G6665" s="88">
        <f t="shared" si="1"/>
        <v>2.94</v>
      </c>
      <c r="H6665" s="89">
        <f t="shared" si="18"/>
        <v>0.1270527226</v>
      </c>
      <c r="I6665" s="78" t="s">
        <v>7618</v>
      </c>
      <c r="J6665" s="78" t="s">
        <v>69</v>
      </c>
      <c r="K6665" s="58">
        <f t="shared" si="17"/>
        <v>4</v>
      </c>
      <c r="L6665" s="91" t="str">
        <f t="shared" si="8"/>
        <v>Fri</v>
      </c>
      <c r="M6665" s="78" t="str">
        <f>IFERROR(VLOOKUP(A6665, Entries!A:B,2,false),"")</f>
        <v>Nacon</v>
      </c>
      <c r="N6665" s="23" t="str">
        <f>IFERROR(VLOOKUP(A6665, Entries!A:K,11,false),"")</f>
        <v/>
      </c>
    </row>
    <row r="6666">
      <c r="A6666" s="78" t="s">
        <v>6188</v>
      </c>
      <c r="B6666" s="78" t="s">
        <v>19</v>
      </c>
      <c r="C6666" s="85">
        <v>45572.0</v>
      </c>
      <c r="D6666" s="85">
        <v>45574.0</v>
      </c>
      <c r="E6666" s="86">
        <v>13.55</v>
      </c>
      <c r="F6666" s="87">
        <v>17.9</v>
      </c>
      <c r="G6666" s="88">
        <f t="shared" si="1"/>
        <v>4.35</v>
      </c>
      <c r="H6666" s="89">
        <f t="shared" si="18"/>
        <v>0.2430167598</v>
      </c>
      <c r="I6666" s="78" t="s">
        <v>7619</v>
      </c>
      <c r="J6666" s="78" t="s">
        <v>69</v>
      </c>
      <c r="K6666" s="58">
        <f t="shared" si="17"/>
        <v>2</v>
      </c>
      <c r="L6666" s="91" t="str">
        <f t="shared" si="8"/>
        <v>Wed</v>
      </c>
      <c r="M6666" s="78" t="str">
        <f>IFERROR(VLOOKUP(A6666, Entries!A:B,2,false),"")</f>
        <v>Focus Home Interactive</v>
      </c>
      <c r="N6666" s="23" t="str">
        <f>IFERROR(VLOOKUP(A6666, Entries!A:K,11,false),"")</f>
        <v/>
      </c>
    </row>
    <row r="6667">
      <c r="A6667" s="78" t="s">
        <v>5676</v>
      </c>
      <c r="B6667" s="109" t="s">
        <v>23</v>
      </c>
      <c r="C6667" s="85">
        <v>45572.0</v>
      </c>
      <c r="D6667" s="85">
        <v>45619.0</v>
      </c>
      <c r="E6667" s="86">
        <v>39.94</v>
      </c>
      <c r="F6667" s="87">
        <v>43.29</v>
      </c>
      <c r="G6667" s="88">
        <f t="shared" si="1"/>
        <v>3.35</v>
      </c>
      <c r="H6667" s="89">
        <f t="shared" si="18"/>
        <v>0.07738507739</v>
      </c>
      <c r="I6667" s="78" t="s">
        <v>7620</v>
      </c>
      <c r="J6667" s="78" t="s">
        <v>69</v>
      </c>
      <c r="K6667" s="58">
        <f t="shared" si="17"/>
        <v>47</v>
      </c>
      <c r="L6667" s="91" t="str">
        <f t="shared" si="8"/>
        <v>Sat</v>
      </c>
      <c r="M6667" s="78" t="str">
        <f>IFERROR(VLOOKUP(A6667, Entries!A:B,2,false),"")</f>
        <v>Bethesda Softworks</v>
      </c>
      <c r="N6667" s="23" t="str">
        <f>IFERROR(VLOOKUP(A6667, Entries!A:K,11,false),"")</f>
        <v/>
      </c>
    </row>
    <row r="6668">
      <c r="A6668" s="78" t="s">
        <v>5676</v>
      </c>
      <c r="B6668" s="109" t="s">
        <v>23</v>
      </c>
      <c r="C6668" s="85">
        <v>45572.0</v>
      </c>
      <c r="D6668" s="85">
        <v>45620.0</v>
      </c>
      <c r="E6668" s="86">
        <v>39.94</v>
      </c>
      <c r="F6668" s="87">
        <v>43.29</v>
      </c>
      <c r="G6668" s="88">
        <f t="shared" si="1"/>
        <v>3.35</v>
      </c>
      <c r="H6668" s="89">
        <f t="shared" si="18"/>
        <v>0.07738507739</v>
      </c>
      <c r="I6668" s="78" t="s">
        <v>7621</v>
      </c>
      <c r="J6668" s="78" t="s">
        <v>69</v>
      </c>
      <c r="K6668" s="58">
        <f t="shared" si="17"/>
        <v>48</v>
      </c>
      <c r="L6668" s="91" t="str">
        <f t="shared" si="8"/>
        <v>Sun</v>
      </c>
      <c r="M6668" s="78" t="str">
        <f>IFERROR(VLOOKUP(A6668, Entries!A:B,2,false),"")</f>
        <v>Bethesda Softworks</v>
      </c>
      <c r="N6668" s="23" t="str">
        <f>IFERROR(VLOOKUP(A6668, Entries!A:K,11,false),"")</f>
        <v/>
      </c>
    </row>
    <row r="6669">
      <c r="A6669" s="78" t="s">
        <v>4928</v>
      </c>
      <c r="B6669" s="78" t="s">
        <v>19</v>
      </c>
      <c r="C6669" s="85">
        <v>45572.0</v>
      </c>
      <c r="D6669" s="85">
        <v>45576.0</v>
      </c>
      <c r="E6669" s="86">
        <v>27.62</v>
      </c>
      <c r="F6669" s="87">
        <v>30.97</v>
      </c>
      <c r="G6669" s="88">
        <f t="shared" si="1"/>
        <v>3.35</v>
      </c>
      <c r="H6669" s="89">
        <f t="shared" si="18"/>
        <v>0.108169196</v>
      </c>
      <c r="I6669" s="78" t="s">
        <v>7622</v>
      </c>
      <c r="J6669" s="78" t="s">
        <v>69</v>
      </c>
      <c r="K6669" s="58">
        <f t="shared" si="17"/>
        <v>4</v>
      </c>
      <c r="L6669" s="91" t="str">
        <f t="shared" si="8"/>
        <v>Fri</v>
      </c>
      <c r="M6669" s="78" t="str">
        <f>IFERROR(VLOOKUP(A6669, Entries!A:B,2,false),"")</f>
        <v>Eleventh Hour Games</v>
      </c>
      <c r="N6669" s="23" t="str">
        <f>IFERROR(VLOOKUP(A6669, Entries!A:K,11,false),"")</f>
        <v/>
      </c>
    </row>
    <row r="6670">
      <c r="A6670" s="78" t="s">
        <v>6018</v>
      </c>
      <c r="B6670" s="78" t="s">
        <v>30</v>
      </c>
      <c r="C6670" s="85">
        <v>45573.0</v>
      </c>
      <c r="D6670" s="85">
        <v>45573.0</v>
      </c>
      <c r="E6670" s="86">
        <v>12.35</v>
      </c>
      <c r="F6670" s="87">
        <v>14.05</v>
      </c>
      <c r="G6670" s="88">
        <f t="shared" si="1"/>
        <v>1.7</v>
      </c>
      <c r="H6670" s="89">
        <f t="shared" si="18"/>
        <v>0.1209964413</v>
      </c>
      <c r="I6670" s="78" t="s">
        <v>7623</v>
      </c>
      <c r="J6670" s="78" t="s">
        <v>69</v>
      </c>
      <c r="K6670" s="58">
        <f t="shared" si="17"/>
        <v>0</v>
      </c>
      <c r="L6670" s="91" t="str">
        <f t="shared" si="8"/>
        <v>Tue</v>
      </c>
      <c r="M6670" s="78" t="str">
        <f>IFERROR(VLOOKUP(A6670, Entries!A:B,2,false),"")</f>
        <v>Square Enix</v>
      </c>
      <c r="N6670" s="23" t="str">
        <f>IFERROR(VLOOKUP(A6670, Entries!A:K,11,false),"")</f>
        <v/>
      </c>
    </row>
    <row r="6671">
      <c r="A6671" s="78" t="s">
        <v>550</v>
      </c>
      <c r="B6671" s="109" t="s">
        <v>25</v>
      </c>
      <c r="C6671" s="85">
        <v>45573.0</v>
      </c>
      <c r="D6671" s="85">
        <v>45601.0</v>
      </c>
      <c r="E6671" s="86">
        <v>8.82</v>
      </c>
      <c r="F6671" s="87">
        <v>11.86</v>
      </c>
      <c r="G6671" s="88">
        <f t="shared" si="1"/>
        <v>3.04</v>
      </c>
      <c r="H6671" s="89">
        <f t="shared" si="18"/>
        <v>0.2563237774</v>
      </c>
      <c r="I6671" s="78" t="s">
        <v>7624</v>
      </c>
      <c r="J6671" s="78" t="s">
        <v>69</v>
      </c>
      <c r="K6671" s="58">
        <f t="shared" si="17"/>
        <v>28</v>
      </c>
      <c r="L6671" s="91" t="str">
        <f t="shared" si="8"/>
        <v>Tue</v>
      </c>
      <c r="M6671" s="78" t="str">
        <f>IFERROR(VLOOKUP(A6671, Entries!A:B,2,false),"")</f>
        <v>Codemasters</v>
      </c>
      <c r="N6671" s="23" t="str">
        <f>IFERROR(VLOOKUP(A6671, Entries!A:K,11,false),"")</f>
        <v/>
      </c>
    </row>
    <row r="6672">
      <c r="A6672" s="78" t="s">
        <v>5273</v>
      </c>
      <c r="B6672" s="110" t="s">
        <v>17</v>
      </c>
      <c r="C6672" s="85">
        <v>45573.0</v>
      </c>
      <c r="D6672" s="85">
        <v>45574.0</v>
      </c>
      <c r="E6672" s="86">
        <v>27.48</v>
      </c>
      <c r="F6672" s="87">
        <v>35.48</v>
      </c>
      <c r="G6672" s="88">
        <f t="shared" si="1"/>
        <v>8</v>
      </c>
      <c r="H6672" s="89">
        <f t="shared" si="18"/>
        <v>0.2254791432</v>
      </c>
      <c r="I6672" s="78" t="s">
        <v>7625</v>
      </c>
      <c r="J6672" s="78" t="s">
        <v>69</v>
      </c>
      <c r="K6672" s="58">
        <f t="shared" si="17"/>
        <v>1</v>
      </c>
      <c r="L6672" s="91" t="str">
        <f t="shared" si="8"/>
        <v>Wed</v>
      </c>
      <c r="M6672" s="78" t="str">
        <f>IFERROR(VLOOKUP(A6672, Entries!A:B,2,false),"")</f>
        <v>PlayStation</v>
      </c>
      <c r="N6672" s="23" t="str">
        <f>IFERROR(VLOOKUP(A6672, Entries!A:K,11,false),"")</f>
        <v/>
      </c>
    </row>
    <row r="6673">
      <c r="A6673" s="78" t="s">
        <v>6018</v>
      </c>
      <c r="B6673" s="78" t="s">
        <v>30</v>
      </c>
      <c r="C6673" s="85">
        <v>45573.0</v>
      </c>
      <c r="D6673" s="85">
        <v>45575.0</v>
      </c>
      <c r="E6673" s="86">
        <v>12.35</v>
      </c>
      <c r="F6673" s="87">
        <v>14.05</v>
      </c>
      <c r="G6673" s="88">
        <f t="shared" si="1"/>
        <v>1.7</v>
      </c>
      <c r="H6673" s="89">
        <f t="shared" si="18"/>
        <v>0.1209964413</v>
      </c>
      <c r="I6673" s="78" t="s">
        <v>7626</v>
      </c>
      <c r="J6673" s="78" t="s">
        <v>69</v>
      </c>
      <c r="K6673" s="58">
        <f t="shared" si="17"/>
        <v>2</v>
      </c>
      <c r="L6673" s="91" t="str">
        <f t="shared" si="8"/>
        <v>Thu</v>
      </c>
      <c r="M6673" s="78" t="str">
        <f>IFERROR(VLOOKUP(A6673, Entries!A:B,2,false),"")</f>
        <v>Square Enix</v>
      </c>
      <c r="N6673" s="23" t="str">
        <f>IFERROR(VLOOKUP(A6673, Entries!A:K,11,false),"")</f>
        <v/>
      </c>
    </row>
    <row r="6674">
      <c r="A6674" s="78" t="s">
        <v>6188</v>
      </c>
      <c r="B6674" s="78" t="s">
        <v>19</v>
      </c>
      <c r="C6674" s="85">
        <v>45574.0</v>
      </c>
      <c r="D6674" s="85">
        <v>45578.0</v>
      </c>
      <c r="E6674" s="86">
        <v>14.24</v>
      </c>
      <c r="F6674" s="87">
        <v>17.79</v>
      </c>
      <c r="G6674" s="88">
        <f t="shared" si="1"/>
        <v>3.55</v>
      </c>
      <c r="H6674" s="89">
        <f t="shared" si="18"/>
        <v>0.1995503092</v>
      </c>
      <c r="I6674" s="78" t="s">
        <v>7627</v>
      </c>
      <c r="J6674" s="78" t="s">
        <v>69</v>
      </c>
      <c r="K6674" s="58">
        <f t="shared" si="17"/>
        <v>4</v>
      </c>
      <c r="L6674" s="91" t="str">
        <f t="shared" si="8"/>
        <v>Sun</v>
      </c>
      <c r="M6674" s="78" t="str">
        <f>IFERROR(VLOOKUP(A6674, Entries!A:B,2,false),"")</f>
        <v>Focus Home Interactive</v>
      </c>
      <c r="N6674" s="23" t="str">
        <f>IFERROR(VLOOKUP(A6674, Entries!A:K,11,false),"")</f>
        <v/>
      </c>
    </row>
    <row r="6675">
      <c r="A6675" s="78" t="s">
        <v>5273</v>
      </c>
      <c r="B6675" s="110" t="s">
        <v>17</v>
      </c>
      <c r="C6675" s="85">
        <v>45574.0</v>
      </c>
      <c r="D6675" s="85">
        <v>45575.0</v>
      </c>
      <c r="E6675" s="86">
        <v>27.48</v>
      </c>
      <c r="F6675" s="87">
        <v>35.38</v>
      </c>
      <c r="G6675" s="88">
        <f t="shared" si="1"/>
        <v>7.9</v>
      </c>
      <c r="H6675" s="89">
        <f t="shared" si="18"/>
        <v>0.2232899943</v>
      </c>
      <c r="I6675" s="78" t="s">
        <v>7628</v>
      </c>
      <c r="J6675" s="78" t="s">
        <v>69</v>
      </c>
      <c r="K6675" s="58">
        <f t="shared" si="17"/>
        <v>1</v>
      </c>
      <c r="L6675" s="91" t="str">
        <f t="shared" si="8"/>
        <v>Thu</v>
      </c>
      <c r="M6675" s="78" t="str">
        <f>IFERROR(VLOOKUP(A6675, Entries!A:B,2,false),"")</f>
        <v>PlayStation</v>
      </c>
      <c r="N6675" s="23" t="str">
        <f>IFERROR(VLOOKUP(A6675, Entries!A:K,11,false),"")</f>
        <v/>
      </c>
    </row>
    <row r="6676">
      <c r="A6676" s="78" t="s">
        <v>7629</v>
      </c>
      <c r="B6676" s="78" t="s">
        <v>22</v>
      </c>
      <c r="C6676" s="85">
        <v>45575.0</v>
      </c>
      <c r="D6676" s="25"/>
      <c r="E6676" s="86">
        <v>10.12</v>
      </c>
      <c r="F6676" s="88"/>
      <c r="G6676" s="88">
        <f t="shared" si="1"/>
        <v>-10.12</v>
      </c>
      <c r="H6676" s="89" t="str">
        <f t="shared" si="18"/>
        <v/>
      </c>
      <c r="I6676" s="103" t="s">
        <v>7630</v>
      </c>
      <c r="J6676" s="78" t="s">
        <v>1129</v>
      </c>
      <c r="K6676" s="58" t="str">
        <f t="shared" si="17"/>
        <v/>
      </c>
      <c r="L6676" s="91" t="str">
        <f t="shared" si="8"/>
        <v/>
      </c>
      <c r="M6676" s="78" t="str">
        <f>IFERROR(VLOOKUP(A6676, Entries!A:B,2,false),"")</f>
        <v/>
      </c>
      <c r="N6676" s="23" t="str">
        <f>IFERROR(VLOOKUP(A6676, Entries!A:K,11,false),"")</f>
        <v/>
      </c>
    </row>
    <row r="6677">
      <c r="A6677" s="78" t="s">
        <v>2466</v>
      </c>
      <c r="B6677" s="78" t="s">
        <v>19</v>
      </c>
      <c r="C6677" s="85">
        <v>45575.0</v>
      </c>
      <c r="D6677" s="85">
        <v>45576.0</v>
      </c>
      <c r="E6677" s="86">
        <v>7.12</v>
      </c>
      <c r="F6677" s="87">
        <v>9.62</v>
      </c>
      <c r="G6677" s="88">
        <f t="shared" si="1"/>
        <v>2.5</v>
      </c>
      <c r="H6677" s="89">
        <f t="shared" si="18"/>
        <v>0.2598752599</v>
      </c>
      <c r="I6677" s="78" t="s">
        <v>7631</v>
      </c>
      <c r="J6677" s="78" t="s">
        <v>69</v>
      </c>
      <c r="K6677" s="58">
        <f t="shared" si="17"/>
        <v>1</v>
      </c>
      <c r="L6677" s="91" t="str">
        <f t="shared" si="8"/>
        <v>Fri</v>
      </c>
      <c r="M6677" s="78" t="str">
        <f>IFERROR(VLOOKUP(A6677, Entries!A:B,2,false),"")</f>
        <v>Bethesda Softworks</v>
      </c>
      <c r="N6677" s="23" t="str">
        <f>IFERROR(VLOOKUP(A6677, Entries!A:K,11,false),"")</f>
        <v/>
      </c>
    </row>
    <row r="6678">
      <c r="A6678" s="78" t="s">
        <v>1786</v>
      </c>
      <c r="B6678" s="78" t="s">
        <v>19</v>
      </c>
      <c r="C6678" s="85">
        <v>45575.0</v>
      </c>
      <c r="D6678" s="85">
        <v>45576.0</v>
      </c>
      <c r="E6678" s="86">
        <v>7.12</v>
      </c>
      <c r="F6678" s="87">
        <v>12.24</v>
      </c>
      <c r="G6678" s="88">
        <f t="shared" si="1"/>
        <v>5.12</v>
      </c>
      <c r="H6678" s="89">
        <f t="shared" si="18"/>
        <v>0.4183006536</v>
      </c>
      <c r="I6678" s="78" t="s">
        <v>7632</v>
      </c>
      <c r="J6678" s="78" t="s">
        <v>69</v>
      </c>
      <c r="K6678" s="58">
        <f t="shared" si="17"/>
        <v>1</v>
      </c>
      <c r="L6678" s="91" t="str">
        <f t="shared" si="8"/>
        <v>Fri</v>
      </c>
      <c r="M6678" s="78" t="str">
        <f>IFERROR(VLOOKUP(A6678, Entries!A:B,2,false),"")</f>
        <v>Bethesda Softworks</v>
      </c>
      <c r="N6678" s="23" t="str">
        <f>IFERROR(VLOOKUP(A6678, Entries!A:K,11,false),"")</f>
        <v/>
      </c>
    </row>
    <row r="6679">
      <c r="A6679" s="78" t="s">
        <v>2466</v>
      </c>
      <c r="B6679" s="78" t="s">
        <v>19</v>
      </c>
      <c r="C6679" s="85">
        <v>45576.0</v>
      </c>
      <c r="D6679" s="85">
        <v>45576.0</v>
      </c>
      <c r="E6679" s="86">
        <v>6.8</v>
      </c>
      <c r="F6679" s="87">
        <v>9.57</v>
      </c>
      <c r="G6679" s="88">
        <f t="shared" si="1"/>
        <v>2.77</v>
      </c>
      <c r="H6679" s="89">
        <f t="shared" si="18"/>
        <v>0.289446186</v>
      </c>
      <c r="I6679" s="78" t="s">
        <v>7633</v>
      </c>
      <c r="J6679" s="78" t="s">
        <v>69</v>
      </c>
      <c r="K6679" s="58">
        <f t="shared" si="17"/>
        <v>0</v>
      </c>
      <c r="L6679" s="91" t="str">
        <f t="shared" si="8"/>
        <v>Fri</v>
      </c>
      <c r="M6679" s="78" t="str">
        <f>IFERROR(VLOOKUP(A6679, Entries!A:B,2,false),"")</f>
        <v>Bethesda Softworks</v>
      </c>
      <c r="N6679" s="23" t="str">
        <f>IFERROR(VLOOKUP(A6679, Entries!A:K,11,false),"")</f>
        <v/>
      </c>
    </row>
    <row r="6680">
      <c r="A6680" s="78" t="s">
        <v>1786</v>
      </c>
      <c r="B6680" s="78" t="s">
        <v>19</v>
      </c>
      <c r="C6680" s="85">
        <v>45576.0</v>
      </c>
      <c r="D6680" s="85">
        <v>45577.0</v>
      </c>
      <c r="E6680" s="86">
        <v>6.81</v>
      </c>
      <c r="F6680" s="87">
        <v>12.13</v>
      </c>
      <c r="G6680" s="88">
        <f t="shared" si="1"/>
        <v>5.32</v>
      </c>
      <c r="H6680" s="89">
        <f t="shared" si="18"/>
        <v>0.438582028</v>
      </c>
      <c r="I6680" s="78" t="s">
        <v>7634</v>
      </c>
      <c r="J6680" s="78" t="s">
        <v>69</v>
      </c>
      <c r="K6680" s="58">
        <f t="shared" si="17"/>
        <v>1</v>
      </c>
      <c r="L6680" s="91" t="str">
        <f t="shared" si="8"/>
        <v>Sat</v>
      </c>
      <c r="M6680" s="78" t="str">
        <f>IFERROR(VLOOKUP(A6680, Entries!A:B,2,false),"")</f>
        <v>Bethesda Softworks</v>
      </c>
      <c r="N6680" s="23" t="str">
        <f>IFERROR(VLOOKUP(A6680, Entries!A:K,11,false),"")</f>
        <v/>
      </c>
    </row>
    <row r="6681">
      <c r="A6681" s="78" t="s">
        <v>5273</v>
      </c>
      <c r="B6681" s="110" t="s">
        <v>37</v>
      </c>
      <c r="C6681" s="85">
        <v>45576.0</v>
      </c>
      <c r="D6681" s="85">
        <v>45576.0</v>
      </c>
      <c r="E6681" s="86">
        <v>27.48</v>
      </c>
      <c r="F6681" s="87">
        <v>35.38</v>
      </c>
      <c r="G6681" s="88">
        <f t="shared" si="1"/>
        <v>7.9</v>
      </c>
      <c r="H6681" s="89">
        <f t="shared" si="18"/>
        <v>0.2232899943</v>
      </c>
      <c r="I6681" s="78" t="s">
        <v>7635</v>
      </c>
      <c r="J6681" s="78" t="s">
        <v>69</v>
      </c>
      <c r="K6681" s="58">
        <f t="shared" si="17"/>
        <v>0</v>
      </c>
      <c r="L6681" s="91" t="str">
        <f t="shared" si="8"/>
        <v>Fri</v>
      </c>
      <c r="M6681" s="78" t="str">
        <f>IFERROR(VLOOKUP(A6681, Entries!A:B,2,false),"")</f>
        <v>PlayStation</v>
      </c>
      <c r="N6681" s="23" t="str">
        <f>IFERROR(VLOOKUP(A6681, Entries!A:K,11,false),"")</f>
        <v/>
      </c>
    </row>
    <row r="6682">
      <c r="A6682" s="78" t="s">
        <v>7517</v>
      </c>
      <c r="B6682" s="78" t="s">
        <v>22</v>
      </c>
      <c r="C6682" s="85">
        <v>45576.0</v>
      </c>
      <c r="D6682" s="85">
        <v>45605.0</v>
      </c>
      <c r="E6682" s="86">
        <v>20.3</v>
      </c>
      <c r="F6682" s="87">
        <v>23.15</v>
      </c>
      <c r="G6682" s="88">
        <f t="shared" si="1"/>
        <v>2.85</v>
      </c>
      <c r="H6682" s="89">
        <f t="shared" si="18"/>
        <v>0.1231101512</v>
      </c>
      <c r="I6682" s="78" t="s">
        <v>7636</v>
      </c>
      <c r="J6682" s="78" t="s">
        <v>69</v>
      </c>
      <c r="K6682" s="58">
        <f t="shared" si="17"/>
        <v>29</v>
      </c>
      <c r="L6682" s="91" t="str">
        <f t="shared" si="8"/>
        <v>Sat</v>
      </c>
      <c r="M6682" s="78" t="str">
        <f>IFERROR(VLOOKUP(A6682, Entries!A:B,2,false),"")</f>
        <v>Nacon</v>
      </c>
      <c r="N6682" s="23" t="str">
        <f>IFERROR(VLOOKUP(A6682, Entries!A:K,11,false),"")</f>
        <v/>
      </c>
    </row>
    <row r="6683">
      <c r="A6683" s="78" t="s">
        <v>7092</v>
      </c>
      <c r="B6683" s="78" t="s">
        <v>23</v>
      </c>
      <c r="C6683" s="85">
        <v>45576.0</v>
      </c>
      <c r="D6683" s="85">
        <v>45578.0</v>
      </c>
      <c r="E6683" s="86">
        <v>8.59</v>
      </c>
      <c r="F6683" s="87">
        <v>10.58</v>
      </c>
      <c r="G6683" s="88">
        <f t="shared" si="1"/>
        <v>1.99</v>
      </c>
      <c r="H6683" s="89">
        <f t="shared" si="18"/>
        <v>0.1880907372</v>
      </c>
      <c r="I6683" s="78" t="s">
        <v>7637</v>
      </c>
      <c r="J6683" s="78" t="s">
        <v>69</v>
      </c>
      <c r="K6683" s="58">
        <f t="shared" si="17"/>
        <v>2</v>
      </c>
      <c r="L6683" s="91" t="str">
        <f t="shared" si="8"/>
        <v>Sun</v>
      </c>
      <c r="M6683" s="78" t="str">
        <f>IFERROR(VLOOKUP(A6683, Entries!A:B,2,false),"")</f>
        <v>IO Interactive</v>
      </c>
      <c r="N6683" s="23" t="str">
        <f>IFERROR(VLOOKUP(A6683, Entries!A:K,11,false),"")</f>
        <v/>
      </c>
    </row>
    <row r="6684">
      <c r="A6684" s="78" t="s">
        <v>5273</v>
      </c>
      <c r="B6684" s="110" t="s">
        <v>37</v>
      </c>
      <c r="C6684" s="85">
        <v>45576.0</v>
      </c>
      <c r="D6684" s="85">
        <v>45577.0</v>
      </c>
      <c r="E6684" s="86">
        <v>30.0</v>
      </c>
      <c r="F6684" s="87">
        <v>35.49</v>
      </c>
      <c r="G6684" s="88">
        <f t="shared" si="1"/>
        <v>5.49</v>
      </c>
      <c r="H6684" s="89">
        <f t="shared" si="18"/>
        <v>0.1546914624</v>
      </c>
      <c r="I6684" s="78" t="s">
        <v>7638</v>
      </c>
      <c r="J6684" s="78" t="s">
        <v>69</v>
      </c>
      <c r="K6684" s="58">
        <f t="shared" si="17"/>
        <v>1</v>
      </c>
      <c r="L6684" s="91" t="str">
        <f t="shared" si="8"/>
        <v>Sat</v>
      </c>
      <c r="M6684" s="78" t="str">
        <f>IFERROR(VLOOKUP(A6684, Entries!A:B,2,false),"")</f>
        <v>PlayStation</v>
      </c>
      <c r="N6684" s="23" t="str">
        <f>IFERROR(VLOOKUP(A6684, Entries!A:K,11,false),"")</f>
        <v/>
      </c>
    </row>
    <row r="6685">
      <c r="A6685" s="78" t="s">
        <v>7257</v>
      </c>
      <c r="B6685" s="78" t="s">
        <v>18</v>
      </c>
      <c r="C6685" s="85">
        <v>45577.0</v>
      </c>
      <c r="D6685" s="85">
        <v>45582.0</v>
      </c>
      <c r="E6685" s="86">
        <v>29.2</v>
      </c>
      <c r="F6685" s="87">
        <v>42.49</v>
      </c>
      <c r="G6685" s="88">
        <f t="shared" si="1"/>
        <v>13.29</v>
      </c>
      <c r="H6685" s="89">
        <f t="shared" si="18"/>
        <v>0.3127794775</v>
      </c>
      <c r="I6685" s="78" t="s">
        <v>7639</v>
      </c>
      <c r="J6685" s="78" t="s">
        <v>69</v>
      </c>
      <c r="K6685" s="58">
        <f t="shared" si="17"/>
        <v>5</v>
      </c>
      <c r="L6685" s="91" t="str">
        <f t="shared" si="8"/>
        <v>Thu</v>
      </c>
      <c r="M6685" s="78" t="str">
        <f>IFERROR(VLOOKUP(A6685, Entries!A:B,2,false),"")</f>
        <v>Electronic Arts</v>
      </c>
      <c r="N6685" s="23" t="str">
        <f>IFERROR(VLOOKUP(A6685, Entries!A:K,11,false),"")</f>
        <v/>
      </c>
    </row>
    <row r="6686">
      <c r="A6686" s="78" t="s">
        <v>7257</v>
      </c>
      <c r="B6686" s="78" t="s">
        <v>18</v>
      </c>
      <c r="C6686" s="85">
        <v>45577.0</v>
      </c>
      <c r="D6686" s="85">
        <v>45584.0</v>
      </c>
      <c r="E6686" s="86">
        <v>29.2</v>
      </c>
      <c r="F6686" s="87">
        <v>50.57</v>
      </c>
      <c r="G6686" s="88">
        <f t="shared" si="1"/>
        <v>21.37</v>
      </c>
      <c r="H6686" s="89">
        <f t="shared" si="18"/>
        <v>0.4225825588</v>
      </c>
      <c r="I6686" s="78" t="s">
        <v>7640</v>
      </c>
      <c r="J6686" s="78" t="s">
        <v>69</v>
      </c>
      <c r="K6686" s="58">
        <f t="shared" si="17"/>
        <v>7</v>
      </c>
      <c r="L6686" s="91" t="str">
        <f t="shared" si="8"/>
        <v>Sat</v>
      </c>
      <c r="M6686" s="78" t="str">
        <f>IFERROR(VLOOKUP(A6686, Entries!A:B,2,false),"")</f>
        <v>Electronic Arts</v>
      </c>
      <c r="N6686" s="23" t="str">
        <f>IFERROR(VLOOKUP(A6686, Entries!A:K,11,false),"")</f>
        <v/>
      </c>
    </row>
    <row r="6687">
      <c r="A6687" s="78" t="s">
        <v>2466</v>
      </c>
      <c r="B6687" s="78" t="s">
        <v>19</v>
      </c>
      <c r="C6687" s="85">
        <v>45577.0</v>
      </c>
      <c r="D6687" s="85">
        <v>45578.0</v>
      </c>
      <c r="E6687" s="86">
        <v>7.15</v>
      </c>
      <c r="F6687" s="87">
        <v>9.81</v>
      </c>
      <c r="G6687" s="88">
        <f t="shared" si="1"/>
        <v>2.66</v>
      </c>
      <c r="H6687" s="89">
        <f t="shared" si="18"/>
        <v>0.2711518858</v>
      </c>
      <c r="I6687" s="78" t="s">
        <v>7641</v>
      </c>
      <c r="J6687" s="78" t="s">
        <v>69</v>
      </c>
      <c r="K6687" s="58">
        <f t="shared" si="17"/>
        <v>1</v>
      </c>
      <c r="L6687" s="91" t="str">
        <f t="shared" si="8"/>
        <v>Sun</v>
      </c>
      <c r="M6687" s="78" t="str">
        <f>IFERROR(VLOOKUP(A6687, Entries!A:B,2,false),"")</f>
        <v>Bethesda Softworks</v>
      </c>
      <c r="N6687" s="23" t="str">
        <f>IFERROR(VLOOKUP(A6687, Entries!A:K,11,false),"")</f>
        <v/>
      </c>
    </row>
    <row r="6688">
      <c r="A6688" s="78" t="s">
        <v>1786</v>
      </c>
      <c r="B6688" s="78" t="s">
        <v>19</v>
      </c>
      <c r="C6688" s="85">
        <v>45577.0</v>
      </c>
      <c r="D6688" s="85">
        <v>45578.0</v>
      </c>
      <c r="E6688" s="86">
        <v>7.15</v>
      </c>
      <c r="F6688" s="87">
        <v>12.29</v>
      </c>
      <c r="G6688" s="88">
        <f t="shared" si="1"/>
        <v>5.14</v>
      </c>
      <c r="H6688" s="89">
        <f t="shared" si="18"/>
        <v>0.4182262002</v>
      </c>
      <c r="I6688" s="78" t="s">
        <v>7642</v>
      </c>
      <c r="J6688" s="78" t="s">
        <v>69</v>
      </c>
      <c r="K6688" s="58">
        <f t="shared" si="17"/>
        <v>1</v>
      </c>
      <c r="L6688" s="91" t="str">
        <f t="shared" si="8"/>
        <v>Sun</v>
      </c>
      <c r="M6688" s="78" t="str">
        <f>IFERROR(VLOOKUP(A6688, Entries!A:B,2,false),"")</f>
        <v>Bethesda Softworks</v>
      </c>
      <c r="N6688" s="23" t="str">
        <f>IFERROR(VLOOKUP(A6688, Entries!A:K,11,false),"")</f>
        <v/>
      </c>
    </row>
    <row r="6689">
      <c r="A6689" s="78" t="s">
        <v>2466</v>
      </c>
      <c r="B6689" s="78" t="s">
        <v>19</v>
      </c>
      <c r="C6689" s="85">
        <v>45578.0</v>
      </c>
      <c r="D6689" s="85">
        <v>45578.0</v>
      </c>
      <c r="E6689" s="86">
        <v>7.15</v>
      </c>
      <c r="F6689" s="87">
        <v>10.65</v>
      </c>
      <c r="G6689" s="88">
        <f t="shared" si="1"/>
        <v>3.5</v>
      </c>
      <c r="H6689" s="89">
        <f t="shared" si="18"/>
        <v>0.3286384977</v>
      </c>
      <c r="I6689" s="78" t="s">
        <v>7643</v>
      </c>
      <c r="J6689" s="78" t="s">
        <v>69</v>
      </c>
      <c r="K6689" s="58">
        <f t="shared" si="17"/>
        <v>0</v>
      </c>
      <c r="L6689" s="91" t="str">
        <f t="shared" si="8"/>
        <v>Sun</v>
      </c>
      <c r="M6689" s="78" t="str">
        <f>IFERROR(VLOOKUP(A6689, Entries!A:B,2,false),"")</f>
        <v>Bethesda Softworks</v>
      </c>
      <c r="N6689" s="23" t="str">
        <f>IFERROR(VLOOKUP(A6689, Entries!A:K,11,false),"")</f>
        <v/>
      </c>
    </row>
    <row r="6690">
      <c r="A6690" s="78" t="s">
        <v>1786</v>
      </c>
      <c r="B6690" s="78" t="s">
        <v>19</v>
      </c>
      <c r="C6690" s="85">
        <v>45578.0</v>
      </c>
      <c r="D6690" s="85">
        <v>45578.0</v>
      </c>
      <c r="E6690" s="86">
        <v>7.15</v>
      </c>
      <c r="F6690" s="87">
        <v>12.13</v>
      </c>
      <c r="G6690" s="88">
        <f t="shared" si="1"/>
        <v>4.98</v>
      </c>
      <c r="H6690" s="89">
        <f t="shared" si="18"/>
        <v>0.4105523495</v>
      </c>
      <c r="I6690" s="78" t="s">
        <v>7644</v>
      </c>
      <c r="J6690" s="78" t="s">
        <v>69</v>
      </c>
      <c r="K6690" s="58">
        <f t="shared" si="17"/>
        <v>0</v>
      </c>
      <c r="L6690" s="91" t="str">
        <f t="shared" si="8"/>
        <v>Sun</v>
      </c>
      <c r="M6690" s="78" t="str">
        <f>IFERROR(VLOOKUP(A6690, Entries!A:B,2,false),"")</f>
        <v>Bethesda Softworks</v>
      </c>
      <c r="N6690" s="23" t="str">
        <f>IFERROR(VLOOKUP(A6690, Entries!A:K,11,false),"")</f>
        <v/>
      </c>
    </row>
    <row r="6691">
      <c r="A6691" s="78" t="s">
        <v>2466</v>
      </c>
      <c r="B6691" s="78" t="s">
        <v>19</v>
      </c>
      <c r="C6691" s="85">
        <v>45578.0</v>
      </c>
      <c r="D6691" s="85">
        <v>45579.0</v>
      </c>
      <c r="E6691" s="86">
        <v>6.67</v>
      </c>
      <c r="F6691" s="87">
        <v>10.61</v>
      </c>
      <c r="G6691" s="88">
        <f t="shared" si="1"/>
        <v>3.94</v>
      </c>
      <c r="H6691" s="89">
        <f t="shared" si="18"/>
        <v>0.3713477851</v>
      </c>
      <c r="I6691" s="78" t="s">
        <v>7645</v>
      </c>
      <c r="J6691" s="78" t="s">
        <v>69</v>
      </c>
      <c r="K6691" s="58">
        <f t="shared" si="17"/>
        <v>1</v>
      </c>
      <c r="L6691" s="91" t="str">
        <f t="shared" si="8"/>
        <v>Mon</v>
      </c>
      <c r="M6691" s="78" t="str">
        <f>IFERROR(VLOOKUP(A6691, Entries!A:B,2,false),"")</f>
        <v>Bethesda Softworks</v>
      </c>
      <c r="N6691" s="23" t="str">
        <f>IFERROR(VLOOKUP(A6691, Entries!A:K,11,false),"")</f>
        <v/>
      </c>
    </row>
    <row r="6692">
      <c r="A6692" s="78" t="s">
        <v>1786</v>
      </c>
      <c r="B6692" s="78" t="s">
        <v>19</v>
      </c>
      <c r="C6692" s="85">
        <v>45578.0</v>
      </c>
      <c r="D6692" s="85">
        <v>45579.0</v>
      </c>
      <c r="E6692" s="86">
        <v>6.67</v>
      </c>
      <c r="F6692" s="87">
        <v>11.6</v>
      </c>
      <c r="G6692" s="88">
        <f t="shared" si="1"/>
        <v>4.93</v>
      </c>
      <c r="H6692" s="89">
        <f t="shared" si="18"/>
        <v>0.425</v>
      </c>
      <c r="I6692" s="78" t="s">
        <v>7646</v>
      </c>
      <c r="J6692" s="78" t="s">
        <v>69</v>
      </c>
      <c r="K6692" s="58">
        <f t="shared" si="17"/>
        <v>1</v>
      </c>
      <c r="L6692" s="91" t="str">
        <f t="shared" si="8"/>
        <v>Mon</v>
      </c>
      <c r="M6692" s="78" t="str">
        <f>IFERROR(VLOOKUP(A6692, Entries!A:B,2,false),"")</f>
        <v>Bethesda Softworks</v>
      </c>
      <c r="N6692" s="23" t="str">
        <f>IFERROR(VLOOKUP(A6692, Entries!A:K,11,false),"")</f>
        <v/>
      </c>
    </row>
    <row r="6693">
      <c r="A6693" s="78" t="s">
        <v>7647</v>
      </c>
      <c r="B6693" s="78" t="s">
        <v>37</v>
      </c>
      <c r="C6693" s="85">
        <v>45578.0</v>
      </c>
      <c r="D6693" s="85">
        <v>45579.0</v>
      </c>
      <c r="E6693" s="86">
        <v>34.3</v>
      </c>
      <c r="F6693" s="87">
        <v>45.3</v>
      </c>
      <c r="G6693" s="88">
        <f t="shared" si="1"/>
        <v>11</v>
      </c>
      <c r="H6693" s="89">
        <f t="shared" si="18"/>
        <v>0.2428256071</v>
      </c>
      <c r="I6693" s="78" t="s">
        <v>7648</v>
      </c>
      <c r="J6693" s="78" t="s">
        <v>69</v>
      </c>
      <c r="K6693" s="58">
        <f t="shared" si="17"/>
        <v>1</v>
      </c>
      <c r="L6693" s="91" t="str">
        <f t="shared" si="8"/>
        <v>Mon</v>
      </c>
      <c r="M6693" s="78" t="str">
        <f>IFERROR(VLOOKUP(A6693, Entries!A:B,2,false),"")</f>
        <v>PlayStation</v>
      </c>
      <c r="N6693" s="23" t="str">
        <f>IFERROR(VLOOKUP(A6693, Entries!A:K,11,false),"")</f>
        <v/>
      </c>
    </row>
    <row r="6694">
      <c r="A6694" s="78" t="s">
        <v>7649</v>
      </c>
      <c r="B6694" s="78" t="s">
        <v>37</v>
      </c>
      <c r="C6694" s="85">
        <v>45578.0</v>
      </c>
      <c r="D6694" s="85">
        <v>45579.0</v>
      </c>
      <c r="E6694" s="86">
        <v>26.0</v>
      </c>
      <c r="F6694" s="87">
        <v>30.4</v>
      </c>
      <c r="G6694" s="88">
        <f t="shared" si="1"/>
        <v>4.4</v>
      </c>
      <c r="H6694" s="89">
        <f t="shared" si="18"/>
        <v>0.1447368421</v>
      </c>
      <c r="I6694" s="78" t="s">
        <v>7650</v>
      </c>
      <c r="J6694" s="78" t="s">
        <v>69</v>
      </c>
      <c r="K6694" s="58">
        <f t="shared" si="17"/>
        <v>1</v>
      </c>
      <c r="L6694" s="91" t="str">
        <f t="shared" si="8"/>
        <v>Mon</v>
      </c>
      <c r="M6694" s="78" t="str">
        <f>IFERROR(VLOOKUP(A6694, Entries!A:B,2,false),"")</f>
        <v>PlayStation</v>
      </c>
      <c r="N6694" s="23" t="str">
        <f>IFERROR(VLOOKUP(A6694, Entries!A:K,11,false),"")</f>
        <v/>
      </c>
    </row>
    <row r="6695">
      <c r="A6695" s="78" t="s">
        <v>4928</v>
      </c>
      <c r="B6695" s="78" t="s">
        <v>19</v>
      </c>
      <c r="C6695" s="85">
        <v>45578.0</v>
      </c>
      <c r="D6695" s="85">
        <v>45582.0</v>
      </c>
      <c r="E6695" s="86">
        <v>27.69</v>
      </c>
      <c r="F6695" s="87">
        <v>30.97</v>
      </c>
      <c r="G6695" s="88">
        <f t="shared" si="1"/>
        <v>3.28</v>
      </c>
      <c r="H6695" s="89">
        <f t="shared" si="18"/>
        <v>0.1059089441</v>
      </c>
      <c r="I6695" s="78" t="s">
        <v>7651</v>
      </c>
      <c r="J6695" s="78" t="s">
        <v>69</v>
      </c>
      <c r="K6695" s="58">
        <f t="shared" si="17"/>
        <v>4</v>
      </c>
      <c r="L6695" s="91" t="str">
        <f t="shared" si="8"/>
        <v>Thu</v>
      </c>
      <c r="M6695" s="78" t="str">
        <f>IFERROR(VLOOKUP(A6695, Entries!A:B,2,false),"")</f>
        <v>Eleventh Hour Games</v>
      </c>
      <c r="N6695" s="23" t="str">
        <f>IFERROR(VLOOKUP(A6695, Entries!A:K,11,false),"")</f>
        <v/>
      </c>
    </row>
    <row r="6696">
      <c r="A6696" s="78" t="s">
        <v>7092</v>
      </c>
      <c r="B6696" s="78" t="s">
        <v>23</v>
      </c>
      <c r="C6696" s="85">
        <v>45578.0</v>
      </c>
      <c r="D6696" s="85">
        <v>45591.0</v>
      </c>
      <c r="E6696" s="86">
        <v>8.57</v>
      </c>
      <c r="F6696" s="87">
        <v>10.41</v>
      </c>
      <c r="G6696" s="88">
        <f t="shared" si="1"/>
        <v>1.84</v>
      </c>
      <c r="H6696" s="89">
        <f t="shared" si="18"/>
        <v>0.176753122</v>
      </c>
      <c r="I6696" s="78" t="s">
        <v>7652</v>
      </c>
      <c r="J6696" s="78" t="s">
        <v>69</v>
      </c>
      <c r="K6696" s="58">
        <f t="shared" si="17"/>
        <v>13</v>
      </c>
      <c r="L6696" s="91" t="str">
        <f t="shared" si="8"/>
        <v>Sat</v>
      </c>
      <c r="M6696" s="78" t="str">
        <f>IFERROR(VLOOKUP(A6696, Entries!A:B,2,false),"")</f>
        <v>IO Interactive</v>
      </c>
      <c r="N6696" s="23" t="str">
        <f>IFERROR(VLOOKUP(A6696, Entries!A:K,11,false),"")</f>
        <v/>
      </c>
    </row>
    <row r="6697">
      <c r="A6697" s="78" t="s">
        <v>6188</v>
      </c>
      <c r="B6697" s="78" t="s">
        <v>19</v>
      </c>
      <c r="C6697" s="85">
        <v>45579.0</v>
      </c>
      <c r="D6697" s="85">
        <v>45688.0</v>
      </c>
      <c r="E6697" s="86">
        <v>13.29</v>
      </c>
      <c r="F6697" s="87">
        <v>14.25</v>
      </c>
      <c r="G6697" s="88">
        <f t="shared" si="1"/>
        <v>0.96</v>
      </c>
      <c r="H6697" s="89">
        <f t="shared" si="18"/>
        <v>0.06736842105</v>
      </c>
      <c r="I6697" s="78" t="s">
        <v>7653</v>
      </c>
      <c r="J6697" s="78" t="s">
        <v>69</v>
      </c>
      <c r="K6697" s="58">
        <f t="shared" si="17"/>
        <v>109</v>
      </c>
      <c r="L6697" s="91" t="str">
        <f t="shared" si="8"/>
        <v>Fri</v>
      </c>
      <c r="M6697" s="78" t="str">
        <f>IFERROR(VLOOKUP(A6697, Entries!A:B,2,false),"")</f>
        <v>Focus Home Interactive</v>
      </c>
      <c r="N6697" s="23" t="str">
        <f>IFERROR(VLOOKUP(A6697, Entries!A:K,11,false),"")</f>
        <v/>
      </c>
    </row>
    <row r="6698">
      <c r="A6698" s="78" t="s">
        <v>2466</v>
      </c>
      <c r="B6698" s="78" t="s">
        <v>19</v>
      </c>
      <c r="C6698" s="85">
        <v>45579.0</v>
      </c>
      <c r="D6698" s="85">
        <v>45581.0</v>
      </c>
      <c r="E6698" s="86">
        <v>6.64</v>
      </c>
      <c r="F6698" s="87">
        <v>10.65</v>
      </c>
      <c r="G6698" s="88">
        <f t="shared" si="1"/>
        <v>4.01</v>
      </c>
      <c r="H6698" s="89">
        <f t="shared" si="18"/>
        <v>0.3765258216</v>
      </c>
      <c r="I6698" s="78" t="s">
        <v>7654</v>
      </c>
      <c r="J6698" s="78" t="s">
        <v>69</v>
      </c>
      <c r="K6698" s="58">
        <f t="shared" si="17"/>
        <v>2</v>
      </c>
      <c r="L6698" s="91" t="str">
        <f t="shared" si="8"/>
        <v>Wed</v>
      </c>
      <c r="M6698" s="78" t="str">
        <f>IFERROR(VLOOKUP(A6698, Entries!A:B,2,false),"")</f>
        <v>Bethesda Softworks</v>
      </c>
      <c r="N6698" s="23" t="str">
        <f>IFERROR(VLOOKUP(A6698, Entries!A:K,11,false),"")</f>
        <v/>
      </c>
    </row>
    <row r="6699">
      <c r="A6699" s="78" t="s">
        <v>1786</v>
      </c>
      <c r="B6699" s="78" t="s">
        <v>19</v>
      </c>
      <c r="C6699" s="85">
        <v>45579.0</v>
      </c>
      <c r="D6699" s="85">
        <v>45580.0</v>
      </c>
      <c r="E6699" s="86">
        <v>6.65</v>
      </c>
      <c r="F6699" s="87">
        <v>11.86</v>
      </c>
      <c r="G6699" s="88">
        <f t="shared" si="1"/>
        <v>5.21</v>
      </c>
      <c r="H6699" s="89">
        <f t="shared" si="18"/>
        <v>0.4392917369</v>
      </c>
      <c r="I6699" s="78" t="s">
        <v>7655</v>
      </c>
      <c r="J6699" s="78" t="s">
        <v>69</v>
      </c>
      <c r="K6699" s="58">
        <f t="shared" si="17"/>
        <v>1</v>
      </c>
      <c r="L6699" s="91" t="str">
        <f t="shared" si="8"/>
        <v>Tue</v>
      </c>
      <c r="M6699" s="78" t="str">
        <f>IFERROR(VLOOKUP(A6699, Entries!A:B,2,false),"")</f>
        <v>Bethesda Softworks</v>
      </c>
      <c r="N6699" s="23" t="str">
        <f>IFERROR(VLOOKUP(A6699, Entries!A:K,11,false),"")</f>
        <v/>
      </c>
    </row>
    <row r="6700">
      <c r="A6700" s="78" t="s">
        <v>7647</v>
      </c>
      <c r="B6700" s="78" t="s">
        <v>37</v>
      </c>
      <c r="C6700" s="85">
        <v>45579.0</v>
      </c>
      <c r="D6700" s="85">
        <v>45581.0</v>
      </c>
      <c r="E6700" s="86">
        <v>35.2</v>
      </c>
      <c r="F6700" s="87">
        <v>40.59</v>
      </c>
      <c r="G6700" s="88">
        <f t="shared" si="1"/>
        <v>5.39</v>
      </c>
      <c r="H6700" s="89">
        <f t="shared" si="18"/>
        <v>0.1327913279</v>
      </c>
      <c r="I6700" s="78" t="s">
        <v>7656</v>
      </c>
      <c r="J6700" s="78" t="s">
        <v>69</v>
      </c>
      <c r="K6700" s="58">
        <f t="shared" si="17"/>
        <v>2</v>
      </c>
      <c r="L6700" s="91" t="str">
        <f t="shared" si="8"/>
        <v>Wed</v>
      </c>
      <c r="M6700" s="78" t="str">
        <f>IFERROR(VLOOKUP(A6700, Entries!A:B,2,false),"")</f>
        <v>PlayStation</v>
      </c>
      <c r="N6700" s="23" t="str">
        <f>IFERROR(VLOOKUP(A6700, Entries!A:K,11,false),"")</f>
        <v/>
      </c>
    </row>
    <row r="6701">
      <c r="A6701" s="78" t="s">
        <v>7515</v>
      </c>
      <c r="B6701" s="78" t="s">
        <v>22</v>
      </c>
      <c r="C6701" s="85">
        <v>45579.0</v>
      </c>
      <c r="D6701" s="85">
        <v>45580.0</v>
      </c>
      <c r="E6701" s="86">
        <v>10.13</v>
      </c>
      <c r="F6701" s="87">
        <v>11.93</v>
      </c>
      <c r="G6701" s="88">
        <f t="shared" si="1"/>
        <v>1.8</v>
      </c>
      <c r="H6701" s="89">
        <f t="shared" si="18"/>
        <v>0.1508801341</v>
      </c>
      <c r="I6701" s="78" t="s">
        <v>7657</v>
      </c>
      <c r="J6701" s="78" t="s">
        <v>69</v>
      </c>
      <c r="K6701" s="58">
        <f t="shared" si="17"/>
        <v>1</v>
      </c>
      <c r="L6701" s="91" t="str">
        <f t="shared" si="8"/>
        <v>Tue</v>
      </c>
      <c r="M6701" s="108" t="str">
        <f>IFERROR(VLOOKUP(A6701, Entries!A:B,2,false),"")</f>
        <v>indie.io</v>
      </c>
      <c r="N6701" s="23" t="str">
        <f>IFERROR(VLOOKUP(A6701, Entries!A:K,11,false),"")</f>
        <v/>
      </c>
    </row>
    <row r="6702">
      <c r="A6702" s="78" t="s">
        <v>7658</v>
      </c>
      <c r="B6702" s="78" t="s">
        <v>22</v>
      </c>
      <c r="C6702" s="85">
        <v>45579.0</v>
      </c>
      <c r="D6702" s="85">
        <v>45581.0</v>
      </c>
      <c r="E6702" s="86">
        <v>6.48</v>
      </c>
      <c r="F6702" s="87">
        <v>8.84</v>
      </c>
      <c r="G6702" s="88">
        <f t="shared" si="1"/>
        <v>2.36</v>
      </c>
      <c r="H6702" s="89">
        <f t="shared" si="18"/>
        <v>0.2669683258</v>
      </c>
      <c r="J6702" s="78" t="s">
        <v>69</v>
      </c>
      <c r="K6702" s="58">
        <f t="shared" si="17"/>
        <v>2</v>
      </c>
      <c r="L6702" s="91" t="str">
        <f t="shared" si="8"/>
        <v>Wed</v>
      </c>
      <c r="M6702" s="78" t="str">
        <f>IFERROR(VLOOKUP(A6702, Entries!A:B,2,false),"")</f>
        <v/>
      </c>
      <c r="N6702" s="23" t="str">
        <f>IFERROR(VLOOKUP(A6702, Entries!A:K,11,false),"")</f>
        <v/>
      </c>
    </row>
    <row r="6703">
      <c r="A6703" s="78" t="s">
        <v>7649</v>
      </c>
      <c r="B6703" s="78" t="s">
        <v>37</v>
      </c>
      <c r="C6703" s="85">
        <v>45579.0</v>
      </c>
      <c r="D6703" s="85">
        <v>45580.0</v>
      </c>
      <c r="E6703" s="86">
        <v>26.0</v>
      </c>
      <c r="F6703" s="87">
        <v>30.4</v>
      </c>
      <c r="G6703" s="88">
        <f t="shared" si="1"/>
        <v>4.4</v>
      </c>
      <c r="H6703" s="89">
        <f t="shared" si="18"/>
        <v>0.1447368421</v>
      </c>
      <c r="I6703" s="78" t="s">
        <v>7659</v>
      </c>
      <c r="J6703" s="78" t="s">
        <v>69</v>
      </c>
      <c r="K6703" s="58">
        <f t="shared" si="17"/>
        <v>1</v>
      </c>
      <c r="L6703" s="91" t="str">
        <f t="shared" si="8"/>
        <v>Tue</v>
      </c>
      <c r="M6703" s="78" t="str">
        <f>IFERROR(VLOOKUP(A6703, Entries!A:B,2,false),"")</f>
        <v>PlayStation</v>
      </c>
      <c r="N6703" s="23" t="str">
        <f>IFERROR(VLOOKUP(A6703, Entries!A:K,11,false),"")</f>
        <v/>
      </c>
    </row>
    <row r="6704">
      <c r="A6704" s="78" t="s">
        <v>7649</v>
      </c>
      <c r="B6704" s="78" t="s">
        <v>37</v>
      </c>
      <c r="C6704" s="85">
        <v>45580.0</v>
      </c>
      <c r="D6704" s="85">
        <v>45581.0</v>
      </c>
      <c r="E6704" s="86">
        <v>26.0</v>
      </c>
      <c r="F6704" s="87">
        <v>30.4</v>
      </c>
      <c r="G6704" s="88">
        <f t="shared" si="1"/>
        <v>4.4</v>
      </c>
      <c r="H6704" s="89">
        <f t="shared" si="18"/>
        <v>0.1447368421</v>
      </c>
      <c r="I6704" s="78" t="s">
        <v>7660</v>
      </c>
      <c r="J6704" s="78" t="s">
        <v>69</v>
      </c>
      <c r="K6704" s="58">
        <f t="shared" si="17"/>
        <v>1</v>
      </c>
      <c r="L6704" s="91" t="str">
        <f t="shared" si="8"/>
        <v>Wed</v>
      </c>
      <c r="M6704" s="78" t="str">
        <f>IFERROR(VLOOKUP(A6704, Entries!A:B,2,false),"")</f>
        <v>PlayStation</v>
      </c>
      <c r="N6704" s="23" t="str">
        <f>IFERROR(VLOOKUP(A6704, Entries!A:K,11,false),"")</f>
        <v/>
      </c>
    </row>
    <row r="6705">
      <c r="A6705" s="78" t="s">
        <v>2466</v>
      </c>
      <c r="B6705" s="78" t="s">
        <v>19</v>
      </c>
      <c r="C6705" s="85">
        <v>45580.0</v>
      </c>
      <c r="D6705" s="85">
        <v>45582.0</v>
      </c>
      <c r="E6705" s="86">
        <v>6.67</v>
      </c>
      <c r="F6705" s="87">
        <v>10.11</v>
      </c>
      <c r="G6705" s="88">
        <f t="shared" si="1"/>
        <v>3.44</v>
      </c>
      <c r="H6705" s="89">
        <f t="shared" si="18"/>
        <v>0.3402571711</v>
      </c>
      <c r="I6705" s="78" t="s">
        <v>7661</v>
      </c>
      <c r="J6705" s="78" t="s">
        <v>69</v>
      </c>
      <c r="K6705" s="58">
        <f t="shared" si="17"/>
        <v>2</v>
      </c>
      <c r="L6705" s="91" t="str">
        <f t="shared" si="8"/>
        <v>Thu</v>
      </c>
      <c r="M6705" s="78" t="str">
        <f>IFERROR(VLOOKUP(A6705, Entries!A:B,2,false),"")</f>
        <v>Bethesda Softworks</v>
      </c>
      <c r="N6705" s="23" t="str">
        <f>IFERROR(VLOOKUP(A6705, Entries!A:K,11,false),"")</f>
        <v/>
      </c>
    </row>
    <row r="6706">
      <c r="A6706" s="78" t="s">
        <v>1786</v>
      </c>
      <c r="B6706" s="78" t="s">
        <v>19</v>
      </c>
      <c r="C6706" s="85">
        <v>45580.0</v>
      </c>
      <c r="D6706" s="85">
        <v>45581.0</v>
      </c>
      <c r="E6706" s="86">
        <v>6.67</v>
      </c>
      <c r="F6706" s="87">
        <v>11.3</v>
      </c>
      <c r="G6706" s="88">
        <f t="shared" si="1"/>
        <v>4.63</v>
      </c>
      <c r="H6706" s="89">
        <f t="shared" si="18"/>
        <v>0.4097345133</v>
      </c>
      <c r="I6706" s="78" t="s">
        <v>7662</v>
      </c>
      <c r="J6706" s="78" t="s">
        <v>69</v>
      </c>
      <c r="K6706" s="58">
        <f t="shared" si="17"/>
        <v>1</v>
      </c>
      <c r="L6706" s="91" t="str">
        <f t="shared" si="8"/>
        <v>Wed</v>
      </c>
      <c r="M6706" s="78" t="str">
        <f>IFERROR(VLOOKUP(A6706, Entries!A:B,2,false),"")</f>
        <v>Bethesda Softworks</v>
      </c>
      <c r="N6706" s="23" t="str">
        <f>IFERROR(VLOOKUP(A6706, Entries!A:K,11,false),"")</f>
        <v/>
      </c>
    </row>
    <row r="6707">
      <c r="A6707" s="78" t="s">
        <v>1271</v>
      </c>
      <c r="B6707" s="78" t="s">
        <v>19</v>
      </c>
      <c r="C6707" s="85">
        <v>45580.0</v>
      </c>
      <c r="D6707" s="85">
        <v>45600.0</v>
      </c>
      <c r="E6707" s="86">
        <v>0.0</v>
      </c>
      <c r="F6707" s="87">
        <v>1.2</v>
      </c>
      <c r="G6707" s="88">
        <f t="shared" si="1"/>
        <v>1.2</v>
      </c>
      <c r="H6707" s="89">
        <f t="shared" si="18"/>
        <v>1</v>
      </c>
      <c r="I6707" s="78" t="s">
        <v>7663</v>
      </c>
      <c r="J6707" s="78" t="s">
        <v>69</v>
      </c>
      <c r="K6707" s="58">
        <f t="shared" si="17"/>
        <v>20</v>
      </c>
      <c r="L6707" s="91" t="str">
        <f t="shared" si="8"/>
        <v>Mon</v>
      </c>
      <c r="M6707" s="78" t="str">
        <f>IFERROR(VLOOKUP(A6707, Entries!A:B,2,false),"")</f>
        <v>Wired Productions</v>
      </c>
      <c r="N6707" s="23" t="str">
        <f>IFERROR(VLOOKUP(A6707, Entries!A:K,11,false),"")</f>
        <v/>
      </c>
    </row>
    <row r="6708">
      <c r="A6708" s="78" t="s">
        <v>7515</v>
      </c>
      <c r="B6708" s="78" t="s">
        <v>22</v>
      </c>
      <c r="C6708" s="85">
        <v>45580.0</v>
      </c>
      <c r="D6708" s="85">
        <v>45581.0</v>
      </c>
      <c r="E6708" s="86">
        <v>10.16</v>
      </c>
      <c r="F6708" s="87">
        <v>11.93</v>
      </c>
      <c r="G6708" s="88">
        <f t="shared" si="1"/>
        <v>1.77</v>
      </c>
      <c r="H6708" s="89">
        <f t="shared" si="18"/>
        <v>0.1483654652</v>
      </c>
      <c r="I6708" s="78" t="s">
        <v>7664</v>
      </c>
      <c r="J6708" s="78" t="s">
        <v>69</v>
      </c>
      <c r="K6708" s="58">
        <f t="shared" si="17"/>
        <v>1</v>
      </c>
      <c r="L6708" s="91" t="str">
        <f t="shared" si="8"/>
        <v>Wed</v>
      </c>
      <c r="M6708" s="108" t="str">
        <f>IFERROR(VLOOKUP(A6708, Entries!A:B,2,false),"")</f>
        <v>indie.io</v>
      </c>
      <c r="N6708" s="23" t="str">
        <f>IFERROR(VLOOKUP(A6708, Entries!A:K,11,false),"")</f>
        <v/>
      </c>
    </row>
    <row r="6709">
      <c r="A6709" s="78" t="s">
        <v>7647</v>
      </c>
      <c r="B6709" s="78" t="s">
        <v>37</v>
      </c>
      <c r="C6709" s="85">
        <v>45581.0</v>
      </c>
      <c r="D6709" s="85">
        <v>45587.0</v>
      </c>
      <c r="E6709" s="86">
        <v>0.0</v>
      </c>
      <c r="F6709" s="87">
        <v>44.3</v>
      </c>
      <c r="G6709" s="88">
        <f t="shared" si="1"/>
        <v>44.3</v>
      </c>
      <c r="H6709" s="89">
        <f t="shared" si="18"/>
        <v>1</v>
      </c>
      <c r="I6709" s="78" t="s">
        <v>7665</v>
      </c>
      <c r="J6709" s="78" t="s">
        <v>69</v>
      </c>
      <c r="K6709" s="58">
        <f t="shared" si="17"/>
        <v>6</v>
      </c>
      <c r="L6709" s="91" t="str">
        <f t="shared" si="8"/>
        <v>Tue</v>
      </c>
      <c r="M6709" s="78" t="str">
        <f>IFERROR(VLOOKUP(A6709, Entries!A:B,2,false),"")</f>
        <v>PlayStation</v>
      </c>
      <c r="N6709" s="23" t="str">
        <f>IFERROR(VLOOKUP(A6709, Entries!A:K,11,false),"")</f>
        <v/>
      </c>
    </row>
    <row r="6710">
      <c r="A6710" s="78" t="s">
        <v>7649</v>
      </c>
      <c r="B6710" s="78" t="s">
        <v>37</v>
      </c>
      <c r="C6710" s="85">
        <v>45581.0</v>
      </c>
      <c r="D6710" s="85">
        <v>45582.0</v>
      </c>
      <c r="E6710" s="86">
        <v>25.77</v>
      </c>
      <c r="F6710" s="87">
        <v>30.4</v>
      </c>
      <c r="G6710" s="88">
        <f t="shared" si="1"/>
        <v>4.63</v>
      </c>
      <c r="H6710" s="89">
        <f t="shared" si="18"/>
        <v>0.1523026316</v>
      </c>
      <c r="I6710" s="78" t="s">
        <v>7666</v>
      </c>
      <c r="J6710" s="78" t="s">
        <v>69</v>
      </c>
      <c r="K6710" s="58">
        <f t="shared" si="17"/>
        <v>1</v>
      </c>
      <c r="L6710" s="91" t="str">
        <f t="shared" si="8"/>
        <v>Thu</v>
      </c>
      <c r="M6710" s="78" t="str">
        <f>IFERROR(VLOOKUP(A6710, Entries!A:B,2,false),"")</f>
        <v>PlayStation</v>
      </c>
      <c r="N6710" s="23" t="str">
        <f>IFERROR(VLOOKUP(A6710, Entries!A:K,11,false),"")</f>
        <v/>
      </c>
    </row>
    <row r="6711">
      <c r="A6711" s="78" t="s">
        <v>7667</v>
      </c>
      <c r="B6711" s="78" t="s">
        <v>22</v>
      </c>
      <c r="C6711" s="85">
        <v>45581.0</v>
      </c>
      <c r="D6711" s="25"/>
      <c r="E6711" s="86">
        <v>6.5</v>
      </c>
      <c r="F6711" s="88"/>
      <c r="G6711" s="88">
        <f t="shared" si="1"/>
        <v>-6.5</v>
      </c>
      <c r="H6711" s="89" t="str">
        <f t="shared" si="18"/>
        <v/>
      </c>
      <c r="I6711" s="103" t="s">
        <v>7668</v>
      </c>
      <c r="J6711" s="78" t="s">
        <v>1129</v>
      </c>
      <c r="K6711" s="58" t="str">
        <f t="shared" si="17"/>
        <v/>
      </c>
      <c r="L6711" s="91" t="str">
        <f t="shared" si="8"/>
        <v/>
      </c>
      <c r="M6711" s="78" t="str">
        <f>IFERROR(VLOOKUP(A6711, Entries!A:B,2,false),"")</f>
        <v/>
      </c>
      <c r="N6711" s="23" t="str">
        <f>IFERROR(VLOOKUP(A6711, Entries!A:K,11,false),"")</f>
        <v/>
      </c>
    </row>
    <row r="6712">
      <c r="A6712" s="78" t="s">
        <v>7669</v>
      </c>
      <c r="B6712" s="78" t="s">
        <v>21</v>
      </c>
      <c r="C6712" s="85">
        <v>45581.0</v>
      </c>
      <c r="D6712" s="85">
        <v>45582.0</v>
      </c>
      <c r="E6712" s="86">
        <v>20.37</v>
      </c>
      <c r="F6712" s="87">
        <v>27.73</v>
      </c>
      <c r="G6712" s="88">
        <f t="shared" si="1"/>
        <v>7.36</v>
      </c>
      <c r="H6712" s="89">
        <f t="shared" si="18"/>
        <v>0.2654165164</v>
      </c>
      <c r="I6712" s="78" t="s">
        <v>7670</v>
      </c>
      <c r="J6712" s="78" t="s">
        <v>69</v>
      </c>
      <c r="K6712" s="58">
        <f t="shared" si="17"/>
        <v>1</v>
      </c>
      <c r="L6712" s="91" t="str">
        <f t="shared" si="8"/>
        <v>Thu</v>
      </c>
      <c r="M6712" s="78" t="str">
        <f>IFERROR(VLOOKUP(A6712, Entries!A:B,2,false),"")</f>
        <v/>
      </c>
      <c r="N6712" s="23" t="str">
        <f>IFERROR(VLOOKUP(A6712, Entries!A:K,11,false),"")</f>
        <v/>
      </c>
    </row>
    <row r="6713">
      <c r="A6713" s="78" t="s">
        <v>7669</v>
      </c>
      <c r="B6713" s="78" t="s">
        <v>21</v>
      </c>
      <c r="C6713" s="85">
        <v>45581.0</v>
      </c>
      <c r="D6713" s="85">
        <v>45582.0</v>
      </c>
      <c r="E6713" s="86">
        <v>20.37</v>
      </c>
      <c r="F6713" s="87">
        <v>20.58</v>
      </c>
      <c r="G6713" s="88">
        <f t="shared" si="1"/>
        <v>0.21</v>
      </c>
      <c r="H6713" s="89">
        <f t="shared" si="18"/>
        <v>0.01020408163</v>
      </c>
      <c r="I6713" s="78" t="s">
        <v>7671</v>
      </c>
      <c r="J6713" s="78" t="s">
        <v>69</v>
      </c>
      <c r="K6713" s="58">
        <f t="shared" si="17"/>
        <v>1</v>
      </c>
      <c r="L6713" s="91" t="str">
        <f t="shared" si="8"/>
        <v>Thu</v>
      </c>
      <c r="M6713" s="78" t="str">
        <f>IFERROR(VLOOKUP(A6713, Entries!A:B,2,false),"")</f>
        <v/>
      </c>
      <c r="N6713" s="23" t="str">
        <f>IFERROR(VLOOKUP(A6713, Entries!A:K,11,false),"")</f>
        <v/>
      </c>
    </row>
    <row r="6714">
      <c r="A6714" s="78" t="s">
        <v>7515</v>
      </c>
      <c r="B6714" s="78" t="s">
        <v>22</v>
      </c>
      <c r="C6714" s="85">
        <v>45581.0</v>
      </c>
      <c r="D6714" s="85">
        <v>45582.0</v>
      </c>
      <c r="E6714" s="86">
        <v>10.17</v>
      </c>
      <c r="F6714" s="87">
        <v>11.88</v>
      </c>
      <c r="G6714" s="88">
        <f t="shared" si="1"/>
        <v>1.71</v>
      </c>
      <c r="H6714" s="89">
        <f t="shared" si="18"/>
        <v>0.1439393939</v>
      </c>
      <c r="I6714" s="78" t="s">
        <v>7672</v>
      </c>
      <c r="J6714" s="78" t="s">
        <v>69</v>
      </c>
      <c r="K6714" s="58">
        <f t="shared" si="17"/>
        <v>1</v>
      </c>
      <c r="L6714" s="91" t="str">
        <f t="shared" si="8"/>
        <v>Thu</v>
      </c>
      <c r="M6714" s="108" t="str">
        <f>IFERROR(VLOOKUP(A6714, Entries!A:B,2,false),"")</f>
        <v>indie.io</v>
      </c>
      <c r="N6714" s="23" t="str">
        <f>IFERROR(VLOOKUP(A6714, Entries!A:K,11,false),"")</f>
        <v/>
      </c>
    </row>
    <row r="6715">
      <c r="A6715" s="78" t="s">
        <v>2466</v>
      </c>
      <c r="B6715" s="78" t="s">
        <v>19</v>
      </c>
      <c r="C6715" s="85">
        <v>45581.0</v>
      </c>
      <c r="D6715" s="85">
        <v>45582.0</v>
      </c>
      <c r="E6715" s="86">
        <v>6.63</v>
      </c>
      <c r="F6715" s="87">
        <v>10.16</v>
      </c>
      <c r="G6715" s="88">
        <f t="shared" si="1"/>
        <v>3.53</v>
      </c>
      <c r="H6715" s="89">
        <f t="shared" si="18"/>
        <v>0.3474409449</v>
      </c>
      <c r="I6715" s="78" t="s">
        <v>7673</v>
      </c>
      <c r="J6715" s="78" t="s">
        <v>69</v>
      </c>
      <c r="K6715" s="58">
        <f t="shared" si="17"/>
        <v>1</v>
      </c>
      <c r="L6715" s="91" t="str">
        <f t="shared" si="8"/>
        <v>Thu</v>
      </c>
      <c r="M6715" s="78" t="str">
        <f>IFERROR(VLOOKUP(A6715, Entries!A:B,2,false),"")</f>
        <v>Bethesda Softworks</v>
      </c>
      <c r="N6715" s="23" t="str">
        <f>IFERROR(VLOOKUP(A6715, Entries!A:K,11,false),"")</f>
        <v/>
      </c>
    </row>
    <row r="6716">
      <c r="A6716" s="78" t="s">
        <v>1786</v>
      </c>
      <c r="B6716" s="78" t="s">
        <v>19</v>
      </c>
      <c r="C6716" s="85">
        <v>45581.0</v>
      </c>
      <c r="D6716" s="85">
        <v>45582.0</v>
      </c>
      <c r="E6716" s="86">
        <v>6.67</v>
      </c>
      <c r="F6716" s="87">
        <v>11.29</v>
      </c>
      <c r="G6716" s="88">
        <f t="shared" si="1"/>
        <v>4.62</v>
      </c>
      <c r="H6716" s="89">
        <f t="shared" si="18"/>
        <v>0.4092116918</v>
      </c>
      <c r="I6716" s="78" t="s">
        <v>7674</v>
      </c>
      <c r="J6716" s="78" t="s">
        <v>69</v>
      </c>
      <c r="K6716" s="58">
        <f t="shared" si="17"/>
        <v>1</v>
      </c>
      <c r="L6716" s="91" t="str">
        <f t="shared" si="8"/>
        <v>Thu</v>
      </c>
      <c r="M6716" s="78" t="str">
        <f>IFERROR(VLOOKUP(A6716, Entries!A:B,2,false),"")</f>
        <v>Bethesda Softworks</v>
      </c>
      <c r="N6716" s="23" t="str">
        <f>IFERROR(VLOOKUP(A6716, Entries!A:K,11,false),"")</f>
        <v/>
      </c>
    </row>
    <row r="6717">
      <c r="A6717" s="78" t="s">
        <v>7675</v>
      </c>
      <c r="B6717" s="78" t="s">
        <v>19</v>
      </c>
      <c r="C6717" s="85">
        <v>45581.0</v>
      </c>
      <c r="D6717" s="85">
        <v>45582.0</v>
      </c>
      <c r="E6717" s="86">
        <v>0.0</v>
      </c>
      <c r="F6717" s="87">
        <v>0.37</v>
      </c>
      <c r="G6717" s="88">
        <f t="shared" si="1"/>
        <v>0.37</v>
      </c>
      <c r="H6717" s="89">
        <f t="shared" si="18"/>
        <v>1</v>
      </c>
      <c r="I6717" s="78" t="s">
        <v>7676</v>
      </c>
      <c r="J6717" s="78" t="s">
        <v>69</v>
      </c>
      <c r="K6717" s="58">
        <f t="shared" si="17"/>
        <v>1</v>
      </c>
      <c r="L6717" s="91" t="str">
        <f t="shared" si="8"/>
        <v>Thu</v>
      </c>
      <c r="M6717" s="78" t="str">
        <f>IFERROR(VLOOKUP(A6717, Entries!A:B,2,false),"")</f>
        <v/>
      </c>
      <c r="N6717" s="23" t="str">
        <f>IFERROR(VLOOKUP(A6717, Entries!A:K,11,false),"")</f>
        <v/>
      </c>
    </row>
    <row r="6718">
      <c r="A6718" s="78" t="s">
        <v>7677</v>
      </c>
      <c r="B6718" s="78" t="s">
        <v>21</v>
      </c>
      <c r="C6718" s="85">
        <v>45582.0</v>
      </c>
      <c r="D6718" s="85">
        <v>45582.0</v>
      </c>
      <c r="E6718" s="86">
        <v>27.07</v>
      </c>
      <c r="F6718" s="87">
        <v>30.3</v>
      </c>
      <c r="G6718" s="88">
        <f t="shared" si="1"/>
        <v>3.23</v>
      </c>
      <c r="H6718" s="89">
        <f t="shared" si="18"/>
        <v>0.1066006601</v>
      </c>
      <c r="I6718" s="78" t="s">
        <v>7678</v>
      </c>
      <c r="J6718" s="78" t="s">
        <v>69</v>
      </c>
      <c r="K6718" s="58">
        <f t="shared" si="17"/>
        <v>0</v>
      </c>
      <c r="L6718" s="91" t="str">
        <f t="shared" si="8"/>
        <v>Thu</v>
      </c>
      <c r="M6718" s="78" t="str">
        <f>IFERROR(VLOOKUP(A6718, Entries!A:B,2,false),"")</f>
        <v>PlayStation</v>
      </c>
      <c r="N6718" s="23" t="str">
        <f>IFERROR(VLOOKUP(A6718, Entries!A:K,11,false),"")</f>
        <v/>
      </c>
    </row>
    <row r="6719">
      <c r="A6719" s="78" t="s">
        <v>7677</v>
      </c>
      <c r="B6719" s="78" t="s">
        <v>21</v>
      </c>
      <c r="C6719" s="85">
        <v>45582.0</v>
      </c>
      <c r="D6719" s="85">
        <v>45582.0</v>
      </c>
      <c r="E6719" s="86">
        <v>27.07</v>
      </c>
      <c r="F6719" s="87">
        <v>29.87</v>
      </c>
      <c r="G6719" s="88">
        <f t="shared" si="1"/>
        <v>2.8</v>
      </c>
      <c r="H6719" s="89">
        <f t="shared" si="18"/>
        <v>0.093739538</v>
      </c>
      <c r="I6719" s="78" t="s">
        <v>7679</v>
      </c>
      <c r="J6719" s="78" t="s">
        <v>69</v>
      </c>
      <c r="K6719" s="58">
        <f t="shared" si="17"/>
        <v>0</v>
      </c>
      <c r="L6719" s="91" t="str">
        <f t="shared" si="8"/>
        <v>Thu</v>
      </c>
      <c r="M6719" s="78" t="str">
        <f>IFERROR(VLOOKUP(A6719, Entries!A:B,2,false),"")</f>
        <v>PlayStation</v>
      </c>
      <c r="N6719" s="23" t="str">
        <f>IFERROR(VLOOKUP(A6719, Entries!A:K,11,false),"")</f>
        <v/>
      </c>
    </row>
    <row r="6720">
      <c r="A6720" s="78" t="s">
        <v>7649</v>
      </c>
      <c r="B6720" s="78" t="s">
        <v>37</v>
      </c>
      <c r="C6720" s="85">
        <v>45582.0</v>
      </c>
      <c r="D6720" s="85">
        <v>45582.0</v>
      </c>
      <c r="E6720" s="86">
        <v>26.0</v>
      </c>
      <c r="F6720" s="87">
        <v>30.4</v>
      </c>
      <c r="G6720" s="88">
        <f t="shared" si="1"/>
        <v>4.4</v>
      </c>
      <c r="H6720" s="89">
        <f t="shared" si="18"/>
        <v>0.1447368421</v>
      </c>
      <c r="I6720" s="78" t="s">
        <v>7680</v>
      </c>
      <c r="J6720" s="78" t="s">
        <v>69</v>
      </c>
      <c r="K6720" s="58">
        <f t="shared" si="17"/>
        <v>0</v>
      </c>
      <c r="L6720" s="91" t="str">
        <f t="shared" si="8"/>
        <v>Thu</v>
      </c>
      <c r="M6720" s="78" t="str">
        <f>IFERROR(VLOOKUP(A6720, Entries!A:B,2,false),"")</f>
        <v>PlayStation</v>
      </c>
      <c r="N6720" s="23" t="str">
        <f>IFERROR(VLOOKUP(A6720, Entries!A:K,11,false),"")</f>
        <v/>
      </c>
    </row>
    <row r="6721">
      <c r="A6721" s="78" t="s">
        <v>4928</v>
      </c>
      <c r="B6721" s="78" t="s">
        <v>19</v>
      </c>
      <c r="C6721" s="85">
        <v>45582.0</v>
      </c>
      <c r="D6721" s="85">
        <v>45589.0</v>
      </c>
      <c r="E6721" s="86">
        <v>27.87</v>
      </c>
      <c r="F6721" s="87">
        <v>31.16</v>
      </c>
      <c r="G6721" s="88">
        <f t="shared" si="1"/>
        <v>3.29</v>
      </c>
      <c r="H6721" s="89">
        <f t="shared" si="18"/>
        <v>0.1055840822</v>
      </c>
      <c r="I6721" s="78" t="s">
        <v>7681</v>
      </c>
      <c r="J6721" s="78" t="s">
        <v>69</v>
      </c>
      <c r="K6721" s="58">
        <f t="shared" si="17"/>
        <v>7</v>
      </c>
      <c r="L6721" s="91" t="str">
        <f t="shared" si="8"/>
        <v>Thu</v>
      </c>
      <c r="M6721" s="78" t="str">
        <f>IFERROR(VLOOKUP(A6721, Entries!A:B,2,false),"")</f>
        <v>Eleventh Hour Games</v>
      </c>
      <c r="N6721" s="23" t="str">
        <f>IFERROR(VLOOKUP(A6721, Entries!A:K,11,false),"")</f>
        <v/>
      </c>
    </row>
    <row r="6722">
      <c r="A6722" s="78" t="s">
        <v>1786</v>
      </c>
      <c r="B6722" s="78" t="s">
        <v>19</v>
      </c>
      <c r="C6722" s="85">
        <v>45582.0</v>
      </c>
      <c r="D6722" s="85">
        <v>45582.0</v>
      </c>
      <c r="E6722" s="86">
        <v>6.72</v>
      </c>
      <c r="F6722" s="87">
        <v>11.29</v>
      </c>
      <c r="G6722" s="88">
        <f t="shared" si="1"/>
        <v>4.57</v>
      </c>
      <c r="H6722" s="89">
        <f t="shared" si="18"/>
        <v>0.4047829938</v>
      </c>
      <c r="I6722" s="78" t="s">
        <v>7682</v>
      </c>
      <c r="J6722" s="78" t="s">
        <v>69</v>
      </c>
      <c r="K6722" s="58">
        <f t="shared" si="17"/>
        <v>0</v>
      </c>
      <c r="L6722" s="91" t="str">
        <f t="shared" si="8"/>
        <v>Thu</v>
      </c>
      <c r="M6722" s="78" t="str">
        <f>IFERROR(VLOOKUP(A6722, Entries!A:B,2,false),"")</f>
        <v>Bethesda Softworks</v>
      </c>
      <c r="N6722" s="23" t="str">
        <f>IFERROR(VLOOKUP(A6722, Entries!A:K,11,false),"")</f>
        <v/>
      </c>
    </row>
    <row r="6723">
      <c r="A6723" s="78" t="s">
        <v>2466</v>
      </c>
      <c r="B6723" s="78" t="s">
        <v>19</v>
      </c>
      <c r="C6723" s="85">
        <v>45582.0</v>
      </c>
      <c r="D6723" s="85">
        <v>45582.0</v>
      </c>
      <c r="E6723" s="86">
        <v>6.71</v>
      </c>
      <c r="F6723" s="87">
        <v>10.13</v>
      </c>
      <c r="G6723" s="88">
        <f t="shared" si="1"/>
        <v>3.42</v>
      </c>
      <c r="H6723" s="89">
        <f t="shared" si="18"/>
        <v>0.3376110563</v>
      </c>
      <c r="I6723" s="78" t="s">
        <v>7683</v>
      </c>
      <c r="J6723" s="78" t="s">
        <v>69</v>
      </c>
      <c r="K6723" s="58">
        <f t="shared" si="17"/>
        <v>0</v>
      </c>
      <c r="L6723" s="91" t="str">
        <f t="shared" si="8"/>
        <v>Thu</v>
      </c>
      <c r="M6723" s="78" t="str">
        <f>IFERROR(VLOOKUP(A6723, Entries!A:B,2,false),"")</f>
        <v>Bethesda Softworks</v>
      </c>
      <c r="N6723" s="23" t="str">
        <f>IFERROR(VLOOKUP(A6723, Entries!A:K,11,false),"")</f>
        <v/>
      </c>
    </row>
    <row r="6724">
      <c r="A6724" s="78" t="s">
        <v>7649</v>
      </c>
      <c r="B6724" s="78" t="s">
        <v>37</v>
      </c>
      <c r="C6724" s="85">
        <v>45582.0</v>
      </c>
      <c r="D6724" s="85">
        <v>45584.0</v>
      </c>
      <c r="E6724" s="86">
        <v>26.0</v>
      </c>
      <c r="F6724" s="87">
        <v>30.35</v>
      </c>
      <c r="G6724" s="88">
        <f t="shared" si="1"/>
        <v>4.35</v>
      </c>
      <c r="H6724" s="89">
        <f t="shared" si="18"/>
        <v>0.1433278418</v>
      </c>
      <c r="I6724" s="78" t="s">
        <v>7684</v>
      </c>
      <c r="J6724" s="78" t="s">
        <v>69</v>
      </c>
      <c r="K6724" s="58">
        <f t="shared" si="17"/>
        <v>2</v>
      </c>
      <c r="L6724" s="91" t="str">
        <f t="shared" si="8"/>
        <v>Sat</v>
      </c>
      <c r="M6724" s="78" t="str">
        <f>IFERROR(VLOOKUP(A6724, Entries!A:B,2,false),"")</f>
        <v>PlayStation</v>
      </c>
      <c r="N6724" s="23" t="str">
        <f>IFERROR(VLOOKUP(A6724, Entries!A:K,11,false),"")</f>
        <v/>
      </c>
    </row>
    <row r="6725">
      <c r="A6725" s="78" t="s">
        <v>7515</v>
      </c>
      <c r="B6725" s="78" t="s">
        <v>22</v>
      </c>
      <c r="C6725" s="85">
        <v>45582.0</v>
      </c>
      <c r="D6725" s="85">
        <v>45593.0</v>
      </c>
      <c r="E6725" s="86">
        <v>10.19</v>
      </c>
      <c r="F6725" s="87">
        <v>12.72</v>
      </c>
      <c r="G6725" s="88">
        <f t="shared" si="1"/>
        <v>2.53</v>
      </c>
      <c r="H6725" s="89">
        <f t="shared" si="18"/>
        <v>0.1988993711</v>
      </c>
      <c r="I6725" s="78" t="s">
        <v>7685</v>
      </c>
      <c r="J6725" s="78" t="s">
        <v>69</v>
      </c>
      <c r="K6725" s="58">
        <f t="shared" si="17"/>
        <v>11</v>
      </c>
      <c r="L6725" s="91" t="str">
        <f t="shared" si="8"/>
        <v>Mon</v>
      </c>
      <c r="M6725" s="98" t="str">
        <f>IFERROR(VLOOKUP(A6725, Entries!A:B,2,false),"")</f>
        <v>indie.io</v>
      </c>
      <c r="N6725" s="23" t="str">
        <f>IFERROR(VLOOKUP(A6725, Entries!A:K,11,false),"")</f>
        <v/>
      </c>
    </row>
    <row r="6726">
      <c r="A6726" s="78" t="s">
        <v>1786</v>
      </c>
      <c r="B6726" s="78" t="s">
        <v>19</v>
      </c>
      <c r="C6726" s="85">
        <v>45583.0</v>
      </c>
      <c r="D6726" s="85">
        <v>45583.0</v>
      </c>
      <c r="E6726" s="86">
        <v>6.72</v>
      </c>
      <c r="F6726" s="87">
        <v>11.34</v>
      </c>
      <c r="G6726" s="88">
        <f t="shared" si="1"/>
        <v>4.62</v>
      </c>
      <c r="H6726" s="89">
        <f t="shared" si="18"/>
        <v>0.4074074074</v>
      </c>
      <c r="J6726" s="78" t="s">
        <v>69</v>
      </c>
      <c r="K6726" s="58">
        <f t="shared" si="17"/>
        <v>0</v>
      </c>
      <c r="L6726" s="91" t="str">
        <f t="shared" si="8"/>
        <v>Fri</v>
      </c>
      <c r="M6726" s="78" t="str">
        <f>IFERROR(VLOOKUP(A6726, Entries!A:B,2,false),"")</f>
        <v>Bethesda Softworks</v>
      </c>
      <c r="N6726" s="23" t="str">
        <f>IFERROR(VLOOKUP(A6726, Entries!A:K,11,false),"")</f>
        <v/>
      </c>
    </row>
    <row r="6727">
      <c r="A6727" s="78" t="s">
        <v>2466</v>
      </c>
      <c r="B6727" s="78" t="s">
        <v>19</v>
      </c>
      <c r="C6727" s="85">
        <v>45583.0</v>
      </c>
      <c r="D6727" s="85">
        <v>45585.0</v>
      </c>
      <c r="E6727" s="86">
        <v>6.71</v>
      </c>
      <c r="F6727" s="87">
        <v>10.09</v>
      </c>
      <c r="G6727" s="88">
        <f t="shared" si="1"/>
        <v>3.38</v>
      </c>
      <c r="H6727" s="89">
        <f t="shared" si="18"/>
        <v>0.3349851338</v>
      </c>
      <c r="J6727" s="78" t="s">
        <v>69</v>
      </c>
      <c r="K6727" s="58">
        <f t="shared" si="17"/>
        <v>2</v>
      </c>
      <c r="L6727" s="91" t="str">
        <f t="shared" si="8"/>
        <v>Sun</v>
      </c>
      <c r="M6727" s="78" t="str">
        <f>IFERROR(VLOOKUP(A6727, Entries!A:B,2,false),"")</f>
        <v>Bethesda Softworks</v>
      </c>
      <c r="N6727" s="23" t="str">
        <f>IFERROR(VLOOKUP(A6727, Entries!A:K,11,false),"")</f>
        <v/>
      </c>
    </row>
    <row r="6728">
      <c r="A6728" s="78" t="s">
        <v>2466</v>
      </c>
      <c r="B6728" s="78" t="s">
        <v>19</v>
      </c>
      <c r="C6728" s="85">
        <v>45584.0</v>
      </c>
      <c r="D6728" s="85">
        <v>45585.0</v>
      </c>
      <c r="E6728" s="86">
        <v>6.86</v>
      </c>
      <c r="F6728" s="87">
        <v>10.01</v>
      </c>
      <c r="G6728" s="88">
        <f t="shared" si="1"/>
        <v>3.15</v>
      </c>
      <c r="H6728" s="89">
        <f t="shared" si="18"/>
        <v>0.3146853147</v>
      </c>
      <c r="I6728" s="78" t="s">
        <v>7686</v>
      </c>
      <c r="J6728" s="78" t="s">
        <v>69</v>
      </c>
      <c r="K6728" s="58">
        <f t="shared" si="17"/>
        <v>1</v>
      </c>
      <c r="L6728" s="91" t="str">
        <f t="shared" si="8"/>
        <v>Sun</v>
      </c>
      <c r="M6728" s="78" t="str">
        <f>IFERROR(VLOOKUP(A6728, Entries!A:B,2,false),"")</f>
        <v>Bethesda Softworks</v>
      </c>
      <c r="N6728" s="23" t="str">
        <f>IFERROR(VLOOKUP(A6728, Entries!A:K,11,false),"")</f>
        <v/>
      </c>
    </row>
    <row r="6729">
      <c r="A6729" s="78" t="s">
        <v>1786</v>
      </c>
      <c r="B6729" s="78" t="s">
        <v>19</v>
      </c>
      <c r="C6729" s="85">
        <v>45584.0</v>
      </c>
      <c r="D6729" s="85">
        <v>45584.0</v>
      </c>
      <c r="E6729" s="86">
        <v>6.86</v>
      </c>
      <c r="F6729" s="87">
        <v>11.45</v>
      </c>
      <c r="G6729" s="88">
        <f t="shared" si="1"/>
        <v>4.59</v>
      </c>
      <c r="H6729" s="89">
        <f t="shared" si="18"/>
        <v>0.4008733624</v>
      </c>
      <c r="I6729" s="78" t="s">
        <v>7687</v>
      </c>
      <c r="J6729" s="78" t="s">
        <v>69</v>
      </c>
      <c r="K6729" s="58">
        <f t="shared" si="17"/>
        <v>0</v>
      </c>
      <c r="L6729" s="91" t="str">
        <f t="shared" si="8"/>
        <v>Sat</v>
      </c>
      <c r="M6729" s="78" t="str">
        <f>IFERROR(VLOOKUP(A6729, Entries!A:B,2,false),"")</f>
        <v>Bethesda Softworks</v>
      </c>
      <c r="N6729" s="23" t="str">
        <f>IFERROR(VLOOKUP(A6729, Entries!A:K,11,false),"")</f>
        <v/>
      </c>
    </row>
    <row r="6730">
      <c r="A6730" s="78" t="s">
        <v>4188</v>
      </c>
      <c r="B6730" s="78" t="s">
        <v>18</v>
      </c>
      <c r="C6730" s="85">
        <v>45584.0</v>
      </c>
      <c r="D6730" s="85">
        <v>45906.0</v>
      </c>
      <c r="E6730" s="86">
        <v>21.74</v>
      </c>
      <c r="F6730" s="87">
        <v>26.64</v>
      </c>
      <c r="G6730" s="88">
        <f t="shared" si="1"/>
        <v>4.9</v>
      </c>
      <c r="H6730" s="89">
        <f t="shared" si="18"/>
        <v>0.1839339339</v>
      </c>
      <c r="I6730" s="103" t="s">
        <v>7688</v>
      </c>
      <c r="J6730" s="78" t="s">
        <v>69</v>
      </c>
      <c r="K6730" s="58">
        <f t="shared" si="17"/>
        <v>322</v>
      </c>
      <c r="L6730" s="91" t="str">
        <f t="shared" si="8"/>
        <v>Sat</v>
      </c>
      <c r="M6730" s="78" t="str">
        <f>IFERROR(VLOOKUP(A6730, Entries!A:B,2,false),"")</f>
        <v>PlayStation</v>
      </c>
      <c r="N6730" s="23" t="str">
        <f>IFERROR(VLOOKUP(A6730, Entries!A:K,11,false),"")</f>
        <v/>
      </c>
    </row>
    <row r="6731">
      <c r="A6731" s="78" t="s">
        <v>7649</v>
      </c>
      <c r="B6731" s="78" t="s">
        <v>37</v>
      </c>
      <c r="C6731" s="85">
        <v>45584.0</v>
      </c>
      <c r="D6731" s="85">
        <v>45584.0</v>
      </c>
      <c r="E6731" s="86">
        <v>25.4</v>
      </c>
      <c r="F6731" s="87">
        <v>30.48</v>
      </c>
      <c r="G6731" s="88">
        <f t="shared" si="1"/>
        <v>5.08</v>
      </c>
      <c r="H6731" s="89">
        <f t="shared" si="18"/>
        <v>0.1666666667</v>
      </c>
      <c r="I6731" s="78" t="s">
        <v>7689</v>
      </c>
      <c r="J6731" s="78" t="s">
        <v>69</v>
      </c>
      <c r="K6731" s="58">
        <f t="shared" si="17"/>
        <v>0</v>
      </c>
      <c r="L6731" s="91" t="str">
        <f t="shared" si="8"/>
        <v>Sat</v>
      </c>
      <c r="M6731" s="78" t="str">
        <f>IFERROR(VLOOKUP(A6731, Entries!A:B,2,false),"")</f>
        <v>PlayStation</v>
      </c>
      <c r="N6731" s="23" t="str">
        <f>IFERROR(VLOOKUP(A6731, Entries!A:K,11,false),"")</f>
        <v/>
      </c>
    </row>
    <row r="6732">
      <c r="A6732" s="78" t="s">
        <v>7677</v>
      </c>
      <c r="B6732" s="78" t="s">
        <v>21</v>
      </c>
      <c r="C6732" s="85">
        <v>45584.0</v>
      </c>
      <c r="D6732" s="85">
        <v>45585.0</v>
      </c>
      <c r="E6732" s="86">
        <v>26.31</v>
      </c>
      <c r="F6732" s="87">
        <v>29.09</v>
      </c>
      <c r="G6732" s="88">
        <f t="shared" si="1"/>
        <v>2.78</v>
      </c>
      <c r="H6732" s="89">
        <f t="shared" si="18"/>
        <v>0.09556548642</v>
      </c>
      <c r="I6732" s="78" t="s">
        <v>7690</v>
      </c>
      <c r="J6732" s="78" t="s">
        <v>69</v>
      </c>
      <c r="K6732" s="58">
        <f t="shared" si="17"/>
        <v>1</v>
      </c>
      <c r="L6732" s="91" t="str">
        <f t="shared" si="8"/>
        <v>Sun</v>
      </c>
      <c r="M6732" s="78" t="str">
        <f>IFERROR(VLOOKUP(A6732, Entries!A:B,2,false),"")</f>
        <v>PlayStation</v>
      </c>
      <c r="N6732" s="23" t="str">
        <f>IFERROR(VLOOKUP(A6732, Entries!A:K,11,false),"")</f>
        <v/>
      </c>
    </row>
    <row r="6733">
      <c r="A6733" s="78" t="s">
        <v>7193</v>
      </c>
      <c r="B6733" s="78" t="s">
        <v>18</v>
      </c>
      <c r="C6733" s="85">
        <v>45584.0</v>
      </c>
      <c r="D6733" s="85">
        <v>46110.0</v>
      </c>
      <c r="E6733" s="86">
        <v>21.35</v>
      </c>
      <c r="F6733" s="87">
        <v>25.0</v>
      </c>
      <c r="G6733" s="88">
        <f t="shared" si="1"/>
        <v>3.65</v>
      </c>
      <c r="H6733" s="89">
        <f t="shared" si="18"/>
        <v>0.146</v>
      </c>
      <c r="I6733" s="94" t="s">
        <v>7691</v>
      </c>
      <c r="J6733" s="78" t="s">
        <v>69</v>
      </c>
      <c r="K6733" s="58">
        <f t="shared" si="17"/>
        <v>526</v>
      </c>
      <c r="L6733" s="91" t="str">
        <f t="shared" si="8"/>
        <v>Sun</v>
      </c>
      <c r="M6733" s="78" t="str">
        <f>IFERROR(VLOOKUP(A6733, Entries!A:B,2,false),"")</f>
        <v/>
      </c>
      <c r="N6733" s="23" t="str">
        <f>IFERROR(VLOOKUP(A6733, Entries!A:K,11,false),"")</f>
        <v/>
      </c>
    </row>
    <row r="6734">
      <c r="A6734" s="78" t="s">
        <v>7193</v>
      </c>
      <c r="B6734" s="78" t="s">
        <v>18</v>
      </c>
      <c r="C6734" s="85">
        <v>45584.0</v>
      </c>
      <c r="D6734" s="85">
        <v>46156.0</v>
      </c>
      <c r="E6734" s="86">
        <v>21.35</v>
      </c>
      <c r="F6734" s="87">
        <v>25.12</v>
      </c>
      <c r="G6734" s="88">
        <f t="shared" si="1"/>
        <v>3.77</v>
      </c>
      <c r="H6734" s="89">
        <f t="shared" si="18"/>
        <v>0.1500796178</v>
      </c>
      <c r="I6734" s="94" t="s">
        <v>7692</v>
      </c>
      <c r="J6734" s="78" t="s">
        <v>69</v>
      </c>
      <c r="K6734" s="58">
        <f t="shared" si="17"/>
        <v>572</v>
      </c>
      <c r="L6734" s="91" t="str">
        <f t="shared" si="8"/>
        <v>Thu</v>
      </c>
      <c r="M6734" s="78" t="str">
        <f>IFERROR(VLOOKUP(A6734, Entries!A:B,2,false),"")</f>
        <v/>
      </c>
      <c r="N6734" s="23" t="str">
        <f>IFERROR(VLOOKUP(A6734, Entries!A:K,11,false),"")</f>
        <v/>
      </c>
    </row>
    <row r="6735">
      <c r="A6735" s="78" t="s">
        <v>7193</v>
      </c>
      <c r="B6735" s="78" t="s">
        <v>18</v>
      </c>
      <c r="C6735" s="85">
        <v>45584.0</v>
      </c>
      <c r="D6735" s="85">
        <v>46156.0</v>
      </c>
      <c r="E6735" s="86">
        <v>21.35</v>
      </c>
      <c r="F6735" s="87">
        <v>25.05</v>
      </c>
      <c r="G6735" s="88">
        <f t="shared" si="1"/>
        <v>3.7</v>
      </c>
      <c r="H6735" s="89">
        <f t="shared" si="18"/>
        <v>0.1477045908</v>
      </c>
      <c r="I6735" s="94" t="s">
        <v>7693</v>
      </c>
      <c r="J6735" s="78" t="s">
        <v>69</v>
      </c>
      <c r="K6735" s="58">
        <f t="shared" si="17"/>
        <v>572</v>
      </c>
      <c r="L6735" s="91" t="str">
        <f t="shared" si="8"/>
        <v>Thu</v>
      </c>
      <c r="M6735" s="78" t="str">
        <f>IFERROR(VLOOKUP(A6735, Entries!A:B,2,false),"")</f>
        <v/>
      </c>
      <c r="N6735" s="23" t="str">
        <f>IFERROR(VLOOKUP(A6735, Entries!A:K,11,false),"")</f>
        <v/>
      </c>
    </row>
    <row r="6736">
      <c r="A6736" s="78" t="s">
        <v>7649</v>
      </c>
      <c r="B6736" s="78" t="s">
        <v>37</v>
      </c>
      <c r="C6736" s="85">
        <v>45584.0</v>
      </c>
      <c r="D6736" s="85">
        <v>45584.0</v>
      </c>
      <c r="E6736" s="86">
        <v>26.0</v>
      </c>
      <c r="F6736" s="87">
        <v>30.48</v>
      </c>
      <c r="G6736" s="88">
        <f t="shared" si="1"/>
        <v>4.48</v>
      </c>
      <c r="H6736" s="89">
        <f t="shared" si="18"/>
        <v>0.1469816273</v>
      </c>
      <c r="I6736" s="78" t="s">
        <v>7694</v>
      </c>
      <c r="J6736" s="78" t="s">
        <v>69</v>
      </c>
      <c r="K6736" s="58">
        <f t="shared" si="17"/>
        <v>0</v>
      </c>
      <c r="L6736" s="91" t="str">
        <f t="shared" si="8"/>
        <v>Sat</v>
      </c>
      <c r="M6736" s="78" t="str">
        <f>IFERROR(VLOOKUP(A6736, Entries!A:B,2,false),"")</f>
        <v>PlayStation</v>
      </c>
      <c r="N6736" s="23" t="str">
        <f>IFERROR(VLOOKUP(A6736, Entries!A:K,11,false),"")</f>
        <v/>
      </c>
    </row>
    <row r="6737">
      <c r="A6737" s="78" t="s">
        <v>7677</v>
      </c>
      <c r="B6737" s="78" t="s">
        <v>21</v>
      </c>
      <c r="C6737" s="85">
        <v>45584.0</v>
      </c>
      <c r="D6737" s="85">
        <v>45585.0</v>
      </c>
      <c r="E6737" s="86">
        <v>24.23</v>
      </c>
      <c r="F6737" s="87">
        <v>29.23</v>
      </c>
      <c r="G6737" s="88">
        <f t="shared" si="1"/>
        <v>5</v>
      </c>
      <c r="H6737" s="89">
        <f t="shared" si="18"/>
        <v>0.1710571331</v>
      </c>
      <c r="I6737" s="78" t="s">
        <v>7695</v>
      </c>
      <c r="J6737" s="78" t="s">
        <v>69</v>
      </c>
      <c r="K6737" s="58">
        <f t="shared" si="17"/>
        <v>1</v>
      </c>
      <c r="L6737" s="91" t="str">
        <f t="shared" si="8"/>
        <v>Sun</v>
      </c>
      <c r="M6737" s="78" t="str">
        <f>IFERROR(VLOOKUP(A6737, Entries!A:B,2,false),"")</f>
        <v>PlayStation</v>
      </c>
      <c r="N6737" s="23" t="str">
        <f>IFERROR(VLOOKUP(A6737, Entries!A:K,11,false),"")</f>
        <v/>
      </c>
    </row>
    <row r="6738">
      <c r="A6738" s="78" t="s">
        <v>7677</v>
      </c>
      <c r="B6738" s="78" t="s">
        <v>21</v>
      </c>
      <c r="C6738" s="85">
        <v>45584.0</v>
      </c>
      <c r="D6738" s="85">
        <v>45585.0</v>
      </c>
      <c r="E6738" s="86">
        <v>24.23</v>
      </c>
      <c r="F6738" s="87">
        <v>29.29</v>
      </c>
      <c r="G6738" s="88">
        <f t="shared" si="1"/>
        <v>5.06</v>
      </c>
      <c r="H6738" s="89">
        <f t="shared" si="18"/>
        <v>0.1727552066</v>
      </c>
      <c r="I6738" s="78" t="s">
        <v>7696</v>
      </c>
      <c r="J6738" s="78" t="s">
        <v>69</v>
      </c>
      <c r="K6738" s="58">
        <f t="shared" si="17"/>
        <v>1</v>
      </c>
      <c r="L6738" s="91" t="str">
        <f t="shared" si="8"/>
        <v>Sun</v>
      </c>
      <c r="M6738" s="78" t="str">
        <f>IFERROR(VLOOKUP(A6738, Entries!A:B,2,false),"")</f>
        <v>PlayStation</v>
      </c>
      <c r="N6738" s="23" t="str">
        <f>IFERROR(VLOOKUP(A6738, Entries!A:K,11,false),"")</f>
        <v/>
      </c>
    </row>
    <row r="6739">
      <c r="A6739" s="78" t="s">
        <v>7677</v>
      </c>
      <c r="B6739" s="78" t="s">
        <v>21</v>
      </c>
      <c r="C6739" s="85">
        <v>45584.0</v>
      </c>
      <c r="D6739" s="85">
        <v>45585.0</v>
      </c>
      <c r="E6739" s="86">
        <v>24.22</v>
      </c>
      <c r="F6739" s="87">
        <v>29.29</v>
      </c>
      <c r="G6739" s="88">
        <f t="shared" si="1"/>
        <v>5.07</v>
      </c>
      <c r="H6739" s="89">
        <f t="shared" si="18"/>
        <v>0.17309662</v>
      </c>
      <c r="I6739" s="78" t="s">
        <v>7697</v>
      </c>
      <c r="J6739" s="78" t="s">
        <v>69</v>
      </c>
      <c r="K6739" s="58">
        <f t="shared" si="17"/>
        <v>1</v>
      </c>
      <c r="L6739" s="91" t="str">
        <f t="shared" si="8"/>
        <v>Sun</v>
      </c>
      <c r="M6739" s="78" t="str">
        <f>IFERROR(VLOOKUP(A6739, Entries!A:B,2,false),"")</f>
        <v>PlayStation</v>
      </c>
      <c r="N6739" s="23" t="str">
        <f>IFERROR(VLOOKUP(A6739, Entries!A:K,11,false),"")</f>
        <v/>
      </c>
    </row>
    <row r="6740">
      <c r="A6740" s="78" t="s">
        <v>7649</v>
      </c>
      <c r="B6740" s="78" t="s">
        <v>37</v>
      </c>
      <c r="C6740" s="85">
        <v>45584.0</v>
      </c>
      <c r="D6740" s="85">
        <v>45585.0</v>
      </c>
      <c r="E6740" s="86">
        <v>26.0</v>
      </c>
      <c r="F6740" s="87">
        <v>30.48</v>
      </c>
      <c r="G6740" s="88">
        <f t="shared" si="1"/>
        <v>4.48</v>
      </c>
      <c r="H6740" s="89">
        <f t="shared" si="18"/>
        <v>0.1469816273</v>
      </c>
      <c r="I6740" s="78" t="s">
        <v>7698</v>
      </c>
      <c r="J6740" s="78" t="s">
        <v>69</v>
      </c>
      <c r="K6740" s="58">
        <f t="shared" si="17"/>
        <v>1</v>
      </c>
      <c r="L6740" s="91" t="str">
        <f t="shared" si="8"/>
        <v>Sun</v>
      </c>
      <c r="M6740" s="78" t="str">
        <f>IFERROR(VLOOKUP(A6740, Entries!A:B,2,false),"")</f>
        <v>PlayStation</v>
      </c>
      <c r="N6740" s="23" t="str">
        <f>IFERROR(VLOOKUP(A6740, Entries!A:K,11,false),"")</f>
        <v/>
      </c>
    </row>
    <row r="6741">
      <c r="A6741" s="78" t="s">
        <v>7649</v>
      </c>
      <c r="B6741" s="78" t="s">
        <v>37</v>
      </c>
      <c r="C6741" s="85">
        <v>45585.0</v>
      </c>
      <c r="D6741" s="85">
        <v>45585.0</v>
      </c>
      <c r="E6741" s="86">
        <v>26.0</v>
      </c>
      <c r="F6741" s="87">
        <v>30.48</v>
      </c>
      <c r="G6741" s="88">
        <f t="shared" si="1"/>
        <v>4.48</v>
      </c>
      <c r="H6741" s="89">
        <f t="shared" si="18"/>
        <v>0.1469816273</v>
      </c>
      <c r="I6741" s="78" t="s">
        <v>7699</v>
      </c>
      <c r="J6741" s="78" t="s">
        <v>69</v>
      </c>
      <c r="K6741" s="58">
        <f t="shared" si="17"/>
        <v>0</v>
      </c>
      <c r="L6741" s="91" t="str">
        <f t="shared" si="8"/>
        <v>Sun</v>
      </c>
      <c r="M6741" s="78" t="str">
        <f>IFERROR(VLOOKUP(A6741, Entries!A:B,2,false),"")</f>
        <v>PlayStation</v>
      </c>
      <c r="N6741" s="23" t="str">
        <f>IFERROR(VLOOKUP(A6741, Entries!A:K,11,false),"")</f>
        <v/>
      </c>
    </row>
    <row r="6742">
      <c r="A6742" s="78" t="s">
        <v>2466</v>
      </c>
      <c r="B6742" s="78" t="s">
        <v>19</v>
      </c>
      <c r="C6742" s="85">
        <v>45585.0</v>
      </c>
      <c r="D6742" s="85">
        <v>45590.0</v>
      </c>
      <c r="E6742" s="86">
        <v>6.85</v>
      </c>
      <c r="F6742" s="87">
        <v>9.31</v>
      </c>
      <c r="G6742" s="88">
        <f t="shared" si="1"/>
        <v>2.46</v>
      </c>
      <c r="H6742" s="89">
        <f t="shared" si="18"/>
        <v>0.2642320086</v>
      </c>
      <c r="I6742" s="78" t="s">
        <v>7700</v>
      </c>
      <c r="J6742" s="78" t="s">
        <v>69</v>
      </c>
      <c r="K6742" s="58">
        <f t="shared" si="17"/>
        <v>5</v>
      </c>
      <c r="L6742" s="91" t="str">
        <f t="shared" si="8"/>
        <v>Fri</v>
      </c>
      <c r="M6742" s="78" t="str">
        <f>IFERROR(VLOOKUP(A6742, Entries!A:B,2,false),"")</f>
        <v>Bethesda Softworks</v>
      </c>
      <c r="N6742" s="23" t="str">
        <f>IFERROR(VLOOKUP(A6742, Entries!A:K,11,false),"")</f>
        <v/>
      </c>
    </row>
    <row r="6743">
      <c r="A6743" s="78" t="s">
        <v>1786</v>
      </c>
      <c r="B6743" s="78" t="s">
        <v>19</v>
      </c>
      <c r="C6743" s="85">
        <v>45585.0</v>
      </c>
      <c r="D6743" s="85">
        <v>45585.0</v>
      </c>
      <c r="E6743" s="86">
        <v>6.86</v>
      </c>
      <c r="F6743" s="87">
        <v>11.37</v>
      </c>
      <c r="G6743" s="88">
        <f t="shared" si="1"/>
        <v>4.51</v>
      </c>
      <c r="H6743" s="89">
        <f t="shared" si="18"/>
        <v>0.3966578716</v>
      </c>
      <c r="I6743" s="78" t="s">
        <v>7701</v>
      </c>
      <c r="J6743" s="78" t="s">
        <v>69</v>
      </c>
      <c r="K6743" s="58">
        <f t="shared" si="17"/>
        <v>0</v>
      </c>
      <c r="L6743" s="91" t="str">
        <f t="shared" si="8"/>
        <v>Sun</v>
      </c>
      <c r="M6743" s="78" t="str">
        <f>IFERROR(VLOOKUP(A6743, Entries!A:B,2,false),"")</f>
        <v>Bethesda Softworks</v>
      </c>
      <c r="N6743" s="23" t="str">
        <f>IFERROR(VLOOKUP(A6743, Entries!A:K,11,false),"")</f>
        <v/>
      </c>
    </row>
    <row r="6744">
      <c r="A6744" s="78" t="s">
        <v>7649</v>
      </c>
      <c r="B6744" s="78" t="s">
        <v>37</v>
      </c>
      <c r="C6744" s="85">
        <v>45585.0</v>
      </c>
      <c r="D6744" s="85">
        <v>45585.0</v>
      </c>
      <c r="E6744" s="86">
        <v>26.0</v>
      </c>
      <c r="F6744" s="87">
        <v>31.2</v>
      </c>
      <c r="G6744" s="88">
        <f t="shared" si="1"/>
        <v>5.2</v>
      </c>
      <c r="H6744" s="89">
        <f t="shared" si="18"/>
        <v>0.1666666667</v>
      </c>
      <c r="I6744" s="78" t="s">
        <v>7702</v>
      </c>
      <c r="J6744" s="78" t="s">
        <v>69</v>
      </c>
      <c r="K6744" s="58">
        <f t="shared" si="17"/>
        <v>0</v>
      </c>
      <c r="L6744" s="91" t="str">
        <f t="shared" si="8"/>
        <v>Sun</v>
      </c>
      <c r="M6744" s="78" t="str">
        <f>IFERROR(VLOOKUP(A6744, Entries!A:B,2,false),"")</f>
        <v>PlayStation</v>
      </c>
      <c r="N6744" s="23" t="str">
        <f>IFERROR(VLOOKUP(A6744, Entries!A:K,11,false),"")</f>
        <v/>
      </c>
    </row>
    <row r="6745">
      <c r="A6745" s="78" t="s">
        <v>7649</v>
      </c>
      <c r="B6745" s="78" t="s">
        <v>37</v>
      </c>
      <c r="C6745" s="85">
        <v>45585.0</v>
      </c>
      <c r="D6745" s="85">
        <v>45586.0</v>
      </c>
      <c r="E6745" s="86">
        <v>26.0</v>
      </c>
      <c r="F6745" s="87">
        <v>31.2</v>
      </c>
      <c r="G6745" s="88">
        <f t="shared" si="1"/>
        <v>5.2</v>
      </c>
      <c r="H6745" s="89">
        <f t="shared" si="18"/>
        <v>0.1666666667</v>
      </c>
      <c r="I6745" s="78" t="s">
        <v>7703</v>
      </c>
      <c r="J6745" s="78" t="s">
        <v>69</v>
      </c>
      <c r="K6745" s="58">
        <f t="shared" si="17"/>
        <v>1</v>
      </c>
      <c r="L6745" s="91" t="str">
        <f t="shared" si="8"/>
        <v>Mon</v>
      </c>
      <c r="M6745" s="78" t="str">
        <f>IFERROR(VLOOKUP(A6745, Entries!A:B,2,false),"")</f>
        <v>PlayStation</v>
      </c>
      <c r="N6745" s="23" t="str">
        <f>IFERROR(VLOOKUP(A6745, Entries!A:K,11,false),"")</f>
        <v/>
      </c>
    </row>
    <row r="6746">
      <c r="A6746" s="78" t="s">
        <v>5578</v>
      </c>
      <c r="B6746" s="78" t="s">
        <v>18</v>
      </c>
      <c r="C6746" s="85">
        <v>45586.0</v>
      </c>
      <c r="D6746" s="85">
        <v>45587.0</v>
      </c>
      <c r="E6746" s="86">
        <v>23.85</v>
      </c>
      <c r="F6746" s="87">
        <v>30.42</v>
      </c>
      <c r="G6746" s="88">
        <f t="shared" si="1"/>
        <v>6.57</v>
      </c>
      <c r="H6746" s="89">
        <f t="shared" si="18"/>
        <v>0.2159763314</v>
      </c>
      <c r="I6746" s="78" t="s">
        <v>7704</v>
      </c>
      <c r="J6746" s="78" t="s">
        <v>69</v>
      </c>
      <c r="K6746" s="58">
        <f t="shared" si="17"/>
        <v>1</v>
      </c>
      <c r="L6746" s="91" t="str">
        <f t="shared" si="8"/>
        <v>Tue</v>
      </c>
      <c r="M6746" s="78" t="str">
        <f>IFERROR(VLOOKUP(A6746, Entries!A:B,2,false),"")</f>
        <v>Kalypso Media</v>
      </c>
      <c r="N6746" s="23" t="str">
        <f>IFERROR(VLOOKUP(A6746, Entries!A:K,11,false),"")</f>
        <v/>
      </c>
    </row>
    <row r="6747">
      <c r="A6747" s="78" t="s">
        <v>6627</v>
      </c>
      <c r="B6747" s="78" t="s">
        <v>23</v>
      </c>
      <c r="C6747" s="85">
        <v>45587.0</v>
      </c>
      <c r="D6747" s="85">
        <v>45589.0</v>
      </c>
      <c r="E6747" s="86">
        <v>8.91</v>
      </c>
      <c r="F6747" s="87">
        <v>10.01</v>
      </c>
      <c r="G6747" s="88">
        <f t="shared" si="1"/>
        <v>1.1</v>
      </c>
      <c r="H6747" s="89">
        <f t="shared" si="18"/>
        <v>0.1098901099</v>
      </c>
      <c r="I6747" s="78" t="s">
        <v>7705</v>
      </c>
      <c r="J6747" s="78" t="s">
        <v>69</v>
      </c>
      <c r="K6747" s="58">
        <f t="shared" si="17"/>
        <v>2</v>
      </c>
      <c r="L6747" s="91" t="str">
        <f t="shared" si="8"/>
        <v>Thu</v>
      </c>
      <c r="M6747" s="78" t="str">
        <f>IFERROR(VLOOKUP(A6747, Entries!A:B,2,false),"")</f>
        <v>Bethesda Softworks</v>
      </c>
      <c r="N6747" s="23" t="str">
        <f>IFERROR(VLOOKUP(A6747, Entries!A:K,11,false),"")</f>
        <v/>
      </c>
    </row>
    <row r="6748">
      <c r="A6748" s="78" t="s">
        <v>7649</v>
      </c>
      <c r="B6748" s="78" t="s">
        <v>37</v>
      </c>
      <c r="C6748" s="85">
        <v>45587.0</v>
      </c>
      <c r="D6748" s="85">
        <v>45593.0</v>
      </c>
      <c r="E6748" s="86">
        <v>28.0</v>
      </c>
      <c r="F6748" s="87">
        <v>33.64</v>
      </c>
      <c r="G6748" s="88">
        <f t="shared" si="1"/>
        <v>5.64</v>
      </c>
      <c r="H6748" s="89">
        <f t="shared" si="18"/>
        <v>0.1676575505</v>
      </c>
      <c r="I6748" s="78" t="s">
        <v>7706</v>
      </c>
      <c r="J6748" s="78" t="s">
        <v>69</v>
      </c>
      <c r="K6748" s="58">
        <f t="shared" si="17"/>
        <v>6</v>
      </c>
      <c r="L6748" s="91" t="str">
        <f t="shared" si="8"/>
        <v>Mon</v>
      </c>
      <c r="M6748" s="78" t="str">
        <f>IFERROR(VLOOKUP(A6748, Entries!A:B,2,false),"")</f>
        <v>PlayStation</v>
      </c>
      <c r="N6748" s="23" t="str">
        <f>IFERROR(VLOOKUP(A6748, Entries!A:K,11,false),"")</f>
        <v/>
      </c>
    </row>
    <row r="6749">
      <c r="A6749" s="78" t="s">
        <v>1786</v>
      </c>
      <c r="B6749" s="78" t="s">
        <v>19</v>
      </c>
      <c r="C6749" s="85">
        <v>45587.0</v>
      </c>
      <c r="D6749" s="85">
        <v>45589.0</v>
      </c>
      <c r="E6749" s="86">
        <v>6.74</v>
      </c>
      <c r="F6749" s="87">
        <v>10.96</v>
      </c>
      <c r="G6749" s="88">
        <f t="shared" si="1"/>
        <v>4.22</v>
      </c>
      <c r="H6749" s="89">
        <f t="shared" si="18"/>
        <v>0.3850364964</v>
      </c>
      <c r="I6749" s="78" t="s">
        <v>7707</v>
      </c>
      <c r="J6749" s="78" t="s">
        <v>69</v>
      </c>
      <c r="K6749" s="58">
        <f t="shared" si="17"/>
        <v>2</v>
      </c>
      <c r="L6749" s="91" t="str">
        <f t="shared" si="8"/>
        <v>Thu</v>
      </c>
      <c r="M6749" s="78" t="str">
        <f>IFERROR(VLOOKUP(A6749, Entries!A:B,2,false),"")</f>
        <v>Bethesda Softworks</v>
      </c>
      <c r="N6749" s="23" t="str">
        <f>IFERROR(VLOOKUP(A6749, Entries!A:K,11,false),"")</f>
        <v/>
      </c>
    </row>
    <row r="6750">
      <c r="A6750" s="78" t="s">
        <v>2466</v>
      </c>
      <c r="B6750" s="78" t="s">
        <v>19</v>
      </c>
      <c r="C6750" s="85">
        <v>45587.0</v>
      </c>
      <c r="D6750" s="85">
        <v>45590.0</v>
      </c>
      <c r="E6750" s="86">
        <v>6.74</v>
      </c>
      <c r="F6750" s="87">
        <v>9.93</v>
      </c>
      <c r="G6750" s="88">
        <f t="shared" si="1"/>
        <v>3.19</v>
      </c>
      <c r="H6750" s="89">
        <f t="shared" si="18"/>
        <v>0.3212487412</v>
      </c>
      <c r="I6750" s="78" t="s">
        <v>7708</v>
      </c>
      <c r="J6750" s="78" t="s">
        <v>69</v>
      </c>
      <c r="K6750" s="58">
        <f t="shared" si="17"/>
        <v>3</v>
      </c>
      <c r="L6750" s="91" t="str">
        <f t="shared" si="8"/>
        <v>Fri</v>
      </c>
      <c r="M6750" s="78" t="str">
        <f>IFERROR(VLOOKUP(A6750, Entries!A:B,2,false),"")</f>
        <v>Bethesda Softworks</v>
      </c>
      <c r="N6750" s="23" t="str">
        <f>IFERROR(VLOOKUP(A6750, Entries!A:K,11,false),"")</f>
        <v/>
      </c>
    </row>
    <row r="6751">
      <c r="A6751" s="78" t="s">
        <v>7709</v>
      </c>
      <c r="B6751" s="78" t="s">
        <v>18</v>
      </c>
      <c r="C6751" s="85">
        <v>45587.0</v>
      </c>
      <c r="D6751" s="85">
        <v>45587.0</v>
      </c>
      <c r="E6751" s="86">
        <v>22.77</v>
      </c>
      <c r="F6751" s="87">
        <v>28.05</v>
      </c>
      <c r="G6751" s="88">
        <f t="shared" si="1"/>
        <v>5.28</v>
      </c>
      <c r="H6751" s="89">
        <f t="shared" si="18"/>
        <v>0.1882352941</v>
      </c>
      <c r="I6751" s="78" t="s">
        <v>7710</v>
      </c>
      <c r="J6751" s="78" t="s">
        <v>69</v>
      </c>
      <c r="K6751" s="58">
        <f t="shared" si="17"/>
        <v>0</v>
      </c>
      <c r="L6751" s="91" t="str">
        <f t="shared" si="8"/>
        <v>Tue</v>
      </c>
      <c r="M6751" s="78" t="str">
        <f>IFERROR(VLOOKUP(A6751, Entries!A:B,2,false),"")</f>
        <v/>
      </c>
      <c r="N6751" s="23" t="str">
        <f>IFERROR(VLOOKUP(A6751, Entries!A:K,11,false),"")</f>
        <v/>
      </c>
    </row>
    <row r="6752">
      <c r="A6752" s="78" t="s">
        <v>7117</v>
      </c>
      <c r="B6752" s="78" t="s">
        <v>18</v>
      </c>
      <c r="C6752" s="85">
        <v>45587.0</v>
      </c>
      <c r="D6752" s="25"/>
      <c r="E6752" s="86">
        <v>32.08</v>
      </c>
      <c r="F6752" s="88"/>
      <c r="G6752" s="88">
        <f t="shared" si="1"/>
        <v>-32.08</v>
      </c>
      <c r="H6752" s="89" t="str">
        <f t="shared" si="18"/>
        <v/>
      </c>
      <c r="I6752" s="103" t="s">
        <v>7711</v>
      </c>
      <c r="J6752" s="78" t="s">
        <v>1129</v>
      </c>
      <c r="K6752" s="58" t="str">
        <f t="shared" si="17"/>
        <v/>
      </c>
      <c r="L6752" s="91" t="str">
        <f t="shared" si="8"/>
        <v/>
      </c>
      <c r="M6752" s="78" t="str">
        <f>IFERROR(VLOOKUP(A6752, Entries!A:B,2,false),"")</f>
        <v>Kalypso Media</v>
      </c>
      <c r="N6752" s="23" t="str">
        <f>IFERROR(VLOOKUP(A6752, Entries!A:K,11,false),"")</f>
        <v/>
      </c>
    </row>
    <row r="6753">
      <c r="A6753" s="78" t="s">
        <v>7709</v>
      </c>
      <c r="B6753" s="78" t="s">
        <v>38</v>
      </c>
      <c r="C6753" s="85">
        <v>45587.0</v>
      </c>
      <c r="D6753" s="85">
        <v>45600.0</v>
      </c>
      <c r="E6753" s="86">
        <v>19.39</v>
      </c>
      <c r="F6753" s="87">
        <v>28.14</v>
      </c>
      <c r="G6753" s="88">
        <f t="shared" si="1"/>
        <v>8.75</v>
      </c>
      <c r="H6753" s="89">
        <f t="shared" si="18"/>
        <v>0.3109452736</v>
      </c>
      <c r="I6753" s="78" t="s">
        <v>7712</v>
      </c>
      <c r="J6753" s="78" t="s">
        <v>69</v>
      </c>
      <c r="K6753" s="58">
        <f t="shared" si="17"/>
        <v>13</v>
      </c>
      <c r="L6753" s="91" t="str">
        <f t="shared" si="8"/>
        <v>Mon</v>
      </c>
      <c r="M6753" s="78" t="str">
        <f>IFERROR(VLOOKUP(A6753, Entries!A:B,2,false),"")</f>
        <v/>
      </c>
      <c r="N6753" s="23" t="str">
        <f>IFERROR(VLOOKUP(A6753, Entries!A:K,11,false),"")</f>
        <v/>
      </c>
    </row>
    <row r="6754">
      <c r="A6754" s="78" t="s">
        <v>7713</v>
      </c>
      <c r="B6754" s="78" t="s">
        <v>21</v>
      </c>
      <c r="C6754" s="85">
        <v>45588.0</v>
      </c>
      <c r="D6754" s="85">
        <v>45589.0</v>
      </c>
      <c r="E6754" s="86">
        <v>29.2</v>
      </c>
      <c r="F6754" s="87">
        <v>35.83</v>
      </c>
      <c r="G6754" s="88">
        <f t="shared" si="1"/>
        <v>6.63</v>
      </c>
      <c r="H6754" s="89">
        <f t="shared" si="18"/>
        <v>0.1850404689</v>
      </c>
      <c r="I6754" s="78" t="s">
        <v>7714</v>
      </c>
      <c r="J6754" s="78" t="s">
        <v>69</v>
      </c>
      <c r="K6754" s="58">
        <f t="shared" si="17"/>
        <v>1</v>
      </c>
      <c r="L6754" s="91" t="str">
        <f t="shared" si="8"/>
        <v>Thu</v>
      </c>
      <c r="M6754" s="78" t="str">
        <f>IFERROR(VLOOKUP(A6754, Entries!A:B,2,false),"")</f>
        <v/>
      </c>
      <c r="N6754" s="23" t="str">
        <f>IFERROR(VLOOKUP(A6754, Entries!A:K,11,false),"")</f>
        <v/>
      </c>
    </row>
    <row r="6755">
      <c r="A6755" s="78" t="s">
        <v>7715</v>
      </c>
      <c r="B6755" s="78" t="s">
        <v>22</v>
      </c>
      <c r="C6755" s="85">
        <v>45588.0</v>
      </c>
      <c r="D6755" s="85">
        <v>45589.0</v>
      </c>
      <c r="E6755" s="86">
        <v>12.3</v>
      </c>
      <c r="F6755" s="87">
        <v>21.9</v>
      </c>
      <c r="G6755" s="88">
        <f t="shared" si="1"/>
        <v>9.6</v>
      </c>
      <c r="H6755" s="89">
        <f t="shared" si="18"/>
        <v>0.4383561644</v>
      </c>
      <c r="I6755" s="78" t="s">
        <v>7716</v>
      </c>
      <c r="J6755" s="78" t="s">
        <v>69</v>
      </c>
      <c r="K6755" s="58">
        <f t="shared" si="17"/>
        <v>1</v>
      </c>
      <c r="L6755" s="91" t="str">
        <f t="shared" si="8"/>
        <v>Thu</v>
      </c>
      <c r="M6755" s="78" t="str">
        <f>IFERROR(VLOOKUP(A6755, Entries!A:B,2,false),"")</f>
        <v>Torn Banner Studios</v>
      </c>
      <c r="N6755" s="23" t="str">
        <f>IFERROR(VLOOKUP(A6755, Entries!A:K,11,false),"")</f>
        <v/>
      </c>
    </row>
    <row r="6756">
      <c r="A6756" s="78" t="s">
        <v>5578</v>
      </c>
      <c r="B6756" s="78" t="s">
        <v>21</v>
      </c>
      <c r="C6756" s="85">
        <v>45588.0</v>
      </c>
      <c r="D6756" s="85">
        <v>45617.0</v>
      </c>
      <c r="E6756" s="86">
        <v>25.72</v>
      </c>
      <c r="F6756" s="87">
        <v>33.17</v>
      </c>
      <c r="G6756" s="88">
        <f t="shared" si="1"/>
        <v>7.45</v>
      </c>
      <c r="H6756" s="89">
        <f t="shared" si="18"/>
        <v>0.2246005427</v>
      </c>
      <c r="I6756" s="78" t="s">
        <v>7717</v>
      </c>
      <c r="J6756" s="78" t="s">
        <v>69</v>
      </c>
      <c r="K6756" s="58">
        <f t="shared" si="17"/>
        <v>29</v>
      </c>
      <c r="L6756" s="91" t="str">
        <f t="shared" si="8"/>
        <v>Thu</v>
      </c>
      <c r="M6756" s="78" t="str">
        <f>IFERROR(VLOOKUP(A6756, Entries!A:B,2,false),"")</f>
        <v>Kalypso Media</v>
      </c>
      <c r="N6756" s="23" t="str">
        <f>IFERROR(VLOOKUP(A6756, Entries!A:K,11,false),"")</f>
        <v/>
      </c>
    </row>
    <row r="6757">
      <c r="A6757" s="78" t="s">
        <v>7715</v>
      </c>
      <c r="B6757" s="78" t="s">
        <v>18</v>
      </c>
      <c r="C6757" s="85">
        <v>45589.0</v>
      </c>
      <c r="D6757" s="85">
        <v>45589.0</v>
      </c>
      <c r="E6757" s="86">
        <v>18.83</v>
      </c>
      <c r="F6757" s="87">
        <v>22.37</v>
      </c>
      <c r="G6757" s="88">
        <f t="shared" si="1"/>
        <v>3.54</v>
      </c>
      <c r="H6757" s="89">
        <f t="shared" si="18"/>
        <v>0.1582476531</v>
      </c>
      <c r="I6757" s="78" t="s">
        <v>7718</v>
      </c>
      <c r="J6757" s="78" t="s">
        <v>69</v>
      </c>
      <c r="K6757" s="58">
        <f t="shared" si="17"/>
        <v>0</v>
      </c>
      <c r="L6757" s="91" t="str">
        <f t="shared" si="8"/>
        <v>Thu</v>
      </c>
      <c r="M6757" s="78" t="str">
        <f>IFERROR(VLOOKUP(A6757, Entries!A:B,2,false),"")</f>
        <v>Torn Banner Studios</v>
      </c>
      <c r="N6757" s="23" t="str">
        <f>IFERROR(VLOOKUP(A6757, Entries!A:K,11,false),"")</f>
        <v/>
      </c>
    </row>
    <row r="6758">
      <c r="A6758" s="78" t="s">
        <v>7715</v>
      </c>
      <c r="B6758" s="78" t="s">
        <v>18</v>
      </c>
      <c r="C6758" s="85">
        <v>45589.0</v>
      </c>
      <c r="D6758" s="85">
        <v>45743.0</v>
      </c>
      <c r="E6758" s="86">
        <v>18.84</v>
      </c>
      <c r="F6758" s="87">
        <v>21.49</v>
      </c>
      <c r="G6758" s="88">
        <f t="shared" si="1"/>
        <v>2.65</v>
      </c>
      <c r="H6758" s="89">
        <f t="shared" si="18"/>
        <v>0.1233131689</v>
      </c>
      <c r="I6758" s="78" t="s">
        <v>7719</v>
      </c>
      <c r="J6758" s="78" t="s">
        <v>69</v>
      </c>
      <c r="K6758" s="58">
        <f t="shared" si="17"/>
        <v>154</v>
      </c>
      <c r="L6758" s="91" t="str">
        <f t="shared" si="8"/>
        <v>Thu</v>
      </c>
      <c r="M6758" s="78" t="str">
        <f>IFERROR(VLOOKUP(A6758, Entries!A:B,2,false),"")</f>
        <v>Torn Banner Studios</v>
      </c>
      <c r="N6758" s="23" t="str">
        <f>IFERROR(VLOOKUP(A6758, Entries!A:K,11,false),"")</f>
        <v/>
      </c>
    </row>
    <row r="6759">
      <c r="A6759" s="78" t="s">
        <v>4928</v>
      </c>
      <c r="B6759" s="78" t="s">
        <v>19</v>
      </c>
      <c r="C6759" s="85">
        <v>45589.0</v>
      </c>
      <c r="D6759" s="85">
        <v>45596.0</v>
      </c>
      <c r="E6759" s="86">
        <v>28.11</v>
      </c>
      <c r="F6759" s="87">
        <v>31.04</v>
      </c>
      <c r="G6759" s="88">
        <f t="shared" si="1"/>
        <v>2.93</v>
      </c>
      <c r="H6759" s="89">
        <f t="shared" si="18"/>
        <v>0.0943943299</v>
      </c>
      <c r="I6759" s="78" t="s">
        <v>7720</v>
      </c>
      <c r="J6759" s="78" t="s">
        <v>69</v>
      </c>
      <c r="K6759" s="58">
        <f t="shared" si="17"/>
        <v>7</v>
      </c>
      <c r="L6759" s="91" t="str">
        <f t="shared" si="8"/>
        <v>Thu</v>
      </c>
      <c r="M6759" s="78" t="str">
        <f>IFERROR(VLOOKUP(A6759, Entries!A:B,2,false),"")</f>
        <v>Eleventh Hour Games</v>
      </c>
      <c r="N6759" s="23" t="str">
        <f>IFERROR(VLOOKUP(A6759, Entries!A:K,11,false),"")</f>
        <v/>
      </c>
    </row>
    <row r="6760">
      <c r="A6760" s="78" t="s">
        <v>7721</v>
      </c>
      <c r="B6760" s="78" t="s">
        <v>22</v>
      </c>
      <c r="C6760" s="85">
        <v>45590.0</v>
      </c>
      <c r="D6760" s="85">
        <v>45592.0</v>
      </c>
      <c r="E6760" s="86">
        <v>2.56</v>
      </c>
      <c r="F6760" s="87">
        <v>3.45</v>
      </c>
      <c r="G6760" s="88">
        <f t="shared" si="1"/>
        <v>0.89</v>
      </c>
      <c r="H6760" s="89">
        <f t="shared" si="18"/>
        <v>0.2579710145</v>
      </c>
      <c r="I6760" s="78" t="s">
        <v>7722</v>
      </c>
      <c r="J6760" s="78" t="s">
        <v>69</v>
      </c>
      <c r="K6760" s="58">
        <f t="shared" si="17"/>
        <v>2</v>
      </c>
      <c r="L6760" s="91" t="str">
        <f t="shared" si="8"/>
        <v>Sun</v>
      </c>
      <c r="M6760" s="78" t="str">
        <f>IFERROR(VLOOKUP(A6760, Entries!A:B,2,false),"")</f>
        <v/>
      </c>
      <c r="N6760" s="23" t="str">
        <f>IFERROR(VLOOKUP(A6760, Entries!A:K,11,false),"")</f>
        <v/>
      </c>
    </row>
    <row r="6761">
      <c r="A6761" s="78" t="s">
        <v>1786</v>
      </c>
      <c r="B6761" s="78" t="s">
        <v>19</v>
      </c>
      <c r="C6761" s="85">
        <v>45590.0</v>
      </c>
      <c r="D6761" s="85">
        <v>45591.0</v>
      </c>
      <c r="E6761" s="86">
        <v>6.89</v>
      </c>
      <c r="F6761" s="87">
        <v>10.9</v>
      </c>
      <c r="G6761" s="88">
        <f t="shared" si="1"/>
        <v>4.01</v>
      </c>
      <c r="H6761" s="89">
        <f t="shared" si="18"/>
        <v>0.3678899083</v>
      </c>
      <c r="I6761" s="78" t="s">
        <v>7723</v>
      </c>
      <c r="J6761" s="78" t="s">
        <v>69</v>
      </c>
      <c r="K6761" s="58">
        <f t="shared" si="17"/>
        <v>1</v>
      </c>
      <c r="L6761" s="91" t="str">
        <f t="shared" si="8"/>
        <v>Sat</v>
      </c>
      <c r="M6761" s="78" t="str">
        <f>IFERROR(VLOOKUP(A6761, Entries!A:B,2,false),"")</f>
        <v>Bethesda Softworks</v>
      </c>
      <c r="N6761" s="23" t="str">
        <f>IFERROR(VLOOKUP(A6761, Entries!A:K,11,false),"")</f>
        <v/>
      </c>
    </row>
    <row r="6762">
      <c r="A6762" s="78" t="s">
        <v>2466</v>
      </c>
      <c r="B6762" s="78" t="s">
        <v>19</v>
      </c>
      <c r="C6762" s="85">
        <v>45590.0</v>
      </c>
      <c r="D6762" s="85">
        <v>45590.0</v>
      </c>
      <c r="E6762" s="86">
        <v>6.89</v>
      </c>
      <c r="F6762" s="87">
        <v>9.93</v>
      </c>
      <c r="G6762" s="88">
        <f t="shared" si="1"/>
        <v>3.04</v>
      </c>
      <c r="H6762" s="89">
        <f t="shared" si="18"/>
        <v>0.306143001</v>
      </c>
      <c r="I6762" s="78" t="s">
        <v>7724</v>
      </c>
      <c r="J6762" s="78" t="s">
        <v>69</v>
      </c>
      <c r="K6762" s="58">
        <f t="shared" si="17"/>
        <v>0</v>
      </c>
      <c r="L6762" s="91" t="str">
        <f t="shared" si="8"/>
        <v>Fri</v>
      </c>
      <c r="M6762" s="78" t="str">
        <f>IFERROR(VLOOKUP(A6762, Entries!A:B,2,false),"")</f>
        <v>Bethesda Softworks</v>
      </c>
      <c r="N6762" s="23" t="str">
        <f>IFERROR(VLOOKUP(A6762, Entries!A:K,11,false),"")</f>
        <v/>
      </c>
    </row>
    <row r="6763">
      <c r="A6763" s="78" t="s">
        <v>1786</v>
      </c>
      <c r="B6763" s="78" t="s">
        <v>19</v>
      </c>
      <c r="C6763" s="85">
        <v>45590.0</v>
      </c>
      <c r="D6763" s="85">
        <v>45591.0</v>
      </c>
      <c r="E6763" s="86">
        <v>6.89</v>
      </c>
      <c r="F6763" s="87">
        <v>10.9</v>
      </c>
      <c r="G6763" s="88">
        <f t="shared" si="1"/>
        <v>4.01</v>
      </c>
      <c r="H6763" s="89">
        <f t="shared" si="18"/>
        <v>0.3678899083</v>
      </c>
      <c r="I6763" s="78" t="s">
        <v>7725</v>
      </c>
      <c r="J6763" s="78" t="s">
        <v>69</v>
      </c>
      <c r="K6763" s="58">
        <f t="shared" si="17"/>
        <v>1</v>
      </c>
      <c r="L6763" s="91" t="str">
        <f t="shared" si="8"/>
        <v>Sat</v>
      </c>
      <c r="M6763" s="78" t="str">
        <f>IFERROR(VLOOKUP(A6763, Entries!A:B,2,false),"")</f>
        <v>Bethesda Softworks</v>
      </c>
      <c r="N6763" s="23" t="str">
        <f>IFERROR(VLOOKUP(A6763, Entries!A:K,11,false),"")</f>
        <v/>
      </c>
    </row>
    <row r="6764">
      <c r="A6764" s="78" t="s">
        <v>2466</v>
      </c>
      <c r="B6764" s="78" t="s">
        <v>19</v>
      </c>
      <c r="C6764" s="85">
        <v>45590.0</v>
      </c>
      <c r="D6764" s="85">
        <v>45590.0</v>
      </c>
      <c r="E6764" s="86">
        <v>6.89</v>
      </c>
      <c r="F6764" s="87">
        <v>10.09</v>
      </c>
      <c r="G6764" s="88">
        <f t="shared" si="1"/>
        <v>3.2</v>
      </c>
      <c r="H6764" s="89">
        <f t="shared" si="18"/>
        <v>0.3171456888</v>
      </c>
      <c r="I6764" s="78" t="s">
        <v>7726</v>
      </c>
      <c r="J6764" s="78" t="s">
        <v>69</v>
      </c>
      <c r="K6764" s="58">
        <f t="shared" si="17"/>
        <v>0</v>
      </c>
      <c r="L6764" s="91" t="str">
        <f t="shared" si="8"/>
        <v>Fri</v>
      </c>
      <c r="M6764" s="78" t="str">
        <f>IFERROR(VLOOKUP(A6764, Entries!A:B,2,false),"")</f>
        <v>Bethesda Softworks</v>
      </c>
      <c r="N6764" s="23" t="str">
        <f>IFERROR(VLOOKUP(A6764, Entries!A:K,11,false),"")</f>
        <v/>
      </c>
    </row>
    <row r="6765">
      <c r="A6765" s="78" t="s">
        <v>1786</v>
      </c>
      <c r="B6765" s="78" t="s">
        <v>19</v>
      </c>
      <c r="C6765" s="85">
        <v>45590.0</v>
      </c>
      <c r="D6765" s="85">
        <v>45591.0</v>
      </c>
      <c r="E6765" s="86">
        <v>6.89</v>
      </c>
      <c r="F6765" s="87">
        <v>10.9</v>
      </c>
      <c r="G6765" s="88">
        <f t="shared" si="1"/>
        <v>4.01</v>
      </c>
      <c r="H6765" s="89">
        <f t="shared" si="18"/>
        <v>0.3678899083</v>
      </c>
      <c r="I6765" s="78" t="s">
        <v>7727</v>
      </c>
      <c r="J6765" s="78" t="s">
        <v>69</v>
      </c>
      <c r="K6765" s="58">
        <f t="shared" si="17"/>
        <v>1</v>
      </c>
      <c r="L6765" s="91" t="str">
        <f t="shared" si="8"/>
        <v>Sat</v>
      </c>
      <c r="M6765" s="78" t="str">
        <f>IFERROR(VLOOKUP(A6765, Entries!A:B,2,false),"")</f>
        <v>Bethesda Softworks</v>
      </c>
      <c r="N6765" s="23" t="str">
        <f>IFERROR(VLOOKUP(A6765, Entries!A:K,11,false),"")</f>
        <v/>
      </c>
    </row>
    <row r="6766">
      <c r="A6766" s="78" t="s">
        <v>2466</v>
      </c>
      <c r="B6766" s="78" t="s">
        <v>19</v>
      </c>
      <c r="C6766" s="85">
        <v>45590.0</v>
      </c>
      <c r="D6766" s="85">
        <v>45591.0</v>
      </c>
      <c r="E6766" s="86">
        <v>6.89</v>
      </c>
      <c r="F6766" s="87">
        <v>10.84</v>
      </c>
      <c r="G6766" s="88">
        <f t="shared" si="1"/>
        <v>3.95</v>
      </c>
      <c r="H6766" s="89">
        <f t="shared" si="18"/>
        <v>0.3643911439</v>
      </c>
      <c r="I6766" s="78" t="s">
        <v>7728</v>
      </c>
      <c r="J6766" s="78" t="s">
        <v>69</v>
      </c>
      <c r="K6766" s="58">
        <f t="shared" si="17"/>
        <v>1</v>
      </c>
      <c r="L6766" s="91" t="str">
        <f t="shared" si="8"/>
        <v>Sat</v>
      </c>
      <c r="M6766" s="78" t="str">
        <f>IFERROR(VLOOKUP(A6766, Entries!A:B,2,false),"")</f>
        <v>Bethesda Softworks</v>
      </c>
      <c r="N6766" s="23" t="str">
        <f>IFERROR(VLOOKUP(A6766, Entries!A:K,11,false),"")</f>
        <v/>
      </c>
    </row>
    <row r="6767">
      <c r="A6767" s="78" t="s">
        <v>7092</v>
      </c>
      <c r="B6767" s="78" t="s">
        <v>23</v>
      </c>
      <c r="C6767" s="85">
        <v>45591.0</v>
      </c>
      <c r="D6767" s="85">
        <v>45591.0</v>
      </c>
      <c r="E6767" s="86">
        <v>8.68</v>
      </c>
      <c r="F6767" s="87">
        <v>10.41</v>
      </c>
      <c r="G6767" s="88">
        <f t="shared" si="1"/>
        <v>1.73</v>
      </c>
      <c r="H6767" s="89">
        <f t="shared" si="18"/>
        <v>0.1661863593</v>
      </c>
      <c r="I6767" s="78" t="s">
        <v>7729</v>
      </c>
      <c r="J6767" s="78" t="s">
        <v>69</v>
      </c>
      <c r="K6767" s="58">
        <f t="shared" si="17"/>
        <v>0</v>
      </c>
      <c r="L6767" s="91" t="str">
        <f t="shared" si="8"/>
        <v>Sat</v>
      </c>
      <c r="M6767" s="78" t="str">
        <f>IFERROR(VLOOKUP(A6767, Entries!A:B,2,false),"")</f>
        <v>IO Interactive</v>
      </c>
      <c r="N6767" s="23" t="str">
        <f>IFERROR(VLOOKUP(A6767, Entries!A:K,11,false),"")</f>
        <v/>
      </c>
    </row>
    <row r="6768">
      <c r="A6768" s="78" t="s">
        <v>1786</v>
      </c>
      <c r="B6768" s="78" t="s">
        <v>19</v>
      </c>
      <c r="C6768" s="85">
        <v>45591.0</v>
      </c>
      <c r="D6768" s="85">
        <v>45591.0</v>
      </c>
      <c r="E6768" s="86">
        <v>6.87</v>
      </c>
      <c r="F6768" s="87">
        <v>10.86</v>
      </c>
      <c r="G6768" s="88">
        <f t="shared" si="1"/>
        <v>3.99</v>
      </c>
      <c r="H6768" s="89">
        <f t="shared" si="18"/>
        <v>0.3674033149</v>
      </c>
      <c r="I6768" s="78" t="s">
        <v>7730</v>
      </c>
      <c r="J6768" s="78" t="s">
        <v>69</v>
      </c>
      <c r="K6768" s="58">
        <f t="shared" si="17"/>
        <v>0</v>
      </c>
      <c r="L6768" s="91" t="str">
        <f t="shared" si="8"/>
        <v>Sat</v>
      </c>
      <c r="M6768" s="78" t="str">
        <f>IFERROR(VLOOKUP(A6768, Entries!A:B,2,false),"")</f>
        <v>Bethesda Softworks</v>
      </c>
      <c r="N6768" s="23" t="str">
        <f>IFERROR(VLOOKUP(A6768, Entries!A:K,11,false),"")</f>
        <v/>
      </c>
    </row>
    <row r="6769">
      <c r="A6769" s="78" t="s">
        <v>2466</v>
      </c>
      <c r="B6769" s="78" t="s">
        <v>19</v>
      </c>
      <c r="C6769" s="85">
        <v>45591.0</v>
      </c>
      <c r="D6769" s="85">
        <v>45591.0</v>
      </c>
      <c r="E6769" s="86">
        <v>6.87</v>
      </c>
      <c r="F6769" s="87">
        <v>10.75</v>
      </c>
      <c r="G6769" s="88">
        <f t="shared" si="1"/>
        <v>3.88</v>
      </c>
      <c r="H6769" s="89">
        <f t="shared" si="18"/>
        <v>0.3609302326</v>
      </c>
      <c r="I6769" s="78" t="s">
        <v>7731</v>
      </c>
      <c r="J6769" s="78" t="s">
        <v>69</v>
      </c>
      <c r="K6769" s="58">
        <f t="shared" si="17"/>
        <v>0</v>
      </c>
      <c r="L6769" s="91" t="str">
        <f t="shared" si="8"/>
        <v>Sat</v>
      </c>
      <c r="M6769" s="78" t="str">
        <f>IFERROR(VLOOKUP(A6769, Entries!A:B,2,false),"")</f>
        <v>Bethesda Softworks</v>
      </c>
      <c r="N6769" s="23" t="str">
        <f>IFERROR(VLOOKUP(A6769, Entries!A:K,11,false),"")</f>
        <v/>
      </c>
    </row>
    <row r="6770">
      <c r="A6770" s="78" t="s">
        <v>7092</v>
      </c>
      <c r="B6770" s="78" t="s">
        <v>23</v>
      </c>
      <c r="C6770" s="85">
        <v>45591.0</v>
      </c>
      <c r="D6770" s="85">
        <v>45592.0</v>
      </c>
      <c r="E6770" s="86">
        <v>8.68</v>
      </c>
      <c r="F6770" s="87">
        <v>10.39</v>
      </c>
      <c r="G6770" s="88">
        <f t="shared" si="1"/>
        <v>1.71</v>
      </c>
      <c r="H6770" s="89">
        <f t="shared" si="18"/>
        <v>0.1645813282</v>
      </c>
      <c r="I6770" s="78" t="s">
        <v>7732</v>
      </c>
      <c r="J6770" s="78" t="s">
        <v>69</v>
      </c>
      <c r="K6770" s="58">
        <f t="shared" si="17"/>
        <v>1</v>
      </c>
      <c r="L6770" s="91" t="str">
        <f t="shared" si="8"/>
        <v>Sun</v>
      </c>
      <c r="M6770" s="78" t="str">
        <f>IFERROR(VLOOKUP(A6770, Entries!A:B,2,false),"")</f>
        <v>IO Interactive</v>
      </c>
      <c r="N6770" s="23" t="str">
        <f>IFERROR(VLOOKUP(A6770, Entries!A:K,11,false),"")</f>
        <v/>
      </c>
    </row>
    <row r="6771">
      <c r="A6771" s="78" t="s">
        <v>2016</v>
      </c>
      <c r="B6771" s="78" t="s">
        <v>19</v>
      </c>
      <c r="C6771" s="85">
        <v>45591.0</v>
      </c>
      <c r="D6771" s="85">
        <v>45633.0</v>
      </c>
      <c r="E6771" s="86">
        <v>6.73</v>
      </c>
      <c r="F6771" s="87">
        <v>6.65</v>
      </c>
      <c r="G6771" s="88">
        <f t="shared" si="1"/>
        <v>-0.08</v>
      </c>
      <c r="H6771" s="89">
        <f t="shared" si="18"/>
        <v>-0.01203007519</v>
      </c>
      <c r="I6771" s="78" t="s">
        <v>7733</v>
      </c>
      <c r="J6771" s="78" t="s">
        <v>69</v>
      </c>
      <c r="K6771" s="58">
        <f t="shared" si="17"/>
        <v>42</v>
      </c>
      <c r="L6771" s="91" t="str">
        <f t="shared" si="8"/>
        <v>Sat</v>
      </c>
      <c r="M6771" s="78" t="str">
        <f>IFERROR(VLOOKUP(A6771, Entries!A:B,2,false),"")</f>
        <v>Ironhide Game Studio</v>
      </c>
      <c r="N6771" s="23" t="str">
        <f>IFERROR(VLOOKUP(A6771, Entries!A:K,11,false),"")</f>
        <v/>
      </c>
    </row>
    <row r="6772">
      <c r="A6772" s="78" t="s">
        <v>6627</v>
      </c>
      <c r="B6772" s="78" t="s">
        <v>23</v>
      </c>
      <c r="C6772" s="85">
        <v>45591.0</v>
      </c>
      <c r="D6772" s="85">
        <v>45597.0</v>
      </c>
      <c r="E6772" s="86">
        <v>8.93</v>
      </c>
      <c r="F6772" s="87">
        <v>9.71</v>
      </c>
      <c r="G6772" s="88">
        <f t="shared" si="1"/>
        <v>0.78</v>
      </c>
      <c r="H6772" s="89">
        <f t="shared" si="18"/>
        <v>0.08032955716</v>
      </c>
      <c r="I6772" s="78" t="s">
        <v>7734</v>
      </c>
      <c r="J6772" s="78" t="s">
        <v>69</v>
      </c>
      <c r="K6772" s="58">
        <f t="shared" si="17"/>
        <v>6</v>
      </c>
      <c r="L6772" s="91" t="str">
        <f t="shared" si="8"/>
        <v>Fri</v>
      </c>
      <c r="M6772" s="78" t="str">
        <f>IFERROR(VLOOKUP(A6772, Entries!A:B,2,false),"")</f>
        <v>Bethesda Softworks</v>
      </c>
      <c r="N6772" s="23" t="str">
        <f>IFERROR(VLOOKUP(A6772, Entries!A:K,11,false),"")</f>
        <v/>
      </c>
    </row>
    <row r="6773">
      <c r="A6773" s="78" t="s">
        <v>1786</v>
      </c>
      <c r="B6773" s="78" t="s">
        <v>19</v>
      </c>
      <c r="C6773" s="85">
        <v>45591.0</v>
      </c>
      <c r="D6773" s="85">
        <v>45591.0</v>
      </c>
      <c r="E6773" s="86">
        <v>6.87</v>
      </c>
      <c r="F6773" s="87">
        <v>10.95</v>
      </c>
      <c r="G6773" s="88">
        <f t="shared" si="1"/>
        <v>4.08</v>
      </c>
      <c r="H6773" s="89">
        <f t="shared" si="18"/>
        <v>0.3726027397</v>
      </c>
      <c r="I6773" s="78" t="s">
        <v>7735</v>
      </c>
      <c r="J6773" s="78" t="s">
        <v>69</v>
      </c>
      <c r="K6773" s="58">
        <f t="shared" si="17"/>
        <v>0</v>
      </c>
      <c r="L6773" s="91" t="str">
        <f t="shared" si="8"/>
        <v>Sat</v>
      </c>
      <c r="M6773" s="78" t="str">
        <f>IFERROR(VLOOKUP(A6773, Entries!A:B,2,false),"")</f>
        <v>Bethesda Softworks</v>
      </c>
      <c r="N6773" s="23" t="str">
        <f>IFERROR(VLOOKUP(A6773, Entries!A:K,11,false),"")</f>
        <v/>
      </c>
    </row>
    <row r="6774">
      <c r="A6774" s="78" t="s">
        <v>2466</v>
      </c>
      <c r="B6774" s="78" t="s">
        <v>19</v>
      </c>
      <c r="C6774" s="85">
        <v>45591.0</v>
      </c>
      <c r="D6774" s="85">
        <v>45592.0</v>
      </c>
      <c r="E6774" s="86">
        <v>6.87</v>
      </c>
      <c r="F6774" s="87">
        <v>10.16</v>
      </c>
      <c r="G6774" s="88">
        <f t="shared" si="1"/>
        <v>3.29</v>
      </c>
      <c r="H6774" s="89">
        <f t="shared" si="18"/>
        <v>0.3238188976</v>
      </c>
      <c r="I6774" s="78" t="s">
        <v>7736</v>
      </c>
      <c r="J6774" s="78" t="s">
        <v>69</v>
      </c>
      <c r="K6774" s="58">
        <f t="shared" si="17"/>
        <v>1</v>
      </c>
      <c r="L6774" s="91" t="str">
        <f t="shared" si="8"/>
        <v>Sun</v>
      </c>
      <c r="M6774" s="78" t="str">
        <f>IFERROR(VLOOKUP(A6774, Entries!A:B,2,false),"")</f>
        <v>Bethesda Softworks</v>
      </c>
      <c r="N6774" s="23" t="str">
        <f>IFERROR(VLOOKUP(A6774, Entries!A:K,11,false),"")</f>
        <v/>
      </c>
    </row>
    <row r="6775">
      <c r="A6775" s="78" t="s">
        <v>2466</v>
      </c>
      <c r="B6775" s="78" t="s">
        <v>19</v>
      </c>
      <c r="C6775" s="85">
        <v>45591.0</v>
      </c>
      <c r="D6775" s="85">
        <v>45593.0</v>
      </c>
      <c r="E6775" s="86">
        <v>6.87</v>
      </c>
      <c r="F6775" s="87">
        <v>10.16</v>
      </c>
      <c r="G6775" s="88">
        <f t="shared" si="1"/>
        <v>3.29</v>
      </c>
      <c r="H6775" s="89">
        <f t="shared" si="18"/>
        <v>0.3238188976</v>
      </c>
      <c r="I6775" s="78" t="s">
        <v>7737</v>
      </c>
      <c r="J6775" s="78" t="s">
        <v>69</v>
      </c>
      <c r="K6775" s="58">
        <f t="shared" si="17"/>
        <v>2</v>
      </c>
      <c r="L6775" s="91" t="str">
        <f t="shared" si="8"/>
        <v>Mon</v>
      </c>
      <c r="M6775" s="78" t="str">
        <f>IFERROR(VLOOKUP(A6775, Entries!A:B,2,false),"")</f>
        <v>Bethesda Softworks</v>
      </c>
      <c r="N6775" s="23" t="str">
        <f>IFERROR(VLOOKUP(A6775, Entries!A:K,11,false),"")</f>
        <v/>
      </c>
    </row>
    <row r="6776">
      <c r="A6776" s="78" t="s">
        <v>1786</v>
      </c>
      <c r="B6776" s="78" t="s">
        <v>19</v>
      </c>
      <c r="C6776" s="85">
        <v>45591.0</v>
      </c>
      <c r="D6776" s="85">
        <v>45592.0</v>
      </c>
      <c r="E6776" s="86">
        <v>6.87</v>
      </c>
      <c r="F6776" s="87">
        <v>11.37</v>
      </c>
      <c r="G6776" s="88">
        <f t="shared" si="1"/>
        <v>4.5</v>
      </c>
      <c r="H6776" s="89">
        <f t="shared" si="18"/>
        <v>0.3957783641</v>
      </c>
      <c r="I6776" s="78" t="s">
        <v>7738</v>
      </c>
      <c r="J6776" s="78" t="s">
        <v>69</v>
      </c>
      <c r="K6776" s="58">
        <f t="shared" si="17"/>
        <v>1</v>
      </c>
      <c r="L6776" s="91" t="str">
        <f t="shared" si="8"/>
        <v>Sun</v>
      </c>
      <c r="M6776" s="78" t="str">
        <f>IFERROR(VLOOKUP(A6776, Entries!A:B,2,false),"")</f>
        <v>Bethesda Softworks</v>
      </c>
      <c r="N6776" s="23" t="str">
        <f>IFERROR(VLOOKUP(A6776, Entries!A:K,11,false),"")</f>
        <v/>
      </c>
    </row>
    <row r="6777">
      <c r="A6777" s="78" t="s">
        <v>2466</v>
      </c>
      <c r="B6777" s="78" t="s">
        <v>19</v>
      </c>
      <c r="C6777" s="85">
        <v>45592.0</v>
      </c>
      <c r="D6777" s="85">
        <v>45593.0</v>
      </c>
      <c r="E6777" s="86">
        <v>6.87</v>
      </c>
      <c r="F6777" s="87">
        <v>10.23</v>
      </c>
      <c r="G6777" s="88">
        <f t="shared" si="1"/>
        <v>3.36</v>
      </c>
      <c r="H6777" s="89">
        <f t="shared" si="18"/>
        <v>0.3284457478</v>
      </c>
      <c r="I6777" s="78" t="s">
        <v>7739</v>
      </c>
      <c r="J6777" s="78" t="s">
        <v>69</v>
      </c>
      <c r="K6777" s="58">
        <f t="shared" si="17"/>
        <v>1</v>
      </c>
      <c r="L6777" s="91" t="str">
        <f t="shared" si="8"/>
        <v>Mon</v>
      </c>
      <c r="M6777" s="78" t="str">
        <f>IFERROR(VLOOKUP(A6777, Entries!A:B,2,false),"")</f>
        <v>Bethesda Softworks</v>
      </c>
      <c r="N6777" s="23" t="str">
        <f>IFERROR(VLOOKUP(A6777, Entries!A:K,11,false),"")</f>
        <v/>
      </c>
    </row>
    <row r="6778">
      <c r="A6778" s="78" t="s">
        <v>1786</v>
      </c>
      <c r="B6778" s="78" t="s">
        <v>19</v>
      </c>
      <c r="C6778" s="85">
        <v>45592.0</v>
      </c>
      <c r="D6778" s="85">
        <v>45592.0</v>
      </c>
      <c r="E6778" s="86">
        <v>6.87</v>
      </c>
      <c r="F6778" s="87">
        <v>11.99</v>
      </c>
      <c r="G6778" s="88">
        <f t="shared" si="1"/>
        <v>5.12</v>
      </c>
      <c r="H6778" s="89">
        <f t="shared" si="18"/>
        <v>0.4270225188</v>
      </c>
      <c r="I6778" s="78" t="s">
        <v>7740</v>
      </c>
      <c r="J6778" s="78" t="s">
        <v>69</v>
      </c>
      <c r="K6778" s="58">
        <f t="shared" si="17"/>
        <v>0</v>
      </c>
      <c r="L6778" s="91" t="str">
        <f t="shared" si="8"/>
        <v>Sun</v>
      </c>
      <c r="M6778" s="78" t="str">
        <f>IFERROR(VLOOKUP(A6778, Entries!A:B,2,false),"")</f>
        <v>Bethesda Softworks</v>
      </c>
      <c r="N6778" s="23" t="str">
        <f>IFERROR(VLOOKUP(A6778, Entries!A:K,11,false),"")</f>
        <v/>
      </c>
    </row>
    <row r="6779">
      <c r="A6779" s="78" t="s">
        <v>7721</v>
      </c>
      <c r="B6779" s="78" t="s">
        <v>22</v>
      </c>
      <c r="C6779" s="85">
        <v>45592.0</v>
      </c>
      <c r="D6779" s="85">
        <v>45593.0</v>
      </c>
      <c r="E6779" s="86">
        <v>2.56</v>
      </c>
      <c r="F6779" s="87">
        <v>3.53</v>
      </c>
      <c r="G6779" s="88">
        <f t="shared" si="1"/>
        <v>0.97</v>
      </c>
      <c r="H6779" s="89">
        <f t="shared" si="18"/>
        <v>0.2747875354</v>
      </c>
      <c r="I6779" s="78" t="s">
        <v>7741</v>
      </c>
      <c r="J6779" s="78" t="s">
        <v>69</v>
      </c>
      <c r="K6779" s="58">
        <f t="shared" si="17"/>
        <v>1</v>
      </c>
      <c r="L6779" s="91" t="str">
        <f t="shared" si="8"/>
        <v>Mon</v>
      </c>
      <c r="M6779" s="78" t="str">
        <f>IFERROR(VLOOKUP(A6779, Entries!A:B,2,false),"")</f>
        <v/>
      </c>
      <c r="N6779" s="23" t="str">
        <f>IFERROR(VLOOKUP(A6779, Entries!A:K,11,false),"")</f>
        <v/>
      </c>
    </row>
    <row r="6780">
      <c r="A6780" s="78" t="s">
        <v>7092</v>
      </c>
      <c r="B6780" s="78" t="s">
        <v>23</v>
      </c>
      <c r="C6780" s="85">
        <v>45592.0</v>
      </c>
      <c r="D6780" s="85">
        <v>45593.0</v>
      </c>
      <c r="E6780" s="86">
        <v>8.68</v>
      </c>
      <c r="F6780" s="87">
        <v>10.45</v>
      </c>
      <c r="G6780" s="88">
        <f t="shared" si="1"/>
        <v>1.77</v>
      </c>
      <c r="H6780" s="89">
        <f t="shared" si="18"/>
        <v>0.1693779904</v>
      </c>
      <c r="I6780" s="78" t="s">
        <v>7742</v>
      </c>
      <c r="J6780" s="78" t="s">
        <v>69</v>
      </c>
      <c r="K6780" s="58">
        <f t="shared" si="17"/>
        <v>1</v>
      </c>
      <c r="L6780" s="91" t="str">
        <f t="shared" si="8"/>
        <v>Mon</v>
      </c>
      <c r="M6780" s="78" t="str">
        <f>IFERROR(VLOOKUP(A6780, Entries!A:B,2,false),"")</f>
        <v>IO Interactive</v>
      </c>
      <c r="N6780" s="23" t="str">
        <f>IFERROR(VLOOKUP(A6780, Entries!A:K,11,false),"")</f>
        <v/>
      </c>
    </row>
    <row r="6781">
      <c r="A6781" s="78" t="s">
        <v>1786</v>
      </c>
      <c r="B6781" s="78" t="s">
        <v>19</v>
      </c>
      <c r="C6781" s="85">
        <v>45592.0</v>
      </c>
      <c r="D6781" s="85">
        <v>45593.0</v>
      </c>
      <c r="E6781" s="86">
        <v>6.87</v>
      </c>
      <c r="F6781" s="87">
        <v>11.42</v>
      </c>
      <c r="G6781" s="88">
        <f t="shared" si="1"/>
        <v>4.55</v>
      </c>
      <c r="H6781" s="89">
        <f t="shared" si="18"/>
        <v>0.3984238179</v>
      </c>
      <c r="I6781" s="78" t="s">
        <v>7743</v>
      </c>
      <c r="J6781" s="78" t="s">
        <v>69</v>
      </c>
      <c r="K6781" s="58">
        <f t="shared" si="17"/>
        <v>1</v>
      </c>
      <c r="L6781" s="91" t="str">
        <f t="shared" si="8"/>
        <v>Mon</v>
      </c>
      <c r="M6781" s="78" t="str">
        <f>IFERROR(VLOOKUP(A6781, Entries!A:B,2,false),"")</f>
        <v>Bethesda Softworks</v>
      </c>
      <c r="N6781" s="23" t="str">
        <f>IFERROR(VLOOKUP(A6781, Entries!A:K,11,false),"")</f>
        <v/>
      </c>
    </row>
    <row r="6782">
      <c r="A6782" s="78" t="s">
        <v>2466</v>
      </c>
      <c r="B6782" s="78" t="s">
        <v>19</v>
      </c>
      <c r="C6782" s="85">
        <v>45592.0</v>
      </c>
      <c r="D6782" s="85">
        <v>45594.0</v>
      </c>
      <c r="E6782" s="86">
        <v>6.87</v>
      </c>
      <c r="F6782" s="87">
        <v>11.33</v>
      </c>
      <c r="G6782" s="88">
        <f t="shared" si="1"/>
        <v>4.46</v>
      </c>
      <c r="H6782" s="89">
        <f t="shared" si="18"/>
        <v>0.3936451898</v>
      </c>
      <c r="I6782" s="78" t="s">
        <v>7744</v>
      </c>
      <c r="J6782" s="78" t="s">
        <v>69</v>
      </c>
      <c r="K6782" s="58">
        <f t="shared" si="17"/>
        <v>2</v>
      </c>
      <c r="L6782" s="91" t="str">
        <f t="shared" si="8"/>
        <v>Tue</v>
      </c>
      <c r="M6782" s="78" t="str">
        <f>IFERROR(VLOOKUP(A6782, Entries!A:B,2,false),"")</f>
        <v>Bethesda Softworks</v>
      </c>
      <c r="N6782" s="23" t="str">
        <f>IFERROR(VLOOKUP(A6782, Entries!A:K,11,false),"")</f>
        <v/>
      </c>
    </row>
    <row r="6783">
      <c r="A6783" s="78" t="s">
        <v>1786</v>
      </c>
      <c r="B6783" s="78" t="s">
        <v>19</v>
      </c>
      <c r="C6783" s="85">
        <v>45593.0</v>
      </c>
      <c r="D6783" s="85">
        <v>45593.0</v>
      </c>
      <c r="E6783" s="86">
        <v>6.87</v>
      </c>
      <c r="F6783" s="87">
        <v>11.38</v>
      </c>
      <c r="G6783" s="88">
        <f t="shared" si="1"/>
        <v>4.51</v>
      </c>
      <c r="H6783" s="89">
        <f t="shared" si="18"/>
        <v>0.3963093146</v>
      </c>
      <c r="I6783" s="78" t="s">
        <v>7745</v>
      </c>
      <c r="J6783" s="78" t="s">
        <v>69</v>
      </c>
      <c r="K6783" s="58">
        <f t="shared" si="17"/>
        <v>0</v>
      </c>
      <c r="L6783" s="91" t="str">
        <f t="shared" si="8"/>
        <v>Mon</v>
      </c>
      <c r="M6783" s="78" t="str">
        <f>IFERROR(VLOOKUP(A6783, Entries!A:B,2,false),"")</f>
        <v>Bethesda Softworks</v>
      </c>
      <c r="N6783" s="23" t="str">
        <f>IFERROR(VLOOKUP(A6783, Entries!A:K,11,false),"")</f>
        <v/>
      </c>
    </row>
    <row r="6784">
      <c r="A6784" s="78" t="s">
        <v>2466</v>
      </c>
      <c r="B6784" s="78" t="s">
        <v>19</v>
      </c>
      <c r="C6784" s="85">
        <v>45593.0</v>
      </c>
      <c r="D6784" s="85">
        <v>45594.0</v>
      </c>
      <c r="E6784" s="86">
        <v>6.87</v>
      </c>
      <c r="F6784" s="87">
        <v>11.33</v>
      </c>
      <c r="G6784" s="88">
        <f t="shared" si="1"/>
        <v>4.46</v>
      </c>
      <c r="H6784" s="89">
        <f t="shared" si="18"/>
        <v>0.3936451898</v>
      </c>
      <c r="I6784" s="78" t="s">
        <v>7746</v>
      </c>
      <c r="J6784" s="78" t="s">
        <v>69</v>
      </c>
      <c r="K6784" s="58">
        <f t="shared" si="17"/>
        <v>1</v>
      </c>
      <c r="L6784" s="91" t="str">
        <f t="shared" si="8"/>
        <v>Tue</v>
      </c>
      <c r="M6784" s="78" t="str">
        <f>IFERROR(VLOOKUP(A6784, Entries!A:B,2,false),"")</f>
        <v>Bethesda Softworks</v>
      </c>
      <c r="N6784" s="23" t="str">
        <f>IFERROR(VLOOKUP(A6784, Entries!A:K,11,false),"")</f>
        <v/>
      </c>
    </row>
    <row r="6785">
      <c r="A6785" s="78" t="s">
        <v>7721</v>
      </c>
      <c r="B6785" s="78" t="s">
        <v>22</v>
      </c>
      <c r="C6785" s="85">
        <v>45593.0</v>
      </c>
      <c r="D6785" s="85">
        <v>45593.0</v>
      </c>
      <c r="E6785" s="86">
        <v>2.56</v>
      </c>
      <c r="F6785" s="87">
        <v>3.53</v>
      </c>
      <c r="G6785" s="88">
        <f t="shared" si="1"/>
        <v>0.97</v>
      </c>
      <c r="H6785" s="89">
        <f t="shared" si="18"/>
        <v>0.2747875354</v>
      </c>
      <c r="I6785" s="78" t="s">
        <v>7747</v>
      </c>
      <c r="J6785" s="78" t="s">
        <v>69</v>
      </c>
      <c r="K6785" s="58">
        <f t="shared" si="17"/>
        <v>0</v>
      </c>
      <c r="L6785" s="91" t="str">
        <f t="shared" si="8"/>
        <v>Mon</v>
      </c>
      <c r="M6785" s="78" t="str">
        <f>IFERROR(VLOOKUP(A6785, Entries!A:B,2,false),"")</f>
        <v/>
      </c>
      <c r="N6785" s="23" t="str">
        <f>IFERROR(VLOOKUP(A6785, Entries!A:K,11,false),"")</f>
        <v/>
      </c>
    </row>
    <row r="6786">
      <c r="A6786" s="78" t="s">
        <v>7515</v>
      </c>
      <c r="B6786" s="78" t="s">
        <v>22</v>
      </c>
      <c r="C6786" s="85">
        <v>45593.0</v>
      </c>
      <c r="D6786" s="85">
        <v>45598.0</v>
      </c>
      <c r="E6786" s="86">
        <v>10.25</v>
      </c>
      <c r="F6786" s="87">
        <v>12.38</v>
      </c>
      <c r="G6786" s="88">
        <f t="shared" si="1"/>
        <v>2.13</v>
      </c>
      <c r="H6786" s="89">
        <f t="shared" si="18"/>
        <v>0.1720516963</v>
      </c>
      <c r="I6786" s="78" t="s">
        <v>7748</v>
      </c>
      <c r="J6786" s="78" t="s">
        <v>69</v>
      </c>
      <c r="K6786" s="58">
        <f t="shared" si="17"/>
        <v>5</v>
      </c>
      <c r="L6786" s="91" t="str">
        <f t="shared" si="8"/>
        <v>Sat</v>
      </c>
      <c r="M6786" s="98" t="str">
        <f>IFERROR(VLOOKUP(A6786, Entries!A:B,2,false),"")</f>
        <v>indie.io</v>
      </c>
      <c r="N6786" s="23" t="str">
        <f>IFERROR(VLOOKUP(A6786, Entries!A:K,11,false),"")</f>
        <v/>
      </c>
    </row>
    <row r="6787">
      <c r="A6787" s="78" t="s">
        <v>7721</v>
      </c>
      <c r="B6787" s="78" t="s">
        <v>22</v>
      </c>
      <c r="C6787" s="85">
        <v>45593.0</v>
      </c>
      <c r="D6787" s="85">
        <v>45595.0</v>
      </c>
      <c r="E6787" s="86">
        <v>2.56</v>
      </c>
      <c r="F6787" s="87">
        <v>3.53</v>
      </c>
      <c r="G6787" s="88">
        <f t="shared" si="1"/>
        <v>0.97</v>
      </c>
      <c r="H6787" s="89">
        <f t="shared" si="18"/>
        <v>0.2747875354</v>
      </c>
      <c r="I6787" s="78" t="s">
        <v>7749</v>
      </c>
      <c r="J6787" s="78" t="s">
        <v>69</v>
      </c>
      <c r="K6787" s="58">
        <f t="shared" si="17"/>
        <v>2</v>
      </c>
      <c r="L6787" s="91" t="str">
        <f t="shared" si="8"/>
        <v>Wed</v>
      </c>
      <c r="M6787" s="78" t="str">
        <f>IFERROR(VLOOKUP(A6787, Entries!A:B,2,false),"")</f>
        <v/>
      </c>
      <c r="N6787" s="23" t="str">
        <f>IFERROR(VLOOKUP(A6787, Entries!A:K,11,false),"")</f>
        <v/>
      </c>
    </row>
    <row r="6788">
      <c r="A6788" s="78" t="s">
        <v>7750</v>
      </c>
      <c r="B6788" s="78" t="s">
        <v>21</v>
      </c>
      <c r="C6788" s="85">
        <v>45593.0</v>
      </c>
      <c r="D6788" s="85">
        <v>45593.0</v>
      </c>
      <c r="E6788" s="86">
        <v>39.33</v>
      </c>
      <c r="F6788" s="87">
        <v>42.8</v>
      </c>
      <c r="G6788" s="88">
        <f t="shared" si="1"/>
        <v>3.47</v>
      </c>
      <c r="H6788" s="89">
        <f t="shared" si="18"/>
        <v>0.08107476636</v>
      </c>
      <c r="I6788" s="78" t="s">
        <v>7751</v>
      </c>
      <c r="J6788" s="78" t="s">
        <v>69</v>
      </c>
      <c r="K6788" s="58">
        <f t="shared" si="17"/>
        <v>0</v>
      </c>
      <c r="L6788" s="91" t="str">
        <f t="shared" si="8"/>
        <v>Mon</v>
      </c>
      <c r="M6788" s="78" t="str">
        <f>IFERROR(VLOOKUP(A6788, Entries!A:B,2,false),"")</f>
        <v/>
      </c>
      <c r="N6788" s="23" t="str">
        <f>IFERROR(VLOOKUP(A6788, Entries!A:K,11,false),"")</f>
        <v/>
      </c>
    </row>
    <row r="6789">
      <c r="A6789" s="78" t="s">
        <v>7394</v>
      </c>
      <c r="B6789" s="78" t="s">
        <v>21</v>
      </c>
      <c r="C6789" s="85">
        <v>45593.0</v>
      </c>
      <c r="D6789" s="85">
        <v>45625.0</v>
      </c>
      <c r="E6789" s="86">
        <v>27.45</v>
      </c>
      <c r="F6789" s="87">
        <v>36.13</v>
      </c>
      <c r="G6789" s="88">
        <f t="shared" si="1"/>
        <v>8.68</v>
      </c>
      <c r="H6789" s="89">
        <f t="shared" si="18"/>
        <v>0.2402435649</v>
      </c>
      <c r="I6789" s="78" t="s">
        <v>7752</v>
      </c>
      <c r="J6789" s="78" t="s">
        <v>69</v>
      </c>
      <c r="K6789" s="58">
        <f t="shared" si="17"/>
        <v>32</v>
      </c>
      <c r="L6789" s="91" t="str">
        <f t="shared" si="8"/>
        <v>Fri</v>
      </c>
      <c r="M6789" s="78" t="str">
        <f>IFERROR(VLOOKUP(A6789, Entries!A:B,2,false),"")</f>
        <v/>
      </c>
      <c r="N6789" s="23" t="str">
        <f>IFERROR(VLOOKUP(A6789, Entries!A:K,11,false),"")</f>
        <v/>
      </c>
    </row>
    <row r="6790">
      <c r="A6790" s="78" t="s">
        <v>7649</v>
      </c>
      <c r="B6790" s="78" t="s">
        <v>18</v>
      </c>
      <c r="C6790" s="85">
        <v>45593.0</v>
      </c>
      <c r="D6790" s="85">
        <v>45699.0</v>
      </c>
      <c r="E6790" s="86">
        <v>27.53</v>
      </c>
      <c r="F6790" s="87">
        <v>33.63</v>
      </c>
      <c r="G6790" s="88">
        <f t="shared" si="1"/>
        <v>6.1</v>
      </c>
      <c r="H6790" s="89">
        <f t="shared" si="18"/>
        <v>0.1813856676</v>
      </c>
      <c r="I6790" s="78" t="s">
        <v>7753</v>
      </c>
      <c r="J6790" s="78" t="s">
        <v>69</v>
      </c>
      <c r="K6790" s="58">
        <f t="shared" si="17"/>
        <v>106</v>
      </c>
      <c r="L6790" s="91" t="str">
        <f t="shared" si="8"/>
        <v>Tue</v>
      </c>
      <c r="M6790" s="78" t="str">
        <f>IFERROR(VLOOKUP(A6790, Entries!A:B,2,false),"")</f>
        <v>PlayStation</v>
      </c>
      <c r="N6790" s="23" t="str">
        <f>IFERROR(VLOOKUP(A6790, Entries!A:K,11,false),"")</f>
        <v/>
      </c>
    </row>
    <row r="6791">
      <c r="A6791" s="78" t="s">
        <v>7649</v>
      </c>
      <c r="B6791" s="78" t="s">
        <v>18</v>
      </c>
      <c r="C6791" s="85">
        <v>45593.0</v>
      </c>
      <c r="D6791" s="85">
        <v>45700.0</v>
      </c>
      <c r="E6791" s="86">
        <v>27.53</v>
      </c>
      <c r="F6791" s="87">
        <v>33.64</v>
      </c>
      <c r="G6791" s="88">
        <f t="shared" si="1"/>
        <v>6.11</v>
      </c>
      <c r="H6791" s="89">
        <f t="shared" si="18"/>
        <v>0.1816290131</v>
      </c>
      <c r="I6791" s="78" t="s">
        <v>7754</v>
      </c>
      <c r="J6791" s="78" t="s">
        <v>69</v>
      </c>
      <c r="K6791" s="58">
        <f t="shared" si="17"/>
        <v>107</v>
      </c>
      <c r="L6791" s="91" t="str">
        <f t="shared" si="8"/>
        <v>Wed</v>
      </c>
      <c r="M6791" s="78" t="str">
        <f>IFERROR(VLOOKUP(A6791, Entries!A:B,2,false),"")</f>
        <v>PlayStation</v>
      </c>
      <c r="N6791" s="23" t="str">
        <f>IFERROR(VLOOKUP(A6791, Entries!A:K,11,false),"")</f>
        <v/>
      </c>
    </row>
    <row r="6792">
      <c r="A6792" s="78" t="s">
        <v>7092</v>
      </c>
      <c r="B6792" s="78" t="s">
        <v>23</v>
      </c>
      <c r="C6792" s="85">
        <v>45593.0</v>
      </c>
      <c r="D6792" s="85">
        <v>45594.0</v>
      </c>
      <c r="E6792" s="86">
        <v>8.68</v>
      </c>
      <c r="F6792" s="87">
        <v>10.52</v>
      </c>
      <c r="G6792" s="88">
        <f t="shared" si="1"/>
        <v>1.84</v>
      </c>
      <c r="H6792" s="89">
        <f t="shared" si="18"/>
        <v>0.174904943</v>
      </c>
      <c r="I6792" s="78" t="s">
        <v>7755</v>
      </c>
      <c r="J6792" s="78" t="s">
        <v>69</v>
      </c>
      <c r="K6792" s="58">
        <f t="shared" si="17"/>
        <v>1</v>
      </c>
      <c r="L6792" s="91" t="str">
        <f t="shared" si="8"/>
        <v>Tue</v>
      </c>
      <c r="M6792" s="78" t="str">
        <f>IFERROR(VLOOKUP(A6792, Entries!A:B,2,false),"")</f>
        <v>IO Interactive</v>
      </c>
      <c r="N6792" s="23" t="str">
        <f>IFERROR(VLOOKUP(A6792, Entries!A:K,11,false),"")</f>
        <v/>
      </c>
    </row>
    <row r="6793">
      <c r="A6793" s="78" t="s">
        <v>1786</v>
      </c>
      <c r="B6793" s="78" t="s">
        <v>19</v>
      </c>
      <c r="C6793" s="85">
        <v>45593.0</v>
      </c>
      <c r="D6793" s="85">
        <v>45593.0</v>
      </c>
      <c r="E6793" s="86">
        <v>6.87</v>
      </c>
      <c r="F6793" s="87">
        <v>11.38</v>
      </c>
      <c r="G6793" s="88">
        <f t="shared" si="1"/>
        <v>4.51</v>
      </c>
      <c r="H6793" s="89">
        <f t="shared" si="18"/>
        <v>0.3963093146</v>
      </c>
      <c r="I6793" s="78" t="s">
        <v>7756</v>
      </c>
      <c r="J6793" s="78" t="s">
        <v>69</v>
      </c>
      <c r="K6793" s="58">
        <f t="shared" si="17"/>
        <v>0</v>
      </c>
      <c r="L6793" s="91" t="str">
        <f t="shared" si="8"/>
        <v>Mon</v>
      </c>
      <c r="M6793" s="78" t="str">
        <f>IFERROR(VLOOKUP(A6793, Entries!A:B,2,false),"")</f>
        <v>Bethesda Softworks</v>
      </c>
      <c r="N6793" s="23" t="str">
        <f>IFERROR(VLOOKUP(A6793, Entries!A:K,11,false),"")</f>
        <v/>
      </c>
    </row>
    <row r="6794">
      <c r="A6794" s="78" t="s">
        <v>2466</v>
      </c>
      <c r="B6794" s="78" t="s">
        <v>19</v>
      </c>
      <c r="C6794" s="85">
        <v>45593.0</v>
      </c>
      <c r="D6794" s="85">
        <v>45594.0</v>
      </c>
      <c r="E6794" s="86">
        <v>6.87</v>
      </c>
      <c r="F6794" s="87">
        <v>10.44</v>
      </c>
      <c r="G6794" s="88">
        <f t="shared" si="1"/>
        <v>3.57</v>
      </c>
      <c r="H6794" s="89">
        <f t="shared" si="18"/>
        <v>0.341954023</v>
      </c>
      <c r="I6794" s="78" t="s">
        <v>7757</v>
      </c>
      <c r="J6794" s="78" t="s">
        <v>69</v>
      </c>
      <c r="K6794" s="58">
        <f t="shared" si="17"/>
        <v>1</v>
      </c>
      <c r="L6794" s="91" t="str">
        <f t="shared" si="8"/>
        <v>Tue</v>
      </c>
      <c r="M6794" s="78" t="str">
        <f>IFERROR(VLOOKUP(A6794, Entries!A:B,2,false),"")</f>
        <v>Bethesda Softworks</v>
      </c>
      <c r="N6794" s="23" t="str">
        <f>IFERROR(VLOOKUP(A6794, Entries!A:K,11,false),"")</f>
        <v/>
      </c>
    </row>
    <row r="6795">
      <c r="A6795" s="78" t="s">
        <v>7092</v>
      </c>
      <c r="B6795" s="78" t="s">
        <v>23</v>
      </c>
      <c r="C6795" s="85">
        <v>45594.0</v>
      </c>
      <c r="D6795" s="85">
        <v>45594.0</v>
      </c>
      <c r="E6795" s="86">
        <v>8.69</v>
      </c>
      <c r="F6795" s="87">
        <v>10.47</v>
      </c>
      <c r="G6795" s="88">
        <f t="shared" si="1"/>
        <v>1.78</v>
      </c>
      <c r="H6795" s="89">
        <f t="shared" si="18"/>
        <v>0.1700095511</v>
      </c>
      <c r="I6795" s="78" t="s">
        <v>7758</v>
      </c>
      <c r="J6795" s="78" t="s">
        <v>69</v>
      </c>
      <c r="K6795" s="58">
        <f t="shared" si="17"/>
        <v>0</v>
      </c>
      <c r="L6795" s="91" t="str">
        <f t="shared" si="8"/>
        <v>Tue</v>
      </c>
      <c r="M6795" s="78" t="str">
        <f>IFERROR(VLOOKUP(A6795, Entries!A:B,2,false),"")</f>
        <v>IO Interactive</v>
      </c>
      <c r="N6795" s="23" t="str">
        <f>IFERROR(VLOOKUP(A6795, Entries!A:K,11,false),"")</f>
        <v/>
      </c>
    </row>
    <row r="6796">
      <c r="A6796" s="78" t="s">
        <v>1786</v>
      </c>
      <c r="B6796" s="78" t="s">
        <v>19</v>
      </c>
      <c r="C6796" s="85">
        <v>45594.0</v>
      </c>
      <c r="D6796" s="85">
        <v>45594.0</v>
      </c>
      <c r="E6796" s="86">
        <v>6.88</v>
      </c>
      <c r="F6796" s="87">
        <v>11.36</v>
      </c>
      <c r="G6796" s="88">
        <f t="shared" si="1"/>
        <v>4.48</v>
      </c>
      <c r="H6796" s="89">
        <f t="shared" si="18"/>
        <v>0.3943661972</v>
      </c>
      <c r="I6796" s="78" t="s">
        <v>7759</v>
      </c>
      <c r="J6796" s="78" t="s">
        <v>69</v>
      </c>
      <c r="K6796" s="58">
        <f t="shared" si="17"/>
        <v>0</v>
      </c>
      <c r="L6796" s="91" t="str">
        <f t="shared" si="8"/>
        <v>Tue</v>
      </c>
      <c r="M6796" s="78" t="str">
        <f>IFERROR(VLOOKUP(A6796, Entries!A:B,2,false),"")</f>
        <v>Bethesda Softworks</v>
      </c>
      <c r="N6796" s="23" t="str">
        <f>IFERROR(VLOOKUP(A6796, Entries!A:K,11,false),"")</f>
        <v/>
      </c>
    </row>
    <row r="6797">
      <c r="A6797" s="78" t="s">
        <v>2466</v>
      </c>
      <c r="B6797" s="78" t="s">
        <v>19</v>
      </c>
      <c r="C6797" s="85">
        <v>45594.0</v>
      </c>
      <c r="D6797" s="85">
        <v>45595.0</v>
      </c>
      <c r="E6797" s="86">
        <v>6.88</v>
      </c>
      <c r="F6797" s="87">
        <v>10.44</v>
      </c>
      <c r="G6797" s="88">
        <f t="shared" si="1"/>
        <v>3.56</v>
      </c>
      <c r="H6797" s="89">
        <f t="shared" si="18"/>
        <v>0.3409961686</v>
      </c>
      <c r="I6797" s="78" t="s">
        <v>7760</v>
      </c>
      <c r="J6797" s="78" t="s">
        <v>69</v>
      </c>
      <c r="K6797" s="58">
        <f t="shared" si="17"/>
        <v>1</v>
      </c>
      <c r="L6797" s="91" t="str">
        <f t="shared" si="8"/>
        <v>Wed</v>
      </c>
      <c r="M6797" s="78" t="str">
        <f>IFERROR(VLOOKUP(A6797, Entries!A:B,2,false),"")</f>
        <v>Bethesda Softworks</v>
      </c>
      <c r="N6797" s="23" t="str">
        <f>IFERROR(VLOOKUP(A6797, Entries!A:K,11,false),"")</f>
        <v/>
      </c>
    </row>
    <row r="6798">
      <c r="A6798" s="78" t="s">
        <v>1786</v>
      </c>
      <c r="B6798" s="78" t="s">
        <v>19</v>
      </c>
      <c r="C6798" s="85">
        <v>45594.0</v>
      </c>
      <c r="D6798" s="85">
        <v>45594.0</v>
      </c>
      <c r="E6798" s="86">
        <v>6.88</v>
      </c>
      <c r="F6798" s="87">
        <v>11.36</v>
      </c>
      <c r="G6798" s="88">
        <f t="shared" si="1"/>
        <v>4.48</v>
      </c>
      <c r="H6798" s="89">
        <f t="shared" si="18"/>
        <v>0.3943661972</v>
      </c>
      <c r="I6798" s="78" t="s">
        <v>7761</v>
      </c>
      <c r="J6798" s="78" t="s">
        <v>69</v>
      </c>
      <c r="K6798" s="58">
        <f t="shared" si="17"/>
        <v>0</v>
      </c>
      <c r="L6798" s="91" t="str">
        <f t="shared" si="8"/>
        <v>Tue</v>
      </c>
      <c r="M6798" s="78" t="str">
        <f>IFERROR(VLOOKUP(A6798, Entries!A:B,2,false),"")</f>
        <v>Bethesda Softworks</v>
      </c>
      <c r="N6798" s="23" t="str">
        <f>IFERROR(VLOOKUP(A6798, Entries!A:K,11,false),"")</f>
        <v/>
      </c>
    </row>
    <row r="6799">
      <c r="A6799" s="78" t="s">
        <v>2466</v>
      </c>
      <c r="B6799" s="78" t="s">
        <v>19</v>
      </c>
      <c r="C6799" s="85">
        <v>45594.0</v>
      </c>
      <c r="D6799" s="85">
        <v>45595.0</v>
      </c>
      <c r="E6799" s="86">
        <v>6.88</v>
      </c>
      <c r="F6799" s="87">
        <v>11.29</v>
      </c>
      <c r="G6799" s="88">
        <f t="shared" si="1"/>
        <v>4.41</v>
      </c>
      <c r="H6799" s="89">
        <f t="shared" si="18"/>
        <v>0.3906111603</v>
      </c>
      <c r="J6799" s="78" t="s">
        <v>69</v>
      </c>
      <c r="K6799" s="58">
        <f t="shared" si="17"/>
        <v>1</v>
      </c>
      <c r="L6799" s="91" t="str">
        <f t="shared" si="8"/>
        <v>Wed</v>
      </c>
      <c r="M6799" s="78" t="str">
        <f>IFERROR(VLOOKUP(A6799, Entries!A:B,2,false),"")</f>
        <v>Bethesda Softworks</v>
      </c>
      <c r="N6799" s="23" t="str">
        <f>IFERROR(VLOOKUP(A6799, Entries!A:K,11,false),"")</f>
        <v/>
      </c>
    </row>
    <row r="6800">
      <c r="A6800" s="78" t="s">
        <v>7762</v>
      </c>
      <c r="B6800" s="78" t="s">
        <v>21</v>
      </c>
      <c r="C6800" s="85">
        <v>45594.0</v>
      </c>
      <c r="D6800" s="85">
        <v>45594.0</v>
      </c>
      <c r="E6800" s="86">
        <v>35.89</v>
      </c>
      <c r="F6800" s="87">
        <v>37.81</v>
      </c>
      <c r="G6800" s="88">
        <f t="shared" si="1"/>
        <v>1.92</v>
      </c>
      <c r="H6800" s="89">
        <f t="shared" si="18"/>
        <v>0.05078021687</v>
      </c>
      <c r="I6800" s="78" t="s">
        <v>7763</v>
      </c>
      <c r="J6800" s="78" t="s">
        <v>69</v>
      </c>
      <c r="K6800" s="58">
        <f t="shared" si="17"/>
        <v>0</v>
      </c>
      <c r="L6800" s="91" t="str">
        <f t="shared" si="8"/>
        <v>Tue</v>
      </c>
      <c r="M6800" s="78" t="str">
        <f>IFERROR(VLOOKUP(A6800, Entries!A:B,2,false),"")</f>
        <v/>
      </c>
      <c r="N6800" s="23" t="str">
        <f>IFERROR(VLOOKUP(A6800, Entries!A:K,11,false),"")</f>
        <v/>
      </c>
    </row>
    <row r="6801">
      <c r="A6801" s="78" t="s">
        <v>2466</v>
      </c>
      <c r="B6801" s="78" t="s">
        <v>19</v>
      </c>
      <c r="C6801" s="85">
        <v>45595.0</v>
      </c>
      <c r="D6801" s="85">
        <v>45596.0</v>
      </c>
      <c r="E6801" s="86">
        <v>6.89</v>
      </c>
      <c r="F6801" s="87">
        <v>11.2</v>
      </c>
      <c r="G6801" s="88">
        <f t="shared" si="1"/>
        <v>4.31</v>
      </c>
      <c r="H6801" s="89">
        <f t="shared" si="18"/>
        <v>0.3848214286</v>
      </c>
      <c r="I6801" s="78" t="s">
        <v>7764</v>
      </c>
      <c r="J6801" s="78" t="s">
        <v>69</v>
      </c>
      <c r="K6801" s="58">
        <f t="shared" si="17"/>
        <v>1</v>
      </c>
      <c r="L6801" s="91" t="str">
        <f t="shared" si="8"/>
        <v>Thu</v>
      </c>
      <c r="M6801" s="78" t="str">
        <f>IFERROR(VLOOKUP(A6801, Entries!A:B,2,false),"")</f>
        <v>Bethesda Softworks</v>
      </c>
      <c r="N6801" s="23" t="str">
        <f>IFERROR(VLOOKUP(A6801, Entries!A:K,11,false),"")</f>
        <v/>
      </c>
    </row>
    <row r="6802">
      <c r="A6802" s="78" t="s">
        <v>1786</v>
      </c>
      <c r="B6802" s="78" t="s">
        <v>19</v>
      </c>
      <c r="C6802" s="85">
        <v>45595.0</v>
      </c>
      <c r="D6802" s="85">
        <v>45595.0</v>
      </c>
      <c r="E6802" s="86">
        <v>6.89</v>
      </c>
      <c r="F6802" s="87">
        <v>11.42</v>
      </c>
      <c r="G6802" s="88">
        <f t="shared" si="1"/>
        <v>4.53</v>
      </c>
      <c r="H6802" s="89">
        <f t="shared" si="18"/>
        <v>0.3966725044</v>
      </c>
      <c r="I6802" s="78" t="s">
        <v>7765</v>
      </c>
      <c r="J6802" s="78" t="s">
        <v>69</v>
      </c>
      <c r="K6802" s="58">
        <f t="shared" si="17"/>
        <v>0</v>
      </c>
      <c r="L6802" s="91" t="str">
        <f t="shared" si="8"/>
        <v>Wed</v>
      </c>
      <c r="M6802" s="78" t="str">
        <f>IFERROR(VLOOKUP(A6802, Entries!A:B,2,false),"")</f>
        <v>Bethesda Softworks</v>
      </c>
      <c r="N6802" s="23" t="str">
        <f>IFERROR(VLOOKUP(A6802, Entries!A:K,11,false),"")</f>
        <v/>
      </c>
    </row>
    <row r="6803">
      <c r="A6803" s="78" t="s">
        <v>2466</v>
      </c>
      <c r="B6803" s="78" t="s">
        <v>19</v>
      </c>
      <c r="C6803" s="85">
        <v>45595.0</v>
      </c>
      <c r="D6803" s="85">
        <v>45596.0</v>
      </c>
      <c r="E6803" s="86">
        <v>6.89</v>
      </c>
      <c r="F6803" s="87">
        <v>11.2</v>
      </c>
      <c r="G6803" s="88">
        <f t="shared" si="1"/>
        <v>4.31</v>
      </c>
      <c r="H6803" s="89">
        <f t="shared" si="18"/>
        <v>0.3848214286</v>
      </c>
      <c r="I6803" s="78" t="s">
        <v>7766</v>
      </c>
      <c r="J6803" s="78" t="s">
        <v>69</v>
      </c>
      <c r="K6803" s="58">
        <f t="shared" si="17"/>
        <v>1</v>
      </c>
      <c r="L6803" s="91" t="str">
        <f t="shared" si="8"/>
        <v>Thu</v>
      </c>
      <c r="M6803" s="78" t="str">
        <f>IFERROR(VLOOKUP(A6803, Entries!A:B,2,false),"")</f>
        <v>Bethesda Softworks</v>
      </c>
      <c r="N6803" s="23" t="str">
        <f>IFERROR(VLOOKUP(A6803, Entries!A:K,11,false),"")</f>
        <v/>
      </c>
    </row>
    <row r="6804">
      <c r="A6804" s="78" t="s">
        <v>1786</v>
      </c>
      <c r="B6804" s="78" t="s">
        <v>19</v>
      </c>
      <c r="C6804" s="85">
        <v>45595.0</v>
      </c>
      <c r="D6804" s="85">
        <v>45595.0</v>
      </c>
      <c r="E6804" s="86">
        <v>6.89</v>
      </c>
      <c r="F6804" s="87">
        <v>11.42</v>
      </c>
      <c r="G6804" s="88">
        <f t="shared" si="1"/>
        <v>4.53</v>
      </c>
      <c r="H6804" s="89">
        <f t="shared" si="18"/>
        <v>0.3966725044</v>
      </c>
      <c r="I6804" s="78" t="s">
        <v>7767</v>
      </c>
      <c r="J6804" s="78" t="s">
        <v>69</v>
      </c>
      <c r="K6804" s="58">
        <f t="shared" si="17"/>
        <v>0</v>
      </c>
      <c r="L6804" s="91" t="str">
        <f t="shared" si="8"/>
        <v>Wed</v>
      </c>
      <c r="M6804" s="78" t="str">
        <f>IFERROR(VLOOKUP(A6804, Entries!A:B,2,false),"")</f>
        <v>Bethesda Softworks</v>
      </c>
      <c r="N6804" s="23" t="str">
        <f>IFERROR(VLOOKUP(A6804, Entries!A:K,11,false),"")</f>
        <v/>
      </c>
    </row>
    <row r="6805">
      <c r="A6805" s="78" t="s">
        <v>7721</v>
      </c>
      <c r="B6805" s="78" t="s">
        <v>22</v>
      </c>
      <c r="C6805" s="85">
        <v>45595.0</v>
      </c>
      <c r="D6805" s="85">
        <v>45595.0</v>
      </c>
      <c r="E6805" s="86">
        <v>2.56</v>
      </c>
      <c r="F6805" s="87">
        <v>3.53</v>
      </c>
      <c r="G6805" s="88">
        <f t="shared" si="1"/>
        <v>0.97</v>
      </c>
      <c r="H6805" s="89">
        <f t="shared" si="18"/>
        <v>0.2747875354</v>
      </c>
      <c r="I6805" s="78" t="s">
        <v>7768</v>
      </c>
      <c r="J6805" s="78" t="s">
        <v>69</v>
      </c>
      <c r="K6805" s="58">
        <f t="shared" si="17"/>
        <v>0</v>
      </c>
      <c r="L6805" s="91" t="str">
        <f t="shared" si="8"/>
        <v>Wed</v>
      </c>
      <c r="M6805" s="78" t="str">
        <f>IFERROR(VLOOKUP(A6805, Entries!A:B,2,false),"")</f>
        <v/>
      </c>
      <c r="N6805" s="23" t="str">
        <f>IFERROR(VLOOKUP(A6805, Entries!A:K,11,false),"")</f>
        <v/>
      </c>
    </row>
    <row r="6806">
      <c r="A6806" s="78" t="s">
        <v>2466</v>
      </c>
      <c r="B6806" s="78" t="s">
        <v>19</v>
      </c>
      <c r="C6806" s="85">
        <v>45595.0</v>
      </c>
      <c r="D6806" s="85">
        <v>45597.0</v>
      </c>
      <c r="E6806" s="86">
        <v>6.89</v>
      </c>
      <c r="F6806" s="87">
        <v>11.18</v>
      </c>
      <c r="G6806" s="88">
        <f t="shared" si="1"/>
        <v>4.29</v>
      </c>
      <c r="H6806" s="89">
        <f t="shared" si="18"/>
        <v>0.3837209302</v>
      </c>
      <c r="I6806" s="78" t="s">
        <v>7769</v>
      </c>
      <c r="J6806" s="78" t="s">
        <v>69</v>
      </c>
      <c r="K6806" s="58">
        <f t="shared" si="17"/>
        <v>2</v>
      </c>
      <c r="L6806" s="91" t="str">
        <f t="shared" si="8"/>
        <v>Fri</v>
      </c>
      <c r="M6806" s="78" t="str">
        <f>IFERROR(VLOOKUP(A6806, Entries!A:B,2,false),"")</f>
        <v>Bethesda Softworks</v>
      </c>
      <c r="N6806" s="23" t="str">
        <f>IFERROR(VLOOKUP(A6806, Entries!A:K,11,false),"")</f>
        <v/>
      </c>
    </row>
    <row r="6807">
      <c r="A6807" s="78" t="s">
        <v>1786</v>
      </c>
      <c r="B6807" s="78" t="s">
        <v>19</v>
      </c>
      <c r="C6807" s="85">
        <v>45595.0</v>
      </c>
      <c r="D6807" s="85">
        <v>45596.0</v>
      </c>
      <c r="E6807" s="86">
        <v>6.89</v>
      </c>
      <c r="F6807" s="87">
        <v>11.42</v>
      </c>
      <c r="G6807" s="88">
        <f t="shared" si="1"/>
        <v>4.53</v>
      </c>
      <c r="H6807" s="89">
        <f t="shared" si="18"/>
        <v>0.3966725044</v>
      </c>
      <c r="I6807" s="78" t="s">
        <v>7770</v>
      </c>
      <c r="J6807" s="78" t="s">
        <v>69</v>
      </c>
      <c r="K6807" s="58">
        <f t="shared" si="17"/>
        <v>1</v>
      </c>
      <c r="L6807" s="91" t="str">
        <f t="shared" si="8"/>
        <v>Thu</v>
      </c>
      <c r="M6807" s="78" t="str">
        <f>IFERROR(VLOOKUP(A6807, Entries!A:B,2,false),"")</f>
        <v>Bethesda Softworks</v>
      </c>
      <c r="N6807" s="23" t="str">
        <f>IFERROR(VLOOKUP(A6807, Entries!A:K,11,false),"")</f>
        <v/>
      </c>
    </row>
    <row r="6808">
      <c r="A6808" s="78" t="s">
        <v>7721</v>
      </c>
      <c r="B6808" s="78" t="s">
        <v>22</v>
      </c>
      <c r="C6808" s="85">
        <v>45595.0</v>
      </c>
      <c r="D6808" s="85">
        <v>45596.0</v>
      </c>
      <c r="E6808" s="86">
        <v>2.56</v>
      </c>
      <c r="F6808" s="87">
        <v>3.53</v>
      </c>
      <c r="G6808" s="88">
        <f t="shared" si="1"/>
        <v>0.97</v>
      </c>
      <c r="H6808" s="89">
        <f t="shared" si="18"/>
        <v>0.2747875354</v>
      </c>
      <c r="I6808" s="78" t="s">
        <v>7771</v>
      </c>
      <c r="J6808" s="78" t="s">
        <v>69</v>
      </c>
      <c r="K6808" s="58">
        <f t="shared" si="17"/>
        <v>1</v>
      </c>
      <c r="L6808" s="91" t="str">
        <f t="shared" si="8"/>
        <v>Thu</v>
      </c>
      <c r="M6808" s="78" t="str">
        <f>IFERROR(VLOOKUP(A6808, Entries!A:B,2,false),"")</f>
        <v/>
      </c>
      <c r="N6808" s="23" t="str">
        <f>IFERROR(VLOOKUP(A6808, Entries!A:K,11,false),"")</f>
        <v/>
      </c>
    </row>
    <row r="6809">
      <c r="A6809" s="78" t="s">
        <v>7721</v>
      </c>
      <c r="B6809" s="78" t="s">
        <v>22</v>
      </c>
      <c r="C6809" s="85">
        <v>45596.0</v>
      </c>
      <c r="D6809" s="85">
        <v>45598.0</v>
      </c>
      <c r="E6809" s="86">
        <v>2.56</v>
      </c>
      <c r="F6809" s="87">
        <v>3.53</v>
      </c>
      <c r="G6809" s="88">
        <f t="shared" si="1"/>
        <v>0.97</v>
      </c>
      <c r="H6809" s="89">
        <f t="shared" si="18"/>
        <v>0.2747875354</v>
      </c>
      <c r="I6809" s="78" t="s">
        <v>7772</v>
      </c>
      <c r="J6809" s="78" t="s">
        <v>69</v>
      </c>
      <c r="K6809" s="58">
        <f t="shared" si="17"/>
        <v>2</v>
      </c>
      <c r="L6809" s="91" t="str">
        <f t="shared" si="8"/>
        <v>Sat</v>
      </c>
      <c r="M6809" s="78" t="str">
        <f>IFERROR(VLOOKUP(A6809, Entries!A:B,2,false),"")</f>
        <v/>
      </c>
      <c r="N6809" s="23" t="str">
        <f>IFERROR(VLOOKUP(A6809, Entries!A:K,11,false),"")</f>
        <v/>
      </c>
    </row>
    <row r="6810">
      <c r="A6810" s="78" t="s">
        <v>2466</v>
      </c>
      <c r="B6810" s="78" t="s">
        <v>19</v>
      </c>
      <c r="C6810" s="85">
        <v>45596.0</v>
      </c>
      <c r="D6810" s="85">
        <v>45597.0</v>
      </c>
      <c r="E6810" s="86">
        <v>6.86</v>
      </c>
      <c r="F6810" s="87">
        <v>11.18</v>
      </c>
      <c r="G6810" s="88">
        <f t="shared" si="1"/>
        <v>4.32</v>
      </c>
      <c r="H6810" s="89">
        <f t="shared" si="18"/>
        <v>0.3864042934</v>
      </c>
      <c r="I6810" s="78" t="s">
        <v>7773</v>
      </c>
      <c r="J6810" s="78" t="s">
        <v>69</v>
      </c>
      <c r="K6810" s="58">
        <f t="shared" si="17"/>
        <v>1</v>
      </c>
      <c r="L6810" s="91" t="str">
        <f t="shared" si="8"/>
        <v>Fri</v>
      </c>
      <c r="M6810" s="78" t="str">
        <f>IFERROR(VLOOKUP(A6810, Entries!A:B,2,false),"")</f>
        <v>Bethesda Softworks</v>
      </c>
      <c r="N6810" s="23" t="str">
        <f>IFERROR(VLOOKUP(A6810, Entries!A:K,11,false),"")</f>
        <v/>
      </c>
    </row>
    <row r="6811">
      <c r="A6811" s="78" t="s">
        <v>1786</v>
      </c>
      <c r="B6811" s="78" t="s">
        <v>19</v>
      </c>
      <c r="C6811" s="85">
        <v>45596.0</v>
      </c>
      <c r="D6811" s="85">
        <v>45596.0</v>
      </c>
      <c r="E6811" s="86">
        <v>6.87</v>
      </c>
      <c r="F6811" s="87">
        <v>11.52</v>
      </c>
      <c r="G6811" s="88">
        <f t="shared" si="1"/>
        <v>4.65</v>
      </c>
      <c r="H6811" s="89">
        <f t="shared" si="18"/>
        <v>0.4036458333</v>
      </c>
      <c r="I6811" s="78" t="s">
        <v>7774</v>
      </c>
      <c r="J6811" s="78" t="s">
        <v>69</v>
      </c>
      <c r="K6811" s="58">
        <f t="shared" si="17"/>
        <v>0</v>
      </c>
      <c r="L6811" s="91" t="str">
        <f t="shared" si="8"/>
        <v>Thu</v>
      </c>
      <c r="M6811" s="78" t="str">
        <f>IFERROR(VLOOKUP(A6811, Entries!A:B,2,false),"")</f>
        <v>Bethesda Softworks</v>
      </c>
      <c r="N6811" s="23" t="str">
        <f>IFERROR(VLOOKUP(A6811, Entries!A:K,11,false),"")</f>
        <v/>
      </c>
    </row>
    <row r="6812">
      <c r="A6812" s="78" t="s">
        <v>4928</v>
      </c>
      <c r="B6812" s="78" t="s">
        <v>19</v>
      </c>
      <c r="C6812" s="85">
        <v>45596.0</v>
      </c>
      <c r="D6812" s="85">
        <v>45606.0</v>
      </c>
      <c r="E6812" s="86">
        <v>28.0</v>
      </c>
      <c r="F6812" s="87">
        <v>31.32</v>
      </c>
      <c r="G6812" s="88">
        <f t="shared" si="1"/>
        <v>3.32</v>
      </c>
      <c r="H6812" s="89">
        <f t="shared" si="18"/>
        <v>0.1060025543</v>
      </c>
      <c r="I6812" s="78" t="s">
        <v>7775</v>
      </c>
      <c r="J6812" s="78" t="s">
        <v>69</v>
      </c>
      <c r="K6812" s="58">
        <f t="shared" si="17"/>
        <v>10</v>
      </c>
      <c r="L6812" s="91" t="str">
        <f t="shared" si="8"/>
        <v>Sun</v>
      </c>
      <c r="M6812" s="78" t="str">
        <f>IFERROR(VLOOKUP(A6812, Entries!A:B,2,false),"")</f>
        <v>Eleventh Hour Games</v>
      </c>
      <c r="N6812" s="23" t="str">
        <f>IFERROR(VLOOKUP(A6812, Entries!A:K,11,false),"")</f>
        <v/>
      </c>
    </row>
    <row r="6813">
      <c r="A6813" s="78" t="s">
        <v>7776</v>
      </c>
      <c r="B6813" s="78" t="s">
        <v>21</v>
      </c>
      <c r="C6813" s="85">
        <v>45596.0</v>
      </c>
      <c r="D6813" s="85">
        <v>45597.0</v>
      </c>
      <c r="E6813" s="86">
        <v>40.8</v>
      </c>
      <c r="F6813" s="87">
        <v>46.44</v>
      </c>
      <c r="G6813" s="88">
        <f t="shared" si="1"/>
        <v>5.64</v>
      </c>
      <c r="H6813" s="89">
        <f t="shared" si="18"/>
        <v>0.1214470284</v>
      </c>
      <c r="I6813" s="78" t="s">
        <v>7777</v>
      </c>
      <c r="J6813" s="78" t="s">
        <v>69</v>
      </c>
      <c r="K6813" s="58">
        <f t="shared" si="17"/>
        <v>1</v>
      </c>
      <c r="L6813" s="91" t="str">
        <f t="shared" si="8"/>
        <v>Fri</v>
      </c>
      <c r="M6813" s="78" t="str">
        <f>IFERROR(VLOOKUP(A6813, Entries!A:B,2,false),"")</f>
        <v>PlayStation</v>
      </c>
      <c r="N6813" s="23" t="str">
        <f>IFERROR(VLOOKUP(A6813, Entries!A:K,11,false),"")</f>
        <v/>
      </c>
    </row>
    <row r="6814">
      <c r="A6814" s="78" t="s">
        <v>7063</v>
      </c>
      <c r="B6814" s="78" t="s">
        <v>21</v>
      </c>
      <c r="C6814" s="85">
        <v>45597.0</v>
      </c>
      <c r="D6814" s="85">
        <v>45600.0</v>
      </c>
      <c r="E6814" s="86">
        <v>38.13</v>
      </c>
      <c r="F6814" s="87">
        <v>45.27</v>
      </c>
      <c r="G6814" s="88">
        <f t="shared" si="1"/>
        <v>7.14</v>
      </c>
      <c r="H6814" s="89">
        <f t="shared" si="18"/>
        <v>0.1577203446</v>
      </c>
      <c r="I6814" s="78" t="s">
        <v>7778</v>
      </c>
      <c r="J6814" s="78" t="s">
        <v>69</v>
      </c>
      <c r="K6814" s="58">
        <f t="shared" si="17"/>
        <v>3</v>
      </c>
      <c r="L6814" s="91" t="str">
        <f t="shared" si="8"/>
        <v>Mon</v>
      </c>
      <c r="M6814" s="78" t="str">
        <f>IFERROR(VLOOKUP(A6814, Entries!A:B,2,false),"")</f>
        <v>PlayStation</v>
      </c>
      <c r="N6814" s="23" t="str">
        <f>IFERROR(VLOOKUP(A6814, Entries!A:K,11,false),"")</f>
        <v/>
      </c>
    </row>
    <row r="6815">
      <c r="A6815" s="78" t="s">
        <v>4494</v>
      </c>
      <c r="B6815" s="78" t="s">
        <v>19</v>
      </c>
      <c r="C6815" s="85">
        <v>45597.0</v>
      </c>
      <c r="D6815" s="85">
        <v>45599.0</v>
      </c>
      <c r="E6815" s="86">
        <v>13.68</v>
      </c>
      <c r="F6815" s="87">
        <v>17.83</v>
      </c>
      <c r="G6815" s="88">
        <f t="shared" si="1"/>
        <v>4.15</v>
      </c>
      <c r="H6815" s="89">
        <f t="shared" si="18"/>
        <v>0.2327537858</v>
      </c>
      <c r="I6815" s="78" t="s">
        <v>7779</v>
      </c>
      <c r="J6815" s="78" t="s">
        <v>69</v>
      </c>
      <c r="K6815" s="58">
        <f t="shared" si="17"/>
        <v>2</v>
      </c>
      <c r="L6815" s="91" t="str">
        <f t="shared" si="8"/>
        <v>Sun</v>
      </c>
      <c r="M6815" s="78" t="str">
        <f>IFERROR(VLOOKUP(A6815, Entries!A:B,2,false),"")</f>
        <v>Skystone Games</v>
      </c>
      <c r="N6815" s="23" t="str">
        <f>IFERROR(VLOOKUP(A6815, Entries!A:K,11,false),"")</f>
        <v/>
      </c>
    </row>
    <row r="6816">
      <c r="A6816" s="78" t="s">
        <v>7750</v>
      </c>
      <c r="B6816" s="78" t="s">
        <v>21</v>
      </c>
      <c r="C6816" s="85">
        <v>45598.0</v>
      </c>
      <c r="D6816" s="85">
        <v>45600.0</v>
      </c>
      <c r="E6816" s="86">
        <v>40.21</v>
      </c>
      <c r="F6816" s="87">
        <v>42.33</v>
      </c>
      <c r="G6816" s="88">
        <f t="shared" si="1"/>
        <v>2.12</v>
      </c>
      <c r="H6816" s="89">
        <f t="shared" si="18"/>
        <v>0.05008268368</v>
      </c>
      <c r="I6816" s="78" t="s">
        <v>7780</v>
      </c>
      <c r="J6816" s="78" t="s">
        <v>69</v>
      </c>
      <c r="K6816" s="58">
        <f t="shared" si="17"/>
        <v>2</v>
      </c>
      <c r="L6816" s="91" t="str">
        <f t="shared" si="8"/>
        <v>Mon</v>
      </c>
      <c r="M6816" s="78" t="str">
        <f>IFERROR(VLOOKUP(A6816, Entries!A:B,2,false),"")</f>
        <v/>
      </c>
      <c r="N6816" s="23" t="str">
        <f>IFERROR(VLOOKUP(A6816, Entries!A:K,11,false),"")</f>
        <v/>
      </c>
    </row>
    <row r="6817">
      <c r="A6817" s="78" t="s">
        <v>7781</v>
      </c>
      <c r="B6817" s="78" t="s">
        <v>22</v>
      </c>
      <c r="C6817" s="85">
        <v>45598.0</v>
      </c>
      <c r="D6817" s="85">
        <v>45603.0</v>
      </c>
      <c r="E6817" s="86">
        <v>8.07</v>
      </c>
      <c r="F6817" s="87">
        <v>11.38</v>
      </c>
      <c r="G6817" s="88">
        <f t="shared" si="1"/>
        <v>3.31</v>
      </c>
      <c r="H6817" s="89">
        <f t="shared" si="18"/>
        <v>0.2908611599</v>
      </c>
      <c r="I6817" s="78" t="s">
        <v>7782</v>
      </c>
      <c r="J6817" s="78" t="s">
        <v>69</v>
      </c>
      <c r="K6817" s="58">
        <f t="shared" si="17"/>
        <v>5</v>
      </c>
      <c r="L6817" s="91" t="str">
        <f t="shared" si="8"/>
        <v>Thu</v>
      </c>
      <c r="M6817" s="78" t="str">
        <f>IFERROR(VLOOKUP(A6817, Entries!A:B,2,false),"")</f>
        <v/>
      </c>
      <c r="N6817" s="23" t="str">
        <f>IFERROR(VLOOKUP(A6817, Entries!A:K,11,false),"")</f>
        <v/>
      </c>
    </row>
    <row r="6818">
      <c r="A6818" s="78" t="s">
        <v>7783</v>
      </c>
      <c r="B6818" s="78" t="s">
        <v>21</v>
      </c>
      <c r="C6818" s="85">
        <v>45598.0</v>
      </c>
      <c r="D6818" s="85">
        <v>45598.0</v>
      </c>
      <c r="E6818" s="86">
        <v>10.97</v>
      </c>
      <c r="F6818" s="87">
        <v>11.73</v>
      </c>
      <c r="G6818" s="88">
        <f t="shared" si="1"/>
        <v>0.76</v>
      </c>
      <c r="H6818" s="89">
        <f t="shared" si="18"/>
        <v>0.06479113384</v>
      </c>
      <c r="I6818" s="78" t="s">
        <v>7784</v>
      </c>
      <c r="J6818" s="78" t="s">
        <v>69</v>
      </c>
      <c r="K6818" s="58">
        <f t="shared" si="17"/>
        <v>0</v>
      </c>
      <c r="L6818" s="91" t="str">
        <f t="shared" si="8"/>
        <v>Sat</v>
      </c>
      <c r="M6818" s="78" t="str">
        <f>IFERROR(VLOOKUP(A6818, Entries!A:B,2,false),"")</f>
        <v/>
      </c>
      <c r="N6818" s="23" t="str">
        <f>IFERROR(VLOOKUP(A6818, Entries!A:K,11,false),"")</f>
        <v/>
      </c>
    </row>
    <row r="6819">
      <c r="A6819" s="78" t="s">
        <v>4494</v>
      </c>
      <c r="B6819" s="78" t="s">
        <v>19</v>
      </c>
      <c r="C6819" s="85">
        <v>45599.0</v>
      </c>
      <c r="D6819" s="85">
        <v>45612.0</v>
      </c>
      <c r="E6819" s="86">
        <v>13.7</v>
      </c>
      <c r="F6819" s="87">
        <v>15.85</v>
      </c>
      <c r="G6819" s="88">
        <f t="shared" si="1"/>
        <v>2.15</v>
      </c>
      <c r="H6819" s="89">
        <f t="shared" si="18"/>
        <v>0.1356466877</v>
      </c>
      <c r="I6819" s="78" t="s">
        <v>7785</v>
      </c>
      <c r="J6819" s="78" t="s">
        <v>69</v>
      </c>
      <c r="K6819" s="58">
        <f t="shared" si="17"/>
        <v>13</v>
      </c>
      <c r="L6819" s="91" t="str">
        <f t="shared" si="8"/>
        <v>Sat</v>
      </c>
      <c r="M6819" s="78" t="str">
        <f>IFERROR(VLOOKUP(A6819, Entries!A:B,2,false),"")</f>
        <v>Skystone Games</v>
      </c>
      <c r="N6819" s="23" t="str">
        <f>IFERROR(VLOOKUP(A6819, Entries!A:K,11,false),"")</f>
        <v/>
      </c>
    </row>
    <row r="6820">
      <c r="A6820" s="78" t="s">
        <v>4282</v>
      </c>
      <c r="B6820" s="78" t="s">
        <v>21</v>
      </c>
      <c r="C6820" s="85">
        <v>45600.0</v>
      </c>
      <c r="D6820" s="85">
        <v>45605.0</v>
      </c>
      <c r="E6820" s="86">
        <v>26.53</v>
      </c>
      <c r="F6820" s="87">
        <v>28.49</v>
      </c>
      <c r="G6820" s="88">
        <f t="shared" si="1"/>
        <v>1.96</v>
      </c>
      <c r="H6820" s="89">
        <f t="shared" si="18"/>
        <v>0.0687960688</v>
      </c>
      <c r="I6820" s="78" t="s">
        <v>7786</v>
      </c>
      <c r="J6820" s="78" t="s">
        <v>69</v>
      </c>
      <c r="K6820" s="58">
        <f t="shared" si="17"/>
        <v>5</v>
      </c>
      <c r="L6820" s="91" t="str">
        <f t="shared" si="8"/>
        <v>Sat</v>
      </c>
      <c r="M6820" s="78" t="str">
        <f>IFERROR(VLOOKUP(A6820, Entries!A:B,2,false),"")</f>
        <v>PlayStation</v>
      </c>
      <c r="N6820" s="23" t="str">
        <f>IFERROR(VLOOKUP(A6820, Entries!A:K,11,false),"")</f>
        <v/>
      </c>
    </row>
    <row r="6821">
      <c r="A6821" s="78" t="s">
        <v>7787</v>
      </c>
      <c r="B6821" s="78" t="s">
        <v>38</v>
      </c>
      <c r="C6821" s="85">
        <v>45600.0</v>
      </c>
      <c r="D6821" s="85">
        <v>45611.0</v>
      </c>
      <c r="E6821" s="86">
        <v>25.7</v>
      </c>
      <c r="F6821" s="87">
        <v>27.26</v>
      </c>
      <c r="G6821" s="88">
        <f t="shared" si="1"/>
        <v>1.56</v>
      </c>
      <c r="H6821" s="89">
        <f t="shared" si="18"/>
        <v>0.0572267058</v>
      </c>
      <c r="I6821" s="78" t="s">
        <v>7788</v>
      </c>
      <c r="J6821" s="78" t="s">
        <v>69</v>
      </c>
      <c r="K6821" s="58">
        <f t="shared" si="17"/>
        <v>11</v>
      </c>
      <c r="L6821" s="91" t="str">
        <f t="shared" si="8"/>
        <v>Fri</v>
      </c>
      <c r="M6821" s="78" t="str">
        <f>IFERROR(VLOOKUP(A6821, Entries!A:B,2,false),"")</f>
        <v/>
      </c>
      <c r="N6821" s="23" t="str">
        <f>IFERROR(VLOOKUP(A6821, Entries!A:K,11,false),"")</f>
        <v/>
      </c>
    </row>
    <row r="6822">
      <c r="A6822" s="78" t="s">
        <v>7789</v>
      </c>
      <c r="B6822" s="78" t="s">
        <v>25</v>
      </c>
      <c r="C6822" s="85">
        <v>45600.0</v>
      </c>
      <c r="D6822" s="85">
        <v>45766.0</v>
      </c>
      <c r="E6822" s="86">
        <v>29.83</v>
      </c>
      <c r="F6822" s="87">
        <v>33.1</v>
      </c>
      <c r="G6822" s="88">
        <f t="shared" si="1"/>
        <v>3.27</v>
      </c>
      <c r="H6822" s="89">
        <f t="shared" si="18"/>
        <v>0.09879154079</v>
      </c>
      <c r="I6822" s="103" t="s">
        <v>7790</v>
      </c>
      <c r="J6822" s="78" t="s">
        <v>69</v>
      </c>
      <c r="K6822" s="58">
        <f t="shared" si="17"/>
        <v>166</v>
      </c>
      <c r="L6822" s="91" t="str">
        <f t="shared" si="8"/>
        <v>Sat</v>
      </c>
      <c r="M6822" s="78" t="str">
        <f>IFERROR(VLOOKUP(A6822, Entries!A:B,2,false),"")</f>
        <v/>
      </c>
      <c r="N6822" s="23" t="str">
        <f>IFERROR(VLOOKUP(A6822, Entries!A:K,11,false),"")</f>
        <v/>
      </c>
    </row>
    <row r="6823">
      <c r="A6823" s="78" t="s">
        <v>7709</v>
      </c>
      <c r="B6823" s="78" t="s">
        <v>38</v>
      </c>
      <c r="C6823" s="85">
        <v>45600.0</v>
      </c>
      <c r="D6823" s="85">
        <v>45602.0</v>
      </c>
      <c r="E6823" s="86">
        <v>19.39</v>
      </c>
      <c r="F6823" s="87">
        <v>27.49</v>
      </c>
      <c r="G6823" s="88">
        <f t="shared" si="1"/>
        <v>8.1</v>
      </c>
      <c r="H6823" s="89">
        <f t="shared" si="18"/>
        <v>0.2946526009</v>
      </c>
      <c r="I6823" s="78" t="s">
        <v>7791</v>
      </c>
      <c r="J6823" s="78" t="s">
        <v>69</v>
      </c>
      <c r="K6823" s="58">
        <f t="shared" si="17"/>
        <v>2</v>
      </c>
      <c r="L6823" s="91" t="str">
        <f t="shared" si="8"/>
        <v>Wed</v>
      </c>
      <c r="M6823" s="78" t="str">
        <f>IFERROR(VLOOKUP(A6823, Entries!A:B,2,false),"")</f>
        <v/>
      </c>
      <c r="N6823" s="23" t="str">
        <f>IFERROR(VLOOKUP(A6823, Entries!A:K,11,false),"")</f>
        <v/>
      </c>
    </row>
    <row r="6824">
      <c r="A6824" s="78" t="s">
        <v>7063</v>
      </c>
      <c r="B6824" s="78" t="s">
        <v>21</v>
      </c>
      <c r="C6824" s="85">
        <v>45601.0</v>
      </c>
      <c r="D6824" s="85">
        <v>45601.0</v>
      </c>
      <c r="E6824" s="86">
        <v>38.85</v>
      </c>
      <c r="F6824" s="87">
        <v>45.29</v>
      </c>
      <c r="G6824" s="88">
        <f t="shared" si="1"/>
        <v>6.44</v>
      </c>
      <c r="H6824" s="89">
        <f t="shared" si="18"/>
        <v>0.142194745</v>
      </c>
      <c r="I6824" s="78" t="s">
        <v>7792</v>
      </c>
      <c r="J6824" s="78" t="s">
        <v>69</v>
      </c>
      <c r="K6824" s="58">
        <f t="shared" si="17"/>
        <v>0</v>
      </c>
      <c r="L6824" s="91" t="str">
        <f t="shared" si="8"/>
        <v>Tue</v>
      </c>
      <c r="M6824" s="78" t="str">
        <f>IFERROR(VLOOKUP(A6824, Entries!A:B,2,false),"")</f>
        <v>PlayStation</v>
      </c>
      <c r="N6824" s="23" t="str">
        <f>IFERROR(VLOOKUP(A6824, Entries!A:K,11,false),"")</f>
        <v/>
      </c>
    </row>
    <row r="6825">
      <c r="A6825" s="78" t="s">
        <v>7063</v>
      </c>
      <c r="B6825" s="78" t="s">
        <v>21</v>
      </c>
      <c r="C6825" s="85">
        <v>45601.0</v>
      </c>
      <c r="D6825" s="85">
        <v>45602.0</v>
      </c>
      <c r="E6825" s="86">
        <v>38.85</v>
      </c>
      <c r="F6825" s="87">
        <v>44.99</v>
      </c>
      <c r="G6825" s="88">
        <f t="shared" si="1"/>
        <v>6.14</v>
      </c>
      <c r="H6825" s="89">
        <f t="shared" si="18"/>
        <v>0.1364747722</v>
      </c>
      <c r="I6825" s="78" t="s">
        <v>7793</v>
      </c>
      <c r="J6825" s="78" t="s">
        <v>69</v>
      </c>
      <c r="K6825" s="58">
        <f t="shared" si="17"/>
        <v>1</v>
      </c>
      <c r="L6825" s="91" t="str">
        <f t="shared" si="8"/>
        <v>Wed</v>
      </c>
      <c r="M6825" s="78" t="str">
        <f>IFERROR(VLOOKUP(A6825, Entries!A:B,2,false),"")</f>
        <v>PlayStation</v>
      </c>
      <c r="N6825" s="23" t="str">
        <f>IFERROR(VLOOKUP(A6825, Entries!A:K,11,false),"")</f>
        <v/>
      </c>
    </row>
    <row r="6826">
      <c r="A6826" s="78" t="s">
        <v>7794</v>
      </c>
      <c r="B6826" s="78" t="s">
        <v>17</v>
      </c>
      <c r="C6826" s="85">
        <v>45601.0</v>
      </c>
      <c r="D6826" s="85">
        <v>45704.0</v>
      </c>
      <c r="E6826" s="86">
        <v>6.94</v>
      </c>
      <c r="F6826" s="87">
        <v>7.87</v>
      </c>
      <c r="G6826" s="88">
        <f t="shared" si="1"/>
        <v>0.93</v>
      </c>
      <c r="H6826" s="89">
        <f t="shared" si="18"/>
        <v>0.1181702668</v>
      </c>
      <c r="I6826" s="78" t="s">
        <v>7795</v>
      </c>
      <c r="J6826" s="78" t="s">
        <v>69</v>
      </c>
      <c r="K6826" s="58">
        <f t="shared" si="17"/>
        <v>103</v>
      </c>
      <c r="L6826" s="91" t="str">
        <f t="shared" si="8"/>
        <v>Sun</v>
      </c>
      <c r="M6826" s="78" t="str">
        <f>IFERROR(VLOOKUP(A6826, Entries!A:B,2,false),"")</f>
        <v/>
      </c>
      <c r="N6826" s="23" t="str">
        <f>IFERROR(VLOOKUP(A6826, Entries!A:K,11,false),"")</f>
        <v/>
      </c>
      <c r="P6826" s="78" t="s">
        <v>7796</v>
      </c>
    </row>
    <row r="6827">
      <c r="A6827" s="78" t="s">
        <v>7794</v>
      </c>
      <c r="B6827" s="78" t="s">
        <v>17</v>
      </c>
      <c r="C6827" s="85">
        <v>45601.0</v>
      </c>
      <c r="D6827" s="85">
        <v>45704.0</v>
      </c>
      <c r="E6827" s="86">
        <v>6.94</v>
      </c>
      <c r="F6827" s="87">
        <v>8.38</v>
      </c>
      <c r="G6827" s="88">
        <f t="shared" si="1"/>
        <v>1.44</v>
      </c>
      <c r="H6827" s="89">
        <f t="shared" si="18"/>
        <v>0.1718377088</v>
      </c>
      <c r="I6827" s="78" t="s">
        <v>7797</v>
      </c>
      <c r="J6827" s="78" t="s">
        <v>69</v>
      </c>
      <c r="K6827" s="58">
        <f t="shared" si="17"/>
        <v>103</v>
      </c>
      <c r="L6827" s="91" t="str">
        <f t="shared" si="8"/>
        <v>Sun</v>
      </c>
      <c r="M6827" s="78" t="str">
        <f>IFERROR(VLOOKUP(A6827, Entries!A:B,2,false),"")</f>
        <v/>
      </c>
      <c r="N6827" s="23" t="str">
        <f>IFERROR(VLOOKUP(A6827, Entries!A:K,11,false),"")</f>
        <v/>
      </c>
      <c r="P6827" s="78" t="s">
        <v>7796</v>
      </c>
    </row>
    <row r="6828">
      <c r="A6828" s="78" t="s">
        <v>7798</v>
      </c>
      <c r="B6828" s="78" t="s">
        <v>22</v>
      </c>
      <c r="C6828" s="85">
        <v>45601.0</v>
      </c>
      <c r="D6828" s="85">
        <v>45602.0</v>
      </c>
      <c r="E6828" s="86">
        <v>10.19</v>
      </c>
      <c r="F6828" s="87">
        <v>17.86</v>
      </c>
      <c r="G6828" s="88">
        <f t="shared" si="1"/>
        <v>7.67</v>
      </c>
      <c r="H6828" s="89">
        <f t="shared" si="18"/>
        <v>0.4294512878</v>
      </c>
      <c r="I6828" s="78" t="s">
        <v>7799</v>
      </c>
      <c r="J6828" s="78" t="s">
        <v>69</v>
      </c>
      <c r="K6828" s="58">
        <f t="shared" si="17"/>
        <v>1</v>
      </c>
      <c r="L6828" s="91" t="str">
        <f t="shared" si="8"/>
        <v>Wed</v>
      </c>
      <c r="M6828" s="78" t="str">
        <f>IFERROR(VLOOKUP(A6828, Entries!A:B,2,false),"")</f>
        <v>Konami</v>
      </c>
      <c r="N6828" s="23" t="str">
        <f>IFERROR(VLOOKUP(A6828, Entries!A:K,11,false),"")</f>
        <v/>
      </c>
    </row>
    <row r="6829">
      <c r="A6829" s="78" t="s">
        <v>7669</v>
      </c>
      <c r="B6829" s="78" t="s">
        <v>21</v>
      </c>
      <c r="C6829" s="85">
        <v>45601.0</v>
      </c>
      <c r="D6829" s="85">
        <v>45602.0</v>
      </c>
      <c r="E6829" s="86">
        <v>23.11</v>
      </c>
      <c r="F6829" s="87">
        <v>24.31</v>
      </c>
      <c r="G6829" s="88">
        <f t="shared" si="1"/>
        <v>1.2</v>
      </c>
      <c r="H6829" s="89">
        <f t="shared" si="18"/>
        <v>0.0493624023</v>
      </c>
      <c r="I6829" s="78" t="s">
        <v>7800</v>
      </c>
      <c r="J6829" s="78" t="s">
        <v>69</v>
      </c>
      <c r="K6829" s="58">
        <f t="shared" si="17"/>
        <v>1</v>
      </c>
      <c r="L6829" s="91" t="str">
        <f t="shared" si="8"/>
        <v>Wed</v>
      </c>
      <c r="M6829" s="78" t="str">
        <f>IFERROR(VLOOKUP(A6829, Entries!A:B,2,false),"")</f>
        <v/>
      </c>
      <c r="N6829" s="23" t="str">
        <f>IFERROR(VLOOKUP(A6829, Entries!A:K,11,false),"")</f>
        <v/>
      </c>
    </row>
    <row r="6830">
      <c r="A6830" s="78" t="s">
        <v>7515</v>
      </c>
      <c r="B6830" s="78" t="s">
        <v>22</v>
      </c>
      <c r="C6830" s="85">
        <v>45601.0</v>
      </c>
      <c r="D6830" s="85">
        <v>45606.0</v>
      </c>
      <c r="E6830" s="86">
        <v>10.19</v>
      </c>
      <c r="F6830" s="87">
        <v>12.36</v>
      </c>
      <c r="G6830" s="88">
        <f t="shared" si="1"/>
        <v>2.17</v>
      </c>
      <c r="H6830" s="89">
        <f t="shared" si="18"/>
        <v>0.175566343</v>
      </c>
      <c r="I6830" s="78" t="s">
        <v>7801</v>
      </c>
      <c r="J6830" s="78" t="s">
        <v>69</v>
      </c>
      <c r="K6830" s="58">
        <f t="shared" si="17"/>
        <v>5</v>
      </c>
      <c r="L6830" s="91" t="str">
        <f t="shared" si="8"/>
        <v>Sun</v>
      </c>
      <c r="M6830" s="98" t="str">
        <f>IFERROR(VLOOKUP(A6830, Entries!A:B,2,false),"")</f>
        <v>indie.io</v>
      </c>
      <c r="N6830" s="23" t="str">
        <f>IFERROR(VLOOKUP(A6830, Entries!A:K,11,false),"")</f>
        <v/>
      </c>
    </row>
    <row r="6831">
      <c r="A6831" s="78" t="s">
        <v>550</v>
      </c>
      <c r="B6831" s="109" t="s">
        <v>25</v>
      </c>
      <c r="C6831" s="85">
        <v>45601.0</v>
      </c>
      <c r="D6831" s="85">
        <v>45603.0</v>
      </c>
      <c r="E6831" s="86">
        <v>8.97</v>
      </c>
      <c r="F6831" s="87">
        <v>11.86</v>
      </c>
      <c r="G6831" s="88">
        <f t="shared" si="1"/>
        <v>2.89</v>
      </c>
      <c r="H6831" s="89">
        <f t="shared" si="18"/>
        <v>0.2436762226</v>
      </c>
      <c r="I6831" s="78" t="s">
        <v>7802</v>
      </c>
      <c r="J6831" s="78" t="s">
        <v>69</v>
      </c>
      <c r="K6831" s="58">
        <f t="shared" si="17"/>
        <v>2</v>
      </c>
      <c r="L6831" s="91" t="str">
        <f t="shared" si="8"/>
        <v>Thu</v>
      </c>
      <c r="M6831" s="78" t="str">
        <f>IFERROR(VLOOKUP(A6831, Entries!A:B,2,false),"")</f>
        <v>Codemasters</v>
      </c>
      <c r="N6831" s="23" t="str">
        <f>IFERROR(VLOOKUP(A6831, Entries!A:K,11,false),"")</f>
        <v/>
      </c>
    </row>
    <row r="6832">
      <c r="A6832" s="78" t="s">
        <v>7798</v>
      </c>
      <c r="B6832" s="78" t="s">
        <v>22</v>
      </c>
      <c r="C6832" s="85">
        <v>45602.0</v>
      </c>
      <c r="D6832" s="85">
        <v>45602.0</v>
      </c>
      <c r="E6832" s="86">
        <v>10.18</v>
      </c>
      <c r="F6832" s="87">
        <v>17.86</v>
      </c>
      <c r="G6832" s="88">
        <f t="shared" si="1"/>
        <v>7.68</v>
      </c>
      <c r="H6832" s="89">
        <f t="shared" si="18"/>
        <v>0.4300111982</v>
      </c>
      <c r="I6832" s="78" t="s">
        <v>7803</v>
      </c>
      <c r="J6832" s="78" t="s">
        <v>69</v>
      </c>
      <c r="K6832" s="58">
        <f t="shared" si="17"/>
        <v>0</v>
      </c>
      <c r="L6832" s="91" t="str">
        <f t="shared" si="8"/>
        <v>Wed</v>
      </c>
      <c r="M6832" s="78" t="str">
        <f>IFERROR(VLOOKUP(A6832, Entries!A:B,2,false),"")</f>
        <v>Konami</v>
      </c>
      <c r="N6832" s="23" t="str">
        <f>IFERROR(VLOOKUP(A6832, Entries!A:K,11,false),"")</f>
        <v/>
      </c>
    </row>
    <row r="6833">
      <c r="A6833" s="78" t="s">
        <v>7798</v>
      </c>
      <c r="B6833" s="78" t="s">
        <v>22</v>
      </c>
      <c r="C6833" s="85">
        <v>45602.0</v>
      </c>
      <c r="D6833" s="85">
        <v>45602.0</v>
      </c>
      <c r="E6833" s="86">
        <v>10.34</v>
      </c>
      <c r="F6833" s="87">
        <v>17.82</v>
      </c>
      <c r="G6833" s="88">
        <f t="shared" si="1"/>
        <v>7.48</v>
      </c>
      <c r="H6833" s="89">
        <f t="shared" si="18"/>
        <v>0.4197530864</v>
      </c>
      <c r="I6833" s="78" t="s">
        <v>7804</v>
      </c>
      <c r="J6833" s="78" t="s">
        <v>69</v>
      </c>
      <c r="K6833" s="58">
        <f t="shared" si="17"/>
        <v>0</v>
      </c>
      <c r="L6833" s="91" t="str">
        <f t="shared" si="8"/>
        <v>Wed</v>
      </c>
      <c r="M6833" s="78" t="str">
        <f>IFERROR(VLOOKUP(A6833, Entries!A:B,2,false),"")</f>
        <v>Konami</v>
      </c>
      <c r="N6833" s="23" t="str">
        <f>IFERROR(VLOOKUP(A6833, Entries!A:K,11,false),"")</f>
        <v/>
      </c>
    </row>
    <row r="6834">
      <c r="A6834" s="78" t="s">
        <v>7709</v>
      </c>
      <c r="B6834" s="78" t="s">
        <v>38</v>
      </c>
      <c r="C6834" s="85">
        <v>45602.0</v>
      </c>
      <c r="D6834" s="85">
        <v>45602.0</v>
      </c>
      <c r="E6834" s="86">
        <v>19.39</v>
      </c>
      <c r="F6834" s="87">
        <v>27.49</v>
      </c>
      <c r="G6834" s="88">
        <f t="shared" si="1"/>
        <v>8.1</v>
      </c>
      <c r="H6834" s="89">
        <f t="shared" si="18"/>
        <v>0.2946526009</v>
      </c>
      <c r="I6834" s="78" t="s">
        <v>7805</v>
      </c>
      <c r="J6834" s="78" t="s">
        <v>69</v>
      </c>
      <c r="K6834" s="58">
        <f t="shared" si="17"/>
        <v>0</v>
      </c>
      <c r="L6834" s="91" t="str">
        <f t="shared" si="8"/>
        <v>Wed</v>
      </c>
      <c r="M6834" s="78" t="str">
        <f>IFERROR(VLOOKUP(A6834, Entries!A:B,2,false),"")</f>
        <v/>
      </c>
      <c r="N6834" s="23" t="str">
        <f>IFERROR(VLOOKUP(A6834, Entries!A:K,11,false),"")</f>
        <v/>
      </c>
    </row>
    <row r="6835">
      <c r="A6835" s="78" t="s">
        <v>7709</v>
      </c>
      <c r="B6835" s="78" t="s">
        <v>38</v>
      </c>
      <c r="C6835" s="85">
        <v>45602.0</v>
      </c>
      <c r="D6835" s="85">
        <v>45603.0</v>
      </c>
      <c r="E6835" s="86">
        <v>19.39</v>
      </c>
      <c r="F6835" s="87">
        <v>25.93</v>
      </c>
      <c r="G6835" s="88">
        <f t="shared" si="1"/>
        <v>6.54</v>
      </c>
      <c r="H6835" s="89">
        <f t="shared" si="18"/>
        <v>0.2522175087</v>
      </c>
      <c r="I6835" s="78" t="s">
        <v>7806</v>
      </c>
      <c r="J6835" s="78" t="s">
        <v>69</v>
      </c>
      <c r="K6835" s="58">
        <f t="shared" si="17"/>
        <v>1</v>
      </c>
      <c r="L6835" s="91" t="str">
        <f t="shared" si="8"/>
        <v>Thu</v>
      </c>
      <c r="M6835" s="78" t="str">
        <f>IFERROR(VLOOKUP(A6835, Entries!A:B,2,false),"")</f>
        <v/>
      </c>
      <c r="N6835" s="23" t="str">
        <f>IFERROR(VLOOKUP(A6835, Entries!A:K,11,false),"")</f>
        <v/>
      </c>
    </row>
    <row r="6836">
      <c r="A6836" s="78" t="s">
        <v>7798</v>
      </c>
      <c r="B6836" s="78" t="s">
        <v>22</v>
      </c>
      <c r="C6836" s="85">
        <v>45602.0</v>
      </c>
      <c r="D6836" s="85">
        <v>45603.0</v>
      </c>
      <c r="E6836" s="86">
        <v>10.34</v>
      </c>
      <c r="F6836" s="87">
        <v>17.82</v>
      </c>
      <c r="G6836" s="88">
        <f t="shared" si="1"/>
        <v>7.48</v>
      </c>
      <c r="H6836" s="89">
        <f t="shared" si="18"/>
        <v>0.4197530864</v>
      </c>
      <c r="I6836" s="78" t="s">
        <v>7807</v>
      </c>
      <c r="J6836" s="78" t="s">
        <v>69</v>
      </c>
      <c r="K6836" s="58">
        <f t="shared" si="17"/>
        <v>1</v>
      </c>
      <c r="L6836" s="91" t="str">
        <f t="shared" si="8"/>
        <v>Thu</v>
      </c>
      <c r="M6836" s="78" t="str">
        <f>IFERROR(VLOOKUP(A6836, Entries!A:B,2,false),"")</f>
        <v>Konami</v>
      </c>
      <c r="N6836" s="23" t="str">
        <f>IFERROR(VLOOKUP(A6836, Entries!A:K,11,false),"")</f>
        <v/>
      </c>
    </row>
    <row r="6837">
      <c r="A6837" s="78" t="s">
        <v>7798</v>
      </c>
      <c r="B6837" s="78" t="s">
        <v>22</v>
      </c>
      <c r="C6837" s="85">
        <v>45603.0</v>
      </c>
      <c r="D6837" s="85">
        <v>45606.0</v>
      </c>
      <c r="E6837" s="86">
        <v>10.36</v>
      </c>
      <c r="F6837" s="87">
        <v>15.58</v>
      </c>
      <c r="G6837" s="88">
        <f t="shared" si="1"/>
        <v>5.22</v>
      </c>
      <c r="H6837" s="89">
        <f t="shared" si="18"/>
        <v>0.3350449294</v>
      </c>
      <c r="J6837" s="78" t="s">
        <v>69</v>
      </c>
      <c r="K6837" s="58">
        <f t="shared" si="17"/>
        <v>3</v>
      </c>
      <c r="L6837" s="91" t="str">
        <f t="shared" si="8"/>
        <v>Sun</v>
      </c>
      <c r="M6837" s="78" t="str">
        <f>IFERROR(VLOOKUP(A6837, Entries!A:B,2,false),"")</f>
        <v>Konami</v>
      </c>
      <c r="N6837" s="23" t="str">
        <f>IFERROR(VLOOKUP(A6837, Entries!A:K,11,false),"")</f>
        <v/>
      </c>
    </row>
    <row r="6838">
      <c r="A6838" s="78" t="s">
        <v>550</v>
      </c>
      <c r="B6838" s="109" t="s">
        <v>25</v>
      </c>
      <c r="C6838" s="85">
        <v>45603.0</v>
      </c>
      <c r="D6838" s="85">
        <v>45610.0</v>
      </c>
      <c r="E6838" s="86">
        <v>8.97</v>
      </c>
      <c r="F6838" s="87">
        <v>11.86</v>
      </c>
      <c r="G6838" s="88">
        <f t="shared" si="1"/>
        <v>2.89</v>
      </c>
      <c r="H6838" s="89">
        <f t="shared" si="18"/>
        <v>0.2436762226</v>
      </c>
      <c r="I6838" s="78" t="s">
        <v>7808</v>
      </c>
      <c r="J6838" s="78" t="s">
        <v>69</v>
      </c>
      <c r="K6838" s="58">
        <f t="shared" si="17"/>
        <v>7</v>
      </c>
      <c r="L6838" s="91" t="str">
        <f t="shared" si="8"/>
        <v>Thu</v>
      </c>
      <c r="M6838" s="78" t="str">
        <f>IFERROR(VLOOKUP(A6838, Entries!A:B,2,false),"")</f>
        <v>Codemasters</v>
      </c>
      <c r="N6838" s="23" t="str">
        <f>IFERROR(VLOOKUP(A6838, Entries!A:K,11,false),"")</f>
        <v/>
      </c>
    </row>
    <row r="6839">
      <c r="A6839" s="78" t="s">
        <v>7798</v>
      </c>
      <c r="B6839" s="78" t="s">
        <v>22</v>
      </c>
      <c r="C6839" s="85">
        <v>45603.0</v>
      </c>
      <c r="D6839" s="85">
        <v>45605.0</v>
      </c>
      <c r="E6839" s="86">
        <v>10.36</v>
      </c>
      <c r="F6839" s="87">
        <v>15.58</v>
      </c>
      <c r="G6839" s="88">
        <f t="shared" si="1"/>
        <v>5.22</v>
      </c>
      <c r="H6839" s="89">
        <f t="shared" si="18"/>
        <v>0.3350449294</v>
      </c>
      <c r="I6839" s="78" t="s">
        <v>7809</v>
      </c>
      <c r="J6839" s="78" t="s">
        <v>69</v>
      </c>
      <c r="K6839" s="58">
        <f t="shared" si="17"/>
        <v>2</v>
      </c>
      <c r="L6839" s="91" t="str">
        <f t="shared" si="8"/>
        <v>Sat</v>
      </c>
      <c r="M6839" s="78" t="str">
        <f>IFERROR(VLOOKUP(A6839, Entries!A:B,2,false),"")</f>
        <v>Konami</v>
      </c>
      <c r="N6839" s="23" t="str">
        <f>IFERROR(VLOOKUP(A6839, Entries!A:K,11,false),"")</f>
        <v/>
      </c>
    </row>
    <row r="6840">
      <c r="A6840" s="78" t="s">
        <v>7810</v>
      </c>
      <c r="B6840" s="78" t="s">
        <v>22</v>
      </c>
      <c r="C6840" s="85">
        <v>45604.0</v>
      </c>
      <c r="D6840" s="85">
        <v>45604.0</v>
      </c>
      <c r="E6840" s="86">
        <v>11.66</v>
      </c>
      <c r="F6840" s="87">
        <v>12.59</v>
      </c>
      <c r="G6840" s="88">
        <f t="shared" si="1"/>
        <v>0.93</v>
      </c>
      <c r="H6840" s="89">
        <f t="shared" si="18"/>
        <v>0.07386814932</v>
      </c>
      <c r="I6840" s="78" t="s">
        <v>7811</v>
      </c>
      <c r="J6840" s="78" t="s">
        <v>69</v>
      </c>
      <c r="K6840" s="58">
        <f t="shared" si="17"/>
        <v>0</v>
      </c>
      <c r="L6840" s="91" t="str">
        <f t="shared" si="8"/>
        <v>Fri</v>
      </c>
      <c r="M6840" s="78" t="str">
        <f>IFERROR(VLOOKUP(A6840, Entries!A:B,2,false),"")</f>
        <v/>
      </c>
      <c r="N6840" s="23" t="str">
        <f>IFERROR(VLOOKUP(A6840, Entries!A:K,11,false),"")</f>
        <v/>
      </c>
    </row>
    <row r="6841">
      <c r="A6841" s="78" t="s">
        <v>7812</v>
      </c>
      <c r="B6841" s="78" t="s">
        <v>25</v>
      </c>
      <c r="C6841" s="85">
        <v>45604.0</v>
      </c>
      <c r="D6841" s="85">
        <v>45669.0</v>
      </c>
      <c r="E6841" s="86">
        <v>31.59</v>
      </c>
      <c r="F6841" s="87">
        <v>32.79</v>
      </c>
      <c r="G6841" s="88">
        <f t="shared" si="1"/>
        <v>1.2</v>
      </c>
      <c r="H6841" s="89">
        <f t="shared" si="18"/>
        <v>0.03659652333</v>
      </c>
      <c r="I6841" s="78" t="s">
        <v>7813</v>
      </c>
      <c r="J6841" s="78" t="s">
        <v>69</v>
      </c>
      <c r="K6841" s="58">
        <f t="shared" si="17"/>
        <v>65</v>
      </c>
      <c r="L6841" s="91" t="str">
        <f t="shared" si="8"/>
        <v>Sun</v>
      </c>
      <c r="M6841" s="78" t="str">
        <f>IFERROR(VLOOKUP(A6841, Entries!A:B,2,false),"")</f>
        <v/>
      </c>
      <c r="N6841" s="23" t="str">
        <f>IFERROR(VLOOKUP(A6841, Entries!A:K,11,false),"")</f>
        <v/>
      </c>
    </row>
    <row r="6842">
      <c r="A6842" s="78" t="s">
        <v>7814</v>
      </c>
      <c r="B6842" s="78" t="s">
        <v>21</v>
      </c>
      <c r="C6842" s="85">
        <v>45604.0</v>
      </c>
      <c r="D6842" s="85">
        <v>45611.0</v>
      </c>
      <c r="E6842" s="86">
        <v>27.41</v>
      </c>
      <c r="F6842" s="87">
        <v>34.95</v>
      </c>
      <c r="G6842" s="88">
        <f t="shared" si="1"/>
        <v>7.54</v>
      </c>
      <c r="H6842" s="89">
        <f t="shared" si="18"/>
        <v>0.2157367668</v>
      </c>
      <c r="I6842" s="78" t="s">
        <v>7815</v>
      </c>
      <c r="J6842" s="78" t="s">
        <v>69</v>
      </c>
      <c r="K6842" s="58">
        <f t="shared" si="17"/>
        <v>7</v>
      </c>
      <c r="L6842" s="91" t="str">
        <f t="shared" si="8"/>
        <v>Fri</v>
      </c>
      <c r="M6842" s="78" t="str">
        <f>IFERROR(VLOOKUP(A6842, Entries!A:B,2,false),"")</f>
        <v>Electronic Arts</v>
      </c>
      <c r="N6842" s="23" t="str">
        <f>IFERROR(VLOOKUP(A6842, Entries!A:K,11,false),"")</f>
        <v/>
      </c>
    </row>
    <row r="6843">
      <c r="A6843" s="78" t="s">
        <v>7816</v>
      </c>
      <c r="B6843" s="78" t="s">
        <v>21</v>
      </c>
      <c r="C6843" s="85">
        <v>45604.0</v>
      </c>
      <c r="D6843" s="85">
        <v>45613.0</v>
      </c>
      <c r="E6843" s="86">
        <v>24.49</v>
      </c>
      <c r="F6843" s="87">
        <v>29.83</v>
      </c>
      <c r="G6843" s="88">
        <f t="shared" si="1"/>
        <v>5.34</v>
      </c>
      <c r="H6843" s="89">
        <f t="shared" si="18"/>
        <v>0.179014415</v>
      </c>
      <c r="I6843" s="78" t="s">
        <v>7817</v>
      </c>
      <c r="J6843" s="78" t="s">
        <v>69</v>
      </c>
      <c r="K6843" s="58">
        <f t="shared" si="17"/>
        <v>9</v>
      </c>
      <c r="L6843" s="91" t="str">
        <f t="shared" si="8"/>
        <v>Sun</v>
      </c>
      <c r="M6843" s="78" t="str">
        <f>IFERROR(VLOOKUP(A6843, Entries!A:B,2,false),"")</f>
        <v/>
      </c>
      <c r="N6843" s="23" t="str">
        <f>IFERROR(VLOOKUP(A6843, Entries!A:K,11,false),"")</f>
        <v/>
      </c>
    </row>
    <row r="6844">
      <c r="A6844" s="78" t="s">
        <v>7810</v>
      </c>
      <c r="B6844" s="78" t="s">
        <v>21</v>
      </c>
      <c r="C6844" s="85">
        <v>45605.0</v>
      </c>
      <c r="D6844" s="85">
        <v>45605.0</v>
      </c>
      <c r="E6844" s="86">
        <v>12.84</v>
      </c>
      <c r="F6844" s="87">
        <v>13.37</v>
      </c>
      <c r="G6844" s="88">
        <f t="shared" si="1"/>
        <v>0.53</v>
      </c>
      <c r="H6844" s="89">
        <f t="shared" si="18"/>
        <v>0.03964098728</v>
      </c>
      <c r="I6844" s="78" t="s">
        <v>7818</v>
      </c>
      <c r="J6844" s="78" t="s">
        <v>69</v>
      </c>
      <c r="K6844" s="58">
        <f t="shared" si="17"/>
        <v>0</v>
      </c>
      <c r="L6844" s="91" t="str">
        <f t="shared" si="8"/>
        <v>Sat</v>
      </c>
      <c r="M6844" s="78" t="str">
        <f>IFERROR(VLOOKUP(A6844, Entries!A:B,2,false),"")</f>
        <v/>
      </c>
      <c r="N6844" s="23" t="str">
        <f>IFERROR(VLOOKUP(A6844, Entries!A:K,11,false),"")</f>
        <v/>
      </c>
    </row>
    <row r="6845">
      <c r="A6845" s="78" t="s">
        <v>7810</v>
      </c>
      <c r="B6845" s="78" t="s">
        <v>21</v>
      </c>
      <c r="C6845" s="85">
        <v>45605.0</v>
      </c>
      <c r="D6845" s="85">
        <v>45605.0</v>
      </c>
      <c r="E6845" s="86">
        <v>12.85</v>
      </c>
      <c r="F6845" s="87">
        <v>13.37</v>
      </c>
      <c r="G6845" s="88">
        <f t="shared" si="1"/>
        <v>0.52</v>
      </c>
      <c r="H6845" s="89">
        <f t="shared" si="18"/>
        <v>0.03889304413</v>
      </c>
      <c r="I6845" s="78" t="s">
        <v>7819</v>
      </c>
      <c r="J6845" s="78" t="s">
        <v>69</v>
      </c>
      <c r="K6845" s="58">
        <f t="shared" si="17"/>
        <v>0</v>
      </c>
      <c r="L6845" s="91" t="str">
        <f t="shared" si="8"/>
        <v>Sat</v>
      </c>
      <c r="M6845" s="78" t="str">
        <f>IFERROR(VLOOKUP(A6845, Entries!A:B,2,false),"")</f>
        <v/>
      </c>
      <c r="N6845" s="23" t="str">
        <f>IFERROR(VLOOKUP(A6845, Entries!A:K,11,false),"")</f>
        <v/>
      </c>
    </row>
    <row r="6846">
      <c r="A6846" s="78" t="s">
        <v>7810</v>
      </c>
      <c r="B6846" s="78" t="s">
        <v>21</v>
      </c>
      <c r="C6846" s="85">
        <v>45605.0</v>
      </c>
      <c r="D6846" s="85">
        <v>45605.0</v>
      </c>
      <c r="E6846" s="86">
        <v>12.52</v>
      </c>
      <c r="F6846" s="87">
        <v>13.35</v>
      </c>
      <c r="G6846" s="88">
        <f t="shared" si="1"/>
        <v>0.83</v>
      </c>
      <c r="H6846" s="89">
        <f t="shared" si="18"/>
        <v>0.06217228464</v>
      </c>
      <c r="I6846" s="78" t="s">
        <v>7820</v>
      </c>
      <c r="J6846" s="78" t="s">
        <v>69</v>
      </c>
      <c r="K6846" s="58">
        <f t="shared" si="17"/>
        <v>0</v>
      </c>
      <c r="L6846" s="91" t="str">
        <f t="shared" si="8"/>
        <v>Sat</v>
      </c>
      <c r="M6846" s="78" t="str">
        <f>IFERROR(VLOOKUP(A6846, Entries!A:B,2,false),"")</f>
        <v/>
      </c>
      <c r="N6846" s="23" t="str">
        <f>IFERROR(VLOOKUP(A6846, Entries!A:K,11,false),"")</f>
        <v/>
      </c>
    </row>
    <row r="6847">
      <c r="A6847" s="78" t="s">
        <v>7810</v>
      </c>
      <c r="B6847" s="78" t="s">
        <v>21</v>
      </c>
      <c r="C6847" s="85">
        <v>45605.0</v>
      </c>
      <c r="D6847" s="85">
        <v>45718.0</v>
      </c>
      <c r="E6847" s="86">
        <v>12.52</v>
      </c>
      <c r="F6847" s="87">
        <v>12.67</v>
      </c>
      <c r="G6847" s="88">
        <f t="shared" si="1"/>
        <v>0.15</v>
      </c>
      <c r="H6847" s="89">
        <f t="shared" si="18"/>
        <v>0.01183898974</v>
      </c>
      <c r="I6847" s="78" t="s">
        <v>7821</v>
      </c>
      <c r="J6847" s="78" t="s">
        <v>69</v>
      </c>
      <c r="K6847" s="58">
        <f t="shared" si="17"/>
        <v>113</v>
      </c>
      <c r="L6847" s="91" t="str">
        <f t="shared" si="8"/>
        <v>Sun</v>
      </c>
      <c r="M6847" s="78" t="str">
        <f>IFERROR(VLOOKUP(A6847, Entries!A:B,2,false),"")</f>
        <v/>
      </c>
      <c r="N6847" s="23" t="str">
        <f>IFERROR(VLOOKUP(A6847, Entries!A:K,11,false),"")</f>
        <v/>
      </c>
    </row>
    <row r="6848">
      <c r="A6848" s="78" t="s">
        <v>4282</v>
      </c>
      <c r="B6848" s="78" t="s">
        <v>21</v>
      </c>
      <c r="C6848" s="85">
        <v>45605.0</v>
      </c>
      <c r="D6848" s="85">
        <v>45814.0</v>
      </c>
      <c r="E6848" s="86">
        <v>26.53</v>
      </c>
      <c r="F6848" s="87">
        <v>29.89</v>
      </c>
      <c r="G6848" s="88">
        <f t="shared" si="1"/>
        <v>3.36</v>
      </c>
      <c r="H6848" s="89">
        <f t="shared" si="18"/>
        <v>0.112412178</v>
      </c>
      <c r="I6848" s="103" t="s">
        <v>7822</v>
      </c>
      <c r="J6848" s="78" t="s">
        <v>69</v>
      </c>
      <c r="K6848" s="58">
        <f t="shared" si="17"/>
        <v>209</v>
      </c>
      <c r="L6848" s="91" t="str">
        <f t="shared" si="8"/>
        <v>Fri</v>
      </c>
      <c r="M6848" s="78" t="str">
        <f>IFERROR(VLOOKUP(A6848, Entries!A:B,2,false),"")</f>
        <v>PlayStation</v>
      </c>
      <c r="N6848" s="23" t="str">
        <f>IFERROR(VLOOKUP(A6848, Entries!A:K,11,false),"")</f>
        <v/>
      </c>
    </row>
    <row r="6849">
      <c r="A6849" s="78" t="s">
        <v>7798</v>
      </c>
      <c r="B6849" s="78" t="s">
        <v>22</v>
      </c>
      <c r="C6849" s="85">
        <v>45605.0</v>
      </c>
      <c r="D6849" s="85">
        <v>45606.0</v>
      </c>
      <c r="E6849" s="86">
        <v>10.35</v>
      </c>
      <c r="F6849" s="87">
        <v>15.58</v>
      </c>
      <c r="G6849" s="88">
        <f t="shared" si="1"/>
        <v>5.23</v>
      </c>
      <c r="H6849" s="89">
        <f t="shared" si="18"/>
        <v>0.3356867779</v>
      </c>
      <c r="I6849" s="78" t="s">
        <v>7823</v>
      </c>
      <c r="J6849" s="78" t="s">
        <v>69</v>
      </c>
      <c r="K6849" s="58">
        <f t="shared" si="17"/>
        <v>1</v>
      </c>
      <c r="L6849" s="91" t="str">
        <f t="shared" si="8"/>
        <v>Sun</v>
      </c>
      <c r="M6849" s="78" t="str">
        <f>IFERROR(VLOOKUP(A6849, Entries!A:B,2,false),"")</f>
        <v>Konami</v>
      </c>
      <c r="N6849" s="23" t="str">
        <f>IFERROR(VLOOKUP(A6849, Entries!A:K,11,false),"")</f>
        <v/>
      </c>
    </row>
    <row r="6850">
      <c r="A6850" s="78" t="s">
        <v>7517</v>
      </c>
      <c r="B6850" s="78" t="s">
        <v>22</v>
      </c>
      <c r="C6850" s="85">
        <v>45605.0</v>
      </c>
      <c r="D6850" s="85">
        <v>45606.0</v>
      </c>
      <c r="E6850" s="86">
        <v>20.7</v>
      </c>
      <c r="F6850" s="87">
        <v>23.13</v>
      </c>
      <c r="G6850" s="88">
        <f t="shared" si="1"/>
        <v>2.43</v>
      </c>
      <c r="H6850" s="89">
        <f t="shared" si="18"/>
        <v>0.1050583658</v>
      </c>
      <c r="I6850" s="78" t="s">
        <v>7824</v>
      </c>
      <c r="J6850" s="78" t="s">
        <v>69</v>
      </c>
      <c r="K6850" s="58">
        <f t="shared" si="17"/>
        <v>1</v>
      </c>
      <c r="L6850" s="91" t="str">
        <f t="shared" si="8"/>
        <v>Sun</v>
      </c>
      <c r="M6850" s="78" t="str">
        <f>IFERROR(VLOOKUP(A6850, Entries!A:B,2,false),"")</f>
        <v>Nacon</v>
      </c>
      <c r="N6850" s="23" t="str">
        <f>IFERROR(VLOOKUP(A6850, Entries!A:K,11,false),"")</f>
        <v/>
      </c>
    </row>
    <row r="6851">
      <c r="A6851" s="78" t="s">
        <v>7515</v>
      </c>
      <c r="B6851" s="78" t="s">
        <v>22</v>
      </c>
      <c r="C6851" s="85">
        <v>45606.0</v>
      </c>
      <c r="D6851" s="85">
        <v>45609.0</v>
      </c>
      <c r="E6851" s="86">
        <v>10.35</v>
      </c>
      <c r="F6851" s="87">
        <v>12.34</v>
      </c>
      <c r="G6851" s="88">
        <f t="shared" si="1"/>
        <v>1.99</v>
      </c>
      <c r="H6851" s="89">
        <f t="shared" si="18"/>
        <v>0.1612641815</v>
      </c>
      <c r="I6851" s="78" t="s">
        <v>7825</v>
      </c>
      <c r="J6851" s="78" t="s">
        <v>69</v>
      </c>
      <c r="K6851" s="58">
        <f t="shared" si="17"/>
        <v>3</v>
      </c>
      <c r="L6851" s="91" t="str">
        <f t="shared" si="8"/>
        <v>Wed</v>
      </c>
      <c r="M6851" s="98" t="str">
        <f>IFERROR(VLOOKUP(A6851, Entries!A:B,2,false),"")</f>
        <v>indie.io</v>
      </c>
      <c r="N6851" s="23" t="str">
        <f>IFERROR(VLOOKUP(A6851, Entries!A:K,11,false),"")</f>
        <v/>
      </c>
    </row>
    <row r="6852">
      <c r="A6852" s="78" t="s">
        <v>7798</v>
      </c>
      <c r="B6852" s="78" t="s">
        <v>22</v>
      </c>
      <c r="C6852" s="85">
        <v>45606.0</v>
      </c>
      <c r="D6852" s="85">
        <v>45606.0</v>
      </c>
      <c r="E6852" s="86">
        <v>10.35</v>
      </c>
      <c r="F6852" s="87">
        <v>15.58</v>
      </c>
      <c r="G6852" s="88">
        <f t="shared" si="1"/>
        <v>5.23</v>
      </c>
      <c r="H6852" s="89">
        <f t="shared" si="18"/>
        <v>0.3356867779</v>
      </c>
      <c r="I6852" s="78" t="s">
        <v>7826</v>
      </c>
      <c r="J6852" s="78" t="s">
        <v>69</v>
      </c>
      <c r="K6852" s="58">
        <f t="shared" si="17"/>
        <v>0</v>
      </c>
      <c r="L6852" s="91" t="str">
        <f t="shared" si="8"/>
        <v>Sun</v>
      </c>
      <c r="M6852" s="78" t="str">
        <f>IFERROR(VLOOKUP(A6852, Entries!A:B,2,false),"")</f>
        <v>Konami</v>
      </c>
      <c r="N6852" s="23" t="str">
        <f>IFERROR(VLOOKUP(A6852, Entries!A:K,11,false),"")</f>
        <v/>
      </c>
    </row>
    <row r="6853">
      <c r="A6853" s="78" t="s">
        <v>7798</v>
      </c>
      <c r="B6853" s="78" t="s">
        <v>22</v>
      </c>
      <c r="C6853" s="85">
        <v>45606.0</v>
      </c>
      <c r="D6853" s="85">
        <v>45609.0</v>
      </c>
      <c r="E6853" s="86">
        <v>10.35</v>
      </c>
      <c r="F6853" s="87">
        <v>15.58</v>
      </c>
      <c r="G6853" s="88">
        <f t="shared" si="1"/>
        <v>5.23</v>
      </c>
      <c r="H6853" s="89">
        <f t="shared" si="18"/>
        <v>0.3356867779</v>
      </c>
      <c r="I6853" s="78" t="s">
        <v>7827</v>
      </c>
      <c r="J6853" s="78" t="s">
        <v>69</v>
      </c>
      <c r="K6853" s="58">
        <f t="shared" si="17"/>
        <v>3</v>
      </c>
      <c r="L6853" s="91" t="str">
        <f t="shared" si="8"/>
        <v>Wed</v>
      </c>
      <c r="M6853" s="78" t="str">
        <f>IFERROR(VLOOKUP(A6853, Entries!A:B,2,false),"")</f>
        <v>Konami</v>
      </c>
      <c r="N6853" s="23" t="str">
        <f>IFERROR(VLOOKUP(A6853, Entries!A:K,11,false),"")</f>
        <v/>
      </c>
    </row>
    <row r="6854">
      <c r="A6854" s="78" t="s">
        <v>7517</v>
      </c>
      <c r="B6854" s="78" t="s">
        <v>22</v>
      </c>
      <c r="C6854" s="85">
        <v>45606.0</v>
      </c>
      <c r="D6854" s="85">
        <v>45608.0</v>
      </c>
      <c r="E6854" s="86">
        <v>20.7</v>
      </c>
      <c r="F6854" s="87">
        <v>23.11</v>
      </c>
      <c r="G6854" s="88">
        <f t="shared" si="1"/>
        <v>2.41</v>
      </c>
      <c r="H6854" s="89">
        <f t="shared" si="18"/>
        <v>0.1042838598</v>
      </c>
      <c r="I6854" s="78" t="s">
        <v>7828</v>
      </c>
      <c r="J6854" s="78" t="s">
        <v>69</v>
      </c>
      <c r="K6854" s="58">
        <f t="shared" si="17"/>
        <v>2</v>
      </c>
      <c r="L6854" s="91" t="str">
        <f t="shared" si="8"/>
        <v>Tue</v>
      </c>
      <c r="M6854" s="78" t="str">
        <f>IFERROR(VLOOKUP(A6854, Entries!A:B,2,false),"")</f>
        <v>Nacon</v>
      </c>
      <c r="N6854" s="23" t="str">
        <f>IFERROR(VLOOKUP(A6854, Entries!A:K,11,false),"")</f>
        <v/>
      </c>
    </row>
    <row r="6855">
      <c r="A6855" s="78" t="s">
        <v>7092</v>
      </c>
      <c r="B6855" s="78" t="s">
        <v>23</v>
      </c>
      <c r="C6855" s="85">
        <v>45606.0</v>
      </c>
      <c r="D6855" s="85">
        <v>45610.0</v>
      </c>
      <c r="E6855" s="86">
        <v>8.76</v>
      </c>
      <c r="F6855" s="87">
        <v>9.67</v>
      </c>
      <c r="G6855" s="88">
        <f t="shared" si="1"/>
        <v>0.91</v>
      </c>
      <c r="H6855" s="89">
        <f t="shared" si="18"/>
        <v>0.09410548087</v>
      </c>
      <c r="I6855" s="78" t="s">
        <v>7829</v>
      </c>
      <c r="J6855" s="78" t="s">
        <v>69</v>
      </c>
      <c r="K6855" s="58">
        <f t="shared" si="17"/>
        <v>4</v>
      </c>
      <c r="L6855" s="91" t="str">
        <f t="shared" si="8"/>
        <v>Thu</v>
      </c>
      <c r="M6855" s="78" t="str">
        <f>IFERROR(VLOOKUP(A6855, Entries!A:B,2,false),"")</f>
        <v>IO Interactive</v>
      </c>
      <c r="N6855" s="23" t="str">
        <f>IFERROR(VLOOKUP(A6855, Entries!A:K,11,false),"")</f>
        <v/>
      </c>
    </row>
    <row r="6856">
      <c r="A6856" s="78" t="s">
        <v>7517</v>
      </c>
      <c r="B6856" s="78" t="s">
        <v>22</v>
      </c>
      <c r="C6856" s="85">
        <v>45607.0</v>
      </c>
      <c r="D6856" s="85">
        <v>45608.0</v>
      </c>
      <c r="E6856" s="86">
        <v>20.82</v>
      </c>
      <c r="F6856" s="87">
        <v>23.08</v>
      </c>
      <c r="G6856" s="88">
        <f t="shared" si="1"/>
        <v>2.26</v>
      </c>
      <c r="H6856" s="89">
        <f t="shared" si="18"/>
        <v>0.0979202773</v>
      </c>
      <c r="I6856" s="78" t="s">
        <v>7830</v>
      </c>
      <c r="J6856" s="78" t="s">
        <v>69</v>
      </c>
      <c r="K6856" s="58">
        <f t="shared" si="17"/>
        <v>1</v>
      </c>
      <c r="L6856" s="91" t="str">
        <f t="shared" si="8"/>
        <v>Tue</v>
      </c>
      <c r="M6856" s="78" t="str">
        <f>IFERROR(VLOOKUP(A6856, Entries!A:B,2,false),"")</f>
        <v>Nacon</v>
      </c>
      <c r="N6856" s="23" t="str">
        <f>IFERROR(VLOOKUP(A6856, Entries!A:K,11,false),"")</f>
        <v/>
      </c>
    </row>
    <row r="6857">
      <c r="A6857" s="78" t="s">
        <v>7517</v>
      </c>
      <c r="B6857" s="78" t="s">
        <v>22</v>
      </c>
      <c r="C6857" s="85">
        <v>45608.0</v>
      </c>
      <c r="D6857" s="85">
        <v>45614.0</v>
      </c>
      <c r="E6857" s="86">
        <v>20.82</v>
      </c>
      <c r="F6857" s="87">
        <v>22.81</v>
      </c>
      <c r="G6857" s="88">
        <f t="shared" si="1"/>
        <v>1.99</v>
      </c>
      <c r="H6857" s="89">
        <f t="shared" si="18"/>
        <v>0.08724243753</v>
      </c>
      <c r="I6857" s="78" t="s">
        <v>7831</v>
      </c>
      <c r="J6857" s="78" t="s">
        <v>69</v>
      </c>
      <c r="K6857" s="58">
        <f t="shared" si="17"/>
        <v>6</v>
      </c>
      <c r="L6857" s="91" t="str">
        <f t="shared" si="8"/>
        <v>Mon</v>
      </c>
      <c r="M6857" s="78" t="str">
        <f>IFERROR(VLOOKUP(A6857, Entries!A:B,2,false),"")</f>
        <v>Nacon</v>
      </c>
      <c r="N6857" s="23" t="str">
        <f>IFERROR(VLOOKUP(A6857, Entries!A:K,11,false),"")</f>
        <v/>
      </c>
    </row>
    <row r="6858">
      <c r="A6858" s="78" t="s">
        <v>7709</v>
      </c>
      <c r="B6858" s="78" t="s">
        <v>38</v>
      </c>
      <c r="C6858" s="85">
        <v>45608.0</v>
      </c>
      <c r="D6858" s="85">
        <v>45608.0</v>
      </c>
      <c r="E6858" s="86">
        <v>25.21</v>
      </c>
      <c r="F6858" s="87">
        <v>28.4</v>
      </c>
      <c r="G6858" s="88">
        <f t="shared" si="1"/>
        <v>3.19</v>
      </c>
      <c r="H6858" s="89">
        <f t="shared" si="18"/>
        <v>0.1123239437</v>
      </c>
      <c r="I6858" s="78" t="s">
        <v>7832</v>
      </c>
      <c r="J6858" s="78" t="s">
        <v>69</v>
      </c>
      <c r="K6858" s="58">
        <f t="shared" si="17"/>
        <v>0</v>
      </c>
      <c r="L6858" s="91" t="str">
        <f t="shared" si="8"/>
        <v>Tue</v>
      </c>
      <c r="M6858" s="78" t="str">
        <f>IFERROR(VLOOKUP(A6858, Entries!A:B,2,false),"")</f>
        <v/>
      </c>
      <c r="N6858" s="23" t="str">
        <f>IFERROR(VLOOKUP(A6858, Entries!A:K,11,false),"")</f>
        <v/>
      </c>
    </row>
    <row r="6859">
      <c r="A6859" s="78" t="s">
        <v>7677</v>
      </c>
      <c r="B6859" s="78" t="s">
        <v>21</v>
      </c>
      <c r="C6859" s="85">
        <v>45608.0</v>
      </c>
      <c r="D6859" s="85">
        <v>45608.0</v>
      </c>
      <c r="E6859" s="86">
        <v>27.07</v>
      </c>
      <c r="F6859" s="87">
        <v>30.28</v>
      </c>
      <c r="G6859" s="88">
        <f t="shared" si="1"/>
        <v>3.21</v>
      </c>
      <c r="H6859" s="89">
        <f t="shared" si="18"/>
        <v>0.106010568</v>
      </c>
      <c r="I6859" s="78" t="s">
        <v>7833</v>
      </c>
      <c r="J6859" s="78" t="s">
        <v>69</v>
      </c>
      <c r="K6859" s="58">
        <f t="shared" si="17"/>
        <v>0</v>
      </c>
      <c r="L6859" s="91" t="str">
        <f t="shared" si="8"/>
        <v>Tue</v>
      </c>
      <c r="M6859" s="78" t="str">
        <f>IFERROR(VLOOKUP(A6859, Entries!A:B,2,false),"")</f>
        <v>PlayStation</v>
      </c>
      <c r="N6859" s="23" t="str">
        <f>IFERROR(VLOOKUP(A6859, Entries!A:K,11,false),"")</f>
        <v/>
      </c>
    </row>
    <row r="6860">
      <c r="A6860" s="78" t="s">
        <v>7814</v>
      </c>
      <c r="B6860" s="78" t="s">
        <v>21</v>
      </c>
      <c r="C6860" s="85">
        <v>45608.0</v>
      </c>
      <c r="D6860" s="85">
        <v>45613.0</v>
      </c>
      <c r="E6860" s="86">
        <v>27.0</v>
      </c>
      <c r="F6860" s="87">
        <v>29.83</v>
      </c>
      <c r="G6860" s="88">
        <f t="shared" si="1"/>
        <v>2.83</v>
      </c>
      <c r="H6860" s="89">
        <f t="shared" si="18"/>
        <v>0.0948709353</v>
      </c>
      <c r="I6860" s="78" t="s">
        <v>7834</v>
      </c>
      <c r="J6860" s="78" t="s">
        <v>69</v>
      </c>
      <c r="K6860" s="58">
        <f t="shared" si="17"/>
        <v>5</v>
      </c>
      <c r="L6860" s="91" t="str">
        <f t="shared" si="8"/>
        <v>Sun</v>
      </c>
      <c r="M6860" s="78" t="str">
        <f>IFERROR(VLOOKUP(A6860, Entries!A:B,2,false),"")</f>
        <v>Electronic Arts</v>
      </c>
      <c r="N6860" s="23" t="str">
        <f>IFERROR(VLOOKUP(A6860, Entries!A:K,11,false),"")</f>
        <v/>
      </c>
    </row>
    <row r="6861">
      <c r="A6861" s="78" t="s">
        <v>7515</v>
      </c>
      <c r="B6861" s="78" t="s">
        <v>22</v>
      </c>
      <c r="C6861" s="85">
        <v>45609.0</v>
      </c>
      <c r="D6861" s="85">
        <v>45612.0</v>
      </c>
      <c r="E6861" s="86">
        <v>10.44</v>
      </c>
      <c r="F6861" s="87">
        <v>12.34</v>
      </c>
      <c r="G6861" s="88">
        <f t="shared" si="1"/>
        <v>1.9</v>
      </c>
      <c r="H6861" s="89">
        <f t="shared" si="18"/>
        <v>0.1539708266</v>
      </c>
      <c r="I6861" s="78" t="s">
        <v>7835</v>
      </c>
      <c r="J6861" s="78" t="s">
        <v>69</v>
      </c>
      <c r="K6861" s="58">
        <f t="shared" si="17"/>
        <v>3</v>
      </c>
      <c r="L6861" s="91" t="str">
        <f t="shared" si="8"/>
        <v>Sat</v>
      </c>
      <c r="M6861" s="98" t="str">
        <f>IFERROR(VLOOKUP(A6861, Entries!A:B,2,false),"")</f>
        <v>indie.io</v>
      </c>
      <c r="N6861" s="23" t="str">
        <f>IFERROR(VLOOKUP(A6861, Entries!A:K,11,false),"")</f>
        <v/>
      </c>
    </row>
    <row r="6862">
      <c r="A6862" s="78" t="s">
        <v>7836</v>
      </c>
      <c r="B6862" s="78" t="s">
        <v>21</v>
      </c>
      <c r="C6862" s="85">
        <v>45609.0</v>
      </c>
      <c r="D6862" s="85">
        <v>45610.0</v>
      </c>
      <c r="E6862" s="86">
        <v>19.54</v>
      </c>
      <c r="F6862" s="87">
        <v>27.5</v>
      </c>
      <c r="G6862" s="88">
        <f t="shared" si="1"/>
        <v>7.96</v>
      </c>
      <c r="H6862" s="89">
        <f t="shared" si="18"/>
        <v>0.2894545455</v>
      </c>
      <c r="I6862" s="78" t="s">
        <v>7837</v>
      </c>
      <c r="J6862" s="78" t="s">
        <v>69</v>
      </c>
      <c r="K6862" s="58">
        <f t="shared" si="17"/>
        <v>1</v>
      </c>
      <c r="L6862" s="91" t="str">
        <f t="shared" si="8"/>
        <v>Thu</v>
      </c>
      <c r="M6862" s="78" t="str">
        <f>IFERROR(VLOOKUP(A6862, Entries!A:B,2,false),"")</f>
        <v/>
      </c>
      <c r="N6862" s="23" t="str">
        <f>IFERROR(VLOOKUP(A6862, Entries!A:K,11,false),"")</f>
        <v/>
      </c>
    </row>
    <row r="6863">
      <c r="A6863" s="78" t="s">
        <v>7798</v>
      </c>
      <c r="B6863" s="78" t="s">
        <v>22</v>
      </c>
      <c r="C6863" s="85">
        <v>45609.0</v>
      </c>
      <c r="D6863" s="85">
        <v>45610.0</v>
      </c>
      <c r="E6863" s="86">
        <v>10.44</v>
      </c>
      <c r="F6863" s="87">
        <v>15.58</v>
      </c>
      <c r="G6863" s="88">
        <f t="shared" si="1"/>
        <v>5.14</v>
      </c>
      <c r="H6863" s="89">
        <f t="shared" si="18"/>
        <v>0.3299101412</v>
      </c>
      <c r="I6863" s="78" t="s">
        <v>7838</v>
      </c>
      <c r="J6863" s="78" t="s">
        <v>69</v>
      </c>
      <c r="K6863" s="58">
        <f t="shared" si="17"/>
        <v>1</v>
      </c>
      <c r="L6863" s="91" t="str">
        <f t="shared" si="8"/>
        <v>Thu</v>
      </c>
      <c r="M6863" s="78" t="str">
        <f>IFERROR(VLOOKUP(A6863, Entries!A:B,2,false),"")</f>
        <v>Konami</v>
      </c>
      <c r="N6863" s="23" t="str">
        <f>IFERROR(VLOOKUP(A6863, Entries!A:K,11,false),"")</f>
        <v/>
      </c>
    </row>
    <row r="6864">
      <c r="A6864" s="78" t="s">
        <v>7709</v>
      </c>
      <c r="B6864" s="78" t="s">
        <v>38</v>
      </c>
      <c r="C6864" s="85">
        <v>45609.0</v>
      </c>
      <c r="D6864" s="85">
        <v>45812.0</v>
      </c>
      <c r="E6864" s="86">
        <v>25.21</v>
      </c>
      <c r="F6864" s="87">
        <v>27.76</v>
      </c>
      <c r="G6864" s="88">
        <f t="shared" si="1"/>
        <v>2.55</v>
      </c>
      <c r="H6864" s="89">
        <f t="shared" si="18"/>
        <v>0.09185878963</v>
      </c>
      <c r="I6864" s="103" t="s">
        <v>7839</v>
      </c>
      <c r="J6864" s="78" t="s">
        <v>69</v>
      </c>
      <c r="K6864" s="58">
        <f t="shared" si="17"/>
        <v>203</v>
      </c>
      <c r="L6864" s="91" t="str">
        <f t="shared" si="8"/>
        <v>Wed</v>
      </c>
      <c r="M6864" s="78" t="str">
        <f>IFERROR(VLOOKUP(A6864, Entries!A:B,2,false),"")</f>
        <v/>
      </c>
      <c r="N6864" s="23" t="str">
        <f>IFERROR(VLOOKUP(A6864, Entries!A:K,11,false),"")</f>
        <v/>
      </c>
    </row>
    <row r="6865">
      <c r="A6865" s="78" t="s">
        <v>7517</v>
      </c>
      <c r="B6865" s="78" t="s">
        <v>22</v>
      </c>
      <c r="C6865" s="85">
        <v>45609.0</v>
      </c>
      <c r="D6865" s="85">
        <v>45613.0</v>
      </c>
      <c r="E6865" s="86">
        <v>20.88</v>
      </c>
      <c r="F6865" s="87">
        <v>22.87</v>
      </c>
      <c r="G6865" s="88">
        <f t="shared" si="1"/>
        <v>1.99</v>
      </c>
      <c r="H6865" s="89">
        <f t="shared" si="18"/>
        <v>0.08701355488</v>
      </c>
      <c r="I6865" s="78" t="s">
        <v>7840</v>
      </c>
      <c r="J6865" s="78" t="s">
        <v>69</v>
      </c>
      <c r="K6865" s="58">
        <f t="shared" si="17"/>
        <v>4</v>
      </c>
      <c r="L6865" s="91" t="str">
        <f t="shared" si="8"/>
        <v>Sun</v>
      </c>
      <c r="M6865" s="78" t="str">
        <f>IFERROR(VLOOKUP(A6865, Entries!A:B,2,false),"")</f>
        <v>Nacon</v>
      </c>
      <c r="N6865" s="23" t="str">
        <f>IFERROR(VLOOKUP(A6865, Entries!A:K,11,false),"")</f>
        <v/>
      </c>
    </row>
    <row r="6866">
      <c r="A6866" s="78" t="s">
        <v>7798</v>
      </c>
      <c r="B6866" s="78" t="s">
        <v>22</v>
      </c>
      <c r="C6866" s="85">
        <v>45610.0</v>
      </c>
      <c r="D6866" s="85">
        <v>45610.0</v>
      </c>
      <c r="E6866" s="86">
        <v>10.48</v>
      </c>
      <c r="F6866" s="87">
        <v>15.58</v>
      </c>
      <c r="G6866" s="88">
        <f t="shared" si="1"/>
        <v>5.1</v>
      </c>
      <c r="H6866" s="89">
        <f t="shared" si="18"/>
        <v>0.3273427471</v>
      </c>
      <c r="I6866" s="78" t="s">
        <v>7841</v>
      </c>
      <c r="J6866" s="78" t="s">
        <v>69</v>
      </c>
      <c r="K6866" s="58">
        <f t="shared" si="17"/>
        <v>0</v>
      </c>
      <c r="L6866" s="91" t="str">
        <f t="shared" si="8"/>
        <v>Thu</v>
      </c>
      <c r="M6866" s="78" t="str">
        <f>IFERROR(VLOOKUP(A6866, Entries!A:B,2,false),"")</f>
        <v>Konami</v>
      </c>
      <c r="N6866" s="23" t="str">
        <f>IFERROR(VLOOKUP(A6866, Entries!A:K,11,false),"")</f>
        <v/>
      </c>
    </row>
    <row r="6867">
      <c r="A6867" s="78" t="s">
        <v>7842</v>
      </c>
      <c r="B6867" s="78" t="s">
        <v>17</v>
      </c>
      <c r="C6867" s="85">
        <v>45610.0</v>
      </c>
      <c r="D6867" s="85">
        <v>45761.0</v>
      </c>
      <c r="E6867" s="86">
        <v>20.73</v>
      </c>
      <c r="F6867" s="87">
        <v>21.04</v>
      </c>
      <c r="G6867" s="88">
        <f t="shared" si="1"/>
        <v>0.31</v>
      </c>
      <c r="H6867" s="89">
        <f t="shared" si="18"/>
        <v>0.0147338403</v>
      </c>
      <c r="I6867" s="103" t="s">
        <v>7843</v>
      </c>
      <c r="J6867" s="78" t="s">
        <v>69</v>
      </c>
      <c r="K6867" s="58">
        <f t="shared" si="17"/>
        <v>151</v>
      </c>
      <c r="L6867" s="91" t="str">
        <f t="shared" si="8"/>
        <v>Mon</v>
      </c>
      <c r="M6867" s="78" t="str">
        <f>IFERROR(VLOOKUP(A6867, Entries!A:B,2,false),"")</f>
        <v/>
      </c>
      <c r="N6867" s="23" t="str">
        <f>IFERROR(VLOOKUP(A6867, Entries!A:K,11,false),"")</f>
        <v/>
      </c>
      <c r="P6867" s="78" t="s">
        <v>7796</v>
      </c>
    </row>
    <row r="6868">
      <c r="A6868" s="78" t="s">
        <v>7798</v>
      </c>
      <c r="B6868" s="78" t="s">
        <v>22</v>
      </c>
      <c r="C6868" s="85">
        <v>45610.0</v>
      </c>
      <c r="D6868" s="85">
        <v>45612.0</v>
      </c>
      <c r="E6868" s="86">
        <v>10.48</v>
      </c>
      <c r="F6868" s="87">
        <v>15.58</v>
      </c>
      <c r="G6868" s="88">
        <f t="shared" si="1"/>
        <v>5.1</v>
      </c>
      <c r="H6868" s="89">
        <f t="shared" si="18"/>
        <v>0.3273427471</v>
      </c>
      <c r="I6868" s="78" t="s">
        <v>7844</v>
      </c>
      <c r="J6868" s="78" t="s">
        <v>69</v>
      </c>
      <c r="K6868" s="58">
        <f t="shared" si="17"/>
        <v>2</v>
      </c>
      <c r="L6868" s="91" t="str">
        <f t="shared" si="8"/>
        <v>Sat</v>
      </c>
      <c r="M6868" s="78" t="str">
        <f>IFERROR(VLOOKUP(A6868, Entries!A:B,2,false),"")</f>
        <v>Konami</v>
      </c>
      <c r="N6868" s="23" t="str">
        <f>IFERROR(VLOOKUP(A6868, Entries!A:K,11,false),"")</f>
        <v/>
      </c>
    </row>
    <row r="6869">
      <c r="A6869" s="78" t="s">
        <v>7845</v>
      </c>
      <c r="B6869" s="78" t="s">
        <v>22</v>
      </c>
      <c r="C6869" s="85">
        <v>45610.0</v>
      </c>
      <c r="D6869" s="85">
        <v>45610.0</v>
      </c>
      <c r="E6869" s="86">
        <v>41.93</v>
      </c>
      <c r="F6869" s="87">
        <v>53.2</v>
      </c>
      <c r="G6869" s="88">
        <f t="shared" si="1"/>
        <v>11.27</v>
      </c>
      <c r="H6869" s="89">
        <f t="shared" si="18"/>
        <v>0.2118421053</v>
      </c>
      <c r="I6869" s="78" t="s">
        <v>7846</v>
      </c>
      <c r="J6869" s="78" t="s">
        <v>69</v>
      </c>
      <c r="K6869" s="58">
        <f t="shared" si="17"/>
        <v>0</v>
      </c>
      <c r="L6869" s="91" t="str">
        <f t="shared" si="8"/>
        <v>Thu</v>
      </c>
      <c r="M6869" s="78" t="str">
        <f>IFERROR(VLOOKUP(A6869, Entries!A:B,2,false),"")</f>
        <v>Square Enix</v>
      </c>
      <c r="N6869" s="23" t="str">
        <f>IFERROR(VLOOKUP(A6869, Entries!A:K,11,false),"")</f>
        <v/>
      </c>
    </row>
    <row r="6870">
      <c r="A6870" s="78" t="s">
        <v>7845</v>
      </c>
      <c r="B6870" s="78" t="s">
        <v>22</v>
      </c>
      <c r="C6870" s="85">
        <v>45610.0</v>
      </c>
      <c r="D6870" s="85">
        <v>45611.0</v>
      </c>
      <c r="E6870" s="86">
        <v>41.93</v>
      </c>
      <c r="F6870" s="87">
        <v>49.35</v>
      </c>
      <c r="G6870" s="88">
        <f t="shared" si="1"/>
        <v>7.42</v>
      </c>
      <c r="H6870" s="89">
        <f t="shared" si="18"/>
        <v>0.1503546099</v>
      </c>
      <c r="I6870" s="78" t="s">
        <v>7847</v>
      </c>
      <c r="J6870" s="78" t="s">
        <v>69</v>
      </c>
      <c r="K6870" s="58">
        <f t="shared" si="17"/>
        <v>1</v>
      </c>
      <c r="L6870" s="91" t="str">
        <f t="shared" si="8"/>
        <v>Fri</v>
      </c>
      <c r="M6870" s="78" t="str">
        <f>IFERROR(VLOOKUP(A6870, Entries!A:B,2,false),"")</f>
        <v>Square Enix</v>
      </c>
      <c r="N6870" s="23" t="str">
        <f>IFERROR(VLOOKUP(A6870, Entries!A:K,11,false),"")</f>
        <v/>
      </c>
    </row>
    <row r="6871">
      <c r="A6871" s="78" t="s">
        <v>550</v>
      </c>
      <c r="B6871" s="109" t="s">
        <v>25</v>
      </c>
      <c r="C6871" s="85">
        <v>45610.0</v>
      </c>
      <c r="D6871" s="85">
        <v>45611.0</v>
      </c>
      <c r="E6871" s="86">
        <v>8.97</v>
      </c>
      <c r="F6871" s="87">
        <v>11.86</v>
      </c>
      <c r="G6871" s="88">
        <f t="shared" si="1"/>
        <v>2.89</v>
      </c>
      <c r="H6871" s="89">
        <f t="shared" si="18"/>
        <v>0.2436762226</v>
      </c>
      <c r="I6871" s="78" t="s">
        <v>7848</v>
      </c>
      <c r="J6871" s="78" t="s">
        <v>69</v>
      </c>
      <c r="K6871" s="58">
        <f t="shared" si="17"/>
        <v>1</v>
      </c>
      <c r="L6871" s="91" t="str">
        <f t="shared" si="8"/>
        <v>Fri</v>
      </c>
      <c r="M6871" s="78" t="str">
        <f>IFERROR(VLOOKUP(A6871, Entries!A:B,2,false),"")</f>
        <v>Codemasters</v>
      </c>
      <c r="N6871" s="23" t="str">
        <f>IFERROR(VLOOKUP(A6871, Entries!A:K,11,false),"")</f>
        <v/>
      </c>
    </row>
    <row r="6872">
      <c r="A6872" s="78" t="s">
        <v>7092</v>
      </c>
      <c r="B6872" s="78" t="s">
        <v>23</v>
      </c>
      <c r="C6872" s="85">
        <v>45610.0</v>
      </c>
      <c r="D6872" s="85">
        <v>45611.0</v>
      </c>
      <c r="E6872" s="86">
        <v>8.87</v>
      </c>
      <c r="F6872" s="87">
        <v>9.5</v>
      </c>
      <c r="G6872" s="88">
        <f t="shared" si="1"/>
        <v>0.63</v>
      </c>
      <c r="H6872" s="89">
        <f t="shared" si="18"/>
        <v>0.06631578947</v>
      </c>
      <c r="I6872" s="78" t="s">
        <v>7849</v>
      </c>
      <c r="J6872" s="78" t="s">
        <v>69</v>
      </c>
      <c r="K6872" s="58">
        <f t="shared" si="17"/>
        <v>1</v>
      </c>
      <c r="L6872" s="91" t="str">
        <f t="shared" si="8"/>
        <v>Fri</v>
      </c>
      <c r="M6872" s="78" t="str">
        <f>IFERROR(VLOOKUP(A6872, Entries!A:B,2,false),"")</f>
        <v>IO Interactive</v>
      </c>
      <c r="N6872" s="23" t="str">
        <f>IFERROR(VLOOKUP(A6872, Entries!A:K,11,false),"")</f>
        <v/>
      </c>
    </row>
    <row r="6873">
      <c r="A6873" s="78" t="s">
        <v>7845</v>
      </c>
      <c r="B6873" s="78" t="s">
        <v>22</v>
      </c>
      <c r="C6873" s="85">
        <v>45611.0</v>
      </c>
      <c r="D6873" s="85">
        <v>45611.0</v>
      </c>
      <c r="E6873" s="86">
        <v>42.17</v>
      </c>
      <c r="F6873" s="87">
        <v>48.68</v>
      </c>
      <c r="G6873" s="88">
        <f t="shared" si="1"/>
        <v>6.51</v>
      </c>
      <c r="H6873" s="89">
        <f t="shared" si="18"/>
        <v>0.1337304848</v>
      </c>
      <c r="I6873" s="78" t="s">
        <v>7850</v>
      </c>
      <c r="J6873" s="78" t="s">
        <v>69</v>
      </c>
      <c r="K6873" s="58">
        <f t="shared" si="17"/>
        <v>0</v>
      </c>
      <c r="L6873" s="91" t="str">
        <f t="shared" si="8"/>
        <v>Fri</v>
      </c>
      <c r="M6873" s="78" t="str">
        <f>IFERROR(VLOOKUP(A6873, Entries!A:B,2,false),"")</f>
        <v>Square Enix</v>
      </c>
      <c r="N6873" s="23" t="str">
        <f>IFERROR(VLOOKUP(A6873, Entries!A:K,11,false),"")</f>
        <v/>
      </c>
    </row>
    <row r="6874">
      <c r="A6874" s="78" t="s">
        <v>6501</v>
      </c>
      <c r="B6874" s="78" t="s">
        <v>21</v>
      </c>
      <c r="C6874" s="85">
        <v>45611.0</v>
      </c>
      <c r="D6874" s="85">
        <v>45617.0</v>
      </c>
      <c r="E6874" s="86">
        <v>8.28</v>
      </c>
      <c r="F6874" s="87">
        <v>9.94</v>
      </c>
      <c r="G6874" s="88">
        <f t="shared" si="1"/>
        <v>1.66</v>
      </c>
      <c r="H6874" s="89">
        <f t="shared" si="18"/>
        <v>0.1670020121</v>
      </c>
      <c r="I6874" s="78" t="s">
        <v>7851</v>
      </c>
      <c r="J6874" s="78" t="s">
        <v>69</v>
      </c>
      <c r="K6874" s="58">
        <f t="shared" si="17"/>
        <v>6</v>
      </c>
      <c r="L6874" s="91" t="str">
        <f t="shared" si="8"/>
        <v>Thu</v>
      </c>
      <c r="M6874" s="78" t="str">
        <f>IFERROR(VLOOKUP(A6874, Entries!A:B,2,false),"")</f>
        <v>Offworld Industries</v>
      </c>
      <c r="N6874" s="23" t="str">
        <f>IFERROR(VLOOKUP(A6874, Entries!A:K,11,false),"")</f>
        <v/>
      </c>
    </row>
    <row r="6875">
      <c r="A6875" s="78" t="s">
        <v>7852</v>
      </c>
      <c r="B6875" s="78" t="s">
        <v>22</v>
      </c>
      <c r="C6875" s="85">
        <v>45611.0</v>
      </c>
      <c r="D6875" s="85">
        <v>45615.0</v>
      </c>
      <c r="E6875" s="86">
        <v>8.85</v>
      </c>
      <c r="F6875" s="87">
        <v>10.24</v>
      </c>
      <c r="G6875" s="88">
        <f t="shared" si="1"/>
        <v>1.39</v>
      </c>
      <c r="H6875" s="89">
        <f t="shared" si="18"/>
        <v>0.1357421875</v>
      </c>
      <c r="I6875" s="78" t="s">
        <v>7853</v>
      </c>
      <c r="J6875" s="78" t="s">
        <v>69</v>
      </c>
      <c r="K6875" s="58">
        <f t="shared" si="17"/>
        <v>4</v>
      </c>
      <c r="L6875" s="91" t="str">
        <f t="shared" si="8"/>
        <v>Tue</v>
      </c>
      <c r="M6875" s="78" t="str">
        <f>IFERROR(VLOOKUP(A6875, Entries!A:B,2,false),"")</f>
        <v/>
      </c>
      <c r="N6875" s="23" t="str">
        <f>IFERROR(VLOOKUP(A6875, Entries!A:K,11,false),"")</f>
        <v/>
      </c>
    </row>
    <row r="6876">
      <c r="A6876" s="78" t="s">
        <v>550</v>
      </c>
      <c r="B6876" s="109" t="s">
        <v>25</v>
      </c>
      <c r="C6876" s="85">
        <v>45611.0</v>
      </c>
      <c r="D6876" s="85">
        <v>45644.0</v>
      </c>
      <c r="E6876" s="86">
        <v>8.92</v>
      </c>
      <c r="F6876" s="87">
        <v>9.45</v>
      </c>
      <c r="G6876" s="88">
        <f t="shared" si="1"/>
        <v>0.53</v>
      </c>
      <c r="H6876" s="89">
        <f t="shared" si="18"/>
        <v>0.05608465608</v>
      </c>
      <c r="I6876" s="78" t="s">
        <v>7854</v>
      </c>
      <c r="J6876" s="78" t="s">
        <v>69</v>
      </c>
      <c r="K6876" s="58">
        <f t="shared" si="17"/>
        <v>33</v>
      </c>
      <c r="L6876" s="91" t="str">
        <f t="shared" si="8"/>
        <v>Wed</v>
      </c>
      <c r="M6876" s="78" t="str">
        <f>IFERROR(VLOOKUP(A6876, Entries!A:B,2,false),"")</f>
        <v>Codemasters</v>
      </c>
      <c r="N6876" s="23" t="str">
        <f>IFERROR(VLOOKUP(A6876, Entries!A:K,11,false),"")</f>
        <v/>
      </c>
    </row>
    <row r="6877">
      <c r="A6877" s="78" t="s">
        <v>550</v>
      </c>
      <c r="B6877" s="109" t="s">
        <v>25</v>
      </c>
      <c r="C6877" s="85">
        <v>45611.0</v>
      </c>
      <c r="D6877" s="85">
        <v>45634.0</v>
      </c>
      <c r="E6877" s="86">
        <v>8.92</v>
      </c>
      <c r="F6877" s="87">
        <v>9.4</v>
      </c>
      <c r="G6877" s="88">
        <f t="shared" si="1"/>
        <v>0.48</v>
      </c>
      <c r="H6877" s="89">
        <f t="shared" si="18"/>
        <v>0.05106382979</v>
      </c>
      <c r="I6877" s="78" t="s">
        <v>7855</v>
      </c>
      <c r="J6877" s="78" t="s">
        <v>69</v>
      </c>
      <c r="K6877" s="58">
        <f t="shared" si="17"/>
        <v>23</v>
      </c>
      <c r="L6877" s="91" t="str">
        <f t="shared" si="8"/>
        <v>Sun</v>
      </c>
      <c r="M6877" s="78" t="str">
        <f>IFERROR(VLOOKUP(A6877, Entries!A:B,2,false),"")</f>
        <v>Codemasters</v>
      </c>
      <c r="N6877" s="23" t="str">
        <f>IFERROR(VLOOKUP(A6877, Entries!A:K,11,false),"")</f>
        <v/>
      </c>
    </row>
    <row r="6878">
      <c r="A6878" s="78" t="s">
        <v>7092</v>
      </c>
      <c r="B6878" s="78" t="s">
        <v>23</v>
      </c>
      <c r="C6878" s="85">
        <v>45611.0</v>
      </c>
      <c r="D6878" s="85">
        <v>45612.0</v>
      </c>
      <c r="E6878" s="86">
        <v>8.92</v>
      </c>
      <c r="F6878" s="87">
        <v>9.63</v>
      </c>
      <c r="G6878" s="88">
        <f t="shared" si="1"/>
        <v>0.71</v>
      </c>
      <c r="H6878" s="89">
        <f t="shared" si="18"/>
        <v>0.07372793354</v>
      </c>
      <c r="I6878" s="78" t="s">
        <v>7856</v>
      </c>
      <c r="J6878" s="78" t="s">
        <v>69</v>
      </c>
      <c r="K6878" s="58">
        <f t="shared" si="17"/>
        <v>1</v>
      </c>
      <c r="L6878" s="91" t="str">
        <f t="shared" si="8"/>
        <v>Sat</v>
      </c>
      <c r="M6878" s="78" t="str">
        <f>IFERROR(VLOOKUP(A6878, Entries!A:B,2,false),"")</f>
        <v>IO Interactive</v>
      </c>
      <c r="N6878" s="23" t="str">
        <f>IFERROR(VLOOKUP(A6878, Entries!A:K,11,false),"")</f>
        <v/>
      </c>
    </row>
    <row r="6879">
      <c r="A6879" s="78" t="s">
        <v>7845</v>
      </c>
      <c r="B6879" s="78" t="s">
        <v>22</v>
      </c>
      <c r="C6879" s="85">
        <v>45611.0</v>
      </c>
      <c r="D6879" s="85">
        <v>45611.0</v>
      </c>
      <c r="E6879" s="86">
        <v>42.17</v>
      </c>
      <c r="F6879" s="87">
        <v>47.77</v>
      </c>
      <c r="G6879" s="88">
        <f t="shared" si="1"/>
        <v>5.6</v>
      </c>
      <c r="H6879" s="89">
        <f t="shared" si="18"/>
        <v>0.117228386</v>
      </c>
      <c r="I6879" s="78" t="s">
        <v>7857</v>
      </c>
      <c r="J6879" s="78" t="s">
        <v>69</v>
      </c>
      <c r="K6879" s="58">
        <f t="shared" si="17"/>
        <v>0</v>
      </c>
      <c r="L6879" s="91" t="str">
        <f t="shared" si="8"/>
        <v>Fri</v>
      </c>
      <c r="M6879" s="78" t="str">
        <f>IFERROR(VLOOKUP(A6879, Entries!A:B,2,false),"")</f>
        <v>Square Enix</v>
      </c>
      <c r="N6879" s="23" t="str">
        <f>IFERROR(VLOOKUP(A6879, Entries!A:K,11,false),"")</f>
        <v/>
      </c>
    </row>
    <row r="6880">
      <c r="A6880" s="78" t="s">
        <v>7845</v>
      </c>
      <c r="B6880" s="78" t="s">
        <v>22</v>
      </c>
      <c r="C6880" s="85">
        <v>45611.0</v>
      </c>
      <c r="D6880" s="85">
        <v>45611.0</v>
      </c>
      <c r="E6880" s="86">
        <v>42.17</v>
      </c>
      <c r="F6880" s="87">
        <v>47.96</v>
      </c>
      <c r="G6880" s="88">
        <f t="shared" si="1"/>
        <v>5.79</v>
      </c>
      <c r="H6880" s="89">
        <f t="shared" si="18"/>
        <v>0.1207256047</v>
      </c>
      <c r="I6880" s="78" t="s">
        <v>7858</v>
      </c>
      <c r="J6880" s="78" t="s">
        <v>69</v>
      </c>
      <c r="K6880" s="58">
        <f t="shared" si="17"/>
        <v>0</v>
      </c>
      <c r="L6880" s="91" t="str">
        <f t="shared" si="8"/>
        <v>Fri</v>
      </c>
      <c r="M6880" s="78" t="str">
        <f>IFERROR(VLOOKUP(A6880, Entries!A:B,2,false),"")</f>
        <v>Square Enix</v>
      </c>
      <c r="N6880" s="23" t="str">
        <f>IFERROR(VLOOKUP(A6880, Entries!A:K,11,false),"")</f>
        <v/>
      </c>
    </row>
    <row r="6881">
      <c r="A6881" s="78" t="s">
        <v>7845</v>
      </c>
      <c r="B6881" s="78" t="s">
        <v>22</v>
      </c>
      <c r="C6881" s="85">
        <v>45611.0</v>
      </c>
      <c r="D6881" s="85">
        <v>45612.0</v>
      </c>
      <c r="E6881" s="86">
        <v>42.17</v>
      </c>
      <c r="F6881" s="87">
        <v>45.71</v>
      </c>
      <c r="G6881" s="88">
        <f t="shared" si="1"/>
        <v>3.54</v>
      </c>
      <c r="H6881" s="89">
        <f t="shared" si="18"/>
        <v>0.07744476045</v>
      </c>
      <c r="I6881" s="78" t="s">
        <v>7859</v>
      </c>
      <c r="J6881" s="78" t="s">
        <v>69</v>
      </c>
      <c r="K6881" s="58">
        <f t="shared" si="17"/>
        <v>1</v>
      </c>
      <c r="L6881" s="91" t="str">
        <f t="shared" si="8"/>
        <v>Sat</v>
      </c>
      <c r="M6881" s="78" t="str">
        <f>IFERROR(VLOOKUP(A6881, Entries!A:B,2,false),"")</f>
        <v>Square Enix</v>
      </c>
      <c r="N6881" s="23" t="str">
        <f>IFERROR(VLOOKUP(A6881, Entries!A:K,11,false),"")</f>
        <v/>
      </c>
    </row>
    <row r="6882">
      <c r="A6882" s="78" t="s">
        <v>7860</v>
      </c>
      <c r="B6882" s="78" t="s">
        <v>21</v>
      </c>
      <c r="C6882" s="85">
        <v>45612.0</v>
      </c>
      <c r="D6882" s="85">
        <v>45612.0</v>
      </c>
      <c r="E6882" s="86">
        <v>34.01</v>
      </c>
      <c r="F6882" s="87">
        <v>39.03</v>
      </c>
      <c r="G6882" s="88">
        <f t="shared" si="1"/>
        <v>5.02</v>
      </c>
      <c r="H6882" s="89">
        <f t="shared" si="18"/>
        <v>0.128619011</v>
      </c>
      <c r="I6882" s="78" t="s">
        <v>7861</v>
      </c>
      <c r="J6882" s="78" t="s">
        <v>69</v>
      </c>
      <c r="K6882" s="58">
        <f t="shared" si="17"/>
        <v>0</v>
      </c>
      <c r="L6882" s="91" t="str">
        <f t="shared" si="8"/>
        <v>Sat</v>
      </c>
      <c r="M6882" s="78" t="str">
        <f>IFERROR(VLOOKUP(A6882, Entries!A:B,2,false),"")</f>
        <v/>
      </c>
      <c r="N6882" s="23" t="str">
        <f>IFERROR(VLOOKUP(A6882, Entries!A:K,11,false),"")</f>
        <v/>
      </c>
    </row>
    <row r="6883">
      <c r="A6883" s="78" t="s">
        <v>7515</v>
      </c>
      <c r="B6883" s="78" t="s">
        <v>22</v>
      </c>
      <c r="C6883" s="85">
        <v>45612.0</v>
      </c>
      <c r="D6883" s="85">
        <v>45624.0</v>
      </c>
      <c r="E6883" s="86">
        <v>10.52</v>
      </c>
      <c r="F6883" s="87">
        <v>12.42</v>
      </c>
      <c r="G6883" s="88">
        <f t="shared" si="1"/>
        <v>1.9</v>
      </c>
      <c r="H6883" s="89">
        <f t="shared" si="18"/>
        <v>0.152979066</v>
      </c>
      <c r="I6883" s="78" t="s">
        <v>7862</v>
      </c>
      <c r="J6883" s="78" t="s">
        <v>69</v>
      </c>
      <c r="K6883" s="58">
        <f t="shared" si="17"/>
        <v>12</v>
      </c>
      <c r="L6883" s="91" t="str">
        <f t="shared" si="8"/>
        <v>Thu</v>
      </c>
      <c r="M6883" s="98" t="str">
        <f>IFERROR(VLOOKUP(A6883, Entries!A:B,2,false),"")</f>
        <v>indie.io</v>
      </c>
      <c r="N6883" s="23" t="str">
        <f>IFERROR(VLOOKUP(A6883, Entries!A:K,11,false),"")</f>
        <v/>
      </c>
    </row>
    <row r="6884">
      <c r="A6884" s="78" t="s">
        <v>7845</v>
      </c>
      <c r="B6884" s="78" t="s">
        <v>22</v>
      </c>
      <c r="C6884" s="85">
        <v>45612.0</v>
      </c>
      <c r="D6884" s="85">
        <v>45612.0</v>
      </c>
      <c r="E6884" s="86">
        <v>42.09</v>
      </c>
      <c r="F6884" s="87">
        <v>45.71</v>
      </c>
      <c r="G6884" s="88">
        <f t="shared" si="1"/>
        <v>3.62</v>
      </c>
      <c r="H6884" s="89">
        <f t="shared" si="18"/>
        <v>0.07919492452</v>
      </c>
      <c r="I6884" s="78" t="s">
        <v>7863</v>
      </c>
      <c r="J6884" s="78" t="s">
        <v>69</v>
      </c>
      <c r="K6884" s="58">
        <f t="shared" si="17"/>
        <v>0</v>
      </c>
      <c r="L6884" s="91" t="str">
        <f t="shared" si="8"/>
        <v>Sat</v>
      </c>
      <c r="M6884" s="78" t="str">
        <f>IFERROR(VLOOKUP(A6884, Entries!A:B,2,false),"")</f>
        <v>Square Enix</v>
      </c>
      <c r="N6884" s="23" t="str">
        <f>IFERROR(VLOOKUP(A6884, Entries!A:K,11,false),"")</f>
        <v/>
      </c>
    </row>
    <row r="6885">
      <c r="A6885" s="78" t="s">
        <v>7092</v>
      </c>
      <c r="B6885" s="78" t="s">
        <v>23</v>
      </c>
      <c r="C6885" s="85">
        <v>45612.0</v>
      </c>
      <c r="D6885" s="85">
        <v>45612.0</v>
      </c>
      <c r="E6885" s="86">
        <v>8.91</v>
      </c>
      <c r="F6885" s="87">
        <v>9.5</v>
      </c>
      <c r="G6885" s="88">
        <f t="shared" si="1"/>
        <v>0.59</v>
      </c>
      <c r="H6885" s="89">
        <f t="shared" si="18"/>
        <v>0.06210526316</v>
      </c>
      <c r="I6885" s="78" t="s">
        <v>7864</v>
      </c>
      <c r="J6885" s="78" t="s">
        <v>69</v>
      </c>
      <c r="K6885" s="58">
        <f t="shared" si="17"/>
        <v>0</v>
      </c>
      <c r="L6885" s="91" t="str">
        <f t="shared" si="8"/>
        <v>Sat</v>
      </c>
      <c r="M6885" s="78" t="str">
        <f>IFERROR(VLOOKUP(A6885, Entries!A:B,2,false),"")</f>
        <v>IO Interactive</v>
      </c>
      <c r="N6885" s="23" t="str">
        <f>IFERROR(VLOOKUP(A6885, Entries!A:K,11,false),"")</f>
        <v/>
      </c>
    </row>
    <row r="6886">
      <c r="A6886" s="78" t="s">
        <v>7865</v>
      </c>
      <c r="B6886" s="78" t="s">
        <v>38</v>
      </c>
      <c r="C6886" s="85">
        <v>45612.0</v>
      </c>
      <c r="D6886" s="85">
        <v>45612.0</v>
      </c>
      <c r="E6886" s="86">
        <v>10.18</v>
      </c>
      <c r="F6886" s="87">
        <v>17.85</v>
      </c>
      <c r="G6886" s="88">
        <f t="shared" si="1"/>
        <v>7.67</v>
      </c>
      <c r="H6886" s="89">
        <f t="shared" si="18"/>
        <v>0.4296918768</v>
      </c>
      <c r="I6886" s="78" t="s">
        <v>7866</v>
      </c>
      <c r="J6886" s="78" t="s">
        <v>69</v>
      </c>
      <c r="K6886" s="58">
        <f t="shared" si="17"/>
        <v>0</v>
      </c>
      <c r="L6886" s="91" t="str">
        <f t="shared" si="8"/>
        <v>Sat</v>
      </c>
      <c r="M6886" s="78" t="str">
        <f>IFERROR(VLOOKUP(A6886, Entries!A:B,2,false),"")</f>
        <v>Frontier Foundry</v>
      </c>
      <c r="N6886" s="23" t="str">
        <f>IFERROR(VLOOKUP(A6886, Entries!A:K,11,false),"")</f>
        <v/>
      </c>
    </row>
    <row r="6887">
      <c r="A6887" s="78" t="s">
        <v>7845</v>
      </c>
      <c r="B6887" s="78" t="s">
        <v>22</v>
      </c>
      <c r="C6887" s="85">
        <v>45612.0</v>
      </c>
      <c r="D6887" s="85">
        <v>45612.0</v>
      </c>
      <c r="E6887" s="86">
        <v>42.09</v>
      </c>
      <c r="F6887" s="87">
        <v>45.69</v>
      </c>
      <c r="G6887" s="88">
        <f t="shared" si="1"/>
        <v>3.6</v>
      </c>
      <c r="H6887" s="89">
        <f t="shared" si="18"/>
        <v>0.07879185817</v>
      </c>
      <c r="I6887" s="78" t="s">
        <v>7867</v>
      </c>
      <c r="J6887" s="78" t="s">
        <v>69</v>
      </c>
      <c r="K6887" s="58">
        <f t="shared" si="17"/>
        <v>0</v>
      </c>
      <c r="L6887" s="91" t="str">
        <f t="shared" si="8"/>
        <v>Sat</v>
      </c>
      <c r="M6887" s="78" t="str">
        <f>IFERROR(VLOOKUP(A6887, Entries!A:B,2,false),"")</f>
        <v>Square Enix</v>
      </c>
      <c r="N6887" s="23" t="str">
        <f>IFERROR(VLOOKUP(A6887, Entries!A:K,11,false),"")</f>
        <v/>
      </c>
    </row>
    <row r="6888">
      <c r="A6888" s="78" t="s">
        <v>7845</v>
      </c>
      <c r="B6888" s="78" t="s">
        <v>22</v>
      </c>
      <c r="C6888" s="85">
        <v>45612.0</v>
      </c>
      <c r="D6888" s="85">
        <v>45612.0</v>
      </c>
      <c r="E6888" s="86">
        <v>42.09</v>
      </c>
      <c r="F6888" s="87">
        <v>45.68</v>
      </c>
      <c r="G6888" s="88">
        <f t="shared" si="1"/>
        <v>3.59</v>
      </c>
      <c r="H6888" s="89">
        <f t="shared" si="18"/>
        <v>0.07859019264</v>
      </c>
      <c r="I6888" s="78" t="s">
        <v>7868</v>
      </c>
      <c r="J6888" s="78" t="s">
        <v>69</v>
      </c>
      <c r="K6888" s="58">
        <f t="shared" si="17"/>
        <v>0</v>
      </c>
      <c r="L6888" s="91" t="str">
        <f t="shared" si="8"/>
        <v>Sat</v>
      </c>
      <c r="M6888" s="78" t="str">
        <f>IFERROR(VLOOKUP(A6888, Entries!A:B,2,false),"")</f>
        <v>Square Enix</v>
      </c>
      <c r="N6888" s="23" t="str">
        <f>IFERROR(VLOOKUP(A6888, Entries!A:K,11,false),"")</f>
        <v/>
      </c>
    </row>
    <row r="6889">
      <c r="A6889" s="78" t="s">
        <v>7865</v>
      </c>
      <c r="B6889" s="78" t="s">
        <v>38</v>
      </c>
      <c r="C6889" s="85">
        <v>45612.0</v>
      </c>
      <c r="D6889" s="85">
        <v>45612.0</v>
      </c>
      <c r="E6889" s="86">
        <v>10.18</v>
      </c>
      <c r="F6889" s="87">
        <v>18.02</v>
      </c>
      <c r="G6889" s="88">
        <f t="shared" si="1"/>
        <v>7.84</v>
      </c>
      <c r="H6889" s="89">
        <f t="shared" si="18"/>
        <v>0.4350721421</v>
      </c>
      <c r="I6889" s="78" t="s">
        <v>7869</v>
      </c>
      <c r="J6889" s="78" t="s">
        <v>69</v>
      </c>
      <c r="K6889" s="58">
        <f t="shared" si="17"/>
        <v>0</v>
      </c>
      <c r="L6889" s="91" t="str">
        <f t="shared" si="8"/>
        <v>Sat</v>
      </c>
      <c r="M6889" s="78" t="str">
        <f>IFERROR(VLOOKUP(A6889, Entries!A:B,2,false),"")</f>
        <v>Frontier Foundry</v>
      </c>
      <c r="N6889" s="23" t="str">
        <f>IFERROR(VLOOKUP(A6889, Entries!A:K,11,false),"")</f>
        <v/>
      </c>
    </row>
    <row r="6890">
      <c r="A6890" s="78" t="s">
        <v>7798</v>
      </c>
      <c r="B6890" s="78" t="s">
        <v>22</v>
      </c>
      <c r="C6890" s="85">
        <v>45612.0</v>
      </c>
      <c r="D6890" s="85">
        <v>45613.0</v>
      </c>
      <c r="E6890" s="86">
        <v>10.52</v>
      </c>
      <c r="F6890" s="87">
        <v>15.58</v>
      </c>
      <c r="G6890" s="88">
        <f t="shared" si="1"/>
        <v>5.06</v>
      </c>
      <c r="H6890" s="89">
        <f t="shared" si="18"/>
        <v>0.324775353</v>
      </c>
      <c r="I6890" s="78" t="s">
        <v>7870</v>
      </c>
      <c r="J6890" s="78" t="s">
        <v>69</v>
      </c>
      <c r="K6890" s="58">
        <f t="shared" si="17"/>
        <v>1</v>
      </c>
      <c r="L6890" s="91" t="str">
        <f t="shared" si="8"/>
        <v>Sun</v>
      </c>
      <c r="M6890" s="78" t="str">
        <f>IFERROR(VLOOKUP(A6890, Entries!A:B,2,false),"")</f>
        <v>Konami</v>
      </c>
      <c r="N6890" s="23" t="str">
        <f>IFERROR(VLOOKUP(A6890, Entries!A:K,11,false),"")</f>
        <v/>
      </c>
    </row>
    <row r="6891">
      <c r="A6891" s="78" t="s">
        <v>7865</v>
      </c>
      <c r="B6891" s="78" t="s">
        <v>38</v>
      </c>
      <c r="C6891" s="85">
        <v>45612.0</v>
      </c>
      <c r="D6891" s="85">
        <v>45612.0</v>
      </c>
      <c r="E6891" s="86">
        <v>10.18</v>
      </c>
      <c r="F6891" s="87">
        <v>18.26</v>
      </c>
      <c r="G6891" s="88">
        <f t="shared" si="1"/>
        <v>8.08</v>
      </c>
      <c r="H6891" s="89">
        <f t="shared" si="18"/>
        <v>0.4424972618</v>
      </c>
      <c r="I6891" s="78" t="s">
        <v>7871</v>
      </c>
      <c r="J6891" s="78" t="s">
        <v>69</v>
      </c>
      <c r="K6891" s="58">
        <f t="shared" si="17"/>
        <v>0</v>
      </c>
      <c r="L6891" s="91" t="str">
        <f t="shared" si="8"/>
        <v>Sat</v>
      </c>
      <c r="M6891" s="78" t="str">
        <f>IFERROR(VLOOKUP(A6891, Entries!A:B,2,false),"")</f>
        <v>Frontier Foundry</v>
      </c>
      <c r="N6891" s="23" t="str">
        <f>IFERROR(VLOOKUP(A6891, Entries!A:K,11,false),"")</f>
        <v/>
      </c>
    </row>
    <row r="6892">
      <c r="A6892" s="78" t="s">
        <v>7092</v>
      </c>
      <c r="B6892" s="78" t="s">
        <v>23</v>
      </c>
      <c r="C6892" s="85">
        <v>45612.0</v>
      </c>
      <c r="D6892" s="85">
        <v>45612.0</v>
      </c>
      <c r="E6892" s="86">
        <v>8.91</v>
      </c>
      <c r="F6892" s="87">
        <v>9.5</v>
      </c>
      <c r="G6892" s="88">
        <f t="shared" si="1"/>
        <v>0.59</v>
      </c>
      <c r="H6892" s="89">
        <f t="shared" si="18"/>
        <v>0.06210526316</v>
      </c>
      <c r="I6892" s="78" t="s">
        <v>7872</v>
      </c>
      <c r="J6892" s="78" t="s">
        <v>69</v>
      </c>
      <c r="K6892" s="58">
        <f t="shared" si="17"/>
        <v>0</v>
      </c>
      <c r="L6892" s="91" t="str">
        <f t="shared" si="8"/>
        <v>Sat</v>
      </c>
      <c r="M6892" s="78" t="str">
        <f>IFERROR(VLOOKUP(A6892, Entries!A:B,2,false),"")</f>
        <v>IO Interactive</v>
      </c>
      <c r="N6892" s="23" t="str">
        <f>IFERROR(VLOOKUP(A6892, Entries!A:K,11,false),"")</f>
        <v/>
      </c>
    </row>
    <row r="6893">
      <c r="A6893" s="78" t="s">
        <v>7845</v>
      </c>
      <c r="B6893" s="78" t="s">
        <v>22</v>
      </c>
      <c r="C6893" s="85">
        <v>45612.0</v>
      </c>
      <c r="D6893" s="85">
        <v>45615.0</v>
      </c>
      <c r="E6893" s="86">
        <v>42.09</v>
      </c>
      <c r="F6893" s="87">
        <v>44.69</v>
      </c>
      <c r="G6893" s="88">
        <f t="shared" si="1"/>
        <v>2.6</v>
      </c>
      <c r="H6893" s="89">
        <f t="shared" si="18"/>
        <v>0.05817856344</v>
      </c>
      <c r="I6893" s="78" t="s">
        <v>7873</v>
      </c>
      <c r="J6893" s="78" t="s">
        <v>69</v>
      </c>
      <c r="K6893" s="58">
        <f t="shared" si="17"/>
        <v>3</v>
      </c>
      <c r="L6893" s="91" t="str">
        <f t="shared" si="8"/>
        <v>Tue</v>
      </c>
      <c r="M6893" s="78" t="str">
        <f>IFERROR(VLOOKUP(A6893, Entries!A:B,2,false),"")</f>
        <v>Square Enix</v>
      </c>
      <c r="N6893" s="23" t="str">
        <f>IFERROR(VLOOKUP(A6893, Entries!A:K,11,false),"")</f>
        <v/>
      </c>
    </row>
    <row r="6894">
      <c r="A6894" s="78" t="s">
        <v>7865</v>
      </c>
      <c r="B6894" s="78" t="s">
        <v>38</v>
      </c>
      <c r="C6894" s="85">
        <v>45612.0</v>
      </c>
      <c r="D6894" s="85">
        <v>45612.0</v>
      </c>
      <c r="E6894" s="86">
        <v>10.18</v>
      </c>
      <c r="F6894" s="87">
        <v>18.32</v>
      </c>
      <c r="G6894" s="88">
        <f t="shared" si="1"/>
        <v>8.14</v>
      </c>
      <c r="H6894" s="89">
        <f t="shared" si="18"/>
        <v>0.4443231441</v>
      </c>
      <c r="I6894" s="78" t="s">
        <v>7874</v>
      </c>
      <c r="J6894" s="78" t="s">
        <v>69</v>
      </c>
      <c r="K6894" s="58">
        <f t="shared" si="17"/>
        <v>0</v>
      </c>
      <c r="L6894" s="91" t="str">
        <f t="shared" si="8"/>
        <v>Sat</v>
      </c>
      <c r="M6894" s="78" t="str">
        <f>IFERROR(VLOOKUP(A6894, Entries!A:B,2,false),"")</f>
        <v>Frontier Foundry</v>
      </c>
      <c r="N6894" s="23" t="str">
        <f>IFERROR(VLOOKUP(A6894, Entries!A:K,11,false),"")</f>
        <v/>
      </c>
    </row>
    <row r="6895">
      <c r="A6895" s="78" t="s">
        <v>7865</v>
      </c>
      <c r="B6895" s="78" t="s">
        <v>38</v>
      </c>
      <c r="C6895" s="85">
        <v>45612.0</v>
      </c>
      <c r="D6895" s="85">
        <v>45612.0</v>
      </c>
      <c r="E6895" s="86">
        <v>10.18</v>
      </c>
      <c r="F6895" s="87">
        <v>18.35</v>
      </c>
      <c r="G6895" s="88">
        <f t="shared" si="1"/>
        <v>8.17</v>
      </c>
      <c r="H6895" s="89">
        <f t="shared" si="18"/>
        <v>0.4452316076</v>
      </c>
      <c r="I6895" s="78" t="s">
        <v>7875</v>
      </c>
      <c r="J6895" s="78" t="s">
        <v>69</v>
      </c>
      <c r="K6895" s="58">
        <f t="shared" si="17"/>
        <v>0</v>
      </c>
      <c r="L6895" s="91" t="str">
        <f t="shared" si="8"/>
        <v>Sat</v>
      </c>
      <c r="M6895" s="78" t="str">
        <f>IFERROR(VLOOKUP(A6895, Entries!A:B,2,false),"")</f>
        <v>Frontier Foundry</v>
      </c>
      <c r="N6895" s="23" t="str">
        <f>IFERROR(VLOOKUP(A6895, Entries!A:K,11,false),"")</f>
        <v/>
      </c>
    </row>
    <row r="6896">
      <c r="A6896" s="78" t="s">
        <v>7865</v>
      </c>
      <c r="B6896" s="78" t="s">
        <v>38</v>
      </c>
      <c r="C6896" s="85">
        <v>45612.0</v>
      </c>
      <c r="D6896" s="85">
        <v>45613.0</v>
      </c>
      <c r="E6896" s="86">
        <v>10.18</v>
      </c>
      <c r="F6896" s="87">
        <v>18.35</v>
      </c>
      <c r="G6896" s="88">
        <f t="shared" si="1"/>
        <v>8.17</v>
      </c>
      <c r="H6896" s="89">
        <f t="shared" si="18"/>
        <v>0.4452316076</v>
      </c>
      <c r="I6896" s="78" t="s">
        <v>7876</v>
      </c>
      <c r="J6896" s="78" t="s">
        <v>69</v>
      </c>
      <c r="K6896" s="58">
        <f t="shared" si="17"/>
        <v>1</v>
      </c>
      <c r="L6896" s="91" t="str">
        <f t="shared" si="8"/>
        <v>Sun</v>
      </c>
      <c r="M6896" s="78" t="str">
        <f>IFERROR(VLOOKUP(A6896, Entries!A:B,2,false),"")</f>
        <v>Frontier Foundry</v>
      </c>
      <c r="N6896" s="23" t="str">
        <f>IFERROR(VLOOKUP(A6896, Entries!A:K,11,false),"")</f>
        <v/>
      </c>
    </row>
    <row r="6897">
      <c r="A6897" s="78" t="s">
        <v>7865</v>
      </c>
      <c r="B6897" s="78" t="s">
        <v>38</v>
      </c>
      <c r="C6897" s="85">
        <v>45612.0</v>
      </c>
      <c r="D6897" s="85">
        <v>45613.0</v>
      </c>
      <c r="E6897" s="86">
        <v>10.18</v>
      </c>
      <c r="F6897" s="87">
        <v>18.35</v>
      </c>
      <c r="G6897" s="88">
        <f t="shared" si="1"/>
        <v>8.17</v>
      </c>
      <c r="H6897" s="89">
        <f t="shared" si="18"/>
        <v>0.4452316076</v>
      </c>
      <c r="I6897" s="78" t="s">
        <v>7877</v>
      </c>
      <c r="J6897" s="78" t="s">
        <v>69</v>
      </c>
      <c r="K6897" s="58">
        <f t="shared" si="17"/>
        <v>1</v>
      </c>
      <c r="L6897" s="91" t="str">
        <f t="shared" si="8"/>
        <v>Sun</v>
      </c>
      <c r="M6897" s="78" t="str">
        <f>IFERROR(VLOOKUP(A6897, Entries!A:B,2,false),"")</f>
        <v>Frontier Foundry</v>
      </c>
      <c r="N6897" s="23" t="str">
        <f>IFERROR(VLOOKUP(A6897, Entries!A:K,11,false),"")</f>
        <v/>
      </c>
    </row>
    <row r="6898">
      <c r="A6898" s="78" t="s">
        <v>7865</v>
      </c>
      <c r="B6898" s="78" t="s">
        <v>38</v>
      </c>
      <c r="C6898" s="85">
        <v>45612.0</v>
      </c>
      <c r="D6898" s="85">
        <v>45613.0</v>
      </c>
      <c r="E6898" s="86">
        <v>10.17</v>
      </c>
      <c r="F6898" s="87">
        <v>18.35</v>
      </c>
      <c r="G6898" s="88">
        <f t="shared" si="1"/>
        <v>8.18</v>
      </c>
      <c r="H6898" s="89">
        <f t="shared" si="18"/>
        <v>0.4457765668</v>
      </c>
      <c r="I6898" s="78" t="s">
        <v>7878</v>
      </c>
      <c r="J6898" s="78" t="s">
        <v>69</v>
      </c>
      <c r="K6898" s="58">
        <f t="shared" si="17"/>
        <v>1</v>
      </c>
      <c r="L6898" s="91" t="str">
        <f t="shared" si="8"/>
        <v>Sun</v>
      </c>
      <c r="M6898" s="78" t="str">
        <f>IFERROR(VLOOKUP(A6898, Entries!A:B,2,false),"")</f>
        <v>Frontier Foundry</v>
      </c>
      <c r="N6898" s="23" t="str">
        <f>IFERROR(VLOOKUP(A6898, Entries!A:K,11,false),"")</f>
        <v/>
      </c>
    </row>
    <row r="6899">
      <c r="A6899" s="78" t="s">
        <v>7798</v>
      </c>
      <c r="B6899" s="78" t="s">
        <v>22</v>
      </c>
      <c r="C6899" s="85">
        <v>45613.0</v>
      </c>
      <c r="D6899" s="85">
        <v>45620.0</v>
      </c>
      <c r="E6899" s="86">
        <v>10.52</v>
      </c>
      <c r="F6899" s="87">
        <v>15.58</v>
      </c>
      <c r="G6899" s="88">
        <f t="shared" si="1"/>
        <v>5.06</v>
      </c>
      <c r="H6899" s="89">
        <f t="shared" si="18"/>
        <v>0.324775353</v>
      </c>
      <c r="I6899" s="78" t="s">
        <v>7879</v>
      </c>
      <c r="J6899" s="78" t="s">
        <v>69</v>
      </c>
      <c r="K6899" s="58">
        <f t="shared" si="17"/>
        <v>7</v>
      </c>
      <c r="L6899" s="91" t="str">
        <f t="shared" si="8"/>
        <v>Sun</v>
      </c>
      <c r="M6899" s="78" t="str">
        <f>IFERROR(VLOOKUP(A6899, Entries!A:B,2,false),"")</f>
        <v>Konami</v>
      </c>
      <c r="N6899" s="23" t="str">
        <f>IFERROR(VLOOKUP(A6899, Entries!A:K,11,false),"")</f>
        <v/>
      </c>
    </row>
    <row r="6900">
      <c r="A6900" s="78" t="s">
        <v>7865</v>
      </c>
      <c r="B6900" s="78" t="s">
        <v>38</v>
      </c>
      <c r="C6900" s="85">
        <v>45613.0</v>
      </c>
      <c r="D6900" s="85">
        <v>45613.0</v>
      </c>
      <c r="E6900" s="86">
        <v>10.18</v>
      </c>
      <c r="F6900" s="87">
        <v>18.37</v>
      </c>
      <c r="G6900" s="88">
        <f t="shared" si="1"/>
        <v>8.19</v>
      </c>
      <c r="H6900" s="89">
        <f t="shared" si="18"/>
        <v>0.4458356015</v>
      </c>
      <c r="I6900" s="78" t="s">
        <v>7880</v>
      </c>
      <c r="J6900" s="78" t="s">
        <v>69</v>
      </c>
      <c r="K6900" s="58">
        <f t="shared" si="17"/>
        <v>0</v>
      </c>
      <c r="L6900" s="91" t="str">
        <f t="shared" si="8"/>
        <v>Sun</v>
      </c>
      <c r="M6900" s="78" t="str">
        <f>IFERROR(VLOOKUP(A6900, Entries!A:B,2,false),"")</f>
        <v>Frontier Foundry</v>
      </c>
      <c r="N6900" s="23" t="str">
        <f>IFERROR(VLOOKUP(A6900, Entries!A:K,11,false),"")</f>
        <v/>
      </c>
    </row>
    <row r="6901">
      <c r="A6901" s="78" t="s">
        <v>7865</v>
      </c>
      <c r="B6901" s="78" t="s">
        <v>38</v>
      </c>
      <c r="C6901" s="85">
        <v>45613.0</v>
      </c>
      <c r="D6901" s="85">
        <v>45613.0</v>
      </c>
      <c r="E6901" s="86">
        <v>10.17</v>
      </c>
      <c r="F6901" s="87">
        <v>18.36</v>
      </c>
      <c r="G6901" s="88">
        <f t="shared" si="1"/>
        <v>8.19</v>
      </c>
      <c r="H6901" s="89">
        <f t="shared" si="18"/>
        <v>0.4460784314</v>
      </c>
      <c r="I6901" s="78" t="s">
        <v>7881</v>
      </c>
      <c r="J6901" s="78" t="s">
        <v>69</v>
      </c>
      <c r="K6901" s="58">
        <f t="shared" si="17"/>
        <v>0</v>
      </c>
      <c r="L6901" s="91" t="str">
        <f t="shared" si="8"/>
        <v>Sun</v>
      </c>
      <c r="M6901" s="78" t="str">
        <f>IFERROR(VLOOKUP(A6901, Entries!A:B,2,false),"")</f>
        <v>Frontier Foundry</v>
      </c>
      <c r="N6901" s="23" t="str">
        <f>IFERROR(VLOOKUP(A6901, Entries!A:K,11,false),"")</f>
        <v/>
      </c>
    </row>
    <row r="6902">
      <c r="A6902" s="78" t="s">
        <v>7865</v>
      </c>
      <c r="B6902" s="78" t="s">
        <v>38</v>
      </c>
      <c r="C6902" s="85">
        <v>45613.0</v>
      </c>
      <c r="D6902" s="85">
        <v>45613.0</v>
      </c>
      <c r="E6902" s="86">
        <v>10.66</v>
      </c>
      <c r="F6902" s="87">
        <v>18.39</v>
      </c>
      <c r="G6902" s="88">
        <f t="shared" si="1"/>
        <v>7.73</v>
      </c>
      <c r="H6902" s="89">
        <f t="shared" si="18"/>
        <v>0.4203371397</v>
      </c>
      <c r="I6902" s="78" t="s">
        <v>7882</v>
      </c>
      <c r="J6902" s="78" t="s">
        <v>69</v>
      </c>
      <c r="K6902" s="58">
        <f t="shared" si="17"/>
        <v>0</v>
      </c>
      <c r="L6902" s="91" t="str">
        <f t="shared" si="8"/>
        <v>Sun</v>
      </c>
      <c r="M6902" s="78" t="str">
        <f>IFERROR(VLOOKUP(A6902, Entries!A:B,2,false),"")</f>
        <v>Frontier Foundry</v>
      </c>
      <c r="N6902" s="23" t="str">
        <f>IFERROR(VLOOKUP(A6902, Entries!A:K,11,false),"")</f>
        <v/>
      </c>
    </row>
    <row r="6903">
      <c r="A6903" s="78" t="s">
        <v>7865</v>
      </c>
      <c r="B6903" s="78" t="s">
        <v>38</v>
      </c>
      <c r="C6903" s="85">
        <v>45613.0</v>
      </c>
      <c r="D6903" s="85">
        <v>45613.0</v>
      </c>
      <c r="E6903" s="86">
        <v>10.66</v>
      </c>
      <c r="F6903" s="87">
        <v>18.39</v>
      </c>
      <c r="G6903" s="88">
        <f t="shared" si="1"/>
        <v>7.73</v>
      </c>
      <c r="H6903" s="89">
        <f t="shared" si="18"/>
        <v>0.4203371397</v>
      </c>
      <c r="I6903" s="78" t="s">
        <v>7883</v>
      </c>
      <c r="J6903" s="78" t="s">
        <v>69</v>
      </c>
      <c r="K6903" s="58">
        <f t="shared" si="17"/>
        <v>0</v>
      </c>
      <c r="L6903" s="91" t="str">
        <f t="shared" si="8"/>
        <v>Sun</v>
      </c>
      <c r="M6903" s="78" t="str">
        <f>IFERROR(VLOOKUP(A6903, Entries!A:B,2,false),"")</f>
        <v>Frontier Foundry</v>
      </c>
      <c r="N6903" s="23" t="str">
        <f>IFERROR(VLOOKUP(A6903, Entries!A:K,11,false),"")</f>
        <v/>
      </c>
    </row>
    <row r="6904">
      <c r="A6904" s="78" t="s">
        <v>7816</v>
      </c>
      <c r="B6904" s="78" t="s">
        <v>21</v>
      </c>
      <c r="C6904" s="85">
        <v>45613.0</v>
      </c>
      <c r="D6904" s="85">
        <v>45618.0</v>
      </c>
      <c r="E6904" s="86">
        <v>26.98</v>
      </c>
      <c r="F6904" s="87">
        <v>28.73</v>
      </c>
      <c r="G6904" s="88">
        <f t="shared" si="1"/>
        <v>1.75</v>
      </c>
      <c r="H6904" s="89">
        <f t="shared" si="18"/>
        <v>0.06091193874</v>
      </c>
      <c r="I6904" s="78" t="s">
        <v>7884</v>
      </c>
      <c r="J6904" s="78" t="s">
        <v>69</v>
      </c>
      <c r="K6904" s="58">
        <f t="shared" si="17"/>
        <v>5</v>
      </c>
      <c r="L6904" s="91" t="str">
        <f t="shared" si="8"/>
        <v>Fri</v>
      </c>
      <c r="M6904" s="78" t="str">
        <f>IFERROR(VLOOKUP(A6904, Entries!A:B,2,false),"")</f>
        <v/>
      </c>
      <c r="N6904" s="23" t="str">
        <f>IFERROR(VLOOKUP(A6904, Entries!A:K,11,false),"")</f>
        <v/>
      </c>
    </row>
    <row r="6905">
      <c r="A6905" s="78" t="s">
        <v>7814</v>
      </c>
      <c r="B6905" s="78" t="s">
        <v>21</v>
      </c>
      <c r="C6905" s="85">
        <v>45613.0</v>
      </c>
      <c r="D6905" s="85">
        <v>45617.0</v>
      </c>
      <c r="E6905" s="86">
        <v>31.76</v>
      </c>
      <c r="F6905" s="87">
        <v>34.87</v>
      </c>
      <c r="G6905" s="88">
        <f t="shared" si="1"/>
        <v>3.11</v>
      </c>
      <c r="H6905" s="89">
        <f t="shared" si="18"/>
        <v>0.08918841411</v>
      </c>
      <c r="I6905" s="78" t="s">
        <v>7885</v>
      </c>
      <c r="J6905" s="78" t="s">
        <v>69</v>
      </c>
      <c r="K6905" s="58">
        <f t="shared" si="17"/>
        <v>4</v>
      </c>
      <c r="L6905" s="91" t="str">
        <f t="shared" si="8"/>
        <v>Thu</v>
      </c>
      <c r="M6905" s="78" t="str">
        <f>IFERROR(VLOOKUP(A6905, Entries!A:B,2,false),"")</f>
        <v>Electronic Arts</v>
      </c>
      <c r="N6905" s="23" t="str">
        <f>IFERROR(VLOOKUP(A6905, Entries!A:K,11,false),"")</f>
        <v/>
      </c>
    </row>
    <row r="6906">
      <c r="A6906" s="78" t="s">
        <v>7865</v>
      </c>
      <c r="B6906" s="78" t="s">
        <v>38</v>
      </c>
      <c r="C6906" s="85">
        <v>45613.0</v>
      </c>
      <c r="D6906" s="85">
        <v>45613.0</v>
      </c>
      <c r="E6906" s="86">
        <v>10.71</v>
      </c>
      <c r="F6906" s="87">
        <v>18.5</v>
      </c>
      <c r="G6906" s="88">
        <f t="shared" si="1"/>
        <v>7.79</v>
      </c>
      <c r="H6906" s="89">
        <f t="shared" si="18"/>
        <v>0.4210810811</v>
      </c>
      <c r="I6906" s="78" t="s">
        <v>7886</v>
      </c>
      <c r="J6906" s="78" t="s">
        <v>69</v>
      </c>
      <c r="K6906" s="58">
        <f t="shared" si="17"/>
        <v>0</v>
      </c>
      <c r="L6906" s="91" t="str">
        <f t="shared" si="8"/>
        <v>Sun</v>
      </c>
      <c r="M6906" s="78" t="str">
        <f>IFERROR(VLOOKUP(A6906, Entries!A:B,2,false),"")</f>
        <v>Frontier Foundry</v>
      </c>
      <c r="N6906" s="23" t="str">
        <f>IFERROR(VLOOKUP(A6906, Entries!A:K,11,false),"")</f>
        <v/>
      </c>
    </row>
    <row r="6907">
      <c r="A6907" s="78" t="s">
        <v>7865</v>
      </c>
      <c r="B6907" s="78" t="s">
        <v>38</v>
      </c>
      <c r="C6907" s="85">
        <v>45613.0</v>
      </c>
      <c r="D6907" s="85">
        <v>45613.0</v>
      </c>
      <c r="E6907" s="86">
        <v>10.72</v>
      </c>
      <c r="F6907" s="87">
        <v>18.5</v>
      </c>
      <c r="G6907" s="88">
        <f t="shared" si="1"/>
        <v>7.78</v>
      </c>
      <c r="H6907" s="89">
        <f t="shared" si="18"/>
        <v>0.4205405405</v>
      </c>
      <c r="I6907" s="78" t="s">
        <v>7887</v>
      </c>
      <c r="J6907" s="78" t="s">
        <v>69</v>
      </c>
      <c r="K6907" s="58">
        <f t="shared" si="17"/>
        <v>0</v>
      </c>
      <c r="L6907" s="91" t="str">
        <f t="shared" si="8"/>
        <v>Sun</v>
      </c>
      <c r="M6907" s="78" t="str">
        <f>IFERROR(VLOOKUP(A6907, Entries!A:B,2,false),"")</f>
        <v>Frontier Foundry</v>
      </c>
      <c r="N6907" s="23" t="str">
        <f>IFERROR(VLOOKUP(A6907, Entries!A:K,11,false),"")</f>
        <v/>
      </c>
    </row>
    <row r="6908">
      <c r="A6908" s="78" t="s">
        <v>7865</v>
      </c>
      <c r="B6908" s="78" t="s">
        <v>38</v>
      </c>
      <c r="C6908" s="85">
        <v>45613.0</v>
      </c>
      <c r="D6908" s="85">
        <v>45613.0</v>
      </c>
      <c r="E6908" s="86">
        <v>10.71</v>
      </c>
      <c r="F6908" s="87">
        <v>18.53</v>
      </c>
      <c r="G6908" s="88">
        <f t="shared" si="1"/>
        <v>7.82</v>
      </c>
      <c r="H6908" s="89">
        <f t="shared" si="18"/>
        <v>0.4220183486</v>
      </c>
      <c r="I6908" s="78" t="s">
        <v>7888</v>
      </c>
      <c r="J6908" s="78" t="s">
        <v>69</v>
      </c>
      <c r="K6908" s="58">
        <f t="shared" si="17"/>
        <v>0</v>
      </c>
      <c r="L6908" s="91" t="str">
        <f t="shared" si="8"/>
        <v>Sun</v>
      </c>
      <c r="M6908" s="78" t="str">
        <f>IFERROR(VLOOKUP(A6908, Entries!A:B,2,false),"")</f>
        <v>Frontier Foundry</v>
      </c>
      <c r="N6908" s="23" t="str">
        <f>IFERROR(VLOOKUP(A6908, Entries!A:K,11,false),"")</f>
        <v/>
      </c>
    </row>
    <row r="6909">
      <c r="A6909" s="78" t="s">
        <v>7865</v>
      </c>
      <c r="B6909" s="78" t="s">
        <v>38</v>
      </c>
      <c r="C6909" s="85">
        <v>45613.0</v>
      </c>
      <c r="D6909" s="85">
        <v>45614.0</v>
      </c>
      <c r="E6909" s="86">
        <v>10.72</v>
      </c>
      <c r="F6909" s="87">
        <v>18.5</v>
      </c>
      <c r="G6909" s="88">
        <f t="shared" si="1"/>
        <v>7.78</v>
      </c>
      <c r="H6909" s="89">
        <f t="shared" si="18"/>
        <v>0.4205405405</v>
      </c>
      <c r="I6909" s="78" t="s">
        <v>7889</v>
      </c>
      <c r="J6909" s="78" t="s">
        <v>69</v>
      </c>
      <c r="K6909" s="58">
        <f t="shared" si="17"/>
        <v>1</v>
      </c>
      <c r="L6909" s="91" t="str">
        <f t="shared" si="8"/>
        <v>Mon</v>
      </c>
      <c r="M6909" s="78" t="str">
        <f>IFERROR(VLOOKUP(A6909, Entries!A:B,2,false),"")</f>
        <v>Frontier Foundry</v>
      </c>
      <c r="N6909" s="23" t="str">
        <f>IFERROR(VLOOKUP(A6909, Entries!A:K,11,false),"")</f>
        <v/>
      </c>
    </row>
    <row r="6910">
      <c r="A6910" s="78" t="s">
        <v>7865</v>
      </c>
      <c r="B6910" s="78" t="s">
        <v>38</v>
      </c>
      <c r="C6910" s="85">
        <v>45613.0</v>
      </c>
      <c r="D6910" s="85">
        <v>45614.0</v>
      </c>
      <c r="E6910" s="86">
        <v>10.71</v>
      </c>
      <c r="F6910" s="87">
        <v>18.35</v>
      </c>
      <c r="G6910" s="88">
        <f t="shared" si="1"/>
        <v>7.64</v>
      </c>
      <c r="H6910" s="89">
        <f t="shared" si="18"/>
        <v>0.4163487738</v>
      </c>
      <c r="I6910" s="78" t="s">
        <v>7890</v>
      </c>
      <c r="J6910" s="78" t="s">
        <v>69</v>
      </c>
      <c r="K6910" s="58">
        <f t="shared" si="17"/>
        <v>1</v>
      </c>
      <c r="L6910" s="91" t="str">
        <f t="shared" si="8"/>
        <v>Mon</v>
      </c>
      <c r="M6910" s="78" t="str">
        <f>IFERROR(VLOOKUP(A6910, Entries!A:B,2,false),"")</f>
        <v>Frontier Foundry</v>
      </c>
      <c r="N6910" s="23" t="str">
        <f>IFERROR(VLOOKUP(A6910, Entries!A:K,11,false),"")</f>
        <v/>
      </c>
    </row>
    <row r="6911">
      <c r="A6911" s="78" t="s">
        <v>7865</v>
      </c>
      <c r="B6911" s="78" t="s">
        <v>38</v>
      </c>
      <c r="C6911" s="85">
        <v>45613.0</v>
      </c>
      <c r="D6911" s="85">
        <v>45614.0</v>
      </c>
      <c r="E6911" s="86">
        <v>10.72</v>
      </c>
      <c r="F6911" s="87">
        <v>18.35</v>
      </c>
      <c r="G6911" s="88">
        <f t="shared" si="1"/>
        <v>7.63</v>
      </c>
      <c r="H6911" s="89">
        <f t="shared" si="18"/>
        <v>0.4158038147</v>
      </c>
      <c r="I6911" s="78" t="s">
        <v>7891</v>
      </c>
      <c r="J6911" s="78" t="s">
        <v>69</v>
      </c>
      <c r="K6911" s="58">
        <f t="shared" si="17"/>
        <v>1</v>
      </c>
      <c r="L6911" s="91" t="str">
        <f t="shared" si="8"/>
        <v>Mon</v>
      </c>
      <c r="M6911" s="78" t="str">
        <f>IFERROR(VLOOKUP(A6911, Entries!A:B,2,false),"")</f>
        <v>Frontier Foundry</v>
      </c>
      <c r="N6911" s="23" t="str">
        <f>IFERROR(VLOOKUP(A6911, Entries!A:K,11,false),"")</f>
        <v/>
      </c>
    </row>
    <row r="6912">
      <c r="A6912" s="78" t="s">
        <v>7865</v>
      </c>
      <c r="B6912" s="78" t="s">
        <v>38</v>
      </c>
      <c r="C6912" s="85">
        <v>45613.0</v>
      </c>
      <c r="D6912" s="85">
        <v>45614.0</v>
      </c>
      <c r="E6912" s="86">
        <v>10.71</v>
      </c>
      <c r="F6912" s="87">
        <v>18.5</v>
      </c>
      <c r="G6912" s="88">
        <f t="shared" si="1"/>
        <v>7.79</v>
      </c>
      <c r="H6912" s="89">
        <f t="shared" si="18"/>
        <v>0.4210810811</v>
      </c>
      <c r="I6912" s="78" t="s">
        <v>7892</v>
      </c>
      <c r="J6912" s="78" t="s">
        <v>69</v>
      </c>
      <c r="K6912" s="58">
        <f t="shared" si="17"/>
        <v>1</v>
      </c>
      <c r="L6912" s="91" t="str">
        <f t="shared" si="8"/>
        <v>Mon</v>
      </c>
      <c r="M6912" s="78" t="str">
        <f>IFERROR(VLOOKUP(A6912, Entries!A:B,2,false),"")</f>
        <v>Frontier Foundry</v>
      </c>
      <c r="N6912" s="23" t="str">
        <f>IFERROR(VLOOKUP(A6912, Entries!A:K,11,false),"")</f>
        <v/>
      </c>
    </row>
    <row r="6913">
      <c r="A6913" s="78" t="s">
        <v>7865</v>
      </c>
      <c r="B6913" s="78" t="s">
        <v>38</v>
      </c>
      <c r="C6913" s="85">
        <v>45613.0</v>
      </c>
      <c r="D6913" s="85">
        <v>45614.0</v>
      </c>
      <c r="E6913" s="86">
        <v>10.72</v>
      </c>
      <c r="F6913" s="87">
        <v>18.5</v>
      </c>
      <c r="G6913" s="88">
        <f t="shared" si="1"/>
        <v>7.78</v>
      </c>
      <c r="H6913" s="89">
        <f t="shared" si="18"/>
        <v>0.4205405405</v>
      </c>
      <c r="I6913" s="78" t="s">
        <v>7893</v>
      </c>
      <c r="J6913" s="78" t="s">
        <v>69</v>
      </c>
      <c r="K6913" s="58">
        <f t="shared" si="17"/>
        <v>1</v>
      </c>
      <c r="L6913" s="91" t="str">
        <f t="shared" si="8"/>
        <v>Mon</v>
      </c>
      <c r="M6913" s="78" t="str">
        <f>IFERROR(VLOOKUP(A6913, Entries!A:B,2,false),"")</f>
        <v>Frontier Foundry</v>
      </c>
      <c r="N6913" s="23" t="str">
        <f>IFERROR(VLOOKUP(A6913, Entries!A:K,11,false),"")</f>
        <v/>
      </c>
    </row>
    <row r="6914">
      <c r="A6914" s="78" t="s">
        <v>7894</v>
      </c>
      <c r="B6914" s="78" t="s">
        <v>21</v>
      </c>
      <c r="C6914" s="85">
        <v>45614.0</v>
      </c>
      <c r="D6914" s="85">
        <v>45616.0</v>
      </c>
      <c r="E6914" s="86">
        <v>23.54</v>
      </c>
      <c r="F6914" s="87">
        <v>25.97</v>
      </c>
      <c r="G6914" s="88">
        <f t="shared" si="1"/>
        <v>2.43</v>
      </c>
      <c r="H6914" s="89">
        <f t="shared" si="18"/>
        <v>0.09356950327</v>
      </c>
      <c r="I6914" s="78" t="s">
        <v>7895</v>
      </c>
      <c r="J6914" s="78" t="s">
        <v>69</v>
      </c>
      <c r="K6914" s="58">
        <f t="shared" si="17"/>
        <v>2</v>
      </c>
      <c r="L6914" s="91" t="str">
        <f t="shared" si="8"/>
        <v>Wed</v>
      </c>
      <c r="M6914" s="78" t="str">
        <f>IFERROR(VLOOKUP(A6914, Entries!A:B,2,false),"")</f>
        <v/>
      </c>
      <c r="N6914" s="23" t="str">
        <f>IFERROR(VLOOKUP(A6914, Entries!A:K,11,false),"")</f>
        <v/>
      </c>
    </row>
    <row r="6915">
      <c r="A6915" s="78" t="s">
        <v>7865</v>
      </c>
      <c r="B6915" s="78" t="s">
        <v>38</v>
      </c>
      <c r="C6915" s="85">
        <v>45614.0</v>
      </c>
      <c r="D6915" s="85">
        <v>45614.0</v>
      </c>
      <c r="E6915" s="86">
        <v>10.72</v>
      </c>
      <c r="F6915" s="87">
        <v>20.31</v>
      </c>
      <c r="G6915" s="88">
        <f t="shared" si="1"/>
        <v>9.59</v>
      </c>
      <c r="H6915" s="89">
        <f t="shared" si="18"/>
        <v>0.4721811915</v>
      </c>
      <c r="I6915" s="78" t="s">
        <v>7896</v>
      </c>
      <c r="J6915" s="78" t="s">
        <v>69</v>
      </c>
      <c r="K6915" s="58">
        <f t="shared" si="17"/>
        <v>0</v>
      </c>
      <c r="L6915" s="91" t="str">
        <f t="shared" si="8"/>
        <v>Mon</v>
      </c>
      <c r="M6915" s="78" t="str">
        <f>IFERROR(VLOOKUP(A6915, Entries!A:B,2,false),"")</f>
        <v>Frontier Foundry</v>
      </c>
      <c r="N6915" s="23" t="str">
        <f>IFERROR(VLOOKUP(A6915, Entries!A:K,11,false),"")</f>
        <v/>
      </c>
    </row>
    <row r="6916">
      <c r="A6916" s="78" t="s">
        <v>7865</v>
      </c>
      <c r="B6916" s="78" t="s">
        <v>38</v>
      </c>
      <c r="C6916" s="85">
        <v>45614.0</v>
      </c>
      <c r="D6916" s="85">
        <v>45614.0</v>
      </c>
      <c r="E6916" s="86">
        <v>10.71</v>
      </c>
      <c r="F6916" s="87">
        <v>19.55</v>
      </c>
      <c r="G6916" s="88">
        <f t="shared" si="1"/>
        <v>8.84</v>
      </c>
      <c r="H6916" s="89">
        <f t="shared" si="18"/>
        <v>0.452173913</v>
      </c>
      <c r="I6916" s="78" t="s">
        <v>7897</v>
      </c>
      <c r="J6916" s="78" t="s">
        <v>69</v>
      </c>
      <c r="K6916" s="58">
        <f t="shared" si="17"/>
        <v>0</v>
      </c>
      <c r="L6916" s="91" t="str">
        <f t="shared" si="8"/>
        <v>Mon</v>
      </c>
      <c r="M6916" s="78" t="str">
        <f>IFERROR(VLOOKUP(A6916, Entries!A:B,2,false),"")</f>
        <v>Frontier Foundry</v>
      </c>
      <c r="N6916" s="23" t="str">
        <f>IFERROR(VLOOKUP(A6916, Entries!A:K,11,false),"")</f>
        <v/>
      </c>
    </row>
    <row r="6917">
      <c r="A6917" s="78" t="s">
        <v>7865</v>
      </c>
      <c r="B6917" s="78" t="s">
        <v>38</v>
      </c>
      <c r="C6917" s="85">
        <v>45614.0</v>
      </c>
      <c r="D6917" s="85">
        <v>45615.0</v>
      </c>
      <c r="E6917" s="86">
        <v>10.72</v>
      </c>
      <c r="F6917" s="87">
        <v>19.6</v>
      </c>
      <c r="G6917" s="88">
        <f t="shared" si="1"/>
        <v>8.88</v>
      </c>
      <c r="H6917" s="89">
        <f t="shared" si="18"/>
        <v>0.4530612245</v>
      </c>
      <c r="I6917" s="78" t="s">
        <v>7898</v>
      </c>
      <c r="J6917" s="78" t="s">
        <v>69</v>
      </c>
      <c r="K6917" s="58">
        <f t="shared" si="17"/>
        <v>1</v>
      </c>
      <c r="L6917" s="91" t="str">
        <f t="shared" si="8"/>
        <v>Tue</v>
      </c>
      <c r="M6917" s="78" t="str">
        <f>IFERROR(VLOOKUP(A6917, Entries!A:B,2,false),"")</f>
        <v>Frontier Foundry</v>
      </c>
      <c r="N6917" s="23" t="str">
        <f>IFERROR(VLOOKUP(A6917, Entries!A:K,11,false),"")</f>
        <v/>
      </c>
    </row>
    <row r="6918">
      <c r="A6918" s="78" t="s">
        <v>7865</v>
      </c>
      <c r="B6918" s="78" t="s">
        <v>38</v>
      </c>
      <c r="C6918" s="85">
        <v>45614.0</v>
      </c>
      <c r="D6918" s="85">
        <v>45615.0</v>
      </c>
      <c r="E6918" s="86">
        <v>10.71</v>
      </c>
      <c r="F6918" s="87">
        <v>19.6</v>
      </c>
      <c r="G6918" s="88">
        <f t="shared" si="1"/>
        <v>8.89</v>
      </c>
      <c r="H6918" s="89">
        <f t="shared" si="18"/>
        <v>0.4535714286</v>
      </c>
      <c r="I6918" s="78" t="s">
        <v>7899</v>
      </c>
      <c r="J6918" s="78" t="s">
        <v>69</v>
      </c>
      <c r="K6918" s="58">
        <f t="shared" si="17"/>
        <v>1</v>
      </c>
      <c r="L6918" s="91" t="str">
        <f t="shared" si="8"/>
        <v>Tue</v>
      </c>
      <c r="M6918" s="78" t="str">
        <f>IFERROR(VLOOKUP(A6918, Entries!A:B,2,false),"")</f>
        <v>Frontier Foundry</v>
      </c>
      <c r="N6918" s="23" t="str">
        <f>IFERROR(VLOOKUP(A6918, Entries!A:K,11,false),"")</f>
        <v/>
      </c>
    </row>
    <row r="6919">
      <c r="A6919" s="78" t="s">
        <v>7865</v>
      </c>
      <c r="B6919" s="78" t="s">
        <v>38</v>
      </c>
      <c r="C6919" s="85">
        <v>45614.0</v>
      </c>
      <c r="D6919" s="85">
        <v>45615.0</v>
      </c>
      <c r="E6919" s="86">
        <v>10.72</v>
      </c>
      <c r="F6919" s="87">
        <v>19.6</v>
      </c>
      <c r="G6919" s="88">
        <f t="shared" si="1"/>
        <v>8.88</v>
      </c>
      <c r="H6919" s="89">
        <f t="shared" si="18"/>
        <v>0.4530612245</v>
      </c>
      <c r="I6919" s="78" t="s">
        <v>7900</v>
      </c>
      <c r="J6919" s="78" t="s">
        <v>69</v>
      </c>
      <c r="K6919" s="58">
        <f t="shared" si="17"/>
        <v>1</v>
      </c>
      <c r="L6919" s="91" t="str">
        <f t="shared" si="8"/>
        <v>Tue</v>
      </c>
      <c r="M6919" s="78" t="str">
        <f>IFERROR(VLOOKUP(A6919, Entries!A:B,2,false),"")</f>
        <v>Frontier Foundry</v>
      </c>
      <c r="N6919" s="23" t="str">
        <f>IFERROR(VLOOKUP(A6919, Entries!A:K,11,false),"")</f>
        <v/>
      </c>
    </row>
    <row r="6920">
      <c r="A6920" s="78" t="s">
        <v>7865</v>
      </c>
      <c r="B6920" s="78" t="s">
        <v>38</v>
      </c>
      <c r="C6920" s="85">
        <v>45614.0</v>
      </c>
      <c r="D6920" s="85">
        <v>45615.0</v>
      </c>
      <c r="E6920" s="86">
        <v>10.71</v>
      </c>
      <c r="F6920" s="87">
        <v>18.78</v>
      </c>
      <c r="G6920" s="88">
        <f t="shared" si="1"/>
        <v>8.07</v>
      </c>
      <c r="H6920" s="89">
        <f t="shared" si="18"/>
        <v>0.4297124601</v>
      </c>
      <c r="I6920" s="78" t="s">
        <v>7901</v>
      </c>
      <c r="J6920" s="78" t="s">
        <v>69</v>
      </c>
      <c r="K6920" s="58">
        <f t="shared" si="17"/>
        <v>1</v>
      </c>
      <c r="L6920" s="91" t="str">
        <f t="shared" si="8"/>
        <v>Tue</v>
      </c>
      <c r="M6920" s="78" t="str">
        <f>IFERROR(VLOOKUP(A6920, Entries!A:B,2,false),"")</f>
        <v>Frontier Foundry</v>
      </c>
      <c r="N6920" s="23" t="str">
        <f>IFERROR(VLOOKUP(A6920, Entries!A:K,11,false),"")</f>
        <v/>
      </c>
    </row>
    <row r="6921">
      <c r="A6921" s="78" t="s">
        <v>7865</v>
      </c>
      <c r="B6921" s="78" t="s">
        <v>38</v>
      </c>
      <c r="C6921" s="85">
        <v>45615.0</v>
      </c>
      <c r="D6921" s="85">
        <v>45615.0</v>
      </c>
      <c r="E6921" s="86">
        <v>10.72</v>
      </c>
      <c r="F6921" s="87">
        <v>18.87</v>
      </c>
      <c r="G6921" s="88">
        <f t="shared" si="1"/>
        <v>8.15</v>
      </c>
      <c r="H6921" s="89">
        <f t="shared" si="18"/>
        <v>0.4319024907</v>
      </c>
      <c r="I6921" s="78" t="s">
        <v>7902</v>
      </c>
      <c r="J6921" s="78" t="s">
        <v>69</v>
      </c>
      <c r="K6921" s="58">
        <f t="shared" si="17"/>
        <v>0</v>
      </c>
      <c r="L6921" s="91" t="str">
        <f t="shared" si="8"/>
        <v>Tue</v>
      </c>
      <c r="M6921" s="78" t="str">
        <f>IFERROR(VLOOKUP(A6921, Entries!A:B,2,false),"")</f>
        <v>Frontier Foundry</v>
      </c>
      <c r="N6921" s="23" t="str">
        <f>IFERROR(VLOOKUP(A6921, Entries!A:K,11,false),"")</f>
        <v/>
      </c>
    </row>
    <row r="6922">
      <c r="A6922" s="78" t="s">
        <v>7865</v>
      </c>
      <c r="B6922" s="78" t="s">
        <v>38</v>
      </c>
      <c r="C6922" s="85">
        <v>45615.0</v>
      </c>
      <c r="D6922" s="85">
        <v>45615.0</v>
      </c>
      <c r="E6922" s="86">
        <v>10.71</v>
      </c>
      <c r="F6922" s="87">
        <v>18.87</v>
      </c>
      <c r="G6922" s="88">
        <f t="shared" si="1"/>
        <v>8.16</v>
      </c>
      <c r="H6922" s="89">
        <f t="shared" si="18"/>
        <v>0.4324324324</v>
      </c>
      <c r="I6922" s="78" t="s">
        <v>7903</v>
      </c>
      <c r="J6922" s="78" t="s">
        <v>69</v>
      </c>
      <c r="K6922" s="58">
        <f t="shared" si="17"/>
        <v>0</v>
      </c>
      <c r="L6922" s="91" t="str">
        <f t="shared" si="8"/>
        <v>Tue</v>
      </c>
      <c r="M6922" s="78" t="str">
        <f>IFERROR(VLOOKUP(A6922, Entries!A:B,2,false),"")</f>
        <v>Frontier Foundry</v>
      </c>
      <c r="N6922" s="23" t="str">
        <f>IFERROR(VLOOKUP(A6922, Entries!A:K,11,false),"")</f>
        <v/>
      </c>
    </row>
    <row r="6923">
      <c r="A6923" s="78" t="s">
        <v>7865</v>
      </c>
      <c r="B6923" s="78" t="s">
        <v>38</v>
      </c>
      <c r="C6923" s="85">
        <v>45615.0</v>
      </c>
      <c r="D6923" s="85">
        <v>45615.0</v>
      </c>
      <c r="E6923" s="86">
        <v>10.72</v>
      </c>
      <c r="F6923" s="87">
        <v>18.87</v>
      </c>
      <c r="G6923" s="88">
        <f t="shared" si="1"/>
        <v>8.15</v>
      </c>
      <c r="H6923" s="89">
        <f t="shared" si="18"/>
        <v>0.4319024907</v>
      </c>
      <c r="I6923" s="78" t="s">
        <v>7904</v>
      </c>
      <c r="J6923" s="78" t="s">
        <v>69</v>
      </c>
      <c r="K6923" s="58">
        <f t="shared" si="17"/>
        <v>0</v>
      </c>
      <c r="L6923" s="91" t="str">
        <f t="shared" si="8"/>
        <v>Tue</v>
      </c>
      <c r="M6923" s="78" t="str">
        <f>IFERROR(VLOOKUP(A6923, Entries!A:B,2,false),"")</f>
        <v>Frontier Foundry</v>
      </c>
      <c r="N6923" s="23" t="str">
        <f>IFERROR(VLOOKUP(A6923, Entries!A:K,11,false),"")</f>
        <v/>
      </c>
    </row>
    <row r="6924">
      <c r="A6924" s="78" t="s">
        <v>7677</v>
      </c>
      <c r="B6924" s="78" t="s">
        <v>21</v>
      </c>
      <c r="C6924" s="85">
        <v>45615.0</v>
      </c>
      <c r="D6924" s="85">
        <v>45615.0</v>
      </c>
      <c r="E6924" s="86">
        <v>22.41</v>
      </c>
      <c r="F6924" s="87">
        <v>27.45</v>
      </c>
      <c r="G6924" s="88">
        <f t="shared" si="1"/>
        <v>5.04</v>
      </c>
      <c r="H6924" s="89">
        <f t="shared" si="18"/>
        <v>0.1836065574</v>
      </c>
      <c r="I6924" s="78" t="s">
        <v>7905</v>
      </c>
      <c r="J6924" s="78" t="s">
        <v>69</v>
      </c>
      <c r="K6924" s="58">
        <f t="shared" si="17"/>
        <v>0</v>
      </c>
      <c r="L6924" s="91" t="str">
        <f t="shared" si="8"/>
        <v>Tue</v>
      </c>
      <c r="M6924" s="78" t="str">
        <f>IFERROR(VLOOKUP(A6924, Entries!A:B,2,false),"")</f>
        <v>PlayStation</v>
      </c>
      <c r="N6924" s="23" t="str">
        <f>IFERROR(VLOOKUP(A6924, Entries!A:K,11,false),"")</f>
        <v/>
      </c>
    </row>
    <row r="6925">
      <c r="A6925" s="78" t="s">
        <v>7865</v>
      </c>
      <c r="B6925" s="78" t="s">
        <v>38</v>
      </c>
      <c r="C6925" s="85">
        <v>45615.0</v>
      </c>
      <c r="D6925" s="85">
        <v>45615.0</v>
      </c>
      <c r="E6925" s="86">
        <v>10.72</v>
      </c>
      <c r="F6925" s="87">
        <v>19.39</v>
      </c>
      <c r="G6925" s="88">
        <f t="shared" si="1"/>
        <v>8.67</v>
      </c>
      <c r="H6925" s="89">
        <f t="shared" si="18"/>
        <v>0.4471376998</v>
      </c>
      <c r="I6925" s="78" t="s">
        <v>7906</v>
      </c>
      <c r="J6925" s="78" t="s">
        <v>69</v>
      </c>
      <c r="K6925" s="58">
        <f t="shared" si="17"/>
        <v>0</v>
      </c>
      <c r="L6925" s="91" t="str">
        <f t="shared" si="8"/>
        <v>Tue</v>
      </c>
      <c r="M6925" s="78" t="str">
        <f>IFERROR(VLOOKUP(A6925, Entries!A:B,2,false),"")</f>
        <v>Frontier Foundry</v>
      </c>
      <c r="N6925" s="23" t="str">
        <f>IFERROR(VLOOKUP(A6925, Entries!A:K,11,false),"")</f>
        <v/>
      </c>
    </row>
    <row r="6926">
      <c r="A6926" s="78" t="s">
        <v>7865</v>
      </c>
      <c r="B6926" s="78" t="s">
        <v>38</v>
      </c>
      <c r="C6926" s="85">
        <v>45615.0</v>
      </c>
      <c r="D6926" s="85">
        <v>45616.0</v>
      </c>
      <c r="E6926" s="86">
        <v>10.71</v>
      </c>
      <c r="F6926" s="87">
        <v>19.68</v>
      </c>
      <c r="G6926" s="88">
        <f t="shared" si="1"/>
        <v>8.97</v>
      </c>
      <c r="H6926" s="89">
        <f t="shared" si="18"/>
        <v>0.4557926829</v>
      </c>
      <c r="I6926" s="78" t="s">
        <v>7907</v>
      </c>
      <c r="J6926" s="78" t="s">
        <v>69</v>
      </c>
      <c r="K6926" s="58">
        <f t="shared" si="17"/>
        <v>1</v>
      </c>
      <c r="L6926" s="91" t="str">
        <f t="shared" si="8"/>
        <v>Wed</v>
      </c>
      <c r="M6926" s="78" t="str">
        <f>IFERROR(VLOOKUP(A6926, Entries!A:B,2,false),"")</f>
        <v>Frontier Foundry</v>
      </c>
      <c r="N6926" s="23" t="str">
        <f>IFERROR(VLOOKUP(A6926, Entries!A:K,11,false),"")</f>
        <v/>
      </c>
    </row>
    <row r="6927">
      <c r="A6927" s="78" t="s">
        <v>7865</v>
      </c>
      <c r="B6927" s="78" t="s">
        <v>38</v>
      </c>
      <c r="C6927" s="85">
        <v>45615.0</v>
      </c>
      <c r="D6927" s="85">
        <v>45616.0</v>
      </c>
      <c r="E6927" s="86">
        <v>10.72</v>
      </c>
      <c r="F6927" s="87">
        <v>19.68</v>
      </c>
      <c r="G6927" s="88">
        <f t="shared" si="1"/>
        <v>8.96</v>
      </c>
      <c r="H6927" s="89">
        <f t="shared" si="18"/>
        <v>0.4552845528</v>
      </c>
      <c r="I6927" s="78" t="s">
        <v>7908</v>
      </c>
      <c r="J6927" s="78" t="s">
        <v>69</v>
      </c>
      <c r="K6927" s="58">
        <f t="shared" si="17"/>
        <v>1</v>
      </c>
      <c r="L6927" s="91" t="str">
        <f t="shared" si="8"/>
        <v>Wed</v>
      </c>
      <c r="M6927" s="78" t="str">
        <f>IFERROR(VLOOKUP(A6927, Entries!A:B,2,false),"")</f>
        <v>Frontier Foundry</v>
      </c>
      <c r="N6927" s="23" t="str">
        <f>IFERROR(VLOOKUP(A6927, Entries!A:K,11,false),"")</f>
        <v/>
      </c>
    </row>
    <row r="6928">
      <c r="A6928" s="78" t="s">
        <v>7865</v>
      </c>
      <c r="B6928" s="78" t="s">
        <v>38</v>
      </c>
      <c r="C6928" s="85">
        <v>45615.0</v>
      </c>
      <c r="D6928" s="85">
        <v>45615.0</v>
      </c>
      <c r="E6928" s="86">
        <v>10.71</v>
      </c>
      <c r="F6928" s="87">
        <v>18.87</v>
      </c>
      <c r="G6928" s="88">
        <f t="shared" si="1"/>
        <v>8.16</v>
      </c>
      <c r="H6928" s="89">
        <f t="shared" si="18"/>
        <v>0.4324324324</v>
      </c>
      <c r="I6928" s="78" t="s">
        <v>7909</v>
      </c>
      <c r="J6928" s="78" t="s">
        <v>69</v>
      </c>
      <c r="K6928" s="58">
        <f t="shared" si="17"/>
        <v>0</v>
      </c>
      <c r="L6928" s="91" t="str">
        <f t="shared" si="8"/>
        <v>Tue</v>
      </c>
      <c r="M6928" s="78" t="str">
        <f>IFERROR(VLOOKUP(A6928, Entries!A:B,2,false),"")</f>
        <v>Frontier Foundry</v>
      </c>
      <c r="N6928" s="23" t="str">
        <f>IFERROR(VLOOKUP(A6928, Entries!A:K,11,false),"")</f>
        <v/>
      </c>
    </row>
    <row r="6929">
      <c r="A6929" s="78" t="s">
        <v>7865</v>
      </c>
      <c r="B6929" s="78" t="s">
        <v>38</v>
      </c>
      <c r="C6929" s="85">
        <v>45615.0</v>
      </c>
      <c r="D6929" s="85">
        <v>45616.0</v>
      </c>
      <c r="E6929" s="86">
        <v>10.44</v>
      </c>
      <c r="F6929" s="87">
        <v>19.9</v>
      </c>
      <c r="G6929" s="88">
        <f t="shared" si="1"/>
        <v>9.46</v>
      </c>
      <c r="H6929" s="89">
        <f t="shared" si="18"/>
        <v>0.4753768844</v>
      </c>
      <c r="I6929" s="78" t="s">
        <v>7910</v>
      </c>
      <c r="J6929" s="78" t="s">
        <v>69</v>
      </c>
      <c r="K6929" s="58">
        <f t="shared" si="17"/>
        <v>1</v>
      </c>
      <c r="L6929" s="91" t="str">
        <f t="shared" si="8"/>
        <v>Wed</v>
      </c>
      <c r="M6929" s="78" t="str">
        <f>IFERROR(VLOOKUP(A6929, Entries!A:B,2,false),"")</f>
        <v>Frontier Foundry</v>
      </c>
      <c r="N6929" s="23" t="str">
        <f>IFERROR(VLOOKUP(A6929, Entries!A:K,11,false),"")</f>
        <v/>
      </c>
    </row>
    <row r="6930">
      <c r="A6930" s="78" t="s">
        <v>7865</v>
      </c>
      <c r="B6930" s="78" t="s">
        <v>38</v>
      </c>
      <c r="C6930" s="85">
        <v>45615.0</v>
      </c>
      <c r="D6930" s="85">
        <v>45616.0</v>
      </c>
      <c r="E6930" s="86">
        <v>10.44</v>
      </c>
      <c r="F6930" s="87">
        <v>18.51</v>
      </c>
      <c r="G6930" s="88">
        <f t="shared" si="1"/>
        <v>8.07</v>
      </c>
      <c r="H6930" s="89">
        <f t="shared" si="18"/>
        <v>0.4359805511</v>
      </c>
      <c r="I6930" s="78" t="s">
        <v>7911</v>
      </c>
      <c r="J6930" s="78" t="s">
        <v>69</v>
      </c>
      <c r="K6930" s="58">
        <f t="shared" si="17"/>
        <v>1</v>
      </c>
      <c r="L6930" s="91" t="str">
        <f t="shared" si="8"/>
        <v>Wed</v>
      </c>
      <c r="M6930" s="78" t="str">
        <f>IFERROR(VLOOKUP(A6930, Entries!A:B,2,false),"")</f>
        <v>Frontier Foundry</v>
      </c>
      <c r="N6930" s="23" t="str">
        <f>IFERROR(VLOOKUP(A6930, Entries!A:K,11,false),"")</f>
        <v/>
      </c>
    </row>
    <row r="6931">
      <c r="A6931" s="78" t="s">
        <v>7865</v>
      </c>
      <c r="B6931" s="78" t="s">
        <v>38</v>
      </c>
      <c r="C6931" s="85">
        <v>45615.0</v>
      </c>
      <c r="D6931" s="85">
        <v>45616.0</v>
      </c>
      <c r="E6931" s="86">
        <v>10.44</v>
      </c>
      <c r="F6931" s="87">
        <v>20.18</v>
      </c>
      <c r="G6931" s="88">
        <f t="shared" si="1"/>
        <v>9.74</v>
      </c>
      <c r="H6931" s="89">
        <f t="shared" si="18"/>
        <v>0.4826560951</v>
      </c>
      <c r="I6931" s="78" t="s">
        <v>7912</v>
      </c>
      <c r="J6931" s="78" t="s">
        <v>69</v>
      </c>
      <c r="K6931" s="58">
        <f t="shared" si="17"/>
        <v>1</v>
      </c>
      <c r="L6931" s="91" t="str">
        <f t="shared" si="8"/>
        <v>Wed</v>
      </c>
      <c r="M6931" s="78" t="str">
        <f>IFERROR(VLOOKUP(A6931, Entries!A:B,2,false),"")</f>
        <v>Frontier Foundry</v>
      </c>
      <c r="N6931" s="23" t="str">
        <f>IFERROR(VLOOKUP(A6931, Entries!A:K,11,false),"")</f>
        <v/>
      </c>
    </row>
    <row r="6932">
      <c r="A6932" s="78" t="s">
        <v>7865</v>
      </c>
      <c r="B6932" s="78" t="s">
        <v>38</v>
      </c>
      <c r="C6932" s="85">
        <v>45615.0</v>
      </c>
      <c r="D6932" s="85">
        <v>45616.0</v>
      </c>
      <c r="E6932" s="86">
        <v>10.44</v>
      </c>
      <c r="F6932" s="87">
        <v>17.87</v>
      </c>
      <c r="G6932" s="88">
        <f t="shared" si="1"/>
        <v>7.43</v>
      </c>
      <c r="H6932" s="89">
        <f t="shared" si="18"/>
        <v>0.4157806379</v>
      </c>
      <c r="I6932" s="78" t="s">
        <v>7913</v>
      </c>
      <c r="J6932" s="78" t="s">
        <v>69</v>
      </c>
      <c r="K6932" s="58">
        <f t="shared" si="17"/>
        <v>1</v>
      </c>
      <c r="L6932" s="91" t="str">
        <f t="shared" si="8"/>
        <v>Wed</v>
      </c>
      <c r="M6932" s="78" t="str">
        <f>IFERROR(VLOOKUP(A6932, Entries!A:B,2,false),"")</f>
        <v>Frontier Foundry</v>
      </c>
      <c r="N6932" s="23" t="str">
        <f>IFERROR(VLOOKUP(A6932, Entries!A:K,11,false),"")</f>
        <v/>
      </c>
    </row>
    <row r="6933">
      <c r="A6933" s="78" t="s">
        <v>7914</v>
      </c>
      <c r="B6933" s="78" t="s">
        <v>38</v>
      </c>
      <c r="C6933" s="85">
        <v>45616.0</v>
      </c>
      <c r="D6933" s="25"/>
      <c r="E6933" s="86">
        <v>17.57</v>
      </c>
      <c r="F6933" s="88"/>
      <c r="G6933" s="88">
        <f t="shared" si="1"/>
        <v>-17.57</v>
      </c>
      <c r="H6933" s="89" t="str">
        <f t="shared" si="18"/>
        <v/>
      </c>
      <c r="I6933" s="103" t="s">
        <v>7915</v>
      </c>
      <c r="J6933" s="78" t="s">
        <v>1129</v>
      </c>
      <c r="K6933" s="58" t="str">
        <f t="shared" si="17"/>
        <v/>
      </c>
      <c r="L6933" s="91" t="str">
        <f t="shared" si="8"/>
        <v/>
      </c>
      <c r="M6933" s="78" t="str">
        <f>IFERROR(VLOOKUP(A6933, Entries!A:B,2,false),"")</f>
        <v/>
      </c>
      <c r="N6933" s="23" t="str">
        <f>IFERROR(VLOOKUP(A6933, Entries!A:K,11,false),"")</f>
        <v/>
      </c>
    </row>
    <row r="6934">
      <c r="A6934" s="78" t="s">
        <v>7852</v>
      </c>
      <c r="B6934" s="78" t="s">
        <v>22</v>
      </c>
      <c r="C6934" s="85">
        <v>45616.0</v>
      </c>
      <c r="D6934" s="85">
        <v>45617.0</v>
      </c>
      <c r="E6934" s="86">
        <v>8.83</v>
      </c>
      <c r="F6934" s="87">
        <v>11.85</v>
      </c>
      <c r="G6934" s="88">
        <f t="shared" si="1"/>
        <v>3.02</v>
      </c>
      <c r="H6934" s="89">
        <f t="shared" si="18"/>
        <v>0.2548523207</v>
      </c>
      <c r="I6934" s="78" t="s">
        <v>7916</v>
      </c>
      <c r="J6934" s="78" t="s">
        <v>69</v>
      </c>
      <c r="K6934" s="58">
        <f t="shared" si="17"/>
        <v>1</v>
      </c>
      <c r="L6934" s="91" t="str">
        <f t="shared" si="8"/>
        <v>Thu</v>
      </c>
      <c r="M6934" s="78" t="str">
        <f>IFERROR(VLOOKUP(A6934, Entries!A:B,2,false),"")</f>
        <v/>
      </c>
      <c r="N6934" s="23" t="str">
        <f>IFERROR(VLOOKUP(A6934, Entries!A:K,11,false),"")</f>
        <v/>
      </c>
    </row>
    <row r="6935">
      <c r="A6935" s="78" t="s">
        <v>7917</v>
      </c>
      <c r="B6935" s="78" t="s">
        <v>25</v>
      </c>
      <c r="C6935" s="85">
        <v>45616.0</v>
      </c>
      <c r="D6935" s="85">
        <v>45617.0</v>
      </c>
      <c r="E6935" s="86">
        <v>12.77</v>
      </c>
      <c r="F6935" s="87">
        <v>16.95</v>
      </c>
      <c r="G6935" s="88">
        <f t="shared" si="1"/>
        <v>4.18</v>
      </c>
      <c r="H6935" s="89">
        <f t="shared" si="18"/>
        <v>0.2466076696</v>
      </c>
      <c r="I6935" s="78" t="s">
        <v>7918</v>
      </c>
      <c r="J6935" s="78" t="s">
        <v>69</v>
      </c>
      <c r="K6935" s="58">
        <f t="shared" si="17"/>
        <v>1</v>
      </c>
      <c r="L6935" s="91" t="str">
        <f t="shared" si="8"/>
        <v>Thu</v>
      </c>
      <c r="M6935" s="78" t="str">
        <f>IFERROR(VLOOKUP(A6935, Entries!A:B,2,false),"")</f>
        <v/>
      </c>
      <c r="N6935" s="23" t="str">
        <f>IFERROR(VLOOKUP(A6935, Entries!A:K,11,false),"")</f>
        <v/>
      </c>
    </row>
    <row r="6936">
      <c r="A6936" s="78" t="s">
        <v>7865</v>
      </c>
      <c r="B6936" s="78" t="s">
        <v>38</v>
      </c>
      <c r="C6936" s="85">
        <v>45616.0</v>
      </c>
      <c r="D6936" s="85">
        <v>45616.0</v>
      </c>
      <c r="E6936" s="86">
        <v>10.44</v>
      </c>
      <c r="F6936" s="87">
        <v>19.4</v>
      </c>
      <c r="G6936" s="88">
        <f t="shared" si="1"/>
        <v>8.96</v>
      </c>
      <c r="H6936" s="89">
        <f t="shared" si="18"/>
        <v>0.4618556701</v>
      </c>
      <c r="I6936" s="78" t="s">
        <v>7919</v>
      </c>
      <c r="J6936" s="78" t="s">
        <v>69</v>
      </c>
      <c r="K6936" s="58">
        <f t="shared" si="17"/>
        <v>0</v>
      </c>
      <c r="L6936" s="91" t="str">
        <f t="shared" si="8"/>
        <v>Wed</v>
      </c>
      <c r="M6936" s="78" t="str">
        <f>IFERROR(VLOOKUP(A6936, Entries!A:B,2,false),"")</f>
        <v>Frontier Foundry</v>
      </c>
      <c r="N6936" s="23" t="str">
        <f>IFERROR(VLOOKUP(A6936, Entries!A:K,11,false),"")</f>
        <v/>
      </c>
    </row>
    <row r="6937">
      <c r="A6937" s="78" t="s">
        <v>7865</v>
      </c>
      <c r="B6937" s="78" t="s">
        <v>38</v>
      </c>
      <c r="C6937" s="85">
        <v>45616.0</v>
      </c>
      <c r="D6937" s="85">
        <v>45616.0</v>
      </c>
      <c r="E6937" s="86">
        <v>10.44</v>
      </c>
      <c r="F6937" s="87">
        <v>19.67</v>
      </c>
      <c r="G6937" s="88">
        <f t="shared" si="1"/>
        <v>9.23</v>
      </c>
      <c r="H6937" s="89">
        <f t="shared" si="18"/>
        <v>0.4692425013</v>
      </c>
      <c r="I6937" s="78" t="s">
        <v>7920</v>
      </c>
      <c r="J6937" s="78" t="s">
        <v>69</v>
      </c>
      <c r="K6937" s="58">
        <f t="shared" si="17"/>
        <v>0</v>
      </c>
      <c r="L6937" s="91" t="str">
        <f t="shared" si="8"/>
        <v>Wed</v>
      </c>
      <c r="M6937" s="78" t="str">
        <f>IFERROR(VLOOKUP(A6937, Entries!A:B,2,false),"")</f>
        <v>Frontier Foundry</v>
      </c>
      <c r="N6937" s="23" t="str">
        <f>IFERROR(VLOOKUP(A6937, Entries!A:K,11,false),"")</f>
        <v/>
      </c>
    </row>
    <row r="6938">
      <c r="A6938" s="78" t="s">
        <v>7865</v>
      </c>
      <c r="B6938" s="78" t="s">
        <v>38</v>
      </c>
      <c r="C6938" s="85">
        <v>45616.0</v>
      </c>
      <c r="D6938" s="85">
        <v>45617.0</v>
      </c>
      <c r="E6938" s="86">
        <v>10.44</v>
      </c>
      <c r="F6938" s="87">
        <v>19.87</v>
      </c>
      <c r="G6938" s="88">
        <f t="shared" si="1"/>
        <v>9.43</v>
      </c>
      <c r="H6938" s="89">
        <f t="shared" si="18"/>
        <v>0.4745848012</v>
      </c>
      <c r="I6938" s="78" t="s">
        <v>7921</v>
      </c>
      <c r="J6938" s="78" t="s">
        <v>69</v>
      </c>
      <c r="K6938" s="58">
        <f t="shared" si="17"/>
        <v>1</v>
      </c>
      <c r="L6938" s="91" t="str">
        <f t="shared" si="8"/>
        <v>Thu</v>
      </c>
      <c r="M6938" s="78" t="str">
        <f>IFERROR(VLOOKUP(A6938, Entries!A:B,2,false),"")</f>
        <v>Frontier Foundry</v>
      </c>
      <c r="N6938" s="23" t="str">
        <f>IFERROR(VLOOKUP(A6938, Entries!A:K,11,false),"")</f>
        <v/>
      </c>
    </row>
    <row r="6939">
      <c r="A6939" s="78" t="s">
        <v>7865</v>
      </c>
      <c r="B6939" s="78" t="s">
        <v>38</v>
      </c>
      <c r="C6939" s="85">
        <v>45616.0</v>
      </c>
      <c r="D6939" s="85">
        <v>45617.0</v>
      </c>
      <c r="E6939" s="86">
        <v>10.44</v>
      </c>
      <c r="F6939" s="87">
        <v>19.87</v>
      </c>
      <c r="G6939" s="88">
        <f t="shared" si="1"/>
        <v>9.43</v>
      </c>
      <c r="H6939" s="89">
        <f t="shared" si="18"/>
        <v>0.4745848012</v>
      </c>
      <c r="I6939" s="78" t="s">
        <v>7922</v>
      </c>
      <c r="J6939" s="78" t="s">
        <v>69</v>
      </c>
      <c r="K6939" s="58">
        <f t="shared" si="17"/>
        <v>1</v>
      </c>
      <c r="L6939" s="91" t="str">
        <f t="shared" si="8"/>
        <v>Thu</v>
      </c>
      <c r="M6939" s="78" t="str">
        <f>IFERROR(VLOOKUP(A6939, Entries!A:B,2,false),"")</f>
        <v>Frontier Foundry</v>
      </c>
      <c r="N6939" s="23" t="str">
        <f>IFERROR(VLOOKUP(A6939, Entries!A:K,11,false),"")</f>
        <v/>
      </c>
    </row>
    <row r="6940">
      <c r="A6940" s="78" t="s">
        <v>7865</v>
      </c>
      <c r="B6940" s="78" t="s">
        <v>38</v>
      </c>
      <c r="C6940" s="85">
        <v>45616.0</v>
      </c>
      <c r="D6940" s="85">
        <v>45617.0</v>
      </c>
      <c r="E6940" s="86">
        <v>10.44</v>
      </c>
      <c r="F6940" s="87">
        <v>19.87</v>
      </c>
      <c r="G6940" s="88">
        <f t="shared" si="1"/>
        <v>9.43</v>
      </c>
      <c r="H6940" s="89">
        <f t="shared" si="18"/>
        <v>0.4745848012</v>
      </c>
      <c r="I6940" s="78" t="s">
        <v>7923</v>
      </c>
      <c r="J6940" s="78" t="s">
        <v>69</v>
      </c>
      <c r="K6940" s="58">
        <f t="shared" si="17"/>
        <v>1</v>
      </c>
      <c r="L6940" s="91" t="str">
        <f t="shared" si="8"/>
        <v>Thu</v>
      </c>
      <c r="M6940" s="78" t="str">
        <f>IFERROR(VLOOKUP(A6940, Entries!A:B,2,false),"")</f>
        <v>Frontier Foundry</v>
      </c>
      <c r="N6940" s="23" t="str">
        <f>IFERROR(VLOOKUP(A6940, Entries!A:K,11,false),"")</f>
        <v/>
      </c>
    </row>
    <row r="6941">
      <c r="A6941" s="78" t="s">
        <v>7865</v>
      </c>
      <c r="B6941" s="78" t="s">
        <v>38</v>
      </c>
      <c r="C6941" s="85">
        <v>45616.0</v>
      </c>
      <c r="D6941" s="25"/>
      <c r="E6941" s="86">
        <v>10.44</v>
      </c>
      <c r="F6941" s="88"/>
      <c r="G6941" s="88">
        <f t="shared" si="1"/>
        <v>-10.44</v>
      </c>
      <c r="H6941" s="89" t="str">
        <f t="shared" si="18"/>
        <v/>
      </c>
      <c r="I6941" s="103" t="s">
        <v>7924</v>
      </c>
      <c r="J6941" s="78" t="s">
        <v>1129</v>
      </c>
      <c r="K6941" s="58" t="str">
        <f t="shared" si="17"/>
        <v/>
      </c>
      <c r="L6941" s="91" t="str">
        <f t="shared" si="8"/>
        <v/>
      </c>
      <c r="M6941" s="78" t="str">
        <f>IFERROR(VLOOKUP(A6941, Entries!A:B,2,false),"")</f>
        <v>Frontier Foundry</v>
      </c>
      <c r="N6941" s="23" t="str">
        <f>IFERROR(VLOOKUP(A6941, Entries!A:K,11,false),"")</f>
        <v/>
      </c>
    </row>
    <row r="6942">
      <c r="A6942" s="78" t="s">
        <v>7865</v>
      </c>
      <c r="B6942" s="78" t="s">
        <v>38</v>
      </c>
      <c r="C6942" s="85">
        <v>45616.0</v>
      </c>
      <c r="D6942" s="25"/>
      <c r="E6942" s="86">
        <v>10.44</v>
      </c>
      <c r="F6942" s="88"/>
      <c r="G6942" s="88">
        <f t="shared" si="1"/>
        <v>-10.44</v>
      </c>
      <c r="H6942" s="89" t="str">
        <f t="shared" si="18"/>
        <v/>
      </c>
      <c r="I6942" s="103" t="s">
        <v>7925</v>
      </c>
      <c r="J6942" s="78" t="s">
        <v>1129</v>
      </c>
      <c r="K6942" s="58" t="str">
        <f t="shared" si="17"/>
        <v/>
      </c>
      <c r="L6942" s="91" t="str">
        <f t="shared" si="8"/>
        <v/>
      </c>
      <c r="M6942" s="78" t="str">
        <f>IFERROR(VLOOKUP(A6942, Entries!A:B,2,false),"")</f>
        <v>Frontier Foundry</v>
      </c>
      <c r="N6942" s="23" t="str">
        <f>IFERROR(VLOOKUP(A6942, Entries!A:K,11,false),"")</f>
        <v/>
      </c>
    </row>
    <row r="6943">
      <c r="A6943" s="78" t="s">
        <v>7865</v>
      </c>
      <c r="B6943" s="78" t="s">
        <v>38</v>
      </c>
      <c r="C6943" s="85">
        <v>45616.0</v>
      </c>
      <c r="D6943" s="25"/>
      <c r="E6943" s="86">
        <v>10.44</v>
      </c>
      <c r="F6943" s="88"/>
      <c r="G6943" s="88">
        <f t="shared" si="1"/>
        <v>-10.44</v>
      </c>
      <c r="H6943" s="89" t="str">
        <f t="shared" si="18"/>
        <v/>
      </c>
      <c r="I6943" s="103" t="s">
        <v>7926</v>
      </c>
      <c r="J6943" s="78" t="s">
        <v>1129</v>
      </c>
      <c r="K6943" s="58" t="str">
        <f t="shared" si="17"/>
        <v/>
      </c>
      <c r="L6943" s="91" t="str">
        <f t="shared" si="8"/>
        <v/>
      </c>
      <c r="M6943" s="78" t="str">
        <f>IFERROR(VLOOKUP(A6943, Entries!A:B,2,false),"")</f>
        <v>Frontier Foundry</v>
      </c>
      <c r="N6943" s="23" t="str">
        <f>IFERROR(VLOOKUP(A6943, Entries!A:K,11,false),"")</f>
        <v/>
      </c>
    </row>
    <row r="6944">
      <c r="A6944" s="78" t="s">
        <v>7224</v>
      </c>
      <c r="B6944" s="78" t="s">
        <v>21</v>
      </c>
      <c r="C6944" s="85">
        <v>45617.0</v>
      </c>
      <c r="D6944" s="85">
        <v>45632.0</v>
      </c>
      <c r="E6944" s="86">
        <v>21.19</v>
      </c>
      <c r="F6944" s="87">
        <v>23.65</v>
      </c>
      <c r="G6944" s="88">
        <f t="shared" si="1"/>
        <v>2.46</v>
      </c>
      <c r="H6944" s="89">
        <f t="shared" si="18"/>
        <v>0.1040169133</v>
      </c>
      <c r="I6944" s="78" t="s">
        <v>7927</v>
      </c>
      <c r="J6944" s="78" t="s">
        <v>69</v>
      </c>
      <c r="K6944" s="58">
        <f t="shared" si="17"/>
        <v>15</v>
      </c>
      <c r="L6944" s="91" t="str">
        <f t="shared" si="8"/>
        <v>Fri</v>
      </c>
      <c r="M6944" s="78" t="str">
        <f>IFERROR(VLOOKUP(A6944, Entries!A:B,2,false),"")</f>
        <v/>
      </c>
      <c r="N6944" s="23" t="str">
        <f>IFERROR(VLOOKUP(A6944, Entries!A:K,11,false),"")</f>
        <v/>
      </c>
    </row>
    <row r="6945">
      <c r="A6945" s="78" t="s">
        <v>7224</v>
      </c>
      <c r="B6945" s="78" t="s">
        <v>21</v>
      </c>
      <c r="C6945" s="85">
        <v>45617.0</v>
      </c>
      <c r="D6945" s="85">
        <v>45632.0</v>
      </c>
      <c r="E6945" s="86">
        <v>21.19</v>
      </c>
      <c r="F6945" s="87">
        <v>23.65</v>
      </c>
      <c r="G6945" s="88">
        <f t="shared" si="1"/>
        <v>2.46</v>
      </c>
      <c r="H6945" s="89">
        <f t="shared" si="18"/>
        <v>0.1040169133</v>
      </c>
      <c r="I6945" s="78" t="s">
        <v>7928</v>
      </c>
      <c r="J6945" s="78" t="s">
        <v>69</v>
      </c>
      <c r="K6945" s="58">
        <f t="shared" si="17"/>
        <v>15</v>
      </c>
      <c r="L6945" s="91" t="str">
        <f t="shared" si="8"/>
        <v>Fri</v>
      </c>
      <c r="M6945" s="78" t="str">
        <f>IFERROR(VLOOKUP(A6945, Entries!A:B,2,false),"")</f>
        <v/>
      </c>
      <c r="N6945" s="23" t="str">
        <f>IFERROR(VLOOKUP(A6945, Entries!A:K,11,false),"")</f>
        <v/>
      </c>
    </row>
    <row r="6946">
      <c r="A6946" s="78" t="s">
        <v>7929</v>
      </c>
      <c r="B6946" s="78" t="s">
        <v>18</v>
      </c>
      <c r="C6946" s="85">
        <v>45617.0</v>
      </c>
      <c r="D6946" s="85">
        <v>45621.0</v>
      </c>
      <c r="E6946" s="86">
        <v>21.46</v>
      </c>
      <c r="F6946" s="87">
        <v>26.13</v>
      </c>
      <c r="G6946" s="88">
        <f t="shared" si="1"/>
        <v>4.67</v>
      </c>
      <c r="H6946" s="89">
        <f t="shared" si="18"/>
        <v>0.1787217757</v>
      </c>
      <c r="I6946" s="78" t="s">
        <v>7930</v>
      </c>
      <c r="J6946" s="78" t="s">
        <v>69</v>
      </c>
      <c r="K6946" s="58">
        <f t="shared" si="17"/>
        <v>4</v>
      </c>
      <c r="L6946" s="91" t="str">
        <f t="shared" si="8"/>
        <v>Mon</v>
      </c>
      <c r="M6946" s="78" t="str">
        <f>IFERROR(VLOOKUP(A6946, Entries!A:B,2,false),"")</f>
        <v/>
      </c>
      <c r="N6946" s="23" t="str">
        <f>IFERROR(VLOOKUP(A6946, Entries!A:K,11,false),"")</f>
        <v/>
      </c>
    </row>
    <row r="6947">
      <c r="A6947" s="78" t="s">
        <v>7852</v>
      </c>
      <c r="B6947" s="78" t="s">
        <v>22</v>
      </c>
      <c r="C6947" s="85">
        <v>45617.0</v>
      </c>
      <c r="D6947" s="85">
        <v>45628.0</v>
      </c>
      <c r="E6947" s="86">
        <v>8.84</v>
      </c>
      <c r="F6947" s="87">
        <v>11.51</v>
      </c>
      <c r="G6947" s="88">
        <f t="shared" si="1"/>
        <v>2.67</v>
      </c>
      <c r="H6947" s="89">
        <f t="shared" si="18"/>
        <v>0.2319721981</v>
      </c>
      <c r="I6947" s="78" t="s">
        <v>7931</v>
      </c>
      <c r="J6947" s="78" t="s">
        <v>69</v>
      </c>
      <c r="K6947" s="58">
        <f t="shared" si="17"/>
        <v>11</v>
      </c>
      <c r="L6947" s="91" t="str">
        <f t="shared" si="8"/>
        <v>Mon</v>
      </c>
      <c r="M6947" s="78" t="str">
        <f>IFERROR(VLOOKUP(A6947, Entries!A:B,2,false),"")</f>
        <v/>
      </c>
      <c r="N6947" s="23" t="str">
        <f>IFERROR(VLOOKUP(A6947, Entries!A:K,11,false),"")</f>
        <v/>
      </c>
    </row>
    <row r="6948">
      <c r="A6948" s="78" t="s">
        <v>5419</v>
      </c>
      <c r="B6948" s="78" t="s">
        <v>21</v>
      </c>
      <c r="C6948" s="85">
        <v>45618.0</v>
      </c>
      <c r="D6948" s="85">
        <v>45704.0</v>
      </c>
      <c r="E6948" s="86">
        <v>24.54</v>
      </c>
      <c r="F6948" s="87">
        <v>26.34</v>
      </c>
      <c r="G6948" s="88">
        <f t="shared" si="1"/>
        <v>1.8</v>
      </c>
      <c r="H6948" s="89">
        <f t="shared" si="18"/>
        <v>0.06833712984</v>
      </c>
      <c r="J6948" s="78" t="s">
        <v>69</v>
      </c>
      <c r="K6948" s="58">
        <f t="shared" si="17"/>
        <v>86</v>
      </c>
      <c r="L6948" s="91" t="str">
        <f t="shared" si="8"/>
        <v>Sun</v>
      </c>
      <c r="M6948" s="78" t="str">
        <f>IFERROR(VLOOKUP(A6948, Entries!A:B,2,false),"")</f>
        <v>PlayStation</v>
      </c>
      <c r="N6948" s="23" t="str">
        <f>IFERROR(VLOOKUP(A6948, Entries!A:K,11,false),"")</f>
        <v/>
      </c>
    </row>
    <row r="6949">
      <c r="A6949" s="78" t="s">
        <v>7836</v>
      </c>
      <c r="B6949" s="78" t="s">
        <v>18</v>
      </c>
      <c r="C6949" s="85">
        <v>45619.0</v>
      </c>
      <c r="D6949" s="85">
        <v>45646.0</v>
      </c>
      <c r="E6949" s="86">
        <v>19.58</v>
      </c>
      <c r="F6949" s="87">
        <v>29.91</v>
      </c>
      <c r="G6949" s="88">
        <f t="shared" si="1"/>
        <v>10.33</v>
      </c>
      <c r="H6949" s="89">
        <f t="shared" si="18"/>
        <v>0.3453694417</v>
      </c>
      <c r="I6949" s="78" t="s">
        <v>7932</v>
      </c>
      <c r="J6949" s="78" t="s">
        <v>69</v>
      </c>
      <c r="K6949" s="58">
        <f t="shared" si="17"/>
        <v>27</v>
      </c>
      <c r="L6949" s="91" t="str">
        <f t="shared" si="8"/>
        <v>Fri</v>
      </c>
      <c r="M6949" s="78" t="str">
        <f>IFERROR(VLOOKUP(A6949, Entries!A:B,2,false),"")</f>
        <v/>
      </c>
      <c r="N6949" s="23" t="str">
        <f>IFERROR(VLOOKUP(A6949, Entries!A:K,11,false),"")</f>
        <v/>
      </c>
    </row>
    <row r="6950">
      <c r="A6950" s="78" t="s">
        <v>7836</v>
      </c>
      <c r="B6950" s="78" t="s">
        <v>18</v>
      </c>
      <c r="C6950" s="85">
        <v>45619.0</v>
      </c>
      <c r="D6950" s="85">
        <v>45761.0</v>
      </c>
      <c r="E6950" s="86">
        <v>19.58</v>
      </c>
      <c r="F6950" s="87">
        <v>20.3</v>
      </c>
      <c r="G6950" s="88">
        <f t="shared" si="1"/>
        <v>0.72</v>
      </c>
      <c r="H6950" s="89">
        <f t="shared" si="18"/>
        <v>0.0354679803</v>
      </c>
      <c r="I6950" s="103" t="s">
        <v>7933</v>
      </c>
      <c r="J6950" s="78" t="s">
        <v>69</v>
      </c>
      <c r="K6950" s="58">
        <f t="shared" si="17"/>
        <v>142</v>
      </c>
      <c r="L6950" s="91" t="str">
        <f t="shared" si="8"/>
        <v>Mon</v>
      </c>
      <c r="M6950" s="78" t="str">
        <f>IFERROR(VLOOKUP(A6950, Entries!A:B,2,false),"")</f>
        <v/>
      </c>
      <c r="N6950" s="23" t="str">
        <f>IFERROR(VLOOKUP(A6950, Entries!A:K,11,false),"")</f>
        <v/>
      </c>
    </row>
    <row r="6951">
      <c r="A6951" s="78" t="s">
        <v>6006</v>
      </c>
      <c r="B6951" s="78" t="s">
        <v>19</v>
      </c>
      <c r="C6951" s="85">
        <v>45620.0</v>
      </c>
      <c r="D6951" s="85">
        <v>45621.0</v>
      </c>
      <c r="E6951" s="86">
        <v>35.52</v>
      </c>
      <c r="F6951" s="87">
        <v>42.18</v>
      </c>
      <c r="G6951" s="88">
        <f t="shared" si="1"/>
        <v>6.66</v>
      </c>
      <c r="H6951" s="89">
        <f t="shared" si="18"/>
        <v>0.1578947368</v>
      </c>
      <c r="I6951" s="78" t="s">
        <v>7934</v>
      </c>
      <c r="J6951" s="78" t="s">
        <v>69</v>
      </c>
      <c r="K6951" s="58">
        <f t="shared" si="17"/>
        <v>1</v>
      </c>
      <c r="L6951" s="91" t="str">
        <f t="shared" si="8"/>
        <v>Mon</v>
      </c>
      <c r="M6951" s="78" t="str">
        <f>IFERROR(VLOOKUP(A6951, Entries!A:B,2,false),"")</f>
        <v>Bethesda Softworks</v>
      </c>
      <c r="N6951" s="23" t="str">
        <f>IFERROR(VLOOKUP(A6951, Entries!A:K,11,false),"")</f>
        <v/>
      </c>
    </row>
    <row r="6952">
      <c r="A6952" s="78" t="s">
        <v>7935</v>
      </c>
      <c r="B6952" s="78" t="s">
        <v>19</v>
      </c>
      <c r="C6952" s="85">
        <v>45620.0</v>
      </c>
      <c r="D6952" s="85">
        <v>45621.0</v>
      </c>
      <c r="E6952" s="86">
        <v>0.0</v>
      </c>
      <c r="F6952" s="87">
        <v>0.66</v>
      </c>
      <c r="G6952" s="88">
        <f t="shared" si="1"/>
        <v>0.66</v>
      </c>
      <c r="H6952" s="89">
        <f t="shared" si="18"/>
        <v>1</v>
      </c>
      <c r="I6952" s="78" t="s">
        <v>7936</v>
      </c>
      <c r="J6952" s="78" t="s">
        <v>69</v>
      </c>
      <c r="K6952" s="58">
        <f t="shared" si="17"/>
        <v>1</v>
      </c>
      <c r="L6952" s="91" t="str">
        <f t="shared" si="8"/>
        <v>Mon</v>
      </c>
      <c r="M6952" s="78" t="str">
        <f>IFERROR(VLOOKUP(A6952, Entries!A:B,2,false),"")</f>
        <v/>
      </c>
      <c r="N6952" s="23" t="str">
        <f>IFERROR(VLOOKUP(A6952, Entries!A:K,11,false),"")</f>
        <v/>
      </c>
    </row>
    <row r="6953">
      <c r="A6953" s="78" t="s">
        <v>7798</v>
      </c>
      <c r="B6953" s="78" t="s">
        <v>22</v>
      </c>
      <c r="C6953" s="85">
        <v>45620.0</v>
      </c>
      <c r="D6953" s="85">
        <v>45624.0</v>
      </c>
      <c r="E6953" s="86">
        <v>10.71</v>
      </c>
      <c r="F6953" s="87">
        <v>15.16</v>
      </c>
      <c r="G6953" s="88">
        <f t="shared" si="1"/>
        <v>4.45</v>
      </c>
      <c r="H6953" s="89">
        <f t="shared" si="18"/>
        <v>0.2935356201</v>
      </c>
      <c r="I6953" s="78" t="s">
        <v>7937</v>
      </c>
      <c r="J6953" s="78" t="s">
        <v>69</v>
      </c>
      <c r="K6953" s="58">
        <f t="shared" si="17"/>
        <v>4</v>
      </c>
      <c r="L6953" s="91" t="str">
        <f t="shared" si="8"/>
        <v>Thu</v>
      </c>
      <c r="M6953" s="78" t="str">
        <f>IFERROR(VLOOKUP(A6953, Entries!A:B,2,false),"")</f>
        <v>Konami</v>
      </c>
      <c r="N6953" s="23" t="str">
        <f>IFERROR(VLOOKUP(A6953, Entries!A:K,11,false),"")</f>
        <v/>
      </c>
    </row>
    <row r="6954">
      <c r="A6954" s="78" t="s">
        <v>6006</v>
      </c>
      <c r="B6954" s="78" t="s">
        <v>19</v>
      </c>
      <c r="C6954" s="85">
        <v>45621.0</v>
      </c>
      <c r="D6954" s="85">
        <v>45623.0</v>
      </c>
      <c r="E6954" s="86">
        <v>35.52</v>
      </c>
      <c r="F6954" s="87">
        <v>42.18</v>
      </c>
      <c r="G6954" s="88">
        <f t="shared" si="1"/>
        <v>6.66</v>
      </c>
      <c r="H6954" s="89">
        <f t="shared" si="18"/>
        <v>0.1578947368</v>
      </c>
      <c r="I6954" s="78" t="s">
        <v>7938</v>
      </c>
      <c r="J6954" s="78" t="s">
        <v>69</v>
      </c>
      <c r="K6954" s="58">
        <f t="shared" si="17"/>
        <v>2</v>
      </c>
      <c r="L6954" s="91" t="str">
        <f t="shared" si="8"/>
        <v>Wed</v>
      </c>
      <c r="M6954" s="78" t="str">
        <f>IFERROR(VLOOKUP(A6954, Entries!A:B,2,false),"")</f>
        <v>Bethesda Softworks</v>
      </c>
      <c r="N6954" s="23" t="str">
        <f>IFERROR(VLOOKUP(A6954, Entries!A:K,11,false),"")</f>
        <v/>
      </c>
    </row>
    <row r="6955">
      <c r="A6955" s="78" t="s">
        <v>7939</v>
      </c>
      <c r="B6955" s="78" t="s">
        <v>19</v>
      </c>
      <c r="C6955" s="85">
        <v>45621.0</v>
      </c>
      <c r="D6955" s="85">
        <v>45625.0</v>
      </c>
      <c r="E6955" s="86">
        <v>0.0</v>
      </c>
      <c r="F6955" s="87">
        <v>0.21</v>
      </c>
      <c r="G6955" s="88">
        <f t="shared" si="1"/>
        <v>0.21</v>
      </c>
      <c r="H6955" s="89">
        <f t="shared" si="18"/>
        <v>1</v>
      </c>
      <c r="I6955" s="78" t="s">
        <v>7940</v>
      </c>
      <c r="J6955" s="78" t="s">
        <v>69</v>
      </c>
      <c r="K6955" s="58">
        <f t="shared" si="17"/>
        <v>4</v>
      </c>
      <c r="L6955" s="91" t="str">
        <f t="shared" si="8"/>
        <v>Fri</v>
      </c>
      <c r="M6955" s="78" t="str">
        <f>IFERROR(VLOOKUP(A6955, Entries!A:B,2,false),"")</f>
        <v/>
      </c>
      <c r="N6955" s="23" t="str">
        <f>IFERROR(VLOOKUP(A6955, Entries!A:K,11,false),"")</f>
        <v/>
      </c>
    </row>
    <row r="6956">
      <c r="A6956" s="78" t="s">
        <v>1034</v>
      </c>
      <c r="B6956" s="78" t="s">
        <v>23</v>
      </c>
      <c r="C6956" s="85">
        <v>45621.0</v>
      </c>
      <c r="D6956" s="85">
        <v>45623.0</v>
      </c>
      <c r="E6956" s="86">
        <v>6.3</v>
      </c>
      <c r="F6956" s="87">
        <v>7.31</v>
      </c>
      <c r="G6956" s="88">
        <f t="shared" si="1"/>
        <v>1.01</v>
      </c>
      <c r="H6956" s="89">
        <f t="shared" si="18"/>
        <v>0.1381668947</v>
      </c>
      <c r="I6956" s="78" t="s">
        <v>7941</v>
      </c>
      <c r="J6956" s="78" t="s">
        <v>69</v>
      </c>
      <c r="K6956" s="58">
        <f t="shared" si="17"/>
        <v>2</v>
      </c>
      <c r="L6956" s="91" t="str">
        <f t="shared" si="8"/>
        <v>Wed</v>
      </c>
      <c r="M6956" s="78" t="str">
        <f>IFERROR(VLOOKUP(A6956, Entries!A:B,2,false),"")</f>
        <v>Eugen Systems</v>
      </c>
      <c r="N6956" s="23" t="str">
        <f>IFERROR(VLOOKUP(A6956, Entries!A:K,11,false),"")</f>
        <v/>
      </c>
    </row>
    <row r="6957">
      <c r="A6957" s="78" t="s">
        <v>1387</v>
      </c>
      <c r="B6957" s="78" t="s">
        <v>23</v>
      </c>
      <c r="C6957" s="85">
        <v>45621.0</v>
      </c>
      <c r="D6957" s="85">
        <v>45634.0</v>
      </c>
      <c r="E6957" s="86">
        <v>4.02</v>
      </c>
      <c r="F6957" s="87">
        <v>4.64</v>
      </c>
      <c r="G6957" s="88">
        <f t="shared" si="1"/>
        <v>0.62</v>
      </c>
      <c r="H6957" s="89">
        <f t="shared" si="18"/>
        <v>0.1336206897</v>
      </c>
      <c r="I6957" s="78" t="s">
        <v>7942</v>
      </c>
      <c r="J6957" s="78" t="s">
        <v>69</v>
      </c>
      <c r="K6957" s="58">
        <f t="shared" si="17"/>
        <v>13</v>
      </c>
      <c r="L6957" s="91" t="str">
        <f t="shared" si="8"/>
        <v>Sun</v>
      </c>
      <c r="M6957" s="78" t="str">
        <f>IFERROR(VLOOKUP(A6957, Entries!A:B,2,false),"")</f>
        <v>Eugen Systems</v>
      </c>
      <c r="N6957" s="23" t="str">
        <f>IFERROR(VLOOKUP(A6957, Entries!A:K,11,false),"")</f>
        <v/>
      </c>
    </row>
    <row r="6958">
      <c r="A6958" s="78" t="s">
        <v>7929</v>
      </c>
      <c r="B6958" s="78" t="s">
        <v>23</v>
      </c>
      <c r="C6958" s="85">
        <v>45621.0</v>
      </c>
      <c r="D6958" s="25"/>
      <c r="E6958" s="86">
        <v>18.64</v>
      </c>
      <c r="F6958" s="88"/>
      <c r="G6958" s="88">
        <f t="shared" si="1"/>
        <v>-18.64</v>
      </c>
      <c r="H6958" s="89" t="str">
        <f t="shared" si="18"/>
        <v/>
      </c>
      <c r="I6958" s="103" t="s">
        <v>561</v>
      </c>
      <c r="J6958" s="78" t="s">
        <v>1129</v>
      </c>
      <c r="K6958" s="58" t="str">
        <f t="shared" si="17"/>
        <v/>
      </c>
      <c r="L6958" s="91" t="str">
        <f t="shared" si="8"/>
        <v/>
      </c>
      <c r="M6958" s="78" t="str">
        <f>IFERROR(VLOOKUP(A6958, Entries!A:B,2,false),"")</f>
        <v/>
      </c>
      <c r="N6958" s="23" t="str">
        <f>IFERROR(VLOOKUP(A6958, Entries!A:K,11,false),"")</f>
        <v/>
      </c>
    </row>
    <row r="6959">
      <c r="A6959" s="78" t="s">
        <v>6501</v>
      </c>
      <c r="B6959" s="78" t="s">
        <v>32</v>
      </c>
      <c r="C6959" s="85">
        <v>45622.0</v>
      </c>
      <c r="D6959" s="85">
        <v>45627.0</v>
      </c>
      <c r="E6959" s="86">
        <v>9.28</v>
      </c>
      <c r="F6959" s="87">
        <v>11.46</v>
      </c>
      <c r="G6959" s="88">
        <f t="shared" si="1"/>
        <v>2.18</v>
      </c>
      <c r="H6959" s="89">
        <f t="shared" si="18"/>
        <v>0.1902268761</v>
      </c>
      <c r="I6959" s="78" t="s">
        <v>7943</v>
      </c>
      <c r="J6959" s="78" t="s">
        <v>69</v>
      </c>
      <c r="K6959" s="58">
        <f t="shared" si="17"/>
        <v>5</v>
      </c>
      <c r="L6959" s="91" t="str">
        <f t="shared" si="8"/>
        <v>Sun</v>
      </c>
      <c r="M6959" s="78" t="str">
        <f>IFERROR(VLOOKUP(A6959, Entries!A:B,2,false),"")</f>
        <v>Offworld Industries</v>
      </c>
      <c r="N6959" s="23" t="str">
        <f>IFERROR(VLOOKUP(A6959, Entries!A:K,11,false),"")</f>
        <v/>
      </c>
    </row>
    <row r="6960">
      <c r="A6960" s="78" t="s">
        <v>7944</v>
      </c>
      <c r="B6960" s="78" t="s">
        <v>23</v>
      </c>
      <c r="C6960" s="85">
        <v>45622.0</v>
      </c>
      <c r="D6960" s="85">
        <v>45639.0</v>
      </c>
      <c r="E6960" s="86">
        <v>18.72</v>
      </c>
      <c r="F6960" s="87">
        <v>20.63</v>
      </c>
      <c r="G6960" s="88">
        <f t="shared" si="1"/>
        <v>1.91</v>
      </c>
      <c r="H6960" s="89">
        <f t="shared" si="18"/>
        <v>0.09258361609</v>
      </c>
      <c r="I6960" s="78" t="s">
        <v>7945</v>
      </c>
      <c r="J6960" s="78" t="s">
        <v>69</v>
      </c>
      <c r="K6960" s="58">
        <f t="shared" si="17"/>
        <v>17</v>
      </c>
      <c r="L6960" s="91" t="str">
        <f t="shared" si="8"/>
        <v>Fri</v>
      </c>
      <c r="M6960" s="78" t="str">
        <f>IFERROR(VLOOKUP(A6960, Entries!A:B,2,false),"")</f>
        <v/>
      </c>
      <c r="N6960" s="23" t="str">
        <f>IFERROR(VLOOKUP(A6960, Entries!A:K,11,false),"")</f>
        <v/>
      </c>
    </row>
    <row r="6961">
      <c r="A6961" s="78" t="s">
        <v>6006</v>
      </c>
      <c r="B6961" s="78" t="s">
        <v>19</v>
      </c>
      <c r="C6961" s="85">
        <v>45623.0</v>
      </c>
      <c r="D6961" s="85">
        <v>45634.0</v>
      </c>
      <c r="E6961" s="86">
        <v>34.55</v>
      </c>
      <c r="F6961" s="87">
        <v>36.49</v>
      </c>
      <c r="G6961" s="88">
        <f t="shared" si="1"/>
        <v>1.94</v>
      </c>
      <c r="H6961" s="89">
        <f t="shared" si="18"/>
        <v>0.05316525075</v>
      </c>
      <c r="I6961" s="78" t="s">
        <v>7946</v>
      </c>
      <c r="J6961" s="78" t="s">
        <v>69</v>
      </c>
      <c r="K6961" s="58">
        <f t="shared" si="17"/>
        <v>11</v>
      </c>
      <c r="L6961" s="91" t="str">
        <f t="shared" si="8"/>
        <v>Sun</v>
      </c>
      <c r="M6961" s="78" t="str">
        <f>IFERROR(VLOOKUP(A6961, Entries!A:B,2,false),"")</f>
        <v>Bethesda Softworks</v>
      </c>
      <c r="N6961" s="23" t="str">
        <f>IFERROR(VLOOKUP(A6961, Entries!A:K,11,false),"")</f>
        <v/>
      </c>
    </row>
    <row r="6962">
      <c r="A6962" s="78" t="s">
        <v>7939</v>
      </c>
      <c r="B6962" s="78" t="s">
        <v>19</v>
      </c>
      <c r="C6962" s="85">
        <v>45623.0</v>
      </c>
      <c r="D6962" s="85">
        <v>45626.0</v>
      </c>
      <c r="E6962" s="86">
        <v>0.0</v>
      </c>
      <c r="F6962" s="87">
        <v>0.17</v>
      </c>
      <c r="G6962" s="88">
        <f t="shared" si="1"/>
        <v>0.17</v>
      </c>
      <c r="H6962" s="89">
        <f t="shared" si="18"/>
        <v>1</v>
      </c>
      <c r="I6962" s="78" t="s">
        <v>7947</v>
      </c>
      <c r="J6962" s="78" t="s">
        <v>69</v>
      </c>
      <c r="K6962" s="58">
        <f t="shared" si="17"/>
        <v>3</v>
      </c>
      <c r="L6962" s="91" t="str">
        <f t="shared" si="8"/>
        <v>Sat</v>
      </c>
      <c r="M6962" s="78" t="str">
        <f>IFERROR(VLOOKUP(A6962, Entries!A:B,2,false),"")</f>
        <v/>
      </c>
      <c r="N6962" s="23" t="str">
        <f>IFERROR(VLOOKUP(A6962, Entries!A:K,11,false),"")</f>
        <v/>
      </c>
    </row>
    <row r="6963">
      <c r="A6963" s="78" t="s">
        <v>5768</v>
      </c>
      <c r="B6963" s="78" t="s">
        <v>22</v>
      </c>
      <c r="C6963" s="85">
        <v>45623.0</v>
      </c>
      <c r="D6963" s="85">
        <v>45626.0</v>
      </c>
      <c r="E6963" s="86">
        <v>7.49</v>
      </c>
      <c r="F6963" s="87">
        <v>9.1</v>
      </c>
      <c r="G6963" s="88">
        <f t="shared" si="1"/>
        <v>1.61</v>
      </c>
      <c r="H6963" s="89">
        <f t="shared" si="18"/>
        <v>0.1769230769</v>
      </c>
      <c r="I6963" s="78" t="s">
        <v>7948</v>
      </c>
      <c r="J6963" s="78" t="s">
        <v>69</v>
      </c>
      <c r="K6963" s="58">
        <f t="shared" si="17"/>
        <v>3</v>
      </c>
      <c r="L6963" s="91" t="str">
        <f t="shared" si="8"/>
        <v>Sat</v>
      </c>
      <c r="M6963" s="78" t="str">
        <f>IFERROR(VLOOKUP(A6963, Entries!A:B,2,false),"")</f>
        <v>10 Chambers</v>
      </c>
      <c r="N6963" s="23" t="str">
        <f>IFERROR(VLOOKUP(A6963, Entries!A:K,11,false),"")</f>
        <v/>
      </c>
    </row>
    <row r="6964">
      <c r="A6964" s="78" t="s">
        <v>7949</v>
      </c>
      <c r="B6964" s="78" t="s">
        <v>30</v>
      </c>
      <c r="C6964" s="85">
        <v>45623.0</v>
      </c>
      <c r="D6964" s="25"/>
      <c r="E6964" s="86">
        <v>20.88</v>
      </c>
      <c r="F6964" s="88"/>
      <c r="G6964" s="88">
        <f t="shared" si="1"/>
        <v>-20.88</v>
      </c>
      <c r="H6964" s="89" t="str">
        <f t="shared" si="18"/>
        <v/>
      </c>
      <c r="I6964" s="103" t="s">
        <v>7950</v>
      </c>
      <c r="J6964" s="78" t="s">
        <v>1129</v>
      </c>
      <c r="K6964" s="58" t="str">
        <f t="shared" si="17"/>
        <v/>
      </c>
      <c r="L6964" s="91" t="str">
        <f t="shared" si="8"/>
        <v/>
      </c>
      <c r="M6964" s="78" t="str">
        <f>IFERROR(VLOOKUP(A6964, Entries!A:B,2,false),"")</f>
        <v/>
      </c>
      <c r="N6964" s="23" t="str">
        <f>IFERROR(VLOOKUP(A6964, Entries!A:K,11,false),"")</f>
        <v/>
      </c>
    </row>
    <row r="6965">
      <c r="A6965" s="78" t="s">
        <v>1034</v>
      </c>
      <c r="B6965" s="78" t="s">
        <v>23</v>
      </c>
      <c r="C6965" s="85">
        <v>45623.0</v>
      </c>
      <c r="D6965" s="85">
        <v>45632.0</v>
      </c>
      <c r="E6965" s="86">
        <v>6.25</v>
      </c>
      <c r="F6965" s="87">
        <v>6.49</v>
      </c>
      <c r="G6965" s="88">
        <f t="shared" si="1"/>
        <v>0.24</v>
      </c>
      <c r="H6965" s="89">
        <f t="shared" si="18"/>
        <v>0.03697996918</v>
      </c>
      <c r="I6965" s="78" t="s">
        <v>7951</v>
      </c>
      <c r="J6965" s="78" t="s">
        <v>69</v>
      </c>
      <c r="K6965" s="58">
        <f t="shared" si="17"/>
        <v>9</v>
      </c>
      <c r="L6965" s="91" t="str">
        <f t="shared" si="8"/>
        <v>Fri</v>
      </c>
      <c r="M6965" s="78" t="str">
        <f>IFERROR(VLOOKUP(A6965, Entries!A:B,2,false),"")</f>
        <v>Eugen Systems</v>
      </c>
      <c r="N6965" s="23" t="str">
        <f>IFERROR(VLOOKUP(A6965, Entries!A:K,11,false),"")</f>
        <v/>
      </c>
    </row>
    <row r="6966">
      <c r="A6966" s="78" t="s">
        <v>7816</v>
      </c>
      <c r="B6966" s="78" t="s">
        <v>21</v>
      </c>
      <c r="C6966" s="85">
        <v>45623.0</v>
      </c>
      <c r="D6966" s="85">
        <v>45635.0</v>
      </c>
      <c r="E6966" s="86">
        <v>26.18</v>
      </c>
      <c r="F6966" s="87">
        <v>27.75</v>
      </c>
      <c r="G6966" s="88">
        <f t="shared" si="1"/>
        <v>1.57</v>
      </c>
      <c r="H6966" s="89">
        <f t="shared" si="18"/>
        <v>0.05657657658</v>
      </c>
      <c r="I6966" s="78" t="s">
        <v>7952</v>
      </c>
      <c r="J6966" s="78" t="s">
        <v>69</v>
      </c>
      <c r="K6966" s="58">
        <f t="shared" si="17"/>
        <v>12</v>
      </c>
      <c r="L6966" s="91" t="str">
        <f t="shared" si="8"/>
        <v>Mon</v>
      </c>
      <c r="M6966" s="78" t="str">
        <f>IFERROR(VLOOKUP(A6966, Entries!A:B,2,false),"")</f>
        <v/>
      </c>
      <c r="N6966" s="23" t="str">
        <f>IFERROR(VLOOKUP(A6966, Entries!A:K,11,false),"")</f>
        <v/>
      </c>
    </row>
    <row r="6967">
      <c r="A6967" s="78" t="s">
        <v>7816</v>
      </c>
      <c r="B6967" s="78" t="s">
        <v>21</v>
      </c>
      <c r="C6967" s="85">
        <v>45623.0</v>
      </c>
      <c r="D6967" s="85">
        <v>45636.0</v>
      </c>
      <c r="E6967" s="86">
        <v>26.18</v>
      </c>
      <c r="F6967" s="87">
        <v>27.75</v>
      </c>
      <c r="G6967" s="88">
        <f t="shared" si="1"/>
        <v>1.57</v>
      </c>
      <c r="H6967" s="89">
        <f t="shared" si="18"/>
        <v>0.05657657658</v>
      </c>
      <c r="I6967" s="78" t="s">
        <v>7953</v>
      </c>
      <c r="J6967" s="78" t="s">
        <v>69</v>
      </c>
      <c r="K6967" s="58">
        <f t="shared" si="17"/>
        <v>13</v>
      </c>
      <c r="L6967" s="91" t="str">
        <f t="shared" si="8"/>
        <v>Tue</v>
      </c>
      <c r="M6967" s="78" t="str">
        <f>IFERROR(VLOOKUP(A6967, Entries!A:B,2,false),"")</f>
        <v/>
      </c>
      <c r="N6967" s="23" t="str">
        <f>IFERROR(VLOOKUP(A6967, Entries!A:K,11,false),"")</f>
        <v/>
      </c>
    </row>
    <row r="6968">
      <c r="A6968" s="78" t="s">
        <v>7814</v>
      </c>
      <c r="B6968" s="78" t="s">
        <v>21</v>
      </c>
      <c r="C6968" s="85">
        <v>45623.0</v>
      </c>
      <c r="D6968" s="85">
        <v>45666.0</v>
      </c>
      <c r="E6968" s="86">
        <v>30.1</v>
      </c>
      <c r="F6968" s="87">
        <v>31.37</v>
      </c>
      <c r="G6968" s="88">
        <f t="shared" si="1"/>
        <v>1.27</v>
      </c>
      <c r="H6968" s="89">
        <f t="shared" si="18"/>
        <v>0.04048453937</v>
      </c>
      <c r="I6968" s="78" t="s">
        <v>7954</v>
      </c>
      <c r="J6968" s="78" t="s">
        <v>69</v>
      </c>
      <c r="K6968" s="58">
        <f t="shared" si="17"/>
        <v>43</v>
      </c>
      <c r="L6968" s="91" t="str">
        <f t="shared" si="8"/>
        <v>Thu</v>
      </c>
      <c r="M6968" s="78" t="str">
        <f>IFERROR(VLOOKUP(A6968, Entries!A:B,2,false),"")</f>
        <v>Electronic Arts</v>
      </c>
      <c r="N6968" s="23" t="str">
        <f>IFERROR(VLOOKUP(A6968, Entries!A:K,11,false),"")</f>
        <v/>
      </c>
    </row>
    <row r="6969">
      <c r="A6969" s="78" t="s">
        <v>7814</v>
      </c>
      <c r="B6969" s="78" t="s">
        <v>21</v>
      </c>
      <c r="C6969" s="85">
        <v>45623.0</v>
      </c>
      <c r="D6969" s="85">
        <v>45668.0</v>
      </c>
      <c r="E6969" s="86">
        <v>30.11</v>
      </c>
      <c r="F6969" s="87">
        <v>31.37</v>
      </c>
      <c r="G6969" s="88">
        <f t="shared" si="1"/>
        <v>1.26</v>
      </c>
      <c r="H6969" s="89">
        <f t="shared" si="18"/>
        <v>0.04016576347</v>
      </c>
      <c r="I6969" s="78" t="s">
        <v>7955</v>
      </c>
      <c r="J6969" s="78" t="s">
        <v>69</v>
      </c>
      <c r="K6969" s="58">
        <f t="shared" si="17"/>
        <v>45</v>
      </c>
      <c r="L6969" s="91" t="str">
        <f t="shared" si="8"/>
        <v>Sat</v>
      </c>
      <c r="M6969" s="78" t="str">
        <f>IFERROR(VLOOKUP(A6969, Entries!A:B,2,false),"")</f>
        <v>Electronic Arts</v>
      </c>
      <c r="N6969" s="23" t="str">
        <f>IFERROR(VLOOKUP(A6969, Entries!A:K,11,false),"")</f>
        <v/>
      </c>
    </row>
    <row r="6970">
      <c r="A6970" s="78" t="s">
        <v>7515</v>
      </c>
      <c r="B6970" s="78" t="s">
        <v>22</v>
      </c>
      <c r="C6970" s="85">
        <v>45624.0</v>
      </c>
      <c r="D6970" s="85">
        <v>45626.0</v>
      </c>
      <c r="E6970" s="86">
        <v>9.54</v>
      </c>
      <c r="F6970" s="87">
        <v>12.42</v>
      </c>
      <c r="G6970" s="88">
        <f t="shared" si="1"/>
        <v>2.88</v>
      </c>
      <c r="H6970" s="89">
        <f t="shared" si="18"/>
        <v>0.231884058</v>
      </c>
      <c r="I6970" s="78" t="s">
        <v>7956</v>
      </c>
      <c r="J6970" s="78" t="s">
        <v>69</v>
      </c>
      <c r="K6970" s="58">
        <f t="shared" si="17"/>
        <v>2</v>
      </c>
      <c r="L6970" s="91" t="str">
        <f t="shared" si="8"/>
        <v>Sat</v>
      </c>
      <c r="M6970" s="98" t="str">
        <f>IFERROR(VLOOKUP(A6970, Entries!A:B,2,false),"")</f>
        <v>indie.io</v>
      </c>
      <c r="N6970" s="23" t="str">
        <f>IFERROR(VLOOKUP(A6970, Entries!A:K,11,false),"")</f>
        <v/>
      </c>
    </row>
    <row r="6971">
      <c r="A6971" s="78" t="s">
        <v>7798</v>
      </c>
      <c r="B6971" s="78" t="s">
        <v>22</v>
      </c>
      <c r="C6971" s="85">
        <v>45624.0</v>
      </c>
      <c r="D6971" s="85">
        <v>45625.0</v>
      </c>
      <c r="E6971" s="86">
        <v>10.56</v>
      </c>
      <c r="F6971" s="87">
        <v>15.16</v>
      </c>
      <c r="G6971" s="88">
        <f t="shared" si="1"/>
        <v>4.6</v>
      </c>
      <c r="H6971" s="89">
        <f t="shared" si="18"/>
        <v>0.3034300792</v>
      </c>
      <c r="I6971" s="78" t="s">
        <v>7957</v>
      </c>
      <c r="J6971" s="78" t="s">
        <v>69</v>
      </c>
      <c r="K6971" s="58">
        <f t="shared" si="17"/>
        <v>1</v>
      </c>
      <c r="L6971" s="91" t="str">
        <f t="shared" si="8"/>
        <v>Fri</v>
      </c>
      <c r="M6971" s="78" t="str">
        <f>IFERROR(VLOOKUP(A6971, Entries!A:B,2,false),"")</f>
        <v>Konami</v>
      </c>
      <c r="N6971" s="23" t="str">
        <f>IFERROR(VLOOKUP(A6971, Entries!A:K,11,false),"")</f>
        <v/>
      </c>
    </row>
    <row r="6972">
      <c r="A6972" s="78" t="s">
        <v>7798</v>
      </c>
      <c r="B6972" s="78" t="s">
        <v>22</v>
      </c>
      <c r="C6972" s="85">
        <v>45625.0</v>
      </c>
      <c r="D6972" s="85">
        <v>45626.0</v>
      </c>
      <c r="E6972" s="86">
        <v>10.51</v>
      </c>
      <c r="F6972" s="87">
        <v>15.16</v>
      </c>
      <c r="G6972" s="88">
        <f t="shared" si="1"/>
        <v>4.65</v>
      </c>
      <c r="H6972" s="89">
        <f t="shared" si="18"/>
        <v>0.3067282322</v>
      </c>
      <c r="I6972" s="78" t="s">
        <v>7958</v>
      </c>
      <c r="J6972" s="78" t="s">
        <v>69</v>
      </c>
      <c r="K6972" s="58">
        <f t="shared" si="17"/>
        <v>1</v>
      </c>
      <c r="L6972" s="91" t="str">
        <f t="shared" si="8"/>
        <v>Sat</v>
      </c>
      <c r="M6972" s="78" t="str">
        <f>IFERROR(VLOOKUP(A6972, Entries!A:B,2,false),"")</f>
        <v>Konami</v>
      </c>
      <c r="N6972" s="23" t="str">
        <f>IFERROR(VLOOKUP(A6972, Entries!A:K,11,false),"")</f>
        <v/>
      </c>
    </row>
    <row r="6973">
      <c r="A6973" s="78" t="s">
        <v>7394</v>
      </c>
      <c r="B6973" s="78" t="s">
        <v>18</v>
      </c>
      <c r="C6973" s="85">
        <v>45625.0</v>
      </c>
      <c r="D6973" s="85">
        <v>45635.0</v>
      </c>
      <c r="E6973" s="86">
        <v>24.63</v>
      </c>
      <c r="F6973" s="87">
        <v>32.0</v>
      </c>
      <c r="G6973" s="88">
        <f t="shared" si="1"/>
        <v>7.37</v>
      </c>
      <c r="H6973" s="89">
        <f t="shared" si="18"/>
        <v>0.2303125</v>
      </c>
      <c r="I6973" s="78" t="s">
        <v>7959</v>
      </c>
      <c r="J6973" s="78" t="s">
        <v>69</v>
      </c>
      <c r="K6973" s="58">
        <f t="shared" si="17"/>
        <v>10</v>
      </c>
      <c r="L6973" s="91" t="str">
        <f t="shared" si="8"/>
        <v>Mon</v>
      </c>
      <c r="M6973" s="78" t="str">
        <f>IFERROR(VLOOKUP(A6973, Entries!A:B,2,false),"")</f>
        <v/>
      </c>
      <c r="N6973" s="23" t="str">
        <f>IFERROR(VLOOKUP(A6973, Entries!A:K,11,false),"")</f>
        <v/>
      </c>
    </row>
    <row r="6974">
      <c r="A6974" s="78" t="s">
        <v>7798</v>
      </c>
      <c r="B6974" s="78" t="s">
        <v>22</v>
      </c>
      <c r="C6974" s="85">
        <v>45626.0</v>
      </c>
      <c r="D6974" s="85">
        <v>45627.0</v>
      </c>
      <c r="E6974" s="86">
        <v>10.5</v>
      </c>
      <c r="F6974" s="87">
        <v>15.16</v>
      </c>
      <c r="G6974" s="88">
        <f t="shared" si="1"/>
        <v>4.66</v>
      </c>
      <c r="H6974" s="89">
        <f t="shared" si="18"/>
        <v>0.3073878628</v>
      </c>
      <c r="I6974" s="78" t="s">
        <v>7960</v>
      </c>
      <c r="J6974" s="78" t="s">
        <v>69</v>
      </c>
      <c r="K6974" s="58">
        <f t="shared" si="17"/>
        <v>1</v>
      </c>
      <c r="L6974" s="91" t="str">
        <f t="shared" si="8"/>
        <v>Sun</v>
      </c>
      <c r="M6974" s="78" t="str">
        <f>IFERROR(VLOOKUP(A6974, Entries!A:B,2,false),"")</f>
        <v>Konami</v>
      </c>
      <c r="N6974" s="23" t="str">
        <f>IFERROR(VLOOKUP(A6974, Entries!A:K,11,false),"")</f>
        <v/>
      </c>
    </row>
    <row r="6975">
      <c r="A6975" s="78" t="s">
        <v>7961</v>
      </c>
      <c r="B6975" s="78" t="s">
        <v>25</v>
      </c>
      <c r="C6975" s="85">
        <v>45626.0</v>
      </c>
      <c r="D6975" s="85">
        <v>45637.0</v>
      </c>
      <c r="E6975" s="86">
        <v>0.0</v>
      </c>
      <c r="F6975" s="87">
        <v>0.47</v>
      </c>
      <c r="G6975" s="88">
        <f t="shared" si="1"/>
        <v>0.47</v>
      </c>
      <c r="H6975" s="89">
        <f t="shared" si="18"/>
        <v>1</v>
      </c>
      <c r="I6975" s="78" t="s">
        <v>7962</v>
      </c>
      <c r="J6975" s="78" t="s">
        <v>69</v>
      </c>
      <c r="K6975" s="58">
        <f t="shared" si="17"/>
        <v>11</v>
      </c>
      <c r="L6975" s="91" t="str">
        <f t="shared" si="8"/>
        <v>Wed</v>
      </c>
      <c r="M6975" s="78" t="str">
        <f>IFERROR(VLOOKUP(A6975, Entries!A:B,2,false),"")</f>
        <v/>
      </c>
      <c r="N6975" s="23" t="str">
        <f>IFERROR(VLOOKUP(A6975, Entries!A:K,11,false),"")</f>
        <v/>
      </c>
    </row>
    <row r="6976">
      <c r="A6976" s="78" t="s">
        <v>5676</v>
      </c>
      <c r="B6976" s="78" t="s">
        <v>21</v>
      </c>
      <c r="C6976" s="85">
        <v>45626.0</v>
      </c>
      <c r="D6976" s="85">
        <v>45634.0</v>
      </c>
      <c r="E6976" s="86">
        <v>33.56</v>
      </c>
      <c r="F6976" s="87">
        <v>36.1</v>
      </c>
      <c r="G6976" s="88">
        <f t="shared" si="1"/>
        <v>2.54</v>
      </c>
      <c r="H6976" s="89">
        <f t="shared" si="18"/>
        <v>0.0703601108</v>
      </c>
      <c r="I6976" s="78" t="s">
        <v>7963</v>
      </c>
      <c r="J6976" s="78" t="s">
        <v>69</v>
      </c>
      <c r="K6976" s="58">
        <f t="shared" si="17"/>
        <v>8</v>
      </c>
      <c r="L6976" s="91" t="str">
        <f t="shared" si="8"/>
        <v>Sun</v>
      </c>
      <c r="M6976" s="78" t="str">
        <f>IFERROR(VLOOKUP(A6976, Entries!A:B,2,false),"")</f>
        <v>Bethesda Softworks</v>
      </c>
      <c r="N6976" s="23" t="str">
        <f>IFERROR(VLOOKUP(A6976, Entries!A:K,11,false),"")</f>
        <v/>
      </c>
    </row>
    <row r="6977">
      <c r="A6977" s="78" t="s">
        <v>7515</v>
      </c>
      <c r="B6977" s="78" t="s">
        <v>22</v>
      </c>
      <c r="C6977" s="85">
        <v>45626.0</v>
      </c>
      <c r="D6977" s="85">
        <v>45628.0</v>
      </c>
      <c r="E6977" s="86">
        <v>9.48</v>
      </c>
      <c r="F6977" s="87">
        <v>12.42</v>
      </c>
      <c r="G6977" s="88">
        <f t="shared" si="1"/>
        <v>2.94</v>
      </c>
      <c r="H6977" s="89">
        <f t="shared" si="18"/>
        <v>0.2367149758</v>
      </c>
      <c r="I6977" s="78" t="s">
        <v>7964</v>
      </c>
      <c r="J6977" s="78" t="s">
        <v>69</v>
      </c>
      <c r="K6977" s="58">
        <f t="shared" si="17"/>
        <v>2</v>
      </c>
      <c r="L6977" s="91" t="str">
        <f t="shared" si="8"/>
        <v>Mon</v>
      </c>
      <c r="M6977" s="98" t="str">
        <f>IFERROR(VLOOKUP(A6977, Entries!A:B,2,false),"")</f>
        <v>indie.io</v>
      </c>
      <c r="N6977" s="23" t="str">
        <f>IFERROR(VLOOKUP(A6977, Entries!A:K,11,false),"")</f>
        <v/>
      </c>
    </row>
    <row r="6978">
      <c r="A6978" s="78" t="s">
        <v>7798</v>
      </c>
      <c r="B6978" s="78" t="s">
        <v>22</v>
      </c>
      <c r="C6978" s="85">
        <v>45627.0</v>
      </c>
      <c r="D6978" s="85">
        <v>45628.0</v>
      </c>
      <c r="E6978" s="86">
        <v>12.35</v>
      </c>
      <c r="F6978" s="87">
        <v>15.16</v>
      </c>
      <c r="G6978" s="88">
        <f t="shared" si="1"/>
        <v>2.81</v>
      </c>
      <c r="H6978" s="89">
        <f t="shared" si="18"/>
        <v>0.1853562005</v>
      </c>
      <c r="I6978" s="78" t="s">
        <v>7965</v>
      </c>
      <c r="J6978" s="78" t="s">
        <v>69</v>
      </c>
      <c r="K6978" s="58">
        <f t="shared" si="17"/>
        <v>1</v>
      </c>
      <c r="L6978" s="91" t="str">
        <f t="shared" si="8"/>
        <v>Mon</v>
      </c>
      <c r="M6978" s="78" t="str">
        <f>IFERROR(VLOOKUP(A6978, Entries!A:B,2,false),"")</f>
        <v>Konami</v>
      </c>
      <c r="N6978" s="23" t="str">
        <f>IFERROR(VLOOKUP(A6978, Entries!A:K,11,false),"")</f>
        <v/>
      </c>
    </row>
    <row r="6979">
      <c r="A6979" s="78" t="s">
        <v>7966</v>
      </c>
      <c r="B6979" s="78" t="s">
        <v>18</v>
      </c>
      <c r="C6979" s="85">
        <v>45627.0</v>
      </c>
      <c r="D6979" s="85">
        <v>45629.0</v>
      </c>
      <c r="E6979" s="86">
        <v>8.6</v>
      </c>
      <c r="F6979" s="87">
        <v>9.69</v>
      </c>
      <c r="G6979" s="88">
        <f t="shared" si="1"/>
        <v>1.09</v>
      </c>
      <c r="H6979" s="89">
        <f t="shared" si="18"/>
        <v>0.1124871001</v>
      </c>
      <c r="I6979" s="78" t="s">
        <v>7967</v>
      </c>
      <c r="J6979" s="78" t="s">
        <v>69</v>
      </c>
      <c r="K6979" s="58">
        <f t="shared" si="17"/>
        <v>2</v>
      </c>
      <c r="L6979" s="91" t="str">
        <f t="shared" si="8"/>
        <v>Tue</v>
      </c>
      <c r="M6979" s="78" t="str">
        <f>IFERROR(VLOOKUP(A6979, Entries!A:B,2,false),"")</f>
        <v/>
      </c>
      <c r="N6979" s="23" t="str">
        <f>IFERROR(VLOOKUP(A6979, Entries!A:K,11,false),"")</f>
        <v/>
      </c>
    </row>
    <row r="6980">
      <c r="A6980" s="78" t="s">
        <v>7968</v>
      </c>
      <c r="B6980" s="78" t="s">
        <v>21</v>
      </c>
      <c r="C6980" s="85">
        <v>45627.0</v>
      </c>
      <c r="D6980" s="85">
        <v>45628.0</v>
      </c>
      <c r="E6980" s="86">
        <v>31.32</v>
      </c>
      <c r="F6980" s="87">
        <v>33.2</v>
      </c>
      <c r="G6980" s="88">
        <f t="shared" si="1"/>
        <v>1.88</v>
      </c>
      <c r="H6980" s="89">
        <f t="shared" si="18"/>
        <v>0.05662650602</v>
      </c>
      <c r="I6980" s="78" t="s">
        <v>7969</v>
      </c>
      <c r="J6980" s="78" t="s">
        <v>69</v>
      </c>
      <c r="K6980" s="58">
        <f t="shared" si="17"/>
        <v>1</v>
      </c>
      <c r="L6980" s="91" t="str">
        <f t="shared" si="8"/>
        <v>Mon</v>
      </c>
      <c r="M6980" s="78" t="str">
        <f>IFERROR(VLOOKUP(A6980, Entries!A:B,2,false),"")</f>
        <v>Coffee Stain</v>
      </c>
      <c r="N6980" s="23" t="str">
        <f>IFERROR(VLOOKUP(A6980, Entries!A:K,11,false),"")</f>
        <v/>
      </c>
    </row>
    <row r="6981">
      <c r="A6981" s="78" t="s">
        <v>7515</v>
      </c>
      <c r="B6981" s="78" t="s">
        <v>22</v>
      </c>
      <c r="C6981" s="85">
        <v>45628.0</v>
      </c>
      <c r="D6981" s="85">
        <v>45636.0</v>
      </c>
      <c r="E6981" s="86">
        <v>9.48</v>
      </c>
      <c r="F6981" s="87">
        <v>13.1</v>
      </c>
      <c r="G6981" s="88">
        <f t="shared" si="1"/>
        <v>3.62</v>
      </c>
      <c r="H6981" s="89">
        <f t="shared" si="18"/>
        <v>0.2763358779</v>
      </c>
      <c r="I6981" s="78" t="s">
        <v>7970</v>
      </c>
      <c r="J6981" s="78" t="s">
        <v>69</v>
      </c>
      <c r="K6981" s="58">
        <f t="shared" si="17"/>
        <v>8</v>
      </c>
      <c r="L6981" s="91" t="str">
        <f t="shared" si="8"/>
        <v>Tue</v>
      </c>
      <c r="M6981" s="98" t="str">
        <f>IFERROR(VLOOKUP(A6981, Entries!A:B,2,false),"")</f>
        <v>indie.io</v>
      </c>
      <c r="N6981" s="23" t="str">
        <f>IFERROR(VLOOKUP(A6981, Entries!A:K,11,false),"")</f>
        <v/>
      </c>
    </row>
    <row r="6982">
      <c r="A6982" s="78" t="s">
        <v>7852</v>
      </c>
      <c r="B6982" s="78" t="s">
        <v>22</v>
      </c>
      <c r="C6982" s="85">
        <v>45628.0</v>
      </c>
      <c r="D6982" s="85">
        <v>45766.0</v>
      </c>
      <c r="E6982" s="86">
        <v>8.29</v>
      </c>
      <c r="F6982" s="87">
        <v>9.28</v>
      </c>
      <c r="G6982" s="88">
        <f t="shared" si="1"/>
        <v>0.99</v>
      </c>
      <c r="H6982" s="89">
        <f t="shared" si="18"/>
        <v>0.1066810345</v>
      </c>
      <c r="I6982" s="103" t="s">
        <v>7971</v>
      </c>
      <c r="J6982" s="78" t="s">
        <v>69</v>
      </c>
      <c r="K6982" s="58">
        <f t="shared" si="17"/>
        <v>138</v>
      </c>
      <c r="L6982" s="91" t="str">
        <f t="shared" si="8"/>
        <v>Sat</v>
      </c>
      <c r="M6982" s="78" t="str">
        <f>IFERROR(VLOOKUP(A6982, Entries!A:B,2,false),"")</f>
        <v/>
      </c>
      <c r="N6982" s="23" t="str">
        <f>IFERROR(VLOOKUP(A6982, Entries!A:K,11,false),"")</f>
        <v/>
      </c>
    </row>
    <row r="6983">
      <c r="A6983" s="78" t="s">
        <v>4532</v>
      </c>
      <c r="B6983" s="78" t="s">
        <v>23</v>
      </c>
      <c r="C6983" s="85">
        <v>45628.0</v>
      </c>
      <c r="D6983" s="85">
        <v>45630.0</v>
      </c>
      <c r="E6983" s="86">
        <v>22.24</v>
      </c>
      <c r="F6983" s="87">
        <v>24.18</v>
      </c>
      <c r="G6983" s="88">
        <f t="shared" si="1"/>
        <v>1.94</v>
      </c>
      <c r="H6983" s="89">
        <f t="shared" si="18"/>
        <v>0.08023159636</v>
      </c>
      <c r="I6983" s="78" t="s">
        <v>7972</v>
      </c>
      <c r="J6983" s="78" t="s">
        <v>69</v>
      </c>
      <c r="K6983" s="58">
        <f t="shared" si="17"/>
        <v>2</v>
      </c>
      <c r="L6983" s="91" t="str">
        <f t="shared" si="8"/>
        <v>Wed</v>
      </c>
      <c r="M6983" s="78" t="str">
        <f>IFERROR(VLOOKUP(A6983, Entries!A:B,2,false),"")</f>
        <v>Eugen Systems</v>
      </c>
      <c r="N6983" s="23" t="str">
        <f>IFERROR(VLOOKUP(A6983, Entries!A:K,11,false),"")</f>
        <v/>
      </c>
    </row>
    <row r="6984">
      <c r="A6984" s="78" t="s">
        <v>5676</v>
      </c>
      <c r="B6984" s="78" t="s">
        <v>21</v>
      </c>
      <c r="C6984" s="85">
        <v>45628.0</v>
      </c>
      <c r="D6984" s="85">
        <v>45635.0</v>
      </c>
      <c r="E6984" s="86">
        <v>32.3</v>
      </c>
      <c r="F6984" s="87">
        <v>37.93</v>
      </c>
      <c r="G6984" s="88">
        <f t="shared" si="1"/>
        <v>5.63</v>
      </c>
      <c r="H6984" s="89">
        <f t="shared" si="18"/>
        <v>0.1484313209</v>
      </c>
      <c r="I6984" s="78" t="s">
        <v>7973</v>
      </c>
      <c r="J6984" s="78" t="s">
        <v>69</v>
      </c>
      <c r="K6984" s="58">
        <f t="shared" si="17"/>
        <v>7</v>
      </c>
      <c r="L6984" s="91" t="str">
        <f t="shared" si="8"/>
        <v>Mon</v>
      </c>
      <c r="M6984" s="78" t="str">
        <f>IFERROR(VLOOKUP(A6984, Entries!A:B,2,false),"")</f>
        <v>Bethesda Softworks</v>
      </c>
      <c r="N6984" s="23" t="str">
        <f>IFERROR(VLOOKUP(A6984, Entries!A:K,11,false),"")</f>
        <v/>
      </c>
    </row>
    <row r="6985">
      <c r="A6985" s="78" t="s">
        <v>5676</v>
      </c>
      <c r="B6985" s="78" t="s">
        <v>21</v>
      </c>
      <c r="C6985" s="85">
        <v>45628.0</v>
      </c>
      <c r="D6985" s="85">
        <v>45635.0</v>
      </c>
      <c r="E6985" s="86">
        <v>32.3</v>
      </c>
      <c r="F6985" s="87">
        <v>37.69</v>
      </c>
      <c r="G6985" s="88">
        <f t="shared" si="1"/>
        <v>5.39</v>
      </c>
      <c r="H6985" s="89">
        <f t="shared" si="18"/>
        <v>0.1430087556</v>
      </c>
      <c r="I6985" s="78" t="s">
        <v>7974</v>
      </c>
      <c r="J6985" s="78" t="s">
        <v>69</v>
      </c>
      <c r="K6985" s="58">
        <f t="shared" si="17"/>
        <v>7</v>
      </c>
      <c r="L6985" s="91" t="str">
        <f t="shared" si="8"/>
        <v>Mon</v>
      </c>
      <c r="M6985" s="78" t="str">
        <f>IFERROR(VLOOKUP(A6985, Entries!A:B,2,false),"")</f>
        <v>Bethesda Softworks</v>
      </c>
      <c r="N6985" s="23" t="str">
        <f>IFERROR(VLOOKUP(A6985, Entries!A:K,11,false),"")</f>
        <v/>
      </c>
    </row>
    <row r="6986">
      <c r="A6986" s="78" t="s">
        <v>7798</v>
      </c>
      <c r="B6986" s="78" t="s">
        <v>22</v>
      </c>
      <c r="C6986" s="85">
        <v>45628.0</v>
      </c>
      <c r="D6986" s="85">
        <v>45629.0</v>
      </c>
      <c r="E6986" s="86">
        <v>12.35</v>
      </c>
      <c r="F6986" s="87">
        <v>15.16</v>
      </c>
      <c r="G6986" s="88">
        <f t="shared" si="1"/>
        <v>2.81</v>
      </c>
      <c r="H6986" s="89">
        <f t="shared" si="18"/>
        <v>0.1853562005</v>
      </c>
      <c r="I6986" s="78" t="s">
        <v>7975</v>
      </c>
      <c r="J6986" s="78" t="s">
        <v>69</v>
      </c>
      <c r="K6986" s="58">
        <f t="shared" si="17"/>
        <v>1</v>
      </c>
      <c r="L6986" s="91" t="str">
        <f t="shared" si="8"/>
        <v>Tue</v>
      </c>
      <c r="M6986" s="78" t="str">
        <f>IFERROR(VLOOKUP(A6986, Entries!A:B,2,false),"")</f>
        <v>Konami</v>
      </c>
      <c r="N6986" s="23" t="str">
        <f>IFERROR(VLOOKUP(A6986, Entries!A:K,11,false),"")</f>
        <v/>
      </c>
    </row>
    <row r="6987">
      <c r="A6987" s="78" t="s">
        <v>7798</v>
      </c>
      <c r="B6987" s="78" t="s">
        <v>22</v>
      </c>
      <c r="C6987" s="85">
        <v>45629.0</v>
      </c>
      <c r="D6987" s="85">
        <v>45639.0</v>
      </c>
      <c r="E6987" s="86">
        <v>12.44</v>
      </c>
      <c r="F6987" s="87">
        <v>15.12</v>
      </c>
      <c r="G6987" s="88">
        <f t="shared" si="1"/>
        <v>2.68</v>
      </c>
      <c r="H6987" s="89">
        <f t="shared" si="18"/>
        <v>0.1772486772</v>
      </c>
      <c r="I6987" s="78" t="s">
        <v>7976</v>
      </c>
      <c r="J6987" s="78" t="s">
        <v>69</v>
      </c>
      <c r="K6987" s="58">
        <f t="shared" si="17"/>
        <v>10</v>
      </c>
      <c r="L6987" s="91" t="str">
        <f t="shared" si="8"/>
        <v>Fri</v>
      </c>
      <c r="M6987" s="78" t="str">
        <f>IFERROR(VLOOKUP(A6987, Entries!A:B,2,false),"")</f>
        <v>Konami</v>
      </c>
      <c r="N6987" s="23" t="str">
        <f>IFERROR(VLOOKUP(A6987, Entries!A:K,11,false),"")</f>
        <v/>
      </c>
    </row>
    <row r="6988">
      <c r="A6988" s="78" t="s">
        <v>6977</v>
      </c>
      <c r="B6988" s="78" t="s">
        <v>21</v>
      </c>
      <c r="C6988" s="85">
        <v>45629.0</v>
      </c>
      <c r="D6988" s="85">
        <v>45630.0</v>
      </c>
      <c r="E6988" s="86">
        <v>8.4</v>
      </c>
      <c r="F6988" s="87">
        <v>9.62</v>
      </c>
      <c r="G6988" s="88">
        <f t="shared" si="1"/>
        <v>1.22</v>
      </c>
      <c r="H6988" s="89">
        <f t="shared" si="18"/>
        <v>0.1268191268</v>
      </c>
      <c r="I6988" s="78" t="s">
        <v>7977</v>
      </c>
      <c r="J6988" s="78" t="s">
        <v>69</v>
      </c>
      <c r="K6988" s="58">
        <f t="shared" si="17"/>
        <v>1</v>
      </c>
      <c r="L6988" s="91" t="str">
        <f t="shared" si="8"/>
        <v>Wed</v>
      </c>
      <c r="M6988" s="78" t="str">
        <f>IFERROR(VLOOKUP(A6988, Entries!A:B,2,false),"")</f>
        <v>Dear Villagers</v>
      </c>
      <c r="N6988" s="23" t="str">
        <f>IFERROR(VLOOKUP(A6988, Entries!A:K,11,false),"")</f>
        <v/>
      </c>
    </row>
    <row r="6989">
      <c r="A6989" s="78" t="s">
        <v>6977</v>
      </c>
      <c r="B6989" s="78" t="s">
        <v>21</v>
      </c>
      <c r="C6989" s="85">
        <v>45629.0</v>
      </c>
      <c r="D6989" s="85">
        <v>45660.0</v>
      </c>
      <c r="E6989" s="86">
        <v>8.4</v>
      </c>
      <c r="F6989" s="87">
        <v>9.46</v>
      </c>
      <c r="G6989" s="88">
        <f t="shared" si="1"/>
        <v>1.06</v>
      </c>
      <c r="H6989" s="89">
        <f t="shared" si="18"/>
        <v>0.11205074</v>
      </c>
      <c r="I6989" s="78" t="s">
        <v>7978</v>
      </c>
      <c r="J6989" s="78" t="s">
        <v>69</v>
      </c>
      <c r="K6989" s="58">
        <f t="shared" si="17"/>
        <v>31</v>
      </c>
      <c r="L6989" s="91" t="str">
        <f t="shared" si="8"/>
        <v>Fri</v>
      </c>
      <c r="M6989" s="78" t="str">
        <f>IFERROR(VLOOKUP(A6989, Entries!A:B,2,false),"")</f>
        <v>Dear Villagers</v>
      </c>
      <c r="N6989" s="23" t="str">
        <f>IFERROR(VLOOKUP(A6989, Entries!A:K,11,false),"")</f>
        <v/>
      </c>
    </row>
    <row r="6990">
      <c r="A6990" s="78" t="s">
        <v>7966</v>
      </c>
      <c r="B6990" s="78" t="s">
        <v>18</v>
      </c>
      <c r="C6990" s="85">
        <v>45629.0</v>
      </c>
      <c r="D6990" s="85">
        <v>45630.0</v>
      </c>
      <c r="E6990" s="86">
        <v>8.39</v>
      </c>
      <c r="F6990" s="87">
        <v>9.67</v>
      </c>
      <c r="G6990" s="88">
        <f t="shared" si="1"/>
        <v>1.28</v>
      </c>
      <c r="H6990" s="89">
        <f t="shared" si="18"/>
        <v>0.1323681489</v>
      </c>
      <c r="I6990" s="78" t="s">
        <v>7979</v>
      </c>
      <c r="J6990" s="78" t="s">
        <v>69</v>
      </c>
      <c r="K6990" s="58">
        <f t="shared" si="17"/>
        <v>1</v>
      </c>
      <c r="L6990" s="91" t="str">
        <f t="shared" si="8"/>
        <v>Wed</v>
      </c>
      <c r="M6990" s="78" t="str">
        <f>IFERROR(VLOOKUP(A6990, Entries!A:B,2,false),"")</f>
        <v/>
      </c>
      <c r="N6990" s="23" t="str">
        <f>IFERROR(VLOOKUP(A6990, Entries!A:K,11,false),"")</f>
        <v/>
      </c>
    </row>
    <row r="6991">
      <c r="A6991" s="78" t="s">
        <v>7966</v>
      </c>
      <c r="B6991" s="78" t="s">
        <v>18</v>
      </c>
      <c r="C6991" s="85">
        <v>45629.0</v>
      </c>
      <c r="D6991" s="85">
        <v>45631.0</v>
      </c>
      <c r="E6991" s="86">
        <v>8.4</v>
      </c>
      <c r="F6991" s="87">
        <v>9.67</v>
      </c>
      <c r="G6991" s="88">
        <f t="shared" si="1"/>
        <v>1.27</v>
      </c>
      <c r="H6991" s="89">
        <f t="shared" si="18"/>
        <v>0.1313340228</v>
      </c>
      <c r="I6991" s="78" t="s">
        <v>7980</v>
      </c>
      <c r="J6991" s="78" t="s">
        <v>69</v>
      </c>
      <c r="K6991" s="58">
        <f t="shared" si="17"/>
        <v>2</v>
      </c>
      <c r="L6991" s="91" t="str">
        <f t="shared" si="8"/>
        <v>Thu</v>
      </c>
      <c r="M6991" s="78" t="str">
        <f>IFERROR(VLOOKUP(A6991, Entries!A:B,2,false),"")</f>
        <v/>
      </c>
      <c r="N6991" s="23" t="str">
        <f>IFERROR(VLOOKUP(A6991, Entries!A:K,11,false),"")</f>
        <v/>
      </c>
    </row>
    <row r="6992">
      <c r="A6992" s="78" t="s">
        <v>4532</v>
      </c>
      <c r="B6992" s="78" t="s">
        <v>23</v>
      </c>
      <c r="C6992" s="85">
        <v>45630.0</v>
      </c>
      <c r="D6992" s="85">
        <v>45630.0</v>
      </c>
      <c r="E6992" s="86">
        <v>22.4</v>
      </c>
      <c r="F6992" s="87">
        <v>24.18</v>
      </c>
      <c r="G6992" s="88">
        <f t="shared" si="1"/>
        <v>1.78</v>
      </c>
      <c r="H6992" s="89">
        <f t="shared" si="18"/>
        <v>0.07361455749</v>
      </c>
      <c r="I6992" s="78" t="s">
        <v>7981</v>
      </c>
      <c r="J6992" s="78" t="s">
        <v>69</v>
      </c>
      <c r="K6992" s="58">
        <f t="shared" si="17"/>
        <v>0</v>
      </c>
      <c r="L6992" s="91" t="str">
        <f t="shared" si="8"/>
        <v>Wed</v>
      </c>
      <c r="M6992" s="78" t="str">
        <f>IFERROR(VLOOKUP(A6992, Entries!A:B,2,false),"")</f>
        <v>Eugen Systems</v>
      </c>
      <c r="N6992" s="23" t="str">
        <f>IFERROR(VLOOKUP(A6992, Entries!A:K,11,false),"")</f>
        <v/>
      </c>
    </row>
    <row r="6993">
      <c r="A6993" s="78" t="s">
        <v>4532</v>
      </c>
      <c r="B6993" s="78" t="s">
        <v>23</v>
      </c>
      <c r="C6993" s="85">
        <v>45630.0</v>
      </c>
      <c r="D6993" s="85">
        <v>45631.0</v>
      </c>
      <c r="E6993" s="86">
        <v>22.36</v>
      </c>
      <c r="F6993" s="87">
        <v>24.18</v>
      </c>
      <c r="G6993" s="88">
        <f t="shared" si="1"/>
        <v>1.82</v>
      </c>
      <c r="H6993" s="89">
        <f t="shared" si="18"/>
        <v>0.0752688172</v>
      </c>
      <c r="I6993" s="78" t="s">
        <v>7982</v>
      </c>
      <c r="J6993" s="78" t="s">
        <v>69</v>
      </c>
      <c r="K6993" s="58">
        <f t="shared" si="17"/>
        <v>1</v>
      </c>
      <c r="L6993" s="91" t="str">
        <f t="shared" si="8"/>
        <v>Thu</v>
      </c>
      <c r="M6993" s="78" t="str">
        <f>IFERROR(VLOOKUP(A6993, Entries!A:B,2,false),"")</f>
        <v>Eugen Systems</v>
      </c>
      <c r="N6993" s="23" t="str">
        <f>IFERROR(VLOOKUP(A6993, Entries!A:K,11,false),"")</f>
        <v/>
      </c>
    </row>
    <row r="6994">
      <c r="A6994" s="78" t="s">
        <v>4532</v>
      </c>
      <c r="B6994" s="78" t="s">
        <v>23</v>
      </c>
      <c r="C6994" s="85">
        <v>45631.0</v>
      </c>
      <c r="D6994" s="85">
        <v>45631.0</v>
      </c>
      <c r="E6994" s="86">
        <v>22.37</v>
      </c>
      <c r="F6994" s="87">
        <v>29.69</v>
      </c>
      <c r="G6994" s="88">
        <f t="shared" si="1"/>
        <v>7.32</v>
      </c>
      <c r="H6994" s="89">
        <f t="shared" si="18"/>
        <v>0.2465476591</v>
      </c>
      <c r="I6994" s="78" t="s">
        <v>7983</v>
      </c>
      <c r="J6994" s="78" t="s">
        <v>69</v>
      </c>
      <c r="K6994" s="58">
        <f t="shared" si="17"/>
        <v>0</v>
      </c>
      <c r="L6994" s="91" t="str">
        <f t="shared" si="8"/>
        <v>Thu</v>
      </c>
      <c r="M6994" s="78" t="str">
        <f>IFERROR(VLOOKUP(A6994, Entries!A:B,2,false),"")</f>
        <v>Eugen Systems</v>
      </c>
      <c r="N6994" s="23" t="str">
        <f>IFERROR(VLOOKUP(A6994, Entries!A:K,11,false),"")</f>
        <v/>
      </c>
    </row>
    <row r="6995">
      <c r="A6995" s="78" t="s">
        <v>7966</v>
      </c>
      <c r="B6995" s="78" t="s">
        <v>18</v>
      </c>
      <c r="C6995" s="85">
        <v>45631.0</v>
      </c>
      <c r="D6995" s="85">
        <v>45631.0</v>
      </c>
      <c r="E6995" s="86">
        <v>8.4</v>
      </c>
      <c r="F6995" s="87">
        <v>9.67</v>
      </c>
      <c r="G6995" s="88">
        <f t="shared" si="1"/>
        <v>1.27</v>
      </c>
      <c r="H6995" s="89">
        <f t="shared" si="18"/>
        <v>0.1313340228</v>
      </c>
      <c r="I6995" s="78" t="s">
        <v>7984</v>
      </c>
      <c r="J6995" s="78" t="s">
        <v>69</v>
      </c>
      <c r="K6995" s="58">
        <f t="shared" si="17"/>
        <v>0</v>
      </c>
      <c r="L6995" s="91" t="str">
        <f t="shared" si="8"/>
        <v>Thu</v>
      </c>
      <c r="M6995" s="78" t="str">
        <f>IFERROR(VLOOKUP(A6995, Entries!A:B,2,false),"")</f>
        <v/>
      </c>
      <c r="N6995" s="23" t="str">
        <f>IFERROR(VLOOKUP(A6995, Entries!A:K,11,false),"")</f>
        <v/>
      </c>
    </row>
    <row r="6996">
      <c r="A6996" s="78" t="s">
        <v>7966</v>
      </c>
      <c r="B6996" s="78" t="s">
        <v>18</v>
      </c>
      <c r="C6996" s="85">
        <v>45631.0</v>
      </c>
      <c r="D6996" s="85">
        <v>45632.0</v>
      </c>
      <c r="E6996" s="86">
        <v>8.4</v>
      </c>
      <c r="F6996" s="87">
        <v>9.67</v>
      </c>
      <c r="G6996" s="88">
        <f t="shared" si="1"/>
        <v>1.27</v>
      </c>
      <c r="H6996" s="89">
        <f t="shared" si="18"/>
        <v>0.1313340228</v>
      </c>
      <c r="I6996" s="78" t="s">
        <v>7985</v>
      </c>
      <c r="J6996" s="78" t="s">
        <v>69</v>
      </c>
      <c r="K6996" s="58">
        <f t="shared" si="17"/>
        <v>1</v>
      </c>
      <c r="L6996" s="91" t="str">
        <f t="shared" si="8"/>
        <v>Fri</v>
      </c>
      <c r="M6996" s="78" t="str">
        <f>IFERROR(VLOOKUP(A6996, Entries!A:B,2,false),"")</f>
        <v/>
      </c>
      <c r="N6996" s="23" t="str">
        <f>IFERROR(VLOOKUP(A6996, Entries!A:K,11,false),"")</f>
        <v/>
      </c>
    </row>
    <row r="6997">
      <c r="A6997" s="78" t="s">
        <v>4532</v>
      </c>
      <c r="B6997" s="78" t="s">
        <v>23</v>
      </c>
      <c r="C6997" s="85">
        <v>45631.0</v>
      </c>
      <c r="D6997" s="85">
        <v>45632.0</v>
      </c>
      <c r="E6997" s="86">
        <v>22.37</v>
      </c>
      <c r="F6997" s="87">
        <v>24.24</v>
      </c>
      <c r="G6997" s="88">
        <f t="shared" si="1"/>
        <v>1.87</v>
      </c>
      <c r="H6997" s="89">
        <f t="shared" si="18"/>
        <v>0.07714521452</v>
      </c>
      <c r="I6997" s="78" t="s">
        <v>7986</v>
      </c>
      <c r="J6997" s="78" t="s">
        <v>69</v>
      </c>
      <c r="K6997" s="58">
        <f t="shared" si="17"/>
        <v>1</v>
      </c>
      <c r="L6997" s="91" t="str">
        <f t="shared" si="8"/>
        <v>Fri</v>
      </c>
      <c r="M6997" s="78" t="str">
        <f>IFERROR(VLOOKUP(A6997, Entries!A:B,2,false),"")</f>
        <v>Eugen Systems</v>
      </c>
      <c r="N6997" s="23" t="str">
        <f>IFERROR(VLOOKUP(A6997, Entries!A:K,11,false),"")</f>
        <v/>
      </c>
    </row>
    <row r="6998">
      <c r="A6998" s="78" t="s">
        <v>7987</v>
      </c>
      <c r="B6998" s="78" t="s">
        <v>22</v>
      </c>
      <c r="C6998" s="85">
        <v>45632.0</v>
      </c>
      <c r="D6998" s="85">
        <v>45634.0</v>
      </c>
      <c r="E6998" s="86">
        <v>8.85</v>
      </c>
      <c r="F6998" s="87">
        <v>10.65</v>
      </c>
      <c r="G6998" s="88">
        <f t="shared" si="1"/>
        <v>1.8</v>
      </c>
      <c r="H6998" s="89">
        <f t="shared" si="18"/>
        <v>0.1690140845</v>
      </c>
      <c r="I6998" s="78" t="s">
        <v>7988</v>
      </c>
      <c r="J6998" s="78" t="s">
        <v>69</v>
      </c>
      <c r="K6998" s="58">
        <f t="shared" si="17"/>
        <v>2</v>
      </c>
      <c r="L6998" s="91" t="str">
        <f t="shared" si="8"/>
        <v>Sun</v>
      </c>
      <c r="M6998" s="78" t="str">
        <f>IFERROR(VLOOKUP(A6998, Entries!A:B,2,false),"")</f>
        <v/>
      </c>
      <c r="N6998" s="23" t="str">
        <f>IFERROR(VLOOKUP(A6998, Entries!A:K,11,false),"")</f>
        <v/>
      </c>
    </row>
    <row r="6999">
      <c r="A6999" s="78" t="s">
        <v>4532</v>
      </c>
      <c r="B6999" s="78" t="s">
        <v>23</v>
      </c>
      <c r="C6999" s="85">
        <v>45632.0</v>
      </c>
      <c r="D6999" s="85">
        <v>45634.0</v>
      </c>
      <c r="E6999" s="86">
        <v>22.3</v>
      </c>
      <c r="F6999" s="87">
        <v>27.07</v>
      </c>
      <c r="G6999" s="88">
        <f t="shared" si="1"/>
        <v>4.77</v>
      </c>
      <c r="H6999" s="89">
        <f t="shared" si="18"/>
        <v>0.1762098264</v>
      </c>
      <c r="I6999" s="78" t="s">
        <v>7989</v>
      </c>
      <c r="J6999" s="78" t="s">
        <v>69</v>
      </c>
      <c r="K6999" s="58">
        <f t="shared" si="17"/>
        <v>2</v>
      </c>
      <c r="L6999" s="91" t="str">
        <f t="shared" si="8"/>
        <v>Sun</v>
      </c>
      <c r="M6999" s="78" t="str">
        <f>IFERROR(VLOOKUP(A6999, Entries!A:B,2,false),"")</f>
        <v>Eugen Systems</v>
      </c>
      <c r="N6999" s="23" t="str">
        <f>IFERROR(VLOOKUP(A6999, Entries!A:K,11,false),"")</f>
        <v/>
      </c>
    </row>
    <row r="7000">
      <c r="A7000" s="78" t="s">
        <v>7966</v>
      </c>
      <c r="B7000" s="78" t="s">
        <v>18</v>
      </c>
      <c r="C7000" s="85">
        <v>45632.0</v>
      </c>
      <c r="D7000" s="85">
        <v>45633.0</v>
      </c>
      <c r="E7000" s="86">
        <v>8.33</v>
      </c>
      <c r="F7000" s="87">
        <v>9.64</v>
      </c>
      <c r="G7000" s="88">
        <f t="shared" si="1"/>
        <v>1.31</v>
      </c>
      <c r="H7000" s="89">
        <f t="shared" si="18"/>
        <v>0.1358921162</v>
      </c>
      <c r="I7000" s="78" t="s">
        <v>7990</v>
      </c>
      <c r="J7000" s="78" t="s">
        <v>69</v>
      </c>
      <c r="K7000" s="58">
        <f t="shared" si="17"/>
        <v>1</v>
      </c>
      <c r="L7000" s="91" t="str">
        <f t="shared" si="8"/>
        <v>Sat</v>
      </c>
      <c r="M7000" s="78" t="str">
        <f>IFERROR(VLOOKUP(A7000, Entries!A:B,2,false),"")</f>
        <v/>
      </c>
      <c r="N7000" s="23" t="str">
        <f>IFERROR(VLOOKUP(A7000, Entries!A:K,11,false),"")</f>
        <v/>
      </c>
    </row>
    <row r="7001">
      <c r="A7001" s="78" t="s">
        <v>7966</v>
      </c>
      <c r="B7001" s="78" t="s">
        <v>18</v>
      </c>
      <c r="C7001" s="85">
        <v>45632.0</v>
      </c>
      <c r="D7001" s="85">
        <v>45634.0</v>
      </c>
      <c r="E7001" s="86">
        <v>8.33</v>
      </c>
      <c r="F7001" s="87">
        <v>9.64</v>
      </c>
      <c r="G7001" s="88">
        <f t="shared" si="1"/>
        <v>1.31</v>
      </c>
      <c r="H7001" s="89">
        <f t="shared" si="18"/>
        <v>0.1358921162</v>
      </c>
      <c r="I7001" s="78" t="s">
        <v>7991</v>
      </c>
      <c r="J7001" s="78" t="s">
        <v>69</v>
      </c>
      <c r="K7001" s="58">
        <f t="shared" si="17"/>
        <v>2</v>
      </c>
      <c r="L7001" s="91" t="str">
        <f t="shared" si="8"/>
        <v>Sun</v>
      </c>
      <c r="M7001" s="78" t="str">
        <f>IFERROR(VLOOKUP(A7001, Entries!A:B,2,false),"")</f>
        <v/>
      </c>
      <c r="N7001" s="23" t="str">
        <f>IFERROR(VLOOKUP(A7001, Entries!A:K,11,false),"")</f>
        <v/>
      </c>
    </row>
    <row r="7002">
      <c r="A7002" s="78" t="s">
        <v>7966</v>
      </c>
      <c r="B7002" s="78" t="s">
        <v>18</v>
      </c>
      <c r="C7002" s="85">
        <v>45632.0</v>
      </c>
      <c r="D7002" s="85">
        <v>45638.0</v>
      </c>
      <c r="E7002" s="86">
        <v>8.33</v>
      </c>
      <c r="F7002" s="87">
        <v>9.5</v>
      </c>
      <c r="G7002" s="88">
        <f t="shared" si="1"/>
        <v>1.17</v>
      </c>
      <c r="H7002" s="89">
        <f t="shared" si="18"/>
        <v>0.1231578947</v>
      </c>
      <c r="I7002" s="78" t="s">
        <v>7992</v>
      </c>
      <c r="J7002" s="78" t="s">
        <v>69</v>
      </c>
      <c r="K7002" s="58">
        <f t="shared" si="17"/>
        <v>6</v>
      </c>
      <c r="L7002" s="91" t="str">
        <f t="shared" si="8"/>
        <v>Thu</v>
      </c>
      <c r="M7002" s="78" t="str">
        <f>IFERROR(VLOOKUP(A7002, Entries!A:B,2,false),"")</f>
        <v/>
      </c>
      <c r="N7002" s="23" t="str">
        <f>IFERROR(VLOOKUP(A7002, Entries!A:K,11,false),"")</f>
        <v/>
      </c>
    </row>
    <row r="7003">
      <c r="A7003" s="78" t="s">
        <v>4532</v>
      </c>
      <c r="B7003" s="78" t="s">
        <v>23</v>
      </c>
      <c r="C7003" s="85">
        <v>45634.0</v>
      </c>
      <c r="D7003" s="85">
        <v>45635.0</v>
      </c>
      <c r="E7003" s="86">
        <v>22.22</v>
      </c>
      <c r="F7003" s="87">
        <v>29.71</v>
      </c>
      <c r="G7003" s="88">
        <f t="shared" si="1"/>
        <v>7.49</v>
      </c>
      <c r="H7003" s="89">
        <f t="shared" si="18"/>
        <v>0.2521036688</v>
      </c>
      <c r="I7003" s="78" t="s">
        <v>7993</v>
      </c>
      <c r="J7003" s="78" t="s">
        <v>69</v>
      </c>
      <c r="K7003" s="58">
        <f t="shared" si="17"/>
        <v>1</v>
      </c>
      <c r="L7003" s="91" t="str">
        <f t="shared" si="8"/>
        <v>Mon</v>
      </c>
      <c r="M7003" s="78" t="str">
        <f>IFERROR(VLOOKUP(A7003, Entries!A:B,2,false),"")</f>
        <v>Eugen Systems</v>
      </c>
      <c r="N7003" s="23" t="str">
        <f>IFERROR(VLOOKUP(A7003, Entries!A:K,11,false),"")</f>
        <v/>
      </c>
    </row>
    <row r="7004">
      <c r="A7004" s="78" t="s">
        <v>7224</v>
      </c>
      <c r="B7004" s="78" t="s">
        <v>21</v>
      </c>
      <c r="C7004" s="85">
        <v>45634.0</v>
      </c>
      <c r="D7004" s="85">
        <v>45640.0</v>
      </c>
      <c r="E7004" s="86">
        <v>21.94</v>
      </c>
      <c r="F7004" s="87">
        <v>24.05</v>
      </c>
      <c r="G7004" s="88">
        <f t="shared" si="1"/>
        <v>2.11</v>
      </c>
      <c r="H7004" s="89">
        <f t="shared" si="18"/>
        <v>0.08773388773</v>
      </c>
      <c r="I7004" s="78" t="s">
        <v>7994</v>
      </c>
      <c r="J7004" s="78" t="s">
        <v>69</v>
      </c>
      <c r="K7004" s="58">
        <f t="shared" si="17"/>
        <v>6</v>
      </c>
      <c r="L7004" s="91" t="str">
        <f t="shared" si="8"/>
        <v>Sat</v>
      </c>
      <c r="M7004" s="78" t="str">
        <f>IFERROR(VLOOKUP(A7004, Entries!A:B,2,false),"")</f>
        <v/>
      </c>
      <c r="N7004" s="23" t="str">
        <f>IFERROR(VLOOKUP(A7004, Entries!A:K,11,false),"")</f>
        <v/>
      </c>
    </row>
    <row r="7005">
      <c r="A7005" s="78" t="s">
        <v>7987</v>
      </c>
      <c r="B7005" s="78" t="s">
        <v>22</v>
      </c>
      <c r="C7005" s="85">
        <v>45634.0</v>
      </c>
      <c r="D7005" s="85">
        <v>45643.0</v>
      </c>
      <c r="E7005" s="86">
        <v>8.81</v>
      </c>
      <c r="F7005" s="87">
        <v>9.98</v>
      </c>
      <c r="G7005" s="88">
        <f t="shared" si="1"/>
        <v>1.17</v>
      </c>
      <c r="H7005" s="89">
        <f t="shared" si="18"/>
        <v>0.1172344689</v>
      </c>
      <c r="I7005" s="78" t="s">
        <v>7995</v>
      </c>
      <c r="J7005" s="78" t="s">
        <v>69</v>
      </c>
      <c r="K7005" s="58">
        <f t="shared" si="17"/>
        <v>9</v>
      </c>
      <c r="L7005" s="91" t="str">
        <f t="shared" si="8"/>
        <v>Tue</v>
      </c>
      <c r="M7005" s="78" t="str">
        <f>IFERROR(VLOOKUP(A7005, Entries!A:B,2,false),"")</f>
        <v/>
      </c>
      <c r="N7005" s="23" t="str">
        <f>IFERROR(VLOOKUP(A7005, Entries!A:K,11,false),"")</f>
        <v/>
      </c>
    </row>
    <row r="7006">
      <c r="A7006" s="78" t="s">
        <v>7394</v>
      </c>
      <c r="B7006" s="78" t="s">
        <v>18</v>
      </c>
      <c r="C7006" s="85">
        <v>45635.0</v>
      </c>
      <c r="D7006" s="85">
        <v>45636.0</v>
      </c>
      <c r="E7006" s="86">
        <v>24.71</v>
      </c>
      <c r="F7006" s="87">
        <v>29.22</v>
      </c>
      <c r="G7006" s="88">
        <f t="shared" si="1"/>
        <v>4.51</v>
      </c>
      <c r="H7006" s="89">
        <f t="shared" si="18"/>
        <v>0.1543463381</v>
      </c>
      <c r="I7006" s="78" t="s">
        <v>7996</v>
      </c>
      <c r="J7006" s="78" t="s">
        <v>69</v>
      </c>
      <c r="K7006" s="58">
        <f t="shared" si="17"/>
        <v>1</v>
      </c>
      <c r="L7006" s="91" t="str">
        <f t="shared" si="8"/>
        <v>Tue</v>
      </c>
      <c r="M7006" s="78" t="str">
        <f>IFERROR(VLOOKUP(A7006, Entries!A:B,2,false),"")</f>
        <v/>
      </c>
      <c r="N7006" s="23" t="str">
        <f>IFERROR(VLOOKUP(A7006, Entries!A:K,11,false),"")</f>
        <v/>
      </c>
    </row>
    <row r="7007">
      <c r="A7007" s="78" t="s">
        <v>7394</v>
      </c>
      <c r="B7007" s="78" t="s">
        <v>18</v>
      </c>
      <c r="C7007" s="85">
        <v>45635.0</v>
      </c>
      <c r="D7007" s="85">
        <v>45673.0</v>
      </c>
      <c r="E7007" s="86">
        <v>24.72</v>
      </c>
      <c r="F7007" s="87">
        <v>28.38</v>
      </c>
      <c r="G7007" s="88">
        <f t="shared" si="1"/>
        <v>3.66</v>
      </c>
      <c r="H7007" s="89">
        <f t="shared" si="18"/>
        <v>0.1289640592</v>
      </c>
      <c r="I7007" s="78" t="s">
        <v>7997</v>
      </c>
      <c r="J7007" s="78" t="s">
        <v>69</v>
      </c>
      <c r="K7007" s="58">
        <f t="shared" si="17"/>
        <v>38</v>
      </c>
      <c r="L7007" s="91" t="str">
        <f t="shared" si="8"/>
        <v>Thu</v>
      </c>
      <c r="M7007" s="78" t="str">
        <f>IFERROR(VLOOKUP(A7007, Entries!A:B,2,false),"")</f>
        <v/>
      </c>
      <c r="N7007" s="23" t="str">
        <f>IFERROR(VLOOKUP(A7007, Entries!A:K,11,false),"")</f>
        <v/>
      </c>
    </row>
    <row r="7008">
      <c r="A7008" s="78" t="s">
        <v>6006</v>
      </c>
      <c r="B7008" s="78" t="s">
        <v>19</v>
      </c>
      <c r="C7008" s="85">
        <v>45637.0</v>
      </c>
      <c r="D7008" s="85">
        <v>45640.0</v>
      </c>
      <c r="E7008" s="86">
        <v>34.3</v>
      </c>
      <c r="F7008" s="87">
        <v>36.79</v>
      </c>
      <c r="G7008" s="88">
        <f t="shared" si="1"/>
        <v>2.49</v>
      </c>
      <c r="H7008" s="89">
        <f t="shared" si="18"/>
        <v>0.06768143517</v>
      </c>
      <c r="I7008" s="78" t="s">
        <v>7998</v>
      </c>
      <c r="J7008" s="78" t="s">
        <v>69</v>
      </c>
      <c r="K7008" s="58">
        <f t="shared" si="17"/>
        <v>3</v>
      </c>
      <c r="L7008" s="91" t="str">
        <f t="shared" si="8"/>
        <v>Sat</v>
      </c>
      <c r="M7008" s="78" t="str">
        <f>IFERROR(VLOOKUP(A7008, Entries!A:B,2,false),"")</f>
        <v>Bethesda Softworks</v>
      </c>
      <c r="N7008" s="23" t="str">
        <f>IFERROR(VLOOKUP(A7008, Entries!A:K,11,false),"")</f>
        <v/>
      </c>
    </row>
    <row r="7009">
      <c r="A7009" s="78" t="s">
        <v>7999</v>
      </c>
      <c r="B7009" s="78" t="s">
        <v>22</v>
      </c>
      <c r="C7009" s="85">
        <v>45637.0</v>
      </c>
      <c r="D7009" s="85">
        <v>45639.0</v>
      </c>
      <c r="E7009" s="86">
        <v>8.32</v>
      </c>
      <c r="F7009" s="87">
        <v>9.89</v>
      </c>
      <c r="G7009" s="88">
        <f t="shared" si="1"/>
        <v>1.57</v>
      </c>
      <c r="H7009" s="89">
        <f t="shared" si="18"/>
        <v>0.1587462083</v>
      </c>
      <c r="I7009" s="78" t="s">
        <v>8000</v>
      </c>
      <c r="J7009" s="78" t="s">
        <v>69</v>
      </c>
      <c r="K7009" s="58">
        <f t="shared" si="17"/>
        <v>2</v>
      </c>
      <c r="L7009" s="91" t="str">
        <f t="shared" si="8"/>
        <v>Fri</v>
      </c>
      <c r="M7009" s="78" t="str">
        <f>IFERROR(VLOOKUP(A7009, Entries!A:B,2,false),"")</f>
        <v/>
      </c>
      <c r="N7009" s="23" t="str">
        <f>IFERROR(VLOOKUP(A7009, Entries!A:K,11,false),"")</f>
        <v/>
      </c>
    </row>
    <row r="7010">
      <c r="A7010" s="78" t="s">
        <v>7968</v>
      </c>
      <c r="B7010" s="78" t="s">
        <v>21</v>
      </c>
      <c r="C7010" s="85">
        <v>45637.0</v>
      </c>
      <c r="D7010" s="85">
        <v>45638.0</v>
      </c>
      <c r="E7010" s="86">
        <v>30.2</v>
      </c>
      <c r="F7010" s="87">
        <v>34.29</v>
      </c>
      <c r="G7010" s="88">
        <f t="shared" si="1"/>
        <v>4.09</v>
      </c>
      <c r="H7010" s="89">
        <f t="shared" si="18"/>
        <v>0.1192767571</v>
      </c>
      <c r="J7010" s="78" t="s">
        <v>69</v>
      </c>
      <c r="K7010" s="58">
        <f t="shared" si="17"/>
        <v>1</v>
      </c>
      <c r="L7010" s="91" t="str">
        <f t="shared" si="8"/>
        <v>Thu</v>
      </c>
      <c r="M7010" s="78" t="str">
        <f>IFERROR(VLOOKUP(A7010, Entries!A:B,2,false),"")</f>
        <v>Coffee Stain</v>
      </c>
      <c r="N7010" s="23" t="str">
        <f>IFERROR(VLOOKUP(A7010, Entries!A:K,11,false),"")</f>
        <v/>
      </c>
    </row>
    <row r="7011">
      <c r="A7011" s="78" t="s">
        <v>7968</v>
      </c>
      <c r="B7011" s="78" t="s">
        <v>21</v>
      </c>
      <c r="C7011" s="85">
        <v>45637.0</v>
      </c>
      <c r="D7011" s="85">
        <v>45640.0</v>
      </c>
      <c r="E7011" s="86">
        <v>30.2</v>
      </c>
      <c r="F7011" s="87">
        <v>36.88</v>
      </c>
      <c r="G7011" s="88">
        <f t="shared" si="1"/>
        <v>6.68</v>
      </c>
      <c r="H7011" s="89">
        <f t="shared" si="18"/>
        <v>0.1811279826</v>
      </c>
      <c r="J7011" s="78" t="s">
        <v>69</v>
      </c>
      <c r="K7011" s="58">
        <f t="shared" si="17"/>
        <v>3</v>
      </c>
      <c r="L7011" s="91" t="str">
        <f t="shared" si="8"/>
        <v>Sat</v>
      </c>
      <c r="M7011" s="78" t="str">
        <f>IFERROR(VLOOKUP(A7011, Entries!A:B,2,false),"")</f>
        <v>Coffee Stain</v>
      </c>
      <c r="N7011" s="23" t="str">
        <f>IFERROR(VLOOKUP(A7011, Entries!A:K,11,false),"")</f>
        <v/>
      </c>
    </row>
    <row r="7012">
      <c r="A7012" s="78" t="s">
        <v>1389</v>
      </c>
      <c r="B7012" s="78" t="s">
        <v>23</v>
      </c>
      <c r="C7012" s="85">
        <v>45637.0</v>
      </c>
      <c r="D7012" s="85">
        <v>45663.0</v>
      </c>
      <c r="E7012" s="86">
        <v>8.42</v>
      </c>
      <c r="F7012" s="87">
        <v>9.77</v>
      </c>
      <c r="G7012" s="88">
        <f t="shared" si="1"/>
        <v>1.35</v>
      </c>
      <c r="H7012" s="89">
        <f t="shared" si="18"/>
        <v>0.1381780962</v>
      </c>
      <c r="I7012" s="78" t="s">
        <v>8001</v>
      </c>
      <c r="J7012" s="78" t="s">
        <v>69</v>
      </c>
      <c r="K7012" s="58">
        <f t="shared" si="17"/>
        <v>26</v>
      </c>
      <c r="L7012" s="91" t="str">
        <f t="shared" si="8"/>
        <v>Mon</v>
      </c>
      <c r="M7012" s="78" t="str">
        <f>IFERROR(VLOOKUP(A7012, Entries!A:B,2,false),"")</f>
        <v>Eugen Systems</v>
      </c>
      <c r="N7012" s="23" t="str">
        <f>IFERROR(VLOOKUP(A7012, Entries!A:K,11,false),"")</f>
        <v/>
      </c>
    </row>
    <row r="7013">
      <c r="A7013" s="78" t="s">
        <v>7816</v>
      </c>
      <c r="B7013" s="78" t="s">
        <v>18</v>
      </c>
      <c r="C7013" s="85">
        <v>45637.0</v>
      </c>
      <c r="D7013" s="85">
        <v>45662.0</v>
      </c>
      <c r="E7013" s="86">
        <v>24.63</v>
      </c>
      <c r="F7013" s="87">
        <v>25.99</v>
      </c>
      <c r="G7013" s="88">
        <f t="shared" si="1"/>
        <v>1.36</v>
      </c>
      <c r="H7013" s="89">
        <f t="shared" si="18"/>
        <v>0.05232781839</v>
      </c>
      <c r="I7013" s="78" t="s">
        <v>8002</v>
      </c>
      <c r="J7013" s="78" t="s">
        <v>69</v>
      </c>
      <c r="K7013" s="58">
        <f t="shared" si="17"/>
        <v>25</v>
      </c>
      <c r="L7013" s="91" t="str">
        <f t="shared" si="8"/>
        <v>Sun</v>
      </c>
      <c r="M7013" s="78" t="str">
        <f>IFERROR(VLOOKUP(A7013, Entries!A:B,2,false),"")</f>
        <v/>
      </c>
      <c r="N7013" s="23" t="str">
        <f>IFERROR(VLOOKUP(A7013, Entries!A:K,11,false),"")</f>
        <v/>
      </c>
    </row>
    <row r="7014">
      <c r="A7014" s="78" t="s">
        <v>7968</v>
      </c>
      <c r="B7014" s="78" t="s">
        <v>21</v>
      </c>
      <c r="C7014" s="85">
        <v>45637.0</v>
      </c>
      <c r="D7014" s="85">
        <v>45638.0</v>
      </c>
      <c r="E7014" s="86">
        <v>30.77</v>
      </c>
      <c r="F7014" s="87">
        <v>36.88</v>
      </c>
      <c r="G7014" s="88">
        <f t="shared" si="1"/>
        <v>6.11</v>
      </c>
      <c r="H7014" s="89">
        <f t="shared" si="18"/>
        <v>0.1656724512</v>
      </c>
      <c r="I7014" s="78" t="s">
        <v>8003</v>
      </c>
      <c r="J7014" s="78" t="s">
        <v>69</v>
      </c>
      <c r="K7014" s="58">
        <f t="shared" si="17"/>
        <v>1</v>
      </c>
      <c r="L7014" s="91" t="str">
        <f t="shared" si="8"/>
        <v>Thu</v>
      </c>
      <c r="M7014" s="78" t="str">
        <f>IFERROR(VLOOKUP(A7014, Entries!A:B,2,false),"")</f>
        <v>Coffee Stain</v>
      </c>
      <c r="N7014" s="23" t="str">
        <f>IFERROR(VLOOKUP(A7014, Entries!A:K,11,false),"")</f>
        <v/>
      </c>
    </row>
    <row r="7015">
      <c r="A7015" s="78" t="s">
        <v>7968</v>
      </c>
      <c r="B7015" s="78" t="s">
        <v>21</v>
      </c>
      <c r="C7015" s="85">
        <v>45637.0</v>
      </c>
      <c r="D7015" s="85">
        <v>45691.0</v>
      </c>
      <c r="E7015" s="86">
        <v>30.78</v>
      </c>
      <c r="F7015" s="87">
        <v>31.56</v>
      </c>
      <c r="G7015" s="88">
        <f t="shared" si="1"/>
        <v>0.78</v>
      </c>
      <c r="H7015" s="89">
        <f t="shared" si="18"/>
        <v>0.0247148289</v>
      </c>
      <c r="I7015" s="78" t="s">
        <v>8004</v>
      </c>
      <c r="J7015" s="78" t="s">
        <v>69</v>
      </c>
      <c r="K7015" s="58">
        <f t="shared" si="17"/>
        <v>54</v>
      </c>
      <c r="L7015" s="91" t="str">
        <f t="shared" si="8"/>
        <v>Mon</v>
      </c>
      <c r="M7015" s="78" t="str">
        <f>IFERROR(VLOOKUP(A7015, Entries!A:B,2,false),"")</f>
        <v>Coffee Stain</v>
      </c>
      <c r="N7015" s="23" t="str">
        <f>IFERROR(VLOOKUP(A7015, Entries!A:K,11,false),"")</f>
        <v/>
      </c>
    </row>
    <row r="7016">
      <c r="A7016" s="78" t="s">
        <v>7968</v>
      </c>
      <c r="B7016" s="78" t="s">
        <v>21</v>
      </c>
      <c r="C7016" s="85">
        <v>45637.0</v>
      </c>
      <c r="D7016" s="85">
        <v>45691.0</v>
      </c>
      <c r="E7016" s="86">
        <v>30.78</v>
      </c>
      <c r="F7016" s="87">
        <v>31.56</v>
      </c>
      <c r="G7016" s="88">
        <f t="shared" si="1"/>
        <v>0.78</v>
      </c>
      <c r="H7016" s="89">
        <f t="shared" si="18"/>
        <v>0.0247148289</v>
      </c>
      <c r="I7016" s="78" t="s">
        <v>8005</v>
      </c>
      <c r="J7016" s="78" t="s">
        <v>69</v>
      </c>
      <c r="K7016" s="58">
        <f t="shared" si="17"/>
        <v>54</v>
      </c>
      <c r="L7016" s="91" t="str">
        <f t="shared" si="8"/>
        <v>Mon</v>
      </c>
      <c r="M7016" s="78" t="str">
        <f>IFERROR(VLOOKUP(A7016, Entries!A:B,2,false),"")</f>
        <v>Coffee Stain</v>
      </c>
      <c r="N7016" s="23" t="str">
        <f>IFERROR(VLOOKUP(A7016, Entries!A:K,11,false),"")</f>
        <v/>
      </c>
    </row>
    <row r="7017">
      <c r="A7017" s="78" t="s">
        <v>8006</v>
      </c>
      <c r="B7017" s="78" t="s">
        <v>19</v>
      </c>
      <c r="C7017" s="85">
        <v>45638.0</v>
      </c>
      <c r="D7017" s="85">
        <v>45638.0</v>
      </c>
      <c r="E7017" s="86">
        <v>11.25</v>
      </c>
      <c r="F7017" s="87">
        <v>13.9</v>
      </c>
      <c r="G7017" s="88">
        <f t="shared" si="1"/>
        <v>2.65</v>
      </c>
      <c r="H7017" s="89">
        <f t="shared" si="18"/>
        <v>0.190647482</v>
      </c>
      <c r="I7017" s="78" t="s">
        <v>8007</v>
      </c>
      <c r="J7017" s="78" t="s">
        <v>69</v>
      </c>
      <c r="K7017" s="58">
        <f t="shared" si="17"/>
        <v>0</v>
      </c>
      <c r="L7017" s="91" t="str">
        <f t="shared" si="8"/>
        <v>Thu</v>
      </c>
      <c r="M7017" s="78" t="str">
        <f>IFERROR(VLOOKUP(A7017, Entries!A:B,2,false),"")</f>
        <v>North Beach</v>
      </c>
      <c r="N7017" s="23" t="str">
        <f>IFERROR(VLOOKUP(A7017, Entries!A:K,11,false),"")</f>
        <v/>
      </c>
    </row>
    <row r="7018">
      <c r="A7018" s="78" t="s">
        <v>8006</v>
      </c>
      <c r="B7018" s="78" t="s">
        <v>19</v>
      </c>
      <c r="C7018" s="85">
        <v>45638.0</v>
      </c>
      <c r="D7018" s="85">
        <v>45638.0</v>
      </c>
      <c r="E7018" s="86">
        <v>11.64</v>
      </c>
      <c r="F7018" s="87">
        <v>13.9</v>
      </c>
      <c r="G7018" s="88">
        <f t="shared" si="1"/>
        <v>2.26</v>
      </c>
      <c r="H7018" s="89">
        <f t="shared" si="18"/>
        <v>0.1625899281</v>
      </c>
      <c r="J7018" s="78" t="s">
        <v>69</v>
      </c>
      <c r="K7018" s="58">
        <f t="shared" si="17"/>
        <v>0</v>
      </c>
      <c r="L7018" s="91" t="str">
        <f t="shared" si="8"/>
        <v>Thu</v>
      </c>
      <c r="M7018" s="78" t="str">
        <f>IFERROR(VLOOKUP(A7018, Entries!A:B,2,false),"")</f>
        <v>North Beach</v>
      </c>
      <c r="N7018" s="23" t="str">
        <f>IFERROR(VLOOKUP(A7018, Entries!A:K,11,false),"")</f>
        <v/>
      </c>
    </row>
    <row r="7019">
      <c r="A7019" s="78" t="s">
        <v>7966</v>
      </c>
      <c r="B7019" s="78" t="s">
        <v>18</v>
      </c>
      <c r="C7019" s="85">
        <v>45638.0</v>
      </c>
      <c r="D7019" s="85">
        <v>45638.0</v>
      </c>
      <c r="E7019" s="86">
        <v>8.32</v>
      </c>
      <c r="F7019" s="87">
        <v>9.49</v>
      </c>
      <c r="G7019" s="88">
        <f t="shared" si="1"/>
        <v>1.17</v>
      </c>
      <c r="H7019" s="89">
        <f t="shared" si="18"/>
        <v>0.1232876712</v>
      </c>
      <c r="I7019" s="78" t="s">
        <v>8008</v>
      </c>
      <c r="J7019" s="78" t="s">
        <v>69</v>
      </c>
      <c r="K7019" s="58">
        <f t="shared" si="17"/>
        <v>0</v>
      </c>
      <c r="L7019" s="91" t="str">
        <f t="shared" si="8"/>
        <v>Thu</v>
      </c>
      <c r="M7019" s="78" t="str">
        <f>IFERROR(VLOOKUP(A7019, Entries!A:B,2,false),"")</f>
        <v/>
      </c>
      <c r="N7019" s="23" t="str">
        <f>IFERROR(VLOOKUP(A7019, Entries!A:K,11,false),"")</f>
        <v/>
      </c>
    </row>
    <row r="7020">
      <c r="A7020" s="78" t="s">
        <v>7966</v>
      </c>
      <c r="B7020" s="78" t="s">
        <v>18</v>
      </c>
      <c r="C7020" s="85">
        <v>45638.0</v>
      </c>
      <c r="D7020" s="85">
        <v>45678.0</v>
      </c>
      <c r="E7020" s="86">
        <v>8.32</v>
      </c>
      <c r="F7020" s="87">
        <v>9.31</v>
      </c>
      <c r="G7020" s="88">
        <f t="shared" si="1"/>
        <v>0.99</v>
      </c>
      <c r="H7020" s="89">
        <f t="shared" si="18"/>
        <v>0.1063372718</v>
      </c>
      <c r="I7020" s="78" t="s">
        <v>8009</v>
      </c>
      <c r="J7020" s="78" t="s">
        <v>69</v>
      </c>
      <c r="K7020" s="58">
        <f t="shared" si="17"/>
        <v>40</v>
      </c>
      <c r="L7020" s="91" t="str">
        <f t="shared" si="8"/>
        <v>Tue</v>
      </c>
      <c r="M7020" s="78" t="str">
        <f>IFERROR(VLOOKUP(A7020, Entries!A:B,2,false),"")</f>
        <v/>
      </c>
      <c r="N7020" s="23" t="str">
        <f>IFERROR(VLOOKUP(A7020, Entries!A:K,11,false),"")</f>
        <v/>
      </c>
    </row>
    <row r="7021">
      <c r="A7021" s="78" t="s">
        <v>7966</v>
      </c>
      <c r="B7021" s="78" t="s">
        <v>18</v>
      </c>
      <c r="C7021" s="85">
        <v>45638.0</v>
      </c>
      <c r="D7021" s="85">
        <v>45658.0</v>
      </c>
      <c r="E7021" s="86">
        <v>8.33</v>
      </c>
      <c r="F7021" s="87">
        <v>8.94</v>
      </c>
      <c r="G7021" s="88">
        <f t="shared" si="1"/>
        <v>0.61</v>
      </c>
      <c r="H7021" s="89">
        <f t="shared" si="18"/>
        <v>0.06823266219</v>
      </c>
      <c r="I7021" s="78" t="s">
        <v>8010</v>
      </c>
      <c r="J7021" s="78" t="s">
        <v>69</v>
      </c>
      <c r="K7021" s="58">
        <f t="shared" si="17"/>
        <v>20</v>
      </c>
      <c r="L7021" s="91" t="str">
        <f t="shared" si="8"/>
        <v>Wed</v>
      </c>
      <c r="M7021" s="78" t="str">
        <f>IFERROR(VLOOKUP(A7021, Entries!A:B,2,false),"")</f>
        <v/>
      </c>
      <c r="N7021" s="23" t="str">
        <f>IFERROR(VLOOKUP(A7021, Entries!A:K,11,false),"")</f>
        <v/>
      </c>
    </row>
    <row r="7022">
      <c r="A7022" s="78" t="s">
        <v>8011</v>
      </c>
      <c r="B7022" s="78" t="s">
        <v>22</v>
      </c>
      <c r="C7022" s="85">
        <v>45638.0</v>
      </c>
      <c r="D7022" s="85">
        <v>45639.0</v>
      </c>
      <c r="E7022" s="86">
        <v>12.67</v>
      </c>
      <c r="F7022" s="87">
        <v>13.92</v>
      </c>
      <c r="G7022" s="88">
        <f t="shared" si="1"/>
        <v>1.25</v>
      </c>
      <c r="H7022" s="89">
        <f t="shared" si="18"/>
        <v>0.08979885057</v>
      </c>
      <c r="I7022" s="78" t="s">
        <v>8012</v>
      </c>
      <c r="J7022" s="78" t="s">
        <v>69</v>
      </c>
      <c r="K7022" s="58">
        <f t="shared" si="17"/>
        <v>1</v>
      </c>
      <c r="L7022" s="91" t="str">
        <f t="shared" si="8"/>
        <v>Fri</v>
      </c>
      <c r="M7022" s="78" t="str">
        <f>IFERROR(VLOOKUP(A7022, Entries!A:B,2,false),"")</f>
        <v/>
      </c>
      <c r="N7022" s="23" t="str">
        <f>IFERROR(VLOOKUP(A7022, Entries!A:K,11,false),"")</f>
        <v/>
      </c>
    </row>
    <row r="7023">
      <c r="A7023" s="78" t="s">
        <v>8006</v>
      </c>
      <c r="B7023" s="78" t="s">
        <v>19</v>
      </c>
      <c r="C7023" s="85">
        <v>45638.0</v>
      </c>
      <c r="D7023" s="85">
        <v>45638.0</v>
      </c>
      <c r="E7023" s="86">
        <v>11.64</v>
      </c>
      <c r="F7023" s="87">
        <v>13.9</v>
      </c>
      <c r="G7023" s="88">
        <f t="shared" si="1"/>
        <v>2.26</v>
      </c>
      <c r="H7023" s="89">
        <f t="shared" si="18"/>
        <v>0.1625899281</v>
      </c>
      <c r="I7023" s="78" t="s">
        <v>8013</v>
      </c>
      <c r="J7023" s="78" t="s">
        <v>69</v>
      </c>
      <c r="K7023" s="58">
        <f t="shared" si="17"/>
        <v>0</v>
      </c>
      <c r="L7023" s="91" t="str">
        <f t="shared" si="8"/>
        <v>Thu</v>
      </c>
      <c r="M7023" s="78" t="str">
        <f>IFERROR(VLOOKUP(A7023, Entries!A:B,2,false),"")</f>
        <v>North Beach</v>
      </c>
      <c r="N7023" s="23" t="str">
        <f>IFERROR(VLOOKUP(A7023, Entries!A:K,11,false),"")</f>
        <v/>
      </c>
    </row>
    <row r="7024">
      <c r="A7024" s="78" t="s">
        <v>8006</v>
      </c>
      <c r="B7024" s="78" t="s">
        <v>19</v>
      </c>
      <c r="C7024" s="85">
        <v>45638.0</v>
      </c>
      <c r="D7024" s="85">
        <v>45638.0</v>
      </c>
      <c r="E7024" s="86">
        <v>11.64</v>
      </c>
      <c r="F7024" s="87">
        <v>13.9</v>
      </c>
      <c r="G7024" s="88">
        <f t="shared" si="1"/>
        <v>2.26</v>
      </c>
      <c r="H7024" s="89">
        <f t="shared" si="18"/>
        <v>0.1625899281</v>
      </c>
      <c r="I7024" s="78" t="s">
        <v>8014</v>
      </c>
      <c r="J7024" s="78" t="s">
        <v>69</v>
      </c>
      <c r="K7024" s="58">
        <f t="shared" si="17"/>
        <v>0</v>
      </c>
      <c r="L7024" s="91" t="str">
        <f t="shared" si="8"/>
        <v>Thu</v>
      </c>
      <c r="M7024" s="78" t="str">
        <f>IFERROR(VLOOKUP(A7024, Entries!A:B,2,false),"")</f>
        <v>North Beach</v>
      </c>
      <c r="N7024" s="23" t="str">
        <f>IFERROR(VLOOKUP(A7024, Entries!A:K,11,false),"")</f>
        <v/>
      </c>
    </row>
    <row r="7025">
      <c r="A7025" s="78" t="s">
        <v>4532</v>
      </c>
      <c r="B7025" s="78" t="s">
        <v>18</v>
      </c>
      <c r="C7025" s="85">
        <v>45638.0</v>
      </c>
      <c r="D7025" s="85">
        <v>45638.0</v>
      </c>
      <c r="E7025" s="86">
        <v>27.17</v>
      </c>
      <c r="F7025" s="87">
        <v>27.38</v>
      </c>
      <c r="G7025" s="88">
        <f t="shared" si="1"/>
        <v>0.21</v>
      </c>
      <c r="H7025" s="89">
        <f t="shared" si="18"/>
        <v>0.007669831994</v>
      </c>
      <c r="I7025" s="78" t="s">
        <v>8015</v>
      </c>
      <c r="J7025" s="78" t="s">
        <v>69</v>
      </c>
      <c r="K7025" s="58">
        <f t="shared" si="17"/>
        <v>0</v>
      </c>
      <c r="L7025" s="91" t="str">
        <f t="shared" si="8"/>
        <v>Thu</v>
      </c>
      <c r="M7025" s="78" t="str">
        <f>IFERROR(VLOOKUP(A7025, Entries!A:B,2,false),"")</f>
        <v>Eugen Systems</v>
      </c>
      <c r="N7025" s="23" t="str">
        <f>IFERROR(VLOOKUP(A7025, Entries!A:K,11,false),"")</f>
        <v/>
      </c>
    </row>
    <row r="7026">
      <c r="A7026" s="78" t="s">
        <v>4532</v>
      </c>
      <c r="B7026" s="78" t="s">
        <v>18</v>
      </c>
      <c r="C7026" s="85">
        <v>45638.0</v>
      </c>
      <c r="D7026" s="85">
        <v>45704.0</v>
      </c>
      <c r="E7026" s="86">
        <v>27.18</v>
      </c>
      <c r="F7026" s="87">
        <v>29.54</v>
      </c>
      <c r="G7026" s="88">
        <f t="shared" si="1"/>
        <v>2.36</v>
      </c>
      <c r="H7026" s="89">
        <f t="shared" si="18"/>
        <v>0.07989167231</v>
      </c>
      <c r="I7026" s="78" t="s">
        <v>8016</v>
      </c>
      <c r="J7026" s="78" t="s">
        <v>69</v>
      </c>
      <c r="K7026" s="58">
        <f t="shared" si="17"/>
        <v>66</v>
      </c>
      <c r="L7026" s="91" t="str">
        <f t="shared" si="8"/>
        <v>Sun</v>
      </c>
      <c r="M7026" s="78" t="str">
        <f>IFERROR(VLOOKUP(A7026, Entries!A:B,2,false),"")</f>
        <v>Eugen Systems</v>
      </c>
      <c r="N7026" s="23" t="str">
        <f>IFERROR(VLOOKUP(A7026, Entries!A:K,11,false),"")</f>
        <v/>
      </c>
    </row>
    <row r="7027">
      <c r="A7027" s="78" t="s">
        <v>4532</v>
      </c>
      <c r="B7027" s="78" t="s">
        <v>18</v>
      </c>
      <c r="C7027" s="85">
        <v>45638.0</v>
      </c>
      <c r="D7027" s="85">
        <v>45743.0</v>
      </c>
      <c r="E7027" s="86">
        <v>27.18</v>
      </c>
      <c r="F7027" s="87">
        <v>30.17</v>
      </c>
      <c r="G7027" s="88">
        <f t="shared" si="1"/>
        <v>2.99</v>
      </c>
      <c r="H7027" s="89">
        <f t="shared" si="18"/>
        <v>0.09910507126</v>
      </c>
      <c r="I7027" s="78" t="s">
        <v>8017</v>
      </c>
      <c r="J7027" s="78" t="s">
        <v>69</v>
      </c>
      <c r="K7027" s="58">
        <f t="shared" si="17"/>
        <v>105</v>
      </c>
      <c r="L7027" s="91" t="str">
        <f t="shared" si="8"/>
        <v>Thu</v>
      </c>
      <c r="M7027" s="78" t="str">
        <f>IFERROR(VLOOKUP(A7027, Entries!A:B,2,false),"")</f>
        <v>Eugen Systems</v>
      </c>
      <c r="N7027" s="23" t="str">
        <f>IFERROR(VLOOKUP(A7027, Entries!A:K,11,false),"")</f>
        <v/>
      </c>
    </row>
    <row r="7028">
      <c r="A7028" s="78" t="s">
        <v>7224</v>
      </c>
      <c r="B7028" s="78" t="s">
        <v>21</v>
      </c>
      <c r="C7028" s="85">
        <v>45638.0</v>
      </c>
      <c r="D7028" s="85">
        <v>45643.0</v>
      </c>
      <c r="E7028" s="86">
        <v>21.77</v>
      </c>
      <c r="F7028" s="87">
        <v>24.07</v>
      </c>
      <c r="G7028" s="88">
        <f t="shared" si="1"/>
        <v>2.3</v>
      </c>
      <c r="H7028" s="89">
        <f t="shared" si="18"/>
        <v>0.09555463232</v>
      </c>
      <c r="I7028" s="78" t="s">
        <v>8018</v>
      </c>
      <c r="J7028" s="78" t="s">
        <v>69</v>
      </c>
      <c r="K7028" s="58">
        <f t="shared" si="17"/>
        <v>5</v>
      </c>
      <c r="L7028" s="91" t="str">
        <f t="shared" si="8"/>
        <v>Tue</v>
      </c>
      <c r="M7028" s="78" t="str">
        <f>IFERROR(VLOOKUP(A7028, Entries!A:B,2,false),"")</f>
        <v/>
      </c>
      <c r="N7028" s="23" t="str">
        <f>IFERROR(VLOOKUP(A7028, Entries!A:K,11,false),"")</f>
        <v/>
      </c>
    </row>
    <row r="7029">
      <c r="A7029" s="78" t="s">
        <v>7224</v>
      </c>
      <c r="B7029" s="78" t="s">
        <v>21</v>
      </c>
      <c r="C7029" s="85">
        <v>45638.0</v>
      </c>
      <c r="D7029" s="85">
        <v>45650.0</v>
      </c>
      <c r="E7029" s="86">
        <v>21.77</v>
      </c>
      <c r="F7029" s="87">
        <v>24.07</v>
      </c>
      <c r="G7029" s="88">
        <f t="shared" si="1"/>
        <v>2.3</v>
      </c>
      <c r="H7029" s="89">
        <f t="shared" si="18"/>
        <v>0.09555463232</v>
      </c>
      <c r="I7029" s="78" t="s">
        <v>8019</v>
      </c>
      <c r="J7029" s="78" t="s">
        <v>69</v>
      </c>
      <c r="K7029" s="58">
        <f t="shared" si="17"/>
        <v>12</v>
      </c>
      <c r="L7029" s="91" t="str">
        <f t="shared" si="8"/>
        <v>Tue</v>
      </c>
      <c r="M7029" s="78" t="str">
        <f>IFERROR(VLOOKUP(A7029, Entries!A:B,2,false),"")</f>
        <v/>
      </c>
      <c r="N7029" s="23" t="str">
        <f>IFERROR(VLOOKUP(A7029, Entries!A:K,11,false),"")</f>
        <v/>
      </c>
    </row>
    <row r="7030">
      <c r="A7030" s="78" t="s">
        <v>7224</v>
      </c>
      <c r="B7030" s="78" t="s">
        <v>21</v>
      </c>
      <c r="C7030" s="85">
        <v>45638.0</v>
      </c>
      <c r="D7030" s="85">
        <v>45662.0</v>
      </c>
      <c r="E7030" s="86">
        <v>21.78</v>
      </c>
      <c r="F7030" s="87">
        <v>23.63</v>
      </c>
      <c r="G7030" s="88">
        <f t="shared" si="1"/>
        <v>1.85</v>
      </c>
      <c r="H7030" s="89">
        <f t="shared" si="18"/>
        <v>0.07829030893</v>
      </c>
      <c r="I7030" s="78" t="s">
        <v>8020</v>
      </c>
      <c r="J7030" s="78" t="s">
        <v>69</v>
      </c>
      <c r="K7030" s="58">
        <f t="shared" si="17"/>
        <v>24</v>
      </c>
      <c r="L7030" s="91" t="str">
        <f t="shared" si="8"/>
        <v>Sun</v>
      </c>
      <c r="M7030" s="78" t="str">
        <f>IFERROR(VLOOKUP(A7030, Entries!A:B,2,false),"")</f>
        <v/>
      </c>
      <c r="N7030" s="23" t="str">
        <f>IFERROR(VLOOKUP(A7030, Entries!A:K,11,false),"")</f>
        <v/>
      </c>
    </row>
    <row r="7031">
      <c r="A7031" s="78" t="s">
        <v>8006</v>
      </c>
      <c r="B7031" s="78" t="s">
        <v>19</v>
      </c>
      <c r="C7031" s="85">
        <v>45639.0</v>
      </c>
      <c r="D7031" s="85">
        <v>45639.0</v>
      </c>
      <c r="E7031" s="86">
        <v>11.8</v>
      </c>
      <c r="F7031" s="87">
        <v>13.9</v>
      </c>
      <c r="G7031" s="88">
        <f t="shared" si="1"/>
        <v>2.1</v>
      </c>
      <c r="H7031" s="89">
        <f t="shared" si="18"/>
        <v>0.1510791367</v>
      </c>
      <c r="I7031" s="78" t="s">
        <v>8021</v>
      </c>
      <c r="J7031" s="78" t="s">
        <v>69</v>
      </c>
      <c r="K7031" s="58">
        <f t="shared" si="17"/>
        <v>0</v>
      </c>
      <c r="L7031" s="91" t="str">
        <f t="shared" si="8"/>
        <v>Fri</v>
      </c>
      <c r="M7031" s="78" t="str">
        <f>IFERROR(VLOOKUP(A7031, Entries!A:B,2,false),"")</f>
        <v>North Beach</v>
      </c>
      <c r="N7031" s="23" t="str">
        <f>IFERROR(VLOOKUP(A7031, Entries!A:K,11,false),"")</f>
        <v/>
      </c>
    </row>
    <row r="7032">
      <c r="A7032" s="78" t="s">
        <v>8006</v>
      </c>
      <c r="B7032" s="78" t="s">
        <v>19</v>
      </c>
      <c r="C7032" s="85">
        <v>45639.0</v>
      </c>
      <c r="D7032" s="85">
        <v>45639.0</v>
      </c>
      <c r="E7032" s="86">
        <v>11.64</v>
      </c>
      <c r="F7032" s="87">
        <v>13.9</v>
      </c>
      <c r="G7032" s="88">
        <f t="shared" si="1"/>
        <v>2.26</v>
      </c>
      <c r="H7032" s="89">
        <f t="shared" si="18"/>
        <v>0.1625899281</v>
      </c>
      <c r="I7032" s="78" t="s">
        <v>8022</v>
      </c>
      <c r="J7032" s="78" t="s">
        <v>69</v>
      </c>
      <c r="K7032" s="58">
        <f t="shared" si="17"/>
        <v>0</v>
      </c>
      <c r="L7032" s="91" t="str">
        <f t="shared" si="8"/>
        <v>Fri</v>
      </c>
      <c r="M7032" s="78" t="str">
        <f>IFERROR(VLOOKUP(A7032, Entries!A:B,2,false),"")</f>
        <v>North Beach</v>
      </c>
      <c r="N7032" s="23" t="str">
        <f>IFERROR(VLOOKUP(A7032, Entries!A:K,11,false),"")</f>
        <v/>
      </c>
    </row>
    <row r="7033">
      <c r="A7033" s="78" t="s">
        <v>2466</v>
      </c>
      <c r="B7033" s="78" t="s">
        <v>19</v>
      </c>
      <c r="C7033" s="85">
        <v>45639.0</v>
      </c>
      <c r="D7033" s="85">
        <v>45640.0</v>
      </c>
      <c r="E7033" s="86">
        <v>7.12</v>
      </c>
      <c r="F7033" s="87">
        <v>8.19</v>
      </c>
      <c r="G7033" s="88">
        <f t="shared" si="1"/>
        <v>1.07</v>
      </c>
      <c r="H7033" s="89">
        <f t="shared" si="18"/>
        <v>0.1306471306</v>
      </c>
      <c r="I7033" s="78" t="s">
        <v>8023</v>
      </c>
      <c r="J7033" s="78" t="s">
        <v>69</v>
      </c>
      <c r="K7033" s="58">
        <f t="shared" si="17"/>
        <v>1</v>
      </c>
      <c r="L7033" s="91" t="str">
        <f t="shared" si="8"/>
        <v>Sat</v>
      </c>
      <c r="M7033" s="78" t="str">
        <f>IFERROR(VLOOKUP(A7033, Entries!A:B,2,false),"")</f>
        <v>Bethesda Softworks</v>
      </c>
      <c r="N7033" s="23" t="str">
        <f>IFERROR(VLOOKUP(A7033, Entries!A:K,11,false),"")</f>
        <v/>
      </c>
    </row>
    <row r="7034">
      <c r="A7034" s="78" t="s">
        <v>1786</v>
      </c>
      <c r="B7034" s="78" t="s">
        <v>19</v>
      </c>
      <c r="C7034" s="85">
        <v>45639.0</v>
      </c>
      <c r="D7034" s="85">
        <v>45639.0</v>
      </c>
      <c r="E7034" s="86">
        <v>7.12</v>
      </c>
      <c r="F7034" s="87">
        <v>10.5</v>
      </c>
      <c r="G7034" s="88">
        <f t="shared" si="1"/>
        <v>3.38</v>
      </c>
      <c r="H7034" s="89">
        <f t="shared" si="18"/>
        <v>0.3219047619</v>
      </c>
      <c r="I7034" s="78" t="s">
        <v>8024</v>
      </c>
      <c r="J7034" s="78" t="s">
        <v>69</v>
      </c>
      <c r="K7034" s="58">
        <f t="shared" si="17"/>
        <v>0</v>
      </c>
      <c r="L7034" s="91" t="str">
        <f t="shared" si="8"/>
        <v>Fri</v>
      </c>
      <c r="M7034" s="78" t="str">
        <f>IFERROR(VLOOKUP(A7034, Entries!A:B,2,false),"")</f>
        <v>Bethesda Softworks</v>
      </c>
      <c r="N7034" s="23" t="str">
        <f>IFERROR(VLOOKUP(A7034, Entries!A:K,11,false),"")</f>
        <v/>
      </c>
    </row>
    <row r="7035">
      <c r="A7035" s="78" t="s">
        <v>8006</v>
      </c>
      <c r="B7035" s="78" t="s">
        <v>19</v>
      </c>
      <c r="C7035" s="85">
        <v>45639.0</v>
      </c>
      <c r="D7035" s="85">
        <v>45639.0</v>
      </c>
      <c r="E7035" s="86">
        <v>11.25</v>
      </c>
      <c r="F7035" s="87">
        <v>13.9</v>
      </c>
      <c r="G7035" s="88">
        <f t="shared" si="1"/>
        <v>2.65</v>
      </c>
      <c r="H7035" s="89">
        <f t="shared" si="18"/>
        <v>0.190647482</v>
      </c>
      <c r="I7035" s="78" t="s">
        <v>8025</v>
      </c>
      <c r="J7035" s="78" t="s">
        <v>69</v>
      </c>
      <c r="K7035" s="58">
        <f t="shared" si="17"/>
        <v>0</v>
      </c>
      <c r="L7035" s="91" t="str">
        <f t="shared" si="8"/>
        <v>Fri</v>
      </c>
      <c r="M7035" s="78" t="str">
        <f>IFERROR(VLOOKUP(A7035, Entries!A:B,2,false),"")</f>
        <v>North Beach</v>
      </c>
      <c r="N7035" s="23" t="str">
        <f>IFERROR(VLOOKUP(A7035, Entries!A:K,11,false),"")</f>
        <v/>
      </c>
    </row>
    <row r="7036">
      <c r="A7036" s="78" t="s">
        <v>7999</v>
      </c>
      <c r="B7036" s="78" t="s">
        <v>22</v>
      </c>
      <c r="C7036" s="85">
        <v>45639.0</v>
      </c>
      <c r="D7036" s="85">
        <v>45640.0</v>
      </c>
      <c r="E7036" s="86">
        <v>8.35</v>
      </c>
      <c r="F7036" s="87">
        <v>9.15</v>
      </c>
      <c r="G7036" s="88">
        <f t="shared" si="1"/>
        <v>0.8</v>
      </c>
      <c r="H7036" s="89">
        <f t="shared" si="18"/>
        <v>0.08743169399</v>
      </c>
      <c r="I7036" s="78" t="s">
        <v>8026</v>
      </c>
      <c r="J7036" s="78" t="s">
        <v>69</v>
      </c>
      <c r="K7036" s="58">
        <f t="shared" si="17"/>
        <v>1</v>
      </c>
      <c r="L7036" s="91" t="str">
        <f t="shared" si="8"/>
        <v>Sat</v>
      </c>
      <c r="M7036" s="78" t="str">
        <f>IFERROR(VLOOKUP(A7036, Entries!A:B,2,false),"")</f>
        <v/>
      </c>
      <c r="N7036" s="23" t="str">
        <f>IFERROR(VLOOKUP(A7036, Entries!A:K,11,false),"")</f>
        <v/>
      </c>
    </row>
    <row r="7037">
      <c r="A7037" s="78" t="s">
        <v>8006</v>
      </c>
      <c r="B7037" s="78" t="s">
        <v>19</v>
      </c>
      <c r="C7037" s="85">
        <v>45639.0</v>
      </c>
      <c r="D7037" s="85">
        <v>45639.0</v>
      </c>
      <c r="E7037" s="86">
        <v>11.64</v>
      </c>
      <c r="F7037" s="87">
        <v>13.9</v>
      </c>
      <c r="G7037" s="88">
        <f t="shared" si="1"/>
        <v>2.26</v>
      </c>
      <c r="H7037" s="89">
        <f t="shared" si="18"/>
        <v>0.1625899281</v>
      </c>
      <c r="I7037" s="78" t="s">
        <v>8027</v>
      </c>
      <c r="J7037" s="78" t="s">
        <v>69</v>
      </c>
      <c r="K7037" s="58">
        <f t="shared" si="17"/>
        <v>0</v>
      </c>
      <c r="L7037" s="91" t="str">
        <f t="shared" si="8"/>
        <v>Fri</v>
      </c>
      <c r="M7037" s="78" t="str">
        <f>IFERROR(VLOOKUP(A7037, Entries!A:B,2,false),"")</f>
        <v>North Beach</v>
      </c>
      <c r="N7037" s="23" t="str">
        <f>IFERROR(VLOOKUP(A7037, Entries!A:K,11,false),"")</f>
        <v/>
      </c>
    </row>
    <row r="7038">
      <c r="A7038" s="78" t="s">
        <v>2466</v>
      </c>
      <c r="B7038" s="78" t="s">
        <v>19</v>
      </c>
      <c r="C7038" s="85">
        <v>45639.0</v>
      </c>
      <c r="D7038" s="85">
        <v>45640.0</v>
      </c>
      <c r="E7038" s="86">
        <v>6.96</v>
      </c>
      <c r="F7038" s="87">
        <v>8.19</v>
      </c>
      <c r="G7038" s="88">
        <f t="shared" si="1"/>
        <v>1.23</v>
      </c>
      <c r="H7038" s="89">
        <f t="shared" si="18"/>
        <v>0.1501831502</v>
      </c>
      <c r="I7038" s="78" t="s">
        <v>8028</v>
      </c>
      <c r="J7038" s="78" t="s">
        <v>69</v>
      </c>
      <c r="K7038" s="58">
        <f t="shared" si="17"/>
        <v>1</v>
      </c>
      <c r="L7038" s="91" t="str">
        <f t="shared" si="8"/>
        <v>Sat</v>
      </c>
      <c r="M7038" s="78" t="str">
        <f>IFERROR(VLOOKUP(A7038, Entries!A:B,2,false),"")</f>
        <v>Bethesda Softworks</v>
      </c>
      <c r="N7038" s="23" t="str">
        <f>IFERROR(VLOOKUP(A7038, Entries!A:K,11,false),"")</f>
        <v/>
      </c>
    </row>
    <row r="7039">
      <c r="A7039" s="78" t="s">
        <v>1786</v>
      </c>
      <c r="B7039" s="78" t="s">
        <v>19</v>
      </c>
      <c r="C7039" s="85">
        <v>45639.0</v>
      </c>
      <c r="D7039" s="85">
        <v>45639.0</v>
      </c>
      <c r="E7039" s="86">
        <v>6.96</v>
      </c>
      <c r="F7039" s="87">
        <v>9.29</v>
      </c>
      <c r="G7039" s="88">
        <f t="shared" si="1"/>
        <v>2.33</v>
      </c>
      <c r="H7039" s="89">
        <f t="shared" si="18"/>
        <v>0.2508073197</v>
      </c>
      <c r="I7039" s="78" t="s">
        <v>8029</v>
      </c>
      <c r="J7039" s="78" t="s">
        <v>69</v>
      </c>
      <c r="K7039" s="58">
        <f t="shared" si="17"/>
        <v>0</v>
      </c>
      <c r="L7039" s="91" t="str">
        <f t="shared" si="8"/>
        <v>Fri</v>
      </c>
      <c r="M7039" s="78" t="str">
        <f>IFERROR(VLOOKUP(A7039, Entries!A:B,2,false),"")</f>
        <v>Bethesda Softworks</v>
      </c>
      <c r="N7039" s="23" t="str">
        <f>IFERROR(VLOOKUP(A7039, Entries!A:K,11,false),"")</f>
        <v/>
      </c>
    </row>
    <row r="7040">
      <c r="A7040" s="78" t="s">
        <v>7966</v>
      </c>
      <c r="B7040" s="78" t="s">
        <v>19</v>
      </c>
      <c r="C7040" s="85">
        <v>45639.0</v>
      </c>
      <c r="D7040" s="85">
        <v>45692.0</v>
      </c>
      <c r="E7040" s="86">
        <v>6.97</v>
      </c>
      <c r="F7040" s="87">
        <v>9.26</v>
      </c>
      <c r="G7040" s="88">
        <f t="shared" si="1"/>
        <v>2.29</v>
      </c>
      <c r="H7040" s="89">
        <f t="shared" si="18"/>
        <v>0.247300216</v>
      </c>
      <c r="I7040" s="78" t="s">
        <v>8030</v>
      </c>
      <c r="J7040" s="78" t="s">
        <v>69</v>
      </c>
      <c r="K7040" s="58">
        <f t="shared" si="17"/>
        <v>53</v>
      </c>
      <c r="L7040" s="91" t="str">
        <f t="shared" si="8"/>
        <v>Tue</v>
      </c>
      <c r="M7040" s="78" t="str">
        <f>IFERROR(VLOOKUP(A7040, Entries!A:B,2,false),"")</f>
        <v/>
      </c>
      <c r="N7040" s="23" t="str">
        <f>IFERROR(VLOOKUP(A7040, Entries!A:K,11,false),"")</f>
        <v/>
      </c>
    </row>
    <row r="7041">
      <c r="A7041" s="78" t="s">
        <v>7798</v>
      </c>
      <c r="B7041" s="78" t="s">
        <v>22</v>
      </c>
      <c r="C7041" s="85">
        <v>45639.0</v>
      </c>
      <c r="D7041" s="85">
        <v>45640.0</v>
      </c>
      <c r="E7041" s="86">
        <v>10.57</v>
      </c>
      <c r="F7041" s="87">
        <v>15.12</v>
      </c>
      <c r="G7041" s="88">
        <f t="shared" si="1"/>
        <v>4.55</v>
      </c>
      <c r="H7041" s="89">
        <f t="shared" si="18"/>
        <v>0.3009259259</v>
      </c>
      <c r="I7041" s="78" t="s">
        <v>8031</v>
      </c>
      <c r="J7041" s="78" t="s">
        <v>69</v>
      </c>
      <c r="K7041" s="58">
        <f t="shared" si="17"/>
        <v>1</v>
      </c>
      <c r="L7041" s="91" t="str">
        <f t="shared" si="8"/>
        <v>Sat</v>
      </c>
      <c r="M7041" s="78" t="str">
        <f>IFERROR(VLOOKUP(A7041, Entries!A:B,2,false),"")</f>
        <v>Konami</v>
      </c>
      <c r="N7041" s="23" t="str">
        <f>IFERROR(VLOOKUP(A7041, Entries!A:K,11,false),"")</f>
        <v/>
      </c>
    </row>
    <row r="7042">
      <c r="A7042" s="78" t="s">
        <v>8006</v>
      </c>
      <c r="B7042" s="78" t="s">
        <v>19</v>
      </c>
      <c r="C7042" s="85">
        <v>45639.0</v>
      </c>
      <c r="D7042" s="85">
        <v>45640.0</v>
      </c>
      <c r="E7042" s="86">
        <v>11.64</v>
      </c>
      <c r="F7042" s="87">
        <v>12.76</v>
      </c>
      <c r="G7042" s="88">
        <f t="shared" si="1"/>
        <v>1.12</v>
      </c>
      <c r="H7042" s="89">
        <f t="shared" si="18"/>
        <v>0.08777429467</v>
      </c>
      <c r="I7042" s="78" t="s">
        <v>8032</v>
      </c>
      <c r="J7042" s="78" t="s">
        <v>69</v>
      </c>
      <c r="K7042" s="58">
        <f t="shared" si="17"/>
        <v>1</v>
      </c>
      <c r="L7042" s="91" t="str">
        <f t="shared" si="8"/>
        <v>Sat</v>
      </c>
      <c r="M7042" s="78" t="str">
        <f>IFERROR(VLOOKUP(A7042, Entries!A:B,2,false),"")</f>
        <v>North Beach</v>
      </c>
      <c r="N7042" s="23" t="str">
        <f>IFERROR(VLOOKUP(A7042, Entries!A:K,11,false),"")</f>
        <v/>
      </c>
    </row>
    <row r="7043">
      <c r="A7043" s="78" t="s">
        <v>2466</v>
      </c>
      <c r="B7043" s="78" t="s">
        <v>19</v>
      </c>
      <c r="C7043" s="85">
        <v>45639.0</v>
      </c>
      <c r="D7043" s="85">
        <v>45640.0</v>
      </c>
      <c r="E7043" s="86">
        <v>7.3</v>
      </c>
      <c r="F7043" s="87">
        <v>8.19</v>
      </c>
      <c r="G7043" s="88">
        <f t="shared" si="1"/>
        <v>0.89</v>
      </c>
      <c r="H7043" s="89">
        <f t="shared" si="18"/>
        <v>0.1086691087</v>
      </c>
      <c r="I7043" s="78" t="s">
        <v>8033</v>
      </c>
      <c r="J7043" s="78" t="s">
        <v>69</v>
      </c>
      <c r="K7043" s="58">
        <f t="shared" si="17"/>
        <v>1</v>
      </c>
      <c r="L7043" s="91" t="str">
        <f t="shared" si="8"/>
        <v>Sat</v>
      </c>
      <c r="M7043" s="78" t="str">
        <f>IFERROR(VLOOKUP(A7043, Entries!A:B,2,false),"")</f>
        <v>Bethesda Softworks</v>
      </c>
      <c r="N7043" s="23" t="str">
        <f>IFERROR(VLOOKUP(A7043, Entries!A:K,11,false),"")</f>
        <v/>
      </c>
    </row>
    <row r="7044">
      <c r="A7044" s="78" t="s">
        <v>1786</v>
      </c>
      <c r="B7044" s="78" t="s">
        <v>19</v>
      </c>
      <c r="C7044" s="85">
        <v>45639.0</v>
      </c>
      <c r="D7044" s="85">
        <v>45639.0</v>
      </c>
      <c r="E7044" s="86">
        <v>7.3</v>
      </c>
      <c r="F7044" s="87">
        <v>9.29</v>
      </c>
      <c r="G7044" s="88">
        <f t="shared" si="1"/>
        <v>1.99</v>
      </c>
      <c r="H7044" s="89">
        <f t="shared" si="18"/>
        <v>0.2142088267</v>
      </c>
      <c r="I7044" s="78" t="s">
        <v>8034</v>
      </c>
      <c r="J7044" s="78" t="s">
        <v>69</v>
      </c>
      <c r="K7044" s="58">
        <f t="shared" si="17"/>
        <v>0</v>
      </c>
      <c r="L7044" s="91" t="str">
        <f t="shared" si="8"/>
        <v>Fri</v>
      </c>
      <c r="M7044" s="78"/>
      <c r="N7044" s="23" t="str">
        <f>IFERROR(VLOOKUP(A7044, Entries!A:K,11,false),"")</f>
        <v/>
      </c>
    </row>
    <row r="7045">
      <c r="A7045" s="78" t="s">
        <v>8006</v>
      </c>
      <c r="B7045" s="78" t="s">
        <v>19</v>
      </c>
      <c r="C7045" s="85">
        <v>45640.0</v>
      </c>
      <c r="D7045" s="85">
        <v>45640.0</v>
      </c>
      <c r="E7045" s="86">
        <v>11.64</v>
      </c>
      <c r="F7045" s="87">
        <v>13.9</v>
      </c>
      <c r="G7045" s="88">
        <f t="shared" si="1"/>
        <v>2.26</v>
      </c>
      <c r="H7045" s="89">
        <f t="shared" si="18"/>
        <v>0.1625899281</v>
      </c>
      <c r="I7045" s="78" t="s">
        <v>8035</v>
      </c>
      <c r="J7045" s="78" t="s">
        <v>69</v>
      </c>
      <c r="K7045" s="58">
        <f t="shared" si="17"/>
        <v>0</v>
      </c>
      <c r="L7045" s="91" t="str">
        <f t="shared" si="8"/>
        <v>Sat</v>
      </c>
      <c r="M7045" s="78" t="str">
        <f>IFERROR(VLOOKUP(A7045, Entries!A:B,2,false),"")</f>
        <v>North Beach</v>
      </c>
      <c r="N7045" s="23" t="str">
        <f>IFERROR(VLOOKUP(A7045, Entries!A:K,11,false),"")</f>
        <v/>
      </c>
    </row>
    <row r="7046">
      <c r="A7046" s="78" t="s">
        <v>2466</v>
      </c>
      <c r="B7046" s="78" t="s">
        <v>19</v>
      </c>
      <c r="C7046" s="85">
        <v>45640.0</v>
      </c>
      <c r="D7046" s="85">
        <v>45640.0</v>
      </c>
      <c r="E7046" s="86">
        <v>7.12</v>
      </c>
      <c r="F7046" s="87">
        <v>8.01</v>
      </c>
      <c r="G7046" s="88">
        <f t="shared" si="1"/>
        <v>0.89</v>
      </c>
      <c r="H7046" s="89">
        <f t="shared" si="18"/>
        <v>0.1111111111</v>
      </c>
      <c r="I7046" s="78" t="s">
        <v>8036</v>
      </c>
      <c r="J7046" s="78" t="s">
        <v>69</v>
      </c>
      <c r="K7046" s="58">
        <f t="shared" si="17"/>
        <v>0</v>
      </c>
      <c r="L7046" s="91" t="str">
        <f t="shared" si="8"/>
        <v>Sat</v>
      </c>
      <c r="M7046" s="78" t="str">
        <f>IFERROR(VLOOKUP(A7046, Entries!A:B,2,false),"")</f>
        <v>Bethesda Softworks</v>
      </c>
      <c r="N7046" s="23" t="str">
        <f>IFERROR(VLOOKUP(A7046, Entries!A:K,11,false),"")</f>
        <v/>
      </c>
    </row>
    <row r="7047">
      <c r="A7047" s="78" t="s">
        <v>1786</v>
      </c>
      <c r="B7047" s="78" t="s">
        <v>19</v>
      </c>
      <c r="C7047" s="85">
        <v>45640.0</v>
      </c>
      <c r="D7047" s="85">
        <v>45640.0</v>
      </c>
      <c r="E7047" s="86">
        <v>7.12</v>
      </c>
      <c r="F7047" s="87">
        <v>9.08</v>
      </c>
      <c r="G7047" s="88">
        <f t="shared" si="1"/>
        <v>1.96</v>
      </c>
      <c r="H7047" s="89">
        <f t="shared" si="18"/>
        <v>0.2158590308</v>
      </c>
      <c r="I7047" s="78" t="s">
        <v>8037</v>
      </c>
      <c r="J7047" s="78" t="s">
        <v>69</v>
      </c>
      <c r="K7047" s="58">
        <f t="shared" si="17"/>
        <v>0</v>
      </c>
      <c r="L7047" s="91" t="str">
        <f t="shared" si="8"/>
        <v>Sat</v>
      </c>
      <c r="M7047" s="78" t="str">
        <f>IFERROR(VLOOKUP(A7047, Entries!A:B,2,false),"")</f>
        <v>Bethesda Softworks</v>
      </c>
      <c r="N7047" s="23" t="str">
        <f>IFERROR(VLOOKUP(A7047, Entries!A:K,11,false),"")</f>
        <v/>
      </c>
    </row>
    <row r="7048">
      <c r="A7048" s="78" t="s">
        <v>8038</v>
      </c>
      <c r="B7048" s="78" t="s">
        <v>21</v>
      </c>
      <c r="C7048" s="85">
        <v>45640.0</v>
      </c>
      <c r="D7048" s="85">
        <v>45657.0</v>
      </c>
      <c r="E7048" s="86">
        <v>10.58</v>
      </c>
      <c r="F7048" s="87">
        <v>14.27</v>
      </c>
      <c r="G7048" s="88">
        <f t="shared" si="1"/>
        <v>3.69</v>
      </c>
      <c r="H7048" s="89">
        <f t="shared" si="18"/>
        <v>0.2585844429</v>
      </c>
      <c r="I7048" s="78" t="s">
        <v>8039</v>
      </c>
      <c r="J7048" s="78" t="s">
        <v>69</v>
      </c>
      <c r="K7048" s="58">
        <f t="shared" si="17"/>
        <v>17</v>
      </c>
      <c r="L7048" s="91" t="str">
        <f t="shared" si="8"/>
        <v>Tue</v>
      </c>
      <c r="M7048" s="78" t="str">
        <f>IFERROR(VLOOKUP(A7048, Entries!A:B,2,false),"")</f>
        <v/>
      </c>
      <c r="N7048" s="23" t="str">
        <f>IFERROR(VLOOKUP(A7048, Entries!A:K,11,false),"")</f>
        <v/>
      </c>
    </row>
    <row r="7049">
      <c r="A7049" s="78" t="s">
        <v>6006</v>
      </c>
      <c r="B7049" s="78" t="s">
        <v>19</v>
      </c>
      <c r="C7049" s="85">
        <v>45640.0</v>
      </c>
      <c r="D7049" s="85">
        <v>45640.0</v>
      </c>
      <c r="E7049" s="86">
        <v>34.57</v>
      </c>
      <c r="F7049" s="87">
        <v>36.79</v>
      </c>
      <c r="G7049" s="88">
        <f t="shared" si="1"/>
        <v>2.22</v>
      </c>
      <c r="H7049" s="89">
        <f t="shared" si="18"/>
        <v>0.06034248437</v>
      </c>
      <c r="I7049" s="78" t="s">
        <v>8040</v>
      </c>
      <c r="J7049" s="78" t="s">
        <v>69</v>
      </c>
      <c r="K7049" s="58">
        <f t="shared" si="17"/>
        <v>0</v>
      </c>
      <c r="L7049" s="91" t="str">
        <f t="shared" si="8"/>
        <v>Sat</v>
      </c>
      <c r="M7049" s="78" t="str">
        <f>IFERROR(VLOOKUP(A7049, Entries!A:B,2,false),"")</f>
        <v>Bethesda Softworks</v>
      </c>
      <c r="N7049" s="23" t="str">
        <f>IFERROR(VLOOKUP(A7049, Entries!A:K,11,false),"")</f>
        <v/>
      </c>
    </row>
    <row r="7050">
      <c r="A7050" s="78" t="s">
        <v>8006</v>
      </c>
      <c r="B7050" s="78" t="s">
        <v>19</v>
      </c>
      <c r="C7050" s="85">
        <v>45640.0</v>
      </c>
      <c r="D7050" s="85">
        <v>45642.0</v>
      </c>
      <c r="E7050" s="86">
        <v>11.25</v>
      </c>
      <c r="F7050" s="87">
        <v>13.86</v>
      </c>
      <c r="G7050" s="88">
        <f t="shared" si="1"/>
        <v>2.61</v>
      </c>
      <c r="H7050" s="89">
        <f t="shared" si="18"/>
        <v>0.1883116883</v>
      </c>
      <c r="I7050" s="78" t="s">
        <v>8041</v>
      </c>
      <c r="J7050" s="78" t="s">
        <v>69</v>
      </c>
      <c r="K7050" s="58">
        <f t="shared" si="17"/>
        <v>2</v>
      </c>
      <c r="L7050" s="91" t="str">
        <f t="shared" si="8"/>
        <v>Mon</v>
      </c>
      <c r="M7050" s="78" t="str">
        <f>IFERROR(VLOOKUP(A7050, Entries!A:B,2,false),"")</f>
        <v>North Beach</v>
      </c>
      <c r="N7050" s="23" t="str">
        <f>IFERROR(VLOOKUP(A7050, Entries!A:K,11,false),"")</f>
        <v/>
      </c>
    </row>
    <row r="7051">
      <c r="A7051" s="78" t="s">
        <v>7798</v>
      </c>
      <c r="B7051" s="78" t="s">
        <v>22</v>
      </c>
      <c r="C7051" s="85">
        <v>45640.0</v>
      </c>
      <c r="D7051" s="85">
        <v>45649.0</v>
      </c>
      <c r="E7051" s="86">
        <v>10.58</v>
      </c>
      <c r="F7051" s="87">
        <v>15.09</v>
      </c>
      <c r="G7051" s="88">
        <f t="shared" si="1"/>
        <v>4.51</v>
      </c>
      <c r="H7051" s="89">
        <f t="shared" si="18"/>
        <v>0.2988734261</v>
      </c>
      <c r="I7051" s="78" t="s">
        <v>8042</v>
      </c>
      <c r="J7051" s="78" t="s">
        <v>69</v>
      </c>
      <c r="K7051" s="58">
        <f t="shared" si="17"/>
        <v>9</v>
      </c>
      <c r="L7051" s="91" t="str">
        <f t="shared" si="8"/>
        <v>Mon</v>
      </c>
      <c r="M7051" s="78" t="str">
        <f>IFERROR(VLOOKUP(A7051, Entries!A:B,2,false),"")</f>
        <v>Konami</v>
      </c>
      <c r="N7051" s="23" t="str">
        <f>IFERROR(VLOOKUP(A7051, Entries!A:K,11,false),"")</f>
        <v/>
      </c>
    </row>
    <row r="7052">
      <c r="A7052" s="78" t="s">
        <v>8043</v>
      </c>
      <c r="B7052" s="78" t="s">
        <v>25</v>
      </c>
      <c r="C7052" s="85">
        <v>45640.0</v>
      </c>
      <c r="D7052" s="85">
        <v>45645.0</v>
      </c>
      <c r="E7052" s="86">
        <v>9.84</v>
      </c>
      <c r="F7052" s="87">
        <v>13.29</v>
      </c>
      <c r="G7052" s="88">
        <f t="shared" si="1"/>
        <v>3.45</v>
      </c>
      <c r="H7052" s="89">
        <f t="shared" si="18"/>
        <v>0.2595936795</v>
      </c>
      <c r="I7052" s="78" t="s">
        <v>8044</v>
      </c>
      <c r="J7052" s="78" t="s">
        <v>69</v>
      </c>
      <c r="K7052" s="58">
        <f t="shared" si="17"/>
        <v>5</v>
      </c>
      <c r="L7052" s="91" t="str">
        <f t="shared" si="8"/>
        <v>Thu</v>
      </c>
      <c r="M7052" s="78" t="str">
        <f>IFERROR(VLOOKUP(A7052, Entries!A:B,2,false),"")</f>
        <v/>
      </c>
      <c r="N7052" s="23" t="str">
        <f>IFERROR(VLOOKUP(A7052, Entries!A:K,11,false),"")</f>
        <v/>
      </c>
    </row>
    <row r="7053">
      <c r="A7053" s="78" t="s">
        <v>8043</v>
      </c>
      <c r="B7053" s="78" t="s">
        <v>25</v>
      </c>
      <c r="C7053" s="85">
        <v>45640.0</v>
      </c>
      <c r="D7053" s="85">
        <v>45655.0</v>
      </c>
      <c r="E7053" s="86">
        <v>9.84</v>
      </c>
      <c r="F7053" s="87">
        <v>13.29</v>
      </c>
      <c r="G7053" s="88">
        <f t="shared" si="1"/>
        <v>3.45</v>
      </c>
      <c r="H7053" s="89">
        <f t="shared" si="18"/>
        <v>0.2595936795</v>
      </c>
      <c r="I7053" s="78" t="s">
        <v>8045</v>
      </c>
      <c r="J7053" s="78" t="s">
        <v>69</v>
      </c>
      <c r="K7053" s="58">
        <f t="shared" si="17"/>
        <v>15</v>
      </c>
      <c r="L7053" s="91" t="str">
        <f t="shared" si="8"/>
        <v>Sun</v>
      </c>
      <c r="M7053" s="78" t="str">
        <f>IFERROR(VLOOKUP(A7053, Entries!A:B,2,false),"")</f>
        <v/>
      </c>
      <c r="N7053" s="23" t="str">
        <f>IFERROR(VLOOKUP(A7053, Entries!A:K,11,false),"")</f>
        <v/>
      </c>
    </row>
    <row r="7054">
      <c r="A7054" s="78" t="s">
        <v>8046</v>
      </c>
      <c r="B7054" s="78" t="s">
        <v>22</v>
      </c>
      <c r="C7054" s="85">
        <v>45641.0</v>
      </c>
      <c r="D7054" s="85">
        <v>45647.0</v>
      </c>
      <c r="E7054" s="86">
        <v>7.2</v>
      </c>
      <c r="F7054" s="87">
        <v>11.35</v>
      </c>
      <c r="G7054" s="88">
        <f t="shared" si="1"/>
        <v>4.15</v>
      </c>
      <c r="H7054" s="89">
        <f t="shared" si="18"/>
        <v>0.3656387665</v>
      </c>
      <c r="I7054" s="78" t="s">
        <v>8047</v>
      </c>
      <c r="J7054" s="78" t="s">
        <v>69</v>
      </c>
      <c r="K7054" s="58">
        <f t="shared" si="17"/>
        <v>6</v>
      </c>
      <c r="L7054" s="91" t="str">
        <f t="shared" si="8"/>
        <v>Sat</v>
      </c>
      <c r="M7054" s="78" t="str">
        <f>IFERROR(VLOOKUP(A7054, Entries!A:B,2,false),"")</f>
        <v/>
      </c>
      <c r="N7054" s="23" t="str">
        <f>IFERROR(VLOOKUP(A7054, Entries!A:K,11,false),"")</f>
        <v/>
      </c>
    </row>
    <row r="7055">
      <c r="A7055" s="78" t="s">
        <v>8048</v>
      </c>
      <c r="B7055" s="78" t="s">
        <v>22</v>
      </c>
      <c r="C7055" s="85">
        <v>45641.0</v>
      </c>
      <c r="D7055" s="85">
        <v>45641.0</v>
      </c>
      <c r="E7055" s="86">
        <v>6.77</v>
      </c>
      <c r="F7055" s="87">
        <v>11.3</v>
      </c>
      <c r="G7055" s="88">
        <f t="shared" si="1"/>
        <v>4.53</v>
      </c>
      <c r="H7055" s="89">
        <f t="shared" si="18"/>
        <v>0.4008849558</v>
      </c>
      <c r="I7055" s="78" t="s">
        <v>8049</v>
      </c>
      <c r="J7055" s="78" t="s">
        <v>69</v>
      </c>
      <c r="K7055" s="58">
        <f t="shared" si="17"/>
        <v>0</v>
      </c>
      <c r="L7055" s="91" t="str">
        <f t="shared" si="8"/>
        <v>Sun</v>
      </c>
      <c r="M7055" s="78" t="str">
        <f>IFERROR(VLOOKUP(A7055, Entries!A:B,2,false),"")</f>
        <v/>
      </c>
      <c r="N7055" s="23" t="str">
        <f>IFERROR(VLOOKUP(A7055, Entries!A:K,11,false),"")</f>
        <v/>
      </c>
    </row>
    <row r="7056">
      <c r="A7056" s="78" t="s">
        <v>8048</v>
      </c>
      <c r="B7056" s="78" t="s">
        <v>22</v>
      </c>
      <c r="C7056" s="85">
        <v>45641.0</v>
      </c>
      <c r="D7056" s="85">
        <v>45641.0</v>
      </c>
      <c r="E7056" s="86">
        <v>6.77</v>
      </c>
      <c r="F7056" s="87">
        <v>10.86</v>
      </c>
      <c r="G7056" s="88">
        <f t="shared" si="1"/>
        <v>4.09</v>
      </c>
      <c r="H7056" s="89">
        <f t="shared" si="18"/>
        <v>0.376611418</v>
      </c>
      <c r="I7056" s="78" t="s">
        <v>8050</v>
      </c>
      <c r="J7056" s="78" t="s">
        <v>69</v>
      </c>
      <c r="K7056" s="58">
        <f t="shared" si="17"/>
        <v>0</v>
      </c>
      <c r="L7056" s="91" t="str">
        <f t="shared" si="8"/>
        <v>Sun</v>
      </c>
      <c r="M7056" s="78" t="str">
        <f>IFERROR(VLOOKUP(A7056, Entries!A:B,2,false),"")</f>
        <v/>
      </c>
      <c r="N7056" s="23" t="str">
        <f>IFERROR(VLOOKUP(A7056, Entries!A:K,11,false),"")</f>
        <v/>
      </c>
    </row>
    <row r="7057">
      <c r="A7057" s="78" t="s">
        <v>8048</v>
      </c>
      <c r="B7057" s="78" t="s">
        <v>22</v>
      </c>
      <c r="C7057" s="85">
        <v>45641.0</v>
      </c>
      <c r="D7057" s="85">
        <v>45643.0</v>
      </c>
      <c r="E7057" s="86">
        <v>6.77</v>
      </c>
      <c r="F7057" s="87">
        <v>10.62</v>
      </c>
      <c r="G7057" s="88">
        <f t="shared" si="1"/>
        <v>3.85</v>
      </c>
      <c r="H7057" s="89">
        <f t="shared" si="18"/>
        <v>0.3625235405</v>
      </c>
      <c r="I7057" s="78" t="s">
        <v>8051</v>
      </c>
      <c r="J7057" s="78" t="s">
        <v>69</v>
      </c>
      <c r="K7057" s="58">
        <f t="shared" si="17"/>
        <v>2</v>
      </c>
      <c r="L7057" s="91" t="str">
        <f t="shared" si="8"/>
        <v>Tue</v>
      </c>
      <c r="M7057" s="78" t="str">
        <f>IFERROR(VLOOKUP(A7057, Entries!A:B,2,false),"")</f>
        <v/>
      </c>
      <c r="N7057" s="23" t="str">
        <f>IFERROR(VLOOKUP(A7057, Entries!A:K,11,false),"")</f>
        <v/>
      </c>
    </row>
    <row r="7058">
      <c r="A7058" s="78" t="s">
        <v>8048</v>
      </c>
      <c r="B7058" s="78" t="s">
        <v>22</v>
      </c>
      <c r="C7058" s="85">
        <v>45641.0</v>
      </c>
      <c r="D7058" s="85">
        <v>45643.0</v>
      </c>
      <c r="E7058" s="86">
        <v>6.77</v>
      </c>
      <c r="F7058" s="87">
        <v>10.62</v>
      </c>
      <c r="G7058" s="88">
        <f t="shared" si="1"/>
        <v>3.85</v>
      </c>
      <c r="H7058" s="89">
        <f t="shared" si="18"/>
        <v>0.3625235405</v>
      </c>
      <c r="I7058" s="78" t="s">
        <v>8052</v>
      </c>
      <c r="J7058" s="78" t="s">
        <v>69</v>
      </c>
      <c r="K7058" s="58">
        <f t="shared" si="17"/>
        <v>2</v>
      </c>
      <c r="L7058" s="91" t="str">
        <f t="shared" si="8"/>
        <v>Tue</v>
      </c>
      <c r="M7058" s="78" t="str">
        <f>IFERROR(VLOOKUP(A7058, Entries!A:B,2,false),"")</f>
        <v/>
      </c>
      <c r="N7058" s="23" t="str">
        <f>IFERROR(VLOOKUP(A7058, Entries!A:K,11,false),"")</f>
        <v/>
      </c>
    </row>
    <row r="7059">
      <c r="A7059" s="78" t="s">
        <v>8048</v>
      </c>
      <c r="B7059" s="78" t="s">
        <v>22</v>
      </c>
      <c r="C7059" s="85">
        <v>45641.0</v>
      </c>
      <c r="D7059" s="85">
        <v>45642.0</v>
      </c>
      <c r="E7059" s="86">
        <v>6.77</v>
      </c>
      <c r="F7059" s="87">
        <v>10.62</v>
      </c>
      <c r="G7059" s="88">
        <f t="shared" si="1"/>
        <v>3.85</v>
      </c>
      <c r="H7059" s="89">
        <f t="shared" si="18"/>
        <v>0.3625235405</v>
      </c>
      <c r="I7059" s="78" t="s">
        <v>8053</v>
      </c>
      <c r="J7059" s="78" t="s">
        <v>69</v>
      </c>
      <c r="K7059" s="58">
        <f t="shared" si="17"/>
        <v>1</v>
      </c>
      <c r="L7059" s="91" t="str">
        <f t="shared" si="8"/>
        <v>Mon</v>
      </c>
      <c r="M7059" s="78" t="str">
        <f>IFERROR(VLOOKUP(A7059, Entries!A:B,2,false),"")</f>
        <v/>
      </c>
      <c r="N7059" s="23" t="str">
        <f>IFERROR(VLOOKUP(A7059, Entries!A:K,11,false),"")</f>
        <v/>
      </c>
    </row>
    <row r="7060">
      <c r="A7060" s="78" t="s">
        <v>8048</v>
      </c>
      <c r="B7060" s="78" t="s">
        <v>22</v>
      </c>
      <c r="C7060" s="85">
        <v>45641.0</v>
      </c>
      <c r="D7060" s="85">
        <v>45642.0</v>
      </c>
      <c r="E7060" s="86">
        <v>6.76</v>
      </c>
      <c r="F7060" s="87">
        <v>10.62</v>
      </c>
      <c r="G7060" s="88">
        <f t="shared" si="1"/>
        <v>3.86</v>
      </c>
      <c r="H7060" s="89">
        <f t="shared" si="18"/>
        <v>0.3634651601</v>
      </c>
      <c r="I7060" s="78" t="s">
        <v>8054</v>
      </c>
      <c r="J7060" s="78" t="s">
        <v>69</v>
      </c>
      <c r="K7060" s="58">
        <f t="shared" si="17"/>
        <v>1</v>
      </c>
      <c r="L7060" s="91" t="str">
        <f t="shared" si="8"/>
        <v>Mon</v>
      </c>
      <c r="M7060" s="78" t="str">
        <f>IFERROR(VLOOKUP(A7060, Entries!A:B,2,false),"")</f>
        <v/>
      </c>
      <c r="N7060" s="23" t="str">
        <f>IFERROR(VLOOKUP(A7060, Entries!A:K,11,false),"")</f>
        <v/>
      </c>
    </row>
    <row r="7061">
      <c r="A7061" s="78" t="s">
        <v>8048</v>
      </c>
      <c r="B7061" s="78" t="s">
        <v>22</v>
      </c>
      <c r="C7061" s="85">
        <v>45641.0</v>
      </c>
      <c r="D7061" s="85">
        <v>45642.0</v>
      </c>
      <c r="E7061" s="86">
        <v>6.76</v>
      </c>
      <c r="F7061" s="87">
        <v>10.62</v>
      </c>
      <c r="G7061" s="88">
        <f t="shared" si="1"/>
        <v>3.86</v>
      </c>
      <c r="H7061" s="89">
        <f t="shared" si="18"/>
        <v>0.3634651601</v>
      </c>
      <c r="I7061" s="78" t="s">
        <v>8055</v>
      </c>
      <c r="J7061" s="78" t="s">
        <v>69</v>
      </c>
      <c r="K7061" s="58">
        <f t="shared" si="17"/>
        <v>1</v>
      </c>
      <c r="L7061" s="91" t="str">
        <f t="shared" si="8"/>
        <v>Mon</v>
      </c>
      <c r="M7061" s="78" t="str">
        <f>IFERROR(VLOOKUP(A7061, Entries!A:B,2,false),"")</f>
        <v/>
      </c>
      <c r="N7061" s="23" t="str">
        <f>IFERROR(VLOOKUP(A7061, Entries!A:K,11,false),"")</f>
        <v/>
      </c>
    </row>
    <row r="7062">
      <c r="A7062" s="78" t="s">
        <v>8056</v>
      </c>
      <c r="B7062" s="78" t="s">
        <v>22</v>
      </c>
      <c r="C7062" s="85">
        <v>45646.0</v>
      </c>
      <c r="D7062" s="85">
        <v>45646.0</v>
      </c>
      <c r="E7062" s="86">
        <v>16.26</v>
      </c>
      <c r="F7062" s="87">
        <v>25.98</v>
      </c>
      <c r="G7062" s="88">
        <f t="shared" si="1"/>
        <v>9.72</v>
      </c>
      <c r="H7062" s="89">
        <f t="shared" si="18"/>
        <v>0.3741339492</v>
      </c>
      <c r="I7062" s="78" t="s">
        <v>8057</v>
      </c>
      <c r="J7062" s="78" t="s">
        <v>69</v>
      </c>
      <c r="K7062" s="58">
        <f t="shared" si="17"/>
        <v>0</v>
      </c>
      <c r="L7062" s="91" t="str">
        <f t="shared" si="8"/>
        <v>Fri</v>
      </c>
      <c r="M7062" s="78" t="str">
        <f>IFERROR(VLOOKUP(A7062, Entries!A:B,2,false),"")</f>
        <v>Survios</v>
      </c>
      <c r="N7062" s="23" t="str">
        <f>IFERROR(VLOOKUP(A7062, Entries!A:K,11,false),"")</f>
        <v/>
      </c>
    </row>
    <row r="7063">
      <c r="A7063" s="78" t="s">
        <v>8056</v>
      </c>
      <c r="B7063" s="78" t="s">
        <v>22</v>
      </c>
      <c r="C7063" s="85">
        <v>45646.0</v>
      </c>
      <c r="D7063" s="85">
        <v>45646.0</v>
      </c>
      <c r="E7063" s="86">
        <v>16.26</v>
      </c>
      <c r="F7063" s="87">
        <v>25.98</v>
      </c>
      <c r="G7063" s="88">
        <f t="shared" si="1"/>
        <v>9.72</v>
      </c>
      <c r="H7063" s="89">
        <f t="shared" si="18"/>
        <v>0.3741339492</v>
      </c>
      <c r="I7063" s="78" t="s">
        <v>8058</v>
      </c>
      <c r="J7063" s="78" t="s">
        <v>69</v>
      </c>
      <c r="K7063" s="58">
        <f t="shared" si="17"/>
        <v>0</v>
      </c>
      <c r="L7063" s="91" t="str">
        <f t="shared" si="8"/>
        <v>Fri</v>
      </c>
      <c r="M7063" s="78" t="str">
        <f>IFERROR(VLOOKUP(A7063, Entries!A:B,2,false),"")</f>
        <v>Survios</v>
      </c>
      <c r="N7063" s="23" t="str">
        <f>IFERROR(VLOOKUP(A7063, Entries!A:K,11,false),"")</f>
        <v/>
      </c>
    </row>
    <row r="7064">
      <c r="A7064" s="78" t="s">
        <v>8056</v>
      </c>
      <c r="B7064" s="78" t="s">
        <v>22</v>
      </c>
      <c r="C7064" s="85">
        <v>45646.0</v>
      </c>
      <c r="D7064" s="85">
        <v>45646.0</v>
      </c>
      <c r="E7064" s="86">
        <v>16.26</v>
      </c>
      <c r="F7064" s="87">
        <v>25.0</v>
      </c>
      <c r="G7064" s="88">
        <f t="shared" si="1"/>
        <v>8.74</v>
      </c>
      <c r="H7064" s="89">
        <f t="shared" si="18"/>
        <v>0.3496</v>
      </c>
      <c r="I7064" s="78" t="s">
        <v>8059</v>
      </c>
      <c r="J7064" s="78" t="s">
        <v>69</v>
      </c>
      <c r="K7064" s="58">
        <f t="shared" si="17"/>
        <v>0</v>
      </c>
      <c r="L7064" s="91" t="str">
        <f t="shared" si="8"/>
        <v>Fri</v>
      </c>
      <c r="M7064" s="78" t="str">
        <f>IFERROR(VLOOKUP(A7064, Entries!A:B,2,false),"")</f>
        <v>Survios</v>
      </c>
      <c r="N7064" s="23" t="str">
        <f>IFERROR(VLOOKUP(A7064, Entries!A:K,11,false),"")</f>
        <v/>
      </c>
    </row>
    <row r="7065">
      <c r="A7065" s="78" t="s">
        <v>8056</v>
      </c>
      <c r="B7065" s="78" t="s">
        <v>22</v>
      </c>
      <c r="C7065" s="85">
        <v>45646.0</v>
      </c>
      <c r="D7065" s="85">
        <v>45646.0</v>
      </c>
      <c r="E7065" s="86">
        <v>16.26</v>
      </c>
      <c r="F7065" s="87">
        <v>25.0</v>
      </c>
      <c r="G7065" s="88">
        <f t="shared" si="1"/>
        <v>8.74</v>
      </c>
      <c r="H7065" s="89">
        <f t="shared" si="18"/>
        <v>0.3496</v>
      </c>
      <c r="I7065" s="78" t="s">
        <v>8060</v>
      </c>
      <c r="J7065" s="78" t="s">
        <v>69</v>
      </c>
      <c r="K7065" s="58">
        <f t="shared" si="17"/>
        <v>0</v>
      </c>
      <c r="L7065" s="91" t="str">
        <f t="shared" si="8"/>
        <v>Fri</v>
      </c>
      <c r="M7065" s="78" t="str">
        <f>IFERROR(VLOOKUP(A7065, Entries!A:B,2,false),"")</f>
        <v>Survios</v>
      </c>
      <c r="N7065" s="23" t="str">
        <f>IFERROR(VLOOKUP(A7065, Entries!A:K,11,false),"")</f>
        <v/>
      </c>
    </row>
    <row r="7066">
      <c r="A7066" s="78" t="s">
        <v>8056</v>
      </c>
      <c r="B7066" s="78" t="s">
        <v>22</v>
      </c>
      <c r="C7066" s="85">
        <v>45646.0</v>
      </c>
      <c r="D7066" s="85">
        <v>45646.0</v>
      </c>
      <c r="E7066" s="86">
        <v>16.26</v>
      </c>
      <c r="F7066" s="87">
        <v>25.0</v>
      </c>
      <c r="G7066" s="88">
        <f t="shared" si="1"/>
        <v>8.74</v>
      </c>
      <c r="H7066" s="89">
        <f t="shared" si="18"/>
        <v>0.3496</v>
      </c>
      <c r="I7066" s="78" t="s">
        <v>8061</v>
      </c>
      <c r="J7066" s="78" t="s">
        <v>69</v>
      </c>
      <c r="K7066" s="58">
        <f t="shared" si="17"/>
        <v>0</v>
      </c>
      <c r="L7066" s="91" t="str">
        <f t="shared" si="8"/>
        <v>Fri</v>
      </c>
      <c r="M7066" s="78" t="str">
        <f>IFERROR(VLOOKUP(A7066, Entries!A:B,2,false),"")</f>
        <v>Survios</v>
      </c>
      <c r="N7066" s="23" t="str">
        <f>IFERROR(VLOOKUP(A7066, Entries!A:K,11,false),"")</f>
        <v/>
      </c>
    </row>
    <row r="7067">
      <c r="A7067" s="78" t="s">
        <v>8056</v>
      </c>
      <c r="B7067" s="78" t="s">
        <v>22</v>
      </c>
      <c r="C7067" s="85">
        <v>45646.0</v>
      </c>
      <c r="D7067" s="85">
        <v>45646.0</v>
      </c>
      <c r="E7067" s="86">
        <v>16.26</v>
      </c>
      <c r="F7067" s="87">
        <v>25.0</v>
      </c>
      <c r="G7067" s="88">
        <f t="shared" si="1"/>
        <v>8.74</v>
      </c>
      <c r="H7067" s="89">
        <f t="shared" si="18"/>
        <v>0.3496</v>
      </c>
      <c r="I7067" s="78" t="s">
        <v>8062</v>
      </c>
      <c r="J7067" s="78" t="s">
        <v>69</v>
      </c>
      <c r="K7067" s="58">
        <f t="shared" si="17"/>
        <v>0</v>
      </c>
      <c r="L7067" s="91" t="str">
        <f t="shared" si="8"/>
        <v>Fri</v>
      </c>
      <c r="M7067" s="78" t="str">
        <f>IFERROR(VLOOKUP(A7067, Entries!A:B,2,false),"")</f>
        <v>Survios</v>
      </c>
      <c r="N7067" s="23" t="str">
        <f>IFERROR(VLOOKUP(A7067, Entries!A:K,11,false),"")</f>
        <v/>
      </c>
    </row>
    <row r="7068">
      <c r="A7068" s="78" t="s">
        <v>8056</v>
      </c>
      <c r="B7068" s="78" t="s">
        <v>22</v>
      </c>
      <c r="C7068" s="85">
        <v>45646.0</v>
      </c>
      <c r="D7068" s="85">
        <v>45646.0</v>
      </c>
      <c r="E7068" s="86">
        <v>16.26</v>
      </c>
      <c r="F7068" s="87">
        <v>25.0</v>
      </c>
      <c r="G7068" s="88">
        <f t="shared" si="1"/>
        <v>8.74</v>
      </c>
      <c r="H7068" s="89">
        <f t="shared" si="18"/>
        <v>0.3496</v>
      </c>
      <c r="I7068" s="78" t="s">
        <v>8063</v>
      </c>
      <c r="J7068" s="78" t="s">
        <v>69</v>
      </c>
      <c r="K7068" s="58">
        <f t="shared" si="17"/>
        <v>0</v>
      </c>
      <c r="L7068" s="91" t="str">
        <f t="shared" si="8"/>
        <v>Fri</v>
      </c>
      <c r="M7068" s="78" t="str">
        <f>IFERROR(VLOOKUP(A7068, Entries!A:B,2,false),"")</f>
        <v>Survios</v>
      </c>
      <c r="N7068" s="23" t="str">
        <f>IFERROR(VLOOKUP(A7068, Entries!A:K,11,false),"")</f>
        <v/>
      </c>
    </row>
    <row r="7069">
      <c r="A7069" s="78" t="s">
        <v>8056</v>
      </c>
      <c r="B7069" s="78" t="s">
        <v>22</v>
      </c>
      <c r="C7069" s="85">
        <v>45646.0</v>
      </c>
      <c r="D7069" s="85">
        <v>45646.0</v>
      </c>
      <c r="E7069" s="86">
        <v>16.26</v>
      </c>
      <c r="F7069" s="87">
        <v>25.0</v>
      </c>
      <c r="G7069" s="88">
        <f t="shared" si="1"/>
        <v>8.74</v>
      </c>
      <c r="H7069" s="89">
        <f t="shared" si="18"/>
        <v>0.3496</v>
      </c>
      <c r="I7069" s="78" t="s">
        <v>8064</v>
      </c>
      <c r="J7069" s="78" t="s">
        <v>69</v>
      </c>
      <c r="K7069" s="58">
        <f t="shared" si="17"/>
        <v>0</v>
      </c>
      <c r="L7069" s="91" t="str">
        <f t="shared" si="8"/>
        <v>Fri</v>
      </c>
      <c r="M7069" s="78" t="str">
        <f>IFERROR(VLOOKUP(A7069, Entries!A:B,2,false),"")</f>
        <v>Survios</v>
      </c>
      <c r="N7069" s="23" t="str">
        <f>IFERROR(VLOOKUP(A7069, Entries!A:K,11,false),"")</f>
        <v/>
      </c>
    </row>
    <row r="7070">
      <c r="A7070" s="78" t="s">
        <v>8056</v>
      </c>
      <c r="B7070" s="78" t="s">
        <v>22</v>
      </c>
      <c r="C7070" s="85">
        <v>45646.0</v>
      </c>
      <c r="D7070" s="85">
        <v>45646.0</v>
      </c>
      <c r="E7070" s="86">
        <v>16.26</v>
      </c>
      <c r="F7070" s="87">
        <v>25.0</v>
      </c>
      <c r="G7070" s="88">
        <f t="shared" si="1"/>
        <v>8.74</v>
      </c>
      <c r="H7070" s="89">
        <f t="shared" si="18"/>
        <v>0.3496</v>
      </c>
      <c r="I7070" s="78" t="s">
        <v>8065</v>
      </c>
      <c r="J7070" s="78" t="s">
        <v>69</v>
      </c>
      <c r="K7070" s="58">
        <f t="shared" si="17"/>
        <v>0</v>
      </c>
      <c r="L7070" s="91" t="str">
        <f t="shared" si="8"/>
        <v>Fri</v>
      </c>
      <c r="M7070" s="78" t="str">
        <f>IFERROR(VLOOKUP(A7070, Entries!A:B,2,false),"")</f>
        <v>Survios</v>
      </c>
      <c r="N7070" s="23" t="str">
        <f>IFERROR(VLOOKUP(A7070, Entries!A:K,11,false),"")</f>
        <v/>
      </c>
    </row>
    <row r="7071">
      <c r="A7071" s="78" t="s">
        <v>8056</v>
      </c>
      <c r="B7071" s="78" t="s">
        <v>22</v>
      </c>
      <c r="C7071" s="85">
        <v>45646.0</v>
      </c>
      <c r="D7071" s="85">
        <v>45646.0</v>
      </c>
      <c r="E7071" s="86">
        <v>16.26</v>
      </c>
      <c r="F7071" s="87">
        <v>25.0</v>
      </c>
      <c r="G7071" s="88">
        <f t="shared" si="1"/>
        <v>8.74</v>
      </c>
      <c r="H7071" s="89">
        <f t="shared" si="18"/>
        <v>0.3496</v>
      </c>
      <c r="I7071" s="78" t="s">
        <v>8066</v>
      </c>
      <c r="J7071" s="78" t="s">
        <v>69</v>
      </c>
      <c r="K7071" s="58">
        <f t="shared" si="17"/>
        <v>0</v>
      </c>
      <c r="L7071" s="91" t="str">
        <f t="shared" si="8"/>
        <v>Fri</v>
      </c>
      <c r="M7071" s="78" t="str">
        <f>IFERROR(VLOOKUP(A7071, Entries!A:B,2,false),"")</f>
        <v>Survios</v>
      </c>
      <c r="N7071" s="23" t="str">
        <f>IFERROR(VLOOKUP(A7071, Entries!A:K,11,false),"")</f>
        <v/>
      </c>
    </row>
    <row r="7072">
      <c r="A7072" s="78" t="s">
        <v>8056</v>
      </c>
      <c r="B7072" s="78" t="s">
        <v>22</v>
      </c>
      <c r="C7072" s="85">
        <v>45646.0</v>
      </c>
      <c r="D7072" s="85">
        <v>45646.0</v>
      </c>
      <c r="E7072" s="86">
        <v>16.26</v>
      </c>
      <c r="F7072" s="87">
        <v>25.0</v>
      </c>
      <c r="G7072" s="88">
        <f t="shared" si="1"/>
        <v>8.74</v>
      </c>
      <c r="H7072" s="89">
        <f t="shared" si="18"/>
        <v>0.3496</v>
      </c>
      <c r="I7072" s="78" t="s">
        <v>8067</v>
      </c>
      <c r="J7072" s="78" t="s">
        <v>69</v>
      </c>
      <c r="K7072" s="58">
        <f t="shared" si="17"/>
        <v>0</v>
      </c>
      <c r="L7072" s="91" t="str">
        <f t="shared" si="8"/>
        <v>Fri</v>
      </c>
      <c r="M7072" s="78" t="str">
        <f>IFERROR(VLOOKUP(A7072, Entries!A:B,2,false),"")</f>
        <v>Survios</v>
      </c>
      <c r="N7072" s="23" t="str">
        <f>IFERROR(VLOOKUP(A7072, Entries!A:K,11,false),"")</f>
        <v/>
      </c>
    </row>
    <row r="7073">
      <c r="A7073" s="78" t="s">
        <v>8056</v>
      </c>
      <c r="B7073" s="78" t="s">
        <v>22</v>
      </c>
      <c r="C7073" s="85">
        <v>45646.0</v>
      </c>
      <c r="D7073" s="85">
        <v>45650.0</v>
      </c>
      <c r="E7073" s="86">
        <v>16.27</v>
      </c>
      <c r="F7073" s="87">
        <v>26.88</v>
      </c>
      <c r="G7073" s="88">
        <f t="shared" si="1"/>
        <v>10.61</v>
      </c>
      <c r="H7073" s="89">
        <f t="shared" si="18"/>
        <v>0.3947172619</v>
      </c>
      <c r="I7073" s="78" t="s">
        <v>8068</v>
      </c>
      <c r="J7073" s="78" t="s">
        <v>69</v>
      </c>
      <c r="K7073" s="58">
        <f t="shared" si="17"/>
        <v>4</v>
      </c>
      <c r="L7073" s="91" t="str">
        <f t="shared" si="8"/>
        <v>Tue</v>
      </c>
      <c r="M7073" s="78" t="str">
        <f>IFERROR(VLOOKUP(A7073, Entries!A:B,2,false),"")</f>
        <v>Survios</v>
      </c>
      <c r="N7073" s="23" t="str">
        <f>IFERROR(VLOOKUP(A7073, Entries!A:K,11,false),"")</f>
        <v/>
      </c>
    </row>
    <row r="7074">
      <c r="A7074" s="78" t="s">
        <v>8056</v>
      </c>
      <c r="B7074" s="78" t="s">
        <v>22</v>
      </c>
      <c r="C7074" s="85">
        <v>45646.0</v>
      </c>
      <c r="D7074" s="85">
        <v>45646.0</v>
      </c>
      <c r="E7074" s="86">
        <v>16.26</v>
      </c>
      <c r="F7074" s="87">
        <v>25.0</v>
      </c>
      <c r="G7074" s="88">
        <f t="shared" si="1"/>
        <v>8.74</v>
      </c>
      <c r="H7074" s="89">
        <f t="shared" si="18"/>
        <v>0.3496</v>
      </c>
      <c r="I7074" s="78" t="s">
        <v>8069</v>
      </c>
      <c r="J7074" s="78" t="s">
        <v>69</v>
      </c>
      <c r="K7074" s="58">
        <f t="shared" si="17"/>
        <v>0</v>
      </c>
      <c r="L7074" s="91" t="str">
        <f t="shared" si="8"/>
        <v>Fri</v>
      </c>
      <c r="M7074" s="78" t="str">
        <f>IFERROR(VLOOKUP(A7074, Entries!A:B,2,false),"")</f>
        <v>Survios</v>
      </c>
      <c r="N7074" s="23" t="str">
        <f>IFERROR(VLOOKUP(A7074, Entries!A:K,11,false),"")</f>
        <v/>
      </c>
    </row>
    <row r="7075">
      <c r="A7075" s="78" t="s">
        <v>8056</v>
      </c>
      <c r="B7075" s="78" t="s">
        <v>22</v>
      </c>
      <c r="C7075" s="85">
        <v>45646.0</v>
      </c>
      <c r="D7075" s="85">
        <v>45646.0</v>
      </c>
      <c r="E7075" s="86">
        <v>16.26</v>
      </c>
      <c r="F7075" s="87">
        <v>25.0</v>
      </c>
      <c r="G7075" s="88">
        <f t="shared" si="1"/>
        <v>8.74</v>
      </c>
      <c r="H7075" s="89">
        <f t="shared" si="18"/>
        <v>0.3496</v>
      </c>
      <c r="I7075" s="78" t="s">
        <v>8070</v>
      </c>
      <c r="J7075" s="78" t="s">
        <v>69</v>
      </c>
      <c r="K7075" s="58">
        <f t="shared" si="17"/>
        <v>0</v>
      </c>
      <c r="L7075" s="91" t="str">
        <f t="shared" si="8"/>
        <v>Fri</v>
      </c>
      <c r="M7075" s="78" t="str">
        <f>IFERROR(VLOOKUP(A7075, Entries!A:B,2,false),"")</f>
        <v>Survios</v>
      </c>
      <c r="N7075" s="23" t="str">
        <f>IFERROR(VLOOKUP(A7075, Entries!A:K,11,false),"")</f>
        <v/>
      </c>
    </row>
    <row r="7076">
      <c r="A7076" s="78" t="s">
        <v>8056</v>
      </c>
      <c r="B7076" s="78" t="s">
        <v>22</v>
      </c>
      <c r="C7076" s="85">
        <v>45646.0</v>
      </c>
      <c r="D7076" s="85">
        <v>45647.0</v>
      </c>
      <c r="E7076" s="86">
        <v>16.26</v>
      </c>
      <c r="F7076" s="87">
        <v>25.0</v>
      </c>
      <c r="G7076" s="88">
        <f t="shared" si="1"/>
        <v>8.74</v>
      </c>
      <c r="H7076" s="89">
        <f t="shared" si="18"/>
        <v>0.3496</v>
      </c>
      <c r="I7076" s="78" t="s">
        <v>8071</v>
      </c>
      <c r="J7076" s="78" t="s">
        <v>69</v>
      </c>
      <c r="K7076" s="58">
        <f t="shared" si="17"/>
        <v>1</v>
      </c>
      <c r="L7076" s="91" t="str">
        <f t="shared" si="8"/>
        <v>Sat</v>
      </c>
      <c r="M7076" s="78" t="str">
        <f>IFERROR(VLOOKUP(A7076, Entries!A:B,2,false),"")</f>
        <v>Survios</v>
      </c>
      <c r="N7076" s="23" t="str">
        <f>IFERROR(VLOOKUP(A7076, Entries!A:K,11,false),"")</f>
        <v/>
      </c>
    </row>
    <row r="7077">
      <c r="A7077" s="78" t="s">
        <v>8056</v>
      </c>
      <c r="B7077" s="78" t="s">
        <v>22</v>
      </c>
      <c r="C7077" s="85">
        <v>45646.0</v>
      </c>
      <c r="D7077" s="85">
        <v>45647.0</v>
      </c>
      <c r="E7077" s="86">
        <v>16.26</v>
      </c>
      <c r="F7077" s="87">
        <v>25.0</v>
      </c>
      <c r="G7077" s="88">
        <f t="shared" si="1"/>
        <v>8.74</v>
      </c>
      <c r="H7077" s="89">
        <f t="shared" si="18"/>
        <v>0.3496</v>
      </c>
      <c r="I7077" s="78" t="s">
        <v>8072</v>
      </c>
      <c r="J7077" s="78" t="s">
        <v>69</v>
      </c>
      <c r="K7077" s="58">
        <f t="shared" si="17"/>
        <v>1</v>
      </c>
      <c r="L7077" s="91" t="str">
        <f t="shared" si="8"/>
        <v>Sat</v>
      </c>
      <c r="M7077" s="78" t="str">
        <f>IFERROR(VLOOKUP(A7077, Entries!A:B,2,false),"")</f>
        <v>Survios</v>
      </c>
      <c r="N7077" s="23" t="str">
        <f>IFERROR(VLOOKUP(A7077, Entries!A:K,11,false),"")</f>
        <v/>
      </c>
    </row>
    <row r="7078">
      <c r="A7078" s="78" t="s">
        <v>8056</v>
      </c>
      <c r="B7078" s="78" t="s">
        <v>22</v>
      </c>
      <c r="C7078" s="85">
        <v>45646.0</v>
      </c>
      <c r="D7078" s="85">
        <v>45647.0</v>
      </c>
      <c r="E7078" s="86">
        <v>16.26</v>
      </c>
      <c r="F7078" s="87">
        <v>25.0</v>
      </c>
      <c r="G7078" s="88">
        <f t="shared" si="1"/>
        <v>8.74</v>
      </c>
      <c r="H7078" s="89">
        <f t="shared" si="18"/>
        <v>0.3496</v>
      </c>
      <c r="I7078" s="78" t="s">
        <v>8073</v>
      </c>
      <c r="J7078" s="78" t="s">
        <v>69</v>
      </c>
      <c r="K7078" s="58">
        <f t="shared" si="17"/>
        <v>1</v>
      </c>
      <c r="L7078" s="91" t="str">
        <f t="shared" si="8"/>
        <v>Sat</v>
      </c>
      <c r="M7078" s="78" t="str">
        <f>IFERROR(VLOOKUP(A7078, Entries!A:B,2,false),"")</f>
        <v>Survios</v>
      </c>
      <c r="N7078" s="23" t="str">
        <f>IFERROR(VLOOKUP(A7078, Entries!A:K,11,false),"")</f>
        <v/>
      </c>
    </row>
    <row r="7079">
      <c r="A7079" s="78" t="s">
        <v>8056</v>
      </c>
      <c r="B7079" s="78" t="s">
        <v>22</v>
      </c>
      <c r="C7079" s="85">
        <v>45646.0</v>
      </c>
      <c r="D7079" s="85">
        <v>45647.0</v>
      </c>
      <c r="E7079" s="86">
        <v>16.26</v>
      </c>
      <c r="F7079" s="87">
        <v>25.0</v>
      </c>
      <c r="G7079" s="88">
        <f t="shared" si="1"/>
        <v>8.74</v>
      </c>
      <c r="H7079" s="89">
        <f t="shared" si="18"/>
        <v>0.3496</v>
      </c>
      <c r="I7079" s="78" t="s">
        <v>8074</v>
      </c>
      <c r="J7079" s="78" t="s">
        <v>69</v>
      </c>
      <c r="K7079" s="58">
        <f t="shared" si="17"/>
        <v>1</v>
      </c>
      <c r="L7079" s="91" t="str">
        <f t="shared" si="8"/>
        <v>Sat</v>
      </c>
      <c r="M7079" s="78" t="str">
        <f>IFERROR(VLOOKUP(A7079, Entries!A:B,2,false),"")</f>
        <v>Survios</v>
      </c>
      <c r="N7079" s="23" t="str">
        <f>IFERROR(VLOOKUP(A7079, Entries!A:K,11,false),"")</f>
        <v/>
      </c>
    </row>
    <row r="7080">
      <c r="A7080" s="78" t="s">
        <v>8056</v>
      </c>
      <c r="B7080" s="78" t="s">
        <v>22</v>
      </c>
      <c r="C7080" s="85">
        <v>45646.0</v>
      </c>
      <c r="D7080" s="85">
        <v>45647.0</v>
      </c>
      <c r="E7080" s="86">
        <v>16.26</v>
      </c>
      <c r="F7080" s="87">
        <v>25.0</v>
      </c>
      <c r="G7080" s="88">
        <f t="shared" si="1"/>
        <v>8.74</v>
      </c>
      <c r="H7080" s="89">
        <f t="shared" si="18"/>
        <v>0.3496</v>
      </c>
      <c r="I7080" s="78" t="s">
        <v>8075</v>
      </c>
      <c r="J7080" s="78" t="s">
        <v>69</v>
      </c>
      <c r="K7080" s="58">
        <f t="shared" si="17"/>
        <v>1</v>
      </c>
      <c r="L7080" s="91" t="str">
        <f t="shared" si="8"/>
        <v>Sat</v>
      </c>
      <c r="M7080" s="78" t="str">
        <f>IFERROR(VLOOKUP(A7080, Entries!A:B,2,false),"")</f>
        <v>Survios</v>
      </c>
      <c r="N7080" s="23" t="str">
        <f>IFERROR(VLOOKUP(A7080, Entries!A:K,11,false),"")</f>
        <v/>
      </c>
    </row>
    <row r="7081">
      <c r="A7081" s="78" t="s">
        <v>8056</v>
      </c>
      <c r="B7081" s="78" t="s">
        <v>22</v>
      </c>
      <c r="C7081" s="85">
        <v>45646.0</v>
      </c>
      <c r="D7081" s="85">
        <v>45647.0</v>
      </c>
      <c r="E7081" s="86">
        <v>16.26</v>
      </c>
      <c r="F7081" s="87">
        <v>25.0</v>
      </c>
      <c r="G7081" s="88">
        <f t="shared" si="1"/>
        <v>8.74</v>
      </c>
      <c r="H7081" s="89">
        <f t="shared" si="18"/>
        <v>0.3496</v>
      </c>
      <c r="I7081" s="78" t="s">
        <v>8076</v>
      </c>
      <c r="J7081" s="78" t="s">
        <v>69</v>
      </c>
      <c r="K7081" s="58">
        <f t="shared" si="17"/>
        <v>1</v>
      </c>
      <c r="L7081" s="91" t="str">
        <f t="shared" si="8"/>
        <v>Sat</v>
      </c>
      <c r="M7081" s="78" t="str">
        <f>IFERROR(VLOOKUP(A7081, Entries!A:B,2,false),"")</f>
        <v>Survios</v>
      </c>
      <c r="N7081" s="23" t="str">
        <f>IFERROR(VLOOKUP(A7081, Entries!A:K,11,false),"")</f>
        <v/>
      </c>
    </row>
    <row r="7082">
      <c r="A7082" s="78" t="s">
        <v>8056</v>
      </c>
      <c r="B7082" s="78" t="s">
        <v>22</v>
      </c>
      <c r="C7082" s="85">
        <v>45646.0</v>
      </c>
      <c r="D7082" s="85">
        <v>45647.0</v>
      </c>
      <c r="E7082" s="86">
        <v>16.26</v>
      </c>
      <c r="F7082" s="87">
        <v>25.0</v>
      </c>
      <c r="G7082" s="88">
        <f t="shared" si="1"/>
        <v>8.74</v>
      </c>
      <c r="H7082" s="89">
        <f t="shared" si="18"/>
        <v>0.3496</v>
      </c>
      <c r="I7082" s="78" t="s">
        <v>8077</v>
      </c>
      <c r="J7082" s="78" t="s">
        <v>69</v>
      </c>
      <c r="K7082" s="58">
        <f t="shared" si="17"/>
        <v>1</v>
      </c>
      <c r="L7082" s="91" t="str">
        <f t="shared" si="8"/>
        <v>Sat</v>
      </c>
      <c r="M7082" s="78" t="str">
        <f>IFERROR(VLOOKUP(A7082, Entries!A:B,2,false),"")</f>
        <v>Survios</v>
      </c>
      <c r="N7082" s="23" t="str">
        <f>IFERROR(VLOOKUP(A7082, Entries!A:K,11,false),"")</f>
        <v/>
      </c>
    </row>
    <row r="7083">
      <c r="A7083" s="78" t="s">
        <v>8056</v>
      </c>
      <c r="B7083" s="78" t="s">
        <v>22</v>
      </c>
      <c r="C7083" s="85">
        <v>45646.0</v>
      </c>
      <c r="D7083" s="85">
        <v>45647.0</v>
      </c>
      <c r="E7083" s="86">
        <v>16.27</v>
      </c>
      <c r="F7083" s="87">
        <v>25.0</v>
      </c>
      <c r="G7083" s="88">
        <f t="shared" si="1"/>
        <v>8.73</v>
      </c>
      <c r="H7083" s="89">
        <f t="shared" si="18"/>
        <v>0.3492</v>
      </c>
      <c r="I7083" s="78" t="s">
        <v>8078</v>
      </c>
      <c r="J7083" s="78" t="s">
        <v>69</v>
      </c>
      <c r="K7083" s="58">
        <f t="shared" si="17"/>
        <v>1</v>
      </c>
      <c r="L7083" s="91" t="str">
        <f t="shared" si="8"/>
        <v>Sat</v>
      </c>
      <c r="M7083" s="78" t="str">
        <f>IFERROR(VLOOKUP(A7083, Entries!A:B,2,false),"")</f>
        <v>Survios</v>
      </c>
      <c r="N7083" s="23" t="str">
        <f>IFERROR(VLOOKUP(A7083, Entries!A:K,11,false),"")</f>
        <v/>
      </c>
    </row>
    <row r="7084">
      <c r="A7084" s="78" t="s">
        <v>8056</v>
      </c>
      <c r="B7084" s="78" t="s">
        <v>22</v>
      </c>
      <c r="C7084" s="85">
        <v>45646.0</v>
      </c>
      <c r="D7084" s="85">
        <v>45647.0</v>
      </c>
      <c r="E7084" s="86">
        <v>16.26</v>
      </c>
      <c r="F7084" s="87">
        <v>25.0</v>
      </c>
      <c r="G7084" s="88">
        <f t="shared" si="1"/>
        <v>8.74</v>
      </c>
      <c r="H7084" s="89">
        <f t="shared" si="18"/>
        <v>0.3496</v>
      </c>
      <c r="I7084" s="78" t="s">
        <v>8079</v>
      </c>
      <c r="J7084" s="78" t="s">
        <v>69</v>
      </c>
      <c r="K7084" s="58">
        <f t="shared" si="17"/>
        <v>1</v>
      </c>
      <c r="L7084" s="91" t="str">
        <f t="shared" si="8"/>
        <v>Sat</v>
      </c>
      <c r="M7084" s="78" t="str">
        <f>IFERROR(VLOOKUP(A7084, Entries!A:B,2,false),"")</f>
        <v>Survios</v>
      </c>
      <c r="N7084" s="23" t="str">
        <f>IFERROR(VLOOKUP(A7084, Entries!A:K,11,false),"")</f>
        <v/>
      </c>
    </row>
    <row r="7085">
      <c r="A7085" s="78" t="s">
        <v>8056</v>
      </c>
      <c r="B7085" s="78" t="s">
        <v>22</v>
      </c>
      <c r="C7085" s="85">
        <v>45646.0</v>
      </c>
      <c r="D7085" s="85">
        <v>45647.0</v>
      </c>
      <c r="E7085" s="86">
        <v>16.26</v>
      </c>
      <c r="F7085" s="87">
        <v>25.0</v>
      </c>
      <c r="G7085" s="88">
        <f t="shared" si="1"/>
        <v>8.74</v>
      </c>
      <c r="H7085" s="89">
        <f t="shared" si="18"/>
        <v>0.3496</v>
      </c>
      <c r="I7085" s="78" t="s">
        <v>8080</v>
      </c>
      <c r="J7085" s="78" t="s">
        <v>69</v>
      </c>
      <c r="K7085" s="58">
        <f t="shared" si="17"/>
        <v>1</v>
      </c>
      <c r="L7085" s="91" t="str">
        <f t="shared" si="8"/>
        <v>Sat</v>
      </c>
      <c r="M7085" s="78" t="str">
        <f>IFERROR(VLOOKUP(A7085, Entries!A:B,2,false),"")</f>
        <v>Survios</v>
      </c>
      <c r="N7085" s="23" t="str">
        <f>IFERROR(VLOOKUP(A7085, Entries!A:K,11,false),"")</f>
        <v/>
      </c>
    </row>
    <row r="7086">
      <c r="A7086" s="78" t="s">
        <v>8056</v>
      </c>
      <c r="B7086" s="78" t="s">
        <v>22</v>
      </c>
      <c r="C7086" s="85">
        <v>45646.0</v>
      </c>
      <c r="D7086" s="85">
        <v>45647.0</v>
      </c>
      <c r="E7086" s="86">
        <v>16.26</v>
      </c>
      <c r="F7086" s="87">
        <v>26.8</v>
      </c>
      <c r="G7086" s="88">
        <f t="shared" si="1"/>
        <v>10.54</v>
      </c>
      <c r="H7086" s="89">
        <f t="shared" si="18"/>
        <v>0.3932835821</v>
      </c>
      <c r="I7086" s="78" t="s">
        <v>8081</v>
      </c>
      <c r="J7086" s="78" t="s">
        <v>69</v>
      </c>
      <c r="K7086" s="58">
        <f t="shared" si="17"/>
        <v>1</v>
      </c>
      <c r="L7086" s="91" t="str">
        <f t="shared" si="8"/>
        <v>Sat</v>
      </c>
      <c r="M7086" s="78" t="str">
        <f>IFERROR(VLOOKUP(A7086, Entries!A:B,2,false),"")</f>
        <v>Survios</v>
      </c>
      <c r="N7086" s="23" t="str">
        <f>IFERROR(VLOOKUP(A7086, Entries!A:K,11,false),"")</f>
        <v/>
      </c>
    </row>
    <row r="7087">
      <c r="A7087" s="78" t="s">
        <v>8056</v>
      </c>
      <c r="B7087" s="78" t="s">
        <v>22</v>
      </c>
      <c r="C7087" s="85">
        <v>45646.0</v>
      </c>
      <c r="D7087" s="85">
        <v>45647.0</v>
      </c>
      <c r="E7087" s="86">
        <v>16.26</v>
      </c>
      <c r="F7087" s="87">
        <v>25.0</v>
      </c>
      <c r="G7087" s="88">
        <f t="shared" si="1"/>
        <v>8.74</v>
      </c>
      <c r="H7087" s="89">
        <f t="shared" si="18"/>
        <v>0.3496</v>
      </c>
      <c r="I7087" s="78" t="s">
        <v>8082</v>
      </c>
      <c r="J7087" s="78" t="s">
        <v>69</v>
      </c>
      <c r="K7087" s="58">
        <f t="shared" si="17"/>
        <v>1</v>
      </c>
      <c r="L7087" s="91" t="str">
        <f t="shared" si="8"/>
        <v>Sat</v>
      </c>
      <c r="M7087" s="78" t="str">
        <f>IFERROR(VLOOKUP(A7087, Entries!A:B,2,false),"")</f>
        <v>Survios</v>
      </c>
      <c r="N7087" s="23" t="str">
        <f>IFERROR(VLOOKUP(A7087, Entries!A:K,11,false),"")</f>
        <v/>
      </c>
    </row>
    <row r="7088">
      <c r="A7088" s="78" t="s">
        <v>8056</v>
      </c>
      <c r="B7088" s="78" t="s">
        <v>22</v>
      </c>
      <c r="C7088" s="85">
        <v>45646.0</v>
      </c>
      <c r="D7088" s="85">
        <v>45647.0</v>
      </c>
      <c r="E7088" s="86">
        <v>16.26</v>
      </c>
      <c r="F7088" s="87">
        <v>29.95</v>
      </c>
      <c r="G7088" s="88">
        <f t="shared" si="1"/>
        <v>13.69</v>
      </c>
      <c r="H7088" s="89">
        <f t="shared" si="18"/>
        <v>0.4570951586</v>
      </c>
      <c r="I7088" s="78" t="s">
        <v>8083</v>
      </c>
      <c r="J7088" s="78" t="s">
        <v>69</v>
      </c>
      <c r="K7088" s="58">
        <f t="shared" si="17"/>
        <v>1</v>
      </c>
      <c r="L7088" s="91" t="str">
        <f t="shared" si="8"/>
        <v>Sat</v>
      </c>
      <c r="M7088" s="78" t="str">
        <f>IFERROR(VLOOKUP(A7088, Entries!A:B,2,false),"")</f>
        <v>Survios</v>
      </c>
      <c r="N7088" s="23" t="str">
        <f>IFERROR(VLOOKUP(A7088, Entries!A:K,11,false),"")</f>
        <v/>
      </c>
    </row>
    <row r="7089">
      <c r="A7089" s="78" t="s">
        <v>8056</v>
      </c>
      <c r="B7089" s="78" t="s">
        <v>22</v>
      </c>
      <c r="C7089" s="85">
        <v>45646.0</v>
      </c>
      <c r="D7089" s="85">
        <v>45647.0</v>
      </c>
      <c r="E7089" s="86">
        <v>16.26</v>
      </c>
      <c r="F7089" s="87">
        <v>21.74</v>
      </c>
      <c r="G7089" s="88">
        <f t="shared" si="1"/>
        <v>5.48</v>
      </c>
      <c r="H7089" s="89">
        <f t="shared" si="18"/>
        <v>0.2520699172</v>
      </c>
      <c r="I7089" s="78" t="s">
        <v>8084</v>
      </c>
      <c r="J7089" s="78" t="s">
        <v>69</v>
      </c>
      <c r="K7089" s="58">
        <f t="shared" si="17"/>
        <v>1</v>
      </c>
      <c r="L7089" s="91" t="str">
        <f t="shared" si="8"/>
        <v>Sat</v>
      </c>
      <c r="M7089" s="78" t="str">
        <f>IFERROR(VLOOKUP(A7089, Entries!A:B,2,false),"")</f>
        <v>Survios</v>
      </c>
      <c r="N7089" s="23" t="str">
        <f>IFERROR(VLOOKUP(A7089, Entries!A:K,11,false),"")</f>
        <v/>
      </c>
    </row>
    <row r="7090">
      <c r="A7090" s="78" t="s">
        <v>8056</v>
      </c>
      <c r="B7090" s="78" t="s">
        <v>22</v>
      </c>
      <c r="C7090" s="85">
        <v>45646.0</v>
      </c>
      <c r="D7090" s="85">
        <v>45647.0</v>
      </c>
      <c r="E7090" s="86">
        <v>16.26</v>
      </c>
      <c r="F7090" s="87">
        <v>21.74</v>
      </c>
      <c r="G7090" s="88">
        <f t="shared" si="1"/>
        <v>5.48</v>
      </c>
      <c r="H7090" s="89">
        <f t="shared" si="18"/>
        <v>0.2520699172</v>
      </c>
      <c r="I7090" s="78" t="s">
        <v>8085</v>
      </c>
      <c r="J7090" s="78" t="s">
        <v>69</v>
      </c>
      <c r="K7090" s="58">
        <f t="shared" si="17"/>
        <v>1</v>
      </c>
      <c r="L7090" s="91" t="str">
        <f t="shared" si="8"/>
        <v>Sat</v>
      </c>
      <c r="M7090" s="78" t="str">
        <f>IFERROR(VLOOKUP(A7090, Entries!A:B,2,false),"")</f>
        <v>Survios</v>
      </c>
      <c r="N7090" s="23" t="str">
        <f>IFERROR(VLOOKUP(A7090, Entries!A:K,11,false),"")</f>
        <v/>
      </c>
    </row>
    <row r="7091">
      <c r="A7091" s="78" t="s">
        <v>8056</v>
      </c>
      <c r="B7091" s="78" t="s">
        <v>22</v>
      </c>
      <c r="C7091" s="85">
        <v>45646.0</v>
      </c>
      <c r="D7091" s="85">
        <v>45647.0</v>
      </c>
      <c r="E7091" s="86">
        <v>16.26</v>
      </c>
      <c r="F7091" s="87">
        <v>21.74</v>
      </c>
      <c r="G7091" s="88">
        <f t="shared" si="1"/>
        <v>5.48</v>
      </c>
      <c r="H7091" s="89">
        <f t="shared" si="18"/>
        <v>0.2520699172</v>
      </c>
      <c r="I7091" s="78" t="s">
        <v>8086</v>
      </c>
      <c r="J7091" s="78" t="s">
        <v>69</v>
      </c>
      <c r="K7091" s="58">
        <f t="shared" si="17"/>
        <v>1</v>
      </c>
      <c r="L7091" s="91" t="str">
        <f t="shared" si="8"/>
        <v>Sat</v>
      </c>
      <c r="M7091" s="78" t="str">
        <f>IFERROR(VLOOKUP(A7091, Entries!A:B,2,false),"")</f>
        <v>Survios</v>
      </c>
      <c r="N7091" s="23" t="str">
        <f>IFERROR(VLOOKUP(A7091, Entries!A:K,11,false),"")</f>
        <v/>
      </c>
    </row>
    <row r="7092">
      <c r="A7092" s="78" t="s">
        <v>8056</v>
      </c>
      <c r="B7092" s="78" t="s">
        <v>22</v>
      </c>
      <c r="C7092" s="85">
        <v>45646.0</v>
      </c>
      <c r="D7092" s="85">
        <v>45647.0</v>
      </c>
      <c r="E7092" s="86">
        <v>16.26</v>
      </c>
      <c r="F7092" s="87">
        <v>21.74</v>
      </c>
      <c r="G7092" s="88">
        <f t="shared" si="1"/>
        <v>5.48</v>
      </c>
      <c r="H7092" s="89">
        <f t="shared" si="18"/>
        <v>0.2520699172</v>
      </c>
      <c r="I7092" s="78" t="s">
        <v>8087</v>
      </c>
      <c r="J7092" s="78" t="s">
        <v>69</v>
      </c>
      <c r="K7092" s="58">
        <f t="shared" si="17"/>
        <v>1</v>
      </c>
      <c r="L7092" s="91" t="str">
        <f t="shared" si="8"/>
        <v>Sat</v>
      </c>
      <c r="M7092" s="78" t="str">
        <f>IFERROR(VLOOKUP(A7092, Entries!A:B,2,false),"")</f>
        <v>Survios</v>
      </c>
      <c r="N7092" s="23" t="str">
        <f>IFERROR(VLOOKUP(A7092, Entries!A:K,11,false),"")</f>
        <v/>
      </c>
    </row>
    <row r="7093">
      <c r="A7093" s="78" t="s">
        <v>8056</v>
      </c>
      <c r="B7093" s="78" t="s">
        <v>22</v>
      </c>
      <c r="C7093" s="85">
        <v>45646.0</v>
      </c>
      <c r="D7093" s="85">
        <v>45648.0</v>
      </c>
      <c r="E7093" s="86">
        <v>16.27</v>
      </c>
      <c r="F7093" s="87">
        <v>23.79</v>
      </c>
      <c r="G7093" s="88">
        <f t="shared" si="1"/>
        <v>7.52</v>
      </c>
      <c r="H7093" s="89">
        <f t="shared" si="18"/>
        <v>0.3160992013</v>
      </c>
      <c r="I7093" s="78" t="s">
        <v>8088</v>
      </c>
      <c r="J7093" s="78" t="s">
        <v>69</v>
      </c>
      <c r="K7093" s="58">
        <f t="shared" si="17"/>
        <v>2</v>
      </c>
      <c r="L7093" s="91" t="str">
        <f t="shared" si="8"/>
        <v>Sun</v>
      </c>
      <c r="M7093" s="78" t="str">
        <f>IFERROR(VLOOKUP(A7093, Entries!A:B,2,false),"")</f>
        <v>Survios</v>
      </c>
      <c r="N7093" s="23" t="str">
        <f>IFERROR(VLOOKUP(A7093, Entries!A:K,11,false),"")</f>
        <v/>
      </c>
    </row>
    <row r="7094">
      <c r="A7094" s="78" t="s">
        <v>7776</v>
      </c>
      <c r="B7094" s="78" t="s">
        <v>32</v>
      </c>
      <c r="C7094" s="85">
        <v>45647.0</v>
      </c>
      <c r="D7094" s="85">
        <v>45649.0</v>
      </c>
      <c r="E7094" s="86">
        <v>36.71</v>
      </c>
      <c r="F7094" s="87">
        <v>39.18</v>
      </c>
      <c r="G7094" s="88">
        <f t="shared" si="1"/>
        <v>2.47</v>
      </c>
      <c r="H7094" s="89">
        <f t="shared" si="18"/>
        <v>0.06304236856</v>
      </c>
      <c r="I7094" s="78" t="s">
        <v>8089</v>
      </c>
      <c r="J7094" s="78" t="s">
        <v>69</v>
      </c>
      <c r="K7094" s="58">
        <f t="shared" si="17"/>
        <v>2</v>
      </c>
      <c r="L7094" s="91" t="str">
        <f t="shared" si="8"/>
        <v>Mon</v>
      </c>
      <c r="M7094" s="78" t="str">
        <f>IFERROR(VLOOKUP(A7094, Entries!A:B,2,false),"")</f>
        <v>PlayStation</v>
      </c>
      <c r="N7094" s="23" t="str">
        <f>IFERROR(VLOOKUP(A7094, Entries!A:K,11,false),"")</f>
        <v/>
      </c>
    </row>
    <row r="7095">
      <c r="A7095" s="78" t="s">
        <v>8056</v>
      </c>
      <c r="B7095" s="78" t="s">
        <v>22</v>
      </c>
      <c r="C7095" s="85">
        <v>45647.0</v>
      </c>
      <c r="D7095" s="85">
        <v>45647.0</v>
      </c>
      <c r="E7095" s="86">
        <v>16.26</v>
      </c>
      <c r="F7095" s="87">
        <v>23.79</v>
      </c>
      <c r="G7095" s="88">
        <f t="shared" si="1"/>
        <v>7.53</v>
      </c>
      <c r="H7095" s="89">
        <f t="shared" si="18"/>
        <v>0.316519546</v>
      </c>
      <c r="I7095" s="78" t="s">
        <v>8090</v>
      </c>
      <c r="J7095" s="78" t="s">
        <v>69</v>
      </c>
      <c r="K7095" s="58">
        <f t="shared" si="17"/>
        <v>0</v>
      </c>
      <c r="L7095" s="91" t="str">
        <f t="shared" si="8"/>
        <v>Sat</v>
      </c>
      <c r="M7095" s="78" t="str">
        <f>IFERROR(VLOOKUP(A7095, Entries!A:B,2,false),"")</f>
        <v>Survios</v>
      </c>
      <c r="N7095" s="23" t="str">
        <f>IFERROR(VLOOKUP(A7095, Entries!A:K,11,false),"")</f>
        <v/>
      </c>
    </row>
    <row r="7096">
      <c r="A7096" s="78" t="s">
        <v>8056</v>
      </c>
      <c r="B7096" s="78" t="s">
        <v>22</v>
      </c>
      <c r="C7096" s="85">
        <v>45647.0</v>
      </c>
      <c r="D7096" s="85">
        <v>45647.0</v>
      </c>
      <c r="E7096" s="86">
        <v>16.26</v>
      </c>
      <c r="F7096" s="87">
        <v>23.79</v>
      </c>
      <c r="G7096" s="88">
        <f t="shared" si="1"/>
        <v>7.53</v>
      </c>
      <c r="H7096" s="89">
        <f t="shared" si="18"/>
        <v>0.316519546</v>
      </c>
      <c r="I7096" s="78" t="s">
        <v>8091</v>
      </c>
      <c r="J7096" s="78" t="s">
        <v>69</v>
      </c>
      <c r="K7096" s="58">
        <f t="shared" si="17"/>
        <v>0</v>
      </c>
      <c r="L7096" s="91" t="str">
        <f t="shared" si="8"/>
        <v>Sat</v>
      </c>
      <c r="M7096" s="78" t="str">
        <f>IFERROR(VLOOKUP(A7096, Entries!A:B,2,false),"")</f>
        <v>Survios</v>
      </c>
      <c r="N7096" s="23" t="str">
        <f>IFERROR(VLOOKUP(A7096, Entries!A:K,11,false),"")</f>
        <v/>
      </c>
    </row>
    <row r="7097">
      <c r="A7097" s="78" t="s">
        <v>8056</v>
      </c>
      <c r="B7097" s="78" t="s">
        <v>22</v>
      </c>
      <c r="C7097" s="85">
        <v>45647.0</v>
      </c>
      <c r="D7097" s="85">
        <v>45648.0</v>
      </c>
      <c r="E7097" s="86">
        <v>16.26</v>
      </c>
      <c r="F7097" s="87">
        <v>23.69</v>
      </c>
      <c r="G7097" s="88">
        <f t="shared" si="1"/>
        <v>7.43</v>
      </c>
      <c r="H7097" s="89">
        <f t="shared" si="18"/>
        <v>0.3136344449</v>
      </c>
      <c r="I7097" s="78" t="s">
        <v>8092</v>
      </c>
      <c r="J7097" s="78" t="s">
        <v>69</v>
      </c>
      <c r="K7097" s="58">
        <f t="shared" si="17"/>
        <v>1</v>
      </c>
      <c r="L7097" s="91" t="str">
        <f t="shared" si="8"/>
        <v>Sun</v>
      </c>
      <c r="M7097" s="78" t="str">
        <f>IFERROR(VLOOKUP(A7097, Entries!A:B,2,false),"")</f>
        <v>Survios</v>
      </c>
      <c r="N7097" s="23" t="str">
        <f>IFERROR(VLOOKUP(A7097, Entries!A:K,11,false),"")</f>
        <v/>
      </c>
    </row>
    <row r="7098">
      <c r="A7098" s="78" t="s">
        <v>8056</v>
      </c>
      <c r="B7098" s="78" t="s">
        <v>22</v>
      </c>
      <c r="C7098" s="85">
        <v>45647.0</v>
      </c>
      <c r="D7098" s="85">
        <v>45648.0</v>
      </c>
      <c r="E7098" s="86">
        <v>16.26</v>
      </c>
      <c r="F7098" s="87">
        <v>23.69</v>
      </c>
      <c r="G7098" s="88">
        <f t="shared" si="1"/>
        <v>7.43</v>
      </c>
      <c r="H7098" s="89">
        <f t="shared" si="18"/>
        <v>0.3136344449</v>
      </c>
      <c r="I7098" s="78" t="s">
        <v>8093</v>
      </c>
      <c r="J7098" s="78" t="s">
        <v>69</v>
      </c>
      <c r="K7098" s="58">
        <f t="shared" si="17"/>
        <v>1</v>
      </c>
      <c r="L7098" s="91" t="str">
        <f t="shared" si="8"/>
        <v>Sun</v>
      </c>
      <c r="M7098" s="78" t="str">
        <f>IFERROR(VLOOKUP(A7098, Entries!A:B,2,false),"")</f>
        <v>Survios</v>
      </c>
      <c r="N7098" s="23" t="str">
        <f>IFERROR(VLOOKUP(A7098, Entries!A:K,11,false),"")</f>
        <v/>
      </c>
    </row>
    <row r="7099">
      <c r="A7099" s="78" t="s">
        <v>8056</v>
      </c>
      <c r="B7099" s="78" t="s">
        <v>22</v>
      </c>
      <c r="C7099" s="85">
        <v>45647.0</v>
      </c>
      <c r="D7099" s="85">
        <v>45648.0</v>
      </c>
      <c r="E7099" s="86">
        <v>16.26</v>
      </c>
      <c r="F7099" s="87">
        <v>23.69</v>
      </c>
      <c r="G7099" s="88">
        <f t="shared" si="1"/>
        <v>7.43</v>
      </c>
      <c r="H7099" s="89">
        <f t="shared" si="18"/>
        <v>0.3136344449</v>
      </c>
      <c r="I7099" s="78" t="s">
        <v>8094</v>
      </c>
      <c r="J7099" s="78" t="s">
        <v>69</v>
      </c>
      <c r="K7099" s="58">
        <f t="shared" si="17"/>
        <v>1</v>
      </c>
      <c r="L7099" s="91" t="str">
        <f t="shared" si="8"/>
        <v>Sun</v>
      </c>
      <c r="M7099" s="78" t="str">
        <f>IFERROR(VLOOKUP(A7099, Entries!A:B,2,false),"")</f>
        <v>Survios</v>
      </c>
      <c r="N7099" s="23" t="str">
        <f>IFERROR(VLOOKUP(A7099, Entries!A:K,11,false),"")</f>
        <v/>
      </c>
    </row>
    <row r="7100">
      <c r="A7100" s="78" t="s">
        <v>8056</v>
      </c>
      <c r="B7100" s="78" t="s">
        <v>22</v>
      </c>
      <c r="C7100" s="85">
        <v>45647.0</v>
      </c>
      <c r="D7100" s="85">
        <v>45648.0</v>
      </c>
      <c r="E7100" s="86">
        <v>16.26</v>
      </c>
      <c r="F7100" s="87">
        <v>23.69</v>
      </c>
      <c r="G7100" s="88">
        <f t="shared" si="1"/>
        <v>7.43</v>
      </c>
      <c r="H7100" s="89">
        <f t="shared" si="18"/>
        <v>0.3136344449</v>
      </c>
      <c r="I7100" s="78" t="s">
        <v>8095</v>
      </c>
      <c r="J7100" s="78" t="s">
        <v>69</v>
      </c>
      <c r="K7100" s="58">
        <f t="shared" si="17"/>
        <v>1</v>
      </c>
      <c r="L7100" s="91" t="str">
        <f t="shared" si="8"/>
        <v>Sun</v>
      </c>
      <c r="M7100" s="78" t="str">
        <f>IFERROR(VLOOKUP(A7100, Entries!A:B,2,false),"")</f>
        <v>Survios</v>
      </c>
      <c r="N7100" s="23" t="str">
        <f>IFERROR(VLOOKUP(A7100, Entries!A:K,11,false),"")</f>
        <v/>
      </c>
    </row>
    <row r="7101">
      <c r="A7101" s="78" t="s">
        <v>8056</v>
      </c>
      <c r="B7101" s="78" t="s">
        <v>22</v>
      </c>
      <c r="C7101" s="85">
        <v>45647.0</v>
      </c>
      <c r="D7101" s="85">
        <v>45648.0</v>
      </c>
      <c r="E7101" s="86">
        <v>16.26</v>
      </c>
      <c r="F7101" s="87">
        <v>23.69</v>
      </c>
      <c r="G7101" s="88">
        <f t="shared" si="1"/>
        <v>7.43</v>
      </c>
      <c r="H7101" s="89">
        <f t="shared" si="18"/>
        <v>0.3136344449</v>
      </c>
      <c r="I7101" s="78" t="s">
        <v>8096</v>
      </c>
      <c r="J7101" s="78" t="s">
        <v>69</v>
      </c>
      <c r="K7101" s="58">
        <f t="shared" si="17"/>
        <v>1</v>
      </c>
      <c r="L7101" s="91" t="str">
        <f t="shared" si="8"/>
        <v>Sun</v>
      </c>
      <c r="M7101" s="78" t="str">
        <f>IFERROR(VLOOKUP(A7101, Entries!A:B,2,false),"")</f>
        <v>Survios</v>
      </c>
      <c r="N7101" s="23" t="str">
        <f>IFERROR(VLOOKUP(A7101, Entries!A:K,11,false),"")</f>
        <v/>
      </c>
    </row>
    <row r="7102">
      <c r="A7102" s="78" t="s">
        <v>8056</v>
      </c>
      <c r="B7102" s="78" t="s">
        <v>22</v>
      </c>
      <c r="C7102" s="85">
        <v>45647.0</v>
      </c>
      <c r="D7102" s="85">
        <v>45648.0</v>
      </c>
      <c r="E7102" s="86">
        <v>16.26</v>
      </c>
      <c r="F7102" s="87">
        <v>23.69</v>
      </c>
      <c r="G7102" s="88">
        <f t="shared" si="1"/>
        <v>7.43</v>
      </c>
      <c r="H7102" s="89">
        <f t="shared" si="18"/>
        <v>0.3136344449</v>
      </c>
      <c r="I7102" s="78" t="s">
        <v>8097</v>
      </c>
      <c r="J7102" s="78" t="s">
        <v>69</v>
      </c>
      <c r="K7102" s="58">
        <f t="shared" si="17"/>
        <v>1</v>
      </c>
      <c r="L7102" s="91" t="str">
        <f t="shared" si="8"/>
        <v>Sun</v>
      </c>
      <c r="M7102" s="78" t="str">
        <f>IFERROR(VLOOKUP(A7102, Entries!A:B,2,false),"")</f>
        <v>Survios</v>
      </c>
      <c r="N7102" s="23" t="str">
        <f>IFERROR(VLOOKUP(A7102, Entries!A:K,11,false),"")</f>
        <v/>
      </c>
    </row>
    <row r="7103">
      <c r="A7103" s="78" t="s">
        <v>8056</v>
      </c>
      <c r="B7103" s="78" t="s">
        <v>22</v>
      </c>
      <c r="C7103" s="85">
        <v>45647.0</v>
      </c>
      <c r="D7103" s="85">
        <v>45648.0</v>
      </c>
      <c r="E7103" s="86">
        <v>16.25</v>
      </c>
      <c r="F7103" s="87">
        <v>23.69</v>
      </c>
      <c r="G7103" s="88">
        <f t="shared" si="1"/>
        <v>7.44</v>
      </c>
      <c r="H7103" s="89">
        <f t="shared" si="18"/>
        <v>0.314056564</v>
      </c>
      <c r="I7103" s="78" t="s">
        <v>8098</v>
      </c>
      <c r="J7103" s="78" t="s">
        <v>69</v>
      </c>
      <c r="K7103" s="58">
        <f t="shared" si="17"/>
        <v>1</v>
      </c>
      <c r="L7103" s="91" t="str">
        <f t="shared" si="8"/>
        <v>Sun</v>
      </c>
      <c r="M7103" s="78" t="str">
        <f>IFERROR(VLOOKUP(A7103, Entries!A:B,2,false),"")</f>
        <v>Survios</v>
      </c>
      <c r="N7103" s="23" t="str">
        <f>IFERROR(VLOOKUP(A7103, Entries!A:K,11,false),"")</f>
        <v/>
      </c>
    </row>
    <row r="7104">
      <c r="A7104" s="78" t="s">
        <v>8056</v>
      </c>
      <c r="B7104" s="78" t="s">
        <v>22</v>
      </c>
      <c r="C7104" s="85">
        <v>45647.0</v>
      </c>
      <c r="D7104" s="85">
        <v>45648.0</v>
      </c>
      <c r="E7104" s="86">
        <v>16.23</v>
      </c>
      <c r="F7104" s="87">
        <v>23.69</v>
      </c>
      <c r="G7104" s="88">
        <f t="shared" si="1"/>
        <v>7.46</v>
      </c>
      <c r="H7104" s="89">
        <f t="shared" si="18"/>
        <v>0.314900802</v>
      </c>
      <c r="I7104" s="78" t="s">
        <v>8099</v>
      </c>
      <c r="J7104" s="78" t="s">
        <v>69</v>
      </c>
      <c r="K7104" s="58">
        <f t="shared" si="17"/>
        <v>1</v>
      </c>
      <c r="L7104" s="91" t="str">
        <f t="shared" si="8"/>
        <v>Sun</v>
      </c>
      <c r="M7104" s="78" t="str">
        <f>IFERROR(VLOOKUP(A7104, Entries!A:B,2,false),"")</f>
        <v>Survios</v>
      </c>
      <c r="N7104" s="23" t="str">
        <f>IFERROR(VLOOKUP(A7104, Entries!A:K,11,false),"")</f>
        <v/>
      </c>
    </row>
    <row r="7105">
      <c r="A7105" s="78" t="s">
        <v>8056</v>
      </c>
      <c r="B7105" s="78" t="s">
        <v>22</v>
      </c>
      <c r="C7105" s="85">
        <v>45648.0</v>
      </c>
      <c r="D7105" s="85">
        <v>45650.0</v>
      </c>
      <c r="E7105" s="86">
        <v>16.26</v>
      </c>
      <c r="F7105" s="87">
        <v>26.88</v>
      </c>
      <c r="G7105" s="88">
        <f t="shared" si="1"/>
        <v>10.62</v>
      </c>
      <c r="H7105" s="89">
        <f t="shared" si="18"/>
        <v>0.3950892857</v>
      </c>
      <c r="I7105" s="78" t="s">
        <v>8100</v>
      </c>
      <c r="J7105" s="78" t="s">
        <v>69</v>
      </c>
      <c r="K7105" s="58">
        <f t="shared" si="17"/>
        <v>2</v>
      </c>
      <c r="L7105" s="91" t="str">
        <f t="shared" si="8"/>
        <v>Tue</v>
      </c>
      <c r="M7105" s="78" t="str">
        <f>IFERROR(VLOOKUP(A7105, Entries!A:B,2,false),"")</f>
        <v>Survios</v>
      </c>
      <c r="N7105" s="23" t="str">
        <f>IFERROR(VLOOKUP(A7105, Entries!A:K,11,false),"")</f>
        <v/>
      </c>
    </row>
    <row r="7106">
      <c r="A7106" s="78" t="s">
        <v>8056</v>
      </c>
      <c r="B7106" s="78" t="s">
        <v>22</v>
      </c>
      <c r="C7106" s="85">
        <v>45648.0</v>
      </c>
      <c r="D7106" s="85">
        <v>45648.0</v>
      </c>
      <c r="E7106" s="86">
        <v>16.26</v>
      </c>
      <c r="F7106" s="87">
        <v>24.13</v>
      </c>
      <c r="G7106" s="88">
        <f t="shared" si="1"/>
        <v>7.87</v>
      </c>
      <c r="H7106" s="89">
        <f t="shared" si="18"/>
        <v>0.3261500207</v>
      </c>
      <c r="I7106" s="78" t="s">
        <v>8101</v>
      </c>
      <c r="J7106" s="78" t="s">
        <v>69</v>
      </c>
      <c r="K7106" s="58">
        <f t="shared" si="17"/>
        <v>0</v>
      </c>
      <c r="L7106" s="91" t="str">
        <f t="shared" si="8"/>
        <v>Sun</v>
      </c>
      <c r="M7106" s="78" t="str">
        <f>IFERROR(VLOOKUP(A7106, Entries!A:B,2,false),"")</f>
        <v>Survios</v>
      </c>
      <c r="N7106" s="23" t="str">
        <f>IFERROR(VLOOKUP(A7106, Entries!A:K,11,false),"")</f>
        <v/>
      </c>
    </row>
    <row r="7107">
      <c r="A7107" s="78" t="s">
        <v>8056</v>
      </c>
      <c r="B7107" s="78" t="s">
        <v>22</v>
      </c>
      <c r="C7107" s="85">
        <v>45648.0</v>
      </c>
      <c r="D7107" s="85">
        <v>45648.0</v>
      </c>
      <c r="E7107" s="86">
        <v>16.26</v>
      </c>
      <c r="F7107" s="87">
        <v>24.13</v>
      </c>
      <c r="G7107" s="88">
        <f t="shared" si="1"/>
        <v>7.87</v>
      </c>
      <c r="H7107" s="89">
        <f t="shared" si="18"/>
        <v>0.3261500207</v>
      </c>
      <c r="I7107" s="78" t="s">
        <v>8102</v>
      </c>
      <c r="J7107" s="78" t="s">
        <v>69</v>
      </c>
      <c r="K7107" s="58">
        <f t="shared" si="17"/>
        <v>0</v>
      </c>
      <c r="L7107" s="91" t="str">
        <f t="shared" si="8"/>
        <v>Sun</v>
      </c>
      <c r="M7107" s="78" t="str">
        <f>IFERROR(VLOOKUP(A7107, Entries!A:B,2,false),"")</f>
        <v>Survios</v>
      </c>
      <c r="N7107" s="23" t="str">
        <f>IFERROR(VLOOKUP(A7107, Entries!A:K,11,false),"")</f>
        <v/>
      </c>
    </row>
    <row r="7108">
      <c r="A7108" s="78" t="s">
        <v>8056</v>
      </c>
      <c r="B7108" s="78" t="s">
        <v>22</v>
      </c>
      <c r="C7108" s="85">
        <v>45648.0</v>
      </c>
      <c r="D7108" s="85">
        <v>45648.0</v>
      </c>
      <c r="E7108" s="86">
        <v>16.26</v>
      </c>
      <c r="F7108" s="87">
        <v>22.77</v>
      </c>
      <c r="G7108" s="88">
        <f t="shared" si="1"/>
        <v>6.51</v>
      </c>
      <c r="H7108" s="89">
        <f t="shared" si="18"/>
        <v>0.2859025033</v>
      </c>
      <c r="I7108" s="78" t="s">
        <v>8103</v>
      </c>
      <c r="J7108" s="78" t="s">
        <v>69</v>
      </c>
      <c r="K7108" s="58">
        <f t="shared" si="17"/>
        <v>0</v>
      </c>
      <c r="L7108" s="91" t="str">
        <f t="shared" si="8"/>
        <v>Sun</v>
      </c>
      <c r="M7108" s="78" t="str">
        <f>IFERROR(VLOOKUP(A7108, Entries!A:B,2,false),"")</f>
        <v>Survios</v>
      </c>
      <c r="N7108" s="23" t="str">
        <f>IFERROR(VLOOKUP(A7108, Entries!A:K,11,false),"")</f>
        <v/>
      </c>
    </row>
    <row r="7109">
      <c r="A7109" s="78" t="s">
        <v>8056</v>
      </c>
      <c r="B7109" s="78" t="s">
        <v>22</v>
      </c>
      <c r="C7109" s="85">
        <v>45648.0</v>
      </c>
      <c r="D7109" s="85">
        <v>45648.0</v>
      </c>
      <c r="E7109" s="86">
        <v>16.26</v>
      </c>
      <c r="F7109" s="87">
        <v>22.77</v>
      </c>
      <c r="G7109" s="88">
        <f t="shared" si="1"/>
        <v>6.51</v>
      </c>
      <c r="H7109" s="89">
        <f t="shared" si="18"/>
        <v>0.2859025033</v>
      </c>
      <c r="I7109" s="78" t="s">
        <v>8104</v>
      </c>
      <c r="J7109" s="78" t="s">
        <v>69</v>
      </c>
      <c r="K7109" s="58">
        <f t="shared" si="17"/>
        <v>0</v>
      </c>
      <c r="L7109" s="91" t="str">
        <f t="shared" si="8"/>
        <v>Sun</v>
      </c>
      <c r="M7109" s="78" t="str">
        <f>IFERROR(VLOOKUP(A7109, Entries!A:B,2,false),"")</f>
        <v>Survios</v>
      </c>
      <c r="N7109" s="23" t="str">
        <f>IFERROR(VLOOKUP(A7109, Entries!A:K,11,false),"")</f>
        <v/>
      </c>
    </row>
    <row r="7110">
      <c r="A7110" s="78" t="s">
        <v>8056</v>
      </c>
      <c r="B7110" s="78" t="s">
        <v>22</v>
      </c>
      <c r="C7110" s="85">
        <v>45648.0</v>
      </c>
      <c r="D7110" s="85">
        <v>45648.0</v>
      </c>
      <c r="E7110" s="86">
        <v>16.26</v>
      </c>
      <c r="F7110" s="87">
        <v>21.43</v>
      </c>
      <c r="G7110" s="88">
        <f t="shared" si="1"/>
        <v>5.17</v>
      </c>
      <c r="H7110" s="89">
        <f t="shared" si="18"/>
        <v>0.2412505833</v>
      </c>
      <c r="I7110" s="78" t="s">
        <v>8105</v>
      </c>
      <c r="J7110" s="78" t="s">
        <v>69</v>
      </c>
      <c r="K7110" s="58">
        <f t="shared" si="17"/>
        <v>0</v>
      </c>
      <c r="L7110" s="91" t="str">
        <f t="shared" si="8"/>
        <v>Sun</v>
      </c>
      <c r="M7110" s="78" t="str">
        <f>IFERROR(VLOOKUP(A7110, Entries!A:B,2,false),"")</f>
        <v>Survios</v>
      </c>
      <c r="N7110" s="23" t="str">
        <f>IFERROR(VLOOKUP(A7110, Entries!A:K,11,false),"")</f>
        <v/>
      </c>
    </row>
    <row r="7111">
      <c r="A7111" s="78" t="s">
        <v>8056</v>
      </c>
      <c r="B7111" s="78" t="s">
        <v>22</v>
      </c>
      <c r="C7111" s="85">
        <v>45648.0</v>
      </c>
      <c r="D7111" s="85">
        <v>45648.0</v>
      </c>
      <c r="E7111" s="86">
        <v>16.26</v>
      </c>
      <c r="F7111" s="87">
        <v>23.69</v>
      </c>
      <c r="G7111" s="88">
        <f t="shared" si="1"/>
        <v>7.43</v>
      </c>
      <c r="H7111" s="89">
        <f t="shared" si="18"/>
        <v>0.3136344449</v>
      </c>
      <c r="I7111" s="78" t="s">
        <v>8106</v>
      </c>
      <c r="J7111" s="78" t="s">
        <v>69</v>
      </c>
      <c r="K7111" s="58">
        <f t="shared" si="17"/>
        <v>0</v>
      </c>
      <c r="L7111" s="91" t="str">
        <f t="shared" si="8"/>
        <v>Sun</v>
      </c>
      <c r="M7111" s="78" t="str">
        <f>IFERROR(VLOOKUP(A7111, Entries!A:B,2,false),"")</f>
        <v>Survios</v>
      </c>
      <c r="N7111" s="23" t="str">
        <f>IFERROR(VLOOKUP(A7111, Entries!A:K,11,false),"")</f>
        <v/>
      </c>
    </row>
    <row r="7112">
      <c r="A7112" s="78" t="s">
        <v>8056</v>
      </c>
      <c r="B7112" s="78" t="s">
        <v>22</v>
      </c>
      <c r="C7112" s="85">
        <v>45648.0</v>
      </c>
      <c r="D7112" s="85">
        <v>45648.0</v>
      </c>
      <c r="E7112" s="86">
        <v>16.26</v>
      </c>
      <c r="F7112" s="87">
        <v>21.43</v>
      </c>
      <c r="G7112" s="88">
        <f t="shared" si="1"/>
        <v>5.17</v>
      </c>
      <c r="H7112" s="89">
        <f t="shared" si="18"/>
        <v>0.2412505833</v>
      </c>
      <c r="I7112" s="78" t="s">
        <v>8107</v>
      </c>
      <c r="J7112" s="78" t="s">
        <v>69</v>
      </c>
      <c r="K7112" s="58">
        <f t="shared" si="17"/>
        <v>0</v>
      </c>
      <c r="L7112" s="91" t="str">
        <f t="shared" si="8"/>
        <v>Sun</v>
      </c>
      <c r="M7112" s="78" t="str">
        <f>IFERROR(VLOOKUP(A7112, Entries!A:B,2,false),"")</f>
        <v>Survios</v>
      </c>
      <c r="N7112" s="23" t="str">
        <f>IFERROR(VLOOKUP(A7112, Entries!A:K,11,false),"")</f>
        <v/>
      </c>
    </row>
    <row r="7113">
      <c r="A7113" s="78" t="s">
        <v>8056</v>
      </c>
      <c r="B7113" s="78" t="s">
        <v>22</v>
      </c>
      <c r="C7113" s="85">
        <v>45648.0</v>
      </c>
      <c r="D7113" s="85">
        <v>45648.0</v>
      </c>
      <c r="E7113" s="86">
        <v>16.25</v>
      </c>
      <c r="F7113" s="87">
        <v>21.42</v>
      </c>
      <c r="G7113" s="88">
        <f t="shared" si="1"/>
        <v>5.17</v>
      </c>
      <c r="H7113" s="89">
        <f t="shared" si="18"/>
        <v>0.241363212</v>
      </c>
      <c r="I7113" s="78" t="s">
        <v>8108</v>
      </c>
      <c r="J7113" s="78" t="s">
        <v>69</v>
      </c>
      <c r="K7113" s="58">
        <f t="shared" si="17"/>
        <v>0</v>
      </c>
      <c r="L7113" s="91" t="str">
        <f t="shared" si="8"/>
        <v>Sun</v>
      </c>
      <c r="M7113" s="78" t="str">
        <f>IFERROR(VLOOKUP(A7113, Entries!A:B,2,false),"")</f>
        <v>Survios</v>
      </c>
      <c r="N7113" s="23" t="str">
        <f>IFERROR(VLOOKUP(A7113, Entries!A:K,11,false),"")</f>
        <v/>
      </c>
    </row>
    <row r="7114">
      <c r="A7114" s="78" t="s">
        <v>8056</v>
      </c>
      <c r="B7114" s="78" t="s">
        <v>22</v>
      </c>
      <c r="C7114" s="85">
        <v>45648.0</v>
      </c>
      <c r="D7114" s="85">
        <v>45648.0</v>
      </c>
      <c r="E7114" s="86">
        <v>16.25</v>
      </c>
      <c r="F7114" s="87">
        <v>21.42</v>
      </c>
      <c r="G7114" s="88">
        <f t="shared" si="1"/>
        <v>5.17</v>
      </c>
      <c r="H7114" s="89">
        <f t="shared" si="18"/>
        <v>0.241363212</v>
      </c>
      <c r="I7114" s="78" t="s">
        <v>8109</v>
      </c>
      <c r="J7114" s="78" t="s">
        <v>69</v>
      </c>
      <c r="K7114" s="58">
        <f t="shared" si="17"/>
        <v>0</v>
      </c>
      <c r="L7114" s="91" t="str">
        <f t="shared" si="8"/>
        <v>Sun</v>
      </c>
      <c r="M7114" s="78" t="str">
        <f>IFERROR(VLOOKUP(A7114, Entries!A:B,2,false),"")</f>
        <v>Survios</v>
      </c>
      <c r="N7114" s="23" t="str">
        <f>IFERROR(VLOOKUP(A7114, Entries!A:K,11,false),"")</f>
        <v/>
      </c>
    </row>
    <row r="7115">
      <c r="A7115" s="78" t="s">
        <v>8046</v>
      </c>
      <c r="B7115" s="78" t="s">
        <v>22</v>
      </c>
      <c r="C7115" s="85">
        <v>45648.0</v>
      </c>
      <c r="D7115" s="85">
        <v>45648.0</v>
      </c>
      <c r="E7115" s="86">
        <v>7.27</v>
      </c>
      <c r="F7115" s="87">
        <v>8.71</v>
      </c>
      <c r="G7115" s="88">
        <f t="shared" si="1"/>
        <v>1.44</v>
      </c>
      <c r="H7115" s="89">
        <f t="shared" si="18"/>
        <v>0.1653272101</v>
      </c>
      <c r="I7115" s="78" t="s">
        <v>8110</v>
      </c>
      <c r="J7115" s="78" t="s">
        <v>69</v>
      </c>
      <c r="K7115" s="58">
        <f t="shared" si="17"/>
        <v>0</v>
      </c>
      <c r="L7115" s="91" t="str">
        <f t="shared" si="8"/>
        <v>Sun</v>
      </c>
      <c r="M7115" s="78" t="str">
        <f>IFERROR(VLOOKUP(A7115, Entries!A:B,2,false),"")</f>
        <v/>
      </c>
      <c r="N7115" s="23" t="str">
        <f>IFERROR(VLOOKUP(A7115, Entries!A:K,11,false),"")</f>
        <v/>
      </c>
    </row>
    <row r="7116">
      <c r="A7116" s="78" t="s">
        <v>8046</v>
      </c>
      <c r="B7116" s="78" t="s">
        <v>22</v>
      </c>
      <c r="C7116" s="85">
        <v>45648.0</v>
      </c>
      <c r="D7116" s="85">
        <v>45648.0</v>
      </c>
      <c r="E7116" s="86">
        <v>7.27</v>
      </c>
      <c r="F7116" s="87">
        <v>8.73</v>
      </c>
      <c r="G7116" s="88">
        <f t="shared" si="1"/>
        <v>1.46</v>
      </c>
      <c r="H7116" s="89">
        <f t="shared" si="18"/>
        <v>0.1672394044</v>
      </c>
      <c r="I7116" s="78" t="s">
        <v>8111</v>
      </c>
      <c r="J7116" s="78" t="s">
        <v>69</v>
      </c>
      <c r="K7116" s="58">
        <f t="shared" si="17"/>
        <v>0</v>
      </c>
      <c r="L7116" s="91" t="str">
        <f t="shared" si="8"/>
        <v>Sun</v>
      </c>
      <c r="M7116" s="78" t="str">
        <f>IFERROR(VLOOKUP(A7116, Entries!A:B,2,false),"")</f>
        <v/>
      </c>
      <c r="N7116" s="23" t="str">
        <f>IFERROR(VLOOKUP(A7116, Entries!A:K,11,false),"")</f>
        <v/>
      </c>
    </row>
    <row r="7117">
      <c r="A7117" s="78" t="s">
        <v>8056</v>
      </c>
      <c r="B7117" s="78" t="s">
        <v>22</v>
      </c>
      <c r="C7117" s="85">
        <v>45648.0</v>
      </c>
      <c r="D7117" s="85">
        <v>45648.0</v>
      </c>
      <c r="E7117" s="86">
        <v>16.26</v>
      </c>
      <c r="F7117" s="87">
        <v>21.42</v>
      </c>
      <c r="G7117" s="88">
        <f t="shared" si="1"/>
        <v>5.16</v>
      </c>
      <c r="H7117" s="89">
        <f t="shared" si="18"/>
        <v>0.2408963585</v>
      </c>
      <c r="I7117" s="78" t="s">
        <v>8112</v>
      </c>
      <c r="J7117" s="78" t="s">
        <v>69</v>
      </c>
      <c r="K7117" s="58">
        <f t="shared" si="17"/>
        <v>0</v>
      </c>
      <c r="L7117" s="91" t="str">
        <f t="shared" si="8"/>
        <v>Sun</v>
      </c>
      <c r="M7117" s="78" t="str">
        <f>IFERROR(VLOOKUP(A7117, Entries!A:B,2,false),"")</f>
        <v>Survios</v>
      </c>
      <c r="N7117" s="23" t="str">
        <f>IFERROR(VLOOKUP(A7117, Entries!A:K,11,false),"")</f>
        <v/>
      </c>
    </row>
    <row r="7118">
      <c r="A7118" s="78" t="s">
        <v>8056</v>
      </c>
      <c r="B7118" s="78" t="s">
        <v>22</v>
      </c>
      <c r="C7118" s="85">
        <v>45648.0</v>
      </c>
      <c r="D7118" s="85">
        <v>45648.0</v>
      </c>
      <c r="E7118" s="86">
        <v>16.26</v>
      </c>
      <c r="F7118" s="87">
        <v>21.42</v>
      </c>
      <c r="G7118" s="88">
        <f t="shared" si="1"/>
        <v>5.16</v>
      </c>
      <c r="H7118" s="89">
        <f t="shared" si="18"/>
        <v>0.2408963585</v>
      </c>
      <c r="I7118" s="78" t="s">
        <v>8113</v>
      </c>
      <c r="J7118" s="78" t="s">
        <v>69</v>
      </c>
      <c r="K7118" s="58">
        <f t="shared" si="17"/>
        <v>0</v>
      </c>
      <c r="L7118" s="91" t="str">
        <f t="shared" si="8"/>
        <v>Sun</v>
      </c>
      <c r="M7118" s="78" t="str">
        <f>IFERROR(VLOOKUP(A7118, Entries!A:B,2,false),"")</f>
        <v>Survios</v>
      </c>
      <c r="N7118" s="23" t="str">
        <f>IFERROR(VLOOKUP(A7118, Entries!A:K,11,false),"")</f>
        <v/>
      </c>
    </row>
    <row r="7119">
      <c r="A7119" s="78" t="s">
        <v>8056</v>
      </c>
      <c r="B7119" s="78" t="s">
        <v>22</v>
      </c>
      <c r="C7119" s="85">
        <v>45648.0</v>
      </c>
      <c r="D7119" s="85">
        <v>45648.0</v>
      </c>
      <c r="E7119" s="86">
        <v>16.26</v>
      </c>
      <c r="F7119" s="87">
        <v>21.42</v>
      </c>
      <c r="G7119" s="88">
        <f t="shared" si="1"/>
        <v>5.16</v>
      </c>
      <c r="H7119" s="89">
        <f t="shared" si="18"/>
        <v>0.2408963585</v>
      </c>
      <c r="I7119" s="78" t="s">
        <v>8114</v>
      </c>
      <c r="J7119" s="78" t="s">
        <v>69</v>
      </c>
      <c r="K7119" s="58">
        <f t="shared" si="17"/>
        <v>0</v>
      </c>
      <c r="L7119" s="91" t="str">
        <f t="shared" si="8"/>
        <v>Sun</v>
      </c>
      <c r="M7119" s="78" t="str">
        <f>IFERROR(VLOOKUP(A7119, Entries!A:B,2,false),"")</f>
        <v>Survios</v>
      </c>
      <c r="N7119" s="23" t="str">
        <f>IFERROR(VLOOKUP(A7119, Entries!A:K,11,false),"")</f>
        <v/>
      </c>
    </row>
    <row r="7120">
      <c r="A7120" s="78" t="s">
        <v>8056</v>
      </c>
      <c r="B7120" s="78" t="s">
        <v>22</v>
      </c>
      <c r="C7120" s="85">
        <v>45648.0</v>
      </c>
      <c r="D7120" s="85">
        <v>45648.0</v>
      </c>
      <c r="E7120" s="86">
        <v>16.26</v>
      </c>
      <c r="F7120" s="87">
        <v>21.42</v>
      </c>
      <c r="G7120" s="88">
        <f t="shared" si="1"/>
        <v>5.16</v>
      </c>
      <c r="H7120" s="89">
        <f t="shared" si="18"/>
        <v>0.2408963585</v>
      </c>
      <c r="I7120" s="78" t="s">
        <v>8115</v>
      </c>
      <c r="J7120" s="78" t="s">
        <v>69</v>
      </c>
      <c r="K7120" s="58">
        <f t="shared" si="17"/>
        <v>0</v>
      </c>
      <c r="L7120" s="91" t="str">
        <f t="shared" si="8"/>
        <v>Sun</v>
      </c>
      <c r="M7120" s="78" t="str">
        <f>IFERROR(VLOOKUP(A7120, Entries!A:B,2,false),"")</f>
        <v>Survios</v>
      </c>
      <c r="N7120" s="23" t="str">
        <f>IFERROR(VLOOKUP(A7120, Entries!A:K,11,false),"")</f>
        <v/>
      </c>
    </row>
    <row r="7121">
      <c r="A7121" s="78" t="s">
        <v>8056</v>
      </c>
      <c r="B7121" s="78" t="s">
        <v>22</v>
      </c>
      <c r="C7121" s="85">
        <v>45648.0</v>
      </c>
      <c r="D7121" s="85">
        <v>45648.0</v>
      </c>
      <c r="E7121" s="86">
        <v>16.26</v>
      </c>
      <c r="F7121" s="87">
        <v>21.43</v>
      </c>
      <c r="G7121" s="88">
        <f t="shared" si="1"/>
        <v>5.17</v>
      </c>
      <c r="H7121" s="89">
        <f t="shared" si="18"/>
        <v>0.2412505833</v>
      </c>
      <c r="I7121" s="78" t="s">
        <v>8116</v>
      </c>
      <c r="J7121" s="78" t="s">
        <v>69</v>
      </c>
      <c r="K7121" s="58">
        <f t="shared" si="17"/>
        <v>0</v>
      </c>
      <c r="L7121" s="91" t="str">
        <f t="shared" si="8"/>
        <v>Sun</v>
      </c>
      <c r="M7121" s="78" t="str">
        <f>IFERROR(VLOOKUP(A7121, Entries!A:B,2,false),"")</f>
        <v>Survios</v>
      </c>
      <c r="N7121" s="23" t="str">
        <f>IFERROR(VLOOKUP(A7121, Entries!A:K,11,false),"")</f>
        <v/>
      </c>
    </row>
    <row r="7122">
      <c r="A7122" s="78" t="s">
        <v>8056</v>
      </c>
      <c r="B7122" s="78" t="s">
        <v>22</v>
      </c>
      <c r="C7122" s="85">
        <v>45648.0</v>
      </c>
      <c r="D7122" s="85">
        <v>45648.0</v>
      </c>
      <c r="E7122" s="86">
        <v>16.26</v>
      </c>
      <c r="F7122" s="87">
        <v>21.43</v>
      </c>
      <c r="G7122" s="88">
        <f t="shared" si="1"/>
        <v>5.17</v>
      </c>
      <c r="H7122" s="89">
        <f t="shared" si="18"/>
        <v>0.2412505833</v>
      </c>
      <c r="I7122" s="78" t="s">
        <v>8117</v>
      </c>
      <c r="J7122" s="78" t="s">
        <v>69</v>
      </c>
      <c r="K7122" s="58">
        <f t="shared" si="17"/>
        <v>0</v>
      </c>
      <c r="L7122" s="91" t="str">
        <f t="shared" si="8"/>
        <v>Sun</v>
      </c>
      <c r="M7122" s="78" t="str">
        <f>IFERROR(VLOOKUP(A7122, Entries!A:B,2,false),"")</f>
        <v>Survios</v>
      </c>
      <c r="N7122" s="23" t="str">
        <f>IFERROR(VLOOKUP(A7122, Entries!A:K,11,false),"")</f>
        <v/>
      </c>
    </row>
    <row r="7123">
      <c r="A7123" s="78" t="s">
        <v>8056</v>
      </c>
      <c r="B7123" s="78" t="s">
        <v>22</v>
      </c>
      <c r="C7123" s="85">
        <v>45648.0</v>
      </c>
      <c r="D7123" s="85">
        <v>45648.0</v>
      </c>
      <c r="E7123" s="86">
        <v>16.26</v>
      </c>
      <c r="F7123" s="87">
        <v>21.43</v>
      </c>
      <c r="G7123" s="88">
        <f t="shared" si="1"/>
        <v>5.17</v>
      </c>
      <c r="H7123" s="89">
        <f t="shared" si="18"/>
        <v>0.2412505833</v>
      </c>
      <c r="I7123" s="78" t="s">
        <v>8118</v>
      </c>
      <c r="J7123" s="78" t="s">
        <v>69</v>
      </c>
      <c r="K7123" s="58">
        <f t="shared" si="17"/>
        <v>0</v>
      </c>
      <c r="L7123" s="91" t="str">
        <f t="shared" si="8"/>
        <v>Sun</v>
      </c>
      <c r="M7123" s="78" t="str">
        <f>IFERROR(VLOOKUP(A7123, Entries!A:B,2,false),"")</f>
        <v>Survios</v>
      </c>
      <c r="N7123" s="23" t="str">
        <f>IFERROR(VLOOKUP(A7123, Entries!A:K,11,false),"")</f>
        <v/>
      </c>
    </row>
    <row r="7124">
      <c r="A7124" s="78" t="s">
        <v>8056</v>
      </c>
      <c r="B7124" s="78" t="s">
        <v>22</v>
      </c>
      <c r="C7124" s="85">
        <v>45648.0</v>
      </c>
      <c r="D7124" s="85">
        <v>45648.0</v>
      </c>
      <c r="E7124" s="86">
        <v>16.26</v>
      </c>
      <c r="F7124" s="87">
        <v>21.43</v>
      </c>
      <c r="G7124" s="88">
        <f t="shared" si="1"/>
        <v>5.17</v>
      </c>
      <c r="H7124" s="89">
        <f t="shared" si="18"/>
        <v>0.2412505833</v>
      </c>
      <c r="I7124" s="78" t="s">
        <v>8119</v>
      </c>
      <c r="J7124" s="78" t="s">
        <v>69</v>
      </c>
      <c r="K7124" s="58">
        <f t="shared" si="17"/>
        <v>0</v>
      </c>
      <c r="L7124" s="91" t="str">
        <f t="shared" si="8"/>
        <v>Sun</v>
      </c>
      <c r="M7124" s="78" t="str">
        <f>IFERROR(VLOOKUP(A7124, Entries!A:B,2,false),"")</f>
        <v>Survios</v>
      </c>
      <c r="N7124" s="23" t="str">
        <f>IFERROR(VLOOKUP(A7124, Entries!A:K,11,false),"")</f>
        <v/>
      </c>
    </row>
    <row r="7125">
      <c r="A7125" s="78" t="s">
        <v>8056</v>
      </c>
      <c r="B7125" s="78" t="s">
        <v>22</v>
      </c>
      <c r="C7125" s="85">
        <v>45648.0</v>
      </c>
      <c r="D7125" s="85">
        <v>45648.0</v>
      </c>
      <c r="E7125" s="86">
        <v>16.26</v>
      </c>
      <c r="F7125" s="87">
        <v>22.77</v>
      </c>
      <c r="G7125" s="88">
        <f t="shared" si="1"/>
        <v>6.51</v>
      </c>
      <c r="H7125" s="89">
        <f t="shared" si="18"/>
        <v>0.2859025033</v>
      </c>
      <c r="I7125" s="78" t="s">
        <v>8120</v>
      </c>
      <c r="J7125" s="78" t="s">
        <v>69</v>
      </c>
      <c r="K7125" s="58">
        <f t="shared" si="17"/>
        <v>0</v>
      </c>
      <c r="L7125" s="91" t="str">
        <f t="shared" si="8"/>
        <v>Sun</v>
      </c>
      <c r="M7125" s="78" t="str">
        <f>IFERROR(VLOOKUP(A7125, Entries!A:B,2,false),"")</f>
        <v>Survios</v>
      </c>
      <c r="N7125" s="23" t="str">
        <f>IFERROR(VLOOKUP(A7125, Entries!A:K,11,false),"")</f>
        <v/>
      </c>
    </row>
    <row r="7126">
      <c r="A7126" s="78" t="s">
        <v>8056</v>
      </c>
      <c r="B7126" s="78" t="s">
        <v>22</v>
      </c>
      <c r="C7126" s="85">
        <v>45648.0</v>
      </c>
      <c r="D7126" s="85">
        <v>45648.0</v>
      </c>
      <c r="E7126" s="86">
        <v>16.24</v>
      </c>
      <c r="F7126" s="87">
        <v>22.69</v>
      </c>
      <c r="G7126" s="88">
        <f t="shared" si="1"/>
        <v>6.45</v>
      </c>
      <c r="H7126" s="89">
        <f t="shared" si="18"/>
        <v>0.2842661966</v>
      </c>
      <c r="I7126" s="78" t="s">
        <v>8121</v>
      </c>
      <c r="J7126" s="78" t="s">
        <v>69</v>
      </c>
      <c r="K7126" s="58">
        <f t="shared" si="17"/>
        <v>0</v>
      </c>
      <c r="L7126" s="91" t="str">
        <f t="shared" si="8"/>
        <v>Sun</v>
      </c>
      <c r="M7126" s="78" t="str">
        <f>IFERROR(VLOOKUP(A7126, Entries!A:B,2,false),"")</f>
        <v>Survios</v>
      </c>
      <c r="N7126" s="23" t="str">
        <f>IFERROR(VLOOKUP(A7126, Entries!A:K,11,false),"")</f>
        <v/>
      </c>
    </row>
    <row r="7127">
      <c r="A7127" s="78" t="s">
        <v>8046</v>
      </c>
      <c r="B7127" s="78" t="s">
        <v>22</v>
      </c>
      <c r="C7127" s="85">
        <v>45648.0</v>
      </c>
      <c r="D7127" s="85">
        <v>45648.0</v>
      </c>
      <c r="E7127" s="86">
        <v>7.27</v>
      </c>
      <c r="F7127" s="87">
        <v>8.62</v>
      </c>
      <c r="G7127" s="88">
        <f t="shared" si="1"/>
        <v>1.35</v>
      </c>
      <c r="H7127" s="89">
        <f t="shared" si="18"/>
        <v>0.156612529</v>
      </c>
      <c r="I7127" s="78" t="s">
        <v>8122</v>
      </c>
      <c r="J7127" s="78" t="s">
        <v>69</v>
      </c>
      <c r="K7127" s="58">
        <f t="shared" si="17"/>
        <v>0</v>
      </c>
      <c r="L7127" s="91" t="str">
        <f t="shared" si="8"/>
        <v>Sun</v>
      </c>
      <c r="M7127" s="78" t="str">
        <f>IFERROR(VLOOKUP(A7127, Entries!A:B,2,false),"")</f>
        <v/>
      </c>
      <c r="N7127" s="23" t="str">
        <f>IFERROR(VLOOKUP(A7127, Entries!A:K,11,false),"")</f>
        <v/>
      </c>
    </row>
    <row r="7128">
      <c r="A7128" s="78" t="s">
        <v>8046</v>
      </c>
      <c r="B7128" s="78" t="s">
        <v>22</v>
      </c>
      <c r="C7128" s="85">
        <v>45648.0</v>
      </c>
      <c r="D7128" s="85">
        <v>45648.0</v>
      </c>
      <c r="E7128" s="86">
        <v>7.27</v>
      </c>
      <c r="F7128" s="87">
        <v>8.62</v>
      </c>
      <c r="G7128" s="88">
        <f t="shared" si="1"/>
        <v>1.35</v>
      </c>
      <c r="H7128" s="89">
        <f t="shared" si="18"/>
        <v>0.156612529</v>
      </c>
      <c r="I7128" s="78" t="s">
        <v>8123</v>
      </c>
      <c r="J7128" s="78" t="s">
        <v>69</v>
      </c>
      <c r="K7128" s="58">
        <f t="shared" si="17"/>
        <v>0</v>
      </c>
      <c r="L7128" s="91" t="str">
        <f t="shared" si="8"/>
        <v>Sun</v>
      </c>
      <c r="M7128" s="78" t="str">
        <f>IFERROR(VLOOKUP(A7128, Entries!A:B,2,false),"")</f>
        <v/>
      </c>
      <c r="N7128" s="23" t="str">
        <f>IFERROR(VLOOKUP(A7128, Entries!A:K,11,false),"")</f>
        <v/>
      </c>
    </row>
    <row r="7129">
      <c r="A7129" s="78" t="s">
        <v>8046</v>
      </c>
      <c r="B7129" s="78" t="s">
        <v>22</v>
      </c>
      <c r="C7129" s="85">
        <v>45648.0</v>
      </c>
      <c r="D7129" s="85">
        <v>45648.0</v>
      </c>
      <c r="E7129" s="86">
        <v>7.27</v>
      </c>
      <c r="F7129" s="87">
        <v>8.59</v>
      </c>
      <c r="G7129" s="88">
        <f t="shared" si="1"/>
        <v>1.32</v>
      </c>
      <c r="H7129" s="89">
        <f t="shared" si="18"/>
        <v>0.1536670547</v>
      </c>
      <c r="I7129" s="78" t="s">
        <v>8124</v>
      </c>
      <c r="J7129" s="78" t="s">
        <v>69</v>
      </c>
      <c r="K7129" s="58">
        <f t="shared" si="17"/>
        <v>0</v>
      </c>
      <c r="L7129" s="91" t="str">
        <f t="shared" si="8"/>
        <v>Sun</v>
      </c>
      <c r="M7129" s="78" t="str">
        <f>IFERROR(VLOOKUP(A7129, Entries!A:B,2,false),"")</f>
        <v/>
      </c>
      <c r="N7129" s="23" t="str">
        <f>IFERROR(VLOOKUP(A7129, Entries!A:K,11,false),"")</f>
        <v/>
      </c>
    </row>
    <row r="7130">
      <c r="A7130" s="78" t="s">
        <v>8056</v>
      </c>
      <c r="B7130" s="78" t="s">
        <v>22</v>
      </c>
      <c r="C7130" s="85">
        <v>45648.0</v>
      </c>
      <c r="D7130" s="85">
        <v>45648.0</v>
      </c>
      <c r="E7130" s="86">
        <v>16.26</v>
      </c>
      <c r="F7130" s="87">
        <v>22.69</v>
      </c>
      <c r="G7130" s="88">
        <f t="shared" si="1"/>
        <v>6.43</v>
      </c>
      <c r="H7130" s="89">
        <f t="shared" si="18"/>
        <v>0.283384751</v>
      </c>
      <c r="I7130" s="78" t="s">
        <v>8125</v>
      </c>
      <c r="J7130" s="78" t="s">
        <v>69</v>
      </c>
      <c r="K7130" s="58">
        <f t="shared" si="17"/>
        <v>0</v>
      </c>
      <c r="L7130" s="91" t="str">
        <f t="shared" si="8"/>
        <v>Sun</v>
      </c>
      <c r="M7130" s="78" t="str">
        <f>IFERROR(VLOOKUP(A7130, Entries!A:B,2,false),"")</f>
        <v>Survios</v>
      </c>
      <c r="N7130" s="23" t="str">
        <f>IFERROR(VLOOKUP(A7130, Entries!A:K,11,false),"")</f>
        <v/>
      </c>
    </row>
    <row r="7131">
      <c r="A7131" s="78" t="s">
        <v>8056</v>
      </c>
      <c r="B7131" s="78" t="s">
        <v>22</v>
      </c>
      <c r="C7131" s="85">
        <v>45648.0</v>
      </c>
      <c r="D7131" s="85">
        <v>45648.0</v>
      </c>
      <c r="E7131" s="86">
        <v>16.26</v>
      </c>
      <c r="F7131" s="87">
        <v>22.69</v>
      </c>
      <c r="G7131" s="88">
        <f t="shared" si="1"/>
        <v>6.43</v>
      </c>
      <c r="H7131" s="89">
        <f t="shared" si="18"/>
        <v>0.283384751</v>
      </c>
      <c r="I7131" s="78" t="s">
        <v>8126</v>
      </c>
      <c r="J7131" s="78" t="s">
        <v>69</v>
      </c>
      <c r="K7131" s="58">
        <f t="shared" si="17"/>
        <v>0</v>
      </c>
      <c r="L7131" s="91" t="str">
        <f t="shared" si="8"/>
        <v>Sun</v>
      </c>
      <c r="M7131" s="78" t="str">
        <f>IFERROR(VLOOKUP(A7131, Entries!A:B,2,false),"")</f>
        <v>Survios</v>
      </c>
      <c r="N7131" s="23" t="str">
        <f>IFERROR(VLOOKUP(A7131, Entries!A:K,11,false),"")</f>
        <v/>
      </c>
    </row>
    <row r="7132">
      <c r="A7132" s="78" t="s">
        <v>8056</v>
      </c>
      <c r="B7132" s="78" t="s">
        <v>22</v>
      </c>
      <c r="C7132" s="85">
        <v>45648.0</v>
      </c>
      <c r="D7132" s="85">
        <v>45649.0</v>
      </c>
      <c r="E7132" s="86">
        <v>16.26</v>
      </c>
      <c r="F7132" s="87">
        <v>22.69</v>
      </c>
      <c r="G7132" s="88">
        <f t="shared" si="1"/>
        <v>6.43</v>
      </c>
      <c r="H7132" s="89">
        <f t="shared" si="18"/>
        <v>0.283384751</v>
      </c>
      <c r="I7132" s="78" t="s">
        <v>8127</v>
      </c>
      <c r="J7132" s="78" t="s">
        <v>69</v>
      </c>
      <c r="K7132" s="58">
        <f t="shared" si="17"/>
        <v>1</v>
      </c>
      <c r="L7132" s="91" t="str">
        <f t="shared" si="8"/>
        <v>Mon</v>
      </c>
      <c r="M7132" s="78" t="str">
        <f>IFERROR(VLOOKUP(A7132, Entries!A:B,2,false),"")</f>
        <v>Survios</v>
      </c>
      <c r="N7132" s="23" t="str">
        <f>IFERROR(VLOOKUP(A7132, Entries!A:K,11,false),"")</f>
        <v/>
      </c>
    </row>
    <row r="7133">
      <c r="A7133" s="78" t="s">
        <v>8056</v>
      </c>
      <c r="B7133" s="78" t="s">
        <v>22</v>
      </c>
      <c r="C7133" s="85">
        <v>45648.0</v>
      </c>
      <c r="D7133" s="85">
        <v>45649.0</v>
      </c>
      <c r="E7133" s="86">
        <v>16.26</v>
      </c>
      <c r="F7133" s="87">
        <v>22.69</v>
      </c>
      <c r="G7133" s="88">
        <f t="shared" si="1"/>
        <v>6.43</v>
      </c>
      <c r="H7133" s="89">
        <f t="shared" si="18"/>
        <v>0.283384751</v>
      </c>
      <c r="I7133" s="78" t="s">
        <v>8128</v>
      </c>
      <c r="J7133" s="78" t="s">
        <v>69</v>
      </c>
      <c r="K7133" s="58">
        <f t="shared" si="17"/>
        <v>1</v>
      </c>
      <c r="L7133" s="91" t="str">
        <f t="shared" si="8"/>
        <v>Mon</v>
      </c>
      <c r="M7133" s="78" t="str">
        <f>IFERROR(VLOOKUP(A7133, Entries!A:B,2,false),"")</f>
        <v>Survios</v>
      </c>
      <c r="N7133" s="23" t="str">
        <f>IFERROR(VLOOKUP(A7133, Entries!A:K,11,false),"")</f>
        <v/>
      </c>
    </row>
    <row r="7134">
      <c r="A7134" s="78" t="s">
        <v>8056</v>
      </c>
      <c r="B7134" s="78" t="s">
        <v>22</v>
      </c>
      <c r="C7134" s="85">
        <v>45648.0</v>
      </c>
      <c r="D7134" s="85">
        <v>45649.0</v>
      </c>
      <c r="E7134" s="86">
        <v>16.26</v>
      </c>
      <c r="F7134" s="87">
        <v>22.33</v>
      </c>
      <c r="G7134" s="88">
        <f t="shared" si="1"/>
        <v>6.07</v>
      </c>
      <c r="H7134" s="89">
        <f t="shared" si="18"/>
        <v>0.2718316167</v>
      </c>
      <c r="I7134" s="78" t="s">
        <v>8129</v>
      </c>
      <c r="J7134" s="78" t="s">
        <v>69</v>
      </c>
      <c r="K7134" s="58">
        <f t="shared" si="17"/>
        <v>1</v>
      </c>
      <c r="L7134" s="91" t="str">
        <f t="shared" si="8"/>
        <v>Mon</v>
      </c>
      <c r="M7134" s="78" t="str">
        <f>IFERROR(VLOOKUP(A7134, Entries!A:B,2,false),"")</f>
        <v>Survios</v>
      </c>
      <c r="N7134" s="23" t="str">
        <f>IFERROR(VLOOKUP(A7134, Entries!A:K,11,false),"")</f>
        <v/>
      </c>
    </row>
    <row r="7135">
      <c r="A7135" s="78" t="s">
        <v>8056</v>
      </c>
      <c r="B7135" s="78" t="s">
        <v>22</v>
      </c>
      <c r="C7135" s="85">
        <v>45648.0</v>
      </c>
      <c r="D7135" s="85">
        <v>45649.0</v>
      </c>
      <c r="E7135" s="86">
        <v>16.26</v>
      </c>
      <c r="F7135" s="87">
        <v>22.33</v>
      </c>
      <c r="G7135" s="88">
        <f t="shared" si="1"/>
        <v>6.07</v>
      </c>
      <c r="H7135" s="89">
        <f t="shared" si="18"/>
        <v>0.2718316167</v>
      </c>
      <c r="I7135" s="78" t="s">
        <v>8130</v>
      </c>
      <c r="J7135" s="78" t="s">
        <v>69</v>
      </c>
      <c r="K7135" s="58">
        <f t="shared" si="17"/>
        <v>1</v>
      </c>
      <c r="L7135" s="91" t="str">
        <f t="shared" si="8"/>
        <v>Mon</v>
      </c>
      <c r="M7135" s="78" t="str">
        <f>IFERROR(VLOOKUP(A7135, Entries!A:B,2,false),"")</f>
        <v>Survios</v>
      </c>
      <c r="N7135" s="23" t="str">
        <f>IFERROR(VLOOKUP(A7135, Entries!A:K,11,false),"")</f>
        <v/>
      </c>
    </row>
    <row r="7136">
      <c r="A7136" s="78" t="s">
        <v>8056</v>
      </c>
      <c r="B7136" s="78" t="s">
        <v>22</v>
      </c>
      <c r="C7136" s="85">
        <v>45648.0</v>
      </c>
      <c r="D7136" s="85">
        <v>45649.0</v>
      </c>
      <c r="E7136" s="86">
        <v>16.24</v>
      </c>
      <c r="F7136" s="87">
        <v>22.25</v>
      </c>
      <c r="G7136" s="88">
        <f t="shared" si="1"/>
        <v>6.01</v>
      </c>
      <c r="H7136" s="89">
        <f t="shared" si="18"/>
        <v>0.2701123596</v>
      </c>
      <c r="I7136" s="78" t="s">
        <v>8131</v>
      </c>
      <c r="J7136" s="78" t="s">
        <v>69</v>
      </c>
      <c r="K7136" s="58">
        <f t="shared" si="17"/>
        <v>1</v>
      </c>
      <c r="L7136" s="91" t="str">
        <f t="shared" si="8"/>
        <v>Mon</v>
      </c>
      <c r="M7136" s="78" t="str">
        <f>IFERROR(VLOOKUP(A7136, Entries!A:B,2,false),"")</f>
        <v>Survios</v>
      </c>
      <c r="N7136" s="23" t="str">
        <f>IFERROR(VLOOKUP(A7136, Entries!A:K,11,false),"")</f>
        <v/>
      </c>
    </row>
    <row r="7137">
      <c r="A7137" s="78" t="s">
        <v>8056</v>
      </c>
      <c r="B7137" s="78" t="s">
        <v>22</v>
      </c>
      <c r="C7137" s="85">
        <v>45648.0</v>
      </c>
      <c r="D7137" s="85">
        <v>45649.0</v>
      </c>
      <c r="E7137" s="86">
        <v>16.26</v>
      </c>
      <c r="F7137" s="87">
        <v>21.93</v>
      </c>
      <c r="G7137" s="88">
        <f t="shared" si="1"/>
        <v>5.67</v>
      </c>
      <c r="H7137" s="89">
        <f t="shared" si="18"/>
        <v>0.2585499316</v>
      </c>
      <c r="I7137" s="78" t="s">
        <v>8132</v>
      </c>
      <c r="J7137" s="78" t="s">
        <v>69</v>
      </c>
      <c r="K7137" s="58">
        <f t="shared" si="17"/>
        <v>1</v>
      </c>
      <c r="L7137" s="91" t="str">
        <f t="shared" si="8"/>
        <v>Mon</v>
      </c>
      <c r="M7137" s="78" t="str">
        <f>IFERROR(VLOOKUP(A7137, Entries!A:B,2,false),"")</f>
        <v>Survios</v>
      </c>
      <c r="N7137" s="23" t="str">
        <f>IFERROR(VLOOKUP(A7137, Entries!A:K,11,false),"")</f>
        <v/>
      </c>
    </row>
    <row r="7138">
      <c r="A7138" s="78" t="s">
        <v>8056</v>
      </c>
      <c r="B7138" s="78" t="s">
        <v>22</v>
      </c>
      <c r="C7138" s="85">
        <v>45648.0</v>
      </c>
      <c r="D7138" s="85">
        <v>45649.0</v>
      </c>
      <c r="E7138" s="86">
        <v>16.26</v>
      </c>
      <c r="F7138" s="87">
        <v>21.93</v>
      </c>
      <c r="G7138" s="88">
        <f t="shared" si="1"/>
        <v>5.67</v>
      </c>
      <c r="H7138" s="89">
        <f t="shared" si="18"/>
        <v>0.2585499316</v>
      </c>
      <c r="I7138" s="78" t="s">
        <v>8133</v>
      </c>
      <c r="J7138" s="78" t="s">
        <v>69</v>
      </c>
      <c r="K7138" s="58">
        <f t="shared" si="17"/>
        <v>1</v>
      </c>
      <c r="L7138" s="91" t="str">
        <f t="shared" si="8"/>
        <v>Mon</v>
      </c>
      <c r="M7138" s="78" t="str">
        <f>IFERROR(VLOOKUP(A7138, Entries!A:B,2,false),"")</f>
        <v>Survios</v>
      </c>
      <c r="N7138" s="23" t="str">
        <f>IFERROR(VLOOKUP(A7138, Entries!A:K,11,false),"")</f>
        <v/>
      </c>
    </row>
    <row r="7139">
      <c r="A7139" s="78" t="s">
        <v>8056</v>
      </c>
      <c r="B7139" s="78" t="s">
        <v>22</v>
      </c>
      <c r="C7139" s="85">
        <v>45648.0</v>
      </c>
      <c r="D7139" s="85">
        <v>45649.0</v>
      </c>
      <c r="E7139" s="86">
        <v>16.26</v>
      </c>
      <c r="F7139" s="87">
        <v>21.93</v>
      </c>
      <c r="G7139" s="88">
        <f t="shared" si="1"/>
        <v>5.67</v>
      </c>
      <c r="H7139" s="89">
        <f t="shared" si="18"/>
        <v>0.2585499316</v>
      </c>
      <c r="I7139" s="78" t="s">
        <v>8134</v>
      </c>
      <c r="J7139" s="78" t="s">
        <v>69</v>
      </c>
      <c r="K7139" s="58">
        <f t="shared" si="17"/>
        <v>1</v>
      </c>
      <c r="L7139" s="91" t="str">
        <f t="shared" si="8"/>
        <v>Mon</v>
      </c>
      <c r="M7139" s="78" t="str">
        <f>IFERROR(VLOOKUP(A7139, Entries!A:B,2,false),"")</f>
        <v>Survios</v>
      </c>
      <c r="N7139" s="23" t="str">
        <f>IFERROR(VLOOKUP(A7139, Entries!A:K,11,false),"")</f>
        <v/>
      </c>
    </row>
    <row r="7140">
      <c r="A7140" s="78" t="s">
        <v>8046</v>
      </c>
      <c r="B7140" s="78" t="s">
        <v>22</v>
      </c>
      <c r="C7140" s="85">
        <v>45648.0</v>
      </c>
      <c r="D7140" s="85">
        <v>45648.0</v>
      </c>
      <c r="E7140" s="86">
        <v>7.27</v>
      </c>
      <c r="F7140" s="87">
        <v>8.59</v>
      </c>
      <c r="G7140" s="88">
        <f t="shared" si="1"/>
        <v>1.32</v>
      </c>
      <c r="H7140" s="89">
        <f t="shared" si="18"/>
        <v>0.1536670547</v>
      </c>
      <c r="I7140" s="78" t="s">
        <v>8135</v>
      </c>
      <c r="J7140" s="78" t="s">
        <v>69</v>
      </c>
      <c r="K7140" s="58">
        <f t="shared" si="17"/>
        <v>0</v>
      </c>
      <c r="L7140" s="91" t="str">
        <f t="shared" si="8"/>
        <v>Sun</v>
      </c>
      <c r="M7140" s="78" t="str">
        <f>IFERROR(VLOOKUP(A7140, Entries!A:B,2,false),"")</f>
        <v/>
      </c>
      <c r="N7140" s="23" t="str">
        <f>IFERROR(VLOOKUP(A7140, Entries!A:K,11,false),"")</f>
        <v/>
      </c>
    </row>
    <row r="7141">
      <c r="A7141" s="78" t="s">
        <v>8046</v>
      </c>
      <c r="B7141" s="78" t="s">
        <v>22</v>
      </c>
      <c r="C7141" s="85">
        <v>45648.0</v>
      </c>
      <c r="D7141" s="85">
        <v>45648.0</v>
      </c>
      <c r="E7141" s="86">
        <v>7.27</v>
      </c>
      <c r="F7141" s="87">
        <v>8.59</v>
      </c>
      <c r="G7141" s="88">
        <f t="shared" si="1"/>
        <v>1.32</v>
      </c>
      <c r="H7141" s="89">
        <f t="shared" si="18"/>
        <v>0.1536670547</v>
      </c>
      <c r="I7141" s="78" t="s">
        <v>8136</v>
      </c>
      <c r="J7141" s="78" t="s">
        <v>69</v>
      </c>
      <c r="K7141" s="58">
        <f t="shared" si="17"/>
        <v>0</v>
      </c>
      <c r="L7141" s="91" t="str">
        <f t="shared" si="8"/>
        <v>Sun</v>
      </c>
      <c r="M7141" s="78" t="str">
        <f>IFERROR(VLOOKUP(A7141, Entries!A:B,2,false),"")</f>
        <v/>
      </c>
      <c r="N7141" s="23" t="str">
        <f>IFERROR(VLOOKUP(A7141, Entries!A:K,11,false),"")</f>
        <v/>
      </c>
    </row>
    <row r="7142">
      <c r="A7142" s="78" t="s">
        <v>8046</v>
      </c>
      <c r="B7142" s="78" t="s">
        <v>22</v>
      </c>
      <c r="C7142" s="85">
        <v>45648.0</v>
      </c>
      <c r="D7142" s="85">
        <v>45648.0</v>
      </c>
      <c r="E7142" s="86">
        <v>7.28</v>
      </c>
      <c r="F7142" s="87">
        <v>8.59</v>
      </c>
      <c r="G7142" s="88">
        <f t="shared" si="1"/>
        <v>1.31</v>
      </c>
      <c r="H7142" s="89">
        <f t="shared" si="18"/>
        <v>0.1525029104</v>
      </c>
      <c r="I7142" s="78" t="s">
        <v>8137</v>
      </c>
      <c r="J7142" s="78" t="s">
        <v>69</v>
      </c>
      <c r="K7142" s="58">
        <f t="shared" si="17"/>
        <v>0</v>
      </c>
      <c r="L7142" s="91" t="str">
        <f t="shared" si="8"/>
        <v>Sun</v>
      </c>
      <c r="M7142" s="78" t="str">
        <f>IFERROR(VLOOKUP(A7142, Entries!A:B,2,false),"")</f>
        <v/>
      </c>
      <c r="N7142" s="23" t="str">
        <f>IFERROR(VLOOKUP(A7142, Entries!A:K,11,false),"")</f>
        <v/>
      </c>
    </row>
    <row r="7143">
      <c r="A7143" s="78" t="s">
        <v>2466</v>
      </c>
      <c r="B7143" s="78" t="s">
        <v>19</v>
      </c>
      <c r="C7143" s="85">
        <v>45648.0</v>
      </c>
      <c r="D7143" s="85">
        <v>45649.0</v>
      </c>
      <c r="E7143" s="86">
        <v>7.18</v>
      </c>
      <c r="F7143" s="87">
        <v>7.44</v>
      </c>
      <c r="G7143" s="88">
        <f t="shared" si="1"/>
        <v>0.26</v>
      </c>
      <c r="H7143" s="89">
        <f t="shared" si="18"/>
        <v>0.03494623656</v>
      </c>
      <c r="I7143" s="78" t="s">
        <v>8138</v>
      </c>
      <c r="J7143" s="78" t="s">
        <v>69</v>
      </c>
      <c r="K7143" s="58">
        <f t="shared" si="17"/>
        <v>1</v>
      </c>
      <c r="L7143" s="91" t="str">
        <f t="shared" si="8"/>
        <v>Mon</v>
      </c>
      <c r="M7143" s="78" t="str">
        <f>IFERROR(VLOOKUP(A7143, Entries!A:B,2,false),"")</f>
        <v>Bethesda Softworks</v>
      </c>
      <c r="N7143" s="23" t="str">
        <f>IFERROR(VLOOKUP(A7143, Entries!A:K,11,false),"")</f>
        <v/>
      </c>
    </row>
    <row r="7144">
      <c r="A7144" s="78" t="s">
        <v>1786</v>
      </c>
      <c r="B7144" s="78" t="s">
        <v>19</v>
      </c>
      <c r="C7144" s="85">
        <v>45648.0</v>
      </c>
      <c r="D7144" s="85">
        <v>45649.0</v>
      </c>
      <c r="E7144" s="86">
        <v>7.18</v>
      </c>
      <c r="F7144" s="87">
        <v>10.35</v>
      </c>
      <c r="G7144" s="88">
        <f t="shared" si="1"/>
        <v>3.17</v>
      </c>
      <c r="H7144" s="89">
        <f t="shared" si="18"/>
        <v>0.3062801932</v>
      </c>
      <c r="I7144" s="78" t="s">
        <v>8139</v>
      </c>
      <c r="J7144" s="78" t="s">
        <v>69</v>
      </c>
      <c r="K7144" s="58">
        <f t="shared" si="17"/>
        <v>1</v>
      </c>
      <c r="L7144" s="91" t="str">
        <f t="shared" si="8"/>
        <v>Mon</v>
      </c>
      <c r="M7144" s="78" t="str">
        <f>IFERROR(VLOOKUP(A7144, Entries!A:B,2,false),"")</f>
        <v>Bethesda Softworks</v>
      </c>
      <c r="N7144" s="23" t="str">
        <f>IFERROR(VLOOKUP(A7144, Entries!A:K,11,false),"")</f>
        <v/>
      </c>
    </row>
    <row r="7145">
      <c r="A7145" s="78" t="s">
        <v>8140</v>
      </c>
      <c r="B7145" s="78" t="s">
        <v>19</v>
      </c>
      <c r="C7145" s="85">
        <v>45648.0</v>
      </c>
      <c r="D7145" s="85">
        <v>45690.0</v>
      </c>
      <c r="E7145" s="86">
        <v>7.19</v>
      </c>
      <c r="F7145" s="87">
        <v>8.13</v>
      </c>
      <c r="G7145" s="88">
        <f t="shared" si="1"/>
        <v>0.94</v>
      </c>
      <c r="H7145" s="89">
        <f t="shared" si="18"/>
        <v>0.1156211562</v>
      </c>
      <c r="I7145" s="78" t="s">
        <v>8141</v>
      </c>
      <c r="J7145" s="78" t="s">
        <v>69</v>
      </c>
      <c r="K7145" s="58">
        <f t="shared" si="17"/>
        <v>42</v>
      </c>
      <c r="L7145" s="91" t="str">
        <f t="shared" si="8"/>
        <v>Sun</v>
      </c>
      <c r="M7145" s="78" t="str">
        <f>IFERROR(VLOOKUP(A7145, Entries!A:B,2,false),"")</f>
        <v/>
      </c>
      <c r="N7145" s="23" t="str">
        <f>IFERROR(VLOOKUP(A7145, Entries!A:K,11,false),"")</f>
        <v/>
      </c>
    </row>
    <row r="7146">
      <c r="A7146" s="78" t="s">
        <v>8142</v>
      </c>
      <c r="B7146" s="78" t="s">
        <v>19</v>
      </c>
      <c r="C7146" s="85">
        <v>45648.0</v>
      </c>
      <c r="D7146" s="85">
        <v>45651.0</v>
      </c>
      <c r="E7146" s="86">
        <v>0.0</v>
      </c>
      <c r="F7146" s="87">
        <v>1.71</v>
      </c>
      <c r="G7146" s="88">
        <f t="shared" si="1"/>
        <v>1.71</v>
      </c>
      <c r="H7146" s="89">
        <f t="shared" si="18"/>
        <v>1</v>
      </c>
      <c r="I7146" s="78" t="s">
        <v>8143</v>
      </c>
      <c r="J7146" s="78" t="s">
        <v>69</v>
      </c>
      <c r="K7146" s="58">
        <f t="shared" si="17"/>
        <v>3</v>
      </c>
      <c r="L7146" s="91" t="str">
        <f t="shared" si="8"/>
        <v>Wed</v>
      </c>
      <c r="M7146" s="78" t="str">
        <f>IFERROR(VLOOKUP(A7146, Entries!A:B,2,false),"")</f>
        <v/>
      </c>
      <c r="N7146" s="23" t="str">
        <f>IFERROR(VLOOKUP(A7146, Entries!A:K,11,false),"")</f>
        <v/>
      </c>
    </row>
    <row r="7147">
      <c r="A7147" s="78" t="s">
        <v>8046</v>
      </c>
      <c r="B7147" s="78" t="s">
        <v>22</v>
      </c>
      <c r="C7147" s="85">
        <v>45648.0</v>
      </c>
      <c r="D7147" s="85">
        <v>45650.0</v>
      </c>
      <c r="E7147" s="86">
        <v>7.27</v>
      </c>
      <c r="F7147" s="87">
        <v>8.55</v>
      </c>
      <c r="G7147" s="88">
        <f t="shared" si="1"/>
        <v>1.28</v>
      </c>
      <c r="H7147" s="89">
        <f t="shared" si="18"/>
        <v>0.1497076023</v>
      </c>
      <c r="I7147" s="78" t="s">
        <v>8144</v>
      </c>
      <c r="J7147" s="78" t="s">
        <v>69</v>
      </c>
      <c r="K7147" s="58">
        <f t="shared" si="17"/>
        <v>2</v>
      </c>
      <c r="L7147" s="91" t="str">
        <f t="shared" si="8"/>
        <v>Tue</v>
      </c>
      <c r="M7147" s="78" t="str">
        <f>IFERROR(VLOOKUP(A7147, Entries!A:B,2,false),"")</f>
        <v/>
      </c>
      <c r="N7147" s="23" t="str">
        <f>IFERROR(VLOOKUP(A7147, Entries!A:K,11,false),"")</f>
        <v/>
      </c>
    </row>
    <row r="7148">
      <c r="A7148" s="78" t="s">
        <v>8046</v>
      </c>
      <c r="B7148" s="78" t="s">
        <v>22</v>
      </c>
      <c r="C7148" s="85">
        <v>45648.0</v>
      </c>
      <c r="D7148" s="85">
        <v>45650.0</v>
      </c>
      <c r="E7148" s="86">
        <v>7.28</v>
      </c>
      <c r="F7148" s="87">
        <v>8.55</v>
      </c>
      <c r="G7148" s="88">
        <f t="shared" si="1"/>
        <v>1.27</v>
      </c>
      <c r="H7148" s="89">
        <f t="shared" si="18"/>
        <v>0.1485380117</v>
      </c>
      <c r="I7148" s="78" t="s">
        <v>8145</v>
      </c>
      <c r="J7148" s="78" t="s">
        <v>69</v>
      </c>
      <c r="K7148" s="58">
        <f t="shared" si="17"/>
        <v>2</v>
      </c>
      <c r="L7148" s="91" t="str">
        <f t="shared" si="8"/>
        <v>Tue</v>
      </c>
      <c r="M7148" s="78" t="str">
        <f>IFERROR(VLOOKUP(A7148, Entries!A:B,2,false),"")</f>
        <v/>
      </c>
      <c r="N7148" s="23" t="str">
        <f>IFERROR(VLOOKUP(A7148, Entries!A:K,11,false),"")</f>
        <v/>
      </c>
    </row>
    <row r="7149">
      <c r="A7149" s="78" t="s">
        <v>8046</v>
      </c>
      <c r="B7149" s="78" t="s">
        <v>22</v>
      </c>
      <c r="C7149" s="85">
        <v>45648.0</v>
      </c>
      <c r="D7149" s="85">
        <v>45651.0</v>
      </c>
      <c r="E7149" s="86">
        <v>7.27</v>
      </c>
      <c r="F7149" s="87">
        <v>8.55</v>
      </c>
      <c r="G7149" s="88">
        <f t="shared" si="1"/>
        <v>1.28</v>
      </c>
      <c r="H7149" s="89">
        <f t="shared" si="18"/>
        <v>0.1497076023</v>
      </c>
      <c r="I7149" s="78" t="s">
        <v>8146</v>
      </c>
      <c r="J7149" s="78" t="s">
        <v>69</v>
      </c>
      <c r="K7149" s="58">
        <f t="shared" si="17"/>
        <v>3</v>
      </c>
      <c r="L7149" s="91" t="str">
        <f t="shared" si="8"/>
        <v>Wed</v>
      </c>
      <c r="M7149" s="78" t="str">
        <f>IFERROR(VLOOKUP(A7149, Entries!A:B,2,false),"")</f>
        <v/>
      </c>
      <c r="N7149" s="23" t="str">
        <f>IFERROR(VLOOKUP(A7149, Entries!A:K,11,false),"")</f>
        <v/>
      </c>
    </row>
    <row r="7150">
      <c r="A7150" s="78" t="s">
        <v>7798</v>
      </c>
      <c r="B7150" s="78" t="s">
        <v>22</v>
      </c>
      <c r="C7150" s="85">
        <v>45649.0</v>
      </c>
      <c r="D7150" s="85">
        <v>45650.0</v>
      </c>
      <c r="E7150" s="86">
        <v>10.7</v>
      </c>
      <c r="F7150" s="87">
        <v>15.09</v>
      </c>
      <c r="G7150" s="88">
        <f t="shared" si="1"/>
        <v>4.39</v>
      </c>
      <c r="H7150" s="89">
        <f t="shared" si="18"/>
        <v>0.2909211398</v>
      </c>
      <c r="I7150" s="78" t="s">
        <v>8147</v>
      </c>
      <c r="J7150" s="78" t="s">
        <v>69</v>
      </c>
      <c r="K7150" s="58">
        <f t="shared" si="17"/>
        <v>1</v>
      </c>
      <c r="L7150" s="91" t="str">
        <f t="shared" si="8"/>
        <v>Tue</v>
      </c>
      <c r="M7150" s="78" t="str">
        <f>IFERROR(VLOOKUP(A7150, Entries!A:B,2,false),"")</f>
        <v>Konami</v>
      </c>
      <c r="N7150" s="23" t="str">
        <f>IFERROR(VLOOKUP(A7150, Entries!A:K,11,false),"")</f>
        <v/>
      </c>
    </row>
    <row r="7151">
      <c r="A7151" s="78" t="s">
        <v>8056</v>
      </c>
      <c r="B7151" s="78" t="s">
        <v>22</v>
      </c>
      <c r="C7151" s="85">
        <v>45649.0</v>
      </c>
      <c r="D7151" s="85">
        <v>45649.0</v>
      </c>
      <c r="E7151" s="86">
        <v>16.26</v>
      </c>
      <c r="F7151" s="87">
        <v>21.93</v>
      </c>
      <c r="G7151" s="88">
        <f t="shared" si="1"/>
        <v>5.67</v>
      </c>
      <c r="H7151" s="89">
        <f t="shared" si="18"/>
        <v>0.2585499316</v>
      </c>
      <c r="I7151" s="78" t="s">
        <v>8148</v>
      </c>
      <c r="J7151" s="78" t="s">
        <v>69</v>
      </c>
      <c r="K7151" s="58">
        <f t="shared" si="17"/>
        <v>0</v>
      </c>
      <c r="L7151" s="91" t="str">
        <f t="shared" si="8"/>
        <v>Mon</v>
      </c>
      <c r="M7151" s="78" t="str">
        <f>IFERROR(VLOOKUP(A7151, Entries!A:B,2,false),"")</f>
        <v>Survios</v>
      </c>
      <c r="N7151" s="23" t="str">
        <f>IFERROR(VLOOKUP(A7151, Entries!A:K,11,false),"")</f>
        <v/>
      </c>
    </row>
    <row r="7152">
      <c r="A7152" s="78" t="s">
        <v>8056</v>
      </c>
      <c r="B7152" s="78" t="s">
        <v>22</v>
      </c>
      <c r="C7152" s="85">
        <v>45649.0</v>
      </c>
      <c r="D7152" s="85">
        <v>45649.0</v>
      </c>
      <c r="E7152" s="86">
        <v>16.26</v>
      </c>
      <c r="F7152" s="87">
        <v>21.88</v>
      </c>
      <c r="G7152" s="88">
        <f t="shared" si="1"/>
        <v>5.62</v>
      </c>
      <c r="H7152" s="89">
        <f t="shared" si="18"/>
        <v>0.2568555759</v>
      </c>
      <c r="I7152" s="78" t="s">
        <v>8149</v>
      </c>
      <c r="J7152" s="78" t="s">
        <v>69</v>
      </c>
      <c r="K7152" s="58">
        <f t="shared" si="17"/>
        <v>0</v>
      </c>
      <c r="L7152" s="91" t="str">
        <f t="shared" si="8"/>
        <v>Mon</v>
      </c>
      <c r="M7152" s="78" t="str">
        <f>IFERROR(VLOOKUP(A7152, Entries!A:B,2,false),"")</f>
        <v>Survios</v>
      </c>
      <c r="N7152" s="23" t="str">
        <f>IFERROR(VLOOKUP(A7152, Entries!A:K,11,false),"")</f>
        <v/>
      </c>
    </row>
    <row r="7153">
      <c r="A7153" s="78" t="s">
        <v>8056</v>
      </c>
      <c r="B7153" s="78" t="s">
        <v>22</v>
      </c>
      <c r="C7153" s="85">
        <v>45649.0</v>
      </c>
      <c r="D7153" s="85">
        <v>45649.0</v>
      </c>
      <c r="E7153" s="86">
        <v>16.26</v>
      </c>
      <c r="F7153" s="87">
        <v>21.88</v>
      </c>
      <c r="G7153" s="88">
        <f t="shared" si="1"/>
        <v>5.62</v>
      </c>
      <c r="H7153" s="89">
        <f t="shared" si="18"/>
        <v>0.2568555759</v>
      </c>
      <c r="I7153" s="78" t="s">
        <v>8150</v>
      </c>
      <c r="J7153" s="78" t="s">
        <v>69</v>
      </c>
      <c r="K7153" s="58">
        <f t="shared" si="17"/>
        <v>0</v>
      </c>
      <c r="L7153" s="91" t="str">
        <f t="shared" si="8"/>
        <v>Mon</v>
      </c>
      <c r="M7153" s="78" t="str">
        <f>IFERROR(VLOOKUP(A7153, Entries!A:B,2,false),"")</f>
        <v>Survios</v>
      </c>
      <c r="N7153" s="23" t="str">
        <f>IFERROR(VLOOKUP(A7153, Entries!A:K,11,false),"")</f>
        <v/>
      </c>
    </row>
    <row r="7154">
      <c r="A7154" s="78" t="s">
        <v>8056</v>
      </c>
      <c r="B7154" s="78" t="s">
        <v>22</v>
      </c>
      <c r="C7154" s="85">
        <v>45649.0</v>
      </c>
      <c r="D7154" s="85">
        <v>45649.0</v>
      </c>
      <c r="E7154" s="86">
        <v>16.26</v>
      </c>
      <c r="F7154" s="87">
        <v>21.88</v>
      </c>
      <c r="G7154" s="88">
        <f t="shared" si="1"/>
        <v>5.62</v>
      </c>
      <c r="H7154" s="89">
        <f t="shared" si="18"/>
        <v>0.2568555759</v>
      </c>
      <c r="I7154" s="78" t="s">
        <v>8151</v>
      </c>
      <c r="J7154" s="78" t="s">
        <v>69</v>
      </c>
      <c r="K7154" s="58">
        <f t="shared" si="17"/>
        <v>0</v>
      </c>
      <c r="L7154" s="91" t="str">
        <f t="shared" si="8"/>
        <v>Mon</v>
      </c>
      <c r="M7154" s="78" t="str">
        <f>IFERROR(VLOOKUP(A7154, Entries!A:B,2,false),"")</f>
        <v>Survios</v>
      </c>
      <c r="N7154" s="23" t="str">
        <f>IFERROR(VLOOKUP(A7154, Entries!A:K,11,false),"")</f>
        <v/>
      </c>
    </row>
    <row r="7155">
      <c r="A7155" s="78" t="s">
        <v>8056</v>
      </c>
      <c r="B7155" s="78" t="s">
        <v>22</v>
      </c>
      <c r="C7155" s="85">
        <v>45649.0</v>
      </c>
      <c r="D7155" s="85">
        <v>45649.0</v>
      </c>
      <c r="E7155" s="86">
        <v>16.26</v>
      </c>
      <c r="F7155" s="87">
        <v>26.88</v>
      </c>
      <c r="G7155" s="88">
        <f t="shared" si="1"/>
        <v>10.62</v>
      </c>
      <c r="H7155" s="89">
        <f t="shared" si="18"/>
        <v>0.3950892857</v>
      </c>
      <c r="I7155" s="78" t="s">
        <v>8152</v>
      </c>
      <c r="J7155" s="78" t="s">
        <v>69</v>
      </c>
      <c r="K7155" s="58">
        <f t="shared" si="17"/>
        <v>0</v>
      </c>
      <c r="L7155" s="91" t="str">
        <f t="shared" si="8"/>
        <v>Mon</v>
      </c>
      <c r="M7155" s="78" t="str">
        <f>IFERROR(VLOOKUP(A7155, Entries!A:B,2,false),"")</f>
        <v>Survios</v>
      </c>
      <c r="N7155" s="23" t="str">
        <f>IFERROR(VLOOKUP(A7155, Entries!A:K,11,false),"")</f>
        <v/>
      </c>
    </row>
    <row r="7156">
      <c r="A7156" s="78" t="s">
        <v>8056</v>
      </c>
      <c r="B7156" s="78" t="s">
        <v>22</v>
      </c>
      <c r="C7156" s="85">
        <v>45649.0</v>
      </c>
      <c r="D7156" s="85">
        <v>45649.0</v>
      </c>
      <c r="E7156" s="86">
        <v>16.26</v>
      </c>
      <c r="F7156" s="87">
        <v>26.88</v>
      </c>
      <c r="G7156" s="88">
        <f t="shared" si="1"/>
        <v>10.62</v>
      </c>
      <c r="H7156" s="89">
        <f t="shared" si="18"/>
        <v>0.3950892857</v>
      </c>
      <c r="I7156" s="78" t="s">
        <v>8153</v>
      </c>
      <c r="J7156" s="78" t="s">
        <v>69</v>
      </c>
      <c r="K7156" s="58">
        <f t="shared" si="17"/>
        <v>0</v>
      </c>
      <c r="L7156" s="91" t="str">
        <f t="shared" si="8"/>
        <v>Mon</v>
      </c>
      <c r="M7156" s="78" t="str">
        <f>IFERROR(VLOOKUP(A7156, Entries!A:B,2,false),"")</f>
        <v>Survios</v>
      </c>
      <c r="N7156" s="23" t="str">
        <f>IFERROR(VLOOKUP(A7156, Entries!A:K,11,false),"")</f>
        <v/>
      </c>
    </row>
    <row r="7157">
      <c r="A7157" s="78" t="s">
        <v>8056</v>
      </c>
      <c r="B7157" s="78" t="s">
        <v>22</v>
      </c>
      <c r="C7157" s="85">
        <v>45649.0</v>
      </c>
      <c r="D7157" s="85">
        <v>45650.0</v>
      </c>
      <c r="E7157" s="86">
        <v>16.24</v>
      </c>
      <c r="F7157" s="87">
        <v>23.59</v>
      </c>
      <c r="G7157" s="88">
        <f t="shared" si="1"/>
        <v>7.35</v>
      </c>
      <c r="H7157" s="89">
        <f t="shared" si="18"/>
        <v>0.3115727003</v>
      </c>
      <c r="I7157" s="78" t="s">
        <v>8154</v>
      </c>
      <c r="J7157" s="78" t="s">
        <v>69</v>
      </c>
      <c r="K7157" s="58">
        <f t="shared" si="17"/>
        <v>1</v>
      </c>
      <c r="L7157" s="91" t="str">
        <f t="shared" si="8"/>
        <v>Tue</v>
      </c>
      <c r="M7157" s="78" t="str">
        <f>IFERROR(VLOOKUP(A7157, Entries!A:B,2,false),"")</f>
        <v>Survios</v>
      </c>
      <c r="N7157" s="23" t="str">
        <f>IFERROR(VLOOKUP(A7157, Entries!A:K,11,false),"")</f>
        <v/>
      </c>
    </row>
    <row r="7158">
      <c r="A7158" s="78" t="s">
        <v>8056</v>
      </c>
      <c r="B7158" s="78" t="s">
        <v>22</v>
      </c>
      <c r="C7158" s="85">
        <v>45649.0</v>
      </c>
      <c r="D7158" s="85">
        <v>45650.0</v>
      </c>
      <c r="E7158" s="86">
        <v>16.26</v>
      </c>
      <c r="F7158" s="87">
        <v>26.99</v>
      </c>
      <c r="G7158" s="88">
        <f t="shared" si="1"/>
        <v>10.73</v>
      </c>
      <c r="H7158" s="89">
        <f t="shared" si="18"/>
        <v>0.3975546499</v>
      </c>
      <c r="I7158" s="78" t="s">
        <v>8155</v>
      </c>
      <c r="J7158" s="78" t="s">
        <v>69</v>
      </c>
      <c r="K7158" s="58">
        <f t="shared" si="17"/>
        <v>1</v>
      </c>
      <c r="L7158" s="91" t="str">
        <f t="shared" si="8"/>
        <v>Tue</v>
      </c>
      <c r="M7158" s="78" t="str">
        <f>IFERROR(VLOOKUP(A7158, Entries!A:B,2,false),"")</f>
        <v>Survios</v>
      </c>
      <c r="N7158" s="23" t="str">
        <f>IFERROR(VLOOKUP(A7158, Entries!A:K,11,false),"")</f>
        <v/>
      </c>
    </row>
    <row r="7159">
      <c r="A7159" s="78" t="s">
        <v>8056</v>
      </c>
      <c r="B7159" s="78" t="s">
        <v>22</v>
      </c>
      <c r="C7159" s="85">
        <v>45649.0</v>
      </c>
      <c r="D7159" s="85">
        <v>45650.0</v>
      </c>
      <c r="E7159" s="86">
        <v>16.26</v>
      </c>
      <c r="F7159" s="87">
        <v>26.78</v>
      </c>
      <c r="G7159" s="88">
        <f t="shared" si="1"/>
        <v>10.52</v>
      </c>
      <c r="H7159" s="89">
        <f t="shared" si="18"/>
        <v>0.3928304705</v>
      </c>
      <c r="I7159" s="78" t="s">
        <v>8156</v>
      </c>
      <c r="J7159" s="78" t="s">
        <v>69</v>
      </c>
      <c r="K7159" s="58">
        <f t="shared" si="17"/>
        <v>1</v>
      </c>
      <c r="L7159" s="91" t="str">
        <f t="shared" si="8"/>
        <v>Tue</v>
      </c>
      <c r="M7159" s="78" t="str">
        <f>IFERROR(VLOOKUP(A7159, Entries!A:B,2,false),"")</f>
        <v>Survios</v>
      </c>
      <c r="N7159" s="23" t="str">
        <f>IFERROR(VLOOKUP(A7159, Entries!A:K,11,false),"")</f>
        <v/>
      </c>
    </row>
    <row r="7160">
      <c r="A7160" s="78" t="s">
        <v>8056</v>
      </c>
      <c r="B7160" s="78" t="s">
        <v>22</v>
      </c>
      <c r="C7160" s="85">
        <v>45649.0</v>
      </c>
      <c r="D7160" s="85">
        <v>45650.0</v>
      </c>
      <c r="E7160" s="86">
        <v>16.26</v>
      </c>
      <c r="F7160" s="87">
        <v>23.77</v>
      </c>
      <c r="G7160" s="88">
        <f t="shared" si="1"/>
        <v>7.51</v>
      </c>
      <c r="H7160" s="89">
        <f t="shared" si="18"/>
        <v>0.3159444678</v>
      </c>
      <c r="I7160" s="78" t="s">
        <v>8157</v>
      </c>
      <c r="J7160" s="78" t="s">
        <v>69</v>
      </c>
      <c r="K7160" s="58">
        <f t="shared" si="17"/>
        <v>1</v>
      </c>
      <c r="L7160" s="91" t="str">
        <f t="shared" si="8"/>
        <v>Tue</v>
      </c>
      <c r="M7160" s="78" t="str">
        <f>IFERROR(VLOOKUP(A7160, Entries!A:B,2,false),"")</f>
        <v>Survios</v>
      </c>
      <c r="N7160" s="23" t="str">
        <f>IFERROR(VLOOKUP(A7160, Entries!A:K,11,false),"")</f>
        <v/>
      </c>
    </row>
    <row r="7161">
      <c r="A7161" s="78" t="s">
        <v>7776</v>
      </c>
      <c r="B7161" s="78" t="s">
        <v>32</v>
      </c>
      <c r="C7161" s="85">
        <v>45649.0</v>
      </c>
      <c r="D7161" s="85">
        <v>45649.0</v>
      </c>
      <c r="E7161" s="86">
        <v>36.71</v>
      </c>
      <c r="F7161" s="87">
        <v>39.18</v>
      </c>
      <c r="G7161" s="88">
        <f t="shared" si="1"/>
        <v>2.47</v>
      </c>
      <c r="H7161" s="89">
        <f t="shared" si="18"/>
        <v>0.06304236856</v>
      </c>
      <c r="I7161" s="78" t="s">
        <v>8158</v>
      </c>
      <c r="J7161" s="78" t="s">
        <v>69</v>
      </c>
      <c r="K7161" s="58">
        <f t="shared" si="17"/>
        <v>0</v>
      </c>
      <c r="L7161" s="91" t="str">
        <f t="shared" si="8"/>
        <v>Mon</v>
      </c>
      <c r="M7161" s="78" t="str">
        <f>IFERROR(VLOOKUP(A7161, Entries!A:B,2,false),"")</f>
        <v>PlayStation</v>
      </c>
      <c r="N7161" s="23" t="str">
        <f>IFERROR(VLOOKUP(A7161, Entries!A:K,11,false),"")</f>
        <v/>
      </c>
    </row>
    <row r="7162">
      <c r="A7162" s="78" t="s">
        <v>7776</v>
      </c>
      <c r="B7162" s="78" t="s">
        <v>32</v>
      </c>
      <c r="C7162" s="85">
        <v>45649.0</v>
      </c>
      <c r="D7162" s="85">
        <v>45650.0</v>
      </c>
      <c r="E7162" s="86">
        <v>36.71</v>
      </c>
      <c r="F7162" s="87">
        <v>39.18</v>
      </c>
      <c r="G7162" s="88">
        <f t="shared" si="1"/>
        <v>2.47</v>
      </c>
      <c r="H7162" s="89">
        <f t="shared" si="18"/>
        <v>0.06304236856</v>
      </c>
      <c r="I7162" s="78" t="s">
        <v>8159</v>
      </c>
      <c r="J7162" s="78" t="s">
        <v>69</v>
      </c>
      <c r="K7162" s="58">
        <f t="shared" si="17"/>
        <v>1</v>
      </c>
      <c r="L7162" s="91" t="str">
        <f t="shared" si="8"/>
        <v>Tue</v>
      </c>
      <c r="M7162" s="78" t="str">
        <f>IFERROR(VLOOKUP(A7162, Entries!A:B,2,false),"")</f>
        <v>PlayStation</v>
      </c>
      <c r="N7162" s="23" t="str">
        <f>IFERROR(VLOOKUP(A7162, Entries!A:K,11,false),"")</f>
        <v/>
      </c>
    </row>
    <row r="7163">
      <c r="A7163" s="78" t="s">
        <v>8056</v>
      </c>
      <c r="B7163" s="78" t="s">
        <v>22</v>
      </c>
      <c r="C7163" s="85">
        <v>45649.0</v>
      </c>
      <c r="D7163" s="85">
        <v>45650.0</v>
      </c>
      <c r="E7163" s="86">
        <v>16.26</v>
      </c>
      <c r="F7163" s="87">
        <v>23.77</v>
      </c>
      <c r="G7163" s="88">
        <f t="shared" si="1"/>
        <v>7.51</v>
      </c>
      <c r="H7163" s="89">
        <f t="shared" si="18"/>
        <v>0.3159444678</v>
      </c>
      <c r="I7163" s="78" t="s">
        <v>8160</v>
      </c>
      <c r="J7163" s="78" t="s">
        <v>69</v>
      </c>
      <c r="K7163" s="58">
        <f t="shared" si="17"/>
        <v>1</v>
      </c>
      <c r="L7163" s="91" t="str">
        <f t="shared" si="8"/>
        <v>Tue</v>
      </c>
      <c r="M7163" s="78" t="str">
        <f>IFERROR(VLOOKUP(A7163, Entries!A:B,2,false),"")</f>
        <v>Survios</v>
      </c>
      <c r="N7163" s="23" t="str">
        <f>IFERROR(VLOOKUP(A7163, Entries!A:K,11,false),"")</f>
        <v/>
      </c>
    </row>
    <row r="7164">
      <c r="A7164" s="78" t="s">
        <v>8056</v>
      </c>
      <c r="B7164" s="78" t="s">
        <v>22</v>
      </c>
      <c r="C7164" s="85">
        <v>45649.0</v>
      </c>
      <c r="D7164" s="85">
        <v>45650.0</v>
      </c>
      <c r="E7164" s="86">
        <v>16.26</v>
      </c>
      <c r="F7164" s="87">
        <v>23.57</v>
      </c>
      <c r="G7164" s="88">
        <f t="shared" si="1"/>
        <v>7.31</v>
      </c>
      <c r="H7164" s="89">
        <f t="shared" si="18"/>
        <v>0.3101400085</v>
      </c>
      <c r="I7164" s="78" t="s">
        <v>8161</v>
      </c>
      <c r="J7164" s="78" t="s">
        <v>69</v>
      </c>
      <c r="K7164" s="58">
        <f t="shared" si="17"/>
        <v>1</v>
      </c>
      <c r="L7164" s="91" t="str">
        <f t="shared" si="8"/>
        <v>Tue</v>
      </c>
      <c r="M7164" s="78" t="str">
        <f>IFERROR(VLOOKUP(A7164, Entries!A:B,2,false),"")</f>
        <v>Survios</v>
      </c>
      <c r="N7164" s="23" t="str">
        <f>IFERROR(VLOOKUP(A7164, Entries!A:K,11,false),"")</f>
        <v/>
      </c>
    </row>
    <row r="7165">
      <c r="A7165" s="78" t="s">
        <v>8056</v>
      </c>
      <c r="B7165" s="78" t="s">
        <v>22</v>
      </c>
      <c r="C7165" s="85">
        <v>45649.0</v>
      </c>
      <c r="D7165" s="85">
        <v>45650.0</v>
      </c>
      <c r="E7165" s="86">
        <v>16.26</v>
      </c>
      <c r="F7165" s="87">
        <v>23.57</v>
      </c>
      <c r="G7165" s="88">
        <f t="shared" si="1"/>
        <v>7.31</v>
      </c>
      <c r="H7165" s="89">
        <f t="shared" si="18"/>
        <v>0.3101400085</v>
      </c>
      <c r="I7165" s="78" t="s">
        <v>8162</v>
      </c>
      <c r="J7165" s="78" t="s">
        <v>69</v>
      </c>
      <c r="K7165" s="58">
        <f t="shared" si="17"/>
        <v>1</v>
      </c>
      <c r="L7165" s="91" t="str">
        <f t="shared" si="8"/>
        <v>Tue</v>
      </c>
      <c r="M7165" s="78" t="str">
        <f>IFERROR(VLOOKUP(A7165, Entries!A:B,2,false),"")</f>
        <v>Survios</v>
      </c>
      <c r="N7165" s="23" t="str">
        <f>IFERROR(VLOOKUP(A7165, Entries!A:K,11,false),"")</f>
        <v/>
      </c>
    </row>
    <row r="7166">
      <c r="A7166" s="78" t="s">
        <v>8056</v>
      </c>
      <c r="B7166" s="78" t="s">
        <v>22</v>
      </c>
      <c r="C7166" s="85">
        <v>45649.0</v>
      </c>
      <c r="D7166" s="85">
        <v>45650.0</v>
      </c>
      <c r="E7166" s="86">
        <v>16.26</v>
      </c>
      <c r="F7166" s="87">
        <v>23.57</v>
      </c>
      <c r="G7166" s="88">
        <f t="shared" si="1"/>
        <v>7.31</v>
      </c>
      <c r="H7166" s="89">
        <f t="shared" si="18"/>
        <v>0.3101400085</v>
      </c>
      <c r="I7166" s="78" t="s">
        <v>8163</v>
      </c>
      <c r="J7166" s="78" t="s">
        <v>69</v>
      </c>
      <c r="K7166" s="58">
        <f t="shared" si="17"/>
        <v>1</v>
      </c>
      <c r="L7166" s="91" t="str">
        <f t="shared" si="8"/>
        <v>Tue</v>
      </c>
      <c r="M7166" s="78" t="str">
        <f>IFERROR(VLOOKUP(A7166, Entries!A:B,2,false),"")</f>
        <v>Survios</v>
      </c>
      <c r="N7166" s="23" t="str">
        <f>IFERROR(VLOOKUP(A7166, Entries!A:K,11,false),"")</f>
        <v/>
      </c>
    </row>
    <row r="7167">
      <c r="A7167" s="78" t="s">
        <v>8056</v>
      </c>
      <c r="B7167" s="78" t="s">
        <v>22</v>
      </c>
      <c r="C7167" s="85">
        <v>45649.0</v>
      </c>
      <c r="D7167" s="85">
        <v>45650.0</v>
      </c>
      <c r="E7167" s="86">
        <v>16.26</v>
      </c>
      <c r="F7167" s="87">
        <v>23.57</v>
      </c>
      <c r="G7167" s="88">
        <f t="shared" si="1"/>
        <v>7.31</v>
      </c>
      <c r="H7167" s="89">
        <f t="shared" si="18"/>
        <v>0.3101400085</v>
      </c>
      <c r="I7167" s="78" t="s">
        <v>8164</v>
      </c>
      <c r="J7167" s="78" t="s">
        <v>69</v>
      </c>
      <c r="K7167" s="58">
        <f t="shared" si="17"/>
        <v>1</v>
      </c>
      <c r="L7167" s="91" t="str">
        <f t="shared" si="8"/>
        <v>Tue</v>
      </c>
      <c r="M7167" s="78" t="str">
        <f>IFERROR(VLOOKUP(A7167, Entries!A:B,2,false),"")</f>
        <v>Survios</v>
      </c>
      <c r="N7167" s="23" t="str">
        <f>IFERROR(VLOOKUP(A7167, Entries!A:K,11,false),"")</f>
        <v/>
      </c>
    </row>
    <row r="7168">
      <c r="A7168" s="78" t="s">
        <v>8056</v>
      </c>
      <c r="B7168" s="78" t="s">
        <v>22</v>
      </c>
      <c r="C7168" s="85">
        <v>45649.0</v>
      </c>
      <c r="D7168" s="85">
        <v>45650.0</v>
      </c>
      <c r="E7168" s="86">
        <v>16.26</v>
      </c>
      <c r="F7168" s="87">
        <v>23.57</v>
      </c>
      <c r="G7168" s="88">
        <f t="shared" si="1"/>
        <v>7.31</v>
      </c>
      <c r="H7168" s="89">
        <f t="shared" si="18"/>
        <v>0.3101400085</v>
      </c>
      <c r="I7168" s="78" t="s">
        <v>8165</v>
      </c>
      <c r="J7168" s="78" t="s">
        <v>69</v>
      </c>
      <c r="K7168" s="58">
        <f t="shared" si="17"/>
        <v>1</v>
      </c>
      <c r="L7168" s="91" t="str">
        <f t="shared" si="8"/>
        <v>Tue</v>
      </c>
      <c r="M7168" s="78" t="str">
        <f>IFERROR(VLOOKUP(A7168, Entries!A:B,2,false),"")</f>
        <v>Survios</v>
      </c>
      <c r="N7168" s="23" t="str">
        <f>IFERROR(VLOOKUP(A7168, Entries!A:K,11,false),"")</f>
        <v/>
      </c>
    </row>
    <row r="7169">
      <c r="A7169" s="78" t="s">
        <v>8056</v>
      </c>
      <c r="B7169" s="78" t="s">
        <v>22</v>
      </c>
      <c r="C7169" s="85">
        <v>45649.0</v>
      </c>
      <c r="D7169" s="85">
        <v>45650.0</v>
      </c>
      <c r="E7169" s="86">
        <v>16.24</v>
      </c>
      <c r="F7169" s="87">
        <v>23.57</v>
      </c>
      <c r="G7169" s="88">
        <f t="shared" si="1"/>
        <v>7.33</v>
      </c>
      <c r="H7169" s="89">
        <f t="shared" si="18"/>
        <v>0.3109885448</v>
      </c>
      <c r="I7169" s="78" t="s">
        <v>8166</v>
      </c>
      <c r="J7169" s="78" t="s">
        <v>69</v>
      </c>
      <c r="K7169" s="58">
        <f t="shared" si="17"/>
        <v>1</v>
      </c>
      <c r="L7169" s="91" t="str">
        <f t="shared" si="8"/>
        <v>Tue</v>
      </c>
      <c r="M7169" s="78" t="str">
        <f>IFERROR(VLOOKUP(A7169, Entries!A:B,2,false),"")</f>
        <v>Survios</v>
      </c>
      <c r="N7169" s="23" t="str">
        <f>IFERROR(VLOOKUP(A7169, Entries!A:K,11,false),"")</f>
        <v/>
      </c>
    </row>
    <row r="7170">
      <c r="A7170" s="78" t="s">
        <v>8056</v>
      </c>
      <c r="B7170" s="78" t="s">
        <v>22</v>
      </c>
      <c r="C7170" s="85">
        <v>45649.0</v>
      </c>
      <c r="D7170" s="85">
        <v>45650.0</v>
      </c>
      <c r="E7170" s="86">
        <v>16.26</v>
      </c>
      <c r="F7170" s="87">
        <v>23.23</v>
      </c>
      <c r="G7170" s="88">
        <f t="shared" si="1"/>
        <v>6.97</v>
      </c>
      <c r="H7170" s="89">
        <f t="shared" si="18"/>
        <v>0.3000430478</v>
      </c>
      <c r="I7170" s="78" t="s">
        <v>8167</v>
      </c>
      <c r="J7170" s="78" t="s">
        <v>69</v>
      </c>
      <c r="K7170" s="58">
        <f t="shared" si="17"/>
        <v>1</v>
      </c>
      <c r="L7170" s="91" t="str">
        <f t="shared" si="8"/>
        <v>Tue</v>
      </c>
      <c r="M7170" s="78" t="str">
        <f>IFERROR(VLOOKUP(A7170, Entries!A:B,2,false),"")</f>
        <v>Survios</v>
      </c>
      <c r="N7170" s="23" t="str">
        <f>IFERROR(VLOOKUP(A7170, Entries!A:K,11,false),"")</f>
        <v/>
      </c>
    </row>
    <row r="7171">
      <c r="A7171" s="78" t="s">
        <v>8056</v>
      </c>
      <c r="B7171" s="78" t="s">
        <v>22</v>
      </c>
      <c r="C7171" s="85">
        <v>45649.0</v>
      </c>
      <c r="D7171" s="85">
        <v>45650.0</v>
      </c>
      <c r="E7171" s="86">
        <v>16.26</v>
      </c>
      <c r="F7171" s="87">
        <v>23.23</v>
      </c>
      <c r="G7171" s="88">
        <f t="shared" si="1"/>
        <v>6.97</v>
      </c>
      <c r="H7171" s="89">
        <f t="shared" si="18"/>
        <v>0.3000430478</v>
      </c>
      <c r="I7171" s="78" t="s">
        <v>8168</v>
      </c>
      <c r="J7171" s="78" t="s">
        <v>69</v>
      </c>
      <c r="K7171" s="58">
        <f t="shared" si="17"/>
        <v>1</v>
      </c>
      <c r="L7171" s="91" t="str">
        <f t="shared" si="8"/>
        <v>Tue</v>
      </c>
      <c r="M7171" s="78" t="str">
        <f>IFERROR(VLOOKUP(A7171, Entries!A:B,2,false),"")</f>
        <v>Survios</v>
      </c>
      <c r="N7171" s="23" t="str">
        <f>IFERROR(VLOOKUP(A7171, Entries!A:K,11,false),"")</f>
        <v/>
      </c>
    </row>
    <row r="7172">
      <c r="A7172" s="78" t="s">
        <v>8056</v>
      </c>
      <c r="B7172" s="78" t="s">
        <v>22</v>
      </c>
      <c r="C7172" s="85">
        <v>45649.0</v>
      </c>
      <c r="D7172" s="85">
        <v>45651.0</v>
      </c>
      <c r="E7172" s="86">
        <v>16.26</v>
      </c>
      <c r="F7172" s="87">
        <v>23.14</v>
      </c>
      <c r="G7172" s="88">
        <f t="shared" si="1"/>
        <v>6.88</v>
      </c>
      <c r="H7172" s="89">
        <f t="shared" si="18"/>
        <v>0.2973206569</v>
      </c>
      <c r="I7172" s="78" t="s">
        <v>8169</v>
      </c>
      <c r="J7172" s="78" t="s">
        <v>69</v>
      </c>
      <c r="K7172" s="58">
        <f t="shared" si="17"/>
        <v>2</v>
      </c>
      <c r="L7172" s="91" t="str">
        <f t="shared" si="8"/>
        <v>Wed</v>
      </c>
      <c r="M7172" s="78" t="str">
        <f>IFERROR(VLOOKUP(A7172, Entries!A:B,2,false),"")</f>
        <v>Survios</v>
      </c>
      <c r="N7172" s="23" t="str">
        <f>IFERROR(VLOOKUP(A7172, Entries!A:K,11,false),"")</f>
        <v/>
      </c>
    </row>
    <row r="7173">
      <c r="A7173" s="78" t="s">
        <v>7798</v>
      </c>
      <c r="B7173" s="78" t="s">
        <v>22</v>
      </c>
      <c r="C7173" s="85">
        <v>45650.0</v>
      </c>
      <c r="D7173" s="85">
        <v>45650.0</v>
      </c>
      <c r="E7173" s="86">
        <v>10.66</v>
      </c>
      <c r="F7173" s="87">
        <v>15.09</v>
      </c>
      <c r="G7173" s="88">
        <f t="shared" si="1"/>
        <v>4.43</v>
      </c>
      <c r="H7173" s="89">
        <f t="shared" si="18"/>
        <v>0.2935719019</v>
      </c>
      <c r="I7173" s="78" t="s">
        <v>8170</v>
      </c>
      <c r="J7173" s="78" t="s">
        <v>69</v>
      </c>
      <c r="K7173" s="58">
        <f t="shared" si="17"/>
        <v>0</v>
      </c>
      <c r="L7173" s="91" t="str">
        <f t="shared" si="8"/>
        <v>Tue</v>
      </c>
      <c r="M7173" s="78" t="str">
        <f>IFERROR(VLOOKUP(A7173, Entries!A:B,2,false),"")</f>
        <v>Konami</v>
      </c>
      <c r="N7173" s="23" t="str">
        <f>IFERROR(VLOOKUP(A7173, Entries!A:K,11,false),"")</f>
        <v/>
      </c>
    </row>
    <row r="7174">
      <c r="A7174" s="78" t="s">
        <v>7776</v>
      </c>
      <c r="B7174" s="78" t="s">
        <v>32</v>
      </c>
      <c r="C7174" s="85">
        <v>45650.0</v>
      </c>
      <c r="D7174" s="85">
        <v>45650.0</v>
      </c>
      <c r="E7174" s="86">
        <v>36.71</v>
      </c>
      <c r="F7174" s="87">
        <v>39.18</v>
      </c>
      <c r="G7174" s="88">
        <f t="shared" si="1"/>
        <v>2.47</v>
      </c>
      <c r="H7174" s="89">
        <f t="shared" si="18"/>
        <v>0.06304236856</v>
      </c>
      <c r="I7174" s="78" t="s">
        <v>8171</v>
      </c>
      <c r="J7174" s="78" t="s">
        <v>69</v>
      </c>
      <c r="K7174" s="58">
        <f t="shared" si="17"/>
        <v>0</v>
      </c>
      <c r="L7174" s="91" t="str">
        <f t="shared" si="8"/>
        <v>Tue</v>
      </c>
      <c r="M7174" s="78" t="str">
        <f>IFERROR(VLOOKUP(A7174, Entries!A:B,2,false),"")</f>
        <v>PlayStation</v>
      </c>
      <c r="N7174" s="23" t="str">
        <f>IFERROR(VLOOKUP(A7174, Entries!A:K,11,false),"")</f>
        <v/>
      </c>
    </row>
    <row r="7175">
      <c r="A7175" s="78" t="s">
        <v>7798</v>
      </c>
      <c r="B7175" s="78" t="s">
        <v>22</v>
      </c>
      <c r="C7175" s="85">
        <v>45650.0</v>
      </c>
      <c r="D7175" s="85">
        <v>45651.0</v>
      </c>
      <c r="E7175" s="86">
        <v>10.66</v>
      </c>
      <c r="F7175" s="87">
        <v>15.09</v>
      </c>
      <c r="G7175" s="88">
        <f t="shared" si="1"/>
        <v>4.43</v>
      </c>
      <c r="H7175" s="89">
        <f t="shared" si="18"/>
        <v>0.2935719019</v>
      </c>
      <c r="I7175" s="78" t="s">
        <v>8172</v>
      </c>
      <c r="J7175" s="78" t="s">
        <v>69</v>
      </c>
      <c r="K7175" s="58">
        <f t="shared" si="17"/>
        <v>1</v>
      </c>
      <c r="L7175" s="91" t="str">
        <f t="shared" si="8"/>
        <v>Wed</v>
      </c>
      <c r="M7175" s="78" t="str">
        <f>IFERROR(VLOOKUP(A7175, Entries!A:B,2,false),"")</f>
        <v>Konami</v>
      </c>
      <c r="N7175" s="23" t="str">
        <f>IFERROR(VLOOKUP(A7175, Entries!A:K,11,false),"")</f>
        <v/>
      </c>
    </row>
    <row r="7176">
      <c r="A7176" s="78" t="s">
        <v>7776</v>
      </c>
      <c r="B7176" s="78" t="s">
        <v>32</v>
      </c>
      <c r="C7176" s="85">
        <v>45650.0</v>
      </c>
      <c r="D7176" s="85">
        <v>45652.0</v>
      </c>
      <c r="E7176" s="86">
        <v>36.71</v>
      </c>
      <c r="F7176" s="87">
        <v>41.12</v>
      </c>
      <c r="G7176" s="88">
        <f t="shared" si="1"/>
        <v>4.41</v>
      </c>
      <c r="H7176" s="89">
        <f t="shared" si="18"/>
        <v>0.1072470817</v>
      </c>
      <c r="I7176" s="78" t="s">
        <v>8173</v>
      </c>
      <c r="J7176" s="78" t="s">
        <v>69</v>
      </c>
      <c r="K7176" s="58">
        <f t="shared" si="17"/>
        <v>2</v>
      </c>
      <c r="L7176" s="91" t="str">
        <f t="shared" si="8"/>
        <v>Thu</v>
      </c>
      <c r="M7176" s="78" t="str">
        <f>IFERROR(VLOOKUP(A7176, Entries!A:B,2,false),"")</f>
        <v>PlayStation</v>
      </c>
      <c r="N7176" s="23" t="str">
        <f>IFERROR(VLOOKUP(A7176, Entries!A:K,11,false),"")</f>
        <v/>
      </c>
    </row>
    <row r="7177">
      <c r="A7177" s="78" t="s">
        <v>8056</v>
      </c>
      <c r="B7177" s="78" t="s">
        <v>22</v>
      </c>
      <c r="C7177" s="85">
        <v>45650.0</v>
      </c>
      <c r="D7177" s="85">
        <v>45651.0</v>
      </c>
      <c r="E7177" s="86">
        <v>16.19</v>
      </c>
      <c r="F7177" s="87">
        <v>23.14</v>
      </c>
      <c r="G7177" s="88">
        <f t="shared" si="1"/>
        <v>6.95</v>
      </c>
      <c r="H7177" s="89">
        <f t="shared" si="18"/>
        <v>0.3003457217</v>
      </c>
      <c r="I7177" s="78" t="s">
        <v>8174</v>
      </c>
      <c r="J7177" s="78" t="s">
        <v>69</v>
      </c>
      <c r="K7177" s="58">
        <f t="shared" si="17"/>
        <v>1</v>
      </c>
      <c r="L7177" s="91" t="str">
        <f t="shared" si="8"/>
        <v>Wed</v>
      </c>
      <c r="M7177" s="78" t="str">
        <f>IFERROR(VLOOKUP(A7177, Entries!A:B,2,false),"")</f>
        <v>Survios</v>
      </c>
      <c r="N7177" s="23" t="str">
        <f>IFERROR(VLOOKUP(A7177, Entries!A:K,11,false),"")</f>
        <v/>
      </c>
    </row>
    <row r="7178">
      <c r="A7178" s="78" t="s">
        <v>8056</v>
      </c>
      <c r="B7178" s="78" t="s">
        <v>22</v>
      </c>
      <c r="C7178" s="85">
        <v>45650.0</v>
      </c>
      <c r="D7178" s="85">
        <v>45651.0</v>
      </c>
      <c r="E7178" s="86">
        <v>16.19</v>
      </c>
      <c r="F7178" s="87">
        <v>23.14</v>
      </c>
      <c r="G7178" s="88">
        <f t="shared" si="1"/>
        <v>6.95</v>
      </c>
      <c r="H7178" s="89">
        <f t="shared" si="18"/>
        <v>0.3003457217</v>
      </c>
      <c r="I7178" s="78" t="s">
        <v>8175</v>
      </c>
      <c r="J7178" s="78" t="s">
        <v>69</v>
      </c>
      <c r="K7178" s="58">
        <f t="shared" si="17"/>
        <v>1</v>
      </c>
      <c r="L7178" s="91" t="str">
        <f t="shared" si="8"/>
        <v>Wed</v>
      </c>
      <c r="M7178" s="78" t="str">
        <f>IFERROR(VLOOKUP(A7178, Entries!A:B,2,false),"")</f>
        <v>Survios</v>
      </c>
      <c r="N7178" s="23" t="str">
        <f>IFERROR(VLOOKUP(A7178, Entries!A:K,11,false),"")</f>
        <v/>
      </c>
    </row>
    <row r="7179">
      <c r="A7179" s="78" t="s">
        <v>8056</v>
      </c>
      <c r="B7179" s="78" t="s">
        <v>22</v>
      </c>
      <c r="C7179" s="85">
        <v>45650.0</v>
      </c>
      <c r="D7179" s="85">
        <v>45651.0</v>
      </c>
      <c r="E7179" s="86">
        <v>16.19</v>
      </c>
      <c r="F7179" s="87">
        <v>23.11</v>
      </c>
      <c r="G7179" s="88">
        <f t="shared" si="1"/>
        <v>6.92</v>
      </c>
      <c r="H7179" s="89">
        <f t="shared" si="18"/>
        <v>0.299437473</v>
      </c>
      <c r="I7179" s="78" t="s">
        <v>8176</v>
      </c>
      <c r="J7179" s="78" t="s">
        <v>69</v>
      </c>
      <c r="K7179" s="58">
        <f t="shared" si="17"/>
        <v>1</v>
      </c>
      <c r="L7179" s="91" t="str">
        <f t="shared" si="8"/>
        <v>Wed</v>
      </c>
      <c r="M7179" s="78" t="str">
        <f>IFERROR(VLOOKUP(A7179, Entries!A:B,2,false),"")</f>
        <v>Survios</v>
      </c>
      <c r="N7179" s="23" t="str">
        <f>IFERROR(VLOOKUP(A7179, Entries!A:K,11,false),"")</f>
        <v/>
      </c>
    </row>
    <row r="7180">
      <c r="A7180" s="78" t="s">
        <v>8056</v>
      </c>
      <c r="B7180" s="78" t="s">
        <v>22</v>
      </c>
      <c r="C7180" s="85">
        <v>45650.0</v>
      </c>
      <c r="D7180" s="85">
        <v>45651.0</v>
      </c>
      <c r="E7180" s="86">
        <v>16.19</v>
      </c>
      <c r="F7180" s="87">
        <v>23.11</v>
      </c>
      <c r="G7180" s="88">
        <f t="shared" si="1"/>
        <v>6.92</v>
      </c>
      <c r="H7180" s="89">
        <f t="shared" si="18"/>
        <v>0.299437473</v>
      </c>
      <c r="I7180" s="78" t="s">
        <v>8177</v>
      </c>
      <c r="J7180" s="78" t="s">
        <v>69</v>
      </c>
      <c r="K7180" s="58">
        <f t="shared" si="17"/>
        <v>1</v>
      </c>
      <c r="L7180" s="91" t="str">
        <f t="shared" si="8"/>
        <v>Wed</v>
      </c>
      <c r="M7180" s="78" t="str">
        <f>IFERROR(VLOOKUP(A7180, Entries!A:B,2,false),"")</f>
        <v>Survios</v>
      </c>
      <c r="N7180" s="23" t="str">
        <f>IFERROR(VLOOKUP(A7180, Entries!A:K,11,false),"")</f>
        <v/>
      </c>
    </row>
    <row r="7181">
      <c r="A7181" s="78" t="s">
        <v>8056</v>
      </c>
      <c r="B7181" s="78" t="s">
        <v>22</v>
      </c>
      <c r="C7181" s="85">
        <v>45650.0</v>
      </c>
      <c r="D7181" s="85">
        <v>45651.0</v>
      </c>
      <c r="E7181" s="86">
        <v>16.19</v>
      </c>
      <c r="F7181" s="87">
        <v>23.11</v>
      </c>
      <c r="G7181" s="88">
        <f t="shared" si="1"/>
        <v>6.92</v>
      </c>
      <c r="H7181" s="89">
        <f t="shared" si="18"/>
        <v>0.299437473</v>
      </c>
      <c r="I7181" s="78" t="s">
        <v>8178</v>
      </c>
      <c r="J7181" s="78" t="s">
        <v>69</v>
      </c>
      <c r="K7181" s="58">
        <f t="shared" si="17"/>
        <v>1</v>
      </c>
      <c r="L7181" s="91" t="str">
        <f t="shared" si="8"/>
        <v>Wed</v>
      </c>
      <c r="M7181" s="78" t="str">
        <f>IFERROR(VLOOKUP(A7181, Entries!A:B,2,false),"")</f>
        <v>Survios</v>
      </c>
      <c r="N7181" s="23" t="str">
        <f>IFERROR(VLOOKUP(A7181, Entries!A:K,11,false),"")</f>
        <v/>
      </c>
    </row>
    <row r="7182">
      <c r="A7182" s="78" t="s">
        <v>8056</v>
      </c>
      <c r="B7182" s="78" t="s">
        <v>22</v>
      </c>
      <c r="C7182" s="85">
        <v>45650.0</v>
      </c>
      <c r="D7182" s="85">
        <v>45651.0</v>
      </c>
      <c r="E7182" s="86">
        <v>16.19</v>
      </c>
      <c r="F7182" s="87">
        <v>23.11</v>
      </c>
      <c r="G7182" s="88">
        <f t="shared" si="1"/>
        <v>6.92</v>
      </c>
      <c r="H7182" s="89">
        <f t="shared" si="18"/>
        <v>0.299437473</v>
      </c>
      <c r="I7182" s="78" t="s">
        <v>8179</v>
      </c>
      <c r="J7182" s="78" t="s">
        <v>69</v>
      </c>
      <c r="K7182" s="58">
        <f t="shared" si="17"/>
        <v>1</v>
      </c>
      <c r="L7182" s="91" t="str">
        <f t="shared" si="8"/>
        <v>Wed</v>
      </c>
      <c r="M7182" s="78" t="str">
        <f>IFERROR(VLOOKUP(A7182, Entries!A:B,2,false),"")</f>
        <v>Survios</v>
      </c>
      <c r="N7182" s="23" t="str">
        <f>IFERROR(VLOOKUP(A7182, Entries!A:K,11,false),"")</f>
        <v/>
      </c>
    </row>
    <row r="7183">
      <c r="A7183" s="78" t="s">
        <v>8056</v>
      </c>
      <c r="B7183" s="78" t="s">
        <v>22</v>
      </c>
      <c r="C7183" s="85">
        <v>45650.0</v>
      </c>
      <c r="D7183" s="85">
        <v>45651.0</v>
      </c>
      <c r="E7183" s="86">
        <v>16.2</v>
      </c>
      <c r="F7183" s="87">
        <v>23.11</v>
      </c>
      <c r="G7183" s="88">
        <f t="shared" si="1"/>
        <v>6.91</v>
      </c>
      <c r="H7183" s="89">
        <f t="shared" si="18"/>
        <v>0.2990047598</v>
      </c>
      <c r="I7183" s="78" t="s">
        <v>8180</v>
      </c>
      <c r="J7183" s="78" t="s">
        <v>69</v>
      </c>
      <c r="K7183" s="58">
        <f t="shared" si="17"/>
        <v>1</v>
      </c>
      <c r="L7183" s="91" t="str">
        <f t="shared" si="8"/>
        <v>Wed</v>
      </c>
      <c r="M7183" s="78" t="str">
        <f>IFERROR(VLOOKUP(A7183, Entries!A:B,2,false),"")</f>
        <v>Survios</v>
      </c>
      <c r="N7183" s="23" t="str">
        <f>IFERROR(VLOOKUP(A7183, Entries!A:K,11,false),"")</f>
        <v/>
      </c>
    </row>
    <row r="7184">
      <c r="A7184" s="78" t="s">
        <v>8056</v>
      </c>
      <c r="B7184" s="78" t="s">
        <v>22</v>
      </c>
      <c r="C7184" s="85">
        <v>45650.0</v>
      </c>
      <c r="D7184" s="85">
        <v>45651.0</v>
      </c>
      <c r="E7184" s="86">
        <v>16.2</v>
      </c>
      <c r="F7184" s="87">
        <v>23.1</v>
      </c>
      <c r="G7184" s="88">
        <f t="shared" si="1"/>
        <v>6.9</v>
      </c>
      <c r="H7184" s="89">
        <f t="shared" si="18"/>
        <v>0.2987012987</v>
      </c>
      <c r="I7184" s="78" t="s">
        <v>8181</v>
      </c>
      <c r="J7184" s="78" t="s">
        <v>69</v>
      </c>
      <c r="K7184" s="58">
        <f t="shared" si="17"/>
        <v>1</v>
      </c>
      <c r="L7184" s="91" t="str">
        <f t="shared" si="8"/>
        <v>Wed</v>
      </c>
      <c r="M7184" s="78" t="str">
        <f>IFERROR(VLOOKUP(A7184, Entries!A:B,2,false),"")</f>
        <v>Survios</v>
      </c>
      <c r="N7184" s="23" t="str">
        <f>IFERROR(VLOOKUP(A7184, Entries!A:K,11,false),"")</f>
        <v/>
      </c>
    </row>
    <row r="7185">
      <c r="A7185" s="78" t="s">
        <v>8056</v>
      </c>
      <c r="B7185" s="78" t="s">
        <v>22</v>
      </c>
      <c r="C7185" s="85">
        <v>45650.0</v>
      </c>
      <c r="D7185" s="85">
        <v>45651.0</v>
      </c>
      <c r="E7185" s="86">
        <v>16.2</v>
      </c>
      <c r="F7185" s="87">
        <v>23.1</v>
      </c>
      <c r="G7185" s="88">
        <f t="shared" si="1"/>
        <v>6.9</v>
      </c>
      <c r="H7185" s="89">
        <f t="shared" si="18"/>
        <v>0.2987012987</v>
      </c>
      <c r="I7185" s="78" t="s">
        <v>8182</v>
      </c>
      <c r="J7185" s="78" t="s">
        <v>69</v>
      </c>
      <c r="K7185" s="58">
        <f t="shared" si="17"/>
        <v>1</v>
      </c>
      <c r="L7185" s="91" t="str">
        <f t="shared" si="8"/>
        <v>Wed</v>
      </c>
      <c r="M7185" s="78" t="str">
        <f>IFERROR(VLOOKUP(A7185, Entries!A:B,2,false),"")</f>
        <v>Survios</v>
      </c>
      <c r="N7185" s="23" t="str">
        <f>IFERROR(VLOOKUP(A7185, Entries!A:K,11,false),"")</f>
        <v/>
      </c>
    </row>
    <row r="7186">
      <c r="A7186" s="78" t="s">
        <v>8056</v>
      </c>
      <c r="B7186" s="78" t="s">
        <v>22</v>
      </c>
      <c r="C7186" s="85">
        <v>45650.0</v>
      </c>
      <c r="D7186" s="85">
        <v>45651.0</v>
      </c>
      <c r="E7186" s="86">
        <v>16.2</v>
      </c>
      <c r="F7186" s="87">
        <v>23.1</v>
      </c>
      <c r="G7186" s="88">
        <f t="shared" si="1"/>
        <v>6.9</v>
      </c>
      <c r="H7186" s="89">
        <f t="shared" si="18"/>
        <v>0.2987012987</v>
      </c>
      <c r="I7186" s="78" t="s">
        <v>8183</v>
      </c>
      <c r="J7186" s="78" t="s">
        <v>69</v>
      </c>
      <c r="K7186" s="58">
        <f t="shared" si="17"/>
        <v>1</v>
      </c>
      <c r="L7186" s="91" t="str">
        <f t="shared" si="8"/>
        <v>Wed</v>
      </c>
      <c r="M7186" s="78" t="str">
        <f>IFERROR(VLOOKUP(A7186, Entries!A:B,2,false),"")</f>
        <v>Survios</v>
      </c>
      <c r="N7186" s="23" t="str">
        <f>IFERROR(VLOOKUP(A7186, Entries!A:K,11,false),"")</f>
        <v/>
      </c>
    </row>
    <row r="7187">
      <c r="A7187" s="78" t="s">
        <v>8011</v>
      </c>
      <c r="B7187" s="78" t="s">
        <v>22</v>
      </c>
      <c r="C7187" s="85">
        <v>45650.0</v>
      </c>
      <c r="D7187" s="85">
        <v>45651.0</v>
      </c>
      <c r="E7187" s="86">
        <v>12.03</v>
      </c>
      <c r="F7187" s="87">
        <v>14.95</v>
      </c>
      <c r="G7187" s="88">
        <f t="shared" si="1"/>
        <v>2.92</v>
      </c>
      <c r="H7187" s="89">
        <f t="shared" si="18"/>
        <v>0.1953177258</v>
      </c>
      <c r="I7187" s="78" t="s">
        <v>8184</v>
      </c>
      <c r="J7187" s="78" t="s">
        <v>69</v>
      </c>
      <c r="K7187" s="58">
        <f t="shared" si="17"/>
        <v>1</v>
      </c>
      <c r="L7187" s="91" t="str">
        <f t="shared" si="8"/>
        <v>Wed</v>
      </c>
      <c r="M7187" s="78" t="str">
        <f>IFERROR(VLOOKUP(A7187, Entries!A:B,2,false),"")</f>
        <v/>
      </c>
      <c r="N7187" s="23" t="str">
        <f>IFERROR(VLOOKUP(A7187, Entries!A:K,11,false),"")</f>
        <v/>
      </c>
    </row>
    <row r="7188">
      <c r="A7188" s="78" t="s">
        <v>8056</v>
      </c>
      <c r="B7188" s="78" t="s">
        <v>22</v>
      </c>
      <c r="C7188" s="85">
        <v>45651.0</v>
      </c>
      <c r="D7188" s="85">
        <v>45651.0</v>
      </c>
      <c r="E7188" s="86">
        <v>16.19</v>
      </c>
      <c r="F7188" s="87">
        <v>23.1</v>
      </c>
      <c r="G7188" s="88">
        <f t="shared" si="1"/>
        <v>6.91</v>
      </c>
      <c r="H7188" s="89">
        <f t="shared" si="18"/>
        <v>0.2991341991</v>
      </c>
      <c r="I7188" s="78" t="s">
        <v>8185</v>
      </c>
      <c r="J7188" s="78" t="s">
        <v>69</v>
      </c>
      <c r="K7188" s="58">
        <f t="shared" si="17"/>
        <v>0</v>
      </c>
      <c r="L7188" s="91" t="str">
        <f t="shared" si="8"/>
        <v>Wed</v>
      </c>
      <c r="M7188" s="78" t="str">
        <f>IFERROR(VLOOKUP(A7188, Entries!A:B,2,false),"")</f>
        <v>Survios</v>
      </c>
      <c r="N7188" s="23" t="str">
        <f>IFERROR(VLOOKUP(A7188, Entries!A:K,11,false),"")</f>
        <v/>
      </c>
    </row>
    <row r="7189">
      <c r="A7189" s="78" t="s">
        <v>8056</v>
      </c>
      <c r="B7189" s="78" t="s">
        <v>22</v>
      </c>
      <c r="C7189" s="85">
        <v>45651.0</v>
      </c>
      <c r="D7189" s="85">
        <v>45651.0</v>
      </c>
      <c r="E7189" s="86">
        <v>16.19</v>
      </c>
      <c r="F7189" s="87">
        <v>23.1</v>
      </c>
      <c r="G7189" s="88">
        <f t="shared" si="1"/>
        <v>6.91</v>
      </c>
      <c r="H7189" s="89">
        <f t="shared" si="18"/>
        <v>0.2991341991</v>
      </c>
      <c r="I7189" s="78" t="s">
        <v>8186</v>
      </c>
      <c r="J7189" s="78" t="s">
        <v>69</v>
      </c>
      <c r="K7189" s="58">
        <f t="shared" si="17"/>
        <v>0</v>
      </c>
      <c r="L7189" s="91" t="str">
        <f t="shared" si="8"/>
        <v>Wed</v>
      </c>
      <c r="M7189" s="78" t="str">
        <f>IFERROR(VLOOKUP(A7189, Entries!A:B,2,false),"")</f>
        <v>Survios</v>
      </c>
      <c r="N7189" s="23" t="str">
        <f>IFERROR(VLOOKUP(A7189, Entries!A:K,11,false),"")</f>
        <v/>
      </c>
    </row>
    <row r="7190">
      <c r="A7190" s="78" t="s">
        <v>8056</v>
      </c>
      <c r="B7190" s="78" t="s">
        <v>22</v>
      </c>
      <c r="C7190" s="85">
        <v>45651.0</v>
      </c>
      <c r="D7190" s="85">
        <v>45651.0</v>
      </c>
      <c r="E7190" s="86">
        <v>16.19</v>
      </c>
      <c r="F7190" s="87">
        <v>23.07</v>
      </c>
      <c r="G7190" s="88">
        <f t="shared" si="1"/>
        <v>6.88</v>
      </c>
      <c r="H7190" s="89">
        <f t="shared" si="18"/>
        <v>0.2982228002</v>
      </c>
      <c r="I7190" s="78" t="s">
        <v>8187</v>
      </c>
      <c r="J7190" s="78" t="s">
        <v>69</v>
      </c>
      <c r="K7190" s="58">
        <f t="shared" si="17"/>
        <v>0</v>
      </c>
      <c r="L7190" s="91" t="str">
        <f t="shared" si="8"/>
        <v>Wed</v>
      </c>
      <c r="M7190" s="78" t="str">
        <f>IFERROR(VLOOKUP(A7190, Entries!A:B,2,false),"")</f>
        <v>Survios</v>
      </c>
      <c r="N7190" s="23" t="str">
        <f>IFERROR(VLOOKUP(A7190, Entries!A:K,11,false),"")</f>
        <v/>
      </c>
    </row>
    <row r="7191">
      <c r="A7191" s="78" t="s">
        <v>8056</v>
      </c>
      <c r="B7191" s="78" t="s">
        <v>22</v>
      </c>
      <c r="C7191" s="85">
        <v>45651.0</v>
      </c>
      <c r="D7191" s="85">
        <v>45651.0</v>
      </c>
      <c r="E7191" s="86">
        <v>16.19</v>
      </c>
      <c r="F7191" s="87">
        <v>23.05</v>
      </c>
      <c r="G7191" s="88">
        <f t="shared" si="1"/>
        <v>6.86</v>
      </c>
      <c r="H7191" s="89">
        <f t="shared" si="18"/>
        <v>0.2976138829</v>
      </c>
      <c r="I7191" s="78" t="s">
        <v>8188</v>
      </c>
      <c r="J7191" s="78" t="s">
        <v>69</v>
      </c>
      <c r="K7191" s="58">
        <f t="shared" si="17"/>
        <v>0</v>
      </c>
      <c r="L7191" s="91" t="str">
        <f t="shared" si="8"/>
        <v>Wed</v>
      </c>
      <c r="M7191" s="78" t="str">
        <f>IFERROR(VLOOKUP(A7191, Entries!A:B,2,false),"")</f>
        <v>Survios</v>
      </c>
      <c r="N7191" s="23" t="str">
        <f>IFERROR(VLOOKUP(A7191, Entries!A:K,11,false),"")</f>
        <v/>
      </c>
    </row>
    <row r="7192">
      <c r="A7192" s="78" t="s">
        <v>8056</v>
      </c>
      <c r="B7192" s="78" t="s">
        <v>22</v>
      </c>
      <c r="C7192" s="85">
        <v>45651.0</v>
      </c>
      <c r="D7192" s="85">
        <v>45652.0</v>
      </c>
      <c r="E7192" s="86">
        <v>16.19</v>
      </c>
      <c r="F7192" s="87">
        <v>23.04</v>
      </c>
      <c r="G7192" s="88">
        <f t="shared" si="1"/>
        <v>6.85</v>
      </c>
      <c r="H7192" s="89">
        <f t="shared" si="18"/>
        <v>0.2973090278</v>
      </c>
      <c r="I7192" s="78" t="s">
        <v>8189</v>
      </c>
      <c r="J7192" s="78" t="s">
        <v>69</v>
      </c>
      <c r="K7192" s="58">
        <f t="shared" si="17"/>
        <v>1</v>
      </c>
      <c r="L7192" s="91" t="str">
        <f t="shared" si="8"/>
        <v>Thu</v>
      </c>
      <c r="M7192" s="78" t="str">
        <f>IFERROR(VLOOKUP(A7192, Entries!A:B,2,false),"")</f>
        <v>Survios</v>
      </c>
      <c r="N7192" s="23" t="str">
        <f>IFERROR(VLOOKUP(A7192, Entries!A:K,11,false),"")</f>
        <v/>
      </c>
    </row>
    <row r="7193">
      <c r="A7193" s="78" t="s">
        <v>8056</v>
      </c>
      <c r="B7193" s="78" t="s">
        <v>22</v>
      </c>
      <c r="C7193" s="85">
        <v>45651.0</v>
      </c>
      <c r="D7193" s="85">
        <v>45652.0</v>
      </c>
      <c r="E7193" s="86">
        <v>16.19</v>
      </c>
      <c r="F7193" s="87">
        <v>20.99</v>
      </c>
      <c r="G7193" s="88">
        <f t="shared" si="1"/>
        <v>4.8</v>
      </c>
      <c r="H7193" s="89">
        <f t="shared" si="18"/>
        <v>0.228680324</v>
      </c>
      <c r="I7193" s="78" t="s">
        <v>8190</v>
      </c>
      <c r="J7193" s="78" t="s">
        <v>69</v>
      </c>
      <c r="K7193" s="58">
        <f t="shared" si="17"/>
        <v>1</v>
      </c>
      <c r="L7193" s="91" t="str">
        <f t="shared" si="8"/>
        <v>Thu</v>
      </c>
      <c r="M7193" s="78" t="str">
        <f>IFERROR(VLOOKUP(A7193, Entries!A:B,2,false),"")</f>
        <v>Survios</v>
      </c>
      <c r="N7193" s="23" t="str">
        <f>IFERROR(VLOOKUP(A7193, Entries!A:K,11,false),"")</f>
        <v/>
      </c>
    </row>
    <row r="7194">
      <c r="A7194" s="78" t="s">
        <v>8056</v>
      </c>
      <c r="B7194" s="78" t="s">
        <v>22</v>
      </c>
      <c r="C7194" s="85">
        <v>45651.0</v>
      </c>
      <c r="D7194" s="85">
        <v>45652.0</v>
      </c>
      <c r="E7194" s="86">
        <v>16.2</v>
      </c>
      <c r="F7194" s="87">
        <v>20.99</v>
      </c>
      <c r="G7194" s="88">
        <f t="shared" si="1"/>
        <v>4.79</v>
      </c>
      <c r="H7194" s="89">
        <f t="shared" si="18"/>
        <v>0.2282039066</v>
      </c>
      <c r="I7194" s="78" t="s">
        <v>8191</v>
      </c>
      <c r="J7194" s="78" t="s">
        <v>69</v>
      </c>
      <c r="K7194" s="58">
        <f t="shared" si="17"/>
        <v>1</v>
      </c>
      <c r="L7194" s="91" t="str">
        <f t="shared" si="8"/>
        <v>Thu</v>
      </c>
      <c r="M7194" s="78" t="str">
        <f>IFERROR(VLOOKUP(A7194, Entries!A:B,2,false),"")</f>
        <v>Survios</v>
      </c>
      <c r="N7194" s="23" t="str">
        <f>IFERROR(VLOOKUP(A7194, Entries!A:K,11,false),"")</f>
        <v/>
      </c>
    </row>
    <row r="7195">
      <c r="A7195" s="78" t="s">
        <v>8056</v>
      </c>
      <c r="B7195" s="78" t="s">
        <v>22</v>
      </c>
      <c r="C7195" s="85">
        <v>45651.0</v>
      </c>
      <c r="D7195" s="85">
        <v>45652.0</v>
      </c>
      <c r="E7195" s="86">
        <v>16.2</v>
      </c>
      <c r="F7195" s="87">
        <v>20.99</v>
      </c>
      <c r="G7195" s="88">
        <f t="shared" si="1"/>
        <v>4.79</v>
      </c>
      <c r="H7195" s="89">
        <f t="shared" si="18"/>
        <v>0.2282039066</v>
      </c>
      <c r="I7195" s="78" t="s">
        <v>8192</v>
      </c>
      <c r="J7195" s="78" t="s">
        <v>69</v>
      </c>
      <c r="K7195" s="58">
        <f t="shared" si="17"/>
        <v>1</v>
      </c>
      <c r="L7195" s="91" t="str">
        <f t="shared" si="8"/>
        <v>Thu</v>
      </c>
      <c r="M7195" s="78" t="str">
        <f>IFERROR(VLOOKUP(A7195, Entries!A:B,2,false),"")</f>
        <v>Survios</v>
      </c>
      <c r="N7195" s="23" t="str">
        <f>IFERROR(VLOOKUP(A7195, Entries!A:K,11,false),"")</f>
        <v/>
      </c>
    </row>
    <row r="7196">
      <c r="A7196" s="78" t="s">
        <v>8056</v>
      </c>
      <c r="B7196" s="78" t="s">
        <v>22</v>
      </c>
      <c r="C7196" s="85">
        <v>45651.0</v>
      </c>
      <c r="D7196" s="85">
        <v>45652.0</v>
      </c>
      <c r="E7196" s="86">
        <v>16.2</v>
      </c>
      <c r="F7196" s="87">
        <v>20.94</v>
      </c>
      <c r="G7196" s="88">
        <f t="shared" si="1"/>
        <v>4.74</v>
      </c>
      <c r="H7196" s="89">
        <f t="shared" si="18"/>
        <v>0.2263610315</v>
      </c>
      <c r="I7196" s="78" t="s">
        <v>8193</v>
      </c>
      <c r="J7196" s="78" t="s">
        <v>69</v>
      </c>
      <c r="K7196" s="58">
        <f t="shared" si="17"/>
        <v>1</v>
      </c>
      <c r="L7196" s="91" t="str">
        <f t="shared" si="8"/>
        <v>Thu</v>
      </c>
      <c r="M7196" s="78" t="str">
        <f>IFERROR(VLOOKUP(A7196, Entries!A:B,2,false),"")</f>
        <v>Survios</v>
      </c>
      <c r="N7196" s="23" t="str">
        <f>IFERROR(VLOOKUP(A7196, Entries!A:K,11,false),"")</f>
        <v/>
      </c>
    </row>
    <row r="7197">
      <c r="A7197" s="78" t="s">
        <v>8056</v>
      </c>
      <c r="B7197" s="78" t="s">
        <v>22</v>
      </c>
      <c r="C7197" s="85">
        <v>45651.0</v>
      </c>
      <c r="D7197" s="85">
        <v>45652.0</v>
      </c>
      <c r="E7197" s="86">
        <v>16.2</v>
      </c>
      <c r="F7197" s="87">
        <v>20.94</v>
      </c>
      <c r="G7197" s="88">
        <f t="shared" si="1"/>
        <v>4.74</v>
      </c>
      <c r="H7197" s="89">
        <f t="shared" si="18"/>
        <v>0.2263610315</v>
      </c>
      <c r="I7197" s="78" t="s">
        <v>8194</v>
      </c>
      <c r="J7197" s="78" t="s">
        <v>69</v>
      </c>
      <c r="K7197" s="58">
        <f t="shared" si="17"/>
        <v>1</v>
      </c>
      <c r="L7197" s="91" t="str">
        <f t="shared" si="8"/>
        <v>Thu</v>
      </c>
      <c r="M7197" s="78" t="str">
        <f>IFERROR(VLOOKUP(A7197, Entries!A:B,2,false),"")</f>
        <v>Survios</v>
      </c>
      <c r="N7197" s="23" t="str">
        <f>IFERROR(VLOOKUP(A7197, Entries!A:K,11,false),"")</f>
        <v/>
      </c>
    </row>
    <row r="7198">
      <c r="A7198" s="78" t="s">
        <v>7798</v>
      </c>
      <c r="B7198" s="78" t="s">
        <v>22</v>
      </c>
      <c r="C7198" s="85">
        <v>45651.0</v>
      </c>
      <c r="D7198" s="85">
        <v>45652.0</v>
      </c>
      <c r="E7198" s="86">
        <v>10.66</v>
      </c>
      <c r="F7198" s="87">
        <v>15.09</v>
      </c>
      <c r="G7198" s="88">
        <f t="shared" si="1"/>
        <v>4.43</v>
      </c>
      <c r="H7198" s="89">
        <f t="shared" si="18"/>
        <v>0.2935719019</v>
      </c>
      <c r="I7198" s="78" t="s">
        <v>8195</v>
      </c>
      <c r="J7198" s="78" t="s">
        <v>69</v>
      </c>
      <c r="K7198" s="58">
        <f t="shared" si="17"/>
        <v>1</v>
      </c>
      <c r="L7198" s="91" t="str">
        <f t="shared" si="8"/>
        <v>Thu</v>
      </c>
      <c r="M7198" s="78" t="str">
        <f>IFERROR(VLOOKUP(A7198, Entries!A:B,2,false),"")</f>
        <v>Konami</v>
      </c>
      <c r="N7198" s="23" t="str">
        <f>IFERROR(VLOOKUP(A7198, Entries!A:K,11,false),"")</f>
        <v/>
      </c>
    </row>
    <row r="7199">
      <c r="A7199" s="78" t="s">
        <v>8046</v>
      </c>
      <c r="B7199" s="78" t="s">
        <v>22</v>
      </c>
      <c r="C7199" s="85">
        <v>45651.0</v>
      </c>
      <c r="D7199" s="85">
        <v>45652.0</v>
      </c>
      <c r="E7199" s="86">
        <v>7.24</v>
      </c>
      <c r="F7199" s="87">
        <v>9.39</v>
      </c>
      <c r="G7199" s="88">
        <f t="shared" si="1"/>
        <v>2.15</v>
      </c>
      <c r="H7199" s="89">
        <f t="shared" si="18"/>
        <v>0.2289669862</v>
      </c>
      <c r="I7199" s="78" t="s">
        <v>8196</v>
      </c>
      <c r="J7199" s="78" t="s">
        <v>69</v>
      </c>
      <c r="K7199" s="58">
        <f t="shared" si="17"/>
        <v>1</v>
      </c>
      <c r="L7199" s="91" t="str">
        <f t="shared" si="8"/>
        <v>Thu</v>
      </c>
      <c r="M7199" s="78" t="str">
        <f>IFERROR(VLOOKUP(A7199, Entries!A:B,2,false),"")</f>
        <v/>
      </c>
      <c r="N7199" s="23" t="str">
        <f>IFERROR(VLOOKUP(A7199, Entries!A:K,11,false),"")</f>
        <v/>
      </c>
    </row>
    <row r="7200">
      <c r="A7200" s="78" t="s">
        <v>8056</v>
      </c>
      <c r="B7200" s="78" t="s">
        <v>22</v>
      </c>
      <c r="C7200" s="85">
        <v>45651.0</v>
      </c>
      <c r="D7200" s="85">
        <v>45652.0</v>
      </c>
      <c r="E7200" s="86">
        <v>16.19</v>
      </c>
      <c r="F7200" s="87">
        <v>20.94</v>
      </c>
      <c r="G7200" s="88">
        <f t="shared" si="1"/>
        <v>4.75</v>
      </c>
      <c r="H7200" s="89">
        <f t="shared" si="18"/>
        <v>0.2268385864</v>
      </c>
      <c r="I7200" s="78" t="s">
        <v>8197</v>
      </c>
      <c r="J7200" s="78" t="s">
        <v>69</v>
      </c>
      <c r="K7200" s="58">
        <f t="shared" si="17"/>
        <v>1</v>
      </c>
      <c r="L7200" s="91" t="str">
        <f t="shared" si="8"/>
        <v>Thu</v>
      </c>
      <c r="M7200" s="78" t="str">
        <f>IFERROR(VLOOKUP(A7200, Entries!A:B,2,false),"")</f>
        <v>Survios</v>
      </c>
      <c r="N7200" s="23" t="str">
        <f>IFERROR(VLOOKUP(A7200, Entries!A:K,11,false),"")</f>
        <v/>
      </c>
    </row>
    <row r="7201">
      <c r="A7201" s="78" t="s">
        <v>8056</v>
      </c>
      <c r="B7201" s="78" t="s">
        <v>22</v>
      </c>
      <c r="C7201" s="85">
        <v>45651.0</v>
      </c>
      <c r="D7201" s="85">
        <v>45652.0</v>
      </c>
      <c r="E7201" s="86">
        <v>16.19</v>
      </c>
      <c r="F7201" s="87">
        <v>20.85</v>
      </c>
      <c r="G7201" s="88">
        <f t="shared" si="1"/>
        <v>4.66</v>
      </c>
      <c r="H7201" s="89">
        <f t="shared" si="18"/>
        <v>0.223501199</v>
      </c>
      <c r="I7201" s="78" t="s">
        <v>8198</v>
      </c>
      <c r="J7201" s="78" t="s">
        <v>69</v>
      </c>
      <c r="K7201" s="58">
        <f t="shared" si="17"/>
        <v>1</v>
      </c>
      <c r="L7201" s="91" t="str">
        <f t="shared" si="8"/>
        <v>Thu</v>
      </c>
      <c r="M7201" s="78" t="str">
        <f>IFERROR(VLOOKUP(A7201, Entries!A:B,2,false),"")</f>
        <v>Survios</v>
      </c>
      <c r="N7201" s="23" t="str">
        <f>IFERROR(VLOOKUP(A7201, Entries!A:K,11,false),"")</f>
        <v/>
      </c>
    </row>
    <row r="7202">
      <c r="A7202" s="78" t="s">
        <v>8056</v>
      </c>
      <c r="B7202" s="78" t="s">
        <v>22</v>
      </c>
      <c r="C7202" s="85">
        <v>45651.0</v>
      </c>
      <c r="D7202" s="85">
        <v>45652.0</v>
      </c>
      <c r="E7202" s="86">
        <v>16.19</v>
      </c>
      <c r="F7202" s="87">
        <v>20.85</v>
      </c>
      <c r="G7202" s="88">
        <f t="shared" si="1"/>
        <v>4.66</v>
      </c>
      <c r="H7202" s="89">
        <f t="shared" si="18"/>
        <v>0.223501199</v>
      </c>
      <c r="I7202" s="78" t="s">
        <v>8199</v>
      </c>
      <c r="J7202" s="78" t="s">
        <v>69</v>
      </c>
      <c r="K7202" s="58">
        <f t="shared" si="17"/>
        <v>1</v>
      </c>
      <c r="L7202" s="91" t="str">
        <f t="shared" si="8"/>
        <v>Thu</v>
      </c>
      <c r="M7202" s="78" t="str">
        <f>IFERROR(VLOOKUP(A7202, Entries!A:B,2,false),"")</f>
        <v>Survios</v>
      </c>
      <c r="N7202" s="23" t="str">
        <f>IFERROR(VLOOKUP(A7202, Entries!A:K,11,false),"")</f>
        <v/>
      </c>
    </row>
    <row r="7203">
      <c r="A7203" s="78" t="s">
        <v>8056</v>
      </c>
      <c r="B7203" s="78" t="s">
        <v>22</v>
      </c>
      <c r="C7203" s="85">
        <v>45651.0</v>
      </c>
      <c r="D7203" s="85">
        <v>45652.0</v>
      </c>
      <c r="E7203" s="86">
        <v>16.19</v>
      </c>
      <c r="F7203" s="87">
        <v>20.99</v>
      </c>
      <c r="G7203" s="88">
        <f t="shared" si="1"/>
        <v>4.8</v>
      </c>
      <c r="H7203" s="89">
        <f t="shared" si="18"/>
        <v>0.228680324</v>
      </c>
      <c r="I7203" s="78" t="s">
        <v>8200</v>
      </c>
      <c r="J7203" s="78" t="s">
        <v>69</v>
      </c>
      <c r="K7203" s="58">
        <f t="shared" si="17"/>
        <v>1</v>
      </c>
      <c r="L7203" s="91" t="str">
        <f t="shared" si="8"/>
        <v>Thu</v>
      </c>
      <c r="M7203" s="78" t="str">
        <f>IFERROR(VLOOKUP(A7203, Entries!A:B,2,false),"")</f>
        <v>Survios</v>
      </c>
      <c r="N7203" s="23" t="str">
        <f>IFERROR(VLOOKUP(A7203, Entries!A:K,11,false),"")</f>
        <v/>
      </c>
    </row>
    <row r="7204">
      <c r="A7204" s="78" t="s">
        <v>8056</v>
      </c>
      <c r="B7204" s="78" t="s">
        <v>22</v>
      </c>
      <c r="C7204" s="85">
        <v>45651.0</v>
      </c>
      <c r="D7204" s="85">
        <v>45653.0</v>
      </c>
      <c r="E7204" s="86">
        <v>16.19</v>
      </c>
      <c r="F7204" s="87">
        <v>20.85</v>
      </c>
      <c r="G7204" s="88">
        <f t="shared" si="1"/>
        <v>4.66</v>
      </c>
      <c r="H7204" s="89">
        <f t="shared" si="18"/>
        <v>0.223501199</v>
      </c>
      <c r="I7204" s="78" t="s">
        <v>8201</v>
      </c>
      <c r="J7204" s="78" t="s">
        <v>69</v>
      </c>
      <c r="K7204" s="58">
        <f t="shared" si="17"/>
        <v>2</v>
      </c>
      <c r="L7204" s="91" t="str">
        <f t="shared" si="8"/>
        <v>Fri</v>
      </c>
      <c r="M7204" s="78" t="str">
        <f>IFERROR(VLOOKUP(A7204, Entries!A:B,2,false),"")</f>
        <v>Survios</v>
      </c>
      <c r="N7204" s="23" t="str">
        <f>IFERROR(VLOOKUP(A7204, Entries!A:K,11,false),"")</f>
        <v/>
      </c>
    </row>
    <row r="7205">
      <c r="A7205" s="78" t="s">
        <v>8056</v>
      </c>
      <c r="B7205" s="78" t="s">
        <v>22</v>
      </c>
      <c r="C7205" s="85">
        <v>45651.0</v>
      </c>
      <c r="D7205" s="85">
        <v>45653.0</v>
      </c>
      <c r="E7205" s="86">
        <v>16.19</v>
      </c>
      <c r="F7205" s="87">
        <v>20.89</v>
      </c>
      <c r="G7205" s="88">
        <f t="shared" si="1"/>
        <v>4.7</v>
      </c>
      <c r="H7205" s="89">
        <f t="shared" si="18"/>
        <v>0.2249880326</v>
      </c>
      <c r="I7205" s="78" t="s">
        <v>8202</v>
      </c>
      <c r="J7205" s="78" t="s">
        <v>69</v>
      </c>
      <c r="K7205" s="58">
        <f t="shared" si="17"/>
        <v>2</v>
      </c>
      <c r="L7205" s="91" t="str">
        <f t="shared" si="8"/>
        <v>Fri</v>
      </c>
      <c r="M7205" s="78" t="str">
        <f>IFERROR(VLOOKUP(A7205, Entries!A:B,2,false),"")</f>
        <v>Survios</v>
      </c>
      <c r="N7205" s="23" t="str">
        <f>IFERROR(VLOOKUP(A7205, Entries!A:K,11,false),"")</f>
        <v/>
      </c>
    </row>
    <row r="7206">
      <c r="A7206" s="78" t="s">
        <v>8056</v>
      </c>
      <c r="B7206" s="78" t="s">
        <v>22</v>
      </c>
      <c r="C7206" s="85">
        <v>45651.0</v>
      </c>
      <c r="D7206" s="85">
        <v>45653.0</v>
      </c>
      <c r="E7206" s="86">
        <v>16.19</v>
      </c>
      <c r="F7206" s="87">
        <v>20.89</v>
      </c>
      <c r="G7206" s="88">
        <f t="shared" si="1"/>
        <v>4.7</v>
      </c>
      <c r="H7206" s="89">
        <f t="shared" si="18"/>
        <v>0.2249880326</v>
      </c>
      <c r="I7206" s="78" t="s">
        <v>8203</v>
      </c>
      <c r="J7206" s="78" t="s">
        <v>69</v>
      </c>
      <c r="K7206" s="58">
        <f t="shared" si="17"/>
        <v>2</v>
      </c>
      <c r="L7206" s="91" t="str">
        <f t="shared" si="8"/>
        <v>Fri</v>
      </c>
      <c r="M7206" s="78" t="str">
        <f>IFERROR(VLOOKUP(A7206, Entries!A:B,2,false),"")</f>
        <v>Survios</v>
      </c>
      <c r="N7206" s="23" t="str">
        <f>IFERROR(VLOOKUP(A7206, Entries!A:K,11,false),"")</f>
        <v/>
      </c>
    </row>
    <row r="7207">
      <c r="A7207" s="78" t="s">
        <v>8056</v>
      </c>
      <c r="B7207" s="78" t="s">
        <v>22</v>
      </c>
      <c r="C7207" s="85">
        <v>45651.0</v>
      </c>
      <c r="D7207" s="85">
        <v>45653.0</v>
      </c>
      <c r="E7207" s="86">
        <v>16.19</v>
      </c>
      <c r="F7207" s="87">
        <v>20.89</v>
      </c>
      <c r="G7207" s="88">
        <f t="shared" si="1"/>
        <v>4.7</v>
      </c>
      <c r="H7207" s="89">
        <f t="shared" si="18"/>
        <v>0.2249880326</v>
      </c>
      <c r="I7207" s="78" t="s">
        <v>8204</v>
      </c>
      <c r="J7207" s="78" t="s">
        <v>69</v>
      </c>
      <c r="K7207" s="58">
        <f t="shared" si="17"/>
        <v>2</v>
      </c>
      <c r="L7207" s="91" t="str">
        <f t="shared" si="8"/>
        <v>Fri</v>
      </c>
      <c r="M7207" s="78" t="str">
        <f>IFERROR(VLOOKUP(A7207, Entries!A:B,2,false),"")</f>
        <v>Survios</v>
      </c>
      <c r="N7207" s="23" t="str">
        <f>IFERROR(VLOOKUP(A7207, Entries!A:K,11,false),"")</f>
        <v/>
      </c>
    </row>
    <row r="7208">
      <c r="A7208" s="78" t="s">
        <v>8056</v>
      </c>
      <c r="B7208" s="78" t="s">
        <v>22</v>
      </c>
      <c r="C7208" s="85">
        <v>45651.0</v>
      </c>
      <c r="D7208" s="85">
        <v>45653.0</v>
      </c>
      <c r="E7208" s="86">
        <v>16.2064285714285</v>
      </c>
      <c r="F7208" s="87">
        <v>20.89</v>
      </c>
      <c r="G7208" s="88">
        <f t="shared" si="1"/>
        <v>4.683571429</v>
      </c>
      <c r="H7208" s="89">
        <f t="shared" si="18"/>
        <v>0.2242016002</v>
      </c>
      <c r="I7208" s="78" t="s">
        <v>8205</v>
      </c>
      <c r="J7208" s="78" t="s">
        <v>69</v>
      </c>
      <c r="K7208" s="58">
        <f t="shared" si="17"/>
        <v>2</v>
      </c>
      <c r="L7208" s="91" t="str">
        <f t="shared" si="8"/>
        <v>Fri</v>
      </c>
      <c r="M7208" s="78" t="str">
        <f>IFERROR(VLOOKUP(A7208, Entries!A:B,2,false),"")</f>
        <v>Survios</v>
      </c>
      <c r="N7208" s="23" t="str">
        <f>IFERROR(VLOOKUP(A7208, Entries!A:K,11,false),"")</f>
        <v/>
      </c>
    </row>
    <row r="7209">
      <c r="A7209" s="78" t="s">
        <v>8056</v>
      </c>
      <c r="B7209" s="78" t="s">
        <v>22</v>
      </c>
      <c r="C7209" s="85">
        <v>45651.0</v>
      </c>
      <c r="D7209" s="85">
        <v>45653.0</v>
      </c>
      <c r="E7209" s="86">
        <v>16.2085714285714</v>
      </c>
      <c r="F7209" s="87">
        <v>20.89</v>
      </c>
      <c r="G7209" s="88">
        <f t="shared" si="1"/>
        <v>4.681428571</v>
      </c>
      <c r="H7209" s="89">
        <f t="shared" si="18"/>
        <v>0.2240990221</v>
      </c>
      <c r="I7209" s="78" t="s">
        <v>8206</v>
      </c>
      <c r="J7209" s="78" t="s">
        <v>69</v>
      </c>
      <c r="K7209" s="58">
        <f t="shared" si="17"/>
        <v>2</v>
      </c>
      <c r="L7209" s="91" t="str">
        <f t="shared" si="8"/>
        <v>Fri</v>
      </c>
      <c r="M7209" s="78" t="str">
        <f>IFERROR(VLOOKUP(A7209, Entries!A:B,2,false),"")</f>
        <v>Survios</v>
      </c>
      <c r="N7209" s="23" t="str">
        <f>IFERROR(VLOOKUP(A7209, Entries!A:K,11,false),"")</f>
        <v/>
      </c>
    </row>
    <row r="7210">
      <c r="A7210" s="78" t="s">
        <v>8011</v>
      </c>
      <c r="B7210" s="78" t="s">
        <v>22</v>
      </c>
      <c r="C7210" s="85">
        <v>45651.0</v>
      </c>
      <c r="D7210" s="85">
        <v>45652.0</v>
      </c>
      <c r="E7210" s="86">
        <v>12.03</v>
      </c>
      <c r="F7210" s="87">
        <v>14.95</v>
      </c>
      <c r="G7210" s="88">
        <f t="shared" si="1"/>
        <v>2.92</v>
      </c>
      <c r="H7210" s="89">
        <f t="shared" si="18"/>
        <v>0.1953177258</v>
      </c>
      <c r="I7210" s="78" t="s">
        <v>8207</v>
      </c>
      <c r="J7210" s="78" t="s">
        <v>69</v>
      </c>
      <c r="K7210" s="58">
        <f t="shared" si="17"/>
        <v>1</v>
      </c>
      <c r="L7210" s="91" t="str">
        <f t="shared" si="8"/>
        <v>Thu</v>
      </c>
      <c r="M7210" s="78" t="str">
        <f>IFERROR(VLOOKUP(A7210, Entries!A:B,2,false),"")</f>
        <v/>
      </c>
      <c r="N7210" s="23" t="str">
        <f>IFERROR(VLOOKUP(A7210, Entries!A:K,11,false),"")</f>
        <v/>
      </c>
    </row>
    <row r="7211">
      <c r="A7211" s="78" t="s">
        <v>7798</v>
      </c>
      <c r="B7211" s="78" t="s">
        <v>22</v>
      </c>
      <c r="C7211" s="85">
        <v>45652.0</v>
      </c>
      <c r="D7211" s="85">
        <v>45653.0</v>
      </c>
      <c r="E7211" s="86">
        <v>10.66</v>
      </c>
      <c r="F7211" s="87">
        <v>15.09</v>
      </c>
      <c r="G7211" s="88">
        <f t="shared" si="1"/>
        <v>4.43</v>
      </c>
      <c r="H7211" s="89">
        <f t="shared" si="18"/>
        <v>0.2935719019</v>
      </c>
      <c r="I7211" s="78" t="s">
        <v>8208</v>
      </c>
      <c r="J7211" s="78" t="s">
        <v>69</v>
      </c>
      <c r="K7211" s="58">
        <f t="shared" si="17"/>
        <v>1</v>
      </c>
      <c r="L7211" s="91" t="str">
        <f t="shared" si="8"/>
        <v>Fri</v>
      </c>
      <c r="M7211" s="78" t="str">
        <f>IFERROR(VLOOKUP(A7211, Entries!A:B,2,false),"")</f>
        <v>Konami</v>
      </c>
      <c r="N7211" s="23" t="str">
        <f>IFERROR(VLOOKUP(A7211, Entries!A:K,11,false),"")</f>
        <v/>
      </c>
    </row>
    <row r="7212">
      <c r="A7212" s="78" t="s">
        <v>8056</v>
      </c>
      <c r="B7212" s="78" t="s">
        <v>22</v>
      </c>
      <c r="C7212" s="85">
        <v>45652.0</v>
      </c>
      <c r="D7212" s="85">
        <v>45653.0</v>
      </c>
      <c r="E7212" s="86">
        <v>16.19</v>
      </c>
      <c r="F7212" s="87">
        <v>20.85</v>
      </c>
      <c r="G7212" s="88">
        <f t="shared" si="1"/>
        <v>4.66</v>
      </c>
      <c r="H7212" s="89">
        <f t="shared" si="18"/>
        <v>0.223501199</v>
      </c>
      <c r="I7212" s="78" t="s">
        <v>8209</v>
      </c>
      <c r="J7212" s="78" t="s">
        <v>69</v>
      </c>
      <c r="K7212" s="58">
        <f t="shared" si="17"/>
        <v>1</v>
      </c>
      <c r="L7212" s="91" t="str">
        <f t="shared" si="8"/>
        <v>Fri</v>
      </c>
      <c r="M7212" s="78" t="str">
        <f>IFERROR(VLOOKUP(A7212, Entries!A:B,2,false),"")</f>
        <v>Survios</v>
      </c>
      <c r="N7212" s="23" t="str">
        <f>IFERROR(VLOOKUP(A7212, Entries!A:K,11,false),"")</f>
        <v/>
      </c>
    </row>
    <row r="7213">
      <c r="A7213" s="78" t="s">
        <v>8056</v>
      </c>
      <c r="B7213" s="78" t="s">
        <v>22</v>
      </c>
      <c r="C7213" s="85">
        <v>45652.0</v>
      </c>
      <c r="D7213" s="85">
        <v>45653.0</v>
      </c>
      <c r="E7213" s="86">
        <v>16.19</v>
      </c>
      <c r="F7213" s="87">
        <v>20.89</v>
      </c>
      <c r="G7213" s="88">
        <f t="shared" si="1"/>
        <v>4.7</v>
      </c>
      <c r="H7213" s="89">
        <f t="shared" si="18"/>
        <v>0.2249880326</v>
      </c>
      <c r="I7213" s="78" t="s">
        <v>8210</v>
      </c>
      <c r="J7213" s="78" t="s">
        <v>69</v>
      </c>
      <c r="K7213" s="58">
        <f t="shared" si="17"/>
        <v>1</v>
      </c>
      <c r="L7213" s="91" t="str">
        <f t="shared" si="8"/>
        <v>Fri</v>
      </c>
      <c r="M7213" s="78" t="str">
        <f>IFERROR(VLOOKUP(A7213, Entries!A:B,2,false),"")</f>
        <v>Survios</v>
      </c>
      <c r="N7213" s="23" t="str">
        <f>IFERROR(VLOOKUP(A7213, Entries!A:K,11,false),"")</f>
        <v/>
      </c>
    </row>
    <row r="7214">
      <c r="A7214" s="78" t="s">
        <v>8056</v>
      </c>
      <c r="B7214" s="78" t="s">
        <v>22</v>
      </c>
      <c r="C7214" s="85">
        <v>45652.0</v>
      </c>
      <c r="D7214" s="85">
        <v>45653.0</v>
      </c>
      <c r="E7214" s="86">
        <v>16.19</v>
      </c>
      <c r="F7214" s="87">
        <v>20.89</v>
      </c>
      <c r="G7214" s="88">
        <f t="shared" si="1"/>
        <v>4.7</v>
      </c>
      <c r="H7214" s="89">
        <f t="shared" si="18"/>
        <v>0.2249880326</v>
      </c>
      <c r="I7214" s="78" t="s">
        <v>8211</v>
      </c>
      <c r="J7214" s="78" t="s">
        <v>69</v>
      </c>
      <c r="K7214" s="58">
        <f t="shared" si="17"/>
        <v>1</v>
      </c>
      <c r="L7214" s="91" t="str">
        <f t="shared" si="8"/>
        <v>Fri</v>
      </c>
      <c r="M7214" s="78" t="str">
        <f>IFERROR(VLOOKUP(A7214, Entries!A:B,2,false),"")</f>
        <v>Survios</v>
      </c>
      <c r="N7214" s="23" t="str">
        <f>IFERROR(VLOOKUP(A7214, Entries!A:K,11,false),"")</f>
        <v/>
      </c>
    </row>
    <row r="7215">
      <c r="A7215" s="78" t="s">
        <v>8056</v>
      </c>
      <c r="B7215" s="78" t="s">
        <v>22</v>
      </c>
      <c r="C7215" s="85">
        <v>45652.0</v>
      </c>
      <c r="D7215" s="85">
        <v>45653.0</v>
      </c>
      <c r="E7215" s="86">
        <v>16.19</v>
      </c>
      <c r="F7215" s="87">
        <v>20.89</v>
      </c>
      <c r="G7215" s="88">
        <f t="shared" si="1"/>
        <v>4.7</v>
      </c>
      <c r="H7215" s="89">
        <f t="shared" si="18"/>
        <v>0.2249880326</v>
      </c>
      <c r="I7215" s="78" t="s">
        <v>8212</v>
      </c>
      <c r="J7215" s="78" t="s">
        <v>69</v>
      </c>
      <c r="K7215" s="58">
        <f t="shared" si="17"/>
        <v>1</v>
      </c>
      <c r="L7215" s="91" t="str">
        <f t="shared" si="8"/>
        <v>Fri</v>
      </c>
      <c r="M7215" s="78" t="str">
        <f>IFERROR(VLOOKUP(A7215, Entries!A:B,2,false),"")</f>
        <v>Survios</v>
      </c>
      <c r="N7215" s="23" t="str">
        <f>IFERROR(VLOOKUP(A7215, Entries!A:K,11,false),"")</f>
        <v/>
      </c>
    </row>
    <row r="7216">
      <c r="A7216" s="78" t="s">
        <v>8056</v>
      </c>
      <c r="B7216" s="78" t="s">
        <v>22</v>
      </c>
      <c r="C7216" s="85">
        <v>45652.0</v>
      </c>
      <c r="D7216" s="85">
        <v>45653.0</v>
      </c>
      <c r="E7216" s="86">
        <v>16.19</v>
      </c>
      <c r="F7216" s="87">
        <v>20.89</v>
      </c>
      <c r="G7216" s="88">
        <f t="shared" si="1"/>
        <v>4.7</v>
      </c>
      <c r="H7216" s="89">
        <f t="shared" si="18"/>
        <v>0.2249880326</v>
      </c>
      <c r="I7216" s="78" t="s">
        <v>8213</v>
      </c>
      <c r="J7216" s="78" t="s">
        <v>69</v>
      </c>
      <c r="K7216" s="58">
        <f t="shared" si="17"/>
        <v>1</v>
      </c>
      <c r="L7216" s="91" t="str">
        <f t="shared" si="8"/>
        <v>Fri</v>
      </c>
      <c r="M7216" s="78" t="str">
        <f>IFERROR(VLOOKUP(A7216, Entries!A:B,2,false),"")</f>
        <v>Survios</v>
      </c>
      <c r="N7216" s="23" t="str">
        <f>IFERROR(VLOOKUP(A7216, Entries!A:K,11,false),"")</f>
        <v/>
      </c>
    </row>
    <row r="7217">
      <c r="A7217" s="78" t="s">
        <v>8056</v>
      </c>
      <c r="B7217" s="78" t="s">
        <v>22</v>
      </c>
      <c r="C7217" s="85">
        <v>45652.0</v>
      </c>
      <c r="D7217" s="85">
        <v>45653.0</v>
      </c>
      <c r="E7217" s="86">
        <v>16.19</v>
      </c>
      <c r="F7217" s="87">
        <v>20.89</v>
      </c>
      <c r="G7217" s="88">
        <f t="shared" si="1"/>
        <v>4.7</v>
      </c>
      <c r="H7217" s="89">
        <f t="shared" si="18"/>
        <v>0.2249880326</v>
      </c>
      <c r="I7217" s="78" t="s">
        <v>8214</v>
      </c>
      <c r="J7217" s="78" t="s">
        <v>69</v>
      </c>
      <c r="K7217" s="58">
        <f t="shared" si="17"/>
        <v>1</v>
      </c>
      <c r="L7217" s="91" t="str">
        <f t="shared" si="8"/>
        <v>Fri</v>
      </c>
      <c r="M7217" s="78" t="str">
        <f>IFERROR(VLOOKUP(A7217, Entries!A:B,2,false),"")</f>
        <v>Survios</v>
      </c>
      <c r="N7217" s="23" t="str">
        <f>IFERROR(VLOOKUP(A7217, Entries!A:K,11,false),"")</f>
        <v/>
      </c>
    </row>
    <row r="7218">
      <c r="A7218" s="78" t="s">
        <v>8056</v>
      </c>
      <c r="B7218" s="78" t="s">
        <v>22</v>
      </c>
      <c r="C7218" s="85">
        <v>45652.0</v>
      </c>
      <c r="D7218" s="85">
        <v>45653.0</v>
      </c>
      <c r="E7218" s="86">
        <v>16.19</v>
      </c>
      <c r="F7218" s="87">
        <v>20.89</v>
      </c>
      <c r="G7218" s="88">
        <f t="shared" si="1"/>
        <v>4.7</v>
      </c>
      <c r="H7218" s="89">
        <f t="shared" si="18"/>
        <v>0.2249880326</v>
      </c>
      <c r="I7218" s="78" t="s">
        <v>8215</v>
      </c>
      <c r="J7218" s="78" t="s">
        <v>69</v>
      </c>
      <c r="K7218" s="58">
        <f t="shared" si="17"/>
        <v>1</v>
      </c>
      <c r="L7218" s="91" t="str">
        <f t="shared" si="8"/>
        <v>Fri</v>
      </c>
      <c r="M7218" s="78" t="str">
        <f>IFERROR(VLOOKUP(A7218, Entries!A:B,2,false),"")</f>
        <v>Survios</v>
      </c>
      <c r="N7218" s="23" t="str">
        <f>IFERROR(VLOOKUP(A7218, Entries!A:K,11,false),"")</f>
        <v/>
      </c>
    </row>
    <row r="7219">
      <c r="A7219" s="78" t="s">
        <v>8056</v>
      </c>
      <c r="B7219" s="78" t="s">
        <v>22</v>
      </c>
      <c r="C7219" s="85">
        <v>45652.0</v>
      </c>
      <c r="D7219" s="85">
        <v>45653.0</v>
      </c>
      <c r="E7219" s="86">
        <v>16.19</v>
      </c>
      <c r="F7219" s="87">
        <v>20.89</v>
      </c>
      <c r="G7219" s="88">
        <f t="shared" si="1"/>
        <v>4.7</v>
      </c>
      <c r="H7219" s="89">
        <f t="shared" si="18"/>
        <v>0.2249880326</v>
      </c>
      <c r="I7219" s="78" t="s">
        <v>8216</v>
      </c>
      <c r="J7219" s="78" t="s">
        <v>69</v>
      </c>
      <c r="K7219" s="58">
        <f t="shared" si="17"/>
        <v>1</v>
      </c>
      <c r="L7219" s="91" t="str">
        <f t="shared" si="8"/>
        <v>Fri</v>
      </c>
      <c r="M7219" s="78" t="str">
        <f>IFERROR(VLOOKUP(A7219, Entries!A:B,2,false),"")</f>
        <v>Survios</v>
      </c>
      <c r="N7219" s="23" t="str">
        <f>IFERROR(VLOOKUP(A7219, Entries!A:K,11,false),"")</f>
        <v/>
      </c>
    </row>
    <row r="7220">
      <c r="A7220" s="78" t="s">
        <v>8056</v>
      </c>
      <c r="B7220" s="78" t="s">
        <v>22</v>
      </c>
      <c r="C7220" s="85">
        <v>45652.0</v>
      </c>
      <c r="D7220" s="85">
        <v>45653.0</v>
      </c>
      <c r="E7220" s="86">
        <v>16.2064285714285</v>
      </c>
      <c r="F7220" s="87">
        <v>20.89</v>
      </c>
      <c r="G7220" s="88">
        <f t="shared" si="1"/>
        <v>4.683571429</v>
      </c>
      <c r="H7220" s="89">
        <f t="shared" si="18"/>
        <v>0.2242016002</v>
      </c>
      <c r="I7220" s="78" t="s">
        <v>8217</v>
      </c>
      <c r="J7220" s="78" t="s">
        <v>69</v>
      </c>
      <c r="K7220" s="58">
        <f t="shared" si="17"/>
        <v>1</v>
      </c>
      <c r="L7220" s="91" t="str">
        <f t="shared" si="8"/>
        <v>Fri</v>
      </c>
      <c r="M7220" s="78" t="str">
        <f>IFERROR(VLOOKUP(A7220, Entries!A:B,2,false),"")</f>
        <v>Survios</v>
      </c>
      <c r="N7220" s="23" t="str">
        <f>IFERROR(VLOOKUP(A7220, Entries!A:K,11,false),"")</f>
        <v/>
      </c>
    </row>
    <row r="7221">
      <c r="A7221" s="78" t="s">
        <v>8056</v>
      </c>
      <c r="B7221" s="78" t="s">
        <v>22</v>
      </c>
      <c r="C7221" s="85">
        <v>45652.0</v>
      </c>
      <c r="D7221" s="85">
        <v>45653.0</v>
      </c>
      <c r="E7221" s="86">
        <v>16.2085714285714</v>
      </c>
      <c r="F7221" s="87">
        <v>20.83</v>
      </c>
      <c r="G7221" s="88">
        <f t="shared" si="1"/>
        <v>4.621428571</v>
      </c>
      <c r="H7221" s="89">
        <f t="shared" si="18"/>
        <v>0.2218640697</v>
      </c>
      <c r="I7221" s="78" t="s">
        <v>8218</v>
      </c>
      <c r="J7221" s="78" t="s">
        <v>69</v>
      </c>
      <c r="K7221" s="58">
        <f t="shared" si="17"/>
        <v>1</v>
      </c>
      <c r="L7221" s="91" t="str">
        <f t="shared" si="8"/>
        <v>Fri</v>
      </c>
      <c r="M7221" s="78" t="str">
        <f>IFERROR(VLOOKUP(A7221, Entries!A:B,2,false),"")</f>
        <v>Survios</v>
      </c>
      <c r="N7221" s="23" t="str">
        <f>IFERROR(VLOOKUP(A7221, Entries!A:K,11,false),"")</f>
        <v/>
      </c>
    </row>
    <row r="7222">
      <c r="A7222" s="78" t="s">
        <v>8046</v>
      </c>
      <c r="B7222" s="78" t="s">
        <v>22</v>
      </c>
      <c r="C7222" s="85">
        <v>45653.0</v>
      </c>
      <c r="D7222" s="85">
        <v>45666.0</v>
      </c>
      <c r="E7222" s="86">
        <v>7.24</v>
      </c>
      <c r="F7222" s="87">
        <v>9.31</v>
      </c>
      <c r="G7222" s="88">
        <f t="shared" si="1"/>
        <v>2.07</v>
      </c>
      <c r="H7222" s="89">
        <f t="shared" si="18"/>
        <v>0.2223415682</v>
      </c>
      <c r="I7222" s="78" t="s">
        <v>8219</v>
      </c>
      <c r="J7222" s="78" t="s">
        <v>69</v>
      </c>
      <c r="K7222" s="58">
        <f t="shared" si="17"/>
        <v>13</v>
      </c>
      <c r="L7222" s="91" t="str">
        <f t="shared" si="8"/>
        <v>Thu</v>
      </c>
      <c r="M7222" s="78" t="str">
        <f>IFERROR(VLOOKUP(A7222, Entries!A:B,2,false),"")</f>
        <v/>
      </c>
      <c r="N7222" s="23" t="str">
        <f>IFERROR(VLOOKUP(A7222, Entries!A:K,11,false),"")</f>
        <v/>
      </c>
    </row>
    <row r="7223">
      <c r="A7223" s="78" t="s">
        <v>8011</v>
      </c>
      <c r="B7223" s="78" t="s">
        <v>22</v>
      </c>
      <c r="C7223" s="85">
        <v>45653.0</v>
      </c>
      <c r="D7223" s="85">
        <v>45653.0</v>
      </c>
      <c r="E7223" s="86">
        <v>12.03</v>
      </c>
      <c r="F7223" s="87">
        <v>14.95</v>
      </c>
      <c r="G7223" s="88">
        <f t="shared" si="1"/>
        <v>2.92</v>
      </c>
      <c r="H7223" s="89">
        <f t="shared" si="18"/>
        <v>0.1953177258</v>
      </c>
      <c r="I7223" s="78" t="s">
        <v>8220</v>
      </c>
      <c r="J7223" s="78" t="s">
        <v>69</v>
      </c>
      <c r="K7223" s="58">
        <f t="shared" si="17"/>
        <v>0</v>
      </c>
      <c r="L7223" s="91" t="str">
        <f t="shared" si="8"/>
        <v>Fri</v>
      </c>
      <c r="M7223" s="78" t="str">
        <f>IFERROR(VLOOKUP(A7223, Entries!A:B,2,false),"")</f>
        <v/>
      </c>
      <c r="N7223" s="23" t="str">
        <f>IFERROR(VLOOKUP(A7223, Entries!A:K,11,false),"")</f>
        <v/>
      </c>
    </row>
    <row r="7224">
      <c r="A7224" s="78" t="s">
        <v>7798</v>
      </c>
      <c r="B7224" s="78" t="s">
        <v>22</v>
      </c>
      <c r="C7224" s="85">
        <v>45653.0</v>
      </c>
      <c r="D7224" s="85">
        <v>45656.0</v>
      </c>
      <c r="E7224" s="86">
        <v>10.66</v>
      </c>
      <c r="F7224" s="87">
        <v>15.09</v>
      </c>
      <c r="G7224" s="88">
        <f t="shared" si="1"/>
        <v>4.43</v>
      </c>
      <c r="H7224" s="89">
        <f t="shared" si="18"/>
        <v>0.2935719019</v>
      </c>
      <c r="I7224" s="78" t="s">
        <v>8221</v>
      </c>
      <c r="J7224" s="78" t="s">
        <v>69</v>
      </c>
      <c r="K7224" s="58">
        <f t="shared" si="17"/>
        <v>3</v>
      </c>
      <c r="L7224" s="91" t="str">
        <f t="shared" si="8"/>
        <v>Mon</v>
      </c>
      <c r="M7224" s="78" t="str">
        <f>IFERROR(VLOOKUP(A7224, Entries!A:B,2,false),"")</f>
        <v>Konami</v>
      </c>
      <c r="N7224" s="23" t="str">
        <f>IFERROR(VLOOKUP(A7224, Entries!A:K,11,false),"")</f>
        <v/>
      </c>
    </row>
    <row r="7225">
      <c r="A7225" s="78" t="s">
        <v>8056</v>
      </c>
      <c r="B7225" s="78" t="s">
        <v>22</v>
      </c>
      <c r="C7225" s="85">
        <v>45653.0</v>
      </c>
      <c r="D7225" s="85">
        <v>45653.0</v>
      </c>
      <c r="E7225" s="86">
        <v>16.19</v>
      </c>
      <c r="F7225" s="87">
        <v>20.83</v>
      </c>
      <c r="G7225" s="88">
        <f t="shared" si="1"/>
        <v>4.64</v>
      </c>
      <c r="H7225" s="89">
        <f t="shared" si="18"/>
        <v>0.2227556409</v>
      </c>
      <c r="I7225" s="78" t="s">
        <v>8222</v>
      </c>
      <c r="J7225" s="78" t="s">
        <v>69</v>
      </c>
      <c r="K7225" s="58">
        <f t="shared" si="17"/>
        <v>0</v>
      </c>
      <c r="L7225" s="91" t="str">
        <f t="shared" si="8"/>
        <v>Fri</v>
      </c>
      <c r="M7225" s="78" t="str">
        <f>IFERROR(VLOOKUP(A7225, Entries!A:B,2,false),"")</f>
        <v>Survios</v>
      </c>
      <c r="N7225" s="23" t="str">
        <f>IFERROR(VLOOKUP(A7225, Entries!A:K,11,false),"")</f>
        <v/>
      </c>
    </row>
    <row r="7226">
      <c r="A7226" s="78" t="s">
        <v>8056</v>
      </c>
      <c r="B7226" s="78" t="s">
        <v>22</v>
      </c>
      <c r="C7226" s="85">
        <v>45653.0</v>
      </c>
      <c r="D7226" s="85">
        <v>45653.0</v>
      </c>
      <c r="E7226" s="86">
        <v>16.19</v>
      </c>
      <c r="F7226" s="87">
        <v>20.83</v>
      </c>
      <c r="G7226" s="88">
        <f t="shared" si="1"/>
        <v>4.64</v>
      </c>
      <c r="H7226" s="89">
        <f t="shared" si="18"/>
        <v>0.2227556409</v>
      </c>
      <c r="I7226" s="78" t="s">
        <v>8223</v>
      </c>
      <c r="J7226" s="78" t="s">
        <v>69</v>
      </c>
      <c r="K7226" s="58">
        <f t="shared" si="17"/>
        <v>0</v>
      </c>
      <c r="L7226" s="91" t="str">
        <f t="shared" si="8"/>
        <v>Fri</v>
      </c>
      <c r="M7226" s="78" t="str">
        <f>IFERROR(VLOOKUP(A7226, Entries!A:B,2,false),"")</f>
        <v>Survios</v>
      </c>
      <c r="N7226" s="23" t="str">
        <f>IFERROR(VLOOKUP(A7226, Entries!A:K,11,false),"")</f>
        <v/>
      </c>
    </row>
    <row r="7227">
      <c r="A7227" s="78" t="s">
        <v>8056</v>
      </c>
      <c r="B7227" s="78" t="s">
        <v>22</v>
      </c>
      <c r="C7227" s="85">
        <v>45653.0</v>
      </c>
      <c r="D7227" s="85">
        <v>45653.0</v>
      </c>
      <c r="E7227" s="86">
        <v>16.19</v>
      </c>
      <c r="F7227" s="87">
        <v>20.85</v>
      </c>
      <c r="G7227" s="88">
        <f t="shared" si="1"/>
        <v>4.66</v>
      </c>
      <c r="H7227" s="89">
        <f t="shared" si="18"/>
        <v>0.223501199</v>
      </c>
      <c r="I7227" s="78" t="s">
        <v>8224</v>
      </c>
      <c r="J7227" s="78" t="s">
        <v>69</v>
      </c>
      <c r="K7227" s="58">
        <f t="shared" si="17"/>
        <v>0</v>
      </c>
      <c r="L7227" s="91" t="str">
        <f t="shared" si="8"/>
        <v>Fri</v>
      </c>
      <c r="M7227" s="78" t="str">
        <f>IFERROR(VLOOKUP(A7227, Entries!A:B,2,false),"")</f>
        <v>Survios</v>
      </c>
      <c r="N7227" s="23" t="str">
        <f>IFERROR(VLOOKUP(A7227, Entries!A:K,11,false),"")</f>
        <v/>
      </c>
    </row>
    <row r="7228">
      <c r="A7228" s="78" t="s">
        <v>8056</v>
      </c>
      <c r="B7228" s="78" t="s">
        <v>22</v>
      </c>
      <c r="C7228" s="85">
        <v>45653.0</v>
      </c>
      <c r="D7228" s="85">
        <v>45653.0</v>
      </c>
      <c r="E7228" s="86">
        <v>16.19</v>
      </c>
      <c r="F7228" s="87">
        <v>20.83</v>
      </c>
      <c r="G7228" s="88">
        <f t="shared" si="1"/>
        <v>4.64</v>
      </c>
      <c r="H7228" s="89">
        <f t="shared" si="18"/>
        <v>0.2227556409</v>
      </c>
      <c r="I7228" s="78" t="s">
        <v>8225</v>
      </c>
      <c r="J7228" s="78" t="s">
        <v>69</v>
      </c>
      <c r="K7228" s="58">
        <f t="shared" si="17"/>
        <v>0</v>
      </c>
      <c r="L7228" s="91" t="str">
        <f t="shared" si="8"/>
        <v>Fri</v>
      </c>
      <c r="M7228" s="78" t="str">
        <f>IFERROR(VLOOKUP(A7228, Entries!A:B,2,false),"")</f>
        <v>Survios</v>
      </c>
      <c r="N7228" s="23" t="str">
        <f>IFERROR(VLOOKUP(A7228, Entries!A:K,11,false),"")</f>
        <v/>
      </c>
    </row>
    <row r="7229">
      <c r="A7229" s="78" t="s">
        <v>8056</v>
      </c>
      <c r="B7229" s="78" t="s">
        <v>22</v>
      </c>
      <c r="C7229" s="85">
        <v>45653.0</v>
      </c>
      <c r="D7229" s="85">
        <v>45653.0</v>
      </c>
      <c r="E7229" s="86">
        <v>16.19</v>
      </c>
      <c r="F7229" s="87">
        <v>20.83</v>
      </c>
      <c r="G7229" s="88">
        <f t="shared" si="1"/>
        <v>4.64</v>
      </c>
      <c r="H7229" s="89">
        <f t="shared" si="18"/>
        <v>0.2227556409</v>
      </c>
      <c r="I7229" s="78" t="s">
        <v>8226</v>
      </c>
      <c r="J7229" s="78" t="s">
        <v>69</v>
      </c>
      <c r="K7229" s="58">
        <f t="shared" si="17"/>
        <v>0</v>
      </c>
      <c r="L7229" s="91" t="str">
        <f t="shared" si="8"/>
        <v>Fri</v>
      </c>
      <c r="M7229" s="78" t="str">
        <f>IFERROR(VLOOKUP(A7229, Entries!A:B,2,false),"")</f>
        <v>Survios</v>
      </c>
      <c r="N7229" s="23" t="str">
        <f>IFERROR(VLOOKUP(A7229, Entries!A:K,11,false),"")</f>
        <v/>
      </c>
    </row>
    <row r="7230">
      <c r="A7230" s="78" t="s">
        <v>8056</v>
      </c>
      <c r="B7230" s="78" t="s">
        <v>22</v>
      </c>
      <c r="C7230" s="85">
        <v>45653.0</v>
      </c>
      <c r="D7230" s="85">
        <v>45653.0</v>
      </c>
      <c r="E7230" s="86">
        <v>16.19</v>
      </c>
      <c r="F7230" s="87">
        <v>20.83</v>
      </c>
      <c r="G7230" s="88">
        <f t="shared" si="1"/>
        <v>4.64</v>
      </c>
      <c r="H7230" s="89">
        <f t="shared" si="18"/>
        <v>0.2227556409</v>
      </c>
      <c r="I7230" s="78" t="s">
        <v>8227</v>
      </c>
      <c r="J7230" s="78" t="s">
        <v>69</v>
      </c>
      <c r="K7230" s="58">
        <f t="shared" si="17"/>
        <v>0</v>
      </c>
      <c r="L7230" s="91" t="str">
        <f t="shared" si="8"/>
        <v>Fri</v>
      </c>
      <c r="M7230" s="78" t="str">
        <f>IFERROR(VLOOKUP(A7230, Entries!A:B,2,false),"")</f>
        <v>Survios</v>
      </c>
      <c r="N7230" s="23" t="str">
        <f>IFERROR(VLOOKUP(A7230, Entries!A:K,11,false),"")</f>
        <v/>
      </c>
    </row>
    <row r="7231">
      <c r="A7231" s="78" t="s">
        <v>8056</v>
      </c>
      <c r="B7231" s="78" t="s">
        <v>22</v>
      </c>
      <c r="C7231" s="85">
        <v>45653.0</v>
      </c>
      <c r="D7231" s="85">
        <v>45653.0</v>
      </c>
      <c r="E7231" s="86">
        <v>16.19</v>
      </c>
      <c r="F7231" s="87">
        <v>20.09</v>
      </c>
      <c r="G7231" s="88">
        <f t="shared" si="1"/>
        <v>3.9</v>
      </c>
      <c r="H7231" s="89">
        <f t="shared" si="18"/>
        <v>0.1941264311</v>
      </c>
      <c r="I7231" s="78" t="s">
        <v>8228</v>
      </c>
      <c r="J7231" s="78" t="s">
        <v>69</v>
      </c>
      <c r="K7231" s="58">
        <f t="shared" si="17"/>
        <v>0</v>
      </c>
      <c r="L7231" s="91" t="str">
        <f t="shared" si="8"/>
        <v>Fri</v>
      </c>
      <c r="M7231" s="78" t="str">
        <f>IFERROR(VLOOKUP(A7231, Entries!A:B,2,false),"")</f>
        <v>Survios</v>
      </c>
      <c r="N7231" s="23" t="str">
        <f>IFERROR(VLOOKUP(A7231, Entries!A:K,11,false),"")</f>
        <v/>
      </c>
    </row>
    <row r="7232">
      <c r="A7232" s="78" t="s">
        <v>8056</v>
      </c>
      <c r="B7232" s="78" t="s">
        <v>22</v>
      </c>
      <c r="C7232" s="85">
        <v>45653.0</v>
      </c>
      <c r="D7232" s="85">
        <v>45654.0</v>
      </c>
      <c r="E7232" s="86">
        <v>16.19</v>
      </c>
      <c r="F7232" s="87">
        <v>20.09</v>
      </c>
      <c r="G7232" s="88">
        <f t="shared" si="1"/>
        <v>3.9</v>
      </c>
      <c r="H7232" s="89">
        <f t="shared" si="18"/>
        <v>0.1941264311</v>
      </c>
      <c r="I7232" s="78" t="s">
        <v>8229</v>
      </c>
      <c r="J7232" s="78" t="s">
        <v>69</v>
      </c>
      <c r="K7232" s="58">
        <f t="shared" si="17"/>
        <v>1</v>
      </c>
      <c r="L7232" s="91" t="str">
        <f t="shared" si="8"/>
        <v>Sat</v>
      </c>
      <c r="M7232" s="78" t="str">
        <f>IFERROR(VLOOKUP(A7232, Entries!A:B,2,false),"")</f>
        <v>Survios</v>
      </c>
      <c r="N7232" s="23" t="str">
        <f>IFERROR(VLOOKUP(A7232, Entries!A:K,11,false),"")</f>
        <v/>
      </c>
    </row>
    <row r="7233">
      <c r="A7233" s="78" t="s">
        <v>8056</v>
      </c>
      <c r="B7233" s="78" t="s">
        <v>22</v>
      </c>
      <c r="C7233" s="85">
        <v>45653.0</v>
      </c>
      <c r="D7233" s="85">
        <v>45654.0</v>
      </c>
      <c r="E7233" s="86">
        <v>16.2064285714285</v>
      </c>
      <c r="F7233" s="87">
        <v>20.06</v>
      </c>
      <c r="G7233" s="88">
        <f t="shared" si="1"/>
        <v>3.853571429</v>
      </c>
      <c r="H7233" s="89">
        <f t="shared" si="18"/>
        <v>0.1921022646</v>
      </c>
      <c r="I7233" s="78" t="s">
        <v>8230</v>
      </c>
      <c r="J7233" s="78" t="s">
        <v>69</v>
      </c>
      <c r="K7233" s="58">
        <f t="shared" si="17"/>
        <v>1</v>
      </c>
      <c r="L7233" s="91" t="str">
        <f t="shared" si="8"/>
        <v>Sat</v>
      </c>
      <c r="M7233" s="78" t="str">
        <f>IFERROR(VLOOKUP(A7233, Entries!A:B,2,false),"")</f>
        <v>Survios</v>
      </c>
      <c r="N7233" s="23" t="str">
        <f>IFERROR(VLOOKUP(A7233, Entries!A:K,11,false),"")</f>
        <v/>
      </c>
    </row>
    <row r="7234">
      <c r="A7234" s="78" t="s">
        <v>8056</v>
      </c>
      <c r="B7234" s="78" t="s">
        <v>22</v>
      </c>
      <c r="C7234" s="85">
        <v>45653.0</v>
      </c>
      <c r="D7234" s="85">
        <v>45654.0</v>
      </c>
      <c r="E7234" s="86">
        <v>16.1973015873016</v>
      </c>
      <c r="F7234" s="87">
        <v>20.06</v>
      </c>
      <c r="G7234" s="88">
        <f t="shared" si="1"/>
        <v>3.862698413</v>
      </c>
      <c r="H7234" s="89">
        <f t="shared" si="18"/>
        <v>0.1925572489</v>
      </c>
      <c r="I7234" s="78" t="s">
        <v>8231</v>
      </c>
      <c r="J7234" s="78" t="s">
        <v>69</v>
      </c>
      <c r="K7234" s="58">
        <f t="shared" si="17"/>
        <v>1</v>
      </c>
      <c r="L7234" s="91" t="str">
        <f t="shared" si="8"/>
        <v>Sat</v>
      </c>
      <c r="M7234" s="78" t="str">
        <f>IFERROR(VLOOKUP(A7234, Entries!A:B,2,false),"")</f>
        <v>Survios</v>
      </c>
      <c r="N7234" s="23" t="str">
        <f>IFERROR(VLOOKUP(A7234, Entries!A:K,11,false),"")</f>
        <v/>
      </c>
    </row>
    <row r="7235">
      <c r="A7235" s="78" t="s">
        <v>8056</v>
      </c>
      <c r="B7235" s="78" t="s">
        <v>22</v>
      </c>
      <c r="C7235" s="85">
        <v>45653.0</v>
      </c>
      <c r="D7235" s="85">
        <v>45654.0</v>
      </c>
      <c r="E7235" s="86">
        <v>16.19</v>
      </c>
      <c r="F7235" s="87">
        <v>20.06</v>
      </c>
      <c r="G7235" s="88">
        <f t="shared" si="1"/>
        <v>3.87</v>
      </c>
      <c r="H7235" s="89">
        <f t="shared" si="18"/>
        <v>0.1929212363</v>
      </c>
      <c r="I7235" s="78" t="s">
        <v>8232</v>
      </c>
      <c r="J7235" s="78" t="s">
        <v>69</v>
      </c>
      <c r="K7235" s="58">
        <f t="shared" si="17"/>
        <v>1</v>
      </c>
      <c r="L7235" s="91" t="str">
        <f t="shared" si="8"/>
        <v>Sat</v>
      </c>
      <c r="M7235" s="78" t="str">
        <f>IFERROR(VLOOKUP(A7235, Entries!A:B,2,false),"")</f>
        <v>Survios</v>
      </c>
      <c r="N7235" s="23" t="str">
        <f>IFERROR(VLOOKUP(A7235, Entries!A:K,11,false),"")</f>
        <v/>
      </c>
    </row>
    <row r="7236">
      <c r="A7236" s="78" t="s">
        <v>8056</v>
      </c>
      <c r="B7236" s="78" t="s">
        <v>22</v>
      </c>
      <c r="C7236" s="85">
        <v>45653.0</v>
      </c>
      <c r="D7236" s="85">
        <v>45654.0</v>
      </c>
      <c r="E7236" s="86">
        <v>16.19</v>
      </c>
      <c r="F7236" s="87">
        <v>20.06</v>
      </c>
      <c r="G7236" s="88">
        <f t="shared" si="1"/>
        <v>3.87</v>
      </c>
      <c r="H7236" s="89">
        <f t="shared" si="18"/>
        <v>0.1929212363</v>
      </c>
      <c r="I7236" s="78" t="s">
        <v>8233</v>
      </c>
      <c r="J7236" s="78" t="s">
        <v>69</v>
      </c>
      <c r="K7236" s="58">
        <f t="shared" si="17"/>
        <v>1</v>
      </c>
      <c r="L7236" s="91" t="str">
        <f t="shared" si="8"/>
        <v>Sat</v>
      </c>
      <c r="M7236" s="78" t="str">
        <f>IFERROR(VLOOKUP(A7236, Entries!A:B,2,false),"")</f>
        <v>Survios</v>
      </c>
      <c r="N7236" s="23" t="str">
        <f>IFERROR(VLOOKUP(A7236, Entries!A:K,11,false),"")</f>
        <v/>
      </c>
    </row>
    <row r="7237">
      <c r="A7237" s="78" t="s">
        <v>8056</v>
      </c>
      <c r="B7237" s="78" t="s">
        <v>22</v>
      </c>
      <c r="C7237" s="85">
        <v>45653.0</v>
      </c>
      <c r="D7237" s="85">
        <v>45654.0</v>
      </c>
      <c r="E7237" s="86">
        <v>16.19</v>
      </c>
      <c r="F7237" s="87">
        <v>20.06</v>
      </c>
      <c r="G7237" s="88">
        <f t="shared" si="1"/>
        <v>3.87</v>
      </c>
      <c r="H7237" s="89">
        <f t="shared" si="18"/>
        <v>0.1929212363</v>
      </c>
      <c r="I7237" s="78" t="s">
        <v>8234</v>
      </c>
      <c r="J7237" s="78" t="s">
        <v>69</v>
      </c>
      <c r="K7237" s="58">
        <f t="shared" si="17"/>
        <v>1</v>
      </c>
      <c r="L7237" s="91" t="str">
        <f t="shared" si="8"/>
        <v>Sat</v>
      </c>
      <c r="M7237" s="78" t="str">
        <f>IFERROR(VLOOKUP(A7237, Entries!A:B,2,false),"")</f>
        <v>Survios</v>
      </c>
      <c r="N7237" s="23" t="str">
        <f>IFERROR(VLOOKUP(A7237, Entries!A:K,11,false),"")</f>
        <v/>
      </c>
    </row>
    <row r="7238">
      <c r="A7238" s="78" t="s">
        <v>8056</v>
      </c>
      <c r="B7238" s="78" t="s">
        <v>22</v>
      </c>
      <c r="C7238" s="85">
        <v>45653.0</v>
      </c>
      <c r="D7238" s="85">
        <v>45654.0</v>
      </c>
      <c r="E7238" s="86">
        <v>16.19</v>
      </c>
      <c r="F7238" s="87">
        <v>20.06</v>
      </c>
      <c r="G7238" s="88">
        <f t="shared" si="1"/>
        <v>3.87</v>
      </c>
      <c r="H7238" s="89">
        <f t="shared" si="18"/>
        <v>0.1929212363</v>
      </c>
      <c r="I7238" s="78" t="s">
        <v>8235</v>
      </c>
      <c r="J7238" s="78" t="s">
        <v>69</v>
      </c>
      <c r="K7238" s="58">
        <f t="shared" si="17"/>
        <v>1</v>
      </c>
      <c r="L7238" s="91" t="str">
        <f t="shared" si="8"/>
        <v>Sat</v>
      </c>
      <c r="M7238" s="78" t="str">
        <f>IFERROR(VLOOKUP(A7238, Entries!A:B,2,false),"")</f>
        <v>Survios</v>
      </c>
      <c r="N7238" s="23" t="str">
        <f>IFERROR(VLOOKUP(A7238, Entries!A:K,11,false),"")</f>
        <v/>
      </c>
    </row>
    <row r="7239">
      <c r="A7239" s="78" t="s">
        <v>8056</v>
      </c>
      <c r="B7239" s="78" t="s">
        <v>22</v>
      </c>
      <c r="C7239" s="85">
        <v>45653.0</v>
      </c>
      <c r="D7239" s="85">
        <v>45654.0</v>
      </c>
      <c r="E7239" s="86">
        <v>16.19</v>
      </c>
      <c r="F7239" s="87">
        <v>20.06</v>
      </c>
      <c r="G7239" s="88">
        <f t="shared" si="1"/>
        <v>3.87</v>
      </c>
      <c r="H7239" s="89">
        <f t="shared" si="18"/>
        <v>0.1929212363</v>
      </c>
      <c r="I7239" s="78" t="s">
        <v>8236</v>
      </c>
      <c r="J7239" s="78" t="s">
        <v>69</v>
      </c>
      <c r="K7239" s="58">
        <f t="shared" si="17"/>
        <v>1</v>
      </c>
      <c r="L7239" s="91" t="str">
        <f t="shared" si="8"/>
        <v>Sat</v>
      </c>
      <c r="M7239" s="78" t="str">
        <f>IFERROR(VLOOKUP(A7239, Entries!A:B,2,false),"")</f>
        <v>Survios</v>
      </c>
      <c r="N7239" s="23" t="str">
        <f>IFERROR(VLOOKUP(A7239, Entries!A:K,11,false),"")</f>
        <v/>
      </c>
    </row>
    <row r="7240">
      <c r="A7240" s="78" t="s">
        <v>8056</v>
      </c>
      <c r="B7240" s="78" t="s">
        <v>22</v>
      </c>
      <c r="C7240" s="85">
        <v>45653.0</v>
      </c>
      <c r="D7240" s="85">
        <v>45655.0</v>
      </c>
      <c r="E7240" s="86">
        <v>16.2064285714285</v>
      </c>
      <c r="F7240" s="87">
        <v>20.58</v>
      </c>
      <c r="G7240" s="88">
        <f t="shared" si="1"/>
        <v>4.373571429</v>
      </c>
      <c r="H7240" s="89">
        <f t="shared" si="18"/>
        <v>0.2125156185</v>
      </c>
      <c r="I7240" s="78" t="s">
        <v>8237</v>
      </c>
      <c r="J7240" s="78" t="s">
        <v>69</v>
      </c>
      <c r="K7240" s="58">
        <f t="shared" si="17"/>
        <v>2</v>
      </c>
      <c r="L7240" s="91" t="str">
        <f t="shared" si="8"/>
        <v>Sun</v>
      </c>
      <c r="M7240" s="78" t="str">
        <f>IFERROR(VLOOKUP(A7240, Entries!A:B,2,false),"")</f>
        <v>Survios</v>
      </c>
      <c r="N7240" s="23" t="str">
        <f>IFERROR(VLOOKUP(A7240, Entries!A:K,11,false),"")</f>
        <v/>
      </c>
    </row>
    <row r="7241">
      <c r="A7241" s="78" t="s">
        <v>8056</v>
      </c>
      <c r="B7241" s="78" t="s">
        <v>22</v>
      </c>
      <c r="C7241" s="85">
        <v>45653.0</v>
      </c>
      <c r="D7241" s="85">
        <v>45655.0</v>
      </c>
      <c r="E7241" s="86">
        <v>16.2064285714285</v>
      </c>
      <c r="F7241" s="87">
        <v>20.58</v>
      </c>
      <c r="G7241" s="88">
        <f t="shared" si="1"/>
        <v>4.373571429</v>
      </c>
      <c r="H7241" s="89">
        <f t="shared" si="18"/>
        <v>0.2125156185</v>
      </c>
      <c r="I7241" s="78" t="s">
        <v>8238</v>
      </c>
      <c r="J7241" s="78" t="s">
        <v>69</v>
      </c>
      <c r="K7241" s="58">
        <f t="shared" si="17"/>
        <v>2</v>
      </c>
      <c r="L7241" s="91" t="str">
        <f t="shared" si="8"/>
        <v>Sun</v>
      </c>
      <c r="M7241" s="78" t="str">
        <f>IFERROR(VLOOKUP(A7241, Entries!A:B,2,false),"")</f>
        <v>Survios</v>
      </c>
      <c r="N7241" s="23" t="str">
        <f>IFERROR(VLOOKUP(A7241, Entries!A:K,11,false),"")</f>
        <v/>
      </c>
    </row>
    <row r="7242">
      <c r="A7242" s="78" t="s">
        <v>8056</v>
      </c>
      <c r="B7242" s="78" t="s">
        <v>22</v>
      </c>
      <c r="C7242" s="85">
        <v>45653.0</v>
      </c>
      <c r="D7242" s="85">
        <v>45655.0</v>
      </c>
      <c r="E7242" s="86">
        <v>16.2064285714285</v>
      </c>
      <c r="F7242" s="87">
        <v>20.58</v>
      </c>
      <c r="G7242" s="88">
        <f t="shared" si="1"/>
        <v>4.373571429</v>
      </c>
      <c r="H7242" s="89">
        <f t="shared" si="18"/>
        <v>0.2125156185</v>
      </c>
      <c r="I7242" s="78" t="s">
        <v>8239</v>
      </c>
      <c r="J7242" s="78" t="s">
        <v>69</v>
      </c>
      <c r="K7242" s="58">
        <f t="shared" si="17"/>
        <v>2</v>
      </c>
      <c r="L7242" s="91" t="str">
        <f t="shared" si="8"/>
        <v>Sun</v>
      </c>
      <c r="M7242" s="78" t="str">
        <f>IFERROR(VLOOKUP(A7242, Entries!A:B,2,false),"")</f>
        <v>Survios</v>
      </c>
      <c r="N7242" s="23" t="str">
        <f>IFERROR(VLOOKUP(A7242, Entries!A:K,11,false),"")</f>
        <v/>
      </c>
    </row>
    <row r="7243">
      <c r="A7243" s="78" t="s">
        <v>8056</v>
      </c>
      <c r="B7243" s="78" t="s">
        <v>22</v>
      </c>
      <c r="C7243" s="85">
        <v>45653.0</v>
      </c>
      <c r="D7243" s="85">
        <v>45655.0</v>
      </c>
      <c r="E7243" s="86">
        <v>16.2064285714285</v>
      </c>
      <c r="F7243" s="87">
        <v>20.58</v>
      </c>
      <c r="G7243" s="88">
        <f t="shared" si="1"/>
        <v>4.373571429</v>
      </c>
      <c r="H7243" s="89">
        <f t="shared" si="18"/>
        <v>0.2125156185</v>
      </c>
      <c r="I7243" s="78" t="s">
        <v>8240</v>
      </c>
      <c r="J7243" s="78" t="s">
        <v>69</v>
      </c>
      <c r="K7243" s="58">
        <f t="shared" si="17"/>
        <v>2</v>
      </c>
      <c r="L7243" s="91" t="str">
        <f t="shared" si="8"/>
        <v>Sun</v>
      </c>
      <c r="M7243" s="78" t="str">
        <f>IFERROR(VLOOKUP(A7243, Entries!A:B,2,false),"")</f>
        <v>Survios</v>
      </c>
      <c r="N7243" s="23" t="str">
        <f>IFERROR(VLOOKUP(A7243, Entries!A:K,11,false),"")</f>
        <v/>
      </c>
    </row>
    <row r="7244">
      <c r="A7244" s="78" t="s">
        <v>8056</v>
      </c>
      <c r="B7244" s="78" t="s">
        <v>22</v>
      </c>
      <c r="C7244" s="85">
        <v>45653.0</v>
      </c>
      <c r="D7244" s="85">
        <v>45655.0</v>
      </c>
      <c r="E7244" s="86">
        <v>16.2064285714285</v>
      </c>
      <c r="F7244" s="87">
        <v>20.56</v>
      </c>
      <c r="G7244" s="88">
        <f t="shared" si="1"/>
        <v>4.353571429</v>
      </c>
      <c r="H7244" s="89">
        <f t="shared" si="18"/>
        <v>0.2117495831</v>
      </c>
      <c r="I7244" s="78" t="s">
        <v>8241</v>
      </c>
      <c r="J7244" s="78" t="s">
        <v>69</v>
      </c>
      <c r="K7244" s="58">
        <f t="shared" si="17"/>
        <v>2</v>
      </c>
      <c r="L7244" s="91" t="str">
        <f t="shared" si="8"/>
        <v>Sun</v>
      </c>
      <c r="M7244" s="78" t="str">
        <f>IFERROR(VLOOKUP(A7244, Entries!A:B,2,false),"")</f>
        <v>Survios</v>
      </c>
      <c r="N7244" s="23" t="str">
        <f>IFERROR(VLOOKUP(A7244, Entries!A:K,11,false),"")</f>
        <v/>
      </c>
    </row>
    <row r="7245">
      <c r="A7245" s="78" t="s">
        <v>8056</v>
      </c>
      <c r="B7245" s="78" t="s">
        <v>22</v>
      </c>
      <c r="C7245" s="85">
        <v>45655.0</v>
      </c>
      <c r="D7245" s="85">
        <v>45656.0</v>
      </c>
      <c r="E7245" s="86">
        <v>16.15</v>
      </c>
      <c r="F7245" s="87">
        <v>22.51</v>
      </c>
      <c r="G7245" s="88">
        <f t="shared" si="1"/>
        <v>6.36</v>
      </c>
      <c r="H7245" s="89">
        <f t="shared" si="18"/>
        <v>0.2825410928</v>
      </c>
      <c r="I7245" s="78" t="s">
        <v>8242</v>
      </c>
      <c r="J7245" s="78" t="s">
        <v>69</v>
      </c>
      <c r="K7245" s="58">
        <f t="shared" si="17"/>
        <v>1</v>
      </c>
      <c r="L7245" s="91" t="str">
        <f t="shared" si="8"/>
        <v>Mon</v>
      </c>
      <c r="M7245" s="78" t="str">
        <f>IFERROR(VLOOKUP(A7245, Entries!A:B,2,false),"")</f>
        <v>Survios</v>
      </c>
      <c r="N7245" s="23" t="str">
        <f>IFERROR(VLOOKUP(A7245, Entries!A:K,11,false),"")</f>
        <v/>
      </c>
    </row>
    <row r="7246">
      <c r="A7246" s="78" t="s">
        <v>8056</v>
      </c>
      <c r="B7246" s="78" t="s">
        <v>22</v>
      </c>
      <c r="C7246" s="85">
        <v>45655.0</v>
      </c>
      <c r="D7246" s="85">
        <v>45656.0</v>
      </c>
      <c r="E7246" s="86">
        <v>16.16</v>
      </c>
      <c r="F7246" s="87">
        <v>22.33</v>
      </c>
      <c r="G7246" s="88">
        <f t="shared" si="1"/>
        <v>6.17</v>
      </c>
      <c r="H7246" s="89">
        <f t="shared" si="18"/>
        <v>0.276309897</v>
      </c>
      <c r="I7246" s="78" t="s">
        <v>8243</v>
      </c>
      <c r="J7246" s="78" t="s">
        <v>69</v>
      </c>
      <c r="K7246" s="58">
        <f t="shared" si="17"/>
        <v>1</v>
      </c>
      <c r="L7246" s="91" t="str">
        <f t="shared" si="8"/>
        <v>Mon</v>
      </c>
      <c r="M7246" s="78" t="str">
        <f>IFERROR(VLOOKUP(A7246, Entries!A:B,2,false),"")</f>
        <v>Survios</v>
      </c>
      <c r="N7246" s="23" t="str">
        <f>IFERROR(VLOOKUP(A7246, Entries!A:K,11,false),"")</f>
        <v/>
      </c>
    </row>
    <row r="7247">
      <c r="A7247" s="78" t="s">
        <v>8056</v>
      </c>
      <c r="B7247" s="78" t="s">
        <v>22</v>
      </c>
      <c r="C7247" s="85">
        <v>45655.0</v>
      </c>
      <c r="D7247" s="85">
        <v>45656.0</v>
      </c>
      <c r="E7247" s="86">
        <v>16.16</v>
      </c>
      <c r="F7247" s="87">
        <v>22.33</v>
      </c>
      <c r="G7247" s="88">
        <f t="shared" si="1"/>
        <v>6.17</v>
      </c>
      <c r="H7247" s="89">
        <f t="shared" si="18"/>
        <v>0.276309897</v>
      </c>
      <c r="I7247" s="78" t="s">
        <v>8244</v>
      </c>
      <c r="J7247" s="78" t="s">
        <v>69</v>
      </c>
      <c r="K7247" s="58">
        <f t="shared" si="17"/>
        <v>1</v>
      </c>
      <c r="L7247" s="91" t="str">
        <f t="shared" si="8"/>
        <v>Mon</v>
      </c>
      <c r="M7247" s="78" t="str">
        <f>IFERROR(VLOOKUP(A7247, Entries!A:B,2,false),"")</f>
        <v>Survios</v>
      </c>
      <c r="N7247" s="23" t="str">
        <f>IFERROR(VLOOKUP(A7247, Entries!A:K,11,false),"")</f>
        <v/>
      </c>
    </row>
    <row r="7248">
      <c r="A7248" s="78" t="s">
        <v>8056</v>
      </c>
      <c r="B7248" s="78" t="s">
        <v>22</v>
      </c>
      <c r="C7248" s="85">
        <v>45655.0</v>
      </c>
      <c r="D7248" s="85">
        <v>45656.0</v>
      </c>
      <c r="E7248" s="86">
        <v>16.16</v>
      </c>
      <c r="F7248" s="87">
        <v>21.7</v>
      </c>
      <c r="G7248" s="88">
        <f t="shared" si="1"/>
        <v>5.54</v>
      </c>
      <c r="H7248" s="89">
        <f t="shared" si="18"/>
        <v>0.2552995392</v>
      </c>
      <c r="I7248" s="78" t="s">
        <v>8245</v>
      </c>
      <c r="J7248" s="78" t="s">
        <v>69</v>
      </c>
      <c r="K7248" s="58">
        <f t="shared" si="17"/>
        <v>1</v>
      </c>
      <c r="L7248" s="91" t="str">
        <f t="shared" si="8"/>
        <v>Mon</v>
      </c>
      <c r="M7248" s="78" t="str">
        <f>IFERROR(VLOOKUP(A7248, Entries!A:B,2,false),"")</f>
        <v>Survios</v>
      </c>
      <c r="N7248" s="23" t="str">
        <f>IFERROR(VLOOKUP(A7248, Entries!A:K,11,false),"")</f>
        <v/>
      </c>
    </row>
    <row r="7249">
      <c r="A7249" s="78" t="s">
        <v>8056</v>
      </c>
      <c r="B7249" s="78" t="s">
        <v>22</v>
      </c>
      <c r="C7249" s="85">
        <v>45655.0</v>
      </c>
      <c r="D7249" s="85">
        <v>45656.0</v>
      </c>
      <c r="E7249" s="86">
        <v>16.16</v>
      </c>
      <c r="F7249" s="87">
        <v>21.7</v>
      </c>
      <c r="G7249" s="88">
        <f t="shared" si="1"/>
        <v>5.54</v>
      </c>
      <c r="H7249" s="89">
        <f t="shared" si="18"/>
        <v>0.2552995392</v>
      </c>
      <c r="I7249" s="78" t="s">
        <v>8246</v>
      </c>
      <c r="J7249" s="78" t="s">
        <v>69</v>
      </c>
      <c r="K7249" s="58">
        <f t="shared" si="17"/>
        <v>1</v>
      </c>
      <c r="L7249" s="91" t="str">
        <f t="shared" si="8"/>
        <v>Mon</v>
      </c>
      <c r="M7249" s="78" t="str">
        <f>IFERROR(VLOOKUP(A7249, Entries!A:B,2,false),"")</f>
        <v>Survios</v>
      </c>
      <c r="N7249" s="23" t="str">
        <f>IFERROR(VLOOKUP(A7249, Entries!A:K,11,false),"")</f>
        <v/>
      </c>
    </row>
    <row r="7250">
      <c r="A7250" s="78" t="s">
        <v>8056</v>
      </c>
      <c r="B7250" s="78" t="s">
        <v>22</v>
      </c>
      <c r="C7250" s="85">
        <v>45655.0</v>
      </c>
      <c r="D7250" s="85">
        <v>45656.0</v>
      </c>
      <c r="E7250" s="86">
        <v>16.16</v>
      </c>
      <c r="F7250" s="87">
        <v>22.37</v>
      </c>
      <c r="G7250" s="88">
        <f t="shared" si="1"/>
        <v>6.21</v>
      </c>
      <c r="H7250" s="89">
        <f t="shared" si="18"/>
        <v>0.2776039338</v>
      </c>
      <c r="I7250" s="78" t="s">
        <v>8247</v>
      </c>
      <c r="J7250" s="78" t="s">
        <v>69</v>
      </c>
      <c r="K7250" s="58">
        <f t="shared" si="17"/>
        <v>1</v>
      </c>
      <c r="L7250" s="91" t="str">
        <f t="shared" si="8"/>
        <v>Mon</v>
      </c>
      <c r="M7250" s="78" t="str">
        <f>IFERROR(VLOOKUP(A7250, Entries!A:B,2,false),"")</f>
        <v>Survios</v>
      </c>
      <c r="N7250" s="23" t="str">
        <f>IFERROR(VLOOKUP(A7250, Entries!A:K,11,false),"")</f>
        <v/>
      </c>
    </row>
    <row r="7251">
      <c r="A7251" s="78" t="s">
        <v>8056</v>
      </c>
      <c r="B7251" s="78" t="s">
        <v>22</v>
      </c>
      <c r="C7251" s="85">
        <v>45655.0</v>
      </c>
      <c r="D7251" s="85">
        <v>45657.0</v>
      </c>
      <c r="E7251" s="86">
        <v>16.16</v>
      </c>
      <c r="F7251" s="87">
        <v>21.68</v>
      </c>
      <c r="G7251" s="88">
        <f t="shared" si="1"/>
        <v>5.52</v>
      </c>
      <c r="H7251" s="89">
        <f t="shared" si="18"/>
        <v>0.2546125461</v>
      </c>
      <c r="I7251" s="78" t="s">
        <v>8248</v>
      </c>
      <c r="J7251" s="78" t="s">
        <v>69</v>
      </c>
      <c r="K7251" s="58">
        <f t="shared" si="17"/>
        <v>2</v>
      </c>
      <c r="L7251" s="91" t="str">
        <f t="shared" si="8"/>
        <v>Tue</v>
      </c>
      <c r="M7251" s="78" t="str">
        <f>IFERROR(VLOOKUP(A7251, Entries!A:B,2,false),"")</f>
        <v>Survios</v>
      </c>
      <c r="N7251" s="23" t="str">
        <f>IFERROR(VLOOKUP(A7251, Entries!A:K,11,false),"")</f>
        <v/>
      </c>
    </row>
    <row r="7252">
      <c r="A7252" s="78" t="s">
        <v>8056</v>
      </c>
      <c r="B7252" s="78" t="s">
        <v>22</v>
      </c>
      <c r="C7252" s="85">
        <v>45655.0</v>
      </c>
      <c r="D7252" s="85">
        <v>45662.0</v>
      </c>
      <c r="E7252" s="86">
        <v>16.16</v>
      </c>
      <c r="F7252" s="87">
        <v>25.76</v>
      </c>
      <c r="G7252" s="88">
        <f t="shared" si="1"/>
        <v>9.6</v>
      </c>
      <c r="H7252" s="89">
        <f t="shared" si="18"/>
        <v>0.3726708075</v>
      </c>
      <c r="I7252" s="78" t="s">
        <v>8249</v>
      </c>
      <c r="J7252" s="78" t="s">
        <v>69</v>
      </c>
      <c r="K7252" s="58">
        <f t="shared" si="17"/>
        <v>7</v>
      </c>
      <c r="L7252" s="91" t="str">
        <f t="shared" si="8"/>
        <v>Sun</v>
      </c>
      <c r="M7252" s="78" t="str">
        <f>IFERROR(VLOOKUP(A7252, Entries!A:B,2,false),"")</f>
        <v>Survios</v>
      </c>
      <c r="N7252" s="23" t="str">
        <f>IFERROR(VLOOKUP(A7252, Entries!A:K,11,false),"")</f>
        <v/>
      </c>
    </row>
    <row r="7253">
      <c r="A7253" s="78" t="s">
        <v>8056</v>
      </c>
      <c r="B7253" s="78" t="s">
        <v>22</v>
      </c>
      <c r="C7253" s="85">
        <v>45655.0</v>
      </c>
      <c r="D7253" s="85">
        <v>45657.0</v>
      </c>
      <c r="E7253" s="86">
        <v>16.16</v>
      </c>
      <c r="F7253" s="87">
        <v>21.68</v>
      </c>
      <c r="G7253" s="88">
        <f t="shared" si="1"/>
        <v>5.52</v>
      </c>
      <c r="H7253" s="89">
        <f t="shared" si="18"/>
        <v>0.2546125461</v>
      </c>
      <c r="I7253" s="78" t="s">
        <v>8250</v>
      </c>
      <c r="J7253" s="78" t="s">
        <v>69</v>
      </c>
      <c r="K7253" s="58">
        <f t="shared" si="17"/>
        <v>2</v>
      </c>
      <c r="L7253" s="91" t="str">
        <f t="shared" si="8"/>
        <v>Tue</v>
      </c>
      <c r="M7253" s="78" t="str">
        <f>IFERROR(VLOOKUP(A7253, Entries!A:B,2,false),"")</f>
        <v>Survios</v>
      </c>
      <c r="N7253" s="23" t="str">
        <f>IFERROR(VLOOKUP(A7253, Entries!A:K,11,false),"")</f>
        <v/>
      </c>
    </row>
    <row r="7254">
      <c r="A7254" s="78" t="s">
        <v>8056</v>
      </c>
      <c r="B7254" s="78" t="s">
        <v>22</v>
      </c>
      <c r="C7254" s="85">
        <v>45655.0</v>
      </c>
      <c r="D7254" s="85">
        <v>45657.0</v>
      </c>
      <c r="E7254" s="86">
        <v>16.16</v>
      </c>
      <c r="F7254" s="87">
        <v>21.68</v>
      </c>
      <c r="G7254" s="88">
        <f t="shared" si="1"/>
        <v>5.52</v>
      </c>
      <c r="H7254" s="89">
        <f t="shared" si="18"/>
        <v>0.2546125461</v>
      </c>
      <c r="I7254" s="78" t="s">
        <v>8251</v>
      </c>
      <c r="J7254" s="78" t="s">
        <v>69</v>
      </c>
      <c r="K7254" s="58">
        <f t="shared" si="17"/>
        <v>2</v>
      </c>
      <c r="L7254" s="91" t="str">
        <f t="shared" si="8"/>
        <v>Tue</v>
      </c>
      <c r="M7254" s="78" t="str">
        <f>IFERROR(VLOOKUP(A7254, Entries!A:B,2,false),"")</f>
        <v>Survios</v>
      </c>
      <c r="N7254" s="23" t="str">
        <f>IFERROR(VLOOKUP(A7254, Entries!A:K,11,false),"")</f>
        <v/>
      </c>
    </row>
    <row r="7255">
      <c r="A7255" s="78" t="s">
        <v>7798</v>
      </c>
      <c r="B7255" s="78" t="s">
        <v>22</v>
      </c>
      <c r="C7255" s="85">
        <v>45656.0</v>
      </c>
      <c r="D7255" s="85">
        <v>45660.0</v>
      </c>
      <c r="E7255" s="86">
        <v>10.63</v>
      </c>
      <c r="F7255" s="87">
        <v>15.09</v>
      </c>
      <c r="G7255" s="88">
        <f t="shared" si="1"/>
        <v>4.46</v>
      </c>
      <c r="H7255" s="89">
        <f t="shared" si="18"/>
        <v>0.2955599735</v>
      </c>
      <c r="I7255" s="78" t="s">
        <v>8252</v>
      </c>
      <c r="J7255" s="78" t="s">
        <v>69</v>
      </c>
      <c r="K7255" s="58">
        <f t="shared" si="17"/>
        <v>4</v>
      </c>
      <c r="L7255" s="91" t="str">
        <f t="shared" si="8"/>
        <v>Fri</v>
      </c>
      <c r="M7255" s="78" t="str">
        <f>IFERROR(VLOOKUP(A7255, Entries!A:B,2,false),"")</f>
        <v>Konami</v>
      </c>
      <c r="N7255" s="23" t="str">
        <f>IFERROR(VLOOKUP(A7255, Entries!A:K,11,false),"")</f>
        <v/>
      </c>
    </row>
    <row r="7256">
      <c r="A7256" s="78" t="s">
        <v>8011</v>
      </c>
      <c r="B7256" s="78" t="s">
        <v>22</v>
      </c>
      <c r="C7256" s="85">
        <v>45656.0</v>
      </c>
      <c r="D7256" s="85">
        <v>45656.0</v>
      </c>
      <c r="E7256" s="86">
        <v>12.0</v>
      </c>
      <c r="F7256" s="87">
        <v>14.95</v>
      </c>
      <c r="G7256" s="88">
        <f t="shared" si="1"/>
        <v>2.95</v>
      </c>
      <c r="H7256" s="89">
        <f t="shared" si="18"/>
        <v>0.1973244147</v>
      </c>
      <c r="I7256" s="78" t="s">
        <v>8253</v>
      </c>
      <c r="J7256" s="78" t="s">
        <v>69</v>
      </c>
      <c r="K7256" s="58">
        <f t="shared" si="17"/>
        <v>0</v>
      </c>
      <c r="L7256" s="91" t="str">
        <f t="shared" si="8"/>
        <v>Mon</v>
      </c>
      <c r="M7256" s="78" t="str">
        <f>IFERROR(VLOOKUP(A7256, Entries!A:B,2,false),"")</f>
        <v/>
      </c>
      <c r="N7256" s="23" t="str">
        <f>IFERROR(VLOOKUP(A7256, Entries!A:K,11,false),"")</f>
        <v/>
      </c>
    </row>
    <row r="7257">
      <c r="A7257" s="78" t="s">
        <v>8011</v>
      </c>
      <c r="B7257" s="78" t="s">
        <v>22</v>
      </c>
      <c r="C7257" s="85">
        <v>45658.0</v>
      </c>
      <c r="D7257" s="85">
        <v>45659.0</v>
      </c>
      <c r="E7257" s="86">
        <v>12.08</v>
      </c>
      <c r="F7257" s="87">
        <v>14.95</v>
      </c>
      <c r="G7257" s="88">
        <f t="shared" si="1"/>
        <v>2.87</v>
      </c>
      <c r="H7257" s="89">
        <f t="shared" si="18"/>
        <v>0.1919732441</v>
      </c>
      <c r="I7257" s="78" t="s">
        <v>8254</v>
      </c>
      <c r="J7257" s="78" t="s">
        <v>69</v>
      </c>
      <c r="K7257" s="58">
        <f t="shared" si="17"/>
        <v>1</v>
      </c>
      <c r="L7257" s="91" t="str">
        <f t="shared" si="8"/>
        <v>Thu</v>
      </c>
      <c r="M7257" s="78" t="str">
        <f>IFERROR(VLOOKUP(A7257, Entries!A:B,2,false),"")</f>
        <v/>
      </c>
      <c r="N7257" s="23" t="str">
        <f>IFERROR(VLOOKUP(A7257, Entries!A:K,11,false),"")</f>
        <v/>
      </c>
    </row>
    <row r="7258">
      <c r="A7258" s="78" t="s">
        <v>7798</v>
      </c>
      <c r="B7258" s="78" t="s">
        <v>22</v>
      </c>
      <c r="C7258" s="85">
        <v>45661.0</v>
      </c>
      <c r="D7258" s="85">
        <v>45662.0</v>
      </c>
      <c r="E7258" s="86">
        <v>12.7</v>
      </c>
      <c r="F7258" s="87">
        <v>15.09</v>
      </c>
      <c r="G7258" s="88">
        <f t="shared" si="1"/>
        <v>2.39</v>
      </c>
      <c r="H7258" s="89">
        <f t="shared" si="18"/>
        <v>0.1583830351</v>
      </c>
      <c r="I7258" s="78" t="s">
        <v>8255</v>
      </c>
      <c r="J7258" s="78" t="s">
        <v>69</v>
      </c>
      <c r="K7258" s="58">
        <f t="shared" si="17"/>
        <v>1</v>
      </c>
      <c r="L7258" s="91" t="str">
        <f t="shared" si="8"/>
        <v>Sun</v>
      </c>
      <c r="M7258" s="78" t="str">
        <f>IFERROR(VLOOKUP(A7258, Entries!A:B,2,false),"")</f>
        <v>Konami</v>
      </c>
      <c r="N7258" s="23" t="str">
        <f>IFERROR(VLOOKUP(A7258, Entries!A:K,11,false),"")</f>
        <v/>
      </c>
    </row>
    <row r="7259">
      <c r="A7259" s="78" t="s">
        <v>7798</v>
      </c>
      <c r="B7259" s="78" t="s">
        <v>22</v>
      </c>
      <c r="C7259" s="85">
        <v>45663.0</v>
      </c>
      <c r="D7259" s="85">
        <v>45665.0</v>
      </c>
      <c r="E7259" s="86">
        <v>12.7</v>
      </c>
      <c r="F7259" s="87">
        <v>15.12</v>
      </c>
      <c r="G7259" s="88">
        <f t="shared" si="1"/>
        <v>2.42</v>
      </c>
      <c r="H7259" s="89">
        <f t="shared" si="18"/>
        <v>0.1600529101</v>
      </c>
      <c r="I7259" s="78" t="s">
        <v>8256</v>
      </c>
      <c r="J7259" s="78" t="s">
        <v>69</v>
      </c>
      <c r="K7259" s="58">
        <f t="shared" si="17"/>
        <v>2</v>
      </c>
      <c r="L7259" s="91" t="str">
        <f t="shared" si="8"/>
        <v>Wed</v>
      </c>
      <c r="M7259" s="78" t="str">
        <f>IFERROR(VLOOKUP(A7259, Entries!A:B,2,false),"")</f>
        <v>Konami</v>
      </c>
      <c r="N7259" s="23" t="str">
        <f>IFERROR(VLOOKUP(A7259, Entries!A:K,11,false),"")</f>
        <v/>
      </c>
    </row>
    <row r="7260">
      <c r="A7260" s="78" t="s">
        <v>7224</v>
      </c>
      <c r="B7260" s="78" t="s">
        <v>21</v>
      </c>
      <c r="C7260" s="85">
        <v>45663.0</v>
      </c>
      <c r="D7260" s="85">
        <v>45663.0</v>
      </c>
      <c r="E7260" s="86">
        <v>21.44</v>
      </c>
      <c r="F7260" s="87">
        <v>24.05</v>
      </c>
      <c r="G7260" s="88">
        <f t="shared" si="1"/>
        <v>2.61</v>
      </c>
      <c r="H7260" s="89">
        <f t="shared" si="18"/>
        <v>0.1085239085</v>
      </c>
      <c r="I7260" s="78" t="s">
        <v>8257</v>
      </c>
      <c r="J7260" s="78" t="s">
        <v>69</v>
      </c>
      <c r="K7260" s="58">
        <f t="shared" si="17"/>
        <v>0</v>
      </c>
      <c r="L7260" s="91" t="str">
        <f t="shared" si="8"/>
        <v>Mon</v>
      </c>
      <c r="M7260" s="78" t="str">
        <f>IFERROR(VLOOKUP(A7260, Entries!A:B,2,false),"")</f>
        <v/>
      </c>
      <c r="N7260" s="23" t="str">
        <f>IFERROR(VLOOKUP(A7260, Entries!A:K,11,false),"")</f>
        <v/>
      </c>
    </row>
    <row r="7261">
      <c r="A7261" s="78" t="s">
        <v>7224</v>
      </c>
      <c r="B7261" s="78" t="s">
        <v>21</v>
      </c>
      <c r="C7261" s="85">
        <v>45663.0</v>
      </c>
      <c r="D7261" s="85">
        <v>45664.0</v>
      </c>
      <c r="E7261" s="86">
        <v>21.45</v>
      </c>
      <c r="F7261" s="87">
        <v>24.05</v>
      </c>
      <c r="G7261" s="88">
        <f t="shared" si="1"/>
        <v>2.6</v>
      </c>
      <c r="H7261" s="89">
        <f t="shared" si="18"/>
        <v>0.1081081081</v>
      </c>
      <c r="I7261" s="78" t="s">
        <v>8258</v>
      </c>
      <c r="J7261" s="78" t="s">
        <v>69</v>
      </c>
      <c r="K7261" s="58">
        <f t="shared" si="17"/>
        <v>1</v>
      </c>
      <c r="L7261" s="91" t="str">
        <f t="shared" si="8"/>
        <v>Tue</v>
      </c>
      <c r="M7261" s="78" t="str">
        <f>IFERROR(VLOOKUP(A7261, Entries!A:B,2,false),"")</f>
        <v/>
      </c>
      <c r="N7261" s="23" t="str">
        <f>IFERROR(VLOOKUP(A7261, Entries!A:K,11,false),"")</f>
        <v/>
      </c>
    </row>
    <row r="7262">
      <c r="A7262" s="78" t="s">
        <v>8259</v>
      </c>
      <c r="B7262" s="78" t="s">
        <v>25</v>
      </c>
      <c r="C7262" s="85">
        <v>45663.0</v>
      </c>
      <c r="D7262" s="85">
        <v>45754.0</v>
      </c>
      <c r="E7262" s="86">
        <v>19.47</v>
      </c>
      <c r="F7262" s="87">
        <v>21.25</v>
      </c>
      <c r="G7262" s="88">
        <f t="shared" si="1"/>
        <v>1.78</v>
      </c>
      <c r="H7262" s="89">
        <f t="shared" si="18"/>
        <v>0.08376470588</v>
      </c>
      <c r="I7262" s="103" t="s">
        <v>8260</v>
      </c>
      <c r="J7262" s="78" t="s">
        <v>69</v>
      </c>
      <c r="K7262" s="58">
        <f t="shared" si="17"/>
        <v>91</v>
      </c>
      <c r="L7262" s="91" t="str">
        <f t="shared" si="8"/>
        <v>Mon</v>
      </c>
      <c r="M7262" s="78" t="str">
        <f>IFERROR(VLOOKUP(A7262, Entries!A:B,2,false),"")</f>
        <v/>
      </c>
      <c r="N7262" s="23" t="str">
        <f>IFERROR(VLOOKUP(A7262, Entries!A:K,11,false),"")</f>
        <v/>
      </c>
    </row>
    <row r="7263">
      <c r="A7263" s="78" t="s">
        <v>7224</v>
      </c>
      <c r="B7263" s="78" t="s">
        <v>21</v>
      </c>
      <c r="C7263" s="85">
        <v>45664.0</v>
      </c>
      <c r="D7263" s="85">
        <v>45665.0</v>
      </c>
      <c r="E7263" s="86">
        <v>21.69</v>
      </c>
      <c r="F7263" s="87">
        <v>24.06</v>
      </c>
      <c r="G7263" s="88">
        <f t="shared" si="1"/>
        <v>2.37</v>
      </c>
      <c r="H7263" s="89">
        <f t="shared" si="18"/>
        <v>0.09850374065</v>
      </c>
      <c r="I7263" s="78" t="s">
        <v>8261</v>
      </c>
      <c r="J7263" s="78" t="s">
        <v>69</v>
      </c>
      <c r="K7263" s="58">
        <f t="shared" si="17"/>
        <v>1</v>
      </c>
      <c r="L7263" s="91" t="str">
        <f t="shared" si="8"/>
        <v>Wed</v>
      </c>
      <c r="M7263" s="78" t="str">
        <f>IFERROR(VLOOKUP(A7263, Entries!A:B,2,false),"")</f>
        <v/>
      </c>
      <c r="N7263" s="23" t="str">
        <f>IFERROR(VLOOKUP(A7263, Entries!A:K,11,false),"")</f>
        <v/>
      </c>
    </row>
    <row r="7264">
      <c r="A7264" s="78" t="s">
        <v>7224</v>
      </c>
      <c r="B7264" s="78" t="s">
        <v>21</v>
      </c>
      <c r="C7264" s="85">
        <v>45664.0</v>
      </c>
      <c r="D7264" s="85">
        <v>45680.0</v>
      </c>
      <c r="E7264" s="86">
        <v>21.69</v>
      </c>
      <c r="F7264" s="87">
        <v>23.95</v>
      </c>
      <c r="G7264" s="88">
        <f t="shared" si="1"/>
        <v>2.26</v>
      </c>
      <c r="H7264" s="89">
        <f t="shared" si="18"/>
        <v>0.09436325678</v>
      </c>
      <c r="I7264" s="78" t="s">
        <v>8262</v>
      </c>
      <c r="J7264" s="78" t="s">
        <v>69</v>
      </c>
      <c r="K7264" s="58">
        <f t="shared" si="17"/>
        <v>16</v>
      </c>
      <c r="L7264" s="91" t="str">
        <f t="shared" si="8"/>
        <v>Thu</v>
      </c>
      <c r="M7264" s="78" t="str">
        <f>IFERROR(VLOOKUP(A7264, Entries!A:B,2,false),"")</f>
        <v/>
      </c>
      <c r="N7264" s="23" t="str">
        <f>IFERROR(VLOOKUP(A7264, Entries!A:K,11,false),"")</f>
        <v/>
      </c>
    </row>
    <row r="7265">
      <c r="A7265" s="78" t="s">
        <v>7224</v>
      </c>
      <c r="B7265" s="78" t="s">
        <v>21</v>
      </c>
      <c r="C7265" s="85">
        <v>45664.0</v>
      </c>
      <c r="D7265" s="85">
        <v>45686.0</v>
      </c>
      <c r="E7265" s="86">
        <v>21.7</v>
      </c>
      <c r="F7265" s="87">
        <v>23.92</v>
      </c>
      <c r="G7265" s="88">
        <f t="shared" si="1"/>
        <v>2.22</v>
      </c>
      <c r="H7265" s="89">
        <f t="shared" si="18"/>
        <v>0.09280936455</v>
      </c>
      <c r="I7265" s="78" t="s">
        <v>8263</v>
      </c>
      <c r="J7265" s="78" t="s">
        <v>69</v>
      </c>
      <c r="K7265" s="58">
        <f t="shared" si="17"/>
        <v>22</v>
      </c>
      <c r="L7265" s="91" t="str">
        <f t="shared" si="8"/>
        <v>Wed</v>
      </c>
      <c r="M7265" s="78" t="str">
        <f>IFERROR(VLOOKUP(A7265, Entries!A:B,2,false),"")</f>
        <v/>
      </c>
      <c r="N7265" s="23" t="str">
        <f>IFERROR(VLOOKUP(A7265, Entries!A:K,11,false),"")</f>
        <v/>
      </c>
    </row>
    <row r="7266">
      <c r="A7266" s="78" t="s">
        <v>7224</v>
      </c>
      <c r="B7266" s="78" t="s">
        <v>21</v>
      </c>
      <c r="C7266" s="85">
        <v>45664.0</v>
      </c>
      <c r="D7266" s="85">
        <v>45687.0</v>
      </c>
      <c r="E7266" s="86">
        <v>21.7</v>
      </c>
      <c r="F7266" s="87">
        <v>23.92</v>
      </c>
      <c r="G7266" s="88">
        <f t="shared" si="1"/>
        <v>2.22</v>
      </c>
      <c r="H7266" s="89">
        <f t="shared" si="18"/>
        <v>0.09280936455</v>
      </c>
      <c r="I7266" s="78" t="s">
        <v>8264</v>
      </c>
      <c r="J7266" s="78" t="s">
        <v>69</v>
      </c>
      <c r="K7266" s="58">
        <f t="shared" si="17"/>
        <v>23</v>
      </c>
      <c r="L7266" s="91" t="str">
        <f t="shared" si="8"/>
        <v>Thu</v>
      </c>
      <c r="M7266" s="78" t="str">
        <f>IFERROR(VLOOKUP(A7266, Entries!A:B,2,false),"")</f>
        <v/>
      </c>
      <c r="N7266" s="23" t="str">
        <f>IFERROR(VLOOKUP(A7266, Entries!A:K,11,false),"")</f>
        <v/>
      </c>
    </row>
    <row r="7267">
      <c r="A7267" s="78" t="s">
        <v>8265</v>
      </c>
      <c r="B7267" s="78" t="s">
        <v>18</v>
      </c>
      <c r="C7267" s="85">
        <v>45664.0</v>
      </c>
      <c r="D7267" s="85">
        <v>45676.0</v>
      </c>
      <c r="E7267" s="86">
        <v>29.46</v>
      </c>
      <c r="F7267" s="87">
        <v>32.49</v>
      </c>
      <c r="G7267" s="88">
        <f t="shared" si="1"/>
        <v>3.03</v>
      </c>
      <c r="H7267" s="89">
        <f t="shared" si="18"/>
        <v>0.09325946445</v>
      </c>
      <c r="I7267" s="78" t="s">
        <v>8266</v>
      </c>
      <c r="J7267" s="78" t="s">
        <v>69</v>
      </c>
      <c r="K7267" s="58">
        <f t="shared" si="17"/>
        <v>12</v>
      </c>
      <c r="L7267" s="91" t="str">
        <f t="shared" si="8"/>
        <v>Sun</v>
      </c>
      <c r="M7267" s="78" t="str">
        <f>IFERROR(VLOOKUP(A7267, Entries!A:B,2,false),"")</f>
        <v>BANDAI NAMCO</v>
      </c>
      <c r="N7267" s="23" t="str">
        <f>IFERROR(VLOOKUP(A7267, Entries!A:K,11,false),"")</f>
        <v/>
      </c>
    </row>
    <row r="7268">
      <c r="A7268" s="78" t="s">
        <v>8265</v>
      </c>
      <c r="B7268" s="78" t="s">
        <v>18</v>
      </c>
      <c r="C7268" s="85">
        <v>45664.0</v>
      </c>
      <c r="D7268" s="85">
        <v>45678.0</v>
      </c>
      <c r="E7268" s="86">
        <v>29.46</v>
      </c>
      <c r="F7268" s="87">
        <v>32.49</v>
      </c>
      <c r="G7268" s="88">
        <f t="shared" si="1"/>
        <v>3.03</v>
      </c>
      <c r="H7268" s="89">
        <f t="shared" si="18"/>
        <v>0.09325946445</v>
      </c>
      <c r="I7268" s="78" t="s">
        <v>8267</v>
      </c>
      <c r="J7268" s="78" t="s">
        <v>69</v>
      </c>
      <c r="K7268" s="58">
        <f t="shared" si="17"/>
        <v>14</v>
      </c>
      <c r="L7268" s="91" t="str">
        <f t="shared" si="8"/>
        <v>Tue</v>
      </c>
      <c r="M7268" s="78" t="str">
        <f>IFERROR(VLOOKUP(A7268, Entries!A:B,2,false),"")</f>
        <v>BANDAI NAMCO</v>
      </c>
      <c r="N7268" s="23" t="str">
        <f>IFERROR(VLOOKUP(A7268, Entries!A:K,11,false),"")</f>
        <v/>
      </c>
    </row>
    <row r="7269">
      <c r="A7269" s="78" t="s">
        <v>8265</v>
      </c>
      <c r="B7269" s="78" t="s">
        <v>18</v>
      </c>
      <c r="C7269" s="85">
        <v>45664.0</v>
      </c>
      <c r="D7269" s="85">
        <v>45686.0</v>
      </c>
      <c r="E7269" s="86">
        <v>29.46</v>
      </c>
      <c r="F7269" s="87">
        <v>32.38</v>
      </c>
      <c r="G7269" s="88">
        <f t="shared" si="1"/>
        <v>2.92</v>
      </c>
      <c r="H7269" s="89">
        <f t="shared" si="18"/>
        <v>0.09017912292</v>
      </c>
      <c r="I7269" s="78" t="s">
        <v>8268</v>
      </c>
      <c r="J7269" s="78" t="s">
        <v>69</v>
      </c>
      <c r="K7269" s="58">
        <f t="shared" si="17"/>
        <v>22</v>
      </c>
      <c r="L7269" s="91" t="str">
        <f t="shared" si="8"/>
        <v>Wed</v>
      </c>
      <c r="M7269" s="78" t="str">
        <f>IFERROR(VLOOKUP(A7269, Entries!A:B,2,false),"")</f>
        <v>BANDAI NAMCO</v>
      </c>
      <c r="N7269" s="23" t="str">
        <f>IFERROR(VLOOKUP(A7269, Entries!A:K,11,false),"")</f>
        <v/>
      </c>
    </row>
    <row r="7270">
      <c r="A7270" s="78" t="s">
        <v>2466</v>
      </c>
      <c r="B7270" s="78" t="s">
        <v>19</v>
      </c>
      <c r="C7270" s="85">
        <v>45664.0</v>
      </c>
      <c r="D7270" s="85">
        <v>45666.0</v>
      </c>
      <c r="E7270" s="86">
        <v>7.12</v>
      </c>
      <c r="F7270" s="87">
        <v>10.03</v>
      </c>
      <c r="G7270" s="88">
        <f t="shared" si="1"/>
        <v>2.91</v>
      </c>
      <c r="H7270" s="89">
        <f t="shared" si="18"/>
        <v>0.2901296112</v>
      </c>
      <c r="I7270" s="78" t="s">
        <v>8269</v>
      </c>
      <c r="J7270" s="78" t="s">
        <v>69</v>
      </c>
      <c r="K7270" s="58">
        <f t="shared" si="17"/>
        <v>2</v>
      </c>
      <c r="L7270" s="91" t="str">
        <f t="shared" si="8"/>
        <v>Thu</v>
      </c>
      <c r="M7270" s="78" t="str">
        <f>IFERROR(VLOOKUP(A7270, Entries!A:B,2,false),"")</f>
        <v>Bethesda Softworks</v>
      </c>
      <c r="N7270" s="23" t="str">
        <f>IFERROR(VLOOKUP(A7270, Entries!A:K,11,false),"")</f>
        <v/>
      </c>
    </row>
    <row r="7271">
      <c r="A7271" s="78" t="s">
        <v>1786</v>
      </c>
      <c r="B7271" s="78" t="s">
        <v>19</v>
      </c>
      <c r="C7271" s="85">
        <v>45664.0</v>
      </c>
      <c r="D7271" s="85">
        <v>45664.0</v>
      </c>
      <c r="E7271" s="86">
        <v>7.12</v>
      </c>
      <c r="F7271" s="87">
        <v>11.39</v>
      </c>
      <c r="G7271" s="88">
        <f t="shared" si="1"/>
        <v>4.27</v>
      </c>
      <c r="H7271" s="89">
        <f t="shared" si="18"/>
        <v>0.3748902546</v>
      </c>
      <c r="I7271" s="78" t="s">
        <v>8270</v>
      </c>
      <c r="J7271" s="78" t="s">
        <v>69</v>
      </c>
      <c r="K7271" s="58">
        <f t="shared" si="17"/>
        <v>0</v>
      </c>
      <c r="L7271" s="91" t="str">
        <f t="shared" si="8"/>
        <v>Tue</v>
      </c>
      <c r="M7271" s="78" t="str">
        <f>IFERROR(VLOOKUP(A7271, Entries!A:B,2,false),"")</f>
        <v>Bethesda Softworks</v>
      </c>
      <c r="N7271" s="23" t="str">
        <f>IFERROR(VLOOKUP(A7271, Entries!A:K,11,false),"")</f>
        <v/>
      </c>
    </row>
    <row r="7272">
      <c r="A7272" s="78" t="s">
        <v>8011</v>
      </c>
      <c r="B7272" s="78" t="s">
        <v>22</v>
      </c>
      <c r="C7272" s="85">
        <v>45664.0</v>
      </c>
      <c r="D7272" s="85">
        <v>45665.0</v>
      </c>
      <c r="E7272" s="86">
        <v>12.89</v>
      </c>
      <c r="F7272" s="87">
        <v>14.86</v>
      </c>
      <c r="G7272" s="88">
        <f t="shared" si="1"/>
        <v>1.97</v>
      </c>
      <c r="H7272" s="89">
        <f t="shared" si="18"/>
        <v>0.1325706595</v>
      </c>
      <c r="I7272" s="78" t="s">
        <v>8271</v>
      </c>
      <c r="J7272" s="78" t="s">
        <v>69</v>
      </c>
      <c r="K7272" s="58">
        <f t="shared" si="17"/>
        <v>1</v>
      </c>
      <c r="L7272" s="91" t="str">
        <f t="shared" si="8"/>
        <v>Wed</v>
      </c>
      <c r="M7272" s="78" t="str">
        <f>IFERROR(VLOOKUP(A7272, Entries!A:B,2,false),"")</f>
        <v/>
      </c>
      <c r="N7272" s="23" t="str">
        <f>IFERROR(VLOOKUP(A7272, Entries!A:K,11,false),"")</f>
        <v/>
      </c>
    </row>
    <row r="7273">
      <c r="A7273" s="78" t="s">
        <v>7798</v>
      </c>
      <c r="B7273" s="78" t="s">
        <v>22</v>
      </c>
      <c r="C7273" s="85">
        <v>45665.0</v>
      </c>
      <c r="D7273" s="85">
        <v>45665.0</v>
      </c>
      <c r="E7273" s="86">
        <v>10.7</v>
      </c>
      <c r="F7273" s="87">
        <v>15.12</v>
      </c>
      <c r="G7273" s="88">
        <f t="shared" si="1"/>
        <v>4.42</v>
      </c>
      <c r="H7273" s="89">
        <f t="shared" si="18"/>
        <v>0.2923280423</v>
      </c>
      <c r="I7273" s="78" t="s">
        <v>8272</v>
      </c>
      <c r="J7273" s="78" t="s">
        <v>69</v>
      </c>
      <c r="K7273" s="58">
        <f t="shared" si="17"/>
        <v>0</v>
      </c>
      <c r="L7273" s="91" t="str">
        <f t="shared" si="8"/>
        <v>Wed</v>
      </c>
      <c r="M7273" s="78" t="str">
        <f>IFERROR(VLOOKUP(A7273, Entries!A:B,2,false),"")</f>
        <v>Konami</v>
      </c>
      <c r="N7273" s="23" t="str">
        <f>IFERROR(VLOOKUP(A7273, Entries!A:K,11,false),"")</f>
        <v/>
      </c>
    </row>
    <row r="7274">
      <c r="A7274" s="78" t="s">
        <v>7798</v>
      </c>
      <c r="B7274" s="78" t="s">
        <v>22</v>
      </c>
      <c r="C7274" s="85">
        <v>45665.0</v>
      </c>
      <c r="D7274" s="85">
        <v>45669.0</v>
      </c>
      <c r="E7274" s="86">
        <v>10.7</v>
      </c>
      <c r="F7274" s="87">
        <v>12.97</v>
      </c>
      <c r="G7274" s="88">
        <f t="shared" si="1"/>
        <v>2.27</v>
      </c>
      <c r="H7274" s="89">
        <f t="shared" si="18"/>
        <v>0.1750192753</v>
      </c>
      <c r="I7274" s="78" t="s">
        <v>8273</v>
      </c>
      <c r="J7274" s="78" t="s">
        <v>69</v>
      </c>
      <c r="K7274" s="58">
        <f t="shared" si="17"/>
        <v>4</v>
      </c>
      <c r="L7274" s="91" t="str">
        <f t="shared" si="8"/>
        <v>Sun</v>
      </c>
      <c r="M7274" s="78" t="str">
        <f>IFERROR(VLOOKUP(A7274, Entries!A:B,2,false),"")</f>
        <v>Konami</v>
      </c>
      <c r="N7274" s="23" t="str">
        <f>IFERROR(VLOOKUP(A7274, Entries!A:K,11,false),"")</f>
        <v/>
      </c>
    </row>
    <row r="7275">
      <c r="A7275" s="78" t="s">
        <v>2466</v>
      </c>
      <c r="B7275" s="78" t="s">
        <v>19</v>
      </c>
      <c r="C7275" s="85">
        <v>45666.0</v>
      </c>
      <c r="D7275" s="85">
        <v>45667.0</v>
      </c>
      <c r="E7275" s="86">
        <v>7.12</v>
      </c>
      <c r="F7275" s="87">
        <v>9.49</v>
      </c>
      <c r="G7275" s="88">
        <f t="shared" si="1"/>
        <v>2.37</v>
      </c>
      <c r="H7275" s="89">
        <f t="shared" si="18"/>
        <v>0.2497365648</v>
      </c>
      <c r="I7275" s="78" t="s">
        <v>8274</v>
      </c>
      <c r="J7275" s="78" t="s">
        <v>69</v>
      </c>
      <c r="K7275" s="58">
        <f t="shared" si="17"/>
        <v>1</v>
      </c>
      <c r="L7275" s="91" t="str">
        <f t="shared" si="8"/>
        <v>Fri</v>
      </c>
      <c r="M7275" s="78" t="str">
        <f>IFERROR(VLOOKUP(A7275, Entries!A:B,2,false),"")</f>
        <v>Bethesda Softworks</v>
      </c>
      <c r="N7275" s="23" t="str">
        <f>IFERROR(VLOOKUP(A7275, Entries!A:K,11,false),"")</f>
        <v/>
      </c>
    </row>
    <row r="7276">
      <c r="A7276" s="78" t="s">
        <v>1786</v>
      </c>
      <c r="B7276" s="78" t="s">
        <v>19</v>
      </c>
      <c r="C7276" s="85">
        <v>45666.0</v>
      </c>
      <c r="D7276" s="85">
        <v>45666.0</v>
      </c>
      <c r="E7276" s="86">
        <v>7.12</v>
      </c>
      <c r="F7276" s="87">
        <v>11.39</v>
      </c>
      <c r="G7276" s="88">
        <f t="shared" si="1"/>
        <v>4.27</v>
      </c>
      <c r="H7276" s="89">
        <f t="shared" si="18"/>
        <v>0.3748902546</v>
      </c>
      <c r="I7276" s="78" t="s">
        <v>8275</v>
      </c>
      <c r="J7276" s="78" t="s">
        <v>69</v>
      </c>
      <c r="K7276" s="58">
        <f t="shared" si="17"/>
        <v>0</v>
      </c>
      <c r="L7276" s="91" t="str">
        <f t="shared" si="8"/>
        <v>Thu</v>
      </c>
      <c r="M7276" s="78" t="str">
        <f>IFERROR(VLOOKUP(A7276, Entries!A:B,2,false),"")</f>
        <v>Bethesda Softworks</v>
      </c>
      <c r="N7276" s="23" t="str">
        <f>IFERROR(VLOOKUP(A7276, Entries!A:K,11,false),"")</f>
        <v/>
      </c>
    </row>
    <row r="7277">
      <c r="A7277" s="78" t="s">
        <v>8011</v>
      </c>
      <c r="B7277" s="78" t="s">
        <v>22</v>
      </c>
      <c r="C7277" s="85">
        <v>45667.0</v>
      </c>
      <c r="D7277" s="85">
        <v>45667.0</v>
      </c>
      <c r="E7277" s="86">
        <v>12.92</v>
      </c>
      <c r="F7277" s="87">
        <v>14.86</v>
      </c>
      <c r="G7277" s="88">
        <f t="shared" si="1"/>
        <v>1.94</v>
      </c>
      <c r="H7277" s="89">
        <f t="shared" si="18"/>
        <v>0.130551817</v>
      </c>
      <c r="I7277" s="78" t="s">
        <v>8276</v>
      </c>
      <c r="J7277" s="78" t="s">
        <v>69</v>
      </c>
      <c r="K7277" s="58">
        <f t="shared" si="17"/>
        <v>0</v>
      </c>
      <c r="L7277" s="91" t="str">
        <f t="shared" si="8"/>
        <v>Fri</v>
      </c>
      <c r="M7277" s="78" t="str">
        <f>IFERROR(VLOOKUP(A7277, Entries!A:B,2,false),"")</f>
        <v/>
      </c>
      <c r="N7277" s="23" t="str">
        <f>IFERROR(VLOOKUP(A7277, Entries!A:K,11,false),"")</f>
        <v/>
      </c>
    </row>
    <row r="7278">
      <c r="A7278" s="78" t="s">
        <v>7370</v>
      </c>
      <c r="B7278" s="78" t="s">
        <v>21</v>
      </c>
      <c r="C7278" s="85">
        <v>45667.0</v>
      </c>
      <c r="D7278" s="85">
        <v>45679.0</v>
      </c>
      <c r="E7278" s="86">
        <v>21.91</v>
      </c>
      <c r="F7278" s="87">
        <v>24.42</v>
      </c>
      <c r="G7278" s="88">
        <f t="shared" si="1"/>
        <v>2.51</v>
      </c>
      <c r="H7278" s="89">
        <f t="shared" si="18"/>
        <v>0.1027846028</v>
      </c>
      <c r="I7278" s="78" t="s">
        <v>8277</v>
      </c>
      <c r="J7278" s="78" t="s">
        <v>69</v>
      </c>
      <c r="K7278" s="58">
        <f t="shared" si="17"/>
        <v>12</v>
      </c>
      <c r="L7278" s="91" t="str">
        <f t="shared" si="8"/>
        <v>Wed</v>
      </c>
      <c r="M7278" s="78" t="str">
        <f>IFERROR(VLOOKUP(A7278, Entries!A:B,2,false),"")</f>
        <v/>
      </c>
      <c r="N7278" s="23" t="str">
        <f>IFERROR(VLOOKUP(A7278, Entries!A:K,11,false),"")</f>
        <v/>
      </c>
    </row>
    <row r="7279">
      <c r="A7279" s="78" t="s">
        <v>7370</v>
      </c>
      <c r="B7279" s="78" t="s">
        <v>21</v>
      </c>
      <c r="C7279" s="85">
        <v>45667.0</v>
      </c>
      <c r="D7279" s="85">
        <v>45681.0</v>
      </c>
      <c r="E7279" s="86">
        <v>21.92</v>
      </c>
      <c r="F7279" s="87">
        <v>24.28</v>
      </c>
      <c r="G7279" s="88">
        <f t="shared" si="1"/>
        <v>2.36</v>
      </c>
      <c r="H7279" s="89">
        <f t="shared" si="18"/>
        <v>0.09719934102</v>
      </c>
      <c r="I7279" s="78" t="s">
        <v>8278</v>
      </c>
      <c r="J7279" s="78" t="s">
        <v>69</v>
      </c>
      <c r="K7279" s="58">
        <f t="shared" si="17"/>
        <v>14</v>
      </c>
      <c r="L7279" s="91" t="str">
        <f t="shared" si="8"/>
        <v>Fri</v>
      </c>
      <c r="M7279" s="78" t="str">
        <f>IFERROR(VLOOKUP(A7279, Entries!A:B,2,false),"")</f>
        <v/>
      </c>
      <c r="N7279" s="23" t="str">
        <f>IFERROR(VLOOKUP(A7279, Entries!A:K,11,false),"")</f>
        <v/>
      </c>
    </row>
    <row r="7280">
      <c r="A7280" s="78" t="s">
        <v>2466</v>
      </c>
      <c r="B7280" s="78" t="s">
        <v>19</v>
      </c>
      <c r="C7280" s="85">
        <v>45667.0</v>
      </c>
      <c r="D7280" s="85">
        <v>45667.0</v>
      </c>
      <c r="E7280" s="86">
        <v>7.12</v>
      </c>
      <c r="F7280" s="87">
        <v>9.47</v>
      </c>
      <c r="G7280" s="88">
        <f t="shared" si="1"/>
        <v>2.35</v>
      </c>
      <c r="H7280" s="89">
        <f t="shared" si="18"/>
        <v>0.2481520591</v>
      </c>
      <c r="I7280" s="78" t="s">
        <v>8279</v>
      </c>
      <c r="J7280" s="78" t="s">
        <v>69</v>
      </c>
      <c r="K7280" s="58">
        <f t="shared" si="17"/>
        <v>0</v>
      </c>
      <c r="L7280" s="91" t="str">
        <f t="shared" si="8"/>
        <v>Fri</v>
      </c>
      <c r="M7280" s="78" t="str">
        <f>IFERROR(VLOOKUP(A7280, Entries!A:B,2,false),"")</f>
        <v>Bethesda Softworks</v>
      </c>
      <c r="N7280" s="23" t="str">
        <f>IFERROR(VLOOKUP(A7280, Entries!A:K,11,false),"")</f>
        <v/>
      </c>
    </row>
    <row r="7281">
      <c r="A7281" s="78" t="s">
        <v>1786</v>
      </c>
      <c r="B7281" s="78" t="s">
        <v>19</v>
      </c>
      <c r="C7281" s="85">
        <v>45667.0</v>
      </c>
      <c r="D7281" s="85">
        <v>45667.0</v>
      </c>
      <c r="E7281" s="86">
        <v>7.12</v>
      </c>
      <c r="F7281" s="87">
        <v>10.99</v>
      </c>
      <c r="G7281" s="88">
        <f t="shared" si="1"/>
        <v>3.87</v>
      </c>
      <c r="H7281" s="89">
        <f t="shared" si="18"/>
        <v>0.3521383076</v>
      </c>
      <c r="I7281" s="78" t="s">
        <v>8280</v>
      </c>
      <c r="J7281" s="78" t="s">
        <v>69</v>
      </c>
      <c r="K7281" s="58">
        <f t="shared" si="17"/>
        <v>0</v>
      </c>
      <c r="L7281" s="91" t="str">
        <f t="shared" si="8"/>
        <v>Fri</v>
      </c>
      <c r="M7281" s="78" t="str">
        <f>IFERROR(VLOOKUP(A7281, Entries!A:B,2,false),"")</f>
        <v>Bethesda Softworks</v>
      </c>
      <c r="N7281" s="23" t="str">
        <f>IFERROR(VLOOKUP(A7281, Entries!A:K,11,false),"")</f>
        <v/>
      </c>
      <c r="P7281" s="78" t="s">
        <v>7796</v>
      </c>
    </row>
    <row r="7282">
      <c r="A7282" s="78" t="s">
        <v>727</v>
      </c>
      <c r="B7282" s="78" t="s">
        <v>22</v>
      </c>
      <c r="C7282" s="85">
        <v>45667.0</v>
      </c>
      <c r="D7282" s="85">
        <v>45667.0</v>
      </c>
      <c r="E7282" s="86">
        <v>14.58</v>
      </c>
      <c r="F7282" s="87">
        <v>17.62</v>
      </c>
      <c r="G7282" s="88">
        <f t="shared" si="1"/>
        <v>3.04</v>
      </c>
      <c r="H7282" s="89">
        <f t="shared" si="18"/>
        <v>0.1725312145</v>
      </c>
      <c r="I7282" s="78" t="s">
        <v>8281</v>
      </c>
      <c r="J7282" s="78" t="s">
        <v>69</v>
      </c>
      <c r="K7282" s="58">
        <f t="shared" si="17"/>
        <v>0</v>
      </c>
      <c r="L7282" s="91" t="str">
        <f t="shared" si="8"/>
        <v>Fri</v>
      </c>
      <c r="M7282" s="78" t="str">
        <f>IFERROR(VLOOKUP(A7282, Entries!A:B,2,false),"")</f>
        <v>Team17 Digital</v>
      </c>
      <c r="N7282" s="23" t="str">
        <f>IFERROR(VLOOKUP(A7282, Entries!A:K,11,false),"")</f>
        <v/>
      </c>
    </row>
    <row r="7283">
      <c r="A7283" s="78" t="s">
        <v>2466</v>
      </c>
      <c r="B7283" s="78" t="s">
        <v>19</v>
      </c>
      <c r="C7283" s="85">
        <v>45667.0</v>
      </c>
      <c r="D7283" s="85">
        <v>45667.0</v>
      </c>
      <c r="E7283" s="86">
        <v>7.12</v>
      </c>
      <c r="F7283" s="87">
        <v>9.47</v>
      </c>
      <c r="G7283" s="88">
        <f t="shared" si="1"/>
        <v>2.35</v>
      </c>
      <c r="H7283" s="89">
        <f t="shared" si="18"/>
        <v>0.2481520591</v>
      </c>
      <c r="I7283" s="78" t="s">
        <v>8282</v>
      </c>
      <c r="J7283" s="78" t="s">
        <v>69</v>
      </c>
      <c r="K7283" s="58">
        <f t="shared" si="17"/>
        <v>0</v>
      </c>
      <c r="L7283" s="91" t="str">
        <f t="shared" si="8"/>
        <v>Fri</v>
      </c>
      <c r="M7283" s="78" t="str">
        <f>IFERROR(VLOOKUP(A7283, Entries!A:B,2,false),"")</f>
        <v>Bethesda Softworks</v>
      </c>
      <c r="N7283" s="23" t="str">
        <f>IFERROR(VLOOKUP(A7283, Entries!A:K,11,false),"")</f>
        <v/>
      </c>
    </row>
    <row r="7284">
      <c r="A7284" s="78" t="s">
        <v>1786</v>
      </c>
      <c r="B7284" s="78" t="s">
        <v>19</v>
      </c>
      <c r="C7284" s="85">
        <v>45667.0</v>
      </c>
      <c r="D7284" s="85">
        <v>45667.0</v>
      </c>
      <c r="E7284" s="86">
        <v>7.12</v>
      </c>
      <c r="F7284" s="87">
        <v>10.99</v>
      </c>
      <c r="G7284" s="88">
        <f t="shared" si="1"/>
        <v>3.87</v>
      </c>
      <c r="H7284" s="89">
        <f t="shared" si="18"/>
        <v>0.3521383076</v>
      </c>
      <c r="I7284" s="78" t="s">
        <v>8283</v>
      </c>
      <c r="J7284" s="78" t="s">
        <v>69</v>
      </c>
      <c r="K7284" s="58">
        <f t="shared" si="17"/>
        <v>0</v>
      </c>
      <c r="L7284" s="91" t="str">
        <f t="shared" si="8"/>
        <v>Fri</v>
      </c>
      <c r="M7284" s="78" t="str">
        <f>IFERROR(VLOOKUP(A7284, Entries!A:B,2,false),"")</f>
        <v>Bethesda Softworks</v>
      </c>
      <c r="N7284" s="23" t="str">
        <f>IFERROR(VLOOKUP(A7284, Entries!A:K,11,false),"")</f>
        <v/>
      </c>
    </row>
    <row r="7285">
      <c r="A7285" s="78" t="s">
        <v>2466</v>
      </c>
      <c r="B7285" s="78" t="s">
        <v>19</v>
      </c>
      <c r="C7285" s="85">
        <v>45668.0</v>
      </c>
      <c r="D7285" s="85">
        <v>45668.0</v>
      </c>
      <c r="E7285" s="86">
        <v>7.49</v>
      </c>
      <c r="F7285" s="87">
        <v>8.99</v>
      </c>
      <c r="G7285" s="88">
        <f t="shared" si="1"/>
        <v>1.5</v>
      </c>
      <c r="H7285" s="89">
        <f t="shared" si="18"/>
        <v>0.1668520578</v>
      </c>
      <c r="I7285" s="78" t="s">
        <v>8284</v>
      </c>
      <c r="J7285" s="78" t="s">
        <v>69</v>
      </c>
      <c r="K7285" s="58">
        <f t="shared" si="17"/>
        <v>0</v>
      </c>
      <c r="L7285" s="91" t="str">
        <f t="shared" si="8"/>
        <v>Sat</v>
      </c>
      <c r="M7285" s="78" t="str">
        <f>IFERROR(VLOOKUP(A7285, Entries!A:B,2,false),"")</f>
        <v>Bethesda Softworks</v>
      </c>
      <c r="N7285" s="23" t="str">
        <f>IFERROR(VLOOKUP(A7285, Entries!A:K,11,false),"")</f>
        <v/>
      </c>
    </row>
    <row r="7286">
      <c r="A7286" s="78" t="s">
        <v>1786</v>
      </c>
      <c r="B7286" s="78" t="s">
        <v>19</v>
      </c>
      <c r="C7286" s="85">
        <v>45668.0</v>
      </c>
      <c r="D7286" s="85">
        <v>45668.0</v>
      </c>
      <c r="E7286" s="86">
        <v>7.5</v>
      </c>
      <c r="F7286" s="87">
        <v>11.45</v>
      </c>
      <c r="G7286" s="88">
        <f t="shared" si="1"/>
        <v>3.95</v>
      </c>
      <c r="H7286" s="89">
        <f t="shared" si="18"/>
        <v>0.3449781659</v>
      </c>
      <c r="I7286" s="78" t="s">
        <v>8285</v>
      </c>
      <c r="J7286" s="78" t="s">
        <v>69</v>
      </c>
      <c r="K7286" s="58">
        <f t="shared" si="17"/>
        <v>0</v>
      </c>
      <c r="L7286" s="91" t="str">
        <f t="shared" si="8"/>
        <v>Sat</v>
      </c>
      <c r="M7286" s="78" t="str">
        <f>IFERROR(VLOOKUP(A7286, Entries!A:B,2,false),"")</f>
        <v>Bethesda Softworks</v>
      </c>
      <c r="N7286" s="23" t="str">
        <f>IFERROR(VLOOKUP(A7286, Entries!A:K,11,false),"")</f>
        <v/>
      </c>
    </row>
    <row r="7287">
      <c r="A7287" s="78" t="s">
        <v>2466</v>
      </c>
      <c r="B7287" s="78" t="s">
        <v>19</v>
      </c>
      <c r="C7287" s="85">
        <v>45668.0</v>
      </c>
      <c r="D7287" s="85">
        <v>45668.0</v>
      </c>
      <c r="E7287" s="86">
        <v>7.49</v>
      </c>
      <c r="F7287" s="87">
        <v>9.81</v>
      </c>
      <c r="G7287" s="88">
        <f t="shared" si="1"/>
        <v>2.32</v>
      </c>
      <c r="H7287" s="89">
        <f t="shared" si="18"/>
        <v>0.2364933741</v>
      </c>
      <c r="I7287" s="78" t="s">
        <v>8286</v>
      </c>
      <c r="J7287" s="78" t="s">
        <v>69</v>
      </c>
      <c r="K7287" s="58">
        <f t="shared" si="17"/>
        <v>0</v>
      </c>
      <c r="L7287" s="91" t="str">
        <f t="shared" si="8"/>
        <v>Sat</v>
      </c>
      <c r="M7287" s="78" t="str">
        <f>IFERROR(VLOOKUP(A7287, Entries!A:B,2,false),"")</f>
        <v>Bethesda Softworks</v>
      </c>
      <c r="N7287" s="23" t="str">
        <f>IFERROR(VLOOKUP(A7287, Entries!A:K,11,false),"")</f>
        <v/>
      </c>
    </row>
    <row r="7288">
      <c r="A7288" s="78" t="s">
        <v>1786</v>
      </c>
      <c r="B7288" s="78" t="s">
        <v>19</v>
      </c>
      <c r="C7288" s="85">
        <v>45668.0</v>
      </c>
      <c r="D7288" s="85">
        <v>45668.0</v>
      </c>
      <c r="E7288" s="86">
        <v>7.5</v>
      </c>
      <c r="F7288" s="87">
        <v>11.62</v>
      </c>
      <c r="G7288" s="88">
        <f t="shared" si="1"/>
        <v>4.12</v>
      </c>
      <c r="H7288" s="89">
        <f t="shared" si="18"/>
        <v>0.3545611015</v>
      </c>
      <c r="I7288" s="78" t="s">
        <v>8287</v>
      </c>
      <c r="J7288" s="78" t="s">
        <v>69</v>
      </c>
      <c r="K7288" s="58">
        <f t="shared" si="17"/>
        <v>0</v>
      </c>
      <c r="L7288" s="91" t="str">
        <f t="shared" si="8"/>
        <v>Sat</v>
      </c>
      <c r="M7288" s="78" t="str">
        <f>IFERROR(VLOOKUP(A7288, Entries!A:B,2,false),"")</f>
        <v>Bethesda Softworks</v>
      </c>
      <c r="N7288" s="23" t="str">
        <f>IFERROR(VLOOKUP(A7288, Entries!A:K,11,false),"")</f>
        <v/>
      </c>
    </row>
    <row r="7289">
      <c r="A7289" s="78" t="s">
        <v>7814</v>
      </c>
      <c r="B7289" s="78" t="s">
        <v>25</v>
      </c>
      <c r="C7289" s="85">
        <v>45668.0</v>
      </c>
      <c r="D7289" s="85">
        <v>45670.0</v>
      </c>
      <c r="E7289" s="86">
        <v>22.48</v>
      </c>
      <c r="F7289" s="87">
        <v>31.38</v>
      </c>
      <c r="G7289" s="88">
        <f t="shared" si="1"/>
        <v>8.9</v>
      </c>
      <c r="H7289" s="89">
        <f t="shared" si="18"/>
        <v>0.2836201402</v>
      </c>
      <c r="I7289" s="78" t="s">
        <v>8288</v>
      </c>
      <c r="J7289" s="78" t="s">
        <v>69</v>
      </c>
      <c r="K7289" s="58">
        <f t="shared" si="17"/>
        <v>2</v>
      </c>
      <c r="L7289" s="91" t="str">
        <f t="shared" si="8"/>
        <v>Mon</v>
      </c>
      <c r="M7289" s="78" t="str">
        <f>IFERROR(VLOOKUP(A7289, Entries!A:B,2,false),"")</f>
        <v>Electronic Arts</v>
      </c>
      <c r="N7289" s="23" t="str">
        <f>IFERROR(VLOOKUP(A7289, Entries!A:K,11,false),"")</f>
        <v/>
      </c>
    </row>
    <row r="7290">
      <c r="A7290" s="78" t="s">
        <v>7814</v>
      </c>
      <c r="B7290" s="78" t="s">
        <v>25</v>
      </c>
      <c r="C7290" s="85">
        <v>45668.0</v>
      </c>
      <c r="D7290" s="85">
        <v>45671.0</v>
      </c>
      <c r="E7290" s="86">
        <v>22.48</v>
      </c>
      <c r="F7290" s="87">
        <v>31.38</v>
      </c>
      <c r="G7290" s="88">
        <f t="shared" si="1"/>
        <v>8.9</v>
      </c>
      <c r="H7290" s="89">
        <f t="shared" si="18"/>
        <v>0.2836201402</v>
      </c>
      <c r="I7290" s="78" t="s">
        <v>8289</v>
      </c>
      <c r="J7290" s="78" t="s">
        <v>69</v>
      </c>
      <c r="K7290" s="58">
        <f t="shared" si="17"/>
        <v>3</v>
      </c>
      <c r="L7290" s="91" t="str">
        <f t="shared" si="8"/>
        <v>Tue</v>
      </c>
      <c r="M7290" s="78" t="str">
        <f>IFERROR(VLOOKUP(A7290, Entries!A:B,2,false),"")</f>
        <v>Electronic Arts</v>
      </c>
      <c r="N7290" s="23" t="str">
        <f>IFERROR(VLOOKUP(A7290, Entries!A:K,11,false),"")</f>
        <v/>
      </c>
    </row>
    <row r="7291">
      <c r="A7291" s="78" t="s">
        <v>7814</v>
      </c>
      <c r="B7291" s="78" t="s">
        <v>25</v>
      </c>
      <c r="C7291" s="85">
        <v>45668.0</v>
      </c>
      <c r="D7291" s="85">
        <v>45680.0</v>
      </c>
      <c r="E7291" s="86">
        <v>22.49</v>
      </c>
      <c r="F7291" s="87">
        <v>27.92</v>
      </c>
      <c r="G7291" s="88">
        <f t="shared" si="1"/>
        <v>5.43</v>
      </c>
      <c r="H7291" s="89">
        <f t="shared" si="18"/>
        <v>0.1944842407</v>
      </c>
      <c r="I7291" s="78" t="s">
        <v>8290</v>
      </c>
      <c r="J7291" s="78" t="s">
        <v>69</v>
      </c>
      <c r="K7291" s="58">
        <f t="shared" si="17"/>
        <v>12</v>
      </c>
      <c r="L7291" s="91" t="str">
        <f t="shared" si="8"/>
        <v>Thu</v>
      </c>
      <c r="M7291" s="78" t="str">
        <f>IFERROR(VLOOKUP(A7291, Entries!A:B,2,false),"")</f>
        <v>Electronic Arts</v>
      </c>
      <c r="N7291" s="23" t="str">
        <f>IFERROR(VLOOKUP(A7291, Entries!A:K,11,false),"")</f>
        <v/>
      </c>
    </row>
    <row r="7292">
      <c r="A7292" s="78" t="s">
        <v>2466</v>
      </c>
      <c r="B7292" s="78" t="s">
        <v>19</v>
      </c>
      <c r="C7292" s="85">
        <v>45669.0</v>
      </c>
      <c r="D7292" s="85">
        <v>45669.0</v>
      </c>
      <c r="E7292" s="86">
        <v>7.49</v>
      </c>
      <c r="F7292" s="87">
        <v>9.8</v>
      </c>
      <c r="G7292" s="88">
        <f t="shared" si="1"/>
        <v>2.31</v>
      </c>
      <c r="H7292" s="89">
        <f t="shared" si="18"/>
        <v>0.2357142857</v>
      </c>
      <c r="I7292" s="78" t="s">
        <v>8291</v>
      </c>
      <c r="J7292" s="78" t="s">
        <v>69</v>
      </c>
      <c r="K7292" s="58">
        <f t="shared" si="17"/>
        <v>0</v>
      </c>
      <c r="L7292" s="91" t="str">
        <f t="shared" si="8"/>
        <v>Sun</v>
      </c>
      <c r="M7292" s="78" t="str">
        <f>IFERROR(VLOOKUP(A7292, Entries!A:B,2,false),"")</f>
        <v>Bethesda Softworks</v>
      </c>
      <c r="N7292" s="23" t="str">
        <f>IFERROR(VLOOKUP(A7292, Entries!A:K,11,false),"")</f>
        <v/>
      </c>
    </row>
    <row r="7293">
      <c r="A7293" s="78" t="s">
        <v>1786</v>
      </c>
      <c r="B7293" s="78" t="s">
        <v>19</v>
      </c>
      <c r="C7293" s="85">
        <v>45669.0</v>
      </c>
      <c r="D7293" s="85">
        <v>45672.0</v>
      </c>
      <c r="E7293" s="86">
        <v>7.5</v>
      </c>
      <c r="F7293" s="87">
        <v>12.0</v>
      </c>
      <c r="G7293" s="88">
        <f t="shared" si="1"/>
        <v>4.5</v>
      </c>
      <c r="H7293" s="89">
        <f t="shared" si="18"/>
        <v>0.375</v>
      </c>
      <c r="I7293" s="78" t="s">
        <v>8292</v>
      </c>
      <c r="J7293" s="78" t="s">
        <v>69</v>
      </c>
      <c r="K7293" s="58">
        <f t="shared" si="17"/>
        <v>3</v>
      </c>
      <c r="L7293" s="91" t="str">
        <f t="shared" si="8"/>
        <v>Wed</v>
      </c>
      <c r="M7293" s="78" t="str">
        <f>IFERROR(VLOOKUP(A7293, Entries!A:B,2,false),"")</f>
        <v>Bethesda Softworks</v>
      </c>
      <c r="N7293" s="23" t="str">
        <f>IFERROR(VLOOKUP(A7293, Entries!A:K,11,false),"")</f>
        <v/>
      </c>
    </row>
    <row r="7294">
      <c r="A7294" s="78" t="s">
        <v>7798</v>
      </c>
      <c r="B7294" s="78" t="s">
        <v>22</v>
      </c>
      <c r="C7294" s="85">
        <v>45669.0</v>
      </c>
      <c r="D7294" s="85">
        <v>45669.0</v>
      </c>
      <c r="E7294" s="86">
        <v>10.83</v>
      </c>
      <c r="F7294" s="87">
        <v>12.97</v>
      </c>
      <c r="G7294" s="88">
        <f t="shared" si="1"/>
        <v>2.14</v>
      </c>
      <c r="H7294" s="89">
        <f t="shared" si="18"/>
        <v>0.1649961449</v>
      </c>
      <c r="I7294" s="78" t="s">
        <v>8293</v>
      </c>
      <c r="J7294" s="78" t="s">
        <v>69</v>
      </c>
      <c r="K7294" s="58">
        <f t="shared" si="17"/>
        <v>0</v>
      </c>
      <c r="L7294" s="91" t="str">
        <f t="shared" si="8"/>
        <v>Sun</v>
      </c>
      <c r="M7294" s="78" t="str">
        <f>IFERROR(VLOOKUP(A7294, Entries!A:B,2,false),"")</f>
        <v>Konami</v>
      </c>
      <c r="N7294" s="23" t="str">
        <f>IFERROR(VLOOKUP(A7294, Entries!A:K,11,false),"")</f>
        <v/>
      </c>
    </row>
    <row r="7295">
      <c r="A7295" s="78" t="s">
        <v>7798</v>
      </c>
      <c r="B7295" s="78" t="s">
        <v>22</v>
      </c>
      <c r="C7295" s="85">
        <v>45669.0</v>
      </c>
      <c r="D7295" s="85">
        <v>45669.0</v>
      </c>
      <c r="E7295" s="86">
        <v>10.83</v>
      </c>
      <c r="F7295" s="87">
        <v>12.97</v>
      </c>
      <c r="G7295" s="88">
        <f t="shared" si="1"/>
        <v>2.14</v>
      </c>
      <c r="H7295" s="89">
        <f t="shared" si="18"/>
        <v>0.1649961449</v>
      </c>
      <c r="I7295" s="78" t="s">
        <v>8294</v>
      </c>
      <c r="J7295" s="78" t="s">
        <v>69</v>
      </c>
      <c r="K7295" s="58">
        <f t="shared" si="17"/>
        <v>0</v>
      </c>
      <c r="L7295" s="91" t="str">
        <f t="shared" si="8"/>
        <v>Sun</v>
      </c>
      <c r="M7295" s="78" t="str">
        <f>IFERROR(VLOOKUP(A7295, Entries!A:B,2,false),"")</f>
        <v>Konami</v>
      </c>
      <c r="N7295" s="23" t="str">
        <f>IFERROR(VLOOKUP(A7295, Entries!A:K,11,false),"")</f>
        <v/>
      </c>
    </row>
    <row r="7296">
      <c r="A7296" s="78" t="s">
        <v>7798</v>
      </c>
      <c r="B7296" s="78" t="s">
        <v>22</v>
      </c>
      <c r="C7296" s="85">
        <v>45669.0</v>
      </c>
      <c r="D7296" s="85">
        <v>45671.0</v>
      </c>
      <c r="E7296" s="86">
        <v>10.83</v>
      </c>
      <c r="F7296" s="87">
        <v>12.97</v>
      </c>
      <c r="G7296" s="88">
        <f t="shared" si="1"/>
        <v>2.14</v>
      </c>
      <c r="H7296" s="89">
        <f t="shared" si="18"/>
        <v>0.1649961449</v>
      </c>
      <c r="I7296" s="78" t="s">
        <v>8295</v>
      </c>
      <c r="J7296" s="78" t="s">
        <v>69</v>
      </c>
      <c r="K7296" s="58">
        <f t="shared" si="17"/>
        <v>2</v>
      </c>
      <c r="L7296" s="91" t="str">
        <f t="shared" si="8"/>
        <v>Tue</v>
      </c>
      <c r="M7296" s="78" t="str">
        <f>IFERROR(VLOOKUP(A7296, Entries!A:B,2,false),"")</f>
        <v>Konami</v>
      </c>
      <c r="N7296" s="23" t="str">
        <f>IFERROR(VLOOKUP(A7296, Entries!A:K,11,false),"")</f>
        <v/>
      </c>
    </row>
    <row r="7297">
      <c r="A7297" s="78" t="s">
        <v>8056</v>
      </c>
      <c r="B7297" s="78" t="s">
        <v>22</v>
      </c>
      <c r="C7297" s="85">
        <v>45670.0</v>
      </c>
      <c r="D7297" s="85">
        <v>45675.0</v>
      </c>
      <c r="E7297" s="86">
        <v>16.99</v>
      </c>
      <c r="F7297" s="87">
        <v>26.59</v>
      </c>
      <c r="G7297" s="88">
        <f t="shared" si="1"/>
        <v>9.6</v>
      </c>
      <c r="H7297" s="89">
        <f t="shared" si="18"/>
        <v>0.3610379842</v>
      </c>
      <c r="I7297" s="78" t="s">
        <v>8296</v>
      </c>
      <c r="J7297" s="78" t="s">
        <v>69</v>
      </c>
      <c r="K7297" s="58">
        <f t="shared" si="17"/>
        <v>5</v>
      </c>
      <c r="L7297" s="91" t="str">
        <f t="shared" si="8"/>
        <v>Sat</v>
      </c>
      <c r="M7297" s="78" t="str">
        <f>IFERROR(VLOOKUP(A7297, Entries!A:B,2,false),"")</f>
        <v>Survios</v>
      </c>
      <c r="N7297" s="23" t="str">
        <f>IFERROR(VLOOKUP(A7297, Entries!A:K,11,false),"")</f>
        <v/>
      </c>
    </row>
    <row r="7298">
      <c r="A7298" s="78" t="s">
        <v>8011</v>
      </c>
      <c r="B7298" s="78" t="s">
        <v>22</v>
      </c>
      <c r="C7298" s="85">
        <v>45670.0</v>
      </c>
      <c r="D7298" s="85">
        <v>45671.0</v>
      </c>
      <c r="E7298" s="86">
        <v>12.99</v>
      </c>
      <c r="F7298" s="87">
        <v>14.86</v>
      </c>
      <c r="G7298" s="88">
        <f t="shared" si="1"/>
        <v>1.87</v>
      </c>
      <c r="H7298" s="89">
        <f t="shared" si="18"/>
        <v>0.1258411844</v>
      </c>
      <c r="I7298" s="78" t="s">
        <v>8297</v>
      </c>
      <c r="J7298" s="78" t="s">
        <v>69</v>
      </c>
      <c r="K7298" s="58">
        <f t="shared" si="17"/>
        <v>1</v>
      </c>
      <c r="L7298" s="91" t="str">
        <f t="shared" si="8"/>
        <v>Tue</v>
      </c>
      <c r="M7298" s="78" t="str">
        <f>IFERROR(VLOOKUP(A7298, Entries!A:B,2,false),"")</f>
        <v/>
      </c>
      <c r="N7298" s="23" t="str">
        <f>IFERROR(VLOOKUP(A7298, Entries!A:K,11,false),"")</f>
        <v/>
      </c>
    </row>
    <row r="7299">
      <c r="A7299" s="78" t="s">
        <v>8298</v>
      </c>
      <c r="B7299" s="78" t="s">
        <v>22</v>
      </c>
      <c r="C7299" s="85">
        <v>45670.0</v>
      </c>
      <c r="D7299" s="85">
        <v>45672.0</v>
      </c>
      <c r="E7299" s="86">
        <v>9.1</v>
      </c>
      <c r="F7299" s="87">
        <v>15.16</v>
      </c>
      <c r="G7299" s="88">
        <f t="shared" si="1"/>
        <v>6.06</v>
      </c>
      <c r="H7299" s="89">
        <f t="shared" si="18"/>
        <v>0.3997361478</v>
      </c>
      <c r="I7299" s="78" t="s">
        <v>8299</v>
      </c>
      <c r="J7299" s="78" t="s">
        <v>69</v>
      </c>
      <c r="K7299" s="58">
        <f t="shared" si="17"/>
        <v>2</v>
      </c>
      <c r="L7299" s="91" t="str">
        <f t="shared" si="8"/>
        <v>Wed</v>
      </c>
      <c r="M7299" s="78" t="str">
        <f>IFERROR(VLOOKUP(A7299, Entries!A:B,2,false),"")</f>
        <v/>
      </c>
      <c r="N7299" s="23" t="str">
        <f>IFERROR(VLOOKUP(A7299, Entries!A:K,11,false),"")</f>
        <v/>
      </c>
    </row>
    <row r="7300">
      <c r="A7300" s="78" t="s">
        <v>8300</v>
      </c>
      <c r="B7300" s="78" t="s">
        <v>23</v>
      </c>
      <c r="C7300" s="85">
        <v>45671.0</v>
      </c>
      <c r="D7300" s="85">
        <v>46114.0</v>
      </c>
      <c r="E7300" s="86">
        <v>37.48</v>
      </c>
      <c r="F7300" s="87">
        <v>44.67</v>
      </c>
      <c r="G7300" s="88">
        <f t="shared" si="1"/>
        <v>7.19</v>
      </c>
      <c r="H7300" s="89">
        <f t="shared" si="18"/>
        <v>0.1609581375</v>
      </c>
      <c r="I7300" s="103" t="s">
        <v>8301</v>
      </c>
      <c r="J7300" s="78" t="s">
        <v>69</v>
      </c>
      <c r="K7300" s="58">
        <f t="shared" si="17"/>
        <v>443</v>
      </c>
      <c r="L7300" s="91" t="str">
        <f t="shared" si="8"/>
        <v>Thu</v>
      </c>
      <c r="M7300" s="78" t="str">
        <f>IFERROR(VLOOKUP(A7300, Entries!A:B,2,false),"")</f>
        <v/>
      </c>
      <c r="N7300" s="23" t="str">
        <f>IFERROR(VLOOKUP(A7300, Entries!A:K,11,false),"")</f>
        <v/>
      </c>
    </row>
    <row r="7301">
      <c r="A7301" s="78" t="s">
        <v>8011</v>
      </c>
      <c r="B7301" s="78" t="s">
        <v>22</v>
      </c>
      <c r="C7301" s="85">
        <v>45671.0</v>
      </c>
      <c r="D7301" s="85">
        <v>45677.0</v>
      </c>
      <c r="E7301" s="86">
        <v>13.04</v>
      </c>
      <c r="F7301" s="87">
        <v>14.45</v>
      </c>
      <c r="G7301" s="88">
        <f t="shared" si="1"/>
        <v>1.41</v>
      </c>
      <c r="H7301" s="89">
        <f t="shared" si="18"/>
        <v>0.09757785467</v>
      </c>
      <c r="I7301" s="78" t="s">
        <v>8302</v>
      </c>
      <c r="J7301" s="78" t="s">
        <v>69</v>
      </c>
      <c r="K7301" s="58">
        <f t="shared" si="17"/>
        <v>6</v>
      </c>
      <c r="L7301" s="91" t="str">
        <f t="shared" si="8"/>
        <v>Mon</v>
      </c>
      <c r="M7301" s="78" t="str">
        <f>IFERROR(VLOOKUP(A7301, Entries!A:B,2,false),"")</f>
        <v/>
      </c>
      <c r="N7301" s="23" t="str">
        <f>IFERROR(VLOOKUP(A7301, Entries!A:K,11,false),"")</f>
        <v/>
      </c>
    </row>
    <row r="7302">
      <c r="A7302" s="78" t="s">
        <v>1786</v>
      </c>
      <c r="B7302" s="78" t="s">
        <v>19</v>
      </c>
      <c r="C7302" s="85">
        <v>45672.0</v>
      </c>
      <c r="D7302" s="85">
        <v>45674.0</v>
      </c>
      <c r="E7302" s="86">
        <v>7.25</v>
      </c>
      <c r="F7302" s="87">
        <v>12.0</v>
      </c>
      <c r="G7302" s="88">
        <f t="shared" si="1"/>
        <v>4.75</v>
      </c>
      <c r="H7302" s="89">
        <f t="shared" si="18"/>
        <v>0.3958333333</v>
      </c>
      <c r="I7302" s="78" t="s">
        <v>8303</v>
      </c>
      <c r="J7302" s="78" t="s">
        <v>69</v>
      </c>
      <c r="K7302" s="58">
        <f t="shared" si="17"/>
        <v>2</v>
      </c>
      <c r="L7302" s="91" t="str">
        <f t="shared" si="8"/>
        <v>Fri</v>
      </c>
      <c r="M7302" s="78" t="str">
        <f>IFERROR(VLOOKUP(A7302, Entries!A:B,2,false),"")</f>
        <v>Bethesda Softworks</v>
      </c>
      <c r="N7302" s="23" t="str">
        <f>IFERROR(VLOOKUP(A7302, Entries!A:K,11,false),"")</f>
        <v/>
      </c>
    </row>
    <row r="7303">
      <c r="A7303" s="78" t="s">
        <v>2466</v>
      </c>
      <c r="B7303" s="78" t="s">
        <v>19</v>
      </c>
      <c r="C7303" s="85">
        <v>45672.0</v>
      </c>
      <c r="D7303" s="85">
        <v>45672.0</v>
      </c>
      <c r="E7303" s="86">
        <v>7.25</v>
      </c>
      <c r="F7303" s="87">
        <v>9.81</v>
      </c>
      <c r="G7303" s="88">
        <f t="shared" si="1"/>
        <v>2.56</v>
      </c>
      <c r="H7303" s="89">
        <f t="shared" si="18"/>
        <v>0.2609582059</v>
      </c>
      <c r="I7303" s="78" t="s">
        <v>8304</v>
      </c>
      <c r="J7303" s="78" t="s">
        <v>69</v>
      </c>
      <c r="K7303" s="58">
        <f t="shared" si="17"/>
        <v>0</v>
      </c>
      <c r="L7303" s="91" t="str">
        <f t="shared" si="8"/>
        <v>Wed</v>
      </c>
      <c r="M7303" s="78" t="str">
        <f>IFERROR(VLOOKUP(A7303, Entries!A:B,2,false),"")</f>
        <v>Bethesda Softworks</v>
      </c>
      <c r="N7303" s="23" t="str">
        <f>IFERROR(VLOOKUP(A7303, Entries!A:K,11,false),"")</f>
        <v/>
      </c>
    </row>
    <row r="7304">
      <c r="A7304" s="78" t="s">
        <v>8043</v>
      </c>
      <c r="B7304" s="78" t="s">
        <v>21</v>
      </c>
      <c r="C7304" s="85">
        <v>45672.0</v>
      </c>
      <c r="D7304" s="85">
        <v>45673.0</v>
      </c>
      <c r="E7304" s="86">
        <v>10.14</v>
      </c>
      <c r="F7304" s="87">
        <v>12.11</v>
      </c>
      <c r="G7304" s="88">
        <f t="shared" si="1"/>
        <v>1.97</v>
      </c>
      <c r="H7304" s="89">
        <f t="shared" si="18"/>
        <v>0.1626754748</v>
      </c>
      <c r="I7304" s="78" t="s">
        <v>8305</v>
      </c>
      <c r="J7304" s="78" t="s">
        <v>69</v>
      </c>
      <c r="K7304" s="58">
        <f t="shared" si="17"/>
        <v>1</v>
      </c>
      <c r="L7304" s="91" t="str">
        <f t="shared" si="8"/>
        <v>Thu</v>
      </c>
      <c r="M7304" s="78" t="str">
        <f>IFERROR(VLOOKUP(A7304, Entries!A:B,2,false),"")</f>
        <v/>
      </c>
      <c r="N7304" s="23" t="str">
        <f>IFERROR(VLOOKUP(A7304, Entries!A:K,11,false),"")</f>
        <v/>
      </c>
    </row>
    <row r="7305">
      <c r="A7305" s="78" t="s">
        <v>8043</v>
      </c>
      <c r="B7305" s="78" t="s">
        <v>21</v>
      </c>
      <c r="C7305" s="85">
        <v>45672.0</v>
      </c>
      <c r="D7305" s="85">
        <v>45678.0</v>
      </c>
      <c r="E7305" s="86">
        <v>10.14</v>
      </c>
      <c r="F7305" s="87">
        <v>11.86</v>
      </c>
      <c r="G7305" s="88">
        <f t="shared" si="1"/>
        <v>1.72</v>
      </c>
      <c r="H7305" s="89">
        <f t="shared" si="18"/>
        <v>0.1450252951</v>
      </c>
      <c r="I7305" s="78" t="s">
        <v>8306</v>
      </c>
      <c r="J7305" s="78" t="s">
        <v>69</v>
      </c>
      <c r="K7305" s="58">
        <f t="shared" si="17"/>
        <v>6</v>
      </c>
      <c r="L7305" s="91" t="str">
        <f t="shared" si="8"/>
        <v>Tue</v>
      </c>
      <c r="M7305" s="78" t="str">
        <f>IFERROR(VLOOKUP(A7305, Entries!A:B,2,false),"")</f>
        <v/>
      </c>
      <c r="N7305" s="23" t="str">
        <f>IFERROR(VLOOKUP(A7305, Entries!A:K,11,false),"")</f>
        <v/>
      </c>
    </row>
    <row r="7306">
      <c r="A7306" s="78" t="s">
        <v>8043</v>
      </c>
      <c r="B7306" s="78" t="s">
        <v>21</v>
      </c>
      <c r="C7306" s="85">
        <v>45672.0</v>
      </c>
      <c r="D7306" s="85">
        <v>45673.0</v>
      </c>
      <c r="E7306" s="86">
        <v>10.14</v>
      </c>
      <c r="F7306" s="87">
        <v>12.07</v>
      </c>
      <c r="G7306" s="88">
        <f t="shared" si="1"/>
        <v>1.93</v>
      </c>
      <c r="H7306" s="89">
        <f t="shared" si="18"/>
        <v>0.15990058</v>
      </c>
      <c r="I7306" s="78" t="s">
        <v>8307</v>
      </c>
      <c r="J7306" s="78" t="s">
        <v>69</v>
      </c>
      <c r="K7306" s="58">
        <f t="shared" si="17"/>
        <v>1</v>
      </c>
      <c r="L7306" s="91" t="str">
        <f t="shared" si="8"/>
        <v>Thu</v>
      </c>
      <c r="M7306" s="78" t="str">
        <f>IFERROR(VLOOKUP(A7306, Entries!A:B,2,false),"")</f>
        <v/>
      </c>
      <c r="N7306" s="23" t="str">
        <f>IFERROR(VLOOKUP(A7306, Entries!A:K,11,false),"")</f>
        <v/>
      </c>
    </row>
    <row r="7307">
      <c r="A7307" s="78" t="s">
        <v>8043</v>
      </c>
      <c r="B7307" s="78" t="s">
        <v>21</v>
      </c>
      <c r="C7307" s="85">
        <v>45672.0</v>
      </c>
      <c r="D7307" s="85">
        <v>45679.0</v>
      </c>
      <c r="E7307" s="86">
        <v>10.14</v>
      </c>
      <c r="F7307" s="87">
        <v>11.86</v>
      </c>
      <c r="G7307" s="88">
        <f t="shared" si="1"/>
        <v>1.72</v>
      </c>
      <c r="H7307" s="89">
        <f t="shared" si="18"/>
        <v>0.1450252951</v>
      </c>
      <c r="I7307" s="78" t="s">
        <v>8308</v>
      </c>
      <c r="J7307" s="78" t="s">
        <v>69</v>
      </c>
      <c r="K7307" s="58">
        <f t="shared" si="17"/>
        <v>7</v>
      </c>
      <c r="L7307" s="91" t="str">
        <f t="shared" si="8"/>
        <v>Wed</v>
      </c>
      <c r="M7307" s="78" t="str">
        <f>IFERROR(VLOOKUP(A7307, Entries!A:B,2,false),"")</f>
        <v/>
      </c>
      <c r="N7307" s="23" t="str">
        <f>IFERROR(VLOOKUP(A7307, Entries!A:K,11,false),"")</f>
        <v/>
      </c>
    </row>
    <row r="7308">
      <c r="A7308" s="78" t="s">
        <v>8043</v>
      </c>
      <c r="B7308" s="78" t="s">
        <v>21</v>
      </c>
      <c r="C7308" s="85">
        <v>45672.0</v>
      </c>
      <c r="D7308" s="25"/>
      <c r="E7308" s="86">
        <v>10.14</v>
      </c>
      <c r="F7308" s="88"/>
      <c r="G7308" s="88">
        <f t="shared" si="1"/>
        <v>-10.14</v>
      </c>
      <c r="H7308" s="89" t="str">
        <f t="shared" si="18"/>
        <v/>
      </c>
      <c r="I7308" s="103" t="s">
        <v>8309</v>
      </c>
      <c r="J7308" s="78" t="s">
        <v>1129</v>
      </c>
      <c r="K7308" s="58" t="str">
        <f t="shared" si="17"/>
        <v/>
      </c>
      <c r="L7308" s="91" t="str">
        <f t="shared" si="8"/>
        <v/>
      </c>
      <c r="M7308" s="78" t="str">
        <f>IFERROR(VLOOKUP(A7308, Entries!A:B,2,false),"")</f>
        <v/>
      </c>
      <c r="N7308" s="23" t="str">
        <f>IFERROR(VLOOKUP(A7308, Entries!A:K,11,false),"")</f>
        <v/>
      </c>
      <c r="Q7308" s="111" t="str">
        <f>IF(AND(TODAY()-ROW(A1)+1 &lt;= 30, J1="Closed"), TEXT(TODAY()-ROW(A1)+1, "dd-mm-yyyy"), "")
</f>
        <v/>
      </c>
    </row>
    <row r="7309">
      <c r="A7309" s="78" t="s">
        <v>8043</v>
      </c>
      <c r="B7309" s="78" t="s">
        <v>21</v>
      </c>
      <c r="C7309" s="85">
        <v>45672.0</v>
      </c>
      <c r="D7309" s="25"/>
      <c r="E7309" s="86">
        <v>10.14</v>
      </c>
      <c r="F7309" s="88"/>
      <c r="G7309" s="88">
        <f t="shared" si="1"/>
        <v>-10.14</v>
      </c>
      <c r="H7309" s="89" t="str">
        <f t="shared" si="18"/>
        <v/>
      </c>
      <c r="I7309" s="103" t="s">
        <v>8310</v>
      </c>
      <c r="J7309" s="78" t="s">
        <v>1129</v>
      </c>
      <c r="K7309" s="58" t="str">
        <f t="shared" si="17"/>
        <v/>
      </c>
      <c r="L7309" s="91" t="str">
        <f t="shared" si="8"/>
        <v/>
      </c>
      <c r="M7309" s="78" t="str">
        <f>IFERROR(VLOOKUP(A7309, Entries!A:B,2,false),"")</f>
        <v/>
      </c>
      <c r="N7309" s="23" t="str">
        <f>IFERROR(VLOOKUP(A7309, Entries!A:K,11,false),"")</f>
        <v/>
      </c>
      <c r="Q7309" s="111"/>
    </row>
    <row r="7310">
      <c r="A7310" s="78" t="s">
        <v>8298</v>
      </c>
      <c r="B7310" s="78" t="s">
        <v>22</v>
      </c>
      <c r="C7310" s="85">
        <v>45672.0</v>
      </c>
      <c r="D7310" s="85">
        <v>45677.0</v>
      </c>
      <c r="E7310" s="86">
        <v>9.1</v>
      </c>
      <c r="F7310" s="87">
        <v>14.17</v>
      </c>
      <c r="G7310" s="88">
        <f t="shared" si="1"/>
        <v>5.07</v>
      </c>
      <c r="H7310" s="89">
        <f t="shared" si="18"/>
        <v>0.3577981651</v>
      </c>
      <c r="I7310" s="78" t="s">
        <v>8311</v>
      </c>
      <c r="J7310" s="78" t="s">
        <v>69</v>
      </c>
      <c r="K7310" s="58">
        <f t="shared" si="17"/>
        <v>5</v>
      </c>
      <c r="L7310" s="91" t="str">
        <f t="shared" si="8"/>
        <v>Mon</v>
      </c>
      <c r="M7310" s="78" t="str">
        <f>IFERROR(VLOOKUP(A7310, Entries!A:B,2,false),"")</f>
        <v/>
      </c>
      <c r="N7310" s="23" t="str">
        <f>IFERROR(VLOOKUP(A7310, Entries!A:K,11,false),"")</f>
        <v/>
      </c>
    </row>
    <row r="7311">
      <c r="A7311" s="78" t="s">
        <v>8312</v>
      </c>
      <c r="B7311" s="78" t="s">
        <v>21</v>
      </c>
      <c r="C7311" s="85">
        <v>45674.0</v>
      </c>
      <c r="D7311" s="85">
        <v>45675.0</v>
      </c>
      <c r="E7311" s="86">
        <v>29.99</v>
      </c>
      <c r="F7311" s="87">
        <v>31.92</v>
      </c>
      <c r="G7311" s="88">
        <f t="shared" si="1"/>
        <v>1.93</v>
      </c>
      <c r="H7311" s="89">
        <f t="shared" si="18"/>
        <v>0.06046365915</v>
      </c>
      <c r="I7311" s="78" t="s">
        <v>8313</v>
      </c>
      <c r="J7311" s="78" t="s">
        <v>69</v>
      </c>
      <c r="K7311" s="58">
        <f t="shared" si="17"/>
        <v>1</v>
      </c>
      <c r="L7311" s="91" t="str">
        <f t="shared" si="8"/>
        <v>Sat</v>
      </c>
      <c r="M7311" s="78" t="str">
        <f>IFERROR(VLOOKUP(A7311, Entries!A:B,2,false),"")</f>
        <v/>
      </c>
      <c r="N7311" s="23" t="str">
        <f>IFERROR(VLOOKUP(A7311, Entries!A:K,11,false),"")</f>
        <v/>
      </c>
    </row>
    <row r="7312">
      <c r="A7312" s="78" t="s">
        <v>1786</v>
      </c>
      <c r="B7312" s="78" t="s">
        <v>19</v>
      </c>
      <c r="C7312" s="85">
        <v>45674.0</v>
      </c>
      <c r="D7312" s="85">
        <v>45675.0</v>
      </c>
      <c r="E7312" s="86">
        <v>7.23</v>
      </c>
      <c r="F7312" s="87">
        <v>12.0</v>
      </c>
      <c r="G7312" s="88">
        <f t="shared" si="1"/>
        <v>4.77</v>
      </c>
      <c r="H7312" s="89">
        <f t="shared" si="18"/>
        <v>0.3975</v>
      </c>
      <c r="I7312" s="78" t="s">
        <v>8314</v>
      </c>
      <c r="J7312" s="78" t="s">
        <v>69</v>
      </c>
      <c r="K7312" s="58">
        <f t="shared" si="17"/>
        <v>1</v>
      </c>
      <c r="L7312" s="91" t="str">
        <f t="shared" si="8"/>
        <v>Sat</v>
      </c>
      <c r="M7312" s="78" t="str">
        <f>IFERROR(VLOOKUP(A7312, Entries!A:B,2,false),"")</f>
        <v>Bethesda Softworks</v>
      </c>
      <c r="N7312" s="23" t="str">
        <f>IFERROR(VLOOKUP(A7312, Entries!A:K,11,false),"")</f>
        <v/>
      </c>
    </row>
    <row r="7313">
      <c r="A7313" s="78" t="s">
        <v>2466</v>
      </c>
      <c r="B7313" s="78" t="s">
        <v>19</v>
      </c>
      <c r="C7313" s="85">
        <v>45674.0</v>
      </c>
      <c r="D7313" s="85">
        <v>45674.0</v>
      </c>
      <c r="E7313" s="86">
        <v>7.23</v>
      </c>
      <c r="F7313" s="87">
        <v>9.81</v>
      </c>
      <c r="G7313" s="88">
        <f t="shared" si="1"/>
        <v>2.58</v>
      </c>
      <c r="H7313" s="89">
        <f t="shared" si="18"/>
        <v>0.2629969419</v>
      </c>
      <c r="I7313" s="78" t="s">
        <v>8315</v>
      </c>
      <c r="J7313" s="78" t="s">
        <v>69</v>
      </c>
      <c r="K7313" s="58">
        <f t="shared" si="17"/>
        <v>0</v>
      </c>
      <c r="L7313" s="91" t="str">
        <f t="shared" si="8"/>
        <v>Fri</v>
      </c>
      <c r="M7313" s="78" t="str">
        <f>IFERROR(VLOOKUP(A7313, Entries!A:B,2,false),"")</f>
        <v>Bethesda Softworks</v>
      </c>
      <c r="N7313" s="23" t="str">
        <f>IFERROR(VLOOKUP(A7313, Entries!A:K,11,false),"")</f>
        <v/>
      </c>
    </row>
    <row r="7314">
      <c r="A7314" s="78" t="s">
        <v>8316</v>
      </c>
      <c r="B7314" s="78" t="s">
        <v>21</v>
      </c>
      <c r="C7314" s="85">
        <v>45674.0</v>
      </c>
      <c r="D7314" s="85">
        <v>45675.0</v>
      </c>
      <c r="E7314" s="86">
        <v>12.3</v>
      </c>
      <c r="F7314" s="87">
        <v>13.46</v>
      </c>
      <c r="G7314" s="88">
        <f t="shared" si="1"/>
        <v>1.16</v>
      </c>
      <c r="H7314" s="89">
        <f t="shared" si="18"/>
        <v>0.08618127786</v>
      </c>
      <c r="I7314" s="78" t="s">
        <v>8317</v>
      </c>
      <c r="J7314" s="78" t="s">
        <v>69</v>
      </c>
      <c r="K7314" s="58">
        <f t="shared" si="17"/>
        <v>1</v>
      </c>
      <c r="L7314" s="91" t="str">
        <f t="shared" si="8"/>
        <v>Sat</v>
      </c>
      <c r="M7314" s="78" t="str">
        <f>IFERROR(VLOOKUP(A7314, Entries!A:B,2,false),"")</f>
        <v/>
      </c>
      <c r="N7314" s="23" t="str">
        <f>IFERROR(VLOOKUP(A7314, Entries!A:K,11,false),"")</f>
        <v/>
      </c>
    </row>
    <row r="7315">
      <c r="A7315" s="78" t="s">
        <v>8316</v>
      </c>
      <c r="B7315" s="78" t="s">
        <v>21</v>
      </c>
      <c r="C7315" s="85">
        <v>45674.0</v>
      </c>
      <c r="D7315" s="85">
        <v>45675.0</v>
      </c>
      <c r="E7315" s="86">
        <v>12.3</v>
      </c>
      <c r="F7315" s="87">
        <v>13.46</v>
      </c>
      <c r="G7315" s="88">
        <f t="shared" si="1"/>
        <v>1.16</v>
      </c>
      <c r="H7315" s="89">
        <f t="shared" si="18"/>
        <v>0.08618127786</v>
      </c>
      <c r="I7315" s="78" t="s">
        <v>8318</v>
      </c>
      <c r="J7315" s="78" t="s">
        <v>69</v>
      </c>
      <c r="K7315" s="58">
        <f t="shared" si="17"/>
        <v>1</v>
      </c>
      <c r="L7315" s="91" t="str">
        <f t="shared" si="8"/>
        <v>Sat</v>
      </c>
      <c r="M7315" s="78" t="str">
        <f>IFERROR(VLOOKUP(A7315, Entries!A:B,2,false),"")</f>
        <v/>
      </c>
      <c r="N7315" s="23" t="str">
        <f>IFERROR(VLOOKUP(A7315, Entries!A:K,11,false),"")</f>
        <v/>
      </c>
    </row>
    <row r="7316">
      <c r="A7316" s="78" t="s">
        <v>8316</v>
      </c>
      <c r="B7316" s="78" t="s">
        <v>21</v>
      </c>
      <c r="C7316" s="85">
        <v>45674.0</v>
      </c>
      <c r="D7316" s="85">
        <v>45675.0</v>
      </c>
      <c r="E7316" s="86">
        <v>12.3</v>
      </c>
      <c r="F7316" s="87">
        <v>13.43</v>
      </c>
      <c r="G7316" s="88">
        <f t="shared" si="1"/>
        <v>1.13</v>
      </c>
      <c r="H7316" s="89">
        <f t="shared" si="18"/>
        <v>0.08413998511</v>
      </c>
      <c r="I7316" s="78" t="s">
        <v>8319</v>
      </c>
      <c r="J7316" s="78" t="s">
        <v>69</v>
      </c>
      <c r="K7316" s="58">
        <f t="shared" si="17"/>
        <v>1</v>
      </c>
      <c r="L7316" s="91" t="str">
        <f t="shared" si="8"/>
        <v>Sat</v>
      </c>
      <c r="M7316" s="78" t="str">
        <f>IFERROR(VLOOKUP(A7316, Entries!A:B,2,false),"")</f>
        <v/>
      </c>
      <c r="N7316" s="23" t="str">
        <f>IFERROR(VLOOKUP(A7316, Entries!A:K,11,false),"")</f>
        <v/>
      </c>
    </row>
    <row r="7317">
      <c r="A7317" s="78" t="s">
        <v>8006</v>
      </c>
      <c r="B7317" s="78" t="s">
        <v>18</v>
      </c>
      <c r="C7317" s="85">
        <v>45674.0</v>
      </c>
      <c r="D7317" s="85">
        <v>45675.0</v>
      </c>
      <c r="E7317" s="86">
        <v>11.93</v>
      </c>
      <c r="F7317" s="87">
        <v>16.94</v>
      </c>
      <c r="G7317" s="88">
        <f t="shared" si="1"/>
        <v>5.01</v>
      </c>
      <c r="H7317" s="89">
        <f t="shared" si="18"/>
        <v>0.2957497048</v>
      </c>
      <c r="I7317" s="78" t="s">
        <v>8320</v>
      </c>
      <c r="J7317" s="78" t="s">
        <v>69</v>
      </c>
      <c r="K7317" s="58">
        <f t="shared" si="17"/>
        <v>1</v>
      </c>
      <c r="L7317" s="91" t="str">
        <f t="shared" si="8"/>
        <v>Sat</v>
      </c>
      <c r="M7317" s="78" t="str">
        <f>IFERROR(VLOOKUP(A7317, Entries!A:B,2,false),"")</f>
        <v>North Beach</v>
      </c>
      <c r="N7317" s="23" t="str">
        <f>IFERROR(VLOOKUP(A7317, Entries!A:K,11,false),"")</f>
        <v/>
      </c>
    </row>
    <row r="7318">
      <c r="A7318" s="78" t="s">
        <v>8006</v>
      </c>
      <c r="B7318" s="78" t="s">
        <v>18</v>
      </c>
      <c r="C7318" s="85">
        <v>45674.0</v>
      </c>
      <c r="D7318" s="85">
        <v>45675.0</v>
      </c>
      <c r="E7318" s="86">
        <v>11.93</v>
      </c>
      <c r="F7318" s="87">
        <v>16.94</v>
      </c>
      <c r="G7318" s="88">
        <f t="shared" si="1"/>
        <v>5.01</v>
      </c>
      <c r="H7318" s="89">
        <f t="shared" si="18"/>
        <v>0.2957497048</v>
      </c>
      <c r="I7318" s="78" t="s">
        <v>8321</v>
      </c>
      <c r="J7318" s="78" t="s">
        <v>69</v>
      </c>
      <c r="K7318" s="58">
        <f t="shared" si="17"/>
        <v>1</v>
      </c>
      <c r="L7318" s="91" t="str">
        <f t="shared" si="8"/>
        <v>Sat</v>
      </c>
      <c r="M7318" s="78" t="str">
        <f>IFERROR(VLOOKUP(A7318, Entries!A:B,2,false),"")</f>
        <v>North Beach</v>
      </c>
      <c r="N7318" s="23" t="str">
        <f>IFERROR(VLOOKUP(A7318, Entries!A:K,11,false),"")</f>
        <v/>
      </c>
    </row>
    <row r="7319">
      <c r="A7319" s="78" t="s">
        <v>8006</v>
      </c>
      <c r="B7319" s="78" t="s">
        <v>18</v>
      </c>
      <c r="C7319" s="85">
        <v>45674.0</v>
      </c>
      <c r="D7319" s="85">
        <v>45691.0</v>
      </c>
      <c r="E7319" s="86">
        <v>11.93</v>
      </c>
      <c r="F7319" s="87">
        <v>19.58</v>
      </c>
      <c r="G7319" s="88">
        <f t="shared" si="1"/>
        <v>7.65</v>
      </c>
      <c r="H7319" s="89">
        <f t="shared" si="18"/>
        <v>0.3907048008</v>
      </c>
      <c r="I7319" s="78" t="s">
        <v>8322</v>
      </c>
      <c r="J7319" s="78" t="s">
        <v>69</v>
      </c>
      <c r="K7319" s="58">
        <f t="shared" si="17"/>
        <v>17</v>
      </c>
      <c r="L7319" s="91" t="str">
        <f t="shared" si="8"/>
        <v>Mon</v>
      </c>
      <c r="M7319" s="78" t="str">
        <f>IFERROR(VLOOKUP(A7319, Entries!A:B,2,false),"")</f>
        <v>North Beach</v>
      </c>
      <c r="N7319" s="23" t="str">
        <f>IFERROR(VLOOKUP(A7319, Entries!A:K,11,false),"")</f>
        <v/>
      </c>
      <c r="Q7319" s="111"/>
    </row>
    <row r="7320">
      <c r="A7320" s="78" t="s">
        <v>7987</v>
      </c>
      <c r="B7320" s="78" t="s">
        <v>22</v>
      </c>
      <c r="C7320" s="85">
        <v>45674.0</v>
      </c>
      <c r="D7320" s="85">
        <v>45674.0</v>
      </c>
      <c r="E7320" s="86">
        <v>9.06</v>
      </c>
      <c r="F7320" s="87">
        <v>9.98</v>
      </c>
      <c r="G7320" s="88">
        <f t="shared" si="1"/>
        <v>0.92</v>
      </c>
      <c r="H7320" s="89">
        <f t="shared" si="18"/>
        <v>0.09218436874</v>
      </c>
      <c r="I7320" s="78" t="s">
        <v>8323</v>
      </c>
      <c r="J7320" s="78" t="s">
        <v>69</v>
      </c>
      <c r="K7320" s="58">
        <f t="shared" si="17"/>
        <v>0</v>
      </c>
      <c r="L7320" s="91" t="str">
        <f t="shared" si="8"/>
        <v>Fri</v>
      </c>
      <c r="M7320" s="78" t="str">
        <f>IFERROR(VLOOKUP(A7320, Entries!A:B,2,false),"")</f>
        <v/>
      </c>
      <c r="N7320" s="23" t="str">
        <f>IFERROR(VLOOKUP(A7320, Entries!A:K,11,false),"")</f>
        <v/>
      </c>
    </row>
    <row r="7321">
      <c r="A7321" s="78" t="s">
        <v>7987</v>
      </c>
      <c r="B7321" s="78" t="s">
        <v>22</v>
      </c>
      <c r="C7321" s="85">
        <v>45674.0</v>
      </c>
      <c r="D7321" s="85">
        <v>45676.0</v>
      </c>
      <c r="E7321" s="86">
        <v>9.06</v>
      </c>
      <c r="F7321" s="87">
        <v>13.0</v>
      </c>
      <c r="G7321" s="88">
        <f t="shared" si="1"/>
        <v>3.94</v>
      </c>
      <c r="H7321" s="89">
        <f t="shared" si="18"/>
        <v>0.3030769231</v>
      </c>
      <c r="I7321" s="78" t="s">
        <v>8324</v>
      </c>
      <c r="J7321" s="78" t="s">
        <v>69</v>
      </c>
      <c r="K7321" s="58">
        <f t="shared" si="17"/>
        <v>2</v>
      </c>
      <c r="L7321" s="91" t="str">
        <f t="shared" si="8"/>
        <v>Sun</v>
      </c>
      <c r="M7321" s="78" t="str">
        <f>IFERROR(VLOOKUP(A7321, Entries!A:B,2,false),"")</f>
        <v/>
      </c>
      <c r="N7321" s="23" t="str">
        <f>IFERROR(VLOOKUP(A7321, Entries!A:K,11,false),"")</f>
        <v/>
      </c>
    </row>
    <row r="7322">
      <c r="A7322" s="78" t="s">
        <v>1786</v>
      </c>
      <c r="B7322" s="78" t="s">
        <v>19</v>
      </c>
      <c r="C7322" s="85">
        <v>45675.0</v>
      </c>
      <c r="D7322" s="85">
        <v>45676.0</v>
      </c>
      <c r="E7322" s="86">
        <v>7.23</v>
      </c>
      <c r="F7322" s="87">
        <v>11.98</v>
      </c>
      <c r="G7322" s="88">
        <f t="shared" si="1"/>
        <v>4.75</v>
      </c>
      <c r="H7322" s="89">
        <f t="shared" si="18"/>
        <v>0.3964941569</v>
      </c>
      <c r="I7322" s="78" t="s">
        <v>8325</v>
      </c>
      <c r="J7322" s="78" t="s">
        <v>69</v>
      </c>
      <c r="K7322" s="58">
        <f t="shared" si="17"/>
        <v>1</v>
      </c>
      <c r="L7322" s="91" t="str">
        <f t="shared" si="8"/>
        <v>Sun</v>
      </c>
      <c r="M7322" s="78" t="str">
        <f>IFERROR(VLOOKUP(A7322, Entries!A:B,2,false),"")</f>
        <v>Bethesda Softworks</v>
      </c>
      <c r="N7322" s="23" t="str">
        <f>IFERROR(VLOOKUP(A7322, Entries!A:K,11,false),"")</f>
        <v/>
      </c>
    </row>
    <row r="7323">
      <c r="A7323" s="78" t="s">
        <v>2466</v>
      </c>
      <c r="B7323" s="78" t="s">
        <v>19</v>
      </c>
      <c r="C7323" s="85">
        <v>45675.0</v>
      </c>
      <c r="D7323" s="85">
        <v>45675.0</v>
      </c>
      <c r="E7323" s="86">
        <v>7.22</v>
      </c>
      <c r="F7323" s="87">
        <v>9.81</v>
      </c>
      <c r="G7323" s="88">
        <f t="shared" si="1"/>
        <v>2.59</v>
      </c>
      <c r="H7323" s="89">
        <f t="shared" si="18"/>
        <v>0.2640163099</v>
      </c>
      <c r="I7323" s="78" t="s">
        <v>8326</v>
      </c>
      <c r="J7323" s="78" t="s">
        <v>69</v>
      </c>
      <c r="K7323" s="58">
        <f t="shared" si="17"/>
        <v>0</v>
      </c>
      <c r="L7323" s="91" t="str">
        <f t="shared" si="8"/>
        <v>Sat</v>
      </c>
      <c r="M7323" s="78" t="str">
        <f>IFERROR(VLOOKUP(A7323, Entries!A:B,2,false),"")</f>
        <v>Bethesda Softworks</v>
      </c>
      <c r="N7323" s="23" t="str">
        <f>IFERROR(VLOOKUP(A7323, Entries!A:K,11,false),"")</f>
        <v/>
      </c>
    </row>
    <row r="7324">
      <c r="A7324" s="78" t="s">
        <v>8006</v>
      </c>
      <c r="B7324" s="78" t="s">
        <v>18</v>
      </c>
      <c r="C7324" s="85">
        <v>45675.0</v>
      </c>
      <c r="D7324" s="85">
        <v>45691.0</v>
      </c>
      <c r="E7324" s="86">
        <v>11.91</v>
      </c>
      <c r="F7324" s="87">
        <v>19.58</v>
      </c>
      <c r="G7324" s="88">
        <f t="shared" si="1"/>
        <v>7.67</v>
      </c>
      <c r="H7324" s="89">
        <f t="shared" si="18"/>
        <v>0.3917262513</v>
      </c>
      <c r="J7324" s="78" t="s">
        <v>69</v>
      </c>
      <c r="K7324" s="58">
        <f t="shared" si="17"/>
        <v>16</v>
      </c>
      <c r="L7324" s="91" t="str">
        <f t="shared" si="8"/>
        <v>Mon</v>
      </c>
      <c r="M7324" s="78" t="str">
        <f>IFERROR(VLOOKUP(A7324, Entries!A:B,2,false),"")</f>
        <v>North Beach</v>
      </c>
      <c r="N7324" s="23" t="str">
        <f>IFERROR(VLOOKUP(A7324, Entries!A:K,11,false),"")</f>
        <v/>
      </c>
      <c r="Q7324" s="111"/>
    </row>
    <row r="7325">
      <c r="A7325" s="78" t="s">
        <v>8006</v>
      </c>
      <c r="B7325" s="78" t="s">
        <v>18</v>
      </c>
      <c r="C7325" s="85">
        <v>45675.0</v>
      </c>
      <c r="D7325" s="85">
        <v>45692.0</v>
      </c>
      <c r="E7325" s="86">
        <v>11.91</v>
      </c>
      <c r="F7325" s="87">
        <v>17.8</v>
      </c>
      <c r="G7325" s="88">
        <f t="shared" si="1"/>
        <v>5.89</v>
      </c>
      <c r="H7325" s="89">
        <f t="shared" si="18"/>
        <v>0.3308988764</v>
      </c>
      <c r="J7325" s="78" t="s">
        <v>69</v>
      </c>
      <c r="K7325" s="58">
        <f t="shared" si="17"/>
        <v>17</v>
      </c>
      <c r="L7325" s="91" t="str">
        <f t="shared" si="8"/>
        <v>Tue</v>
      </c>
      <c r="M7325" s="78" t="str">
        <f>IFERROR(VLOOKUP(A7325, Entries!A:B,2,false),"")</f>
        <v>North Beach</v>
      </c>
      <c r="N7325" s="23" t="str">
        <f>IFERROR(VLOOKUP(A7325, Entries!A:K,11,false),"")</f>
        <v/>
      </c>
      <c r="Q7325" s="111"/>
    </row>
    <row r="7326">
      <c r="A7326" s="78" t="s">
        <v>8006</v>
      </c>
      <c r="B7326" s="78" t="s">
        <v>18</v>
      </c>
      <c r="C7326" s="85">
        <v>45675.0</v>
      </c>
      <c r="D7326" s="85">
        <v>45693.0</v>
      </c>
      <c r="E7326" s="86">
        <v>11.92</v>
      </c>
      <c r="F7326" s="87">
        <v>14.55</v>
      </c>
      <c r="G7326" s="88">
        <f t="shared" si="1"/>
        <v>2.63</v>
      </c>
      <c r="H7326" s="89">
        <f t="shared" si="18"/>
        <v>0.1807560137</v>
      </c>
      <c r="J7326" s="78" t="s">
        <v>69</v>
      </c>
      <c r="K7326" s="58">
        <f t="shared" si="17"/>
        <v>18</v>
      </c>
      <c r="L7326" s="91" t="str">
        <f t="shared" si="8"/>
        <v>Wed</v>
      </c>
      <c r="M7326" s="78" t="str">
        <f>IFERROR(VLOOKUP(A7326, Entries!A:B,2,false),"")</f>
        <v>North Beach</v>
      </c>
      <c r="N7326" s="23" t="str">
        <f>IFERROR(VLOOKUP(A7326, Entries!A:K,11,false),"")</f>
        <v/>
      </c>
      <c r="Q7326" s="111"/>
    </row>
    <row r="7327">
      <c r="A7327" s="78" t="s">
        <v>8006</v>
      </c>
      <c r="B7327" s="78" t="s">
        <v>18</v>
      </c>
      <c r="C7327" s="85">
        <v>45675.0</v>
      </c>
      <c r="D7327" s="85">
        <v>45697.0</v>
      </c>
      <c r="E7327" s="86">
        <v>11.92</v>
      </c>
      <c r="F7327" s="87">
        <v>14.83</v>
      </c>
      <c r="G7327" s="88">
        <f t="shared" si="1"/>
        <v>2.91</v>
      </c>
      <c r="H7327" s="89">
        <f t="shared" si="18"/>
        <v>0.1962238705</v>
      </c>
      <c r="J7327" s="78" t="s">
        <v>69</v>
      </c>
      <c r="K7327" s="58">
        <f t="shared" si="17"/>
        <v>22</v>
      </c>
      <c r="L7327" s="91" t="str">
        <f t="shared" si="8"/>
        <v>Sun</v>
      </c>
      <c r="M7327" s="78" t="str">
        <f>IFERROR(VLOOKUP(A7327, Entries!A:B,2,false),"")</f>
        <v>North Beach</v>
      </c>
      <c r="N7327" s="23" t="str">
        <f>IFERROR(VLOOKUP(A7327, Entries!A:K,11,false),"")</f>
        <v/>
      </c>
      <c r="Q7327" s="111"/>
    </row>
    <row r="7328">
      <c r="A7328" s="78" t="s">
        <v>8006</v>
      </c>
      <c r="B7328" s="78" t="s">
        <v>18</v>
      </c>
      <c r="C7328" s="85">
        <v>45675.0</v>
      </c>
      <c r="D7328" s="85">
        <v>45701.0</v>
      </c>
      <c r="E7328" s="86">
        <v>11.92</v>
      </c>
      <c r="F7328" s="87">
        <v>13.46</v>
      </c>
      <c r="G7328" s="88">
        <f t="shared" si="1"/>
        <v>1.54</v>
      </c>
      <c r="H7328" s="89">
        <f t="shared" si="18"/>
        <v>0.1144130758</v>
      </c>
      <c r="J7328" s="78" t="s">
        <v>69</v>
      </c>
      <c r="K7328" s="58">
        <f t="shared" si="17"/>
        <v>26</v>
      </c>
      <c r="L7328" s="91" t="str">
        <f t="shared" si="8"/>
        <v>Thu</v>
      </c>
      <c r="M7328" s="78" t="str">
        <f>IFERROR(VLOOKUP(A7328, Entries!A:B,2,false),"")</f>
        <v>North Beach</v>
      </c>
      <c r="N7328" s="23" t="str">
        <f>IFERROR(VLOOKUP(A7328, Entries!A:K,11,false),"")</f>
        <v/>
      </c>
      <c r="Q7328" s="111"/>
    </row>
    <row r="7329">
      <c r="A7329" s="78" t="s">
        <v>8327</v>
      </c>
      <c r="B7329" s="78" t="s">
        <v>22</v>
      </c>
      <c r="C7329" s="85">
        <v>45675.0</v>
      </c>
      <c r="D7329" s="85">
        <v>45779.0</v>
      </c>
      <c r="E7329" s="86">
        <v>7.97</v>
      </c>
      <c r="F7329" s="87">
        <v>14.22</v>
      </c>
      <c r="G7329" s="88">
        <f t="shared" si="1"/>
        <v>6.25</v>
      </c>
      <c r="H7329" s="89">
        <f t="shared" si="18"/>
        <v>0.4395218003</v>
      </c>
      <c r="I7329" s="103" t="s">
        <v>8328</v>
      </c>
      <c r="J7329" s="78" t="s">
        <v>69</v>
      </c>
      <c r="K7329" s="58">
        <f t="shared" si="17"/>
        <v>104</v>
      </c>
      <c r="L7329" s="91" t="str">
        <f t="shared" si="8"/>
        <v>Fri</v>
      </c>
      <c r="M7329" s="78" t="str">
        <f>IFERROR(VLOOKUP(A7329, Entries!A:B,2,false),"")</f>
        <v/>
      </c>
      <c r="N7329" s="23" t="str">
        <f>IFERROR(VLOOKUP(A7329, Entries!A:K,11,false),"")</f>
        <v/>
      </c>
      <c r="Q7329" s="111"/>
    </row>
    <row r="7330">
      <c r="A7330" s="78" t="s">
        <v>8329</v>
      </c>
      <c r="B7330" s="78" t="s">
        <v>32</v>
      </c>
      <c r="C7330" s="85">
        <v>45675.0</v>
      </c>
      <c r="D7330" s="85">
        <v>45676.0</v>
      </c>
      <c r="E7330" s="86">
        <v>22.01</v>
      </c>
      <c r="F7330" s="87">
        <v>43.06</v>
      </c>
      <c r="G7330" s="88">
        <f t="shared" si="1"/>
        <v>21.05</v>
      </c>
      <c r="H7330" s="89">
        <f t="shared" si="18"/>
        <v>0.4888527636</v>
      </c>
      <c r="I7330" s="78" t="s">
        <v>8330</v>
      </c>
      <c r="J7330" s="78" t="s">
        <v>69</v>
      </c>
      <c r="K7330" s="58">
        <f t="shared" si="17"/>
        <v>1</v>
      </c>
      <c r="L7330" s="91" t="str">
        <f t="shared" si="8"/>
        <v>Sun</v>
      </c>
      <c r="M7330" s="78" t="str">
        <f>IFERROR(VLOOKUP(A7330, Entries!A:B,2,false),"")</f>
        <v>Team17 Digital</v>
      </c>
      <c r="N7330" s="23" t="str">
        <f>IFERROR(VLOOKUP(A7330, Entries!A:K,11,false),"")</f>
        <v/>
      </c>
    </row>
    <row r="7331">
      <c r="A7331" s="78" t="s">
        <v>8331</v>
      </c>
      <c r="B7331" s="78" t="s">
        <v>32</v>
      </c>
      <c r="C7331" s="85">
        <v>45675.0</v>
      </c>
      <c r="D7331" s="85">
        <v>45679.0</v>
      </c>
      <c r="E7331" s="86">
        <v>22.0</v>
      </c>
      <c r="F7331" s="87">
        <v>26.26</v>
      </c>
      <c r="G7331" s="88">
        <f t="shared" si="1"/>
        <v>4.26</v>
      </c>
      <c r="H7331" s="89">
        <f t="shared" si="18"/>
        <v>0.1622239147</v>
      </c>
      <c r="I7331" s="78" t="s">
        <v>8332</v>
      </c>
      <c r="J7331" s="78" t="s">
        <v>69</v>
      </c>
      <c r="K7331" s="58">
        <f t="shared" si="17"/>
        <v>4</v>
      </c>
      <c r="L7331" s="91" t="str">
        <f t="shared" si="8"/>
        <v>Wed</v>
      </c>
      <c r="M7331" s="78" t="str">
        <f>IFERROR(VLOOKUP(A7331, Entries!A:B,2,false),"")</f>
        <v/>
      </c>
      <c r="N7331" s="23" t="str">
        <f>IFERROR(VLOOKUP(A7331, Entries!A:K,11,false),"")</f>
        <v/>
      </c>
    </row>
    <row r="7332">
      <c r="A7332" s="78" t="s">
        <v>8316</v>
      </c>
      <c r="B7332" s="78" t="s">
        <v>21</v>
      </c>
      <c r="C7332" s="85">
        <v>45675.0</v>
      </c>
      <c r="D7332" s="85">
        <v>45676.0</v>
      </c>
      <c r="E7332" s="86">
        <v>12.02</v>
      </c>
      <c r="F7332" s="87">
        <v>13.31</v>
      </c>
      <c r="G7332" s="88">
        <f t="shared" si="1"/>
        <v>1.29</v>
      </c>
      <c r="H7332" s="89">
        <f t="shared" si="18"/>
        <v>0.09691960932</v>
      </c>
      <c r="I7332" s="78" t="s">
        <v>8333</v>
      </c>
      <c r="J7332" s="78" t="s">
        <v>69</v>
      </c>
      <c r="K7332" s="58">
        <f t="shared" si="17"/>
        <v>1</v>
      </c>
      <c r="L7332" s="91" t="str">
        <f t="shared" si="8"/>
        <v>Sun</v>
      </c>
      <c r="M7332" s="78" t="str">
        <f>IFERROR(VLOOKUP(A7332, Entries!A:B,2,false),"")</f>
        <v/>
      </c>
      <c r="N7332" s="23" t="str">
        <f>IFERROR(VLOOKUP(A7332, Entries!A:K,11,false),"")</f>
        <v/>
      </c>
    </row>
    <row r="7333">
      <c r="A7333" s="78" t="s">
        <v>8316</v>
      </c>
      <c r="B7333" s="78" t="s">
        <v>21</v>
      </c>
      <c r="C7333" s="85">
        <v>45675.0</v>
      </c>
      <c r="D7333" s="85">
        <v>45676.0</v>
      </c>
      <c r="E7333" s="86">
        <v>12.02</v>
      </c>
      <c r="F7333" s="87">
        <v>13.31</v>
      </c>
      <c r="G7333" s="88">
        <f t="shared" si="1"/>
        <v>1.29</v>
      </c>
      <c r="H7333" s="89">
        <f t="shared" si="18"/>
        <v>0.09691960932</v>
      </c>
      <c r="I7333" s="78" t="s">
        <v>8334</v>
      </c>
      <c r="J7333" s="78" t="s">
        <v>69</v>
      </c>
      <c r="K7333" s="58">
        <f t="shared" si="17"/>
        <v>1</v>
      </c>
      <c r="L7333" s="91" t="str">
        <f t="shared" si="8"/>
        <v>Sun</v>
      </c>
      <c r="M7333" s="78" t="str">
        <f>IFERROR(VLOOKUP(A7333, Entries!A:B,2,false),"")</f>
        <v/>
      </c>
      <c r="N7333" s="23" t="str">
        <f>IFERROR(VLOOKUP(A7333, Entries!A:K,11,false),"")</f>
        <v/>
      </c>
    </row>
    <row r="7334">
      <c r="A7334" s="78" t="s">
        <v>8316</v>
      </c>
      <c r="B7334" s="78" t="s">
        <v>21</v>
      </c>
      <c r="C7334" s="85">
        <v>45675.0</v>
      </c>
      <c r="D7334" s="85">
        <v>45677.0</v>
      </c>
      <c r="E7334" s="86">
        <v>12.02</v>
      </c>
      <c r="F7334" s="87">
        <v>12.69</v>
      </c>
      <c r="G7334" s="88">
        <f t="shared" si="1"/>
        <v>0.67</v>
      </c>
      <c r="H7334" s="89">
        <f t="shared" si="18"/>
        <v>0.05279747833</v>
      </c>
      <c r="I7334" s="78" t="s">
        <v>8335</v>
      </c>
      <c r="J7334" s="78" t="s">
        <v>69</v>
      </c>
      <c r="K7334" s="58">
        <f t="shared" si="17"/>
        <v>2</v>
      </c>
      <c r="L7334" s="91" t="str">
        <f t="shared" si="8"/>
        <v>Mon</v>
      </c>
      <c r="M7334" s="78" t="str">
        <f>IFERROR(VLOOKUP(A7334, Entries!A:B,2,false),"")</f>
        <v/>
      </c>
      <c r="N7334" s="23" t="str">
        <f>IFERROR(VLOOKUP(A7334, Entries!A:K,11,false),"")</f>
        <v/>
      </c>
    </row>
    <row r="7335">
      <c r="A7335" s="78" t="s">
        <v>8316</v>
      </c>
      <c r="B7335" s="78" t="s">
        <v>21</v>
      </c>
      <c r="C7335" s="85">
        <v>45675.0</v>
      </c>
      <c r="D7335" s="85">
        <v>45677.0</v>
      </c>
      <c r="E7335" s="86">
        <v>12.02</v>
      </c>
      <c r="F7335" s="87">
        <v>12.69</v>
      </c>
      <c r="G7335" s="88">
        <f t="shared" si="1"/>
        <v>0.67</v>
      </c>
      <c r="H7335" s="89">
        <f t="shared" si="18"/>
        <v>0.05279747833</v>
      </c>
      <c r="I7335" s="78" t="s">
        <v>8336</v>
      </c>
      <c r="J7335" s="78" t="s">
        <v>69</v>
      </c>
      <c r="K7335" s="58">
        <f t="shared" si="17"/>
        <v>2</v>
      </c>
      <c r="L7335" s="91" t="str">
        <f t="shared" si="8"/>
        <v>Mon</v>
      </c>
      <c r="M7335" s="78" t="str">
        <f>IFERROR(VLOOKUP(A7335, Entries!A:B,2,false),"")</f>
        <v/>
      </c>
      <c r="N7335" s="23" t="str">
        <f>IFERROR(VLOOKUP(A7335, Entries!A:K,11,false),"")</f>
        <v/>
      </c>
    </row>
    <row r="7336">
      <c r="A7336" s="78" t="s">
        <v>8316</v>
      </c>
      <c r="B7336" s="78" t="s">
        <v>21</v>
      </c>
      <c r="C7336" s="85">
        <v>45675.0</v>
      </c>
      <c r="D7336" s="85">
        <v>45718.0</v>
      </c>
      <c r="E7336" s="86">
        <v>12.03</v>
      </c>
      <c r="F7336" s="87">
        <v>12.22</v>
      </c>
      <c r="G7336" s="88">
        <f t="shared" si="1"/>
        <v>0.19</v>
      </c>
      <c r="H7336" s="89">
        <f t="shared" si="18"/>
        <v>0.01554828151</v>
      </c>
      <c r="I7336" s="78" t="s">
        <v>8337</v>
      </c>
      <c r="J7336" s="78" t="s">
        <v>69</v>
      </c>
      <c r="K7336" s="58">
        <f t="shared" si="17"/>
        <v>43</v>
      </c>
      <c r="L7336" s="91" t="str">
        <f t="shared" si="8"/>
        <v>Sun</v>
      </c>
      <c r="M7336" s="78" t="str">
        <f>IFERROR(VLOOKUP(A7336, Entries!A:B,2,false),"")</f>
        <v/>
      </c>
      <c r="N7336" s="23" t="str">
        <f>IFERROR(VLOOKUP(A7336, Entries!A:K,11,false),"")</f>
        <v/>
      </c>
      <c r="Q7336" s="111"/>
    </row>
    <row r="7337">
      <c r="A7337" s="78" t="s">
        <v>7987</v>
      </c>
      <c r="B7337" s="78" t="s">
        <v>22</v>
      </c>
      <c r="C7337" s="85">
        <v>45676.0</v>
      </c>
      <c r="D7337" s="85">
        <v>45676.0</v>
      </c>
      <c r="E7337" s="86">
        <v>9.05</v>
      </c>
      <c r="F7337" s="87">
        <v>13.27</v>
      </c>
      <c r="G7337" s="88">
        <f t="shared" si="1"/>
        <v>4.22</v>
      </c>
      <c r="H7337" s="89">
        <f t="shared" si="18"/>
        <v>0.3180105501</v>
      </c>
      <c r="I7337" s="78" t="s">
        <v>8338</v>
      </c>
      <c r="J7337" s="78" t="s">
        <v>69</v>
      </c>
      <c r="K7337" s="58">
        <f t="shared" si="17"/>
        <v>0</v>
      </c>
      <c r="L7337" s="91" t="str">
        <f t="shared" si="8"/>
        <v>Sun</v>
      </c>
      <c r="M7337" s="78" t="str">
        <f>IFERROR(VLOOKUP(A7337, Entries!A:B,2,false),"")</f>
        <v/>
      </c>
      <c r="N7337" s="23" t="str">
        <f>IFERROR(VLOOKUP(A7337, Entries!A:K,11,false),"")</f>
        <v/>
      </c>
    </row>
    <row r="7338">
      <c r="A7338" s="78" t="s">
        <v>7987</v>
      </c>
      <c r="B7338" s="78" t="s">
        <v>22</v>
      </c>
      <c r="C7338" s="85">
        <v>45676.0</v>
      </c>
      <c r="D7338" s="85">
        <v>45676.0</v>
      </c>
      <c r="E7338" s="86">
        <v>9.05</v>
      </c>
      <c r="F7338" s="87">
        <v>11.47</v>
      </c>
      <c r="G7338" s="88">
        <f t="shared" si="1"/>
        <v>2.42</v>
      </c>
      <c r="H7338" s="89">
        <f t="shared" si="18"/>
        <v>0.2109851787</v>
      </c>
      <c r="I7338" s="78" t="s">
        <v>8339</v>
      </c>
      <c r="J7338" s="78" t="s">
        <v>69</v>
      </c>
      <c r="K7338" s="58">
        <f t="shared" si="17"/>
        <v>0</v>
      </c>
      <c r="L7338" s="91" t="str">
        <f t="shared" si="8"/>
        <v>Sun</v>
      </c>
      <c r="M7338" s="78" t="str">
        <f>IFERROR(VLOOKUP(A7338, Entries!A:B,2,false),"")</f>
        <v/>
      </c>
      <c r="N7338" s="23" t="str">
        <f>IFERROR(VLOOKUP(A7338, Entries!A:K,11,false),"")</f>
        <v/>
      </c>
    </row>
    <row r="7339">
      <c r="A7339" s="78" t="s">
        <v>1786</v>
      </c>
      <c r="B7339" s="78" t="s">
        <v>19</v>
      </c>
      <c r="C7339" s="85">
        <v>45676.0</v>
      </c>
      <c r="D7339" s="85">
        <v>45676.0</v>
      </c>
      <c r="E7339" s="86">
        <v>7.23</v>
      </c>
      <c r="F7339" s="87">
        <v>11.98</v>
      </c>
      <c r="G7339" s="88">
        <f t="shared" si="1"/>
        <v>4.75</v>
      </c>
      <c r="H7339" s="89">
        <f t="shared" si="18"/>
        <v>0.3964941569</v>
      </c>
      <c r="I7339" s="78" t="s">
        <v>8340</v>
      </c>
      <c r="J7339" s="78" t="s">
        <v>69</v>
      </c>
      <c r="K7339" s="58">
        <f t="shared" si="17"/>
        <v>0</v>
      </c>
      <c r="L7339" s="91" t="str">
        <f t="shared" si="8"/>
        <v>Sun</v>
      </c>
      <c r="M7339" s="78" t="str">
        <f>IFERROR(VLOOKUP(A7339, Entries!A:B,2,false),"")</f>
        <v>Bethesda Softworks</v>
      </c>
      <c r="N7339" s="23" t="str">
        <f>IFERROR(VLOOKUP(A7339, Entries!A:K,11,false),"")</f>
        <v/>
      </c>
    </row>
    <row r="7340">
      <c r="A7340" s="78" t="s">
        <v>2466</v>
      </c>
      <c r="B7340" s="78" t="s">
        <v>19</v>
      </c>
      <c r="C7340" s="85">
        <v>45676.0</v>
      </c>
      <c r="D7340" s="85">
        <v>45676.0</v>
      </c>
      <c r="E7340" s="86">
        <v>7.22</v>
      </c>
      <c r="F7340" s="87">
        <v>9.81</v>
      </c>
      <c r="G7340" s="88">
        <f t="shared" si="1"/>
        <v>2.59</v>
      </c>
      <c r="H7340" s="89">
        <f t="shared" si="18"/>
        <v>0.2640163099</v>
      </c>
      <c r="I7340" s="78" t="s">
        <v>8341</v>
      </c>
      <c r="J7340" s="78" t="s">
        <v>69</v>
      </c>
      <c r="K7340" s="58">
        <f t="shared" si="17"/>
        <v>0</v>
      </c>
      <c r="L7340" s="91" t="str">
        <f t="shared" si="8"/>
        <v>Sun</v>
      </c>
      <c r="M7340" s="78" t="str">
        <f>IFERROR(VLOOKUP(A7340, Entries!A:B,2,false),"")</f>
        <v>Bethesda Softworks</v>
      </c>
      <c r="N7340" s="23" t="str">
        <f>IFERROR(VLOOKUP(A7340, Entries!A:K,11,false),"")</f>
        <v/>
      </c>
    </row>
    <row r="7341">
      <c r="A7341" s="78" t="s">
        <v>7987</v>
      </c>
      <c r="B7341" s="78" t="s">
        <v>22</v>
      </c>
      <c r="C7341" s="85">
        <v>45676.0</v>
      </c>
      <c r="D7341" s="85">
        <v>45676.0</v>
      </c>
      <c r="E7341" s="86">
        <v>9.05</v>
      </c>
      <c r="F7341" s="87">
        <v>11.47</v>
      </c>
      <c r="G7341" s="88">
        <f t="shared" si="1"/>
        <v>2.42</v>
      </c>
      <c r="H7341" s="89">
        <f t="shared" si="18"/>
        <v>0.2109851787</v>
      </c>
      <c r="I7341" s="78" t="s">
        <v>8342</v>
      </c>
      <c r="J7341" s="78" t="s">
        <v>69</v>
      </c>
      <c r="K7341" s="58">
        <f t="shared" si="17"/>
        <v>0</v>
      </c>
      <c r="L7341" s="91" t="str">
        <f t="shared" si="8"/>
        <v>Sun</v>
      </c>
      <c r="M7341" s="78" t="str">
        <f>IFERROR(VLOOKUP(A7341, Entries!A:B,2,false),"")</f>
        <v/>
      </c>
      <c r="N7341" s="23" t="str">
        <f>IFERROR(VLOOKUP(A7341, Entries!A:K,11,false),"")</f>
        <v/>
      </c>
    </row>
    <row r="7342">
      <c r="A7342" s="78" t="s">
        <v>7987</v>
      </c>
      <c r="B7342" s="78" t="s">
        <v>22</v>
      </c>
      <c r="C7342" s="85">
        <v>45676.0</v>
      </c>
      <c r="D7342" s="85">
        <v>45676.0</v>
      </c>
      <c r="E7342" s="86">
        <v>9.06</v>
      </c>
      <c r="F7342" s="87">
        <v>11.47</v>
      </c>
      <c r="G7342" s="88">
        <f t="shared" si="1"/>
        <v>2.41</v>
      </c>
      <c r="H7342" s="89">
        <f t="shared" si="18"/>
        <v>0.2101133391</v>
      </c>
      <c r="I7342" s="78" t="s">
        <v>8343</v>
      </c>
      <c r="J7342" s="78" t="s">
        <v>69</v>
      </c>
      <c r="K7342" s="58">
        <f t="shared" si="17"/>
        <v>0</v>
      </c>
      <c r="L7342" s="91" t="str">
        <f t="shared" si="8"/>
        <v>Sun</v>
      </c>
      <c r="M7342" s="78" t="str">
        <f>IFERROR(VLOOKUP(A7342, Entries!A:B,2,false),"")</f>
        <v/>
      </c>
      <c r="N7342" s="23" t="str">
        <f>IFERROR(VLOOKUP(A7342, Entries!A:K,11,false),"")</f>
        <v/>
      </c>
    </row>
    <row r="7343">
      <c r="A7343" s="78" t="s">
        <v>1786</v>
      </c>
      <c r="B7343" s="78" t="s">
        <v>19</v>
      </c>
      <c r="C7343" s="85">
        <v>45676.0</v>
      </c>
      <c r="D7343" s="85">
        <v>45676.0</v>
      </c>
      <c r="E7343" s="86">
        <v>7.23</v>
      </c>
      <c r="F7343" s="87">
        <v>11.98</v>
      </c>
      <c r="G7343" s="88">
        <f t="shared" si="1"/>
        <v>4.75</v>
      </c>
      <c r="H7343" s="89">
        <f t="shared" si="18"/>
        <v>0.3964941569</v>
      </c>
      <c r="I7343" s="78" t="s">
        <v>8344</v>
      </c>
      <c r="J7343" s="78" t="s">
        <v>69</v>
      </c>
      <c r="K7343" s="58">
        <f t="shared" si="17"/>
        <v>0</v>
      </c>
      <c r="L7343" s="91" t="str">
        <f t="shared" si="8"/>
        <v>Sun</v>
      </c>
      <c r="M7343" s="78" t="str">
        <f>IFERROR(VLOOKUP(A7343, Entries!A:B,2,false),"")</f>
        <v>Bethesda Softworks</v>
      </c>
      <c r="N7343" s="23" t="str">
        <f>IFERROR(VLOOKUP(A7343, Entries!A:K,11,false),"")</f>
        <v/>
      </c>
    </row>
    <row r="7344">
      <c r="A7344" s="78" t="s">
        <v>2466</v>
      </c>
      <c r="B7344" s="78" t="s">
        <v>19</v>
      </c>
      <c r="C7344" s="85">
        <v>45676.0</v>
      </c>
      <c r="D7344" s="85">
        <v>45676.0</v>
      </c>
      <c r="E7344" s="86">
        <v>7.22</v>
      </c>
      <c r="F7344" s="87">
        <v>9.81</v>
      </c>
      <c r="G7344" s="88">
        <f t="shared" si="1"/>
        <v>2.59</v>
      </c>
      <c r="H7344" s="89">
        <f t="shared" si="18"/>
        <v>0.2640163099</v>
      </c>
      <c r="I7344" s="78" t="s">
        <v>8345</v>
      </c>
      <c r="J7344" s="78" t="s">
        <v>69</v>
      </c>
      <c r="K7344" s="58">
        <f t="shared" si="17"/>
        <v>0</v>
      </c>
      <c r="L7344" s="91" t="str">
        <f t="shared" si="8"/>
        <v>Sun</v>
      </c>
      <c r="M7344" s="78" t="str">
        <f>IFERROR(VLOOKUP(A7344, Entries!A:B,2,false),"")</f>
        <v>Bethesda Softworks</v>
      </c>
      <c r="N7344" s="23" t="str">
        <f>IFERROR(VLOOKUP(A7344, Entries!A:K,11,false),"")</f>
        <v/>
      </c>
    </row>
    <row r="7345">
      <c r="A7345" s="78" t="s">
        <v>7987</v>
      </c>
      <c r="B7345" s="78" t="s">
        <v>22</v>
      </c>
      <c r="C7345" s="85">
        <v>45676.0</v>
      </c>
      <c r="D7345" s="85">
        <v>45676.0</v>
      </c>
      <c r="E7345" s="86">
        <v>9.05</v>
      </c>
      <c r="F7345" s="87">
        <v>11.47</v>
      </c>
      <c r="G7345" s="88">
        <f t="shared" si="1"/>
        <v>2.42</v>
      </c>
      <c r="H7345" s="89">
        <f t="shared" si="18"/>
        <v>0.2109851787</v>
      </c>
      <c r="I7345" s="78" t="s">
        <v>8346</v>
      </c>
      <c r="J7345" s="78" t="s">
        <v>69</v>
      </c>
      <c r="K7345" s="58">
        <f t="shared" si="17"/>
        <v>0</v>
      </c>
      <c r="L7345" s="91" t="str">
        <f t="shared" si="8"/>
        <v>Sun</v>
      </c>
      <c r="M7345" s="78" t="str">
        <f>IFERROR(VLOOKUP(A7345, Entries!A:B,2,false),"")</f>
        <v/>
      </c>
      <c r="N7345" s="23" t="str">
        <f>IFERROR(VLOOKUP(A7345, Entries!A:K,11,false),"")</f>
        <v/>
      </c>
    </row>
    <row r="7346">
      <c r="A7346" s="78" t="s">
        <v>7987</v>
      </c>
      <c r="B7346" s="78" t="s">
        <v>22</v>
      </c>
      <c r="C7346" s="85">
        <v>45676.0</v>
      </c>
      <c r="D7346" s="85">
        <v>45676.0</v>
      </c>
      <c r="E7346" s="86">
        <v>9.05</v>
      </c>
      <c r="F7346" s="87">
        <v>11.47</v>
      </c>
      <c r="G7346" s="88">
        <f t="shared" si="1"/>
        <v>2.42</v>
      </c>
      <c r="H7346" s="89">
        <f t="shared" si="18"/>
        <v>0.2109851787</v>
      </c>
      <c r="I7346" s="78" t="s">
        <v>8347</v>
      </c>
      <c r="J7346" s="78" t="s">
        <v>69</v>
      </c>
      <c r="K7346" s="58">
        <f t="shared" si="17"/>
        <v>0</v>
      </c>
      <c r="L7346" s="91" t="str">
        <f t="shared" si="8"/>
        <v>Sun</v>
      </c>
      <c r="M7346" s="78" t="str">
        <f>IFERROR(VLOOKUP(A7346, Entries!A:B,2,false),"")</f>
        <v/>
      </c>
      <c r="N7346" s="23" t="str">
        <f>IFERROR(VLOOKUP(A7346, Entries!A:K,11,false),"")</f>
        <v/>
      </c>
    </row>
    <row r="7347">
      <c r="A7347" s="78" t="s">
        <v>7987</v>
      </c>
      <c r="B7347" s="78" t="s">
        <v>22</v>
      </c>
      <c r="C7347" s="85">
        <v>45676.0</v>
      </c>
      <c r="D7347" s="85">
        <v>45676.0</v>
      </c>
      <c r="E7347" s="86">
        <v>9.05</v>
      </c>
      <c r="F7347" s="87">
        <v>11.47</v>
      </c>
      <c r="G7347" s="88">
        <f t="shared" si="1"/>
        <v>2.42</v>
      </c>
      <c r="H7347" s="89">
        <f t="shared" si="18"/>
        <v>0.2109851787</v>
      </c>
      <c r="I7347" s="78" t="s">
        <v>8348</v>
      </c>
      <c r="J7347" s="78" t="s">
        <v>69</v>
      </c>
      <c r="K7347" s="58">
        <f t="shared" si="17"/>
        <v>0</v>
      </c>
      <c r="L7347" s="91" t="str">
        <f t="shared" si="8"/>
        <v>Sun</v>
      </c>
      <c r="M7347" s="78" t="str">
        <f>IFERROR(VLOOKUP(A7347, Entries!A:B,2,false),"")</f>
        <v/>
      </c>
      <c r="N7347" s="23" t="str">
        <f>IFERROR(VLOOKUP(A7347, Entries!A:K,11,false),"")</f>
        <v/>
      </c>
    </row>
    <row r="7348">
      <c r="A7348" s="78" t="s">
        <v>7987</v>
      </c>
      <c r="B7348" s="78" t="s">
        <v>22</v>
      </c>
      <c r="C7348" s="85">
        <v>45676.0</v>
      </c>
      <c r="D7348" s="85">
        <v>45676.0</v>
      </c>
      <c r="E7348" s="86">
        <v>9.05</v>
      </c>
      <c r="F7348" s="87">
        <v>11.47</v>
      </c>
      <c r="G7348" s="88">
        <f t="shared" si="1"/>
        <v>2.42</v>
      </c>
      <c r="H7348" s="89">
        <f t="shared" si="18"/>
        <v>0.2109851787</v>
      </c>
      <c r="I7348" s="78" t="s">
        <v>8349</v>
      </c>
      <c r="J7348" s="78" t="s">
        <v>69</v>
      </c>
      <c r="K7348" s="58">
        <f t="shared" si="17"/>
        <v>0</v>
      </c>
      <c r="L7348" s="91" t="str">
        <f t="shared" si="8"/>
        <v>Sun</v>
      </c>
      <c r="M7348" s="78" t="str">
        <f>IFERROR(VLOOKUP(A7348, Entries!A:B,2,false),"")</f>
        <v/>
      </c>
      <c r="N7348" s="23" t="str">
        <f>IFERROR(VLOOKUP(A7348, Entries!A:K,11,false),"")</f>
        <v/>
      </c>
    </row>
    <row r="7349">
      <c r="A7349" s="78" t="s">
        <v>7987</v>
      </c>
      <c r="B7349" s="78" t="s">
        <v>22</v>
      </c>
      <c r="C7349" s="85">
        <v>45676.0</v>
      </c>
      <c r="D7349" s="85">
        <v>45677.0</v>
      </c>
      <c r="E7349" s="86">
        <v>9.06</v>
      </c>
      <c r="F7349" s="87">
        <v>11.47</v>
      </c>
      <c r="G7349" s="88">
        <f t="shared" si="1"/>
        <v>2.41</v>
      </c>
      <c r="H7349" s="89">
        <f t="shared" si="18"/>
        <v>0.2101133391</v>
      </c>
      <c r="I7349" s="78" t="s">
        <v>8350</v>
      </c>
      <c r="J7349" s="78" t="s">
        <v>69</v>
      </c>
      <c r="K7349" s="58">
        <f t="shared" si="17"/>
        <v>1</v>
      </c>
      <c r="L7349" s="91" t="str">
        <f t="shared" si="8"/>
        <v>Mon</v>
      </c>
      <c r="M7349" s="78" t="str">
        <f>IFERROR(VLOOKUP(A7349, Entries!A:B,2,false),"")</f>
        <v/>
      </c>
      <c r="N7349" s="23" t="str">
        <f>IFERROR(VLOOKUP(A7349, Entries!A:K,11,false),"")</f>
        <v/>
      </c>
    </row>
    <row r="7350">
      <c r="A7350" s="78" t="s">
        <v>1786</v>
      </c>
      <c r="B7350" s="78" t="s">
        <v>19</v>
      </c>
      <c r="C7350" s="85">
        <v>45676.0</v>
      </c>
      <c r="D7350" s="85">
        <v>45677.0</v>
      </c>
      <c r="E7350" s="86">
        <v>7.23</v>
      </c>
      <c r="F7350" s="87">
        <v>12.0</v>
      </c>
      <c r="G7350" s="88">
        <f t="shared" si="1"/>
        <v>4.77</v>
      </c>
      <c r="H7350" s="89">
        <f t="shared" si="18"/>
        <v>0.3975</v>
      </c>
      <c r="I7350" s="78" t="s">
        <v>8351</v>
      </c>
      <c r="J7350" s="78" t="s">
        <v>69</v>
      </c>
      <c r="K7350" s="58">
        <f t="shared" si="17"/>
        <v>1</v>
      </c>
      <c r="L7350" s="91" t="str">
        <f t="shared" si="8"/>
        <v>Mon</v>
      </c>
      <c r="M7350" s="78" t="str">
        <f>IFERROR(VLOOKUP(A7350, Entries!A:B,2,false),"")</f>
        <v>Bethesda Softworks</v>
      </c>
      <c r="N7350" s="23" t="str">
        <f>IFERROR(VLOOKUP(A7350, Entries!A:K,11,false),"")</f>
        <v/>
      </c>
    </row>
    <row r="7351">
      <c r="A7351" s="78" t="s">
        <v>2466</v>
      </c>
      <c r="B7351" s="78" t="s">
        <v>19</v>
      </c>
      <c r="C7351" s="85">
        <v>45676.0</v>
      </c>
      <c r="D7351" s="85">
        <v>45677.0</v>
      </c>
      <c r="E7351" s="86">
        <v>7.22</v>
      </c>
      <c r="F7351" s="87">
        <v>9.81</v>
      </c>
      <c r="G7351" s="88">
        <f t="shared" si="1"/>
        <v>2.59</v>
      </c>
      <c r="H7351" s="89">
        <f t="shared" si="18"/>
        <v>0.2640163099</v>
      </c>
      <c r="I7351" s="78" t="s">
        <v>8352</v>
      </c>
      <c r="J7351" s="78" t="s">
        <v>69</v>
      </c>
      <c r="K7351" s="58">
        <f t="shared" si="17"/>
        <v>1</v>
      </c>
      <c r="L7351" s="91" t="str">
        <f t="shared" si="8"/>
        <v>Mon</v>
      </c>
      <c r="M7351" s="78" t="str">
        <f>IFERROR(VLOOKUP(A7351, Entries!A:B,2,false),"")</f>
        <v>Bethesda Softworks</v>
      </c>
      <c r="N7351" s="23" t="str">
        <f>IFERROR(VLOOKUP(A7351, Entries!A:K,11,false),"")</f>
        <v/>
      </c>
    </row>
    <row r="7352">
      <c r="A7352" s="78" t="s">
        <v>8011</v>
      </c>
      <c r="B7352" s="78" t="s">
        <v>22</v>
      </c>
      <c r="C7352" s="85">
        <v>45677.0</v>
      </c>
      <c r="D7352" s="85">
        <v>45681.0</v>
      </c>
      <c r="E7352" s="86">
        <v>12.93</v>
      </c>
      <c r="F7352" s="87">
        <v>14.45</v>
      </c>
      <c r="G7352" s="88">
        <f t="shared" si="1"/>
        <v>1.52</v>
      </c>
      <c r="H7352" s="89">
        <f t="shared" si="18"/>
        <v>0.1051903114</v>
      </c>
      <c r="I7352" s="78" t="s">
        <v>8353</v>
      </c>
      <c r="J7352" s="78" t="s">
        <v>69</v>
      </c>
      <c r="K7352" s="58">
        <f t="shared" si="17"/>
        <v>4</v>
      </c>
      <c r="L7352" s="91" t="str">
        <f t="shared" si="8"/>
        <v>Fri</v>
      </c>
      <c r="M7352" s="78" t="str">
        <f>IFERROR(VLOOKUP(A7352, Entries!A:B,2,false),"")</f>
        <v/>
      </c>
      <c r="N7352" s="23" t="str">
        <f>IFERROR(VLOOKUP(A7352, Entries!A:K,11,false),"")</f>
        <v/>
      </c>
    </row>
    <row r="7353">
      <c r="A7353" s="78" t="s">
        <v>1786</v>
      </c>
      <c r="B7353" s="78" t="s">
        <v>19</v>
      </c>
      <c r="C7353" s="85">
        <v>45677.0</v>
      </c>
      <c r="D7353" s="85">
        <v>45680.0</v>
      </c>
      <c r="E7353" s="86">
        <v>7.61</v>
      </c>
      <c r="F7353" s="87">
        <v>12.0</v>
      </c>
      <c r="G7353" s="88">
        <f t="shared" si="1"/>
        <v>4.39</v>
      </c>
      <c r="H7353" s="89">
        <f t="shared" si="18"/>
        <v>0.3658333333</v>
      </c>
      <c r="I7353" s="78" t="s">
        <v>8354</v>
      </c>
      <c r="J7353" s="78" t="s">
        <v>69</v>
      </c>
      <c r="K7353" s="58">
        <f t="shared" si="17"/>
        <v>3</v>
      </c>
      <c r="L7353" s="91" t="str">
        <f t="shared" si="8"/>
        <v>Thu</v>
      </c>
      <c r="M7353" s="78" t="str">
        <f>IFERROR(VLOOKUP(A7353, Entries!A:B,2,false),"")</f>
        <v>Bethesda Softworks</v>
      </c>
      <c r="N7353" s="23" t="str">
        <f>IFERROR(VLOOKUP(A7353, Entries!A:K,11,false),"")</f>
        <v/>
      </c>
    </row>
    <row r="7354">
      <c r="A7354" s="78" t="s">
        <v>2466</v>
      </c>
      <c r="B7354" s="78" t="s">
        <v>19</v>
      </c>
      <c r="C7354" s="85">
        <v>45677.0</v>
      </c>
      <c r="D7354" s="85">
        <v>45677.0</v>
      </c>
      <c r="E7354" s="86">
        <v>7.6</v>
      </c>
      <c r="F7354" s="87">
        <v>9.81</v>
      </c>
      <c r="G7354" s="88">
        <f t="shared" si="1"/>
        <v>2.21</v>
      </c>
      <c r="H7354" s="89">
        <f t="shared" si="18"/>
        <v>0.2252803262</v>
      </c>
      <c r="I7354" s="78" t="s">
        <v>8355</v>
      </c>
      <c r="J7354" s="78" t="s">
        <v>69</v>
      </c>
      <c r="K7354" s="58">
        <f t="shared" si="17"/>
        <v>0</v>
      </c>
      <c r="L7354" s="91" t="str">
        <f t="shared" si="8"/>
        <v>Mon</v>
      </c>
      <c r="M7354" s="78" t="str">
        <f>IFERROR(VLOOKUP(A7354, Entries!A:B,2,false),"")</f>
        <v>Bethesda Softworks</v>
      </c>
      <c r="N7354" s="23" t="str">
        <f>IFERROR(VLOOKUP(A7354, Entries!A:K,11,false),"")</f>
        <v/>
      </c>
    </row>
    <row r="7355">
      <c r="A7355" s="78" t="s">
        <v>8356</v>
      </c>
      <c r="B7355" s="78" t="s">
        <v>21</v>
      </c>
      <c r="C7355" s="85">
        <v>45678.0</v>
      </c>
      <c r="D7355" s="85">
        <v>45679.0</v>
      </c>
      <c r="E7355" s="86">
        <v>20.35</v>
      </c>
      <c r="F7355" s="87">
        <v>23.26</v>
      </c>
      <c r="G7355" s="88">
        <f t="shared" si="1"/>
        <v>2.91</v>
      </c>
      <c r="H7355" s="89">
        <f t="shared" si="18"/>
        <v>0.1251074807</v>
      </c>
      <c r="I7355" s="78" t="s">
        <v>8357</v>
      </c>
      <c r="J7355" s="78" t="s">
        <v>69</v>
      </c>
      <c r="K7355" s="58">
        <f t="shared" si="17"/>
        <v>1</v>
      </c>
      <c r="L7355" s="91" t="str">
        <f t="shared" si="8"/>
        <v>Wed</v>
      </c>
      <c r="M7355" s="78" t="str">
        <f>IFERROR(VLOOKUP(A7355, Entries!A:B,2,false),"")</f>
        <v/>
      </c>
      <c r="N7355" s="23" t="str">
        <f>IFERROR(VLOOKUP(A7355, Entries!A:K,11,false),"")</f>
        <v/>
      </c>
    </row>
    <row r="7356">
      <c r="A7356" s="78" t="s">
        <v>7814</v>
      </c>
      <c r="B7356" s="78" t="s">
        <v>21</v>
      </c>
      <c r="C7356" s="85">
        <v>45678.0</v>
      </c>
      <c r="D7356" s="85">
        <v>45681.0</v>
      </c>
      <c r="E7356" s="86">
        <v>23.52</v>
      </c>
      <c r="F7356" s="87">
        <v>27.92</v>
      </c>
      <c r="G7356" s="88">
        <f t="shared" si="1"/>
        <v>4.4</v>
      </c>
      <c r="H7356" s="89">
        <f t="shared" si="18"/>
        <v>0.1575931232</v>
      </c>
      <c r="I7356" s="78" t="s">
        <v>8358</v>
      </c>
      <c r="J7356" s="78" t="s">
        <v>69</v>
      </c>
      <c r="K7356" s="58">
        <f t="shared" si="17"/>
        <v>3</v>
      </c>
      <c r="L7356" s="91" t="str">
        <f t="shared" si="8"/>
        <v>Fri</v>
      </c>
      <c r="M7356" s="78" t="str">
        <f>IFERROR(VLOOKUP(A7356, Entries!A:B,2,false),"")</f>
        <v>Electronic Arts</v>
      </c>
      <c r="N7356" s="23" t="str">
        <f>IFERROR(VLOOKUP(A7356, Entries!A:K,11,false),"")</f>
        <v/>
      </c>
    </row>
    <row r="7357">
      <c r="A7357" s="78" t="s">
        <v>7987</v>
      </c>
      <c r="B7357" s="78" t="s">
        <v>22</v>
      </c>
      <c r="C7357" s="85">
        <v>45679.0</v>
      </c>
      <c r="D7357" s="85">
        <v>45679.0</v>
      </c>
      <c r="E7357" s="86">
        <v>6.84</v>
      </c>
      <c r="F7357" s="87">
        <v>11.47</v>
      </c>
      <c r="G7357" s="88">
        <f t="shared" si="1"/>
        <v>4.63</v>
      </c>
      <c r="H7357" s="89">
        <f t="shared" si="18"/>
        <v>0.4036617262</v>
      </c>
      <c r="I7357" s="78" t="s">
        <v>8359</v>
      </c>
      <c r="J7357" s="78" t="s">
        <v>69</v>
      </c>
      <c r="K7357" s="58">
        <f t="shared" si="17"/>
        <v>0</v>
      </c>
      <c r="L7357" s="91" t="str">
        <f t="shared" si="8"/>
        <v>Wed</v>
      </c>
      <c r="M7357" s="78" t="str">
        <f>IFERROR(VLOOKUP(A7357, Entries!A:B,2,false),"")</f>
        <v/>
      </c>
      <c r="N7357" s="23" t="str">
        <f>IFERROR(VLOOKUP(A7357, Entries!A:K,11,false),"")</f>
        <v/>
      </c>
    </row>
    <row r="7358">
      <c r="A7358" s="78" t="s">
        <v>7776</v>
      </c>
      <c r="B7358" s="78" t="s">
        <v>32</v>
      </c>
      <c r="C7358" s="85">
        <v>45679.0</v>
      </c>
      <c r="D7358" s="85">
        <v>45681.0</v>
      </c>
      <c r="E7358" s="86">
        <v>37.29</v>
      </c>
      <c r="F7358" s="87">
        <v>40.29</v>
      </c>
      <c r="G7358" s="88">
        <f t="shared" si="1"/>
        <v>3</v>
      </c>
      <c r="H7358" s="89">
        <f t="shared" si="18"/>
        <v>0.07446016381</v>
      </c>
      <c r="I7358" s="78" t="s">
        <v>8360</v>
      </c>
      <c r="J7358" s="78" t="s">
        <v>69</v>
      </c>
      <c r="K7358" s="58">
        <f t="shared" si="17"/>
        <v>2</v>
      </c>
      <c r="L7358" s="91" t="str">
        <f t="shared" si="8"/>
        <v>Fri</v>
      </c>
      <c r="M7358" s="78" t="str">
        <f>IFERROR(VLOOKUP(A7358, Entries!A:B,2,false),"")</f>
        <v>PlayStation</v>
      </c>
      <c r="N7358" s="23" t="str">
        <f>IFERROR(VLOOKUP(A7358, Entries!A:K,11,false),"")</f>
        <v/>
      </c>
    </row>
    <row r="7359">
      <c r="A7359" s="78" t="s">
        <v>7776</v>
      </c>
      <c r="B7359" s="78" t="s">
        <v>32</v>
      </c>
      <c r="C7359" s="85">
        <v>45679.0</v>
      </c>
      <c r="D7359" s="85">
        <v>45684.0</v>
      </c>
      <c r="E7359" s="86">
        <v>37.29</v>
      </c>
      <c r="F7359" s="87">
        <v>48.35</v>
      </c>
      <c r="G7359" s="88">
        <f t="shared" si="1"/>
        <v>11.06</v>
      </c>
      <c r="H7359" s="89">
        <f t="shared" si="18"/>
        <v>0.2287487073</v>
      </c>
      <c r="I7359" s="78" t="s">
        <v>8361</v>
      </c>
      <c r="J7359" s="78" t="s">
        <v>69</v>
      </c>
      <c r="K7359" s="58">
        <f t="shared" si="17"/>
        <v>5</v>
      </c>
      <c r="L7359" s="91" t="str">
        <f t="shared" si="8"/>
        <v>Mon</v>
      </c>
      <c r="M7359" s="78" t="str">
        <f>IFERROR(VLOOKUP(A7359, Entries!A:B,2,false),"")</f>
        <v>PlayStation</v>
      </c>
      <c r="N7359" s="23" t="str">
        <f>IFERROR(VLOOKUP(A7359, Entries!A:K,11,false),"")</f>
        <v/>
      </c>
      <c r="Q7359" s="111" t="str">
        <f t="shared" ref="Q7359:Q7363" si="19">IF(ROW(A52)&lt;=30, TEXT(TODAY()-30+ROW(A52), "dd-mm-yyyy"), "")
</f>
        <v/>
      </c>
    </row>
    <row r="7360">
      <c r="A7360" s="78" t="s">
        <v>7987</v>
      </c>
      <c r="B7360" s="78" t="s">
        <v>22</v>
      </c>
      <c r="C7360" s="85">
        <v>45679.0</v>
      </c>
      <c r="D7360" s="85">
        <v>45680.0</v>
      </c>
      <c r="E7360" s="86">
        <v>6.84</v>
      </c>
      <c r="F7360" s="87">
        <v>12.47</v>
      </c>
      <c r="G7360" s="88">
        <f t="shared" si="1"/>
        <v>5.63</v>
      </c>
      <c r="H7360" s="89">
        <f t="shared" si="18"/>
        <v>0.4514835605</v>
      </c>
      <c r="I7360" s="78" t="s">
        <v>8362</v>
      </c>
      <c r="J7360" s="78" t="s">
        <v>69</v>
      </c>
      <c r="K7360" s="58">
        <f t="shared" si="17"/>
        <v>1</v>
      </c>
      <c r="L7360" s="91" t="str">
        <f t="shared" si="8"/>
        <v>Thu</v>
      </c>
      <c r="M7360" s="78" t="str">
        <f>IFERROR(VLOOKUP(A7360, Entries!A:B,2,false),"")</f>
        <v/>
      </c>
      <c r="N7360" s="23" t="str">
        <f>IFERROR(VLOOKUP(A7360, Entries!A:K,11,false),"")</f>
        <v/>
      </c>
      <c r="Q7360" s="111" t="str">
        <f t="shared" si="19"/>
        <v/>
      </c>
    </row>
    <row r="7361">
      <c r="A7361" s="78" t="s">
        <v>7816</v>
      </c>
      <c r="B7361" s="78" t="s">
        <v>21</v>
      </c>
      <c r="C7361" s="85">
        <v>45680.0</v>
      </c>
      <c r="D7361" s="85">
        <v>45690.0</v>
      </c>
      <c r="E7361" s="86">
        <v>21.76</v>
      </c>
      <c r="F7361" s="87">
        <v>22.71</v>
      </c>
      <c r="G7361" s="88">
        <f t="shared" si="1"/>
        <v>0.95</v>
      </c>
      <c r="H7361" s="89">
        <f t="shared" si="18"/>
        <v>0.04183179216</v>
      </c>
      <c r="I7361" s="78" t="s">
        <v>8363</v>
      </c>
      <c r="J7361" s="78" t="s">
        <v>69</v>
      </c>
      <c r="K7361" s="58">
        <f t="shared" si="17"/>
        <v>10</v>
      </c>
      <c r="L7361" s="91" t="str">
        <f t="shared" si="8"/>
        <v>Sun</v>
      </c>
      <c r="M7361" s="78" t="str">
        <f>IFERROR(VLOOKUP(A7361, Entries!A:B,2,false),"")</f>
        <v/>
      </c>
      <c r="N7361" s="23" t="str">
        <f>IFERROR(VLOOKUP(A7361, Entries!A:K,11,false),"")</f>
        <v/>
      </c>
      <c r="Q7361" s="111" t="str">
        <f t="shared" si="19"/>
        <v/>
      </c>
    </row>
    <row r="7362">
      <c r="A7362" s="78" t="s">
        <v>7816</v>
      </c>
      <c r="B7362" s="78" t="s">
        <v>21</v>
      </c>
      <c r="C7362" s="85">
        <v>45680.0</v>
      </c>
      <c r="D7362" s="85">
        <v>45703.0</v>
      </c>
      <c r="E7362" s="86">
        <v>21.77</v>
      </c>
      <c r="F7362" s="87">
        <v>22.31</v>
      </c>
      <c r="G7362" s="88">
        <f t="shared" si="1"/>
        <v>0.54</v>
      </c>
      <c r="H7362" s="89">
        <f t="shared" si="18"/>
        <v>0.02420439265</v>
      </c>
      <c r="I7362" s="78" t="s">
        <v>8364</v>
      </c>
      <c r="J7362" s="78" t="s">
        <v>69</v>
      </c>
      <c r="K7362" s="58">
        <f t="shared" si="17"/>
        <v>23</v>
      </c>
      <c r="L7362" s="91" t="str">
        <f t="shared" si="8"/>
        <v>Sat</v>
      </c>
      <c r="M7362" s="78" t="str">
        <f>IFERROR(VLOOKUP(A7362, Entries!A:B,2,false),"")</f>
        <v/>
      </c>
      <c r="N7362" s="23" t="str">
        <f>IFERROR(VLOOKUP(A7362, Entries!A:K,11,false),"")</f>
        <v/>
      </c>
      <c r="Q7362" s="111" t="str">
        <f t="shared" si="19"/>
        <v/>
      </c>
    </row>
    <row r="7363">
      <c r="A7363" s="78" t="s">
        <v>6501</v>
      </c>
      <c r="B7363" s="78" t="s">
        <v>21</v>
      </c>
      <c r="C7363" s="85">
        <v>45680.0</v>
      </c>
      <c r="D7363" s="25"/>
      <c r="E7363" s="86">
        <v>11.81</v>
      </c>
      <c r="F7363" s="88"/>
      <c r="G7363" s="88">
        <f t="shared" si="1"/>
        <v>-11.81</v>
      </c>
      <c r="H7363" s="89" t="str">
        <f t="shared" si="18"/>
        <v/>
      </c>
      <c r="I7363" s="112"/>
      <c r="J7363" s="78" t="s">
        <v>1129</v>
      </c>
      <c r="K7363" s="58" t="str">
        <f t="shared" si="17"/>
        <v/>
      </c>
      <c r="L7363" s="91" t="str">
        <f t="shared" si="8"/>
        <v/>
      </c>
      <c r="M7363" s="78" t="str">
        <f>IFERROR(VLOOKUP(A7363, Entries!A:B,2,false),"")</f>
        <v>Offworld Industries</v>
      </c>
      <c r="N7363" s="23" t="str">
        <f>IFERROR(VLOOKUP(A7363, Entries!A:K,11,false),"")</f>
        <v/>
      </c>
      <c r="Q7363" s="111" t="str">
        <f t="shared" si="19"/>
        <v/>
      </c>
    </row>
    <row r="7364">
      <c r="A7364" s="78" t="s">
        <v>1786</v>
      </c>
      <c r="B7364" s="78" t="s">
        <v>19</v>
      </c>
      <c r="C7364" s="85">
        <v>45680.0</v>
      </c>
      <c r="D7364" s="85">
        <v>45680.0</v>
      </c>
      <c r="E7364" s="86">
        <v>7.14</v>
      </c>
      <c r="F7364" s="87">
        <v>11.48</v>
      </c>
      <c r="G7364" s="88">
        <f t="shared" si="1"/>
        <v>4.34</v>
      </c>
      <c r="H7364" s="89">
        <f t="shared" si="18"/>
        <v>0.3780487805</v>
      </c>
      <c r="I7364" s="78" t="s">
        <v>8365</v>
      </c>
      <c r="J7364" s="78" t="s">
        <v>69</v>
      </c>
      <c r="K7364" s="58">
        <f t="shared" si="17"/>
        <v>0</v>
      </c>
      <c r="L7364" s="91" t="str">
        <f t="shared" si="8"/>
        <v>Thu</v>
      </c>
      <c r="M7364" s="78" t="str">
        <f>IFERROR(VLOOKUP(A7364, Entries!A:B,2,false),"")</f>
        <v>Bethesda Softworks</v>
      </c>
      <c r="N7364" s="23" t="str">
        <f>IFERROR(VLOOKUP(A7364, Entries!A:K,11,false),"")</f>
        <v/>
      </c>
    </row>
    <row r="7365">
      <c r="A7365" s="78" t="s">
        <v>7966</v>
      </c>
      <c r="B7365" s="78" t="s">
        <v>19</v>
      </c>
      <c r="C7365" s="85">
        <v>45680.0</v>
      </c>
      <c r="D7365" s="85">
        <v>45693.0</v>
      </c>
      <c r="E7365" s="86">
        <v>7.13</v>
      </c>
      <c r="F7365" s="87">
        <v>9.26</v>
      </c>
      <c r="G7365" s="88">
        <f t="shared" si="1"/>
        <v>2.13</v>
      </c>
      <c r="H7365" s="89">
        <f t="shared" si="18"/>
        <v>0.2300215983</v>
      </c>
      <c r="I7365" s="78" t="s">
        <v>8366</v>
      </c>
      <c r="J7365" s="78" t="s">
        <v>69</v>
      </c>
      <c r="K7365" s="58">
        <f t="shared" si="17"/>
        <v>13</v>
      </c>
      <c r="L7365" s="91" t="str">
        <f t="shared" si="8"/>
        <v>Wed</v>
      </c>
      <c r="M7365" s="78" t="str">
        <f>IFERROR(VLOOKUP(A7365, Entries!A:B,2,false),"")</f>
        <v/>
      </c>
      <c r="N7365" s="23" t="str">
        <f>IFERROR(VLOOKUP(A7365, Entries!A:K,11,false),"")</f>
        <v/>
      </c>
      <c r="Q7365" s="111" t="str">
        <f>IF(ROW(A58)&lt;=30, TEXT(TODAY()-30+ROW(A58), "dd-mm-yyyy"), "")
</f>
        <v/>
      </c>
    </row>
    <row r="7366">
      <c r="A7366" s="78" t="s">
        <v>1786</v>
      </c>
      <c r="B7366" s="78" t="s">
        <v>19</v>
      </c>
      <c r="C7366" s="85">
        <v>45681.0</v>
      </c>
      <c r="D7366" s="85">
        <v>45681.0</v>
      </c>
      <c r="E7366" s="86">
        <v>7.15</v>
      </c>
      <c r="F7366" s="87">
        <v>11.12</v>
      </c>
      <c r="G7366" s="88">
        <f t="shared" si="1"/>
        <v>3.97</v>
      </c>
      <c r="H7366" s="89">
        <f t="shared" si="18"/>
        <v>0.3570143885</v>
      </c>
      <c r="I7366" s="78" t="s">
        <v>8367</v>
      </c>
      <c r="J7366" s="78" t="s">
        <v>69</v>
      </c>
      <c r="K7366" s="58">
        <f t="shared" si="17"/>
        <v>0</v>
      </c>
      <c r="L7366" s="91" t="str">
        <f t="shared" si="8"/>
        <v>Fri</v>
      </c>
      <c r="M7366" s="78" t="str">
        <f>IFERROR(VLOOKUP(A7366, Entries!A:B,2,false),"")</f>
        <v>Bethesda Softworks</v>
      </c>
      <c r="N7366" s="23" t="str">
        <f>IFERROR(VLOOKUP(A7366, Entries!A:K,11,false),"")</f>
        <v/>
      </c>
    </row>
    <row r="7367">
      <c r="A7367" s="78" t="s">
        <v>2466</v>
      </c>
      <c r="B7367" s="78" t="s">
        <v>19</v>
      </c>
      <c r="C7367" s="85">
        <v>45681.0</v>
      </c>
      <c r="D7367" s="85">
        <v>45681.0</v>
      </c>
      <c r="E7367" s="86">
        <v>7.15</v>
      </c>
      <c r="F7367" s="87">
        <v>9.22</v>
      </c>
      <c r="G7367" s="88">
        <f t="shared" si="1"/>
        <v>2.07</v>
      </c>
      <c r="H7367" s="89">
        <f t="shared" si="18"/>
        <v>0.2245119306</v>
      </c>
      <c r="I7367" s="78" t="s">
        <v>8368</v>
      </c>
      <c r="J7367" s="78" t="s">
        <v>69</v>
      </c>
      <c r="K7367" s="58">
        <f t="shared" si="17"/>
        <v>0</v>
      </c>
      <c r="L7367" s="91" t="str">
        <f t="shared" si="8"/>
        <v>Fri</v>
      </c>
      <c r="M7367" s="78" t="str">
        <f>IFERROR(VLOOKUP(A7367, Entries!A:B,2,false),"")</f>
        <v>Bethesda Softworks</v>
      </c>
      <c r="N7367" s="23" t="str">
        <f>IFERROR(VLOOKUP(A7367, Entries!A:K,11,false),"")</f>
        <v/>
      </c>
    </row>
    <row r="7368">
      <c r="A7368" s="78" t="s">
        <v>8369</v>
      </c>
      <c r="B7368" s="78" t="s">
        <v>21</v>
      </c>
      <c r="C7368" s="85">
        <v>45681.0</v>
      </c>
      <c r="D7368" s="25"/>
      <c r="E7368" s="86">
        <v>27.75</v>
      </c>
      <c r="F7368" s="88"/>
      <c r="G7368" s="88">
        <f t="shared" si="1"/>
        <v>-27.75</v>
      </c>
      <c r="H7368" s="89" t="str">
        <f t="shared" si="18"/>
        <v/>
      </c>
      <c r="I7368" s="103" t="s">
        <v>8370</v>
      </c>
      <c r="J7368" s="78" t="s">
        <v>1129</v>
      </c>
      <c r="K7368" s="58" t="str">
        <f t="shared" si="17"/>
        <v/>
      </c>
      <c r="L7368" s="91" t="str">
        <f t="shared" si="8"/>
        <v/>
      </c>
      <c r="M7368" s="78" t="str">
        <f>IFERROR(VLOOKUP(A7368, Entries!A:B,2,false),"")</f>
        <v/>
      </c>
      <c r="N7368" s="23" t="str">
        <f>IFERROR(VLOOKUP(A7368, Entries!A:K,11,false),"")</f>
        <v/>
      </c>
      <c r="Q7368" s="111" t="str">
        <f t="shared" ref="Q7368:Q7370" si="20">IF(ROW(A61)&lt;=30, TEXT(TODAY()-30+ROW(A61), "dd-mm-yyyy"), "")
</f>
        <v/>
      </c>
    </row>
    <row r="7369">
      <c r="A7369" s="78" t="s">
        <v>7370</v>
      </c>
      <c r="B7369" s="78" t="s">
        <v>21</v>
      </c>
      <c r="C7369" s="85">
        <v>45681.0</v>
      </c>
      <c r="D7369" s="85">
        <v>45682.0</v>
      </c>
      <c r="E7369" s="86">
        <v>22.27</v>
      </c>
      <c r="F7369" s="87">
        <v>25.32</v>
      </c>
      <c r="G7369" s="88">
        <f t="shared" si="1"/>
        <v>3.05</v>
      </c>
      <c r="H7369" s="89">
        <f t="shared" si="18"/>
        <v>0.1204581359</v>
      </c>
      <c r="I7369" s="78" t="s">
        <v>8371</v>
      </c>
      <c r="J7369" s="78" t="s">
        <v>69</v>
      </c>
      <c r="K7369" s="58">
        <f t="shared" si="17"/>
        <v>1</v>
      </c>
      <c r="L7369" s="91" t="str">
        <f t="shared" si="8"/>
        <v>Sat</v>
      </c>
      <c r="M7369" s="78" t="str">
        <f>IFERROR(VLOOKUP(A7369, Entries!A:B,2,false),"")</f>
        <v/>
      </c>
      <c r="N7369" s="23" t="str">
        <f>IFERROR(VLOOKUP(A7369, Entries!A:K,11,false),"")</f>
        <v/>
      </c>
      <c r="Q7369" s="111" t="str">
        <f t="shared" si="20"/>
        <v/>
      </c>
    </row>
    <row r="7370">
      <c r="A7370" s="78" t="s">
        <v>7370</v>
      </c>
      <c r="B7370" s="78" t="s">
        <v>21</v>
      </c>
      <c r="C7370" s="85">
        <v>45681.0</v>
      </c>
      <c r="D7370" s="85">
        <v>45682.0</v>
      </c>
      <c r="E7370" s="86">
        <v>22.27</v>
      </c>
      <c r="F7370" s="87">
        <v>25.32</v>
      </c>
      <c r="G7370" s="88">
        <f t="shared" si="1"/>
        <v>3.05</v>
      </c>
      <c r="H7370" s="89">
        <f t="shared" si="18"/>
        <v>0.1204581359</v>
      </c>
      <c r="I7370" s="78" t="s">
        <v>8372</v>
      </c>
      <c r="J7370" s="78" t="s">
        <v>69</v>
      </c>
      <c r="K7370" s="58">
        <f t="shared" si="17"/>
        <v>1</v>
      </c>
      <c r="L7370" s="91" t="str">
        <f t="shared" si="8"/>
        <v>Sat</v>
      </c>
      <c r="M7370" s="78" t="str">
        <f>IFERROR(VLOOKUP(A7370, Entries!A:B,2,false),"")</f>
        <v/>
      </c>
      <c r="N7370" s="23" t="str">
        <f>IFERROR(VLOOKUP(A7370, Entries!A:K,11,false),"")</f>
        <v/>
      </c>
      <c r="Q7370" s="111" t="str">
        <f t="shared" si="20"/>
        <v/>
      </c>
    </row>
    <row r="7371">
      <c r="A7371" s="78" t="s">
        <v>1786</v>
      </c>
      <c r="B7371" s="78" t="s">
        <v>19</v>
      </c>
      <c r="C7371" s="85">
        <v>45681.0</v>
      </c>
      <c r="D7371" s="85">
        <v>45681.0</v>
      </c>
      <c r="E7371" s="86">
        <v>7.15</v>
      </c>
      <c r="F7371" s="87">
        <v>11.44</v>
      </c>
      <c r="G7371" s="88">
        <f t="shared" si="1"/>
        <v>4.29</v>
      </c>
      <c r="H7371" s="89">
        <f t="shared" si="18"/>
        <v>0.375</v>
      </c>
      <c r="I7371" s="78" t="s">
        <v>8373</v>
      </c>
      <c r="J7371" s="78" t="s">
        <v>69</v>
      </c>
      <c r="K7371" s="58">
        <f t="shared" si="17"/>
        <v>0</v>
      </c>
      <c r="L7371" s="91" t="str">
        <f t="shared" si="8"/>
        <v>Fri</v>
      </c>
      <c r="M7371" s="78" t="str">
        <f>IFERROR(VLOOKUP(A7371, Entries!A:B,2,false),"")</f>
        <v>Bethesda Softworks</v>
      </c>
      <c r="N7371" s="23" t="str">
        <f>IFERROR(VLOOKUP(A7371, Entries!A:K,11,false),"")</f>
        <v/>
      </c>
    </row>
    <row r="7372">
      <c r="A7372" s="78" t="s">
        <v>2466</v>
      </c>
      <c r="B7372" s="78" t="s">
        <v>19</v>
      </c>
      <c r="C7372" s="85">
        <v>45681.0</v>
      </c>
      <c r="D7372" s="85">
        <v>45684.0</v>
      </c>
      <c r="E7372" s="86">
        <v>7.15</v>
      </c>
      <c r="F7372" s="87">
        <v>9.09</v>
      </c>
      <c r="G7372" s="88">
        <f t="shared" si="1"/>
        <v>1.94</v>
      </c>
      <c r="H7372" s="89">
        <f t="shared" si="18"/>
        <v>0.2134213421</v>
      </c>
      <c r="I7372" s="78" t="s">
        <v>8374</v>
      </c>
      <c r="J7372" s="78" t="s">
        <v>69</v>
      </c>
      <c r="K7372" s="58">
        <f t="shared" si="17"/>
        <v>3</v>
      </c>
      <c r="L7372" s="91" t="str">
        <f t="shared" si="8"/>
        <v>Mon</v>
      </c>
      <c r="M7372" s="78" t="str">
        <f>IFERROR(VLOOKUP(A7372, Entries!A:B,2,false),"")</f>
        <v>Bethesda Softworks</v>
      </c>
      <c r="N7372" s="23" t="str">
        <f>IFERROR(VLOOKUP(A7372, Entries!A:K,11,false),"")</f>
        <v/>
      </c>
      <c r="Q7372" s="111" t="str">
        <f t="shared" ref="Q7372:Q7378" si="21">IF(ROW(A65)&lt;=30, TEXT(TODAY()-30+ROW(A65), "dd-mm-yyyy"), "")
</f>
        <v/>
      </c>
    </row>
    <row r="7373">
      <c r="A7373" s="78" t="s">
        <v>7814</v>
      </c>
      <c r="B7373" s="78" t="s">
        <v>25</v>
      </c>
      <c r="C7373" s="85">
        <v>45682.0</v>
      </c>
      <c r="D7373" s="85">
        <v>45684.0</v>
      </c>
      <c r="E7373" s="86">
        <v>24.32</v>
      </c>
      <c r="F7373" s="87">
        <v>27.92</v>
      </c>
      <c r="G7373" s="88">
        <f t="shared" si="1"/>
        <v>3.6</v>
      </c>
      <c r="H7373" s="89">
        <f t="shared" si="18"/>
        <v>0.1289398281</v>
      </c>
      <c r="I7373" s="78" t="s">
        <v>8375</v>
      </c>
      <c r="J7373" s="78" t="s">
        <v>69</v>
      </c>
      <c r="K7373" s="58">
        <f t="shared" si="17"/>
        <v>2</v>
      </c>
      <c r="L7373" s="91" t="str">
        <f t="shared" si="8"/>
        <v>Mon</v>
      </c>
      <c r="M7373" s="78" t="str">
        <f>IFERROR(VLOOKUP(A7373, Entries!A:B,2,false),"")</f>
        <v>Electronic Arts</v>
      </c>
      <c r="N7373" s="23" t="str">
        <f>IFERROR(VLOOKUP(A7373, Entries!A:K,11,false),"")</f>
        <v/>
      </c>
      <c r="Q7373" s="111" t="str">
        <f t="shared" si="21"/>
        <v/>
      </c>
    </row>
    <row r="7374">
      <c r="A7374" s="78" t="s">
        <v>7814</v>
      </c>
      <c r="B7374" s="78" t="s">
        <v>25</v>
      </c>
      <c r="C7374" s="85">
        <v>45682.0</v>
      </c>
      <c r="D7374" s="85">
        <v>45686.0</v>
      </c>
      <c r="E7374" s="86">
        <v>24.32</v>
      </c>
      <c r="F7374" s="87">
        <v>27.92</v>
      </c>
      <c r="G7374" s="88">
        <f t="shared" si="1"/>
        <v>3.6</v>
      </c>
      <c r="H7374" s="89">
        <f t="shared" si="18"/>
        <v>0.1289398281</v>
      </c>
      <c r="I7374" s="78" t="s">
        <v>8376</v>
      </c>
      <c r="J7374" s="78" t="s">
        <v>69</v>
      </c>
      <c r="K7374" s="58">
        <f t="shared" si="17"/>
        <v>4</v>
      </c>
      <c r="L7374" s="91" t="str">
        <f t="shared" si="8"/>
        <v>Wed</v>
      </c>
      <c r="M7374" s="78" t="str">
        <f>IFERROR(VLOOKUP(A7374, Entries!A:B,2,false),"")</f>
        <v>Electronic Arts</v>
      </c>
      <c r="N7374" s="23" t="str">
        <f>IFERROR(VLOOKUP(A7374, Entries!A:K,11,false),"")</f>
        <v/>
      </c>
      <c r="Q7374" s="111" t="str">
        <f t="shared" si="21"/>
        <v/>
      </c>
    </row>
    <row r="7375">
      <c r="A7375" s="78" t="s">
        <v>6022</v>
      </c>
      <c r="B7375" s="78" t="s">
        <v>21</v>
      </c>
      <c r="C7375" s="85">
        <v>45682.0</v>
      </c>
      <c r="D7375" s="85">
        <v>45684.0</v>
      </c>
      <c r="E7375" s="86">
        <v>6.57</v>
      </c>
      <c r="F7375" s="87">
        <v>7.25</v>
      </c>
      <c r="G7375" s="88">
        <f t="shared" si="1"/>
        <v>0.68</v>
      </c>
      <c r="H7375" s="89">
        <f t="shared" si="18"/>
        <v>0.09379310345</v>
      </c>
      <c r="I7375" s="78" t="s">
        <v>8377</v>
      </c>
      <c r="J7375" s="78" t="s">
        <v>69</v>
      </c>
      <c r="K7375" s="58">
        <f t="shared" si="17"/>
        <v>2</v>
      </c>
      <c r="L7375" s="91" t="str">
        <f t="shared" si="8"/>
        <v>Mon</v>
      </c>
      <c r="M7375" s="78" t="str">
        <f>IFERROR(VLOOKUP(A7375, Entries!A:B,2,false),"")</f>
        <v>Paradox Interactive</v>
      </c>
      <c r="N7375" s="23" t="str">
        <f>IFERROR(VLOOKUP(A7375, Entries!A:K,11,false),"")</f>
        <v/>
      </c>
      <c r="Q7375" s="111" t="str">
        <f t="shared" si="21"/>
        <v/>
      </c>
    </row>
    <row r="7376">
      <c r="A7376" s="78" t="s">
        <v>6022</v>
      </c>
      <c r="B7376" s="78" t="s">
        <v>21</v>
      </c>
      <c r="C7376" s="85">
        <v>45682.0</v>
      </c>
      <c r="D7376" s="85">
        <v>45685.0</v>
      </c>
      <c r="E7376" s="86">
        <v>6.57</v>
      </c>
      <c r="F7376" s="87">
        <v>7.25</v>
      </c>
      <c r="G7376" s="88">
        <f t="shared" si="1"/>
        <v>0.68</v>
      </c>
      <c r="H7376" s="89">
        <f t="shared" si="18"/>
        <v>0.09379310345</v>
      </c>
      <c r="I7376" s="78" t="s">
        <v>8378</v>
      </c>
      <c r="J7376" s="78" t="s">
        <v>69</v>
      </c>
      <c r="K7376" s="58">
        <f t="shared" si="17"/>
        <v>3</v>
      </c>
      <c r="L7376" s="91" t="str">
        <f t="shared" si="8"/>
        <v>Tue</v>
      </c>
      <c r="M7376" s="78" t="str">
        <f>IFERROR(VLOOKUP(A7376, Entries!A:B,2,false),"")</f>
        <v>Paradox Interactive</v>
      </c>
      <c r="N7376" s="23" t="str">
        <f>IFERROR(VLOOKUP(A7376, Entries!A:K,11,false),"")</f>
        <v/>
      </c>
      <c r="Q7376" s="111" t="str">
        <f t="shared" si="21"/>
        <v/>
      </c>
    </row>
    <row r="7377">
      <c r="A7377" s="78" t="s">
        <v>6022</v>
      </c>
      <c r="B7377" s="78" t="s">
        <v>21</v>
      </c>
      <c r="C7377" s="85">
        <v>45682.0</v>
      </c>
      <c r="D7377" s="85">
        <v>45685.0</v>
      </c>
      <c r="E7377" s="86">
        <v>6.56</v>
      </c>
      <c r="F7377" s="87">
        <v>7.25</v>
      </c>
      <c r="G7377" s="88">
        <f t="shared" si="1"/>
        <v>0.69</v>
      </c>
      <c r="H7377" s="89">
        <f t="shared" si="18"/>
        <v>0.09517241379</v>
      </c>
      <c r="I7377" s="78" t="s">
        <v>8379</v>
      </c>
      <c r="J7377" s="78" t="s">
        <v>69</v>
      </c>
      <c r="K7377" s="58">
        <f t="shared" si="17"/>
        <v>3</v>
      </c>
      <c r="L7377" s="91" t="str">
        <f t="shared" si="8"/>
        <v>Tue</v>
      </c>
      <c r="M7377" s="78" t="str">
        <f>IFERROR(VLOOKUP(A7377, Entries!A:B,2,false),"")</f>
        <v>Paradox Interactive</v>
      </c>
      <c r="N7377" s="23" t="str">
        <f>IFERROR(VLOOKUP(A7377, Entries!A:K,11,false),"")</f>
        <v/>
      </c>
      <c r="Q7377" s="111" t="str">
        <f t="shared" si="21"/>
        <v/>
      </c>
    </row>
    <row r="7378">
      <c r="A7378" s="78" t="s">
        <v>6977</v>
      </c>
      <c r="B7378" s="78" t="s">
        <v>23</v>
      </c>
      <c r="C7378" s="85">
        <v>45684.0</v>
      </c>
      <c r="D7378" s="85">
        <v>45692.0</v>
      </c>
      <c r="E7378" s="86">
        <v>9.99</v>
      </c>
      <c r="F7378" s="87">
        <v>10.49</v>
      </c>
      <c r="G7378" s="88">
        <f t="shared" si="1"/>
        <v>0.5</v>
      </c>
      <c r="H7378" s="89">
        <f t="shared" si="18"/>
        <v>0.04766444233</v>
      </c>
      <c r="I7378" s="78" t="s">
        <v>8380</v>
      </c>
      <c r="J7378" s="78" t="s">
        <v>69</v>
      </c>
      <c r="K7378" s="58">
        <f t="shared" si="17"/>
        <v>8</v>
      </c>
      <c r="L7378" s="91" t="str">
        <f t="shared" si="8"/>
        <v>Tue</v>
      </c>
      <c r="M7378" s="78" t="str">
        <f>IFERROR(VLOOKUP(A7378, Entries!A:B,2,false),"")</f>
        <v>Dear Villagers</v>
      </c>
      <c r="N7378" s="23" t="str">
        <f>IFERROR(VLOOKUP(A7378, Entries!A:K,11,false),"")</f>
        <v/>
      </c>
      <c r="Q7378" s="111" t="str">
        <f t="shared" si="21"/>
        <v/>
      </c>
    </row>
    <row r="7379">
      <c r="A7379" s="78" t="s">
        <v>8011</v>
      </c>
      <c r="B7379" s="78" t="s">
        <v>22</v>
      </c>
      <c r="C7379" s="85">
        <v>45684.0</v>
      </c>
      <c r="D7379" s="85">
        <v>45685.0</v>
      </c>
      <c r="E7379" s="86">
        <v>12.75</v>
      </c>
      <c r="F7379" s="87">
        <v>14.45</v>
      </c>
      <c r="G7379" s="88">
        <f t="shared" si="1"/>
        <v>1.7</v>
      </c>
      <c r="H7379" s="89">
        <f t="shared" si="18"/>
        <v>0.1176470588</v>
      </c>
      <c r="I7379" s="78" t="s">
        <v>8381</v>
      </c>
      <c r="J7379" s="78" t="s">
        <v>69</v>
      </c>
      <c r="K7379" s="58">
        <f t="shared" si="17"/>
        <v>1</v>
      </c>
      <c r="L7379" s="91" t="str">
        <f t="shared" si="8"/>
        <v>Tue</v>
      </c>
      <c r="M7379" s="78" t="str">
        <f>IFERROR(VLOOKUP(A7379, Entries!A:B,2,false),"")</f>
        <v/>
      </c>
      <c r="N7379" s="23" t="str">
        <f>IFERROR(VLOOKUP(A7379, Entries!A:K,11,false),"")</f>
        <v/>
      </c>
    </row>
    <row r="7380">
      <c r="A7380" s="78" t="s">
        <v>1786</v>
      </c>
      <c r="B7380" s="78" t="s">
        <v>19</v>
      </c>
      <c r="C7380" s="85">
        <v>45684.0</v>
      </c>
      <c r="D7380" s="85">
        <v>45684.0</v>
      </c>
      <c r="E7380" s="86">
        <v>7.13</v>
      </c>
      <c r="F7380" s="87">
        <v>11.75</v>
      </c>
      <c r="G7380" s="88">
        <f t="shared" si="1"/>
        <v>4.62</v>
      </c>
      <c r="H7380" s="89">
        <f t="shared" si="18"/>
        <v>0.3931914894</v>
      </c>
      <c r="I7380" s="78" t="s">
        <v>8382</v>
      </c>
      <c r="J7380" s="78" t="s">
        <v>69</v>
      </c>
      <c r="K7380" s="58">
        <f t="shared" si="17"/>
        <v>0</v>
      </c>
      <c r="L7380" s="91" t="str">
        <f t="shared" si="8"/>
        <v>Mon</v>
      </c>
      <c r="M7380" s="78" t="str">
        <f>IFERROR(VLOOKUP(A7380, Entries!A:B,2,false),"")</f>
        <v>Bethesda Softworks</v>
      </c>
      <c r="N7380" s="23" t="str">
        <f>IFERROR(VLOOKUP(A7380, Entries!A:K,11,false),"")</f>
        <v/>
      </c>
    </row>
    <row r="7381">
      <c r="A7381" s="78" t="s">
        <v>2466</v>
      </c>
      <c r="B7381" s="78" t="s">
        <v>19</v>
      </c>
      <c r="C7381" s="85">
        <v>45684.0</v>
      </c>
      <c r="D7381" s="85">
        <v>45687.0</v>
      </c>
      <c r="E7381" s="86">
        <v>7.12</v>
      </c>
      <c r="F7381" s="87">
        <v>8.94</v>
      </c>
      <c r="G7381" s="88">
        <f t="shared" si="1"/>
        <v>1.82</v>
      </c>
      <c r="H7381" s="89">
        <f t="shared" si="18"/>
        <v>0.2035794183</v>
      </c>
      <c r="I7381" s="78" t="s">
        <v>8383</v>
      </c>
      <c r="J7381" s="78" t="s">
        <v>69</v>
      </c>
      <c r="K7381" s="58">
        <f t="shared" si="17"/>
        <v>3</v>
      </c>
      <c r="L7381" s="91" t="str">
        <f t="shared" si="8"/>
        <v>Thu</v>
      </c>
      <c r="M7381" s="78" t="str">
        <f>IFERROR(VLOOKUP(A7381, Entries!A:B,2,false),"")</f>
        <v>Bethesda Softworks</v>
      </c>
      <c r="N7381" s="23" t="str">
        <f>IFERROR(VLOOKUP(A7381, Entries!A:K,11,false),"")</f>
        <v/>
      </c>
    </row>
    <row r="7382">
      <c r="A7382" s="78" t="s">
        <v>8384</v>
      </c>
      <c r="B7382" s="78" t="s">
        <v>8385</v>
      </c>
      <c r="C7382" s="85">
        <v>45685.0</v>
      </c>
      <c r="D7382" s="85">
        <v>45685.0</v>
      </c>
      <c r="E7382" s="86">
        <v>16.33</v>
      </c>
      <c r="F7382" s="87">
        <v>25.08</v>
      </c>
      <c r="G7382" s="88">
        <f t="shared" si="1"/>
        <v>8.75</v>
      </c>
      <c r="H7382" s="89">
        <f t="shared" si="18"/>
        <v>0.3488835726</v>
      </c>
      <c r="I7382" s="78" t="s">
        <v>8386</v>
      </c>
      <c r="J7382" s="78" t="s">
        <v>69</v>
      </c>
      <c r="K7382" s="58">
        <f t="shared" si="17"/>
        <v>0</v>
      </c>
      <c r="L7382" s="91" t="str">
        <f t="shared" si="8"/>
        <v>Tue</v>
      </c>
      <c r="M7382" s="78" t="str">
        <f>IFERROR(VLOOKUP(A7382, Entries!A:B,2,false),"")</f>
        <v/>
      </c>
      <c r="N7382" s="23" t="str">
        <f>IFERROR(VLOOKUP(A7382, Entries!A:K,11,false),"")</f>
        <v/>
      </c>
    </row>
    <row r="7383">
      <c r="A7383" s="78" t="s">
        <v>8011</v>
      </c>
      <c r="B7383" s="78" t="s">
        <v>22</v>
      </c>
      <c r="C7383" s="85">
        <v>45686.0</v>
      </c>
      <c r="D7383" s="85">
        <v>45691.0</v>
      </c>
      <c r="E7383" s="86">
        <v>12.74</v>
      </c>
      <c r="F7383" s="87">
        <v>14.45</v>
      </c>
      <c r="G7383" s="88">
        <f t="shared" si="1"/>
        <v>1.71</v>
      </c>
      <c r="H7383" s="89">
        <f t="shared" si="18"/>
        <v>0.1183391003</v>
      </c>
      <c r="I7383" s="78" t="s">
        <v>8387</v>
      </c>
      <c r="J7383" s="78" t="s">
        <v>69</v>
      </c>
      <c r="K7383" s="58">
        <f t="shared" si="17"/>
        <v>5</v>
      </c>
      <c r="L7383" s="91" t="str">
        <f t="shared" si="8"/>
        <v>Mon</v>
      </c>
      <c r="M7383" s="78" t="str">
        <f>IFERROR(VLOOKUP(A7383, Entries!A:B,2,false),"")</f>
        <v/>
      </c>
      <c r="N7383" s="23" t="str">
        <f>IFERROR(VLOOKUP(A7383, Entries!A:K,11,false),"")</f>
        <v/>
      </c>
    </row>
    <row r="7384">
      <c r="A7384" s="78" t="s">
        <v>8384</v>
      </c>
      <c r="B7384" s="78" t="s">
        <v>8385</v>
      </c>
      <c r="C7384" s="85">
        <v>45686.0</v>
      </c>
      <c r="D7384" s="85">
        <v>45686.0</v>
      </c>
      <c r="E7384" s="86">
        <v>16.32</v>
      </c>
      <c r="F7384" s="87">
        <v>26.88</v>
      </c>
      <c r="G7384" s="88">
        <f t="shared" si="1"/>
        <v>10.56</v>
      </c>
      <c r="H7384" s="89">
        <f t="shared" si="18"/>
        <v>0.3928571429</v>
      </c>
      <c r="I7384" s="78" t="s">
        <v>8388</v>
      </c>
      <c r="J7384" s="78" t="s">
        <v>69</v>
      </c>
      <c r="K7384" s="58">
        <f t="shared" si="17"/>
        <v>0</v>
      </c>
      <c r="L7384" s="91" t="str">
        <f t="shared" si="8"/>
        <v>Wed</v>
      </c>
      <c r="M7384" s="78" t="str">
        <f>IFERROR(VLOOKUP(A7384, Entries!A:B,2,false),"")</f>
        <v/>
      </c>
      <c r="N7384" s="23" t="str">
        <f>IFERROR(VLOOKUP(A7384, Entries!A:K,11,false),"")</f>
        <v/>
      </c>
    </row>
    <row r="7385">
      <c r="A7385" s="78" t="s">
        <v>8384</v>
      </c>
      <c r="B7385" s="78" t="s">
        <v>8385</v>
      </c>
      <c r="C7385" s="85">
        <v>45686.0</v>
      </c>
      <c r="D7385" s="85">
        <v>45686.0</v>
      </c>
      <c r="E7385" s="86">
        <v>16.33</v>
      </c>
      <c r="F7385" s="87">
        <v>25.98</v>
      </c>
      <c r="G7385" s="88">
        <f t="shared" si="1"/>
        <v>9.65</v>
      </c>
      <c r="H7385" s="89">
        <f t="shared" si="18"/>
        <v>0.3714395689</v>
      </c>
      <c r="I7385" s="78" t="s">
        <v>8389</v>
      </c>
      <c r="J7385" s="78" t="s">
        <v>69</v>
      </c>
      <c r="K7385" s="58">
        <f t="shared" si="17"/>
        <v>0</v>
      </c>
      <c r="L7385" s="91" t="str">
        <f t="shared" si="8"/>
        <v>Wed</v>
      </c>
      <c r="M7385" s="78" t="str">
        <f>IFERROR(VLOOKUP(A7385, Entries!A:B,2,false),"")</f>
        <v/>
      </c>
      <c r="N7385" s="23" t="str">
        <f>IFERROR(VLOOKUP(A7385, Entries!A:K,11,false),"")</f>
        <v/>
      </c>
    </row>
    <row r="7386">
      <c r="A7386" s="78" t="s">
        <v>7814</v>
      </c>
      <c r="B7386" s="78" t="s">
        <v>21</v>
      </c>
      <c r="C7386" s="85">
        <v>45686.0</v>
      </c>
      <c r="D7386" s="85">
        <v>45687.0</v>
      </c>
      <c r="E7386" s="86">
        <v>24.7</v>
      </c>
      <c r="F7386" s="87">
        <v>27.92</v>
      </c>
      <c r="G7386" s="88">
        <f t="shared" si="1"/>
        <v>3.22</v>
      </c>
      <c r="H7386" s="89">
        <f t="shared" si="18"/>
        <v>0.1153295129</v>
      </c>
      <c r="I7386" s="78" t="s">
        <v>8390</v>
      </c>
      <c r="J7386" s="78" t="s">
        <v>69</v>
      </c>
      <c r="K7386" s="58">
        <f t="shared" si="17"/>
        <v>1</v>
      </c>
      <c r="L7386" s="91" t="str">
        <f t="shared" si="8"/>
        <v>Thu</v>
      </c>
      <c r="M7386" s="78" t="str">
        <f>IFERROR(VLOOKUP(A7386, Entries!A:B,2,false),"")</f>
        <v>Electronic Arts</v>
      </c>
      <c r="N7386" s="23" t="str">
        <f>IFERROR(VLOOKUP(A7386, Entries!A:K,11,false),"")</f>
        <v/>
      </c>
    </row>
    <row r="7387">
      <c r="A7387" s="78" t="s">
        <v>7814</v>
      </c>
      <c r="B7387" s="78" t="s">
        <v>21</v>
      </c>
      <c r="C7387" s="85">
        <v>45686.0</v>
      </c>
      <c r="D7387" s="85">
        <v>45687.0</v>
      </c>
      <c r="E7387" s="86">
        <v>24.7</v>
      </c>
      <c r="F7387" s="87">
        <v>27.91</v>
      </c>
      <c r="G7387" s="88">
        <f t="shared" si="1"/>
        <v>3.21</v>
      </c>
      <c r="H7387" s="89">
        <f t="shared" si="18"/>
        <v>0.1150125403</v>
      </c>
      <c r="I7387" s="78" t="s">
        <v>8391</v>
      </c>
      <c r="J7387" s="78" t="s">
        <v>69</v>
      </c>
      <c r="K7387" s="58">
        <f t="shared" si="17"/>
        <v>1</v>
      </c>
      <c r="L7387" s="91" t="str">
        <f t="shared" si="8"/>
        <v>Thu</v>
      </c>
      <c r="M7387" s="78" t="str">
        <f>IFERROR(VLOOKUP(A7387, Entries!A:B,2,false),"")</f>
        <v>Electronic Arts</v>
      </c>
      <c r="N7387" s="23" t="str">
        <f>IFERROR(VLOOKUP(A7387, Entries!A:K,11,false),"")</f>
        <v/>
      </c>
    </row>
    <row r="7388">
      <c r="A7388" s="78" t="s">
        <v>7814</v>
      </c>
      <c r="B7388" s="78" t="s">
        <v>21</v>
      </c>
      <c r="C7388" s="85">
        <v>45686.0</v>
      </c>
      <c r="D7388" s="85">
        <v>45687.0</v>
      </c>
      <c r="E7388" s="86">
        <v>24.7</v>
      </c>
      <c r="F7388" s="87">
        <v>27.91</v>
      </c>
      <c r="G7388" s="88">
        <f t="shared" si="1"/>
        <v>3.21</v>
      </c>
      <c r="H7388" s="89">
        <f t="shared" si="18"/>
        <v>0.1150125403</v>
      </c>
      <c r="I7388" s="78" t="s">
        <v>8392</v>
      </c>
      <c r="J7388" s="78" t="s">
        <v>69</v>
      </c>
      <c r="K7388" s="58">
        <f t="shared" si="17"/>
        <v>1</v>
      </c>
      <c r="L7388" s="91" t="str">
        <f t="shared" si="8"/>
        <v>Thu</v>
      </c>
      <c r="M7388" s="78" t="str">
        <f>IFERROR(VLOOKUP(A7388, Entries!A:B,2,false),"")</f>
        <v>Electronic Arts</v>
      </c>
      <c r="N7388" s="23" t="str">
        <f>IFERROR(VLOOKUP(A7388, Entries!A:K,11,false),"")</f>
        <v/>
      </c>
    </row>
    <row r="7389">
      <c r="A7389" s="78" t="s">
        <v>7224</v>
      </c>
      <c r="B7389" s="78" t="s">
        <v>21</v>
      </c>
      <c r="C7389" s="85">
        <v>45687.0</v>
      </c>
      <c r="D7389" s="85">
        <v>45687.0</v>
      </c>
      <c r="E7389" s="86">
        <v>21.69</v>
      </c>
      <c r="F7389" s="87">
        <v>23.93</v>
      </c>
      <c r="G7389" s="88">
        <f t="shared" si="1"/>
        <v>2.24</v>
      </c>
      <c r="H7389" s="89">
        <f t="shared" si="18"/>
        <v>0.09360635186</v>
      </c>
      <c r="I7389" s="78" t="s">
        <v>8393</v>
      </c>
      <c r="J7389" s="78" t="s">
        <v>69</v>
      </c>
      <c r="K7389" s="58">
        <f t="shared" si="17"/>
        <v>0</v>
      </c>
      <c r="L7389" s="91" t="str">
        <f t="shared" si="8"/>
        <v>Thu</v>
      </c>
      <c r="M7389" s="78" t="str">
        <f>IFERROR(VLOOKUP(A7389, Entries!A:B,2,false),"")</f>
        <v/>
      </c>
      <c r="N7389" s="23" t="str">
        <f>IFERROR(VLOOKUP(A7389, Entries!A:K,11,false),"")</f>
        <v/>
      </c>
    </row>
    <row r="7390">
      <c r="A7390" s="78" t="s">
        <v>7224</v>
      </c>
      <c r="B7390" s="78" t="s">
        <v>21</v>
      </c>
      <c r="C7390" s="85">
        <v>45687.0</v>
      </c>
      <c r="D7390" s="85">
        <v>45690.0</v>
      </c>
      <c r="E7390" s="86">
        <v>21.69</v>
      </c>
      <c r="F7390" s="87">
        <v>23.93</v>
      </c>
      <c r="G7390" s="88">
        <f t="shared" si="1"/>
        <v>2.24</v>
      </c>
      <c r="H7390" s="89">
        <f t="shared" si="18"/>
        <v>0.09360635186</v>
      </c>
      <c r="I7390" s="78" t="s">
        <v>8394</v>
      </c>
      <c r="J7390" s="78" t="s">
        <v>69</v>
      </c>
      <c r="K7390" s="58">
        <f t="shared" si="17"/>
        <v>3</v>
      </c>
      <c r="L7390" s="91" t="str">
        <f t="shared" si="8"/>
        <v>Sun</v>
      </c>
      <c r="M7390" s="78" t="str">
        <f>IFERROR(VLOOKUP(A7390, Entries!A:B,2,false),"")</f>
        <v/>
      </c>
      <c r="N7390" s="23" t="str">
        <f>IFERROR(VLOOKUP(A7390, Entries!A:K,11,false),"")</f>
        <v/>
      </c>
    </row>
    <row r="7391">
      <c r="A7391" s="78" t="s">
        <v>7224</v>
      </c>
      <c r="B7391" s="78" t="s">
        <v>21</v>
      </c>
      <c r="C7391" s="85">
        <v>45687.0</v>
      </c>
      <c r="D7391" s="85">
        <v>45690.0</v>
      </c>
      <c r="E7391" s="86">
        <v>21.7</v>
      </c>
      <c r="F7391" s="87">
        <v>23.93</v>
      </c>
      <c r="G7391" s="88">
        <f t="shared" si="1"/>
        <v>2.23</v>
      </c>
      <c r="H7391" s="89">
        <f t="shared" si="18"/>
        <v>0.09318846636</v>
      </c>
      <c r="I7391" s="78" t="s">
        <v>8395</v>
      </c>
      <c r="J7391" s="78" t="s">
        <v>69</v>
      </c>
      <c r="K7391" s="58">
        <f t="shared" si="17"/>
        <v>3</v>
      </c>
      <c r="L7391" s="91" t="str">
        <f t="shared" si="8"/>
        <v>Sun</v>
      </c>
      <c r="M7391" s="78" t="str">
        <f>IFERROR(VLOOKUP(A7391, Entries!A:B,2,false),"")</f>
        <v/>
      </c>
      <c r="N7391" s="23" t="str">
        <f>IFERROR(VLOOKUP(A7391, Entries!A:K,11,false),"")</f>
        <v/>
      </c>
    </row>
    <row r="7392">
      <c r="A7392" s="78" t="s">
        <v>7224</v>
      </c>
      <c r="B7392" s="78" t="s">
        <v>21</v>
      </c>
      <c r="C7392" s="85">
        <v>45687.0</v>
      </c>
      <c r="D7392" s="85">
        <v>45696.0</v>
      </c>
      <c r="E7392" s="86">
        <v>21.7</v>
      </c>
      <c r="F7392" s="87">
        <v>23.88</v>
      </c>
      <c r="G7392" s="88">
        <f t="shared" si="1"/>
        <v>2.18</v>
      </c>
      <c r="H7392" s="89">
        <f t="shared" si="18"/>
        <v>0.09128978224</v>
      </c>
      <c r="I7392" s="78" t="s">
        <v>8396</v>
      </c>
      <c r="J7392" s="78" t="s">
        <v>69</v>
      </c>
      <c r="K7392" s="58">
        <f t="shared" si="17"/>
        <v>9</v>
      </c>
      <c r="L7392" s="91" t="str">
        <f t="shared" si="8"/>
        <v>Sat</v>
      </c>
      <c r="M7392" s="78" t="str">
        <f>IFERROR(VLOOKUP(A7392, Entries!A:B,2,false),"")</f>
        <v/>
      </c>
      <c r="N7392" s="23" t="str">
        <f>IFERROR(VLOOKUP(A7392, Entries!A:K,11,false),"")</f>
        <v/>
      </c>
    </row>
    <row r="7393">
      <c r="A7393" s="78" t="s">
        <v>8397</v>
      </c>
      <c r="B7393" s="78" t="s">
        <v>21</v>
      </c>
      <c r="C7393" s="85">
        <v>45687.0</v>
      </c>
      <c r="D7393" s="85">
        <v>45689.0</v>
      </c>
      <c r="E7393" s="86">
        <v>24.35</v>
      </c>
      <c r="F7393" s="87">
        <v>30.08</v>
      </c>
      <c r="G7393" s="88">
        <f t="shared" si="1"/>
        <v>5.73</v>
      </c>
      <c r="H7393" s="89">
        <f t="shared" si="18"/>
        <v>0.1904920213</v>
      </c>
      <c r="I7393" s="78" t="s">
        <v>8398</v>
      </c>
      <c r="J7393" s="78" t="s">
        <v>69</v>
      </c>
      <c r="K7393" s="58">
        <f t="shared" si="17"/>
        <v>2</v>
      </c>
      <c r="L7393" s="91" t="str">
        <f t="shared" si="8"/>
        <v>Sat</v>
      </c>
      <c r="M7393" s="78" t="str">
        <f>IFERROR(VLOOKUP(A7393, Entries!A:B,2,false),"")</f>
        <v/>
      </c>
      <c r="N7393" s="23" t="str">
        <f>IFERROR(VLOOKUP(A7393, Entries!A:K,11,false),"")</f>
        <v/>
      </c>
    </row>
    <row r="7394">
      <c r="A7394" s="78" t="s">
        <v>8397</v>
      </c>
      <c r="B7394" s="78" t="s">
        <v>21</v>
      </c>
      <c r="C7394" s="85">
        <v>45687.0</v>
      </c>
      <c r="D7394" s="85">
        <v>45694.0</v>
      </c>
      <c r="E7394" s="86">
        <v>24.35</v>
      </c>
      <c r="F7394" s="87">
        <v>29.25</v>
      </c>
      <c r="G7394" s="88">
        <f t="shared" si="1"/>
        <v>4.9</v>
      </c>
      <c r="H7394" s="89">
        <f t="shared" si="18"/>
        <v>0.1675213675</v>
      </c>
      <c r="I7394" s="78" t="s">
        <v>8399</v>
      </c>
      <c r="J7394" s="78" t="s">
        <v>69</v>
      </c>
      <c r="K7394" s="58">
        <f t="shared" si="17"/>
        <v>7</v>
      </c>
      <c r="L7394" s="91" t="str">
        <f t="shared" si="8"/>
        <v>Thu</v>
      </c>
      <c r="M7394" s="78" t="str">
        <f>IFERROR(VLOOKUP(A7394, Entries!A:B,2,false),"")</f>
        <v/>
      </c>
      <c r="N7394" s="23" t="str">
        <f>IFERROR(VLOOKUP(A7394, Entries!A:K,11,false),"")</f>
        <v/>
      </c>
    </row>
    <row r="7395">
      <c r="A7395" s="78" t="s">
        <v>1786</v>
      </c>
      <c r="B7395" s="78" t="s">
        <v>19</v>
      </c>
      <c r="C7395" s="85">
        <v>45687.0</v>
      </c>
      <c r="D7395" s="85">
        <v>45688.0</v>
      </c>
      <c r="E7395" s="86">
        <v>7.15</v>
      </c>
      <c r="F7395" s="87">
        <v>12.0</v>
      </c>
      <c r="G7395" s="88">
        <f t="shared" si="1"/>
        <v>4.85</v>
      </c>
      <c r="H7395" s="89">
        <f t="shared" si="18"/>
        <v>0.4041666667</v>
      </c>
      <c r="I7395" s="78" t="s">
        <v>8400</v>
      </c>
      <c r="J7395" s="78" t="s">
        <v>69</v>
      </c>
      <c r="K7395" s="58">
        <f t="shared" si="17"/>
        <v>1</v>
      </c>
      <c r="L7395" s="91" t="str">
        <f t="shared" si="8"/>
        <v>Fri</v>
      </c>
      <c r="M7395" s="78" t="str">
        <f>IFERROR(VLOOKUP(A7395, Entries!A:B,2,false),"")</f>
        <v>Bethesda Softworks</v>
      </c>
      <c r="N7395" s="23" t="str">
        <f>IFERROR(VLOOKUP(A7395, Entries!A:K,11,false),"")</f>
        <v/>
      </c>
    </row>
    <row r="7396">
      <c r="A7396" s="78" t="s">
        <v>2466</v>
      </c>
      <c r="B7396" s="78" t="s">
        <v>19</v>
      </c>
      <c r="C7396" s="85">
        <v>45687.0</v>
      </c>
      <c r="D7396" s="85">
        <v>45687.0</v>
      </c>
      <c r="E7396" s="86">
        <v>7.14</v>
      </c>
      <c r="F7396" s="87">
        <v>8.94</v>
      </c>
      <c r="G7396" s="88">
        <f t="shared" si="1"/>
        <v>1.8</v>
      </c>
      <c r="H7396" s="89">
        <f t="shared" si="18"/>
        <v>0.2013422819</v>
      </c>
      <c r="I7396" s="78" t="s">
        <v>8401</v>
      </c>
      <c r="J7396" s="78" t="s">
        <v>69</v>
      </c>
      <c r="K7396" s="58">
        <f t="shared" si="17"/>
        <v>0</v>
      </c>
      <c r="L7396" s="91" t="str">
        <f t="shared" si="8"/>
        <v>Thu</v>
      </c>
      <c r="M7396" s="78" t="str">
        <f>IFERROR(VLOOKUP(A7396, Entries!A:B,2,false),"")</f>
        <v>Bethesda Softworks</v>
      </c>
      <c r="N7396" s="23" t="str">
        <f>IFERROR(VLOOKUP(A7396, Entries!A:K,11,false),"")</f>
        <v/>
      </c>
    </row>
    <row r="7397">
      <c r="A7397" s="78" t="s">
        <v>1786</v>
      </c>
      <c r="B7397" s="78" t="s">
        <v>19</v>
      </c>
      <c r="C7397" s="85">
        <v>45687.0</v>
      </c>
      <c r="D7397" s="85">
        <v>45688.0</v>
      </c>
      <c r="E7397" s="86">
        <v>7.15</v>
      </c>
      <c r="F7397" s="87">
        <v>12.0</v>
      </c>
      <c r="G7397" s="88">
        <f t="shared" si="1"/>
        <v>4.85</v>
      </c>
      <c r="H7397" s="89">
        <f t="shared" si="18"/>
        <v>0.4041666667</v>
      </c>
      <c r="I7397" s="78" t="s">
        <v>8402</v>
      </c>
      <c r="J7397" s="78" t="s">
        <v>69</v>
      </c>
      <c r="K7397" s="58">
        <f t="shared" si="17"/>
        <v>1</v>
      </c>
      <c r="L7397" s="91" t="str">
        <f t="shared" si="8"/>
        <v>Fri</v>
      </c>
      <c r="M7397" s="78" t="str">
        <f>IFERROR(VLOOKUP(A7397, Entries!A:B,2,false),"")</f>
        <v>Bethesda Softworks</v>
      </c>
      <c r="N7397" s="23" t="str">
        <f>IFERROR(VLOOKUP(A7397, Entries!A:K,11,false),"")</f>
        <v/>
      </c>
    </row>
    <row r="7398">
      <c r="A7398" s="78" t="s">
        <v>2466</v>
      </c>
      <c r="B7398" s="78" t="s">
        <v>19</v>
      </c>
      <c r="C7398" s="85">
        <v>45687.0</v>
      </c>
      <c r="D7398" s="85">
        <v>45687.0</v>
      </c>
      <c r="E7398" s="86">
        <v>7.14</v>
      </c>
      <c r="F7398" s="87">
        <v>8.94</v>
      </c>
      <c r="G7398" s="88">
        <f t="shared" si="1"/>
        <v>1.8</v>
      </c>
      <c r="H7398" s="89">
        <f t="shared" si="18"/>
        <v>0.2013422819</v>
      </c>
      <c r="I7398" s="78" t="s">
        <v>8403</v>
      </c>
      <c r="J7398" s="78" t="s">
        <v>69</v>
      </c>
      <c r="K7398" s="58">
        <f t="shared" si="17"/>
        <v>0</v>
      </c>
      <c r="L7398" s="91" t="str">
        <f t="shared" si="8"/>
        <v>Thu</v>
      </c>
      <c r="M7398" s="78" t="str">
        <f>IFERROR(VLOOKUP(A7398, Entries!A:B,2,false),"")</f>
        <v>Bethesda Softworks</v>
      </c>
      <c r="N7398" s="23" t="str">
        <f>IFERROR(VLOOKUP(A7398, Entries!A:K,11,false),"")</f>
        <v/>
      </c>
    </row>
    <row r="7399">
      <c r="A7399" s="78" t="s">
        <v>7814</v>
      </c>
      <c r="B7399" s="78" t="s">
        <v>21</v>
      </c>
      <c r="C7399" s="85">
        <v>45687.0</v>
      </c>
      <c r="D7399" s="85">
        <v>45693.0</v>
      </c>
      <c r="E7399" s="86">
        <v>24.68</v>
      </c>
      <c r="F7399" s="87">
        <v>25.85</v>
      </c>
      <c r="G7399" s="88">
        <f t="shared" si="1"/>
        <v>1.17</v>
      </c>
      <c r="H7399" s="89">
        <f t="shared" si="18"/>
        <v>0.04526112186</v>
      </c>
      <c r="I7399" s="78" t="s">
        <v>8404</v>
      </c>
      <c r="J7399" s="78" t="s">
        <v>69</v>
      </c>
      <c r="K7399" s="58">
        <f t="shared" si="17"/>
        <v>6</v>
      </c>
      <c r="L7399" s="91" t="str">
        <f t="shared" si="8"/>
        <v>Wed</v>
      </c>
      <c r="M7399" s="78" t="str">
        <f>IFERROR(VLOOKUP(A7399, Entries!A:B,2,false),"")</f>
        <v>Electronic Arts</v>
      </c>
      <c r="N7399" s="23" t="str">
        <f>IFERROR(VLOOKUP(A7399, Entries!A:K,11,false),"")</f>
        <v/>
      </c>
    </row>
    <row r="7400">
      <c r="A7400" s="78" t="s">
        <v>7814</v>
      </c>
      <c r="B7400" s="78" t="s">
        <v>21</v>
      </c>
      <c r="C7400" s="85">
        <v>45687.0</v>
      </c>
      <c r="D7400" s="85">
        <v>45703.0</v>
      </c>
      <c r="E7400" s="86">
        <v>24.68</v>
      </c>
      <c r="F7400" s="87">
        <v>25.71</v>
      </c>
      <c r="G7400" s="88">
        <f t="shared" si="1"/>
        <v>1.03</v>
      </c>
      <c r="H7400" s="89">
        <f t="shared" si="18"/>
        <v>0.04006223259</v>
      </c>
      <c r="I7400" s="78" t="s">
        <v>8405</v>
      </c>
      <c r="J7400" s="78" t="s">
        <v>69</v>
      </c>
      <c r="K7400" s="58">
        <f t="shared" si="17"/>
        <v>16</v>
      </c>
      <c r="L7400" s="91" t="str">
        <f t="shared" si="8"/>
        <v>Sat</v>
      </c>
      <c r="M7400" s="78" t="str">
        <f>IFERROR(VLOOKUP(A7400, Entries!A:B,2,false),"")</f>
        <v>Electronic Arts</v>
      </c>
      <c r="N7400" s="23" t="str">
        <f>IFERROR(VLOOKUP(A7400, Entries!A:K,11,false),"")</f>
        <v/>
      </c>
    </row>
    <row r="7401">
      <c r="A7401" s="78" t="s">
        <v>7814</v>
      </c>
      <c r="B7401" s="78" t="s">
        <v>21</v>
      </c>
      <c r="C7401" s="85">
        <v>45687.0</v>
      </c>
      <c r="D7401" s="85">
        <v>45703.0</v>
      </c>
      <c r="E7401" s="86">
        <v>24.68</v>
      </c>
      <c r="F7401" s="87">
        <v>25.71</v>
      </c>
      <c r="G7401" s="88">
        <f t="shared" si="1"/>
        <v>1.03</v>
      </c>
      <c r="H7401" s="89">
        <f t="shared" si="18"/>
        <v>0.04006223259</v>
      </c>
      <c r="I7401" s="78" t="s">
        <v>8406</v>
      </c>
      <c r="J7401" s="78" t="s">
        <v>69</v>
      </c>
      <c r="K7401" s="58">
        <f t="shared" si="17"/>
        <v>16</v>
      </c>
      <c r="L7401" s="91" t="str">
        <f t="shared" si="8"/>
        <v>Sat</v>
      </c>
      <c r="M7401" s="78" t="str">
        <f>IFERROR(VLOOKUP(A7401, Entries!A:B,2,false),"")</f>
        <v>Electronic Arts</v>
      </c>
      <c r="N7401" s="23" t="str">
        <f>IFERROR(VLOOKUP(A7401, Entries!A:K,11,false),"")</f>
        <v/>
      </c>
    </row>
    <row r="7402">
      <c r="A7402" s="78" t="s">
        <v>7814</v>
      </c>
      <c r="B7402" s="78" t="s">
        <v>21</v>
      </c>
      <c r="C7402" s="85">
        <v>45687.0</v>
      </c>
      <c r="D7402" s="85">
        <v>45705.0</v>
      </c>
      <c r="E7402" s="86">
        <v>24.68</v>
      </c>
      <c r="F7402" s="87">
        <v>25.71</v>
      </c>
      <c r="G7402" s="88">
        <f t="shared" si="1"/>
        <v>1.03</v>
      </c>
      <c r="H7402" s="89">
        <f t="shared" si="18"/>
        <v>0.04006223259</v>
      </c>
      <c r="I7402" s="78" t="s">
        <v>8407</v>
      </c>
      <c r="J7402" s="78" t="s">
        <v>69</v>
      </c>
      <c r="K7402" s="58">
        <f t="shared" si="17"/>
        <v>18</v>
      </c>
      <c r="L7402" s="91" t="str">
        <f t="shared" si="8"/>
        <v>Mon</v>
      </c>
      <c r="M7402" s="78" t="str">
        <f>IFERROR(VLOOKUP(A7402, Entries!A:B,2,false),"")</f>
        <v>Electronic Arts</v>
      </c>
      <c r="N7402" s="23" t="str">
        <f>IFERROR(VLOOKUP(A7402, Entries!A:K,11,false),"")</f>
        <v/>
      </c>
    </row>
    <row r="7403">
      <c r="A7403" s="78" t="s">
        <v>8408</v>
      </c>
      <c r="B7403" s="78" t="s">
        <v>8385</v>
      </c>
      <c r="C7403" s="85">
        <v>45687.0</v>
      </c>
      <c r="D7403" s="85">
        <v>45719.0</v>
      </c>
      <c r="E7403" s="86">
        <v>16.33</v>
      </c>
      <c r="F7403" s="87">
        <v>16.008</v>
      </c>
      <c r="G7403" s="88">
        <f t="shared" si="1"/>
        <v>-0.322</v>
      </c>
      <c r="H7403" s="89">
        <f t="shared" si="18"/>
        <v>-0.02011494253</v>
      </c>
      <c r="I7403" s="94" t="s">
        <v>8409</v>
      </c>
      <c r="J7403" s="78" t="s">
        <v>69</v>
      </c>
      <c r="K7403" s="58">
        <f t="shared" si="17"/>
        <v>32</v>
      </c>
      <c r="L7403" s="91" t="str">
        <f t="shared" si="8"/>
        <v>Mon</v>
      </c>
      <c r="M7403" s="78" t="str">
        <f>IFERROR(VLOOKUP(A7403, Entries!A:B,2,false),"")</f>
        <v/>
      </c>
      <c r="N7403" s="23" t="str">
        <f>IFERROR(VLOOKUP(A7403, Entries!A:K,11,false),"")</f>
        <v/>
      </c>
    </row>
    <row r="7404">
      <c r="A7404" s="78" t="s">
        <v>8408</v>
      </c>
      <c r="B7404" s="78" t="s">
        <v>8385</v>
      </c>
      <c r="C7404" s="85">
        <v>45687.0</v>
      </c>
      <c r="D7404" s="85">
        <v>45893.0</v>
      </c>
      <c r="E7404" s="86">
        <v>16.34</v>
      </c>
      <c r="F7404" s="87">
        <v>16.12</v>
      </c>
      <c r="G7404" s="88">
        <f t="shared" si="1"/>
        <v>-0.22</v>
      </c>
      <c r="H7404" s="89">
        <f t="shared" si="18"/>
        <v>-0.01364764268</v>
      </c>
      <c r="I7404" s="103" t="s">
        <v>8410</v>
      </c>
      <c r="J7404" s="78" t="s">
        <v>69</v>
      </c>
      <c r="K7404" s="58">
        <f t="shared" si="17"/>
        <v>206</v>
      </c>
      <c r="L7404" s="91" t="str">
        <f t="shared" si="8"/>
        <v>Sun</v>
      </c>
      <c r="M7404" s="78" t="str">
        <f>IFERROR(VLOOKUP(A7404, Entries!A:B,2,false),"")</f>
        <v/>
      </c>
      <c r="N7404" s="23" t="str">
        <f>IFERROR(VLOOKUP(A7404, Entries!A:K,11,false),"")</f>
        <v/>
      </c>
    </row>
    <row r="7405">
      <c r="A7405" s="78" t="s">
        <v>1786</v>
      </c>
      <c r="B7405" s="78" t="s">
        <v>19</v>
      </c>
      <c r="C7405" s="85">
        <v>45688.0</v>
      </c>
      <c r="D7405" s="85">
        <v>45688.0</v>
      </c>
      <c r="E7405" s="86">
        <v>7.5</v>
      </c>
      <c r="F7405" s="87">
        <v>11.98</v>
      </c>
      <c r="G7405" s="88">
        <f t="shared" si="1"/>
        <v>4.48</v>
      </c>
      <c r="H7405" s="89">
        <f t="shared" si="18"/>
        <v>0.3739565943</v>
      </c>
      <c r="I7405" s="78" t="s">
        <v>8411</v>
      </c>
      <c r="J7405" s="78" t="s">
        <v>69</v>
      </c>
      <c r="K7405" s="58">
        <f t="shared" si="17"/>
        <v>0</v>
      </c>
      <c r="L7405" s="91" t="str">
        <f t="shared" si="8"/>
        <v>Fri</v>
      </c>
      <c r="M7405" s="78" t="str">
        <f>IFERROR(VLOOKUP(A7405, Entries!A:B,2,false),"")</f>
        <v>Bethesda Softworks</v>
      </c>
      <c r="N7405" s="23" t="str">
        <f>IFERROR(VLOOKUP(A7405, Entries!A:K,11,false),"")</f>
        <v/>
      </c>
    </row>
    <row r="7406">
      <c r="A7406" s="78" t="s">
        <v>2466</v>
      </c>
      <c r="B7406" s="78" t="s">
        <v>19</v>
      </c>
      <c r="C7406" s="85">
        <v>45688.0</v>
      </c>
      <c r="D7406" s="85">
        <v>45688.0</v>
      </c>
      <c r="E7406" s="86">
        <v>7.49</v>
      </c>
      <c r="F7406" s="87">
        <v>8.94</v>
      </c>
      <c r="G7406" s="88">
        <f t="shared" si="1"/>
        <v>1.45</v>
      </c>
      <c r="H7406" s="89">
        <f t="shared" si="18"/>
        <v>0.1621923937</v>
      </c>
      <c r="I7406" s="78" t="s">
        <v>8412</v>
      </c>
      <c r="J7406" s="78" t="s">
        <v>69</v>
      </c>
      <c r="K7406" s="58">
        <f t="shared" si="17"/>
        <v>0</v>
      </c>
      <c r="L7406" s="91" t="str">
        <f t="shared" si="8"/>
        <v>Fri</v>
      </c>
      <c r="M7406" s="78" t="str">
        <f>IFERROR(VLOOKUP(A7406, Entries!A:B,2,false),"")</f>
        <v>Bethesda Softworks</v>
      </c>
      <c r="N7406" s="23" t="str">
        <f>IFERROR(VLOOKUP(A7406, Entries!A:K,11,false),"")</f>
        <v/>
      </c>
    </row>
    <row r="7407">
      <c r="A7407" s="78" t="s">
        <v>1786</v>
      </c>
      <c r="B7407" s="78" t="s">
        <v>19</v>
      </c>
      <c r="C7407" s="85">
        <v>45688.0</v>
      </c>
      <c r="D7407" s="85">
        <v>45688.0</v>
      </c>
      <c r="E7407" s="86">
        <v>7.5</v>
      </c>
      <c r="F7407" s="87">
        <v>11.98</v>
      </c>
      <c r="G7407" s="88">
        <f t="shared" si="1"/>
        <v>4.48</v>
      </c>
      <c r="H7407" s="89">
        <f t="shared" si="18"/>
        <v>0.3739565943</v>
      </c>
      <c r="I7407" s="78" t="s">
        <v>8413</v>
      </c>
      <c r="J7407" s="78" t="s">
        <v>69</v>
      </c>
      <c r="K7407" s="58">
        <f t="shared" si="17"/>
        <v>0</v>
      </c>
      <c r="L7407" s="91" t="str">
        <f t="shared" si="8"/>
        <v>Fri</v>
      </c>
      <c r="M7407" s="78" t="str">
        <f>IFERROR(VLOOKUP(A7407, Entries!A:B,2,false),"")</f>
        <v>Bethesda Softworks</v>
      </c>
      <c r="N7407" s="23" t="str">
        <f>IFERROR(VLOOKUP(A7407, Entries!A:K,11,false),"")</f>
        <v/>
      </c>
    </row>
    <row r="7408">
      <c r="A7408" s="78" t="s">
        <v>2466</v>
      </c>
      <c r="B7408" s="78" t="s">
        <v>19</v>
      </c>
      <c r="C7408" s="85">
        <v>45688.0</v>
      </c>
      <c r="D7408" s="85">
        <v>45688.0</v>
      </c>
      <c r="E7408" s="86">
        <v>7.49</v>
      </c>
      <c r="F7408" s="87">
        <v>8.94</v>
      </c>
      <c r="G7408" s="88">
        <f t="shared" si="1"/>
        <v>1.45</v>
      </c>
      <c r="H7408" s="89">
        <f t="shared" si="18"/>
        <v>0.1621923937</v>
      </c>
      <c r="I7408" s="78" t="s">
        <v>8414</v>
      </c>
      <c r="J7408" s="78" t="s">
        <v>69</v>
      </c>
      <c r="K7408" s="58">
        <f t="shared" si="17"/>
        <v>0</v>
      </c>
      <c r="L7408" s="91" t="str">
        <f t="shared" si="8"/>
        <v>Fri</v>
      </c>
      <c r="M7408" s="78" t="str">
        <f>IFERROR(VLOOKUP(A7408, Entries!A:B,2,false),"")</f>
        <v>Bethesda Softworks</v>
      </c>
      <c r="N7408" s="23" t="str">
        <f>IFERROR(VLOOKUP(A7408, Entries!A:K,11,false),"")</f>
        <v/>
      </c>
    </row>
    <row r="7409">
      <c r="A7409" s="78" t="s">
        <v>8415</v>
      </c>
      <c r="B7409" s="78" t="s">
        <v>22</v>
      </c>
      <c r="C7409" s="85">
        <v>45689.0</v>
      </c>
      <c r="D7409" s="85">
        <v>45689.0</v>
      </c>
      <c r="E7409" s="86">
        <v>7.39</v>
      </c>
      <c r="F7409" s="87">
        <v>9.86</v>
      </c>
      <c r="G7409" s="88">
        <f t="shared" si="1"/>
        <v>2.47</v>
      </c>
      <c r="H7409" s="89">
        <f t="shared" si="18"/>
        <v>0.2505070994</v>
      </c>
      <c r="I7409" s="78" t="s">
        <v>8416</v>
      </c>
      <c r="J7409" s="78" t="s">
        <v>69</v>
      </c>
      <c r="K7409" s="58">
        <f t="shared" si="17"/>
        <v>0</v>
      </c>
      <c r="L7409" s="91" t="str">
        <f t="shared" si="8"/>
        <v>Sat</v>
      </c>
      <c r="M7409" s="78" t="str">
        <f>IFERROR(VLOOKUP(A7409, Entries!A:B,2,false),"")</f>
        <v/>
      </c>
      <c r="N7409" s="23" t="str">
        <f>IFERROR(VLOOKUP(A7409, Entries!A:K,11,false),"")</f>
        <v/>
      </c>
    </row>
    <row r="7410">
      <c r="A7410" s="78" t="s">
        <v>8415</v>
      </c>
      <c r="B7410" s="78" t="s">
        <v>22</v>
      </c>
      <c r="C7410" s="85">
        <v>45689.0</v>
      </c>
      <c r="D7410" s="85">
        <v>45696.0</v>
      </c>
      <c r="E7410" s="86">
        <v>7.39</v>
      </c>
      <c r="F7410" s="87">
        <v>9.04</v>
      </c>
      <c r="G7410" s="88">
        <f t="shared" si="1"/>
        <v>1.65</v>
      </c>
      <c r="H7410" s="89">
        <f t="shared" si="18"/>
        <v>0.1825221239</v>
      </c>
      <c r="I7410" s="78" t="s">
        <v>8417</v>
      </c>
      <c r="J7410" s="78" t="s">
        <v>69</v>
      </c>
      <c r="K7410" s="58">
        <f t="shared" si="17"/>
        <v>7</v>
      </c>
      <c r="L7410" s="91" t="str">
        <f t="shared" si="8"/>
        <v>Sat</v>
      </c>
      <c r="M7410" s="78" t="str">
        <f>IFERROR(VLOOKUP(A7410, Entries!A:B,2,false),"")</f>
        <v/>
      </c>
      <c r="N7410" s="23" t="str">
        <f>IFERROR(VLOOKUP(A7410, Entries!A:K,11,false),"")</f>
        <v/>
      </c>
    </row>
    <row r="7411">
      <c r="A7411" s="78" t="s">
        <v>8298</v>
      </c>
      <c r="B7411" s="78" t="s">
        <v>21</v>
      </c>
      <c r="C7411" s="85">
        <v>45690.0</v>
      </c>
      <c r="D7411" s="85">
        <v>45739.0</v>
      </c>
      <c r="E7411" s="86">
        <v>11.53</v>
      </c>
      <c r="F7411" s="87">
        <v>11.73</v>
      </c>
      <c r="G7411" s="88">
        <f t="shared" si="1"/>
        <v>0.2</v>
      </c>
      <c r="H7411" s="89">
        <f t="shared" si="18"/>
        <v>0.01705029838</v>
      </c>
      <c r="I7411" s="78" t="s">
        <v>8418</v>
      </c>
      <c r="J7411" s="78" t="s">
        <v>69</v>
      </c>
      <c r="K7411" s="58">
        <f t="shared" si="17"/>
        <v>49</v>
      </c>
      <c r="L7411" s="91" t="str">
        <f t="shared" si="8"/>
        <v>Sun</v>
      </c>
      <c r="M7411" s="78" t="str">
        <f>IFERROR(VLOOKUP(A7411, Entries!A:B,2,false),"")</f>
        <v/>
      </c>
      <c r="N7411" s="23" t="str">
        <f>IFERROR(VLOOKUP(A7411, Entries!A:K,11,false),"")</f>
        <v/>
      </c>
    </row>
    <row r="7412">
      <c r="A7412" s="78" t="s">
        <v>8056</v>
      </c>
      <c r="B7412" s="78" t="s">
        <v>25</v>
      </c>
      <c r="C7412" s="85">
        <v>45690.0</v>
      </c>
      <c r="D7412" s="85">
        <v>45702.0</v>
      </c>
      <c r="E7412" s="86">
        <v>23.59</v>
      </c>
      <c r="F7412" s="87">
        <v>32.21</v>
      </c>
      <c r="G7412" s="88">
        <f t="shared" si="1"/>
        <v>8.62</v>
      </c>
      <c r="H7412" s="89">
        <f t="shared" si="18"/>
        <v>0.2676187519</v>
      </c>
      <c r="I7412" s="78" t="s">
        <v>8419</v>
      </c>
      <c r="J7412" s="78" t="s">
        <v>69</v>
      </c>
      <c r="K7412" s="58">
        <f t="shared" si="17"/>
        <v>12</v>
      </c>
      <c r="L7412" s="91" t="str">
        <f t="shared" si="8"/>
        <v>Fri</v>
      </c>
      <c r="M7412" s="78" t="str">
        <f>IFERROR(VLOOKUP(A7412, Entries!A:B,2,false),"")</f>
        <v>Survios</v>
      </c>
      <c r="N7412" s="23" t="str">
        <f>IFERROR(VLOOKUP(A7412, Entries!A:K,11,false),"")</f>
        <v/>
      </c>
    </row>
    <row r="7413">
      <c r="A7413" s="78" t="s">
        <v>8011</v>
      </c>
      <c r="B7413" s="78" t="s">
        <v>22</v>
      </c>
      <c r="C7413" s="85">
        <v>45691.0</v>
      </c>
      <c r="D7413" s="85">
        <v>45695.0</v>
      </c>
      <c r="E7413" s="86">
        <v>12.82</v>
      </c>
      <c r="F7413" s="87">
        <v>14.45</v>
      </c>
      <c r="G7413" s="88">
        <f t="shared" si="1"/>
        <v>1.63</v>
      </c>
      <c r="H7413" s="89">
        <f t="shared" si="18"/>
        <v>0.1128027682</v>
      </c>
      <c r="I7413" s="78" t="s">
        <v>8420</v>
      </c>
      <c r="J7413" s="78" t="s">
        <v>69</v>
      </c>
      <c r="K7413" s="58">
        <f t="shared" si="17"/>
        <v>4</v>
      </c>
      <c r="L7413" s="91" t="str">
        <f t="shared" si="8"/>
        <v>Fri</v>
      </c>
      <c r="M7413" s="78" t="str">
        <f>IFERROR(VLOOKUP(A7413, Entries!A:B,2,false),"")</f>
        <v/>
      </c>
      <c r="N7413" s="23" t="str">
        <f>IFERROR(VLOOKUP(A7413, Entries!A:K,11,false),"")</f>
        <v/>
      </c>
    </row>
    <row r="7414">
      <c r="A7414" s="78" t="s">
        <v>8421</v>
      </c>
      <c r="B7414" s="78" t="s">
        <v>21</v>
      </c>
      <c r="C7414" s="85">
        <v>45691.0</v>
      </c>
      <c r="D7414" s="85">
        <v>45724.0</v>
      </c>
      <c r="E7414" s="86">
        <v>37.32</v>
      </c>
      <c r="F7414" s="87">
        <v>39.94</v>
      </c>
      <c r="G7414" s="88">
        <f t="shared" si="1"/>
        <v>2.62</v>
      </c>
      <c r="H7414" s="89">
        <f t="shared" si="18"/>
        <v>0.0655983976</v>
      </c>
      <c r="I7414" s="78" t="s">
        <v>8422</v>
      </c>
      <c r="J7414" s="78" t="s">
        <v>69</v>
      </c>
      <c r="K7414" s="58">
        <f t="shared" si="17"/>
        <v>33</v>
      </c>
      <c r="L7414" s="91" t="str">
        <f t="shared" si="8"/>
        <v>Sat</v>
      </c>
      <c r="M7414" s="78" t="str">
        <f>IFERROR(VLOOKUP(A7414, Entries!A:B,2,false),"")</f>
        <v/>
      </c>
      <c r="N7414" s="23" t="str">
        <f>IFERROR(VLOOKUP(A7414, Entries!A:K,11,false),"")</f>
        <v/>
      </c>
    </row>
    <row r="7415">
      <c r="A7415" s="78" t="s">
        <v>8423</v>
      </c>
      <c r="B7415" s="78" t="s">
        <v>22</v>
      </c>
      <c r="C7415" s="85">
        <v>45694.0</v>
      </c>
      <c r="D7415" s="85">
        <v>45790.0</v>
      </c>
      <c r="E7415" s="86">
        <v>9.81</v>
      </c>
      <c r="F7415" s="87">
        <v>15.3</v>
      </c>
      <c r="G7415" s="88">
        <f t="shared" si="1"/>
        <v>5.49</v>
      </c>
      <c r="H7415" s="89">
        <f t="shared" si="18"/>
        <v>0.3588235294</v>
      </c>
      <c r="I7415" s="103" t="s">
        <v>8424</v>
      </c>
      <c r="J7415" s="78" t="s">
        <v>69</v>
      </c>
      <c r="K7415" s="58">
        <f t="shared" si="17"/>
        <v>96</v>
      </c>
      <c r="L7415" s="91" t="str">
        <f t="shared" si="8"/>
        <v>Tue</v>
      </c>
      <c r="M7415" s="78" t="str">
        <f>IFERROR(VLOOKUP(A7415, Entries!A:B,2,false),"")</f>
        <v/>
      </c>
      <c r="N7415" s="23" t="str">
        <f>IFERROR(VLOOKUP(A7415, Entries!A:K,11,false),"")</f>
        <v/>
      </c>
      <c r="P7415" s="78" t="s">
        <v>8425</v>
      </c>
    </row>
    <row r="7416">
      <c r="A7416" s="78" t="s">
        <v>8426</v>
      </c>
      <c r="B7416" s="78" t="s">
        <v>21</v>
      </c>
      <c r="C7416" s="85">
        <v>45694.0</v>
      </c>
      <c r="D7416" s="85">
        <v>45695.0</v>
      </c>
      <c r="E7416" s="86">
        <v>31.42</v>
      </c>
      <c r="F7416" s="87">
        <v>34.28</v>
      </c>
      <c r="G7416" s="88">
        <f t="shared" si="1"/>
        <v>2.86</v>
      </c>
      <c r="H7416" s="89">
        <f t="shared" si="18"/>
        <v>0.08343057176</v>
      </c>
      <c r="I7416" s="78" t="s">
        <v>8427</v>
      </c>
      <c r="J7416" s="78" t="s">
        <v>69</v>
      </c>
      <c r="K7416" s="58">
        <f t="shared" si="17"/>
        <v>1</v>
      </c>
      <c r="L7416" s="91" t="str">
        <f t="shared" si="8"/>
        <v>Fri</v>
      </c>
      <c r="M7416" s="78" t="str">
        <f>IFERROR(VLOOKUP(A7416, Entries!A:B,2,false),"")</f>
        <v/>
      </c>
      <c r="N7416" s="23" t="str">
        <f>IFERROR(VLOOKUP(A7416, Entries!A:K,11,false),"")</f>
        <v/>
      </c>
    </row>
    <row r="7417">
      <c r="A7417" s="78" t="s">
        <v>8426</v>
      </c>
      <c r="B7417" s="78" t="s">
        <v>21</v>
      </c>
      <c r="C7417" s="85">
        <v>45694.0</v>
      </c>
      <c r="D7417" s="85">
        <v>45699.0</v>
      </c>
      <c r="E7417" s="86">
        <v>31.43</v>
      </c>
      <c r="F7417" s="87">
        <v>34.05</v>
      </c>
      <c r="G7417" s="88">
        <f t="shared" si="1"/>
        <v>2.62</v>
      </c>
      <c r="H7417" s="89">
        <f t="shared" si="18"/>
        <v>0.07694566814</v>
      </c>
      <c r="I7417" s="78" t="s">
        <v>8428</v>
      </c>
      <c r="J7417" s="78" t="s">
        <v>69</v>
      </c>
      <c r="K7417" s="58">
        <f t="shared" si="17"/>
        <v>5</v>
      </c>
      <c r="L7417" s="91" t="str">
        <f t="shared" si="8"/>
        <v>Tue</v>
      </c>
      <c r="M7417" s="78" t="str">
        <f>IFERROR(VLOOKUP(A7417, Entries!A:B,2,false),"")</f>
        <v/>
      </c>
      <c r="N7417" s="23" t="str">
        <f>IFERROR(VLOOKUP(A7417, Entries!A:K,11,false),"")</f>
        <v/>
      </c>
    </row>
    <row r="7418">
      <c r="A7418" s="78" t="s">
        <v>8429</v>
      </c>
      <c r="B7418" s="78" t="s">
        <v>25</v>
      </c>
      <c r="C7418" s="85">
        <v>45694.0</v>
      </c>
      <c r="D7418" s="85">
        <v>45695.0</v>
      </c>
      <c r="E7418" s="86">
        <v>7.88</v>
      </c>
      <c r="F7418" s="87">
        <v>9.82</v>
      </c>
      <c r="G7418" s="88">
        <f t="shared" si="1"/>
        <v>1.94</v>
      </c>
      <c r="H7418" s="89">
        <f t="shared" si="18"/>
        <v>0.1975560081</v>
      </c>
      <c r="I7418" s="78" t="s">
        <v>8430</v>
      </c>
      <c r="J7418" s="78" t="s">
        <v>69</v>
      </c>
      <c r="K7418" s="58">
        <f t="shared" si="17"/>
        <v>1</v>
      </c>
      <c r="L7418" s="91" t="str">
        <f t="shared" si="8"/>
        <v>Fri</v>
      </c>
      <c r="M7418" s="78" t="str">
        <f>IFERROR(VLOOKUP(A7418, Entries!A:B,2,false),"")</f>
        <v/>
      </c>
      <c r="N7418" s="23" t="str">
        <f>IFERROR(VLOOKUP(A7418, Entries!A:K,11,false),"")</f>
        <v/>
      </c>
    </row>
    <row r="7419">
      <c r="A7419" s="78" t="s">
        <v>8429</v>
      </c>
      <c r="B7419" s="78" t="s">
        <v>25</v>
      </c>
      <c r="C7419" s="85">
        <v>45694.0</v>
      </c>
      <c r="D7419" s="85">
        <v>45695.0</v>
      </c>
      <c r="E7419" s="86">
        <v>7.88</v>
      </c>
      <c r="F7419" s="87">
        <v>9.82</v>
      </c>
      <c r="G7419" s="88">
        <f t="shared" si="1"/>
        <v>1.94</v>
      </c>
      <c r="H7419" s="89">
        <f t="shared" si="18"/>
        <v>0.1975560081</v>
      </c>
      <c r="I7419" s="78" t="s">
        <v>8431</v>
      </c>
      <c r="J7419" s="78" t="s">
        <v>69</v>
      </c>
      <c r="K7419" s="58">
        <f t="shared" si="17"/>
        <v>1</v>
      </c>
      <c r="L7419" s="91" t="str">
        <f t="shared" si="8"/>
        <v>Fri</v>
      </c>
      <c r="M7419" s="78" t="str">
        <f>IFERROR(VLOOKUP(A7419, Entries!A:B,2,false),"")</f>
        <v/>
      </c>
      <c r="N7419" s="23" t="str">
        <f>IFERROR(VLOOKUP(A7419, Entries!A:K,11,false),"")</f>
        <v/>
      </c>
    </row>
    <row r="7420">
      <c r="A7420" s="78" t="s">
        <v>8432</v>
      </c>
      <c r="B7420" s="78" t="s">
        <v>21</v>
      </c>
      <c r="C7420" s="85">
        <v>45695.0</v>
      </c>
      <c r="D7420" s="85">
        <v>45718.0</v>
      </c>
      <c r="E7420" s="86">
        <v>24.13</v>
      </c>
      <c r="F7420" s="87">
        <v>25.37</v>
      </c>
      <c r="G7420" s="88">
        <f t="shared" si="1"/>
        <v>1.24</v>
      </c>
      <c r="H7420" s="89">
        <f t="shared" si="18"/>
        <v>0.04887662594</v>
      </c>
      <c r="I7420" s="78" t="s">
        <v>8433</v>
      </c>
      <c r="J7420" s="78" t="s">
        <v>69</v>
      </c>
      <c r="K7420" s="58">
        <f t="shared" si="17"/>
        <v>23</v>
      </c>
      <c r="L7420" s="91" t="str">
        <f t="shared" si="8"/>
        <v>Sun</v>
      </c>
      <c r="M7420" s="78" t="str">
        <f>IFERROR(VLOOKUP(A7420, Entries!A:B,2,false),"")</f>
        <v>PlayStation</v>
      </c>
      <c r="N7420" s="23" t="str">
        <f>IFERROR(VLOOKUP(A7420, Entries!A:K,11,false),"")</f>
        <v/>
      </c>
    </row>
    <row r="7421">
      <c r="A7421" s="78" t="s">
        <v>8432</v>
      </c>
      <c r="B7421" s="78" t="s">
        <v>21</v>
      </c>
      <c r="C7421" s="85">
        <v>45695.0</v>
      </c>
      <c r="D7421" s="85">
        <v>45719.0</v>
      </c>
      <c r="E7421" s="86">
        <v>24.14</v>
      </c>
      <c r="F7421" s="87">
        <v>25.37</v>
      </c>
      <c r="G7421" s="88">
        <f t="shared" si="1"/>
        <v>1.23</v>
      </c>
      <c r="H7421" s="89">
        <f t="shared" si="18"/>
        <v>0.0484824596</v>
      </c>
      <c r="I7421" s="78" t="s">
        <v>8434</v>
      </c>
      <c r="J7421" s="78" t="s">
        <v>69</v>
      </c>
      <c r="K7421" s="58">
        <f t="shared" si="17"/>
        <v>24</v>
      </c>
      <c r="L7421" s="91" t="str">
        <f t="shared" si="8"/>
        <v>Mon</v>
      </c>
      <c r="M7421" s="78" t="str">
        <f>IFERROR(VLOOKUP(A7421, Entries!A:B,2,false),"")</f>
        <v>PlayStation</v>
      </c>
      <c r="N7421" s="23" t="str">
        <f>IFERROR(VLOOKUP(A7421, Entries!A:K,11,false),"")</f>
        <v/>
      </c>
    </row>
    <row r="7422">
      <c r="A7422" s="78" t="s">
        <v>8265</v>
      </c>
      <c r="B7422" s="78" t="s">
        <v>25</v>
      </c>
      <c r="C7422" s="85">
        <v>45695.0</v>
      </c>
      <c r="D7422" s="85">
        <v>45695.0</v>
      </c>
      <c r="E7422" s="86">
        <v>32.6</v>
      </c>
      <c r="F7422" s="87">
        <v>36.78</v>
      </c>
      <c r="G7422" s="88">
        <f t="shared" si="1"/>
        <v>4.18</v>
      </c>
      <c r="H7422" s="89">
        <f t="shared" si="18"/>
        <v>0.1136487221</v>
      </c>
      <c r="I7422" s="78" t="s">
        <v>8435</v>
      </c>
      <c r="J7422" s="78" t="s">
        <v>69</v>
      </c>
      <c r="K7422" s="58">
        <f t="shared" si="17"/>
        <v>0</v>
      </c>
      <c r="L7422" s="91" t="str">
        <f t="shared" si="8"/>
        <v>Fri</v>
      </c>
      <c r="M7422" s="78" t="str">
        <f>IFERROR(VLOOKUP(A7422, Entries!A:B,2,false),"")</f>
        <v>BANDAI NAMCO</v>
      </c>
      <c r="N7422" s="23" t="str">
        <f>IFERROR(VLOOKUP(A7422, Entries!A:K,11,false),"")</f>
        <v/>
      </c>
    </row>
    <row r="7423">
      <c r="A7423" s="78" t="s">
        <v>8265</v>
      </c>
      <c r="B7423" s="78" t="s">
        <v>25</v>
      </c>
      <c r="C7423" s="85">
        <v>45695.0</v>
      </c>
      <c r="D7423" s="85">
        <v>45712.0</v>
      </c>
      <c r="E7423" s="86">
        <v>32.6</v>
      </c>
      <c r="F7423" s="87">
        <v>35.98</v>
      </c>
      <c r="G7423" s="88">
        <f t="shared" si="1"/>
        <v>3.38</v>
      </c>
      <c r="H7423" s="89">
        <f t="shared" si="18"/>
        <v>0.09394107838</v>
      </c>
      <c r="I7423" s="78" t="s">
        <v>8436</v>
      </c>
      <c r="J7423" s="78" t="s">
        <v>69</v>
      </c>
      <c r="K7423" s="58">
        <f t="shared" si="17"/>
        <v>17</v>
      </c>
      <c r="L7423" s="91" t="str">
        <f t="shared" si="8"/>
        <v>Mon</v>
      </c>
      <c r="M7423" s="78" t="str">
        <f>IFERROR(VLOOKUP(A7423, Entries!A:B,2,false),"")</f>
        <v>BANDAI NAMCO</v>
      </c>
      <c r="N7423" s="23" t="str">
        <f>IFERROR(VLOOKUP(A7423, Entries!A:K,11,false),"")</f>
        <v/>
      </c>
    </row>
    <row r="7424">
      <c r="A7424" s="78" t="s">
        <v>7384</v>
      </c>
      <c r="B7424" s="78" t="s">
        <v>17</v>
      </c>
      <c r="C7424" s="85">
        <v>45695.0</v>
      </c>
      <c r="D7424" s="85">
        <v>45696.0</v>
      </c>
      <c r="E7424" s="86">
        <v>2.17</v>
      </c>
      <c r="F7424" s="87">
        <v>6.5</v>
      </c>
      <c r="G7424" s="88">
        <f t="shared" si="1"/>
        <v>4.33</v>
      </c>
      <c r="H7424" s="89">
        <f t="shared" si="18"/>
        <v>0.6661538462</v>
      </c>
      <c r="I7424" s="78" t="s">
        <v>8437</v>
      </c>
      <c r="J7424" s="78" t="s">
        <v>69</v>
      </c>
      <c r="K7424" s="58">
        <f t="shared" si="17"/>
        <v>1</v>
      </c>
      <c r="L7424" s="91" t="str">
        <f t="shared" si="8"/>
        <v>Sat</v>
      </c>
      <c r="M7424" s="78" t="str">
        <f>IFERROR(VLOOKUP(A7424, Entries!A:B,2,false),"")</f>
        <v>tinyBuild</v>
      </c>
      <c r="N7424" s="23" t="str">
        <f>IFERROR(VLOOKUP(A7424, Entries!A:K,11,false),"")</f>
        <v/>
      </c>
      <c r="P7424" s="78" t="s">
        <v>7796</v>
      </c>
      <c r="Q7424" s="78" t="s">
        <v>8425</v>
      </c>
    </row>
    <row r="7425">
      <c r="A7425" s="78" t="s">
        <v>7384</v>
      </c>
      <c r="B7425" s="78" t="s">
        <v>17</v>
      </c>
      <c r="C7425" s="85">
        <v>45695.0</v>
      </c>
      <c r="D7425" s="85">
        <v>45697.0</v>
      </c>
      <c r="E7425" s="86">
        <v>2.17</v>
      </c>
      <c r="F7425" s="87">
        <v>6.24</v>
      </c>
      <c r="G7425" s="88">
        <f t="shared" si="1"/>
        <v>4.07</v>
      </c>
      <c r="H7425" s="89">
        <f t="shared" si="18"/>
        <v>0.6522435897</v>
      </c>
      <c r="I7425" s="78" t="s">
        <v>8438</v>
      </c>
      <c r="J7425" s="78" t="s">
        <v>69</v>
      </c>
      <c r="K7425" s="58">
        <f t="shared" si="17"/>
        <v>2</v>
      </c>
      <c r="L7425" s="91" t="str">
        <f t="shared" si="8"/>
        <v>Sun</v>
      </c>
      <c r="M7425" s="78" t="str">
        <f>IFERROR(VLOOKUP(A7425, Entries!A:B,2,false),"")</f>
        <v>tinyBuild</v>
      </c>
      <c r="N7425" s="23" t="str">
        <f>IFERROR(VLOOKUP(A7425, Entries!A:K,11,false),"")</f>
        <v/>
      </c>
      <c r="P7425" s="78" t="s">
        <v>7796</v>
      </c>
      <c r="Q7425" s="78" t="s">
        <v>8425</v>
      </c>
    </row>
    <row r="7426">
      <c r="A7426" s="78" t="s">
        <v>7384</v>
      </c>
      <c r="B7426" s="78" t="s">
        <v>17</v>
      </c>
      <c r="C7426" s="85">
        <v>45695.0</v>
      </c>
      <c r="D7426" s="85">
        <v>45698.0</v>
      </c>
      <c r="E7426" s="86">
        <v>2.17</v>
      </c>
      <c r="F7426" s="87">
        <v>6.11</v>
      </c>
      <c r="G7426" s="88">
        <f t="shared" si="1"/>
        <v>3.94</v>
      </c>
      <c r="H7426" s="89">
        <f t="shared" si="18"/>
        <v>0.6448445172</v>
      </c>
      <c r="I7426" s="78" t="s">
        <v>8439</v>
      </c>
      <c r="J7426" s="78" t="s">
        <v>69</v>
      </c>
      <c r="K7426" s="58">
        <f t="shared" si="17"/>
        <v>3</v>
      </c>
      <c r="L7426" s="91" t="str">
        <f t="shared" si="8"/>
        <v>Mon</v>
      </c>
      <c r="M7426" s="78" t="str">
        <f>IFERROR(VLOOKUP(A7426, Entries!A:B,2,false),"")</f>
        <v>tinyBuild</v>
      </c>
      <c r="N7426" s="23" t="str">
        <f>IFERROR(VLOOKUP(A7426, Entries!A:K,11,false),"")</f>
        <v/>
      </c>
      <c r="P7426" s="78" t="s">
        <v>7796</v>
      </c>
      <c r="Q7426" s="78" t="s">
        <v>8425</v>
      </c>
    </row>
    <row r="7427">
      <c r="A7427" s="78" t="s">
        <v>7384</v>
      </c>
      <c r="B7427" s="78" t="s">
        <v>17</v>
      </c>
      <c r="C7427" s="85">
        <v>45695.0</v>
      </c>
      <c r="D7427" s="85">
        <v>45698.0</v>
      </c>
      <c r="E7427" s="86">
        <v>2.17</v>
      </c>
      <c r="F7427" s="87">
        <v>6.08</v>
      </c>
      <c r="G7427" s="88">
        <f t="shared" si="1"/>
        <v>3.91</v>
      </c>
      <c r="H7427" s="89">
        <f t="shared" si="18"/>
        <v>0.6430921053</v>
      </c>
      <c r="I7427" s="78" t="s">
        <v>8440</v>
      </c>
      <c r="J7427" s="78" t="s">
        <v>69</v>
      </c>
      <c r="K7427" s="58">
        <f t="shared" si="17"/>
        <v>3</v>
      </c>
      <c r="L7427" s="91" t="str">
        <f t="shared" si="8"/>
        <v>Mon</v>
      </c>
      <c r="M7427" s="78" t="str">
        <f>IFERROR(VLOOKUP(A7427, Entries!A:B,2,false),"")</f>
        <v>tinyBuild</v>
      </c>
      <c r="N7427" s="23" t="str">
        <f>IFERROR(VLOOKUP(A7427, Entries!A:K,11,false),"")</f>
        <v/>
      </c>
      <c r="P7427" s="78" t="s">
        <v>7796</v>
      </c>
      <c r="Q7427" s="78" t="s">
        <v>8425</v>
      </c>
    </row>
    <row r="7428">
      <c r="A7428" s="78" t="s">
        <v>7384</v>
      </c>
      <c r="B7428" s="78" t="s">
        <v>17</v>
      </c>
      <c r="C7428" s="85">
        <v>45695.0</v>
      </c>
      <c r="D7428" s="85">
        <v>45698.0</v>
      </c>
      <c r="E7428" s="86">
        <v>2.17</v>
      </c>
      <c r="F7428" s="87">
        <v>6.05</v>
      </c>
      <c r="G7428" s="88">
        <f t="shared" si="1"/>
        <v>3.88</v>
      </c>
      <c r="H7428" s="89">
        <f t="shared" si="18"/>
        <v>0.641322314</v>
      </c>
      <c r="I7428" s="78" t="s">
        <v>8441</v>
      </c>
      <c r="J7428" s="78" t="s">
        <v>69</v>
      </c>
      <c r="K7428" s="58">
        <f t="shared" si="17"/>
        <v>3</v>
      </c>
      <c r="L7428" s="91" t="str">
        <f t="shared" si="8"/>
        <v>Mon</v>
      </c>
      <c r="M7428" s="78" t="str">
        <f>IFERROR(VLOOKUP(A7428, Entries!A:B,2,false),"")</f>
        <v>tinyBuild</v>
      </c>
      <c r="N7428" s="23" t="str">
        <f>IFERROR(VLOOKUP(A7428, Entries!A:K,11,false),"")</f>
        <v/>
      </c>
      <c r="P7428" s="78" t="s">
        <v>7796</v>
      </c>
      <c r="Q7428" s="78" t="s">
        <v>8425</v>
      </c>
    </row>
    <row r="7429">
      <c r="A7429" s="78" t="s">
        <v>8011</v>
      </c>
      <c r="B7429" s="78" t="s">
        <v>22</v>
      </c>
      <c r="C7429" s="85">
        <v>45695.0</v>
      </c>
      <c r="D7429" s="85">
        <v>45697.0</v>
      </c>
      <c r="E7429" s="86">
        <v>12.82</v>
      </c>
      <c r="F7429" s="87">
        <v>14.45</v>
      </c>
      <c r="G7429" s="88">
        <f t="shared" si="1"/>
        <v>1.63</v>
      </c>
      <c r="H7429" s="89">
        <f t="shared" si="18"/>
        <v>0.1128027682</v>
      </c>
      <c r="I7429" s="78" t="s">
        <v>8442</v>
      </c>
      <c r="J7429" s="78" t="s">
        <v>69</v>
      </c>
      <c r="K7429" s="58">
        <f t="shared" si="17"/>
        <v>2</v>
      </c>
      <c r="L7429" s="91" t="str">
        <f t="shared" si="8"/>
        <v>Sun</v>
      </c>
      <c r="M7429" s="78" t="str">
        <f>IFERROR(VLOOKUP(A7429, Entries!A:B,2,false),"")</f>
        <v/>
      </c>
      <c r="N7429" s="23" t="str">
        <f>IFERROR(VLOOKUP(A7429, Entries!A:K,11,false),"")</f>
        <v/>
      </c>
    </row>
    <row r="7430">
      <c r="A7430" s="78" t="s">
        <v>8415</v>
      </c>
      <c r="B7430" s="78" t="s">
        <v>22</v>
      </c>
      <c r="C7430" s="85">
        <v>45696.0</v>
      </c>
      <c r="D7430" s="85">
        <v>45696.0</v>
      </c>
      <c r="E7430" s="86">
        <v>7.42</v>
      </c>
      <c r="F7430" s="87">
        <v>9.04</v>
      </c>
      <c r="G7430" s="88">
        <f t="shared" si="1"/>
        <v>1.62</v>
      </c>
      <c r="H7430" s="89">
        <f t="shared" si="18"/>
        <v>0.1792035398</v>
      </c>
      <c r="I7430" s="78" t="s">
        <v>8443</v>
      </c>
      <c r="J7430" s="78" t="s">
        <v>69</v>
      </c>
      <c r="K7430" s="58">
        <f t="shared" si="17"/>
        <v>0</v>
      </c>
      <c r="L7430" s="91" t="str">
        <f t="shared" si="8"/>
        <v>Sat</v>
      </c>
      <c r="M7430" s="78" t="str">
        <f>IFERROR(VLOOKUP(A7430, Entries!A:B,2,false),"")</f>
        <v/>
      </c>
      <c r="N7430" s="23" t="str">
        <f>IFERROR(VLOOKUP(A7430, Entries!A:K,11,false),"")</f>
        <v/>
      </c>
    </row>
    <row r="7431">
      <c r="A7431" s="78" t="s">
        <v>8444</v>
      </c>
      <c r="B7431" s="78" t="s">
        <v>21</v>
      </c>
      <c r="C7431" s="85">
        <v>45696.0</v>
      </c>
      <c r="D7431" s="85">
        <v>45697.0</v>
      </c>
      <c r="E7431" s="86">
        <v>12.16</v>
      </c>
      <c r="F7431" s="87">
        <v>14.02</v>
      </c>
      <c r="G7431" s="88">
        <f t="shared" si="1"/>
        <v>1.86</v>
      </c>
      <c r="H7431" s="89">
        <f t="shared" si="18"/>
        <v>0.1326676177</v>
      </c>
      <c r="I7431" s="78" t="s">
        <v>8445</v>
      </c>
      <c r="J7431" s="78" t="s">
        <v>69</v>
      </c>
      <c r="K7431" s="58">
        <f t="shared" si="17"/>
        <v>1</v>
      </c>
      <c r="L7431" s="91" t="str">
        <f t="shared" si="8"/>
        <v>Sun</v>
      </c>
      <c r="M7431" s="78" t="str">
        <f>IFERROR(VLOOKUP(A7431, Entries!A:B,2,false),"")</f>
        <v/>
      </c>
      <c r="N7431" s="23" t="str">
        <f>IFERROR(VLOOKUP(A7431, Entries!A:K,11,false),"")</f>
        <v/>
      </c>
    </row>
    <row r="7432">
      <c r="A7432" s="78" t="s">
        <v>8444</v>
      </c>
      <c r="B7432" s="78" t="s">
        <v>21</v>
      </c>
      <c r="C7432" s="85">
        <v>45696.0</v>
      </c>
      <c r="D7432" s="85">
        <v>45697.0</v>
      </c>
      <c r="E7432" s="86">
        <v>12.16</v>
      </c>
      <c r="F7432" s="87">
        <v>13.9</v>
      </c>
      <c r="G7432" s="88">
        <f t="shared" si="1"/>
        <v>1.74</v>
      </c>
      <c r="H7432" s="89">
        <f t="shared" si="18"/>
        <v>0.1251798561</v>
      </c>
      <c r="I7432" s="78" t="s">
        <v>8446</v>
      </c>
      <c r="J7432" s="78" t="s">
        <v>69</v>
      </c>
      <c r="K7432" s="58">
        <f t="shared" si="17"/>
        <v>1</v>
      </c>
      <c r="L7432" s="91" t="str">
        <f t="shared" si="8"/>
        <v>Sun</v>
      </c>
      <c r="M7432" s="78" t="str">
        <f>IFERROR(VLOOKUP(A7432, Entries!A:B,2,false),"")</f>
        <v/>
      </c>
      <c r="N7432" s="23" t="str">
        <f>IFERROR(VLOOKUP(A7432, Entries!A:K,11,false),"")</f>
        <v/>
      </c>
    </row>
    <row r="7433">
      <c r="A7433" s="78" t="s">
        <v>8444</v>
      </c>
      <c r="B7433" s="78" t="s">
        <v>21</v>
      </c>
      <c r="C7433" s="85">
        <v>45696.0</v>
      </c>
      <c r="D7433" s="85">
        <v>45698.0</v>
      </c>
      <c r="E7433" s="86">
        <v>12.16</v>
      </c>
      <c r="F7433" s="87">
        <v>15.07</v>
      </c>
      <c r="G7433" s="88">
        <f t="shared" si="1"/>
        <v>2.91</v>
      </c>
      <c r="H7433" s="89">
        <f t="shared" si="18"/>
        <v>0.1930988719</v>
      </c>
      <c r="I7433" s="78" t="s">
        <v>8447</v>
      </c>
      <c r="J7433" s="78" t="s">
        <v>69</v>
      </c>
      <c r="K7433" s="58">
        <f t="shared" si="17"/>
        <v>2</v>
      </c>
      <c r="L7433" s="91" t="str">
        <f t="shared" si="8"/>
        <v>Mon</v>
      </c>
      <c r="M7433" s="78" t="str">
        <f>IFERROR(VLOOKUP(A7433, Entries!A:B,2,false),"")</f>
        <v/>
      </c>
      <c r="N7433" s="23" t="str">
        <f>IFERROR(VLOOKUP(A7433, Entries!A:K,11,false),"")</f>
        <v/>
      </c>
    </row>
    <row r="7434">
      <c r="A7434" s="78" t="s">
        <v>8444</v>
      </c>
      <c r="B7434" s="78" t="s">
        <v>21</v>
      </c>
      <c r="C7434" s="85">
        <v>45696.0</v>
      </c>
      <c r="D7434" s="85">
        <v>45698.0</v>
      </c>
      <c r="E7434" s="86">
        <v>12.16</v>
      </c>
      <c r="F7434" s="87">
        <v>15.07</v>
      </c>
      <c r="G7434" s="88">
        <f t="shared" si="1"/>
        <v>2.91</v>
      </c>
      <c r="H7434" s="89">
        <f t="shared" si="18"/>
        <v>0.1930988719</v>
      </c>
      <c r="I7434" s="78" t="s">
        <v>8448</v>
      </c>
      <c r="J7434" s="78" t="s">
        <v>69</v>
      </c>
      <c r="K7434" s="58">
        <f t="shared" si="17"/>
        <v>2</v>
      </c>
      <c r="L7434" s="91" t="str">
        <f t="shared" si="8"/>
        <v>Mon</v>
      </c>
      <c r="M7434" s="78" t="str">
        <f>IFERROR(VLOOKUP(A7434, Entries!A:B,2,false),"")</f>
        <v/>
      </c>
      <c r="N7434" s="23" t="str">
        <f>IFERROR(VLOOKUP(A7434, Entries!A:K,11,false),"")</f>
        <v/>
      </c>
    </row>
    <row r="7435">
      <c r="A7435" s="78" t="s">
        <v>8444</v>
      </c>
      <c r="B7435" s="78" t="s">
        <v>21</v>
      </c>
      <c r="C7435" s="85">
        <v>45696.0</v>
      </c>
      <c r="D7435" s="85">
        <v>45700.0</v>
      </c>
      <c r="E7435" s="86">
        <v>12.17</v>
      </c>
      <c r="F7435" s="87">
        <v>15.15</v>
      </c>
      <c r="G7435" s="88">
        <f t="shared" si="1"/>
        <v>2.98</v>
      </c>
      <c r="H7435" s="89">
        <f t="shared" si="18"/>
        <v>0.19669967</v>
      </c>
      <c r="I7435" s="78" t="s">
        <v>8449</v>
      </c>
      <c r="J7435" s="78" t="s">
        <v>69</v>
      </c>
      <c r="K7435" s="58">
        <f t="shared" si="17"/>
        <v>4</v>
      </c>
      <c r="L7435" s="91" t="str">
        <f t="shared" si="8"/>
        <v>Wed</v>
      </c>
      <c r="M7435" s="78" t="str">
        <f>IFERROR(VLOOKUP(A7435, Entries!A:B,2,false),"")</f>
        <v/>
      </c>
      <c r="N7435" s="23" t="str">
        <f>IFERROR(VLOOKUP(A7435, Entries!A:K,11,false),"")</f>
        <v/>
      </c>
    </row>
    <row r="7436">
      <c r="A7436" s="78" t="s">
        <v>8415</v>
      </c>
      <c r="B7436" s="78" t="s">
        <v>22</v>
      </c>
      <c r="C7436" s="85">
        <v>45696.0</v>
      </c>
      <c r="D7436" s="85">
        <v>45698.0</v>
      </c>
      <c r="E7436" s="86">
        <v>7.42</v>
      </c>
      <c r="F7436" s="87">
        <v>9.04</v>
      </c>
      <c r="G7436" s="88">
        <f t="shared" si="1"/>
        <v>1.62</v>
      </c>
      <c r="H7436" s="89">
        <f t="shared" si="18"/>
        <v>0.1792035398</v>
      </c>
      <c r="I7436" s="78" t="s">
        <v>8450</v>
      </c>
      <c r="J7436" s="78" t="s">
        <v>69</v>
      </c>
      <c r="K7436" s="58">
        <f t="shared" si="17"/>
        <v>2</v>
      </c>
      <c r="L7436" s="91" t="str">
        <f t="shared" si="8"/>
        <v>Mon</v>
      </c>
      <c r="M7436" s="78" t="str">
        <f>IFERROR(VLOOKUP(A7436, Entries!A:B,2,false),"")</f>
        <v/>
      </c>
      <c r="N7436" s="23" t="str">
        <f>IFERROR(VLOOKUP(A7436, Entries!A:K,11,false),"")</f>
        <v/>
      </c>
    </row>
    <row r="7437">
      <c r="A7437" s="78" t="s">
        <v>8011</v>
      </c>
      <c r="B7437" s="78" t="s">
        <v>22</v>
      </c>
      <c r="C7437" s="85">
        <v>45697.0</v>
      </c>
      <c r="D7437" s="85">
        <v>45699.0</v>
      </c>
      <c r="E7437" s="86">
        <v>12.88</v>
      </c>
      <c r="F7437" s="87">
        <v>14.45</v>
      </c>
      <c r="G7437" s="88">
        <f t="shared" si="1"/>
        <v>1.57</v>
      </c>
      <c r="H7437" s="89">
        <f t="shared" si="18"/>
        <v>0.108650519</v>
      </c>
      <c r="I7437" s="78" t="s">
        <v>8451</v>
      </c>
      <c r="J7437" s="78" t="s">
        <v>69</v>
      </c>
      <c r="K7437" s="58">
        <f t="shared" si="17"/>
        <v>2</v>
      </c>
      <c r="L7437" s="91" t="str">
        <f t="shared" si="8"/>
        <v>Tue</v>
      </c>
      <c r="M7437" s="78" t="str">
        <f>IFERROR(VLOOKUP(A7437, Entries!A:B,2,false),"")</f>
        <v/>
      </c>
      <c r="N7437" s="23" t="str">
        <f>IFERROR(VLOOKUP(A7437, Entries!A:K,11,false),"")</f>
        <v/>
      </c>
    </row>
    <row r="7438">
      <c r="A7438" s="78" t="s">
        <v>7370</v>
      </c>
      <c r="B7438" s="78" t="s">
        <v>21</v>
      </c>
      <c r="C7438" s="85">
        <v>45698.0</v>
      </c>
      <c r="D7438" s="85">
        <v>45699.0</v>
      </c>
      <c r="E7438" s="86">
        <v>21.91</v>
      </c>
      <c r="F7438" s="87">
        <v>27.4</v>
      </c>
      <c r="G7438" s="88">
        <f t="shared" si="1"/>
        <v>5.49</v>
      </c>
      <c r="H7438" s="89">
        <f t="shared" si="18"/>
        <v>0.2003649635</v>
      </c>
      <c r="I7438" s="78" t="s">
        <v>8452</v>
      </c>
      <c r="J7438" s="78" t="s">
        <v>69</v>
      </c>
      <c r="K7438" s="58">
        <f t="shared" si="17"/>
        <v>1</v>
      </c>
      <c r="L7438" s="91" t="str">
        <f t="shared" si="8"/>
        <v>Tue</v>
      </c>
      <c r="M7438" s="78" t="str">
        <f>IFERROR(VLOOKUP(A7438, Entries!A:B,2,false),"")</f>
        <v/>
      </c>
      <c r="N7438" s="23" t="str">
        <f>IFERROR(VLOOKUP(A7438, Entries!A:K,11,false),"")</f>
        <v/>
      </c>
    </row>
    <row r="7439">
      <c r="A7439" s="78" t="s">
        <v>7370</v>
      </c>
      <c r="B7439" s="78" t="s">
        <v>21</v>
      </c>
      <c r="C7439" s="85">
        <v>45698.0</v>
      </c>
      <c r="D7439" s="85">
        <v>45701.0</v>
      </c>
      <c r="E7439" s="86">
        <v>21.92</v>
      </c>
      <c r="F7439" s="87">
        <v>25.03</v>
      </c>
      <c r="G7439" s="88">
        <f t="shared" si="1"/>
        <v>3.11</v>
      </c>
      <c r="H7439" s="89">
        <f t="shared" si="18"/>
        <v>0.1242508989</v>
      </c>
      <c r="I7439" s="78" t="s">
        <v>8453</v>
      </c>
      <c r="J7439" s="78" t="s">
        <v>69</v>
      </c>
      <c r="K7439" s="58">
        <f t="shared" si="17"/>
        <v>3</v>
      </c>
      <c r="L7439" s="91" t="str">
        <f t="shared" si="8"/>
        <v>Thu</v>
      </c>
      <c r="M7439" s="78" t="str">
        <f>IFERROR(VLOOKUP(A7439, Entries!A:B,2,false),"")</f>
        <v/>
      </c>
      <c r="N7439" s="23" t="str">
        <f>IFERROR(VLOOKUP(A7439, Entries!A:K,11,false),"")</f>
        <v/>
      </c>
    </row>
    <row r="7440">
      <c r="A7440" s="78" t="s">
        <v>8454</v>
      </c>
      <c r="B7440" s="78" t="s">
        <v>25</v>
      </c>
      <c r="C7440" s="85">
        <v>45698.0</v>
      </c>
      <c r="D7440" s="85">
        <v>45702.0</v>
      </c>
      <c r="E7440" s="86">
        <v>16.59</v>
      </c>
      <c r="F7440" s="87">
        <v>19.31</v>
      </c>
      <c r="G7440" s="88">
        <f t="shared" si="1"/>
        <v>2.72</v>
      </c>
      <c r="H7440" s="89">
        <f t="shared" si="18"/>
        <v>0.1408596582</v>
      </c>
      <c r="I7440" s="78" t="s">
        <v>8455</v>
      </c>
      <c r="J7440" s="78" t="s">
        <v>69</v>
      </c>
      <c r="K7440" s="58">
        <f t="shared" si="17"/>
        <v>4</v>
      </c>
      <c r="L7440" s="91" t="str">
        <f t="shared" si="8"/>
        <v>Fri</v>
      </c>
      <c r="M7440" s="78" t="str">
        <f>IFERROR(VLOOKUP(A7440, Entries!A:B,2,false),"")</f>
        <v/>
      </c>
      <c r="N7440" s="23" t="str">
        <f>IFERROR(VLOOKUP(A7440, Entries!A:K,11,false),"")</f>
        <v/>
      </c>
    </row>
    <row r="7441">
      <c r="A7441" s="78" t="s">
        <v>8454</v>
      </c>
      <c r="B7441" s="78" t="s">
        <v>29</v>
      </c>
      <c r="C7441" s="85">
        <v>45698.0</v>
      </c>
      <c r="D7441" s="85">
        <v>45706.0</v>
      </c>
      <c r="E7441" s="86">
        <v>11.67</v>
      </c>
      <c r="F7441" s="87">
        <v>19.2</v>
      </c>
      <c r="G7441" s="88">
        <f t="shared" si="1"/>
        <v>7.53</v>
      </c>
      <c r="H7441" s="89">
        <f t="shared" si="18"/>
        <v>0.3921875</v>
      </c>
      <c r="I7441" s="78" t="s">
        <v>8456</v>
      </c>
      <c r="J7441" s="78" t="s">
        <v>69</v>
      </c>
      <c r="K7441" s="58">
        <f t="shared" si="17"/>
        <v>8</v>
      </c>
      <c r="L7441" s="91" t="str">
        <f t="shared" si="8"/>
        <v>Tue</v>
      </c>
      <c r="M7441" s="78" t="str">
        <f>IFERROR(VLOOKUP(A7441, Entries!A:B,2,false),"")</f>
        <v/>
      </c>
      <c r="N7441" s="23" t="str">
        <f>IFERROR(VLOOKUP(A7441, Entries!A:K,11,false),"")</f>
        <v/>
      </c>
    </row>
    <row r="7442">
      <c r="A7442" s="78" t="s">
        <v>8415</v>
      </c>
      <c r="B7442" s="78" t="s">
        <v>22</v>
      </c>
      <c r="C7442" s="85">
        <v>45698.0</v>
      </c>
      <c r="D7442" s="85">
        <v>45699.0</v>
      </c>
      <c r="E7442" s="86">
        <v>7.42</v>
      </c>
      <c r="F7442" s="87">
        <v>9.04</v>
      </c>
      <c r="G7442" s="88">
        <f t="shared" si="1"/>
        <v>1.62</v>
      </c>
      <c r="H7442" s="89">
        <f t="shared" si="18"/>
        <v>0.1792035398</v>
      </c>
      <c r="I7442" s="78" t="s">
        <v>8457</v>
      </c>
      <c r="J7442" s="78" t="s">
        <v>69</v>
      </c>
      <c r="K7442" s="58">
        <f t="shared" si="17"/>
        <v>1</v>
      </c>
      <c r="L7442" s="91" t="str">
        <f t="shared" si="8"/>
        <v>Tue</v>
      </c>
      <c r="M7442" s="78" t="str">
        <f>IFERROR(VLOOKUP(A7442, Entries!A:B,2,false),"")</f>
        <v/>
      </c>
      <c r="N7442" s="23" t="str">
        <f>IFERROR(VLOOKUP(A7442, Entries!A:K,11,false),"")</f>
        <v/>
      </c>
    </row>
    <row r="7443">
      <c r="A7443" s="78" t="s">
        <v>8458</v>
      </c>
      <c r="B7443" s="78" t="s">
        <v>25</v>
      </c>
      <c r="C7443" s="85">
        <v>45698.0</v>
      </c>
      <c r="D7443" s="85">
        <v>45700.0</v>
      </c>
      <c r="E7443" s="86">
        <v>8.94</v>
      </c>
      <c r="F7443" s="87">
        <v>10.19</v>
      </c>
      <c r="G7443" s="88">
        <f t="shared" si="1"/>
        <v>1.25</v>
      </c>
      <c r="H7443" s="89">
        <f t="shared" si="18"/>
        <v>0.1226692836</v>
      </c>
      <c r="I7443" s="78" t="s">
        <v>8459</v>
      </c>
      <c r="J7443" s="78" t="s">
        <v>69</v>
      </c>
      <c r="K7443" s="58">
        <f t="shared" si="17"/>
        <v>2</v>
      </c>
      <c r="L7443" s="91" t="str">
        <f t="shared" si="8"/>
        <v>Wed</v>
      </c>
      <c r="M7443" s="78" t="str">
        <f>IFERROR(VLOOKUP(A7443, Entries!A:B,2,false),"")</f>
        <v/>
      </c>
      <c r="N7443" s="23" t="str">
        <f>IFERROR(VLOOKUP(A7443, Entries!A:K,11,false),"")</f>
        <v/>
      </c>
    </row>
    <row r="7444">
      <c r="A7444" s="78" t="s">
        <v>8011</v>
      </c>
      <c r="B7444" s="78" t="s">
        <v>22</v>
      </c>
      <c r="C7444" s="85">
        <v>45699.0</v>
      </c>
      <c r="D7444" s="85">
        <v>45699.0</v>
      </c>
      <c r="E7444" s="86">
        <v>12.91</v>
      </c>
      <c r="F7444" s="87">
        <v>14.45</v>
      </c>
      <c r="G7444" s="88">
        <f t="shared" si="1"/>
        <v>1.54</v>
      </c>
      <c r="H7444" s="89">
        <f t="shared" si="18"/>
        <v>0.1065743945</v>
      </c>
      <c r="I7444" s="78" t="s">
        <v>8460</v>
      </c>
      <c r="J7444" s="78" t="s">
        <v>69</v>
      </c>
      <c r="K7444" s="58">
        <f t="shared" si="17"/>
        <v>0</v>
      </c>
      <c r="L7444" s="91" t="str">
        <f t="shared" si="8"/>
        <v>Tue</v>
      </c>
      <c r="M7444" s="78" t="str">
        <f>IFERROR(VLOOKUP(A7444, Entries!A:B,2,false),"")</f>
        <v/>
      </c>
      <c r="N7444" s="23" t="str">
        <f>IFERROR(VLOOKUP(A7444, Entries!A:K,11,false),"")</f>
        <v/>
      </c>
    </row>
    <row r="7445">
      <c r="A7445" s="78" t="s">
        <v>8461</v>
      </c>
      <c r="B7445" s="78" t="s">
        <v>22</v>
      </c>
      <c r="C7445" s="85">
        <v>45699.0</v>
      </c>
      <c r="D7445" s="85">
        <v>45700.0</v>
      </c>
      <c r="E7445" s="86">
        <v>10.76</v>
      </c>
      <c r="F7445" s="87">
        <v>12.88</v>
      </c>
      <c r="G7445" s="88">
        <f t="shared" si="1"/>
        <v>2.12</v>
      </c>
      <c r="H7445" s="89">
        <f t="shared" si="18"/>
        <v>0.1645962733</v>
      </c>
      <c r="I7445" s="78" t="s">
        <v>8462</v>
      </c>
      <c r="J7445" s="78" t="s">
        <v>69</v>
      </c>
      <c r="K7445" s="58">
        <f t="shared" si="17"/>
        <v>1</v>
      </c>
      <c r="L7445" s="91" t="str">
        <f t="shared" si="8"/>
        <v>Wed</v>
      </c>
      <c r="M7445" s="78" t="str">
        <f>IFERROR(VLOOKUP(A7445, Entries!A:B,2,false),"")</f>
        <v>Element Games</v>
      </c>
      <c r="N7445" s="23" t="str">
        <f>IFERROR(VLOOKUP(A7445, Entries!A:K,11,false),"")</f>
        <v/>
      </c>
    </row>
    <row r="7446">
      <c r="A7446" s="78" t="s">
        <v>5768</v>
      </c>
      <c r="B7446" s="78" t="s">
        <v>22</v>
      </c>
      <c r="C7446" s="85">
        <v>45699.0</v>
      </c>
      <c r="D7446" s="85">
        <v>45708.0</v>
      </c>
      <c r="E7446" s="86">
        <v>7.6</v>
      </c>
      <c r="F7446" s="87">
        <v>11.64</v>
      </c>
      <c r="G7446" s="88">
        <f t="shared" si="1"/>
        <v>4.04</v>
      </c>
      <c r="H7446" s="89">
        <f t="shared" si="18"/>
        <v>0.3470790378</v>
      </c>
      <c r="I7446" s="78" t="s">
        <v>8463</v>
      </c>
      <c r="J7446" s="78" t="s">
        <v>69</v>
      </c>
      <c r="K7446" s="58">
        <f t="shared" si="17"/>
        <v>9</v>
      </c>
      <c r="L7446" s="91" t="str">
        <f t="shared" si="8"/>
        <v>Thu</v>
      </c>
      <c r="M7446" s="78" t="str">
        <f>IFERROR(VLOOKUP(A7446, Entries!A:B,2,false),"")</f>
        <v>10 Chambers</v>
      </c>
      <c r="N7446" s="23" t="str">
        <f>IFERROR(VLOOKUP(A7446, Entries!A:K,11,false),"")</f>
        <v/>
      </c>
    </row>
    <row r="7447">
      <c r="A7447" s="78" t="s">
        <v>8429</v>
      </c>
      <c r="B7447" s="78" t="s">
        <v>21</v>
      </c>
      <c r="C7447" s="85">
        <v>45699.0</v>
      </c>
      <c r="D7447" s="85">
        <v>45709.0</v>
      </c>
      <c r="E7447" s="86">
        <v>8.21</v>
      </c>
      <c r="F7447" s="87">
        <v>9.41</v>
      </c>
      <c r="G7447" s="88">
        <f t="shared" si="1"/>
        <v>1.2</v>
      </c>
      <c r="H7447" s="89">
        <f t="shared" si="18"/>
        <v>0.1275239107</v>
      </c>
      <c r="I7447" s="78" t="s">
        <v>8464</v>
      </c>
      <c r="J7447" s="78" t="s">
        <v>69</v>
      </c>
      <c r="K7447" s="58">
        <f t="shared" si="17"/>
        <v>10</v>
      </c>
      <c r="L7447" s="91" t="str">
        <f t="shared" si="8"/>
        <v>Fri</v>
      </c>
      <c r="M7447" s="78" t="str">
        <f>IFERROR(VLOOKUP(A7447, Entries!A:B,2,false),"")</f>
        <v/>
      </c>
      <c r="N7447" s="23" t="str">
        <f>IFERROR(VLOOKUP(A7447, Entries!A:K,11,false),"")</f>
        <v/>
      </c>
    </row>
    <row r="7448">
      <c r="A7448" s="78" t="s">
        <v>8465</v>
      </c>
      <c r="B7448" s="78" t="s">
        <v>21</v>
      </c>
      <c r="C7448" s="85">
        <v>45700.0</v>
      </c>
      <c r="D7448" s="85">
        <v>45700.0</v>
      </c>
      <c r="E7448" s="86">
        <v>2.88</v>
      </c>
      <c r="F7448" s="87">
        <v>4.2</v>
      </c>
      <c r="G7448" s="88">
        <f t="shared" si="1"/>
        <v>1.32</v>
      </c>
      <c r="H7448" s="89">
        <f t="shared" si="18"/>
        <v>0.3142857143</v>
      </c>
      <c r="I7448" s="78" t="s">
        <v>8466</v>
      </c>
      <c r="J7448" s="78" t="s">
        <v>69</v>
      </c>
      <c r="K7448" s="58">
        <f t="shared" si="17"/>
        <v>0</v>
      </c>
      <c r="L7448" s="91" t="str">
        <f t="shared" si="8"/>
        <v>Wed</v>
      </c>
      <c r="M7448" s="78" t="str">
        <f>IFERROR(VLOOKUP(A7448, Entries!A:B,2,false),"")</f>
        <v/>
      </c>
      <c r="N7448" s="23" t="str">
        <f>IFERROR(VLOOKUP(A7448, Entries!A:K,11,false),"")</f>
        <v/>
      </c>
    </row>
    <row r="7449">
      <c r="A7449" s="78" t="s">
        <v>8465</v>
      </c>
      <c r="B7449" s="78" t="s">
        <v>21</v>
      </c>
      <c r="C7449" s="85">
        <v>45700.0</v>
      </c>
      <c r="D7449" s="85">
        <v>45700.0</v>
      </c>
      <c r="E7449" s="86">
        <v>2.88</v>
      </c>
      <c r="F7449" s="87">
        <v>3.41</v>
      </c>
      <c r="G7449" s="88">
        <f t="shared" si="1"/>
        <v>0.53</v>
      </c>
      <c r="H7449" s="89">
        <f t="shared" si="18"/>
        <v>0.1554252199</v>
      </c>
      <c r="I7449" s="78" t="s">
        <v>8467</v>
      </c>
      <c r="J7449" s="78" t="s">
        <v>69</v>
      </c>
      <c r="K7449" s="58">
        <f t="shared" si="17"/>
        <v>0</v>
      </c>
      <c r="L7449" s="91" t="str">
        <f t="shared" si="8"/>
        <v>Wed</v>
      </c>
      <c r="M7449" s="78" t="str">
        <f>IFERROR(VLOOKUP(A7449, Entries!A:B,2,false),"")</f>
        <v/>
      </c>
      <c r="N7449" s="23" t="str">
        <f>IFERROR(VLOOKUP(A7449, Entries!A:K,11,false),"")</f>
        <v/>
      </c>
    </row>
    <row r="7450">
      <c r="A7450" s="78" t="s">
        <v>8465</v>
      </c>
      <c r="B7450" s="78" t="s">
        <v>21</v>
      </c>
      <c r="C7450" s="85">
        <v>45700.0</v>
      </c>
      <c r="D7450" s="85">
        <v>45700.0</v>
      </c>
      <c r="E7450" s="86">
        <v>2.88</v>
      </c>
      <c r="F7450" s="87">
        <v>3.41</v>
      </c>
      <c r="G7450" s="88">
        <f t="shared" si="1"/>
        <v>0.53</v>
      </c>
      <c r="H7450" s="89">
        <f t="shared" si="18"/>
        <v>0.1554252199</v>
      </c>
      <c r="I7450" s="78" t="s">
        <v>8468</v>
      </c>
      <c r="J7450" s="78" t="s">
        <v>69</v>
      </c>
      <c r="K7450" s="58">
        <f t="shared" si="17"/>
        <v>0</v>
      </c>
      <c r="L7450" s="91" t="str">
        <f t="shared" si="8"/>
        <v>Wed</v>
      </c>
      <c r="M7450" s="78" t="str">
        <f>IFERROR(VLOOKUP(A7450, Entries!A:B,2,false),"")</f>
        <v/>
      </c>
      <c r="N7450" s="23" t="str">
        <f>IFERROR(VLOOKUP(A7450, Entries!A:K,11,false),"")</f>
        <v/>
      </c>
    </row>
    <row r="7451">
      <c r="A7451" s="78" t="s">
        <v>8465</v>
      </c>
      <c r="B7451" s="78" t="s">
        <v>21</v>
      </c>
      <c r="C7451" s="85">
        <v>45700.0</v>
      </c>
      <c r="D7451" s="85">
        <v>45700.0</v>
      </c>
      <c r="E7451" s="86">
        <v>2.88</v>
      </c>
      <c r="F7451" s="87">
        <v>3.83</v>
      </c>
      <c r="G7451" s="88">
        <f t="shared" si="1"/>
        <v>0.95</v>
      </c>
      <c r="H7451" s="89">
        <f t="shared" si="18"/>
        <v>0.2480417755</v>
      </c>
      <c r="I7451" s="78" t="s">
        <v>8469</v>
      </c>
      <c r="J7451" s="78" t="s">
        <v>69</v>
      </c>
      <c r="K7451" s="58">
        <f t="shared" si="17"/>
        <v>0</v>
      </c>
      <c r="L7451" s="91" t="str">
        <f t="shared" si="8"/>
        <v>Wed</v>
      </c>
      <c r="M7451" s="78" t="str">
        <f>IFERROR(VLOOKUP(A7451, Entries!A:B,2,false),"")</f>
        <v/>
      </c>
      <c r="N7451" s="23" t="str">
        <f>IFERROR(VLOOKUP(A7451, Entries!A:K,11,false),"")</f>
        <v/>
      </c>
    </row>
    <row r="7452">
      <c r="A7452" s="78" t="s">
        <v>8465</v>
      </c>
      <c r="B7452" s="78" t="s">
        <v>21</v>
      </c>
      <c r="C7452" s="85">
        <v>45700.0</v>
      </c>
      <c r="D7452" s="85">
        <v>45700.0</v>
      </c>
      <c r="E7452" s="86">
        <v>2.89</v>
      </c>
      <c r="F7452" s="87">
        <v>3.82</v>
      </c>
      <c r="G7452" s="88">
        <f t="shared" si="1"/>
        <v>0.93</v>
      </c>
      <c r="H7452" s="89">
        <f t="shared" si="18"/>
        <v>0.2434554974</v>
      </c>
      <c r="I7452" s="78" t="s">
        <v>8470</v>
      </c>
      <c r="J7452" s="78" t="s">
        <v>69</v>
      </c>
      <c r="K7452" s="58">
        <f t="shared" si="17"/>
        <v>0</v>
      </c>
      <c r="L7452" s="91" t="str">
        <f t="shared" si="8"/>
        <v>Wed</v>
      </c>
      <c r="M7452" s="78" t="str">
        <f>IFERROR(VLOOKUP(A7452, Entries!A:B,2,false),"")</f>
        <v/>
      </c>
      <c r="N7452" s="23" t="str">
        <f>IFERROR(VLOOKUP(A7452, Entries!A:K,11,false),"")</f>
        <v/>
      </c>
    </row>
    <row r="7453">
      <c r="A7453" s="78" t="s">
        <v>8465</v>
      </c>
      <c r="B7453" s="78" t="s">
        <v>21</v>
      </c>
      <c r="C7453" s="85">
        <v>45700.0</v>
      </c>
      <c r="D7453" s="85">
        <v>45700.0</v>
      </c>
      <c r="E7453" s="86">
        <v>2.89</v>
      </c>
      <c r="F7453" s="87">
        <v>3.82</v>
      </c>
      <c r="G7453" s="88">
        <f t="shared" si="1"/>
        <v>0.93</v>
      </c>
      <c r="H7453" s="89">
        <f t="shared" si="18"/>
        <v>0.2434554974</v>
      </c>
      <c r="I7453" s="78" t="s">
        <v>8471</v>
      </c>
      <c r="J7453" s="78" t="s">
        <v>69</v>
      </c>
      <c r="K7453" s="58">
        <f t="shared" si="17"/>
        <v>0</v>
      </c>
      <c r="L7453" s="91" t="str">
        <f t="shared" si="8"/>
        <v>Wed</v>
      </c>
      <c r="M7453" s="78" t="str">
        <f>IFERROR(VLOOKUP(A7453, Entries!A:B,2,false),"")</f>
        <v/>
      </c>
      <c r="N7453" s="23" t="str">
        <f>IFERROR(VLOOKUP(A7453, Entries!A:K,11,false),"")</f>
        <v/>
      </c>
    </row>
    <row r="7454">
      <c r="A7454" s="78" t="s">
        <v>8465</v>
      </c>
      <c r="B7454" s="78" t="s">
        <v>21</v>
      </c>
      <c r="C7454" s="85">
        <v>45700.0</v>
      </c>
      <c r="D7454" s="85">
        <v>45700.0</v>
      </c>
      <c r="E7454" s="86">
        <v>2.89</v>
      </c>
      <c r="F7454" s="87">
        <v>3.8</v>
      </c>
      <c r="G7454" s="88">
        <f t="shared" si="1"/>
        <v>0.91</v>
      </c>
      <c r="H7454" s="89">
        <f t="shared" si="18"/>
        <v>0.2394736842</v>
      </c>
      <c r="I7454" s="78" t="s">
        <v>8472</v>
      </c>
      <c r="J7454" s="78" t="s">
        <v>69</v>
      </c>
      <c r="K7454" s="58">
        <f t="shared" si="17"/>
        <v>0</v>
      </c>
      <c r="L7454" s="91" t="str">
        <f t="shared" si="8"/>
        <v>Wed</v>
      </c>
      <c r="M7454" s="78" t="str">
        <f>IFERROR(VLOOKUP(A7454, Entries!A:B,2,false),"")</f>
        <v/>
      </c>
      <c r="N7454" s="23" t="str">
        <f>IFERROR(VLOOKUP(A7454, Entries!A:K,11,false),"")</f>
        <v/>
      </c>
    </row>
    <row r="7455">
      <c r="A7455" s="78" t="s">
        <v>8465</v>
      </c>
      <c r="B7455" s="78" t="s">
        <v>21</v>
      </c>
      <c r="C7455" s="85">
        <v>45700.0</v>
      </c>
      <c r="D7455" s="85">
        <v>45700.0</v>
      </c>
      <c r="E7455" s="86">
        <v>2.89</v>
      </c>
      <c r="F7455" s="87">
        <v>3.78</v>
      </c>
      <c r="G7455" s="88">
        <f t="shared" si="1"/>
        <v>0.89</v>
      </c>
      <c r="H7455" s="89">
        <f t="shared" si="18"/>
        <v>0.2354497354</v>
      </c>
      <c r="I7455" s="78" t="s">
        <v>8473</v>
      </c>
      <c r="J7455" s="78" t="s">
        <v>69</v>
      </c>
      <c r="K7455" s="58">
        <f t="shared" si="17"/>
        <v>0</v>
      </c>
      <c r="L7455" s="91" t="str">
        <f t="shared" si="8"/>
        <v>Wed</v>
      </c>
      <c r="M7455" s="78" t="str">
        <f>IFERROR(VLOOKUP(A7455, Entries!A:B,2,false),"")</f>
        <v/>
      </c>
      <c r="N7455" s="23" t="str">
        <f>IFERROR(VLOOKUP(A7455, Entries!A:K,11,false),"")</f>
        <v/>
      </c>
    </row>
    <row r="7456">
      <c r="A7456" s="78" t="s">
        <v>8465</v>
      </c>
      <c r="B7456" s="78" t="s">
        <v>21</v>
      </c>
      <c r="C7456" s="85">
        <v>45700.0</v>
      </c>
      <c r="D7456" s="85">
        <v>45700.0</v>
      </c>
      <c r="E7456" s="86">
        <v>2.89</v>
      </c>
      <c r="F7456" s="87">
        <v>3.78</v>
      </c>
      <c r="G7456" s="88">
        <f t="shared" si="1"/>
        <v>0.89</v>
      </c>
      <c r="H7456" s="89">
        <f t="shared" si="18"/>
        <v>0.2354497354</v>
      </c>
      <c r="I7456" s="78" t="s">
        <v>8474</v>
      </c>
      <c r="J7456" s="78" t="s">
        <v>69</v>
      </c>
      <c r="K7456" s="58">
        <f t="shared" si="17"/>
        <v>0</v>
      </c>
      <c r="L7456" s="91" t="str">
        <f t="shared" si="8"/>
        <v>Wed</v>
      </c>
      <c r="M7456" s="78" t="str">
        <f>IFERROR(VLOOKUP(A7456, Entries!A:B,2,false),"")</f>
        <v/>
      </c>
      <c r="N7456" s="23" t="str">
        <f>IFERROR(VLOOKUP(A7456, Entries!A:K,11,false),"")</f>
        <v/>
      </c>
    </row>
    <row r="7457">
      <c r="A7457" s="78" t="s">
        <v>8475</v>
      </c>
      <c r="B7457" s="78" t="s">
        <v>21</v>
      </c>
      <c r="C7457" s="85">
        <v>45700.0</v>
      </c>
      <c r="D7457" s="85">
        <v>45700.0</v>
      </c>
      <c r="E7457" s="86">
        <v>46.54</v>
      </c>
      <c r="F7457" s="87">
        <v>52.29</v>
      </c>
      <c r="G7457" s="88">
        <f t="shared" si="1"/>
        <v>5.75</v>
      </c>
      <c r="H7457" s="89">
        <f t="shared" si="18"/>
        <v>0.1099636642</v>
      </c>
      <c r="I7457" s="78" t="s">
        <v>8476</v>
      </c>
      <c r="J7457" s="78" t="s">
        <v>69</v>
      </c>
      <c r="K7457" s="58">
        <f t="shared" si="17"/>
        <v>0</v>
      </c>
      <c r="L7457" s="91" t="str">
        <f t="shared" si="8"/>
        <v>Wed</v>
      </c>
      <c r="M7457" s="78" t="str">
        <f>IFERROR(VLOOKUP(A7457, Entries!A:B,2,false),"")</f>
        <v/>
      </c>
      <c r="N7457" s="23" t="str">
        <f>IFERROR(VLOOKUP(A7457, Entries!A:K,11,false),"")</f>
        <v/>
      </c>
    </row>
    <row r="7458">
      <c r="A7458" s="78" t="s">
        <v>8475</v>
      </c>
      <c r="B7458" s="78" t="s">
        <v>21</v>
      </c>
      <c r="C7458" s="85">
        <v>45700.0</v>
      </c>
      <c r="D7458" s="85">
        <v>45700.0</v>
      </c>
      <c r="E7458" s="86">
        <v>46.54</v>
      </c>
      <c r="F7458" s="87">
        <v>52.29</v>
      </c>
      <c r="G7458" s="88">
        <f t="shared" si="1"/>
        <v>5.75</v>
      </c>
      <c r="H7458" s="89">
        <f t="shared" si="18"/>
        <v>0.1099636642</v>
      </c>
      <c r="I7458" s="78" t="s">
        <v>8477</v>
      </c>
      <c r="J7458" s="78" t="s">
        <v>69</v>
      </c>
      <c r="K7458" s="58">
        <f t="shared" si="17"/>
        <v>0</v>
      </c>
      <c r="L7458" s="91" t="str">
        <f t="shared" si="8"/>
        <v>Wed</v>
      </c>
      <c r="M7458" s="78" t="str">
        <f>IFERROR(VLOOKUP(A7458, Entries!A:B,2,false),"")</f>
        <v/>
      </c>
      <c r="N7458" s="23" t="str">
        <f>IFERROR(VLOOKUP(A7458, Entries!A:K,11,false),"")</f>
        <v/>
      </c>
    </row>
    <row r="7459">
      <c r="A7459" s="78" t="s">
        <v>8465</v>
      </c>
      <c r="B7459" s="78" t="s">
        <v>21</v>
      </c>
      <c r="C7459" s="85">
        <v>45700.0</v>
      </c>
      <c r="D7459" s="85">
        <v>45701.0</v>
      </c>
      <c r="E7459" s="86">
        <v>2.88</v>
      </c>
      <c r="F7459" s="87">
        <v>3.78</v>
      </c>
      <c r="G7459" s="88">
        <f t="shared" si="1"/>
        <v>0.9</v>
      </c>
      <c r="H7459" s="89">
        <f t="shared" si="18"/>
        <v>0.2380952381</v>
      </c>
      <c r="I7459" s="78" t="s">
        <v>8478</v>
      </c>
      <c r="J7459" s="78" t="s">
        <v>69</v>
      </c>
      <c r="K7459" s="58">
        <f t="shared" si="17"/>
        <v>1</v>
      </c>
      <c r="L7459" s="91" t="str">
        <f t="shared" si="8"/>
        <v>Thu</v>
      </c>
      <c r="M7459" s="78" t="str">
        <f>IFERROR(VLOOKUP(A7459, Entries!A:B,2,false),"")</f>
        <v/>
      </c>
      <c r="N7459" s="23" t="str">
        <f>IFERROR(VLOOKUP(A7459, Entries!A:K,11,false),"")</f>
        <v/>
      </c>
    </row>
    <row r="7460">
      <c r="A7460" s="78" t="s">
        <v>8465</v>
      </c>
      <c r="B7460" s="78" t="s">
        <v>21</v>
      </c>
      <c r="C7460" s="85">
        <v>45700.0</v>
      </c>
      <c r="D7460" s="85">
        <v>45701.0</v>
      </c>
      <c r="E7460" s="86">
        <v>2.88</v>
      </c>
      <c r="F7460" s="87">
        <v>3.77</v>
      </c>
      <c r="G7460" s="88">
        <f t="shared" si="1"/>
        <v>0.89</v>
      </c>
      <c r="H7460" s="89">
        <f t="shared" si="18"/>
        <v>0.2360742706</v>
      </c>
      <c r="I7460" s="78" t="s">
        <v>8479</v>
      </c>
      <c r="J7460" s="78" t="s">
        <v>69</v>
      </c>
      <c r="K7460" s="58">
        <f t="shared" si="17"/>
        <v>1</v>
      </c>
      <c r="L7460" s="91" t="str">
        <f t="shared" si="8"/>
        <v>Thu</v>
      </c>
      <c r="M7460" s="78" t="str">
        <f>IFERROR(VLOOKUP(A7460, Entries!A:B,2,false),"")</f>
        <v/>
      </c>
      <c r="N7460" s="23" t="str">
        <f>IFERROR(VLOOKUP(A7460, Entries!A:K,11,false),"")</f>
        <v/>
      </c>
    </row>
    <row r="7461">
      <c r="A7461" s="78" t="s">
        <v>8465</v>
      </c>
      <c r="B7461" s="78" t="s">
        <v>21</v>
      </c>
      <c r="C7461" s="85">
        <v>45700.0</v>
      </c>
      <c r="D7461" s="85">
        <v>45701.0</v>
      </c>
      <c r="E7461" s="86">
        <v>2.88</v>
      </c>
      <c r="F7461" s="87">
        <v>3.77</v>
      </c>
      <c r="G7461" s="88">
        <f t="shared" si="1"/>
        <v>0.89</v>
      </c>
      <c r="H7461" s="89">
        <f t="shared" si="18"/>
        <v>0.2360742706</v>
      </c>
      <c r="I7461" s="78" t="s">
        <v>8480</v>
      </c>
      <c r="J7461" s="78" t="s">
        <v>69</v>
      </c>
      <c r="K7461" s="58">
        <f t="shared" si="17"/>
        <v>1</v>
      </c>
      <c r="L7461" s="91" t="str">
        <f t="shared" si="8"/>
        <v>Thu</v>
      </c>
      <c r="M7461" s="78" t="str">
        <f>IFERROR(VLOOKUP(A7461, Entries!A:B,2,false),"")</f>
        <v/>
      </c>
      <c r="N7461" s="23" t="str">
        <f>IFERROR(VLOOKUP(A7461, Entries!A:K,11,false),"")</f>
        <v/>
      </c>
    </row>
    <row r="7462">
      <c r="A7462" s="78" t="s">
        <v>8465</v>
      </c>
      <c r="B7462" s="78" t="s">
        <v>21</v>
      </c>
      <c r="C7462" s="85">
        <v>45700.0</v>
      </c>
      <c r="D7462" s="85">
        <v>45701.0</v>
      </c>
      <c r="E7462" s="86">
        <v>2.88</v>
      </c>
      <c r="F7462" s="87">
        <v>3.77</v>
      </c>
      <c r="G7462" s="88">
        <f t="shared" si="1"/>
        <v>0.89</v>
      </c>
      <c r="H7462" s="89">
        <f t="shared" si="18"/>
        <v>0.2360742706</v>
      </c>
      <c r="I7462" s="78" t="s">
        <v>8481</v>
      </c>
      <c r="J7462" s="78" t="s">
        <v>69</v>
      </c>
      <c r="K7462" s="58">
        <f t="shared" si="17"/>
        <v>1</v>
      </c>
      <c r="L7462" s="91" t="str">
        <f t="shared" si="8"/>
        <v>Thu</v>
      </c>
      <c r="M7462" s="78" t="str">
        <f>IFERROR(VLOOKUP(A7462, Entries!A:B,2,false),"")</f>
        <v/>
      </c>
      <c r="N7462" s="23" t="str">
        <f>IFERROR(VLOOKUP(A7462, Entries!A:K,11,false),"")</f>
        <v/>
      </c>
    </row>
    <row r="7463">
      <c r="A7463" s="78" t="s">
        <v>8465</v>
      </c>
      <c r="B7463" s="78" t="s">
        <v>21</v>
      </c>
      <c r="C7463" s="85">
        <v>45700.0</v>
      </c>
      <c r="D7463" s="85">
        <v>45701.0</v>
      </c>
      <c r="E7463" s="86">
        <v>2.89</v>
      </c>
      <c r="F7463" s="87">
        <v>3.77</v>
      </c>
      <c r="G7463" s="88">
        <f t="shared" si="1"/>
        <v>0.88</v>
      </c>
      <c r="H7463" s="89">
        <f t="shared" si="18"/>
        <v>0.2334217507</v>
      </c>
      <c r="I7463" s="78" t="s">
        <v>8482</v>
      </c>
      <c r="J7463" s="78" t="s">
        <v>69</v>
      </c>
      <c r="K7463" s="58">
        <f t="shared" si="17"/>
        <v>1</v>
      </c>
      <c r="L7463" s="91" t="str">
        <f t="shared" si="8"/>
        <v>Thu</v>
      </c>
      <c r="M7463" s="78" t="str">
        <f>IFERROR(VLOOKUP(A7463, Entries!A:B,2,false),"")</f>
        <v/>
      </c>
      <c r="N7463" s="23" t="str">
        <f>IFERROR(VLOOKUP(A7463, Entries!A:K,11,false),"")</f>
        <v/>
      </c>
    </row>
    <row r="7464">
      <c r="A7464" s="78" t="s">
        <v>8465</v>
      </c>
      <c r="B7464" s="78" t="s">
        <v>21</v>
      </c>
      <c r="C7464" s="85">
        <v>45700.0</v>
      </c>
      <c r="D7464" s="85">
        <v>45702.0</v>
      </c>
      <c r="E7464" s="86">
        <v>2.89</v>
      </c>
      <c r="F7464" s="87">
        <v>4.09</v>
      </c>
      <c r="G7464" s="88">
        <f t="shared" si="1"/>
        <v>1.2</v>
      </c>
      <c r="H7464" s="89">
        <f t="shared" si="18"/>
        <v>0.293398533</v>
      </c>
      <c r="I7464" s="78" t="s">
        <v>8483</v>
      </c>
      <c r="J7464" s="78" t="s">
        <v>69</v>
      </c>
      <c r="K7464" s="58">
        <f t="shared" si="17"/>
        <v>2</v>
      </c>
      <c r="L7464" s="91" t="str">
        <f t="shared" si="8"/>
        <v>Fri</v>
      </c>
      <c r="M7464" s="78" t="str">
        <f>IFERROR(VLOOKUP(A7464, Entries!A:B,2,false),"")</f>
        <v/>
      </c>
      <c r="N7464" s="23" t="str">
        <f>IFERROR(VLOOKUP(A7464, Entries!A:K,11,false),"")</f>
        <v/>
      </c>
    </row>
    <row r="7465">
      <c r="A7465" s="78" t="s">
        <v>8465</v>
      </c>
      <c r="B7465" s="78" t="s">
        <v>21</v>
      </c>
      <c r="C7465" s="85">
        <v>45700.0</v>
      </c>
      <c r="D7465" s="25"/>
      <c r="E7465" s="86">
        <v>2.89</v>
      </c>
      <c r="F7465" s="88"/>
      <c r="G7465" s="88">
        <f t="shared" si="1"/>
        <v>-2.89</v>
      </c>
      <c r="H7465" s="89" t="str">
        <f t="shared" si="18"/>
        <v/>
      </c>
      <c r="I7465" s="103" t="s">
        <v>8484</v>
      </c>
      <c r="J7465" s="78" t="s">
        <v>1129</v>
      </c>
      <c r="K7465" s="58" t="str">
        <f t="shared" si="17"/>
        <v/>
      </c>
      <c r="L7465" s="91" t="str">
        <f t="shared" si="8"/>
        <v/>
      </c>
      <c r="M7465" s="78" t="str">
        <f>IFERROR(VLOOKUP(A7465, Entries!A:B,2,false),"")</f>
        <v/>
      </c>
      <c r="N7465" s="23" t="str">
        <f>IFERROR(VLOOKUP(A7465, Entries!A:K,11,false),"")</f>
        <v/>
      </c>
    </row>
    <row r="7466">
      <c r="A7466" s="78" t="s">
        <v>8465</v>
      </c>
      <c r="B7466" s="78" t="s">
        <v>21</v>
      </c>
      <c r="C7466" s="85">
        <v>45700.0</v>
      </c>
      <c r="D7466" s="25"/>
      <c r="E7466" s="86">
        <v>2.89</v>
      </c>
      <c r="F7466" s="88"/>
      <c r="G7466" s="88">
        <f t="shared" si="1"/>
        <v>-2.89</v>
      </c>
      <c r="H7466" s="89" t="str">
        <f t="shared" si="18"/>
        <v/>
      </c>
      <c r="I7466" s="103" t="s">
        <v>8485</v>
      </c>
      <c r="J7466" s="78" t="s">
        <v>1129</v>
      </c>
      <c r="K7466" s="58" t="str">
        <f t="shared" si="17"/>
        <v/>
      </c>
      <c r="L7466" s="91" t="str">
        <f t="shared" si="8"/>
        <v/>
      </c>
      <c r="M7466" s="78" t="str">
        <f>IFERROR(VLOOKUP(A7466, Entries!A:B,2,false),"")</f>
        <v/>
      </c>
      <c r="N7466" s="23" t="str">
        <f>IFERROR(VLOOKUP(A7466, Entries!A:K,11,false),"")</f>
        <v/>
      </c>
    </row>
    <row r="7467">
      <c r="A7467" s="78" t="s">
        <v>8465</v>
      </c>
      <c r="B7467" s="78" t="s">
        <v>21</v>
      </c>
      <c r="C7467" s="85">
        <v>45700.0</v>
      </c>
      <c r="D7467" s="25"/>
      <c r="E7467" s="86">
        <v>2.89</v>
      </c>
      <c r="F7467" s="88"/>
      <c r="G7467" s="88">
        <f t="shared" si="1"/>
        <v>-2.89</v>
      </c>
      <c r="H7467" s="89" t="str">
        <f t="shared" si="18"/>
        <v/>
      </c>
      <c r="I7467" s="103" t="s">
        <v>8486</v>
      </c>
      <c r="J7467" s="78" t="s">
        <v>1129</v>
      </c>
      <c r="K7467" s="58" t="str">
        <f t="shared" si="17"/>
        <v/>
      </c>
      <c r="L7467" s="91" t="str">
        <f t="shared" si="8"/>
        <v/>
      </c>
      <c r="M7467" s="78" t="str">
        <f>IFERROR(VLOOKUP(A7467, Entries!A:B,2,false),"")</f>
        <v/>
      </c>
      <c r="N7467" s="23" t="str">
        <f>IFERROR(VLOOKUP(A7467, Entries!A:K,11,false),"")</f>
        <v/>
      </c>
    </row>
    <row r="7468">
      <c r="A7468" s="78" t="s">
        <v>8487</v>
      </c>
      <c r="B7468" s="78" t="s">
        <v>22</v>
      </c>
      <c r="C7468" s="85">
        <v>45700.0</v>
      </c>
      <c r="D7468" s="85">
        <v>45700.0</v>
      </c>
      <c r="E7468" s="86">
        <v>10.75</v>
      </c>
      <c r="F7468" s="87">
        <v>11.75</v>
      </c>
      <c r="G7468" s="88">
        <f t="shared" si="1"/>
        <v>1</v>
      </c>
      <c r="H7468" s="89">
        <f t="shared" si="18"/>
        <v>0.08510638298</v>
      </c>
      <c r="I7468" s="78" t="s">
        <v>8488</v>
      </c>
      <c r="J7468" s="78" t="s">
        <v>69</v>
      </c>
      <c r="K7468" s="58">
        <f t="shared" si="17"/>
        <v>0</v>
      </c>
      <c r="L7468" s="91" t="str">
        <f t="shared" si="8"/>
        <v>Wed</v>
      </c>
      <c r="M7468" s="78" t="str">
        <f>IFERROR(VLOOKUP(A7468, Entries!A:B,2,false),"")</f>
        <v/>
      </c>
      <c r="N7468" s="23" t="str">
        <f>IFERROR(VLOOKUP(A7468, Entries!A:K,11,false),"")</f>
        <v/>
      </c>
    </row>
    <row r="7469">
      <c r="A7469" s="78" t="s">
        <v>8487</v>
      </c>
      <c r="B7469" s="78" t="s">
        <v>22</v>
      </c>
      <c r="C7469" s="85">
        <v>45700.0</v>
      </c>
      <c r="D7469" s="85">
        <v>45700.0</v>
      </c>
      <c r="E7469" s="86">
        <v>10.75</v>
      </c>
      <c r="F7469" s="87">
        <v>11.47</v>
      </c>
      <c r="G7469" s="88">
        <f t="shared" si="1"/>
        <v>0.72</v>
      </c>
      <c r="H7469" s="89">
        <f t="shared" si="18"/>
        <v>0.06277244987</v>
      </c>
      <c r="I7469" s="78" t="s">
        <v>8489</v>
      </c>
      <c r="J7469" s="78" t="s">
        <v>69</v>
      </c>
      <c r="K7469" s="58">
        <f t="shared" si="17"/>
        <v>0</v>
      </c>
      <c r="L7469" s="91" t="str">
        <f t="shared" si="8"/>
        <v>Wed</v>
      </c>
      <c r="M7469" s="78" t="str">
        <f>IFERROR(VLOOKUP(A7469, Entries!A:B,2,false),"")</f>
        <v/>
      </c>
      <c r="N7469" s="23" t="str">
        <f>IFERROR(VLOOKUP(A7469, Entries!A:K,11,false),"")</f>
        <v/>
      </c>
    </row>
    <row r="7470">
      <c r="A7470" s="78" t="s">
        <v>8487</v>
      </c>
      <c r="B7470" s="78" t="s">
        <v>22</v>
      </c>
      <c r="C7470" s="85">
        <v>45700.0</v>
      </c>
      <c r="D7470" s="85">
        <v>45700.0</v>
      </c>
      <c r="E7470" s="86">
        <v>10.75</v>
      </c>
      <c r="F7470" s="87">
        <v>11.28</v>
      </c>
      <c r="G7470" s="88">
        <f t="shared" si="1"/>
        <v>0.53</v>
      </c>
      <c r="H7470" s="89">
        <f t="shared" si="18"/>
        <v>0.0469858156</v>
      </c>
      <c r="I7470" s="78" t="s">
        <v>8490</v>
      </c>
      <c r="J7470" s="78" t="s">
        <v>69</v>
      </c>
      <c r="K7470" s="58">
        <f t="shared" si="17"/>
        <v>0</v>
      </c>
      <c r="L7470" s="91" t="str">
        <f t="shared" si="8"/>
        <v>Wed</v>
      </c>
      <c r="M7470" s="78" t="str">
        <f>IFERROR(VLOOKUP(A7470, Entries!A:B,2,false),"")</f>
        <v/>
      </c>
      <c r="N7470" s="23" t="str">
        <f>IFERROR(VLOOKUP(A7470, Entries!A:K,11,false),"")</f>
        <v/>
      </c>
    </row>
    <row r="7471">
      <c r="A7471" s="78" t="s">
        <v>8006</v>
      </c>
      <c r="B7471" s="78" t="s">
        <v>22</v>
      </c>
      <c r="C7471" s="85">
        <v>45701.0</v>
      </c>
      <c r="D7471" s="85">
        <v>45784.0</v>
      </c>
      <c r="E7471" s="86">
        <v>10.72</v>
      </c>
      <c r="F7471" s="87">
        <v>15.83</v>
      </c>
      <c r="G7471" s="88">
        <f t="shared" si="1"/>
        <v>5.11</v>
      </c>
      <c r="H7471" s="89">
        <f t="shared" si="18"/>
        <v>0.322804801</v>
      </c>
      <c r="I7471" s="103" t="s">
        <v>8491</v>
      </c>
      <c r="J7471" s="78" t="s">
        <v>69</v>
      </c>
      <c r="K7471" s="58">
        <f t="shared" si="17"/>
        <v>83</v>
      </c>
      <c r="L7471" s="91" t="str">
        <f t="shared" si="8"/>
        <v>Wed</v>
      </c>
      <c r="M7471" s="78" t="str">
        <f>IFERROR(VLOOKUP(A7471, Entries!A:B,2,false),"")</f>
        <v>North Beach</v>
      </c>
      <c r="N7471" s="23" t="str">
        <f>IFERROR(VLOOKUP(A7471, Entries!A:K,11,false),"")</f>
        <v/>
      </c>
    </row>
    <row r="7472">
      <c r="A7472" s="78" t="s">
        <v>8011</v>
      </c>
      <c r="B7472" s="78" t="s">
        <v>22</v>
      </c>
      <c r="C7472" s="85">
        <v>45701.0</v>
      </c>
      <c r="D7472" s="85">
        <v>45709.0</v>
      </c>
      <c r="E7472" s="86">
        <v>12.87</v>
      </c>
      <c r="F7472" s="87">
        <v>14.45</v>
      </c>
      <c r="G7472" s="88">
        <f t="shared" si="1"/>
        <v>1.58</v>
      </c>
      <c r="H7472" s="89">
        <f t="shared" si="18"/>
        <v>0.1093425606</v>
      </c>
      <c r="I7472" s="78" t="s">
        <v>8492</v>
      </c>
      <c r="J7472" s="78" t="s">
        <v>69</v>
      </c>
      <c r="K7472" s="58">
        <f t="shared" si="17"/>
        <v>8</v>
      </c>
      <c r="L7472" s="91" t="str">
        <f t="shared" si="8"/>
        <v>Fri</v>
      </c>
      <c r="M7472" s="78" t="str">
        <f>IFERROR(VLOOKUP(A7472, Entries!A:B,2,false),"")</f>
        <v/>
      </c>
      <c r="N7472" s="23" t="str">
        <f>IFERROR(VLOOKUP(A7472, Entries!A:K,11,false),"")</f>
        <v/>
      </c>
    </row>
    <row r="7473">
      <c r="A7473" s="78" t="s">
        <v>8461</v>
      </c>
      <c r="B7473" s="78" t="s">
        <v>22</v>
      </c>
      <c r="C7473" s="85">
        <v>45701.0</v>
      </c>
      <c r="D7473" s="85">
        <v>45702.0</v>
      </c>
      <c r="E7473" s="86">
        <v>10.72</v>
      </c>
      <c r="F7473" s="87">
        <v>12.45</v>
      </c>
      <c r="G7473" s="88">
        <f t="shared" si="1"/>
        <v>1.73</v>
      </c>
      <c r="H7473" s="89">
        <f t="shared" si="18"/>
        <v>0.1389558233</v>
      </c>
      <c r="I7473" s="78" t="s">
        <v>8493</v>
      </c>
      <c r="J7473" s="78" t="s">
        <v>69</v>
      </c>
      <c r="K7473" s="58">
        <f t="shared" si="17"/>
        <v>1</v>
      </c>
      <c r="L7473" s="91" t="str">
        <f t="shared" si="8"/>
        <v>Fri</v>
      </c>
      <c r="M7473" s="78" t="str">
        <f>IFERROR(VLOOKUP(A7473, Entries!A:B,2,false),"")</f>
        <v>Element Games</v>
      </c>
      <c r="N7473" s="23" t="str">
        <f>IFERROR(VLOOKUP(A7473, Entries!A:K,11,false),"")</f>
        <v/>
      </c>
    </row>
    <row r="7474">
      <c r="A7474" s="78" t="s">
        <v>8494</v>
      </c>
      <c r="B7474" s="78" t="s">
        <v>21</v>
      </c>
      <c r="C7474" s="85">
        <v>45701.0</v>
      </c>
      <c r="D7474" s="85">
        <v>45701.0</v>
      </c>
      <c r="E7474" s="86">
        <v>27.06</v>
      </c>
      <c r="F7474" s="87">
        <v>29.68</v>
      </c>
      <c r="G7474" s="88">
        <f t="shared" si="1"/>
        <v>2.62</v>
      </c>
      <c r="H7474" s="89">
        <f t="shared" si="18"/>
        <v>0.08827493261</v>
      </c>
      <c r="I7474" s="78" t="s">
        <v>8495</v>
      </c>
      <c r="J7474" s="78" t="s">
        <v>69</v>
      </c>
      <c r="K7474" s="58">
        <f t="shared" si="17"/>
        <v>0</v>
      </c>
      <c r="L7474" s="91" t="str">
        <f t="shared" si="8"/>
        <v>Thu</v>
      </c>
      <c r="M7474" s="78" t="str">
        <f>IFERROR(VLOOKUP(A7474, Entries!A:B,2,false),"")</f>
        <v/>
      </c>
      <c r="N7474" s="23" t="str">
        <f>IFERROR(VLOOKUP(A7474, Entries!A:K,11,false),"")</f>
        <v/>
      </c>
    </row>
    <row r="7475">
      <c r="A7475" s="78" t="s">
        <v>8494</v>
      </c>
      <c r="B7475" s="78" t="s">
        <v>21</v>
      </c>
      <c r="C7475" s="85">
        <v>45701.0</v>
      </c>
      <c r="D7475" s="85">
        <v>45702.0</v>
      </c>
      <c r="E7475" s="86">
        <v>26.9</v>
      </c>
      <c r="F7475" s="87">
        <v>29.68</v>
      </c>
      <c r="G7475" s="88">
        <f t="shared" si="1"/>
        <v>2.78</v>
      </c>
      <c r="H7475" s="89">
        <f t="shared" si="18"/>
        <v>0.09366576819</v>
      </c>
      <c r="I7475" s="78" t="s">
        <v>8496</v>
      </c>
      <c r="J7475" s="78" t="s">
        <v>69</v>
      </c>
      <c r="K7475" s="58">
        <f t="shared" si="17"/>
        <v>1</v>
      </c>
      <c r="L7475" s="91" t="str">
        <f t="shared" si="8"/>
        <v>Fri</v>
      </c>
      <c r="M7475" s="78" t="str">
        <f>IFERROR(VLOOKUP(A7475, Entries!A:B,2,false),"")</f>
        <v/>
      </c>
      <c r="N7475" s="23" t="str">
        <f>IFERROR(VLOOKUP(A7475, Entries!A:K,11,false),"")</f>
        <v/>
      </c>
    </row>
    <row r="7476">
      <c r="A7476" s="78" t="s">
        <v>8494</v>
      </c>
      <c r="B7476" s="78" t="s">
        <v>21</v>
      </c>
      <c r="C7476" s="85">
        <v>45701.0</v>
      </c>
      <c r="D7476" s="85">
        <v>45703.0</v>
      </c>
      <c r="E7476" s="86">
        <v>26.9</v>
      </c>
      <c r="F7476" s="87">
        <v>29.68</v>
      </c>
      <c r="G7476" s="88">
        <f t="shared" si="1"/>
        <v>2.78</v>
      </c>
      <c r="H7476" s="89">
        <f t="shared" si="18"/>
        <v>0.09366576819</v>
      </c>
      <c r="I7476" s="78" t="s">
        <v>8497</v>
      </c>
      <c r="J7476" s="78" t="s">
        <v>69</v>
      </c>
      <c r="K7476" s="58">
        <f t="shared" si="17"/>
        <v>2</v>
      </c>
      <c r="L7476" s="91" t="str">
        <f t="shared" si="8"/>
        <v>Sat</v>
      </c>
      <c r="M7476" s="78" t="str">
        <f>IFERROR(VLOOKUP(A7476, Entries!A:B,2,false),"")</f>
        <v/>
      </c>
      <c r="N7476" s="23" t="str">
        <f>IFERROR(VLOOKUP(A7476, Entries!A:K,11,false),"")</f>
        <v/>
      </c>
    </row>
    <row r="7477">
      <c r="A7477" s="78" t="s">
        <v>8494</v>
      </c>
      <c r="B7477" s="78" t="s">
        <v>21</v>
      </c>
      <c r="C7477" s="85">
        <v>45701.0</v>
      </c>
      <c r="D7477" s="85">
        <v>45703.0</v>
      </c>
      <c r="E7477" s="86">
        <v>26.92</v>
      </c>
      <c r="F7477" s="87">
        <v>29.68</v>
      </c>
      <c r="G7477" s="88">
        <f t="shared" si="1"/>
        <v>2.76</v>
      </c>
      <c r="H7477" s="89">
        <f t="shared" si="18"/>
        <v>0.09299191375</v>
      </c>
      <c r="I7477" s="78" t="s">
        <v>8498</v>
      </c>
      <c r="J7477" s="78" t="s">
        <v>69</v>
      </c>
      <c r="K7477" s="58">
        <f t="shared" si="17"/>
        <v>2</v>
      </c>
      <c r="L7477" s="91" t="str">
        <f t="shared" si="8"/>
        <v>Sat</v>
      </c>
      <c r="M7477" s="78" t="str">
        <f>IFERROR(VLOOKUP(A7477, Entries!A:B,2,false),"")</f>
        <v/>
      </c>
      <c r="N7477" s="23" t="str">
        <f>IFERROR(VLOOKUP(A7477, Entries!A:K,11,false),"")</f>
        <v/>
      </c>
    </row>
    <row r="7478">
      <c r="A7478" s="78" t="s">
        <v>7370</v>
      </c>
      <c r="B7478" s="78" t="s">
        <v>21</v>
      </c>
      <c r="C7478" s="85">
        <v>45702.0</v>
      </c>
      <c r="D7478" s="85">
        <v>45711.0</v>
      </c>
      <c r="E7478" s="86">
        <v>22.7</v>
      </c>
      <c r="F7478" s="87">
        <v>24.1</v>
      </c>
      <c r="G7478" s="88">
        <f t="shared" si="1"/>
        <v>1.4</v>
      </c>
      <c r="H7478" s="89">
        <f t="shared" si="18"/>
        <v>0.05809128631</v>
      </c>
      <c r="I7478" s="78" t="s">
        <v>8499</v>
      </c>
      <c r="J7478" s="78" t="s">
        <v>69</v>
      </c>
      <c r="K7478" s="58">
        <f t="shared" si="17"/>
        <v>9</v>
      </c>
      <c r="L7478" s="91" t="str">
        <f t="shared" si="8"/>
        <v>Sun</v>
      </c>
      <c r="M7478" s="78" t="str">
        <f>IFERROR(VLOOKUP(A7478, Entries!A:B,2,false),"")</f>
        <v/>
      </c>
      <c r="N7478" s="23" t="str">
        <f>IFERROR(VLOOKUP(A7478, Entries!A:K,11,false),"")</f>
        <v/>
      </c>
    </row>
    <row r="7479">
      <c r="A7479" s="78" t="s">
        <v>8056</v>
      </c>
      <c r="B7479" s="78" t="s">
        <v>25</v>
      </c>
      <c r="C7479" s="85">
        <v>45702.0</v>
      </c>
      <c r="D7479" s="85">
        <v>45702.0</v>
      </c>
      <c r="E7479" s="86">
        <v>24.79</v>
      </c>
      <c r="F7479" s="87">
        <v>33.11</v>
      </c>
      <c r="G7479" s="88">
        <f t="shared" si="1"/>
        <v>8.32</v>
      </c>
      <c r="H7479" s="89">
        <f t="shared" si="18"/>
        <v>0.2512836001</v>
      </c>
      <c r="I7479" s="78" t="s">
        <v>8500</v>
      </c>
      <c r="J7479" s="78" t="s">
        <v>69</v>
      </c>
      <c r="K7479" s="58">
        <f t="shared" si="17"/>
        <v>0</v>
      </c>
      <c r="L7479" s="91" t="str">
        <f t="shared" si="8"/>
        <v>Fri</v>
      </c>
      <c r="M7479" s="78" t="str">
        <f>IFERROR(VLOOKUP(A7479, Entries!A:B,2,false),"")</f>
        <v>Survios</v>
      </c>
      <c r="N7479" s="23" t="str">
        <f>IFERROR(VLOOKUP(A7479, Entries!A:K,11,false),"")</f>
        <v/>
      </c>
    </row>
    <row r="7480">
      <c r="A7480" s="78" t="s">
        <v>7776</v>
      </c>
      <c r="B7480" s="78" t="s">
        <v>18</v>
      </c>
      <c r="C7480" s="85">
        <v>45702.0</v>
      </c>
      <c r="D7480" s="85">
        <v>45799.0</v>
      </c>
      <c r="E7480" s="86">
        <v>42.51</v>
      </c>
      <c r="F7480" s="87">
        <v>48.3</v>
      </c>
      <c r="G7480" s="88">
        <f t="shared" si="1"/>
        <v>5.79</v>
      </c>
      <c r="H7480" s="89">
        <f t="shared" si="18"/>
        <v>0.1198757764</v>
      </c>
      <c r="I7480" s="103" t="s">
        <v>8501</v>
      </c>
      <c r="J7480" s="78" t="s">
        <v>69</v>
      </c>
      <c r="K7480" s="58">
        <f t="shared" si="17"/>
        <v>97</v>
      </c>
      <c r="L7480" s="91" t="str">
        <f t="shared" si="8"/>
        <v>Thu</v>
      </c>
      <c r="M7480" s="78" t="str">
        <f>IFERROR(VLOOKUP(A7480, Entries!A:B,2,false),"")</f>
        <v>PlayStation</v>
      </c>
      <c r="N7480" s="23" t="str">
        <f>IFERROR(VLOOKUP(A7480, Entries!A:K,11,false),"")</f>
        <v/>
      </c>
    </row>
    <row r="7481">
      <c r="A7481" s="78" t="s">
        <v>7776</v>
      </c>
      <c r="B7481" s="78" t="s">
        <v>18</v>
      </c>
      <c r="C7481" s="85">
        <v>45702.0</v>
      </c>
      <c r="D7481" s="85">
        <v>45710.0</v>
      </c>
      <c r="E7481" s="86">
        <v>42.51</v>
      </c>
      <c r="F7481" s="87">
        <v>48.36</v>
      </c>
      <c r="G7481" s="88">
        <f t="shared" si="1"/>
        <v>5.85</v>
      </c>
      <c r="H7481" s="89">
        <f t="shared" si="18"/>
        <v>0.1209677419</v>
      </c>
      <c r="I7481" s="78" t="s">
        <v>8502</v>
      </c>
      <c r="J7481" s="78" t="s">
        <v>69</v>
      </c>
      <c r="K7481" s="58">
        <f t="shared" si="17"/>
        <v>8</v>
      </c>
      <c r="L7481" s="91" t="str">
        <f t="shared" si="8"/>
        <v>Sat</v>
      </c>
      <c r="M7481" s="78" t="str">
        <f>IFERROR(VLOOKUP(A7481, Entries!A:B,2,false),"")</f>
        <v>PlayStation</v>
      </c>
      <c r="N7481" s="23" t="str">
        <f>IFERROR(VLOOKUP(A7481, Entries!A:K,11,false),"")</f>
        <v/>
      </c>
    </row>
    <row r="7482">
      <c r="A7482" s="78" t="s">
        <v>8461</v>
      </c>
      <c r="B7482" s="78" t="s">
        <v>22</v>
      </c>
      <c r="C7482" s="85">
        <v>45703.0</v>
      </c>
      <c r="D7482" s="85">
        <v>45703.0</v>
      </c>
      <c r="E7482" s="86">
        <v>10.59</v>
      </c>
      <c r="F7482" s="87">
        <v>12.01</v>
      </c>
      <c r="G7482" s="88">
        <f t="shared" si="1"/>
        <v>1.42</v>
      </c>
      <c r="H7482" s="89">
        <f t="shared" si="18"/>
        <v>0.1182348043</v>
      </c>
      <c r="I7482" s="78" t="s">
        <v>8503</v>
      </c>
      <c r="J7482" s="78" t="s">
        <v>69</v>
      </c>
      <c r="K7482" s="58">
        <f t="shared" si="17"/>
        <v>0</v>
      </c>
      <c r="L7482" s="91" t="str">
        <f t="shared" si="8"/>
        <v>Sat</v>
      </c>
      <c r="M7482" s="78" t="str">
        <f>IFERROR(VLOOKUP(A7482, Entries!A:B,2,false),"")</f>
        <v>Element Games</v>
      </c>
      <c r="N7482" s="23" t="str">
        <f>IFERROR(VLOOKUP(A7482, Entries!A:K,11,false),"")</f>
        <v/>
      </c>
    </row>
    <row r="7483">
      <c r="A7483" s="78" t="s">
        <v>8461</v>
      </c>
      <c r="B7483" s="78" t="s">
        <v>22</v>
      </c>
      <c r="C7483" s="85">
        <v>45703.0</v>
      </c>
      <c r="D7483" s="85">
        <v>45704.0</v>
      </c>
      <c r="E7483" s="86">
        <v>10.59</v>
      </c>
      <c r="F7483" s="87">
        <v>11.78</v>
      </c>
      <c r="G7483" s="88">
        <f t="shared" si="1"/>
        <v>1.19</v>
      </c>
      <c r="H7483" s="89">
        <f t="shared" si="18"/>
        <v>0.1010186757</v>
      </c>
      <c r="I7483" s="78" t="s">
        <v>8504</v>
      </c>
      <c r="J7483" s="78" t="s">
        <v>69</v>
      </c>
      <c r="K7483" s="58">
        <f t="shared" si="17"/>
        <v>1</v>
      </c>
      <c r="L7483" s="91" t="str">
        <f t="shared" si="8"/>
        <v>Sun</v>
      </c>
      <c r="M7483" s="78" t="str">
        <f>IFERROR(VLOOKUP(A7483, Entries!A:B,2,false),"")</f>
        <v>Element Games</v>
      </c>
      <c r="N7483" s="23" t="str">
        <f>IFERROR(VLOOKUP(A7483, Entries!A:K,11,false),"")</f>
        <v/>
      </c>
    </row>
    <row r="7484">
      <c r="A7484" s="78" t="s">
        <v>3832</v>
      </c>
      <c r="B7484" s="78" t="s">
        <v>21</v>
      </c>
      <c r="C7484" s="85">
        <v>45704.0</v>
      </c>
      <c r="D7484" s="85">
        <v>45704.0</v>
      </c>
      <c r="E7484" s="86">
        <v>12.12</v>
      </c>
      <c r="F7484" s="87">
        <v>16.45</v>
      </c>
      <c r="G7484" s="88">
        <f t="shared" si="1"/>
        <v>4.33</v>
      </c>
      <c r="H7484" s="89">
        <f t="shared" si="18"/>
        <v>0.2632218845</v>
      </c>
      <c r="I7484" s="78" t="s">
        <v>8505</v>
      </c>
      <c r="J7484" s="78" t="s">
        <v>69</v>
      </c>
      <c r="K7484" s="58">
        <f t="shared" si="17"/>
        <v>0</v>
      </c>
      <c r="L7484" s="91" t="str">
        <f t="shared" si="8"/>
        <v>Sun</v>
      </c>
      <c r="M7484" s="78" t="str">
        <f>IFERROR(VLOOKUP(A7484, Entries!A:B,2,false),"")</f>
        <v>Rebellion</v>
      </c>
      <c r="N7484" s="23" t="str">
        <f>IFERROR(VLOOKUP(A7484, Entries!A:K,11,false),"")</f>
        <v/>
      </c>
    </row>
    <row r="7485">
      <c r="A7485" s="78" t="s">
        <v>8461</v>
      </c>
      <c r="B7485" s="78" t="s">
        <v>22</v>
      </c>
      <c r="C7485" s="85">
        <v>45704.0</v>
      </c>
      <c r="D7485" s="85">
        <v>45704.0</v>
      </c>
      <c r="E7485" s="86">
        <v>10.59</v>
      </c>
      <c r="F7485" s="87">
        <v>11.78</v>
      </c>
      <c r="G7485" s="88">
        <f t="shared" si="1"/>
        <v>1.19</v>
      </c>
      <c r="H7485" s="89">
        <f t="shared" si="18"/>
        <v>0.1010186757</v>
      </c>
      <c r="I7485" s="78" t="s">
        <v>8506</v>
      </c>
      <c r="J7485" s="78" t="s">
        <v>69</v>
      </c>
      <c r="K7485" s="58">
        <f t="shared" si="17"/>
        <v>0</v>
      </c>
      <c r="L7485" s="91" t="str">
        <f t="shared" si="8"/>
        <v>Sun</v>
      </c>
      <c r="M7485" s="78" t="str">
        <f>IFERROR(VLOOKUP(A7485, Entries!A:B,2,false),"")</f>
        <v>Element Games</v>
      </c>
      <c r="N7485" s="23" t="str">
        <f>IFERROR(VLOOKUP(A7485, Entries!A:K,11,false),"")</f>
        <v/>
      </c>
    </row>
    <row r="7486">
      <c r="A7486" s="78" t="s">
        <v>8461</v>
      </c>
      <c r="B7486" s="78" t="s">
        <v>22</v>
      </c>
      <c r="C7486" s="85">
        <v>45704.0</v>
      </c>
      <c r="D7486" s="85">
        <v>45705.0</v>
      </c>
      <c r="E7486" s="86">
        <v>10.59</v>
      </c>
      <c r="F7486" s="87">
        <v>11.69</v>
      </c>
      <c r="G7486" s="88">
        <f t="shared" si="1"/>
        <v>1.1</v>
      </c>
      <c r="H7486" s="89">
        <f t="shared" si="18"/>
        <v>0.09409751925</v>
      </c>
      <c r="I7486" s="78" t="s">
        <v>8507</v>
      </c>
      <c r="J7486" s="78" t="s">
        <v>69</v>
      </c>
      <c r="K7486" s="58">
        <f t="shared" si="17"/>
        <v>1</v>
      </c>
      <c r="L7486" s="91" t="str">
        <f t="shared" si="8"/>
        <v>Mon</v>
      </c>
      <c r="M7486" s="78" t="str">
        <f>IFERROR(VLOOKUP(A7486, Entries!A:B,2,false),"")</f>
        <v>Element Games</v>
      </c>
      <c r="N7486" s="23" t="str">
        <f>IFERROR(VLOOKUP(A7486, Entries!A:K,11,false),"")</f>
        <v/>
      </c>
    </row>
    <row r="7487">
      <c r="A7487" s="78" t="s">
        <v>8461</v>
      </c>
      <c r="B7487" s="78" t="s">
        <v>22</v>
      </c>
      <c r="C7487" s="85">
        <v>45705.0</v>
      </c>
      <c r="D7487" s="85">
        <v>45705.0</v>
      </c>
      <c r="E7487" s="86">
        <v>10.59</v>
      </c>
      <c r="F7487" s="87">
        <v>13.36</v>
      </c>
      <c r="G7487" s="88">
        <f t="shared" si="1"/>
        <v>2.77</v>
      </c>
      <c r="H7487" s="89">
        <f t="shared" si="18"/>
        <v>0.2073353293</v>
      </c>
      <c r="I7487" s="78" t="s">
        <v>8508</v>
      </c>
      <c r="J7487" s="78" t="s">
        <v>69</v>
      </c>
      <c r="K7487" s="58">
        <f t="shared" si="17"/>
        <v>0</v>
      </c>
      <c r="L7487" s="91" t="str">
        <f t="shared" si="8"/>
        <v>Mon</v>
      </c>
      <c r="M7487" s="78" t="str">
        <f>IFERROR(VLOOKUP(A7487, Entries!A:B,2,false),"")</f>
        <v>Element Games</v>
      </c>
      <c r="N7487" s="23" t="str">
        <f>IFERROR(VLOOKUP(A7487, Entries!A:K,11,false),"")</f>
        <v/>
      </c>
    </row>
    <row r="7488">
      <c r="A7488" s="78" t="s">
        <v>8461</v>
      </c>
      <c r="B7488" s="78" t="s">
        <v>22</v>
      </c>
      <c r="C7488" s="85">
        <v>45705.0</v>
      </c>
      <c r="D7488" s="85">
        <v>45708.0</v>
      </c>
      <c r="E7488" s="86">
        <v>10.59</v>
      </c>
      <c r="F7488" s="87">
        <v>12.85</v>
      </c>
      <c r="G7488" s="88">
        <f t="shared" si="1"/>
        <v>2.26</v>
      </c>
      <c r="H7488" s="89">
        <f t="shared" si="18"/>
        <v>0.1758754864</v>
      </c>
      <c r="I7488" s="78" t="s">
        <v>8509</v>
      </c>
      <c r="J7488" s="78" t="s">
        <v>69</v>
      </c>
      <c r="K7488" s="58">
        <f t="shared" si="17"/>
        <v>3</v>
      </c>
      <c r="L7488" s="91" t="str">
        <f t="shared" si="8"/>
        <v>Thu</v>
      </c>
      <c r="M7488" s="78" t="str">
        <f>IFERROR(VLOOKUP(A7488, Entries!A:B,2,false),"")</f>
        <v>Element Games</v>
      </c>
      <c r="N7488" s="23" t="str">
        <f>IFERROR(VLOOKUP(A7488, Entries!A:K,11,false),"")</f>
        <v/>
      </c>
    </row>
    <row r="7489">
      <c r="A7489" s="78" t="s">
        <v>8461</v>
      </c>
      <c r="B7489" s="78" t="s">
        <v>22</v>
      </c>
      <c r="C7489" s="85">
        <v>45705.0</v>
      </c>
      <c r="D7489" s="85">
        <v>45708.0</v>
      </c>
      <c r="E7489" s="86">
        <v>10.59</v>
      </c>
      <c r="F7489" s="87">
        <v>12.77</v>
      </c>
      <c r="G7489" s="88">
        <f t="shared" si="1"/>
        <v>2.18</v>
      </c>
      <c r="H7489" s="89">
        <f t="shared" si="18"/>
        <v>0.1707126077</v>
      </c>
      <c r="I7489" s="78" t="s">
        <v>8510</v>
      </c>
      <c r="J7489" s="78" t="s">
        <v>69</v>
      </c>
      <c r="K7489" s="58">
        <f t="shared" si="17"/>
        <v>3</v>
      </c>
      <c r="L7489" s="91" t="str">
        <f t="shared" si="8"/>
        <v>Thu</v>
      </c>
      <c r="M7489" s="78" t="str">
        <f>IFERROR(VLOOKUP(A7489, Entries!A:B,2,false),"")</f>
        <v>Element Games</v>
      </c>
      <c r="N7489" s="23" t="str">
        <f>IFERROR(VLOOKUP(A7489, Entries!A:K,11,false),"")</f>
        <v/>
      </c>
    </row>
    <row r="7490">
      <c r="A7490" s="78" t="s">
        <v>8511</v>
      </c>
      <c r="B7490" s="78" t="s">
        <v>21</v>
      </c>
      <c r="C7490" s="85">
        <v>45706.0</v>
      </c>
      <c r="D7490" s="85">
        <v>45797.0</v>
      </c>
      <c r="E7490" s="86">
        <v>22.85</v>
      </c>
      <c r="F7490" s="87">
        <v>22.3</v>
      </c>
      <c r="G7490" s="88">
        <f t="shared" si="1"/>
        <v>-0.55</v>
      </c>
      <c r="H7490" s="89">
        <f t="shared" si="18"/>
        <v>-0.02466367713</v>
      </c>
      <c r="I7490" s="103" t="s">
        <v>8512</v>
      </c>
      <c r="J7490" s="78" t="s">
        <v>69</v>
      </c>
      <c r="K7490" s="58">
        <f t="shared" si="17"/>
        <v>91</v>
      </c>
      <c r="L7490" s="91" t="str">
        <f t="shared" si="8"/>
        <v>Tue</v>
      </c>
      <c r="M7490" s="78" t="str">
        <f>IFERROR(VLOOKUP(A7490, Entries!A:B,2,false),"")</f>
        <v/>
      </c>
      <c r="N7490" s="23" t="str">
        <f>IFERROR(VLOOKUP(A7490, Entries!A:K,11,false),"")</f>
        <v/>
      </c>
    </row>
    <row r="7491">
      <c r="A7491" s="78" t="s">
        <v>7814</v>
      </c>
      <c r="B7491" s="78" t="s">
        <v>21</v>
      </c>
      <c r="C7491" s="85">
        <v>45707.0</v>
      </c>
      <c r="D7491" s="85">
        <v>45707.0</v>
      </c>
      <c r="E7491" s="86">
        <v>23.04</v>
      </c>
      <c r="F7491" s="87">
        <v>26.08</v>
      </c>
      <c r="G7491" s="88">
        <f t="shared" si="1"/>
        <v>3.04</v>
      </c>
      <c r="H7491" s="89">
        <f t="shared" si="18"/>
        <v>0.1165644172</v>
      </c>
      <c r="I7491" s="78" t="s">
        <v>8513</v>
      </c>
      <c r="J7491" s="78" t="s">
        <v>69</v>
      </c>
      <c r="K7491" s="58">
        <f t="shared" si="17"/>
        <v>0</v>
      </c>
      <c r="L7491" s="91" t="str">
        <f t="shared" si="8"/>
        <v>Wed</v>
      </c>
      <c r="M7491" s="78" t="str">
        <f>IFERROR(VLOOKUP(A7491, Entries!A:B,2,false),"")</f>
        <v>Electronic Arts</v>
      </c>
      <c r="N7491" s="23" t="str">
        <f>IFERROR(VLOOKUP(A7491, Entries!A:K,11,false),"")</f>
        <v/>
      </c>
    </row>
    <row r="7492">
      <c r="A7492" s="78" t="s">
        <v>7814</v>
      </c>
      <c r="B7492" s="78" t="s">
        <v>21</v>
      </c>
      <c r="C7492" s="85">
        <v>45707.0</v>
      </c>
      <c r="D7492" s="85">
        <v>45715.0</v>
      </c>
      <c r="E7492" s="86">
        <v>23.05</v>
      </c>
      <c r="F7492" s="87">
        <v>27.16</v>
      </c>
      <c r="G7492" s="88">
        <f t="shared" si="1"/>
        <v>4.11</v>
      </c>
      <c r="H7492" s="89">
        <f t="shared" si="18"/>
        <v>0.1513254786</v>
      </c>
      <c r="I7492" s="78" t="s">
        <v>8514</v>
      </c>
      <c r="J7492" s="78" t="s">
        <v>69</v>
      </c>
      <c r="K7492" s="58">
        <f t="shared" si="17"/>
        <v>8</v>
      </c>
      <c r="L7492" s="91" t="str">
        <f t="shared" si="8"/>
        <v>Thu</v>
      </c>
      <c r="M7492" s="78" t="str">
        <f>IFERROR(VLOOKUP(A7492, Entries!A:B,2,false),"")</f>
        <v>Electronic Arts</v>
      </c>
      <c r="N7492" s="23" t="str">
        <f>IFERROR(VLOOKUP(A7492, Entries!A:K,11,false),"")</f>
        <v/>
      </c>
    </row>
    <row r="7493">
      <c r="A7493" s="78" t="s">
        <v>8515</v>
      </c>
      <c r="B7493" s="78" t="s">
        <v>21</v>
      </c>
      <c r="C7493" s="85">
        <v>45707.0</v>
      </c>
      <c r="D7493" s="85">
        <v>45707.0</v>
      </c>
      <c r="E7493" s="86">
        <v>48.87</v>
      </c>
      <c r="F7493" s="87">
        <v>66.52</v>
      </c>
      <c r="G7493" s="88">
        <f t="shared" si="1"/>
        <v>17.65</v>
      </c>
      <c r="H7493" s="89">
        <f t="shared" si="18"/>
        <v>0.2653337342</v>
      </c>
      <c r="I7493" s="78" t="s">
        <v>8516</v>
      </c>
      <c r="J7493" s="78" t="s">
        <v>69</v>
      </c>
      <c r="K7493" s="58">
        <f t="shared" si="17"/>
        <v>0</v>
      </c>
      <c r="L7493" s="91" t="str">
        <f t="shared" si="8"/>
        <v>Wed</v>
      </c>
      <c r="M7493" s="78" t="str">
        <f>IFERROR(VLOOKUP(A7493, Entries!A:B,2,false),"")</f>
        <v>2K</v>
      </c>
      <c r="N7493" s="23" t="str">
        <f>IFERROR(VLOOKUP(A7493, Entries!A:K,11,false),"")</f>
        <v/>
      </c>
    </row>
    <row r="7494">
      <c r="A7494" s="78" t="s">
        <v>8461</v>
      </c>
      <c r="B7494" s="78" t="s">
        <v>22</v>
      </c>
      <c r="C7494" s="85">
        <v>45708.0</v>
      </c>
      <c r="D7494" s="85">
        <v>45708.0</v>
      </c>
      <c r="E7494" s="86">
        <v>10.64</v>
      </c>
      <c r="F7494" s="87">
        <v>12.74</v>
      </c>
      <c r="G7494" s="88">
        <f t="shared" si="1"/>
        <v>2.1</v>
      </c>
      <c r="H7494" s="89">
        <f t="shared" si="18"/>
        <v>0.1648351648</v>
      </c>
      <c r="I7494" s="78" t="s">
        <v>8517</v>
      </c>
      <c r="J7494" s="78" t="s">
        <v>69</v>
      </c>
      <c r="K7494" s="58">
        <f t="shared" si="17"/>
        <v>0</v>
      </c>
      <c r="L7494" s="91" t="str">
        <f t="shared" si="8"/>
        <v>Thu</v>
      </c>
      <c r="M7494" s="78" t="str">
        <f>IFERROR(VLOOKUP(A7494, Entries!A:B,2,false),"")</f>
        <v>Element Games</v>
      </c>
      <c r="N7494" s="23" t="str">
        <f>IFERROR(VLOOKUP(A7494, Entries!A:K,11,false),"")</f>
        <v/>
      </c>
    </row>
    <row r="7495">
      <c r="A7495" s="78" t="s">
        <v>8461</v>
      </c>
      <c r="B7495" s="78" t="s">
        <v>22</v>
      </c>
      <c r="C7495" s="85">
        <v>45708.0</v>
      </c>
      <c r="D7495" s="85">
        <v>45708.0</v>
      </c>
      <c r="E7495" s="86">
        <v>10.64</v>
      </c>
      <c r="F7495" s="87">
        <v>12.56</v>
      </c>
      <c r="G7495" s="88">
        <f t="shared" si="1"/>
        <v>1.92</v>
      </c>
      <c r="H7495" s="89">
        <f t="shared" si="18"/>
        <v>0.152866242</v>
      </c>
      <c r="I7495" s="78" t="s">
        <v>8518</v>
      </c>
      <c r="J7495" s="78" t="s">
        <v>69</v>
      </c>
      <c r="K7495" s="58">
        <f t="shared" si="17"/>
        <v>0</v>
      </c>
      <c r="L7495" s="91" t="str">
        <f t="shared" si="8"/>
        <v>Thu</v>
      </c>
      <c r="M7495" s="78" t="str">
        <f>IFERROR(VLOOKUP(A7495, Entries!A:B,2,false),"")</f>
        <v>Element Games</v>
      </c>
      <c r="N7495" s="23" t="str">
        <f>IFERROR(VLOOKUP(A7495, Entries!A:K,11,false),"")</f>
        <v/>
      </c>
    </row>
    <row r="7496">
      <c r="A7496" s="78" t="s">
        <v>8515</v>
      </c>
      <c r="B7496" s="78" t="s">
        <v>21</v>
      </c>
      <c r="C7496" s="85">
        <v>45708.0</v>
      </c>
      <c r="D7496" s="85">
        <v>45708.0</v>
      </c>
      <c r="E7496" s="86">
        <v>44.84</v>
      </c>
      <c r="F7496" s="87">
        <v>63.74</v>
      </c>
      <c r="G7496" s="88">
        <f t="shared" si="1"/>
        <v>18.9</v>
      </c>
      <c r="H7496" s="89">
        <f t="shared" si="18"/>
        <v>0.2965171007</v>
      </c>
      <c r="I7496" s="78" t="s">
        <v>8519</v>
      </c>
      <c r="J7496" s="78" t="s">
        <v>69</v>
      </c>
      <c r="K7496" s="58">
        <f t="shared" si="17"/>
        <v>0</v>
      </c>
      <c r="L7496" s="91" t="str">
        <f t="shared" si="8"/>
        <v>Thu</v>
      </c>
      <c r="M7496" s="78" t="str">
        <f>IFERROR(VLOOKUP(A7496, Entries!A:B,2,false),"")</f>
        <v>2K</v>
      </c>
      <c r="N7496" s="23" t="str">
        <f>IFERROR(VLOOKUP(A7496, Entries!A:K,11,false),"")</f>
        <v/>
      </c>
    </row>
    <row r="7497">
      <c r="A7497" s="78" t="s">
        <v>8515</v>
      </c>
      <c r="B7497" s="78" t="s">
        <v>21</v>
      </c>
      <c r="C7497" s="85">
        <v>45708.0</v>
      </c>
      <c r="D7497" s="85">
        <v>45709.0</v>
      </c>
      <c r="E7497" s="86">
        <v>39.78</v>
      </c>
      <c r="F7497" s="87">
        <v>63.74</v>
      </c>
      <c r="G7497" s="88">
        <f t="shared" si="1"/>
        <v>23.96</v>
      </c>
      <c r="H7497" s="89">
        <f t="shared" si="18"/>
        <v>0.3759021023</v>
      </c>
      <c r="I7497" s="78" t="s">
        <v>8520</v>
      </c>
      <c r="J7497" s="78" t="s">
        <v>69</v>
      </c>
      <c r="K7497" s="58">
        <f t="shared" si="17"/>
        <v>1</v>
      </c>
      <c r="L7497" s="91" t="str">
        <f t="shared" si="8"/>
        <v>Fri</v>
      </c>
      <c r="M7497" s="78" t="str">
        <f>IFERROR(VLOOKUP(A7497, Entries!A:B,2,false),"")</f>
        <v>2K</v>
      </c>
      <c r="N7497" s="23" t="str">
        <f>IFERROR(VLOOKUP(A7497, Entries!A:K,11,false),"")</f>
        <v/>
      </c>
    </row>
    <row r="7498">
      <c r="A7498" s="78" t="s">
        <v>8461</v>
      </c>
      <c r="B7498" s="78" t="s">
        <v>22</v>
      </c>
      <c r="C7498" s="85">
        <v>45708.0</v>
      </c>
      <c r="D7498" s="85">
        <v>45709.0</v>
      </c>
      <c r="E7498" s="86">
        <v>10.64</v>
      </c>
      <c r="F7498" s="87">
        <v>12.38</v>
      </c>
      <c r="G7498" s="88">
        <f t="shared" si="1"/>
        <v>1.74</v>
      </c>
      <c r="H7498" s="89">
        <f t="shared" si="18"/>
        <v>0.140549273</v>
      </c>
      <c r="I7498" s="78" t="s">
        <v>8521</v>
      </c>
      <c r="J7498" s="78" t="s">
        <v>69</v>
      </c>
      <c r="K7498" s="58">
        <f t="shared" si="17"/>
        <v>1</v>
      </c>
      <c r="L7498" s="91" t="str">
        <f t="shared" si="8"/>
        <v>Fri</v>
      </c>
      <c r="M7498" s="78" t="str">
        <f>IFERROR(VLOOKUP(A7498, Entries!A:B,2,false),"")</f>
        <v>Element Games</v>
      </c>
      <c r="N7498" s="23" t="str">
        <f>IFERROR(VLOOKUP(A7498, Entries!A:K,11,false),"")</f>
        <v/>
      </c>
    </row>
    <row r="7499">
      <c r="A7499" s="78" t="s">
        <v>7750</v>
      </c>
      <c r="B7499" s="78" t="s">
        <v>21</v>
      </c>
      <c r="C7499" s="85">
        <v>45709.0</v>
      </c>
      <c r="D7499" s="85">
        <v>45709.0</v>
      </c>
      <c r="E7499" s="86">
        <v>34.82</v>
      </c>
      <c r="F7499" s="87">
        <v>39.11</v>
      </c>
      <c r="G7499" s="88">
        <f t="shared" si="1"/>
        <v>4.29</v>
      </c>
      <c r="H7499" s="89">
        <f t="shared" si="18"/>
        <v>0.1096906162</v>
      </c>
      <c r="I7499" s="78" t="s">
        <v>8522</v>
      </c>
      <c r="J7499" s="78" t="s">
        <v>69</v>
      </c>
      <c r="K7499" s="58">
        <f t="shared" si="17"/>
        <v>0</v>
      </c>
      <c r="L7499" s="91" t="str">
        <f t="shared" si="8"/>
        <v>Fri</v>
      </c>
      <c r="M7499" s="78" t="str">
        <f>IFERROR(VLOOKUP(A7499, Entries!A:B,2,false),"")</f>
        <v/>
      </c>
      <c r="N7499" s="23" t="str">
        <f>IFERROR(VLOOKUP(A7499, Entries!A:K,11,false),"")</f>
        <v/>
      </c>
    </row>
    <row r="7500">
      <c r="A7500" s="78" t="s">
        <v>8461</v>
      </c>
      <c r="B7500" s="78" t="s">
        <v>22</v>
      </c>
      <c r="C7500" s="85">
        <v>45709.0</v>
      </c>
      <c r="D7500" s="85">
        <v>45709.0</v>
      </c>
      <c r="E7500" s="86">
        <v>10.62</v>
      </c>
      <c r="F7500" s="87">
        <v>12.04</v>
      </c>
      <c r="G7500" s="88">
        <f t="shared" si="1"/>
        <v>1.42</v>
      </c>
      <c r="H7500" s="89">
        <f t="shared" si="18"/>
        <v>0.1179401993</v>
      </c>
      <c r="I7500" s="78" t="s">
        <v>8523</v>
      </c>
      <c r="J7500" s="78" t="s">
        <v>69</v>
      </c>
      <c r="K7500" s="58">
        <f t="shared" si="17"/>
        <v>0</v>
      </c>
      <c r="L7500" s="91" t="str">
        <f t="shared" si="8"/>
        <v>Fri</v>
      </c>
      <c r="M7500" s="78" t="str">
        <f>IFERROR(VLOOKUP(A7500, Entries!A:B,2,false),"")</f>
        <v>Element Games</v>
      </c>
      <c r="N7500" s="23" t="str">
        <f>IFERROR(VLOOKUP(A7500, Entries!A:K,11,false),"")</f>
        <v/>
      </c>
    </row>
    <row r="7501">
      <c r="A7501" s="78" t="s">
        <v>8461</v>
      </c>
      <c r="B7501" s="78" t="s">
        <v>22</v>
      </c>
      <c r="C7501" s="85">
        <v>45709.0</v>
      </c>
      <c r="D7501" s="85">
        <v>45710.0</v>
      </c>
      <c r="E7501" s="86">
        <v>10.63</v>
      </c>
      <c r="F7501" s="87">
        <v>11.91</v>
      </c>
      <c r="G7501" s="88">
        <f t="shared" si="1"/>
        <v>1.28</v>
      </c>
      <c r="H7501" s="89">
        <f t="shared" si="18"/>
        <v>0.107472712</v>
      </c>
      <c r="I7501" s="78" t="s">
        <v>8524</v>
      </c>
      <c r="J7501" s="78" t="s">
        <v>69</v>
      </c>
      <c r="K7501" s="58">
        <f t="shared" si="17"/>
        <v>1</v>
      </c>
      <c r="L7501" s="91" t="str">
        <f t="shared" si="8"/>
        <v>Sat</v>
      </c>
      <c r="M7501" s="78" t="str">
        <f>IFERROR(VLOOKUP(A7501, Entries!A:B,2,false),"")</f>
        <v>Element Games</v>
      </c>
      <c r="N7501" s="23" t="str">
        <f>IFERROR(VLOOKUP(A7501, Entries!A:K,11,false),"")</f>
        <v/>
      </c>
    </row>
    <row r="7502">
      <c r="A7502" s="78" t="s">
        <v>8011</v>
      </c>
      <c r="B7502" s="78" t="s">
        <v>22</v>
      </c>
      <c r="C7502" s="85">
        <v>45709.0</v>
      </c>
      <c r="D7502" s="85">
        <v>45711.0</v>
      </c>
      <c r="E7502" s="86">
        <v>12.74</v>
      </c>
      <c r="F7502" s="87">
        <v>14.45</v>
      </c>
      <c r="G7502" s="88">
        <f t="shared" si="1"/>
        <v>1.71</v>
      </c>
      <c r="H7502" s="89">
        <f t="shared" si="18"/>
        <v>0.1183391003</v>
      </c>
      <c r="I7502" s="78" t="s">
        <v>8525</v>
      </c>
      <c r="J7502" s="78" t="s">
        <v>69</v>
      </c>
      <c r="K7502" s="58">
        <f t="shared" si="17"/>
        <v>2</v>
      </c>
      <c r="L7502" s="91" t="str">
        <f t="shared" si="8"/>
        <v>Sun</v>
      </c>
      <c r="M7502" s="78" t="str">
        <f>IFERROR(VLOOKUP(A7502, Entries!A:B,2,false),"")</f>
        <v/>
      </c>
      <c r="N7502" s="23" t="str">
        <f>IFERROR(VLOOKUP(A7502, Entries!A:K,11,false),"")</f>
        <v/>
      </c>
    </row>
    <row r="7503">
      <c r="A7503" s="78" t="s">
        <v>8526</v>
      </c>
      <c r="B7503" s="78" t="s">
        <v>22</v>
      </c>
      <c r="C7503" s="85">
        <v>45709.0</v>
      </c>
      <c r="D7503" s="85">
        <v>45709.0</v>
      </c>
      <c r="E7503" s="86">
        <v>9.99</v>
      </c>
      <c r="F7503" s="87">
        <v>11.16</v>
      </c>
      <c r="G7503" s="88">
        <f t="shared" si="1"/>
        <v>1.17</v>
      </c>
      <c r="H7503" s="89">
        <f t="shared" si="18"/>
        <v>0.1048387097</v>
      </c>
      <c r="I7503" s="78" t="s">
        <v>8527</v>
      </c>
      <c r="J7503" s="78" t="s">
        <v>69</v>
      </c>
      <c r="K7503" s="58">
        <f t="shared" si="17"/>
        <v>0</v>
      </c>
      <c r="L7503" s="91" t="str">
        <f t="shared" si="8"/>
        <v>Fri</v>
      </c>
      <c r="M7503" s="78" t="str">
        <f>IFERROR(VLOOKUP(A7503, Entries!A:B,2,false),"")</f>
        <v/>
      </c>
      <c r="N7503" s="23" t="str">
        <f>IFERROR(VLOOKUP(A7503, Entries!A:K,11,false),"")</f>
        <v/>
      </c>
    </row>
    <row r="7504">
      <c r="A7504" s="78" t="s">
        <v>8487</v>
      </c>
      <c r="B7504" s="78" t="s">
        <v>22</v>
      </c>
      <c r="C7504" s="85">
        <v>45710.0</v>
      </c>
      <c r="D7504" s="85">
        <v>45710.0</v>
      </c>
      <c r="E7504" s="86">
        <v>10.59</v>
      </c>
      <c r="F7504" s="87">
        <v>12.8</v>
      </c>
      <c r="G7504" s="88">
        <f t="shared" si="1"/>
        <v>2.21</v>
      </c>
      <c r="H7504" s="89">
        <f t="shared" si="18"/>
        <v>0.17265625</v>
      </c>
      <c r="I7504" s="78" t="s">
        <v>8528</v>
      </c>
      <c r="J7504" s="78" t="s">
        <v>69</v>
      </c>
      <c r="K7504" s="58">
        <f t="shared" si="17"/>
        <v>0</v>
      </c>
      <c r="L7504" s="91" t="str">
        <f t="shared" si="8"/>
        <v>Sat</v>
      </c>
      <c r="M7504" s="78" t="str">
        <f>IFERROR(VLOOKUP(A7504, Entries!A:B,2,false),"")</f>
        <v/>
      </c>
      <c r="N7504" s="23" t="str">
        <f>IFERROR(VLOOKUP(A7504, Entries!A:K,11,false),"")</f>
        <v/>
      </c>
    </row>
    <row r="7505">
      <c r="A7505" s="78" t="s">
        <v>8529</v>
      </c>
      <c r="B7505" s="78" t="s">
        <v>25</v>
      </c>
      <c r="C7505" s="85">
        <v>45710.0</v>
      </c>
      <c r="D7505" s="85">
        <v>45710.0</v>
      </c>
      <c r="E7505" s="86">
        <v>38.98</v>
      </c>
      <c r="F7505" s="87">
        <v>42.21</v>
      </c>
      <c r="G7505" s="88">
        <f t="shared" si="1"/>
        <v>3.23</v>
      </c>
      <c r="H7505" s="89">
        <f t="shared" si="18"/>
        <v>0.07652215115</v>
      </c>
      <c r="J7505" s="78" t="s">
        <v>69</v>
      </c>
      <c r="K7505" s="58">
        <f t="shared" si="17"/>
        <v>0</v>
      </c>
      <c r="L7505" s="91" t="str">
        <f t="shared" si="8"/>
        <v>Sat</v>
      </c>
      <c r="M7505" s="78" t="str">
        <f>IFERROR(VLOOKUP(A7505, Entries!A:B,2,false),"")</f>
        <v>SEGA</v>
      </c>
      <c r="N7505" s="23" t="str">
        <f>IFERROR(VLOOKUP(A7505, Entries!A:K,11,false),"")</f>
        <v/>
      </c>
    </row>
    <row r="7506">
      <c r="A7506" s="78" t="s">
        <v>8529</v>
      </c>
      <c r="B7506" s="78" t="s">
        <v>18</v>
      </c>
      <c r="C7506" s="85">
        <v>45710.0</v>
      </c>
      <c r="D7506" s="85">
        <v>45710.0</v>
      </c>
      <c r="E7506" s="86">
        <v>37.49</v>
      </c>
      <c r="F7506" s="87">
        <v>42.21</v>
      </c>
      <c r="G7506" s="88">
        <f t="shared" si="1"/>
        <v>4.72</v>
      </c>
      <c r="H7506" s="89">
        <f t="shared" si="18"/>
        <v>0.1118218432</v>
      </c>
      <c r="I7506" s="78" t="s">
        <v>8530</v>
      </c>
      <c r="J7506" s="78" t="s">
        <v>69</v>
      </c>
      <c r="K7506" s="58">
        <f t="shared" si="17"/>
        <v>0</v>
      </c>
      <c r="L7506" s="91" t="str">
        <f t="shared" si="8"/>
        <v>Sat</v>
      </c>
      <c r="M7506" s="78" t="str">
        <f>IFERROR(VLOOKUP(A7506, Entries!A:B,2,false),"")</f>
        <v>SEGA</v>
      </c>
      <c r="N7506" s="23" t="str">
        <f>IFERROR(VLOOKUP(A7506, Entries!A:K,11,false),"")</f>
        <v/>
      </c>
    </row>
    <row r="7507">
      <c r="A7507" s="78" t="s">
        <v>8529</v>
      </c>
      <c r="B7507" s="78" t="s">
        <v>18</v>
      </c>
      <c r="C7507" s="85">
        <v>45710.0</v>
      </c>
      <c r="D7507" s="85">
        <v>45710.0</v>
      </c>
      <c r="E7507" s="86">
        <v>37.49</v>
      </c>
      <c r="F7507" s="87">
        <v>42.21</v>
      </c>
      <c r="G7507" s="88">
        <f t="shared" si="1"/>
        <v>4.72</v>
      </c>
      <c r="H7507" s="89">
        <f t="shared" si="18"/>
        <v>0.1118218432</v>
      </c>
      <c r="I7507" s="78" t="s">
        <v>8531</v>
      </c>
      <c r="J7507" s="78" t="s">
        <v>69</v>
      </c>
      <c r="K7507" s="58">
        <f t="shared" si="17"/>
        <v>0</v>
      </c>
      <c r="L7507" s="91" t="str">
        <f t="shared" si="8"/>
        <v>Sat</v>
      </c>
      <c r="M7507" s="78" t="str">
        <f>IFERROR(VLOOKUP(A7507, Entries!A:B,2,false),"")</f>
        <v>SEGA</v>
      </c>
      <c r="N7507" s="23" t="str">
        <f>IFERROR(VLOOKUP(A7507, Entries!A:K,11,false),"")</f>
        <v/>
      </c>
    </row>
    <row r="7508">
      <c r="A7508" s="78" t="s">
        <v>8532</v>
      </c>
      <c r="B7508" s="78" t="s">
        <v>8385</v>
      </c>
      <c r="C7508" s="85">
        <v>45710.0</v>
      </c>
      <c r="D7508" s="85">
        <v>45729.0</v>
      </c>
      <c r="E7508" s="86">
        <v>4.58</v>
      </c>
      <c r="F7508" s="87">
        <v>4.84</v>
      </c>
      <c r="G7508" s="88">
        <f t="shared" si="1"/>
        <v>0.26</v>
      </c>
      <c r="H7508" s="89">
        <f t="shared" si="18"/>
        <v>0.05371900826</v>
      </c>
      <c r="I7508" s="78" t="s">
        <v>8533</v>
      </c>
      <c r="J7508" s="78" t="s">
        <v>69</v>
      </c>
      <c r="K7508" s="58">
        <f t="shared" si="17"/>
        <v>19</v>
      </c>
      <c r="L7508" s="91" t="str">
        <f t="shared" si="8"/>
        <v>Thu</v>
      </c>
      <c r="M7508" s="78" t="str">
        <f>IFERROR(VLOOKUP(A7508, Entries!A:B,2,false),"")</f>
        <v/>
      </c>
      <c r="N7508" s="23" t="str">
        <f>IFERROR(VLOOKUP(A7508, Entries!A:K,11,false),"")</f>
        <v/>
      </c>
    </row>
    <row r="7509">
      <c r="A7509" s="78" t="s">
        <v>8487</v>
      </c>
      <c r="B7509" s="78" t="s">
        <v>22</v>
      </c>
      <c r="C7509" s="85">
        <v>45710.0</v>
      </c>
      <c r="D7509" s="85">
        <v>45710.0</v>
      </c>
      <c r="E7509" s="86">
        <v>10.59</v>
      </c>
      <c r="F7509" s="87">
        <v>12.8</v>
      </c>
      <c r="G7509" s="88">
        <f t="shared" si="1"/>
        <v>2.21</v>
      </c>
      <c r="H7509" s="89">
        <f t="shared" si="18"/>
        <v>0.17265625</v>
      </c>
      <c r="I7509" s="78" t="s">
        <v>8534</v>
      </c>
      <c r="J7509" s="78" t="s">
        <v>69</v>
      </c>
      <c r="K7509" s="58">
        <f t="shared" si="17"/>
        <v>0</v>
      </c>
      <c r="L7509" s="91" t="str">
        <f t="shared" si="8"/>
        <v>Sat</v>
      </c>
      <c r="M7509" s="78" t="str">
        <f>IFERROR(VLOOKUP(A7509, Entries!A:B,2,false),"")</f>
        <v/>
      </c>
      <c r="N7509" s="23" t="str">
        <f>IFERROR(VLOOKUP(A7509, Entries!A:K,11,false),"")</f>
        <v/>
      </c>
    </row>
    <row r="7510">
      <c r="A7510" s="78" t="s">
        <v>8487</v>
      </c>
      <c r="B7510" s="78" t="s">
        <v>22</v>
      </c>
      <c r="C7510" s="85">
        <v>45710.0</v>
      </c>
      <c r="D7510" s="85">
        <v>45710.0</v>
      </c>
      <c r="E7510" s="86">
        <v>10.59</v>
      </c>
      <c r="F7510" s="87">
        <v>12.77</v>
      </c>
      <c r="G7510" s="88">
        <f t="shared" si="1"/>
        <v>2.18</v>
      </c>
      <c r="H7510" s="89">
        <f t="shared" si="18"/>
        <v>0.1707126077</v>
      </c>
      <c r="I7510" s="78" t="s">
        <v>8535</v>
      </c>
      <c r="J7510" s="78" t="s">
        <v>69</v>
      </c>
      <c r="K7510" s="58">
        <f t="shared" si="17"/>
        <v>0</v>
      </c>
      <c r="L7510" s="91" t="str">
        <f t="shared" si="8"/>
        <v>Sat</v>
      </c>
      <c r="M7510" s="78" t="str">
        <f>IFERROR(VLOOKUP(A7510, Entries!A:B,2,false),"")</f>
        <v/>
      </c>
      <c r="N7510" s="23" t="str">
        <f>IFERROR(VLOOKUP(A7510, Entries!A:K,11,false),"")</f>
        <v/>
      </c>
    </row>
    <row r="7511">
      <c r="A7511" s="78" t="s">
        <v>8461</v>
      </c>
      <c r="B7511" s="78" t="s">
        <v>22</v>
      </c>
      <c r="C7511" s="85">
        <v>45710.0</v>
      </c>
      <c r="D7511" s="85">
        <v>45711.0</v>
      </c>
      <c r="E7511" s="86">
        <v>10.59</v>
      </c>
      <c r="F7511" s="87">
        <v>11.83</v>
      </c>
      <c r="G7511" s="88">
        <f t="shared" si="1"/>
        <v>1.24</v>
      </c>
      <c r="H7511" s="89">
        <f t="shared" si="18"/>
        <v>0.1048182587</v>
      </c>
      <c r="I7511" s="78" t="s">
        <v>8536</v>
      </c>
      <c r="J7511" s="78" t="s">
        <v>69</v>
      </c>
      <c r="K7511" s="58">
        <f t="shared" si="17"/>
        <v>1</v>
      </c>
      <c r="L7511" s="91" t="str">
        <f t="shared" si="8"/>
        <v>Sun</v>
      </c>
      <c r="M7511" s="78" t="str">
        <f>IFERROR(VLOOKUP(A7511, Entries!A:B,2,false),"")</f>
        <v>Element Games</v>
      </c>
      <c r="N7511" s="23" t="str">
        <f>IFERROR(VLOOKUP(A7511, Entries!A:K,11,false),"")</f>
        <v/>
      </c>
    </row>
    <row r="7512">
      <c r="A7512" s="78" t="s">
        <v>7776</v>
      </c>
      <c r="B7512" s="78" t="s">
        <v>18</v>
      </c>
      <c r="C7512" s="85">
        <v>45710.0</v>
      </c>
      <c r="D7512" s="85">
        <v>45718.0</v>
      </c>
      <c r="E7512" s="86">
        <v>42.39</v>
      </c>
      <c r="F7512" s="87">
        <v>48.33</v>
      </c>
      <c r="G7512" s="88">
        <f t="shared" si="1"/>
        <v>5.94</v>
      </c>
      <c r="H7512" s="89">
        <f t="shared" si="18"/>
        <v>0.1229050279</v>
      </c>
      <c r="I7512" s="78" t="s">
        <v>8537</v>
      </c>
      <c r="J7512" s="78" t="s">
        <v>69</v>
      </c>
      <c r="K7512" s="58">
        <f t="shared" si="17"/>
        <v>8</v>
      </c>
      <c r="L7512" s="91" t="str">
        <f t="shared" si="8"/>
        <v>Sun</v>
      </c>
      <c r="M7512" s="78" t="str">
        <f>IFERROR(VLOOKUP(A7512, Entries!A:B,2,false),"")</f>
        <v>PlayStation</v>
      </c>
      <c r="N7512" s="23" t="str">
        <f>IFERROR(VLOOKUP(A7512, Entries!A:K,11,false),"")</f>
        <v/>
      </c>
    </row>
    <row r="7513">
      <c r="A7513" s="78" t="s">
        <v>7776</v>
      </c>
      <c r="B7513" s="78" t="s">
        <v>18</v>
      </c>
      <c r="C7513" s="85">
        <v>45710.0</v>
      </c>
      <c r="D7513" s="85">
        <v>45805.0</v>
      </c>
      <c r="E7513" s="86">
        <v>42.39</v>
      </c>
      <c r="F7513" s="87">
        <v>47.39</v>
      </c>
      <c r="G7513" s="88">
        <f t="shared" si="1"/>
        <v>5</v>
      </c>
      <c r="H7513" s="89">
        <f t="shared" si="18"/>
        <v>0.105507491</v>
      </c>
      <c r="I7513" s="103" t="s">
        <v>8538</v>
      </c>
      <c r="J7513" s="78" t="s">
        <v>69</v>
      </c>
      <c r="K7513" s="58">
        <f t="shared" si="17"/>
        <v>95</v>
      </c>
      <c r="L7513" s="91" t="str">
        <f t="shared" si="8"/>
        <v>Wed</v>
      </c>
      <c r="M7513" s="78" t="str">
        <f>IFERROR(VLOOKUP(A7513, Entries!A:B,2,false),"")</f>
        <v>PlayStation</v>
      </c>
      <c r="N7513" s="23" t="str">
        <f>IFERROR(VLOOKUP(A7513, Entries!A:K,11,false),"")</f>
        <v/>
      </c>
    </row>
    <row r="7514">
      <c r="A7514" s="78" t="s">
        <v>8487</v>
      </c>
      <c r="B7514" s="78" t="s">
        <v>22</v>
      </c>
      <c r="C7514" s="85">
        <v>45710.0</v>
      </c>
      <c r="D7514" s="85">
        <v>45710.0</v>
      </c>
      <c r="E7514" s="86">
        <v>10.59</v>
      </c>
      <c r="F7514" s="87">
        <v>12.77</v>
      </c>
      <c r="G7514" s="88">
        <f t="shared" si="1"/>
        <v>2.18</v>
      </c>
      <c r="H7514" s="89">
        <f t="shared" si="18"/>
        <v>0.1707126077</v>
      </c>
      <c r="I7514" s="78" t="s">
        <v>8539</v>
      </c>
      <c r="J7514" s="78" t="s">
        <v>69</v>
      </c>
      <c r="K7514" s="58">
        <f t="shared" si="17"/>
        <v>0</v>
      </c>
      <c r="L7514" s="91" t="str">
        <f t="shared" si="8"/>
        <v>Sat</v>
      </c>
      <c r="M7514" s="78" t="str">
        <f>IFERROR(VLOOKUP(A7514, Entries!A:B,2,false),"")</f>
        <v/>
      </c>
      <c r="N7514" s="23" t="str">
        <f>IFERROR(VLOOKUP(A7514, Entries!A:K,11,false),"")</f>
        <v/>
      </c>
    </row>
    <row r="7515">
      <c r="A7515" s="78" t="s">
        <v>8011</v>
      </c>
      <c r="B7515" s="78" t="s">
        <v>22</v>
      </c>
      <c r="C7515" s="85">
        <v>45711.0</v>
      </c>
      <c r="D7515" s="85">
        <v>45716.0</v>
      </c>
      <c r="E7515" s="86">
        <v>12.71</v>
      </c>
      <c r="F7515" s="87">
        <v>14.45</v>
      </c>
      <c r="G7515" s="88">
        <f t="shared" si="1"/>
        <v>1.74</v>
      </c>
      <c r="H7515" s="89">
        <f t="shared" si="18"/>
        <v>0.1204152249</v>
      </c>
      <c r="I7515" s="78" t="s">
        <v>8540</v>
      </c>
      <c r="J7515" s="78" t="s">
        <v>69</v>
      </c>
      <c r="K7515" s="58">
        <f t="shared" si="17"/>
        <v>5</v>
      </c>
      <c r="L7515" s="91" t="str">
        <f t="shared" si="8"/>
        <v>Fri</v>
      </c>
      <c r="M7515" s="78" t="str">
        <f>IFERROR(VLOOKUP(A7515, Entries!A:B,2,false),"")</f>
        <v/>
      </c>
      <c r="N7515" s="23" t="str">
        <f>IFERROR(VLOOKUP(A7515, Entries!A:K,11,false),"")</f>
        <v/>
      </c>
    </row>
    <row r="7516">
      <c r="A7516" s="78" t="s">
        <v>7370</v>
      </c>
      <c r="B7516" s="78" t="s">
        <v>21</v>
      </c>
      <c r="C7516" s="85">
        <v>45711.0</v>
      </c>
      <c r="D7516" s="85">
        <v>45735.0</v>
      </c>
      <c r="E7516" s="86">
        <v>22.39</v>
      </c>
      <c r="F7516" s="87">
        <v>23.78</v>
      </c>
      <c r="G7516" s="88">
        <f t="shared" si="1"/>
        <v>1.39</v>
      </c>
      <c r="H7516" s="89">
        <f t="shared" si="18"/>
        <v>0.05845248108</v>
      </c>
      <c r="I7516" s="78" t="s">
        <v>8541</v>
      </c>
      <c r="J7516" s="78" t="s">
        <v>69</v>
      </c>
      <c r="K7516" s="58">
        <f t="shared" si="17"/>
        <v>24</v>
      </c>
      <c r="L7516" s="91" t="str">
        <f t="shared" si="8"/>
        <v>Wed</v>
      </c>
      <c r="M7516" s="78" t="str">
        <f>IFERROR(VLOOKUP(A7516, Entries!A:B,2,false),"")</f>
        <v/>
      </c>
      <c r="N7516" s="23" t="str">
        <f>IFERROR(VLOOKUP(A7516, Entries!A:K,11,false),"")</f>
        <v/>
      </c>
    </row>
    <row r="7517">
      <c r="A7517" s="78" t="s">
        <v>8461</v>
      </c>
      <c r="B7517" s="78" t="s">
        <v>22</v>
      </c>
      <c r="C7517" s="85">
        <v>45711.0</v>
      </c>
      <c r="D7517" s="85">
        <v>45764.0</v>
      </c>
      <c r="E7517" s="86">
        <v>10.59</v>
      </c>
      <c r="F7517" s="87">
        <v>11.69</v>
      </c>
      <c r="G7517" s="88">
        <f t="shared" si="1"/>
        <v>1.1</v>
      </c>
      <c r="H7517" s="89">
        <f t="shared" si="18"/>
        <v>0.09409751925</v>
      </c>
      <c r="I7517" s="103" t="s">
        <v>8542</v>
      </c>
      <c r="J7517" s="78" t="s">
        <v>69</v>
      </c>
      <c r="K7517" s="58">
        <f t="shared" si="17"/>
        <v>53</v>
      </c>
      <c r="L7517" s="91" t="str">
        <f t="shared" si="8"/>
        <v>Thu</v>
      </c>
      <c r="M7517" s="78" t="str">
        <f>IFERROR(VLOOKUP(A7517, Entries!A:B,2,false),"")</f>
        <v>Element Games</v>
      </c>
      <c r="N7517" s="23" t="str">
        <f>IFERROR(VLOOKUP(A7517, Entries!A:K,11,false),"")</f>
        <v/>
      </c>
    </row>
    <row r="7518">
      <c r="A7518" s="78" t="s">
        <v>8487</v>
      </c>
      <c r="B7518" s="78" t="s">
        <v>22</v>
      </c>
      <c r="C7518" s="85">
        <v>45712.0</v>
      </c>
      <c r="D7518" s="85">
        <v>45712.0</v>
      </c>
      <c r="E7518" s="86">
        <v>10.59</v>
      </c>
      <c r="F7518" s="87">
        <v>12.92</v>
      </c>
      <c r="G7518" s="88">
        <f t="shared" si="1"/>
        <v>2.33</v>
      </c>
      <c r="H7518" s="89">
        <f t="shared" si="18"/>
        <v>0.1803405573</v>
      </c>
      <c r="I7518" s="78" t="s">
        <v>8543</v>
      </c>
      <c r="J7518" s="78" t="s">
        <v>69</v>
      </c>
      <c r="K7518" s="58">
        <f t="shared" si="17"/>
        <v>0</v>
      </c>
      <c r="L7518" s="91" t="str">
        <f t="shared" si="8"/>
        <v>Mon</v>
      </c>
      <c r="M7518" s="78" t="str">
        <f>IFERROR(VLOOKUP(A7518, Entries!A:B,2,false),"")</f>
        <v/>
      </c>
      <c r="N7518" s="23" t="str">
        <f>IFERROR(VLOOKUP(A7518, Entries!A:K,11,false),"")</f>
        <v/>
      </c>
    </row>
    <row r="7519">
      <c r="A7519" s="78" t="s">
        <v>8487</v>
      </c>
      <c r="B7519" s="78" t="s">
        <v>22</v>
      </c>
      <c r="C7519" s="85">
        <v>45712.0</v>
      </c>
      <c r="D7519" s="85">
        <v>45712.0</v>
      </c>
      <c r="E7519" s="86">
        <v>10.59</v>
      </c>
      <c r="F7519" s="87">
        <v>12.92</v>
      </c>
      <c r="G7519" s="88">
        <f t="shared" si="1"/>
        <v>2.33</v>
      </c>
      <c r="H7519" s="89">
        <f t="shared" si="18"/>
        <v>0.1803405573</v>
      </c>
      <c r="I7519" s="78" t="s">
        <v>8544</v>
      </c>
      <c r="J7519" s="78" t="s">
        <v>69</v>
      </c>
      <c r="K7519" s="58">
        <f t="shared" si="17"/>
        <v>0</v>
      </c>
      <c r="L7519" s="91" t="str">
        <f t="shared" si="8"/>
        <v>Mon</v>
      </c>
      <c r="M7519" s="78" t="str">
        <f>IFERROR(VLOOKUP(A7519, Entries!A:B,2,false),"")</f>
        <v/>
      </c>
      <c r="N7519" s="23" t="str">
        <f>IFERROR(VLOOKUP(A7519, Entries!A:K,11,false),"")</f>
        <v/>
      </c>
    </row>
    <row r="7520">
      <c r="A7520" s="78" t="s">
        <v>8487</v>
      </c>
      <c r="B7520" s="78" t="s">
        <v>22</v>
      </c>
      <c r="C7520" s="85">
        <v>45712.0</v>
      </c>
      <c r="D7520" s="85">
        <v>45712.0</v>
      </c>
      <c r="E7520" s="86">
        <v>10.59</v>
      </c>
      <c r="F7520" s="87">
        <v>12.92</v>
      </c>
      <c r="G7520" s="88">
        <f t="shared" si="1"/>
        <v>2.33</v>
      </c>
      <c r="H7520" s="89">
        <f t="shared" si="18"/>
        <v>0.1803405573</v>
      </c>
      <c r="I7520" s="78" t="s">
        <v>8545</v>
      </c>
      <c r="J7520" s="78" t="s">
        <v>69</v>
      </c>
      <c r="K7520" s="58">
        <f t="shared" si="17"/>
        <v>0</v>
      </c>
      <c r="L7520" s="91" t="str">
        <f t="shared" si="8"/>
        <v>Mon</v>
      </c>
      <c r="M7520" s="78" t="str">
        <f>IFERROR(VLOOKUP(A7520, Entries!A:B,2,false),"")</f>
        <v/>
      </c>
      <c r="N7520" s="23" t="str">
        <f>IFERROR(VLOOKUP(A7520, Entries!A:K,11,false),"")</f>
        <v/>
      </c>
    </row>
    <row r="7521">
      <c r="A7521" s="78" t="s">
        <v>8529</v>
      </c>
      <c r="B7521" s="78" t="s">
        <v>18</v>
      </c>
      <c r="C7521" s="85">
        <v>45712.0</v>
      </c>
      <c r="D7521" s="85">
        <v>45712.0</v>
      </c>
      <c r="E7521" s="86">
        <v>38.29</v>
      </c>
      <c r="F7521" s="87">
        <v>48.17</v>
      </c>
      <c r="G7521" s="88">
        <f t="shared" si="1"/>
        <v>9.88</v>
      </c>
      <c r="H7521" s="89">
        <f t="shared" si="18"/>
        <v>0.205106913</v>
      </c>
      <c r="I7521" s="78" t="s">
        <v>8546</v>
      </c>
      <c r="J7521" s="78" t="s">
        <v>69</v>
      </c>
      <c r="K7521" s="58">
        <f t="shared" si="17"/>
        <v>0</v>
      </c>
      <c r="L7521" s="91" t="str">
        <f t="shared" si="8"/>
        <v>Mon</v>
      </c>
      <c r="M7521" s="78" t="str">
        <f>IFERROR(VLOOKUP(A7521, Entries!A:B,2,false),"")</f>
        <v>SEGA</v>
      </c>
      <c r="N7521" s="23" t="str">
        <f>IFERROR(VLOOKUP(A7521, Entries!A:K,11,false),"")</f>
        <v/>
      </c>
    </row>
    <row r="7522">
      <c r="A7522" s="78" t="s">
        <v>8529</v>
      </c>
      <c r="B7522" s="78" t="s">
        <v>18</v>
      </c>
      <c r="C7522" s="85">
        <v>45712.0</v>
      </c>
      <c r="D7522" s="85">
        <v>45715.0</v>
      </c>
      <c r="E7522" s="86">
        <v>38.29</v>
      </c>
      <c r="F7522" s="87">
        <v>48.51</v>
      </c>
      <c r="G7522" s="88">
        <f t="shared" si="1"/>
        <v>10.22</v>
      </c>
      <c r="H7522" s="89">
        <f t="shared" si="18"/>
        <v>0.2106782107</v>
      </c>
      <c r="I7522" s="78" t="s">
        <v>8547</v>
      </c>
      <c r="J7522" s="78" t="s">
        <v>69</v>
      </c>
      <c r="K7522" s="58">
        <f t="shared" si="17"/>
        <v>3</v>
      </c>
      <c r="L7522" s="91" t="str">
        <f t="shared" si="8"/>
        <v>Thu</v>
      </c>
      <c r="M7522" s="78" t="str">
        <f>IFERROR(VLOOKUP(A7522, Entries!A:B,2,false),"")</f>
        <v>SEGA</v>
      </c>
      <c r="N7522" s="23" t="str">
        <f>IFERROR(VLOOKUP(A7522, Entries!A:K,11,false),"")</f>
        <v/>
      </c>
    </row>
    <row r="7523">
      <c r="A7523" s="78" t="s">
        <v>8487</v>
      </c>
      <c r="B7523" s="78" t="s">
        <v>22</v>
      </c>
      <c r="C7523" s="85">
        <v>45712.0</v>
      </c>
      <c r="D7523" s="85">
        <v>45712.0</v>
      </c>
      <c r="E7523" s="86">
        <v>10.59</v>
      </c>
      <c r="F7523" s="87">
        <v>12.92</v>
      </c>
      <c r="G7523" s="88">
        <f t="shared" si="1"/>
        <v>2.33</v>
      </c>
      <c r="H7523" s="89">
        <f t="shared" si="18"/>
        <v>0.1803405573</v>
      </c>
      <c r="I7523" s="78" t="s">
        <v>8548</v>
      </c>
      <c r="J7523" s="78" t="s">
        <v>69</v>
      </c>
      <c r="K7523" s="58">
        <f t="shared" si="17"/>
        <v>0</v>
      </c>
      <c r="L7523" s="91" t="str">
        <f t="shared" si="8"/>
        <v>Mon</v>
      </c>
      <c r="M7523" s="78" t="str">
        <f>IFERROR(VLOOKUP(A7523, Entries!A:B,2,false),"")</f>
        <v/>
      </c>
      <c r="N7523" s="23" t="str">
        <f>IFERROR(VLOOKUP(A7523, Entries!A:K,11,false),"")</f>
        <v/>
      </c>
    </row>
    <row r="7524">
      <c r="A7524" s="78" t="s">
        <v>8487</v>
      </c>
      <c r="B7524" s="78" t="s">
        <v>22</v>
      </c>
      <c r="C7524" s="85">
        <v>45712.0</v>
      </c>
      <c r="D7524" s="85">
        <v>45712.0</v>
      </c>
      <c r="E7524" s="86">
        <v>10.59</v>
      </c>
      <c r="F7524" s="87">
        <v>12.92</v>
      </c>
      <c r="G7524" s="88">
        <f t="shared" si="1"/>
        <v>2.33</v>
      </c>
      <c r="H7524" s="89">
        <f t="shared" si="18"/>
        <v>0.1803405573</v>
      </c>
      <c r="I7524" s="78" t="s">
        <v>8549</v>
      </c>
      <c r="J7524" s="78" t="s">
        <v>69</v>
      </c>
      <c r="K7524" s="58">
        <f t="shared" si="17"/>
        <v>0</v>
      </c>
      <c r="L7524" s="91" t="str">
        <f t="shared" si="8"/>
        <v>Mon</v>
      </c>
      <c r="M7524" s="78" t="str">
        <f>IFERROR(VLOOKUP(A7524, Entries!A:B,2,false),"")</f>
        <v/>
      </c>
      <c r="N7524" s="23" t="str">
        <f>IFERROR(VLOOKUP(A7524, Entries!A:K,11,false),"")</f>
        <v/>
      </c>
    </row>
    <row r="7525">
      <c r="A7525" s="78" t="s">
        <v>7082</v>
      </c>
      <c r="B7525" s="78" t="s">
        <v>21</v>
      </c>
      <c r="C7525" s="85">
        <v>45712.0</v>
      </c>
      <c r="D7525" s="85">
        <v>45712.0</v>
      </c>
      <c r="E7525" s="86">
        <v>20.12</v>
      </c>
      <c r="F7525" s="87">
        <v>29.95</v>
      </c>
      <c r="G7525" s="88">
        <f t="shared" si="1"/>
        <v>9.83</v>
      </c>
      <c r="H7525" s="89">
        <f t="shared" si="18"/>
        <v>0.3282136895</v>
      </c>
      <c r="I7525" s="78" t="s">
        <v>8550</v>
      </c>
      <c r="J7525" s="78" t="s">
        <v>69</v>
      </c>
      <c r="K7525" s="58">
        <f t="shared" si="17"/>
        <v>0</v>
      </c>
      <c r="L7525" s="91" t="str">
        <f t="shared" si="8"/>
        <v>Mon</v>
      </c>
      <c r="M7525" s="78" t="str">
        <f>IFERROR(VLOOKUP(A7525, Entries!A:B,2,false),"")</f>
        <v>BANDAI NAMCO</v>
      </c>
      <c r="N7525" s="23" t="str">
        <f>IFERROR(VLOOKUP(A7525, Entries!A:K,11,false),"")</f>
        <v/>
      </c>
    </row>
    <row r="7526">
      <c r="A7526" s="78" t="s">
        <v>7082</v>
      </c>
      <c r="B7526" s="78" t="s">
        <v>21</v>
      </c>
      <c r="C7526" s="85">
        <v>45712.0</v>
      </c>
      <c r="D7526" s="85">
        <v>45712.0</v>
      </c>
      <c r="E7526" s="86">
        <v>20.13</v>
      </c>
      <c r="F7526" s="87">
        <v>29.95</v>
      </c>
      <c r="G7526" s="88">
        <f t="shared" si="1"/>
        <v>9.82</v>
      </c>
      <c r="H7526" s="89">
        <f t="shared" si="18"/>
        <v>0.3278797997</v>
      </c>
      <c r="I7526" s="78" t="s">
        <v>8551</v>
      </c>
      <c r="J7526" s="78" t="s">
        <v>69</v>
      </c>
      <c r="K7526" s="58">
        <f t="shared" si="17"/>
        <v>0</v>
      </c>
      <c r="L7526" s="91" t="str">
        <f t="shared" si="8"/>
        <v>Mon</v>
      </c>
      <c r="M7526" s="78" t="str">
        <f>IFERROR(VLOOKUP(A7526, Entries!A:B,2,false),"")</f>
        <v>BANDAI NAMCO</v>
      </c>
      <c r="N7526" s="23" t="str">
        <f>IFERROR(VLOOKUP(A7526, Entries!A:K,11,false),"")</f>
        <v/>
      </c>
    </row>
    <row r="7527">
      <c r="A7527" s="78" t="s">
        <v>8552</v>
      </c>
      <c r="B7527" s="78" t="s">
        <v>21</v>
      </c>
      <c r="C7527" s="85">
        <v>45712.0</v>
      </c>
      <c r="D7527" s="85">
        <v>45713.0</v>
      </c>
      <c r="E7527" s="86">
        <v>39.78</v>
      </c>
      <c r="F7527" s="87">
        <v>56.33</v>
      </c>
      <c r="G7527" s="88">
        <f t="shared" si="1"/>
        <v>16.55</v>
      </c>
      <c r="H7527" s="89">
        <f t="shared" si="18"/>
        <v>0.2938043671</v>
      </c>
      <c r="I7527" s="78" t="s">
        <v>8553</v>
      </c>
      <c r="J7527" s="78" t="s">
        <v>69</v>
      </c>
      <c r="K7527" s="58">
        <f t="shared" si="17"/>
        <v>1</v>
      </c>
      <c r="L7527" s="91" t="str">
        <f t="shared" si="8"/>
        <v>Tue</v>
      </c>
      <c r="M7527" s="78" t="str">
        <f>IFERROR(VLOOKUP(A7527, Entries!A:B,2,false),"")</f>
        <v/>
      </c>
      <c r="N7527" s="23" t="str">
        <f>IFERROR(VLOOKUP(A7527, Entries!A:K,11,false),"")</f>
        <v/>
      </c>
    </row>
    <row r="7528">
      <c r="A7528" s="78" t="s">
        <v>7082</v>
      </c>
      <c r="B7528" s="78" t="s">
        <v>21</v>
      </c>
      <c r="C7528" s="85">
        <v>45712.0</v>
      </c>
      <c r="D7528" s="85">
        <v>45713.0</v>
      </c>
      <c r="E7528" s="86">
        <v>20.17</v>
      </c>
      <c r="F7528" s="87">
        <v>30.01</v>
      </c>
      <c r="G7528" s="88">
        <f t="shared" si="1"/>
        <v>9.84</v>
      </c>
      <c r="H7528" s="89">
        <f t="shared" si="18"/>
        <v>0.3278907031</v>
      </c>
      <c r="I7528" s="78" t="s">
        <v>8554</v>
      </c>
      <c r="J7528" s="78" t="s">
        <v>69</v>
      </c>
      <c r="K7528" s="58">
        <f t="shared" si="17"/>
        <v>1</v>
      </c>
      <c r="L7528" s="91" t="str">
        <f t="shared" si="8"/>
        <v>Tue</v>
      </c>
      <c r="M7528" s="78" t="str">
        <f>IFERROR(VLOOKUP(A7528, Entries!A:B,2,false),"")</f>
        <v>BANDAI NAMCO</v>
      </c>
      <c r="N7528" s="23" t="str">
        <f>IFERROR(VLOOKUP(A7528, Entries!A:K,11,false),"")</f>
        <v/>
      </c>
    </row>
    <row r="7529">
      <c r="A7529" s="78" t="s">
        <v>8494</v>
      </c>
      <c r="B7529" s="78" t="s">
        <v>21</v>
      </c>
      <c r="C7529" s="85">
        <v>45715.0</v>
      </c>
      <c r="D7529" s="85">
        <v>45716.0</v>
      </c>
      <c r="E7529" s="86">
        <v>25.63</v>
      </c>
      <c r="F7529" s="87">
        <v>28.75</v>
      </c>
      <c r="G7529" s="88">
        <f t="shared" si="1"/>
        <v>3.12</v>
      </c>
      <c r="H7529" s="89">
        <f t="shared" si="18"/>
        <v>0.1085217391</v>
      </c>
      <c r="I7529" s="78" t="s">
        <v>8555</v>
      </c>
      <c r="J7529" s="78" t="s">
        <v>69</v>
      </c>
      <c r="K7529" s="58">
        <f t="shared" si="17"/>
        <v>1</v>
      </c>
      <c r="L7529" s="91" t="str">
        <f t="shared" si="8"/>
        <v>Fri</v>
      </c>
      <c r="M7529" s="78" t="str">
        <f>IFERROR(VLOOKUP(A7529, Entries!A:B,2,false),"")</f>
        <v/>
      </c>
      <c r="N7529" s="23" t="str">
        <f>IFERROR(VLOOKUP(A7529, Entries!A:K,11,false),"")</f>
        <v/>
      </c>
    </row>
    <row r="7530">
      <c r="A7530" s="78" t="s">
        <v>8011</v>
      </c>
      <c r="B7530" s="78" t="s">
        <v>22</v>
      </c>
      <c r="C7530" s="85">
        <v>45716.0</v>
      </c>
      <c r="D7530" s="85">
        <v>45720.0</v>
      </c>
      <c r="E7530" s="86">
        <v>12.77</v>
      </c>
      <c r="F7530" s="87">
        <v>14.45</v>
      </c>
      <c r="G7530" s="88">
        <f t="shared" si="1"/>
        <v>1.68</v>
      </c>
      <c r="H7530" s="89">
        <f t="shared" si="18"/>
        <v>0.1162629758</v>
      </c>
      <c r="I7530" s="78" t="s">
        <v>8556</v>
      </c>
      <c r="J7530" s="78" t="s">
        <v>69</v>
      </c>
      <c r="K7530" s="58">
        <f t="shared" si="17"/>
        <v>4</v>
      </c>
      <c r="L7530" s="91" t="str">
        <f t="shared" si="8"/>
        <v>Tue</v>
      </c>
      <c r="M7530" s="78" t="str">
        <f>IFERROR(VLOOKUP(A7530, Entries!A:B,2,false),"")</f>
        <v/>
      </c>
      <c r="N7530" s="23" t="str">
        <f>IFERROR(VLOOKUP(A7530, Entries!A:K,11,false),"")</f>
        <v/>
      </c>
    </row>
    <row r="7531">
      <c r="A7531" s="78" t="s">
        <v>8557</v>
      </c>
      <c r="B7531" s="78" t="s">
        <v>21</v>
      </c>
      <c r="C7531" s="85">
        <v>45716.0</v>
      </c>
      <c r="D7531" s="85">
        <v>45718.0</v>
      </c>
      <c r="E7531" s="86">
        <v>30.64</v>
      </c>
      <c r="F7531" s="87">
        <v>33.78</v>
      </c>
      <c r="G7531" s="88">
        <f t="shared" si="1"/>
        <v>3.14</v>
      </c>
      <c r="H7531" s="89">
        <f t="shared" si="18"/>
        <v>0.09295441089</v>
      </c>
      <c r="I7531" s="78" t="s">
        <v>8558</v>
      </c>
      <c r="J7531" s="78" t="s">
        <v>69</v>
      </c>
      <c r="K7531" s="58">
        <f t="shared" si="17"/>
        <v>2</v>
      </c>
      <c r="L7531" s="91" t="str">
        <f t="shared" si="8"/>
        <v>Sun</v>
      </c>
      <c r="M7531" s="78" t="str">
        <f>IFERROR(VLOOKUP(A7531, Entries!A:B,2,false),"")</f>
        <v/>
      </c>
      <c r="N7531" s="23" t="str">
        <f>IFERROR(VLOOKUP(A7531, Entries!A:K,11,false),"")</f>
        <v/>
      </c>
    </row>
    <row r="7532">
      <c r="A7532" s="78" t="s">
        <v>8557</v>
      </c>
      <c r="B7532" s="78" t="s">
        <v>21</v>
      </c>
      <c r="C7532" s="85">
        <v>45716.0</v>
      </c>
      <c r="D7532" s="85">
        <v>45720.0</v>
      </c>
      <c r="E7532" s="86">
        <v>30.64</v>
      </c>
      <c r="F7532" s="87">
        <v>33.74</v>
      </c>
      <c r="G7532" s="88">
        <f t="shared" si="1"/>
        <v>3.1</v>
      </c>
      <c r="H7532" s="89">
        <f t="shared" si="18"/>
        <v>0.09187907528</v>
      </c>
      <c r="I7532" s="78" t="s">
        <v>8559</v>
      </c>
      <c r="J7532" s="78" t="s">
        <v>69</v>
      </c>
      <c r="K7532" s="58">
        <f t="shared" si="17"/>
        <v>4</v>
      </c>
      <c r="L7532" s="91" t="str">
        <f t="shared" si="8"/>
        <v>Tue</v>
      </c>
      <c r="M7532" s="78" t="str">
        <f>IFERROR(VLOOKUP(A7532, Entries!A:B,2,false),"")</f>
        <v/>
      </c>
      <c r="N7532" s="23" t="str">
        <f>IFERROR(VLOOKUP(A7532, Entries!A:K,11,false),"")</f>
        <v/>
      </c>
    </row>
    <row r="7533">
      <c r="A7533" s="78" t="s">
        <v>7814</v>
      </c>
      <c r="B7533" s="78" t="s">
        <v>21</v>
      </c>
      <c r="C7533" s="85">
        <v>45716.0</v>
      </c>
      <c r="D7533" s="85">
        <v>45751.0</v>
      </c>
      <c r="E7533" s="86">
        <v>24.9</v>
      </c>
      <c r="F7533" s="87">
        <v>31.37</v>
      </c>
      <c r="G7533" s="88">
        <f t="shared" si="1"/>
        <v>6.47</v>
      </c>
      <c r="H7533" s="89">
        <f t="shared" si="18"/>
        <v>0.2062480077</v>
      </c>
      <c r="I7533" s="103" t="s">
        <v>8560</v>
      </c>
      <c r="J7533" s="78" t="s">
        <v>69</v>
      </c>
      <c r="K7533" s="58">
        <f t="shared" si="17"/>
        <v>35</v>
      </c>
      <c r="L7533" s="91" t="str">
        <f t="shared" si="8"/>
        <v>Fri</v>
      </c>
      <c r="M7533" s="78" t="str">
        <f>IFERROR(VLOOKUP(A7533, Entries!A:B,2,false),"")</f>
        <v>Electronic Arts</v>
      </c>
      <c r="N7533" s="23" t="str">
        <f>IFERROR(VLOOKUP(A7533, Entries!A:K,11,false),"")</f>
        <v/>
      </c>
    </row>
    <row r="7534">
      <c r="A7534" s="78" t="s">
        <v>5676</v>
      </c>
      <c r="B7534" s="78" t="s">
        <v>21</v>
      </c>
      <c r="C7534" s="85">
        <v>45717.0</v>
      </c>
      <c r="D7534" s="85">
        <v>45717.0</v>
      </c>
      <c r="E7534" s="86">
        <v>33.73</v>
      </c>
      <c r="F7534" s="87">
        <v>37.69</v>
      </c>
      <c r="G7534" s="88">
        <f t="shared" si="1"/>
        <v>3.96</v>
      </c>
      <c r="H7534" s="89">
        <f t="shared" si="18"/>
        <v>0.1050676572</v>
      </c>
      <c r="I7534" s="78" t="s">
        <v>8561</v>
      </c>
      <c r="J7534" s="78" t="s">
        <v>69</v>
      </c>
      <c r="K7534" s="58">
        <f t="shared" si="17"/>
        <v>0</v>
      </c>
      <c r="L7534" s="91" t="str">
        <f t="shared" si="8"/>
        <v>Sat</v>
      </c>
      <c r="M7534" s="78" t="str">
        <f>IFERROR(VLOOKUP(A7534, Entries!A:B,2,false),"")</f>
        <v>Bethesda Softworks</v>
      </c>
      <c r="N7534" s="23" t="str">
        <f>IFERROR(VLOOKUP(A7534, Entries!A:K,11,false),"")</f>
        <v/>
      </c>
    </row>
    <row r="7535">
      <c r="A7535" s="78" t="s">
        <v>7082</v>
      </c>
      <c r="B7535" s="78" t="s">
        <v>21</v>
      </c>
      <c r="C7535" s="85">
        <v>45717.0</v>
      </c>
      <c r="D7535" s="85">
        <v>45717.0</v>
      </c>
      <c r="E7535" s="86">
        <v>24.09</v>
      </c>
      <c r="F7535" s="87">
        <v>29.3</v>
      </c>
      <c r="G7535" s="88">
        <f t="shared" si="1"/>
        <v>5.21</v>
      </c>
      <c r="H7535" s="89">
        <f t="shared" si="18"/>
        <v>0.1778156997</v>
      </c>
      <c r="I7535" s="78" t="s">
        <v>8562</v>
      </c>
      <c r="J7535" s="78" t="s">
        <v>69</v>
      </c>
      <c r="K7535" s="58">
        <f t="shared" si="17"/>
        <v>0</v>
      </c>
      <c r="L7535" s="91" t="str">
        <f t="shared" si="8"/>
        <v>Sat</v>
      </c>
      <c r="M7535" s="78" t="str">
        <f>IFERROR(VLOOKUP(A7535, Entries!A:B,2,false),"")</f>
        <v>BANDAI NAMCO</v>
      </c>
      <c r="N7535" s="23" t="str">
        <f>IFERROR(VLOOKUP(A7535, Entries!A:K,11,false),"")</f>
        <v/>
      </c>
    </row>
    <row r="7536">
      <c r="A7536" s="78" t="s">
        <v>8494</v>
      </c>
      <c r="B7536" s="78" t="s">
        <v>21</v>
      </c>
      <c r="C7536" s="85">
        <v>45718.0</v>
      </c>
      <c r="D7536" s="85">
        <v>45718.0</v>
      </c>
      <c r="E7536" s="86">
        <v>25.55</v>
      </c>
      <c r="F7536" s="87">
        <v>28.3</v>
      </c>
      <c r="G7536" s="88">
        <f t="shared" si="1"/>
        <v>2.75</v>
      </c>
      <c r="H7536" s="89">
        <f t="shared" si="18"/>
        <v>0.09717314488</v>
      </c>
      <c r="I7536" s="78" t="s">
        <v>8563</v>
      </c>
      <c r="J7536" s="78" t="s">
        <v>69</v>
      </c>
      <c r="K7536" s="58">
        <f t="shared" si="17"/>
        <v>0</v>
      </c>
      <c r="L7536" s="91" t="str">
        <f t="shared" si="8"/>
        <v>Sun</v>
      </c>
      <c r="M7536" s="78" t="str">
        <f>IFERROR(VLOOKUP(A7536, Entries!A:B,2,false),"")</f>
        <v/>
      </c>
      <c r="N7536" s="23" t="str">
        <f>IFERROR(VLOOKUP(A7536, Entries!A:K,11,false),"")</f>
        <v/>
      </c>
    </row>
    <row r="7537">
      <c r="A7537" s="78" t="s">
        <v>8564</v>
      </c>
      <c r="B7537" s="78" t="s">
        <v>21</v>
      </c>
      <c r="C7537" s="85">
        <v>45718.0</v>
      </c>
      <c r="D7537" s="85">
        <v>45721.0</v>
      </c>
      <c r="E7537" s="86">
        <v>32.95</v>
      </c>
      <c r="F7537" s="87">
        <v>35.78</v>
      </c>
      <c r="G7537" s="88">
        <f t="shared" si="1"/>
        <v>2.83</v>
      </c>
      <c r="H7537" s="89">
        <f t="shared" si="18"/>
        <v>0.07909446618</v>
      </c>
      <c r="I7537" s="78" t="s">
        <v>8565</v>
      </c>
      <c r="J7537" s="78" t="s">
        <v>69</v>
      </c>
      <c r="K7537" s="58">
        <f t="shared" si="17"/>
        <v>3</v>
      </c>
      <c r="L7537" s="91" t="str">
        <f t="shared" si="8"/>
        <v>Wed</v>
      </c>
      <c r="M7537" s="78" t="str">
        <f>IFERROR(VLOOKUP(A7537, Entries!A:B,2,false),"")</f>
        <v/>
      </c>
      <c r="N7537" s="23" t="str">
        <f>IFERROR(VLOOKUP(A7537, Entries!A:K,11,false),"")</f>
        <v/>
      </c>
    </row>
    <row r="7538">
      <c r="A7538" s="78" t="s">
        <v>7750</v>
      </c>
      <c r="B7538" s="78" t="s">
        <v>21</v>
      </c>
      <c r="C7538" s="85">
        <v>45718.0</v>
      </c>
      <c r="D7538" s="85">
        <v>45719.0</v>
      </c>
      <c r="E7538" s="86">
        <v>34.43</v>
      </c>
      <c r="F7538" s="87">
        <v>42.99</v>
      </c>
      <c r="G7538" s="88">
        <f t="shared" si="1"/>
        <v>8.56</v>
      </c>
      <c r="H7538" s="89">
        <f t="shared" si="18"/>
        <v>0.1991160735</v>
      </c>
      <c r="I7538" s="78" t="s">
        <v>8566</v>
      </c>
      <c r="J7538" s="78" t="s">
        <v>69</v>
      </c>
      <c r="K7538" s="58">
        <f t="shared" si="17"/>
        <v>1</v>
      </c>
      <c r="L7538" s="91" t="str">
        <f t="shared" si="8"/>
        <v>Mon</v>
      </c>
      <c r="M7538" s="78" t="str">
        <f>IFERROR(VLOOKUP(A7538, Entries!A:B,2,false),"")</f>
        <v/>
      </c>
      <c r="N7538" s="23" t="str">
        <f>IFERROR(VLOOKUP(A7538, Entries!A:K,11,false),"")</f>
        <v/>
      </c>
    </row>
    <row r="7539">
      <c r="A7539" s="78" t="s">
        <v>8454</v>
      </c>
      <c r="B7539" s="78" t="s">
        <v>23</v>
      </c>
      <c r="C7539" s="85">
        <v>45719.0</v>
      </c>
      <c r="D7539" s="85">
        <v>45795.0</v>
      </c>
      <c r="E7539" s="86">
        <v>16.08</v>
      </c>
      <c r="F7539" s="87">
        <v>16.8</v>
      </c>
      <c r="G7539" s="88">
        <f t="shared" si="1"/>
        <v>0.72</v>
      </c>
      <c r="H7539" s="89">
        <f t="shared" si="18"/>
        <v>0.04285714286</v>
      </c>
      <c r="I7539" s="103" t="s">
        <v>8567</v>
      </c>
      <c r="J7539" s="78" t="s">
        <v>69</v>
      </c>
      <c r="K7539" s="58">
        <f t="shared" si="17"/>
        <v>76</v>
      </c>
      <c r="L7539" s="91" t="str">
        <f t="shared" si="8"/>
        <v>Sun</v>
      </c>
      <c r="M7539" s="78" t="str">
        <f>IFERROR(VLOOKUP(A7539, Entries!A:B,2,false),"")</f>
        <v/>
      </c>
      <c r="N7539" s="23" t="str">
        <f>IFERROR(VLOOKUP(A7539, Entries!A:K,11,false),"")</f>
        <v/>
      </c>
    </row>
    <row r="7540">
      <c r="A7540" s="78" t="s">
        <v>2339</v>
      </c>
      <c r="B7540" s="78" t="s">
        <v>23</v>
      </c>
      <c r="C7540" s="85">
        <v>45719.0</v>
      </c>
      <c r="D7540" s="85">
        <v>45720.0</v>
      </c>
      <c r="E7540" s="86">
        <v>1.51</v>
      </c>
      <c r="F7540" s="87">
        <v>3.55</v>
      </c>
      <c r="G7540" s="88">
        <f t="shared" si="1"/>
        <v>2.04</v>
      </c>
      <c r="H7540" s="89">
        <f t="shared" si="18"/>
        <v>0.5746478873</v>
      </c>
      <c r="I7540" s="78" t="s">
        <v>8568</v>
      </c>
      <c r="J7540" s="78" t="s">
        <v>69</v>
      </c>
      <c r="K7540" s="58">
        <f t="shared" si="17"/>
        <v>1</v>
      </c>
      <c r="L7540" s="91" t="str">
        <f t="shared" si="8"/>
        <v>Tue</v>
      </c>
      <c r="M7540" s="78" t="str">
        <f>IFERROR(VLOOKUP(A7540, Entries!A:B,2,false),"")</f>
        <v>PlayWay</v>
      </c>
      <c r="N7540" s="23" t="str">
        <f>IFERROR(VLOOKUP(A7540, Entries!A:K,11,false),"")</f>
        <v/>
      </c>
    </row>
    <row r="7541">
      <c r="A7541" s="78" t="s">
        <v>5161</v>
      </c>
      <c r="B7541" s="78" t="s">
        <v>22</v>
      </c>
      <c r="C7541" s="85">
        <v>45719.0</v>
      </c>
      <c r="D7541" s="85">
        <v>45719.0</v>
      </c>
      <c r="E7541" s="86">
        <v>2.11</v>
      </c>
      <c r="F7541" s="87">
        <v>3.3</v>
      </c>
      <c r="G7541" s="88">
        <f t="shared" si="1"/>
        <v>1.19</v>
      </c>
      <c r="H7541" s="89">
        <f t="shared" si="18"/>
        <v>0.3606060606</v>
      </c>
      <c r="I7541" s="78" t="s">
        <v>8569</v>
      </c>
      <c r="J7541" s="78" t="s">
        <v>69</v>
      </c>
      <c r="K7541" s="58">
        <f t="shared" si="17"/>
        <v>0</v>
      </c>
      <c r="L7541" s="91" t="str">
        <f t="shared" si="8"/>
        <v>Mon</v>
      </c>
      <c r="M7541" s="78" t="str">
        <f>IFERROR(VLOOKUP(A7541, Entries!A:B,2,false),"")</f>
        <v>Daedalic Entertainment</v>
      </c>
      <c r="N7541" s="23" t="str">
        <f>IFERROR(VLOOKUP(A7541, Entries!A:K,11,false),"")</f>
        <v/>
      </c>
    </row>
    <row r="7542">
      <c r="A7542" s="78" t="s">
        <v>8526</v>
      </c>
      <c r="B7542" s="78" t="s">
        <v>22</v>
      </c>
      <c r="C7542" s="85">
        <v>45719.0</v>
      </c>
      <c r="D7542" s="85">
        <v>45719.0</v>
      </c>
      <c r="E7542" s="86">
        <v>10.05</v>
      </c>
      <c r="F7542" s="87">
        <v>11.34</v>
      </c>
      <c r="G7542" s="88">
        <f t="shared" si="1"/>
        <v>1.29</v>
      </c>
      <c r="H7542" s="89">
        <f t="shared" si="18"/>
        <v>0.1137566138</v>
      </c>
      <c r="I7542" s="78" t="s">
        <v>8570</v>
      </c>
      <c r="J7542" s="78" t="s">
        <v>69</v>
      </c>
      <c r="K7542" s="58">
        <f t="shared" si="17"/>
        <v>0</v>
      </c>
      <c r="L7542" s="91" t="str">
        <f t="shared" si="8"/>
        <v>Mon</v>
      </c>
      <c r="M7542" s="78" t="str">
        <f>IFERROR(VLOOKUP(A7542, Entries!A:B,2,false),"")</f>
        <v/>
      </c>
      <c r="N7542" s="23" t="str">
        <f>IFERROR(VLOOKUP(A7542, Entries!A:K,11,false),"")</f>
        <v/>
      </c>
    </row>
    <row r="7543">
      <c r="A7543" s="78" t="s">
        <v>7750</v>
      </c>
      <c r="B7543" s="78" t="s">
        <v>21</v>
      </c>
      <c r="C7543" s="85">
        <v>45719.0</v>
      </c>
      <c r="D7543" s="85">
        <v>45719.0</v>
      </c>
      <c r="E7543" s="86">
        <v>37.11</v>
      </c>
      <c r="F7543" s="87">
        <v>42.3</v>
      </c>
      <c r="G7543" s="88">
        <f t="shared" si="1"/>
        <v>5.19</v>
      </c>
      <c r="H7543" s="89">
        <f t="shared" si="18"/>
        <v>0.1226950355</v>
      </c>
      <c r="I7543" s="78" t="s">
        <v>8571</v>
      </c>
      <c r="J7543" s="78" t="s">
        <v>69</v>
      </c>
      <c r="K7543" s="58">
        <f t="shared" si="17"/>
        <v>0</v>
      </c>
      <c r="L7543" s="91" t="str">
        <f t="shared" si="8"/>
        <v>Mon</v>
      </c>
      <c r="M7543" s="78" t="str">
        <f>IFERROR(VLOOKUP(A7543, Entries!A:B,2,false),"")</f>
        <v/>
      </c>
      <c r="N7543" s="23" t="str">
        <f>IFERROR(VLOOKUP(A7543, Entries!A:K,11,false),"")</f>
        <v/>
      </c>
    </row>
    <row r="7544">
      <c r="A7544" s="78" t="s">
        <v>8048</v>
      </c>
      <c r="B7544" s="78" t="s">
        <v>22</v>
      </c>
      <c r="C7544" s="85">
        <v>45719.0</v>
      </c>
      <c r="D7544" s="85">
        <v>45720.0</v>
      </c>
      <c r="E7544" s="86">
        <v>6.83</v>
      </c>
      <c r="F7544" s="87">
        <v>9.5</v>
      </c>
      <c r="G7544" s="88">
        <f t="shared" si="1"/>
        <v>2.67</v>
      </c>
      <c r="H7544" s="89">
        <f t="shared" si="18"/>
        <v>0.2810526316</v>
      </c>
      <c r="I7544" s="78" t="s">
        <v>8572</v>
      </c>
      <c r="J7544" s="78" t="s">
        <v>69</v>
      </c>
      <c r="K7544" s="58">
        <f t="shared" si="17"/>
        <v>1</v>
      </c>
      <c r="L7544" s="91" t="str">
        <f t="shared" si="8"/>
        <v>Tue</v>
      </c>
      <c r="M7544" s="78" t="str">
        <f>IFERROR(VLOOKUP(A7544, Entries!A:B,2,false),"")</f>
        <v/>
      </c>
      <c r="N7544" s="23" t="str">
        <f>IFERROR(VLOOKUP(A7544, Entries!A:K,11,false),"")</f>
        <v/>
      </c>
    </row>
    <row r="7545">
      <c r="A7545" s="78" t="s">
        <v>7649</v>
      </c>
      <c r="B7545" s="78" t="s">
        <v>21</v>
      </c>
      <c r="C7545" s="85">
        <v>45719.0</v>
      </c>
      <c r="D7545" s="85">
        <v>45720.0</v>
      </c>
      <c r="E7545" s="86">
        <v>25.94</v>
      </c>
      <c r="F7545" s="87">
        <v>27.75</v>
      </c>
      <c r="G7545" s="88">
        <f t="shared" si="1"/>
        <v>1.81</v>
      </c>
      <c r="H7545" s="89">
        <f t="shared" si="18"/>
        <v>0.06522522523</v>
      </c>
      <c r="I7545" s="78" t="s">
        <v>8573</v>
      </c>
      <c r="J7545" s="78" t="s">
        <v>69</v>
      </c>
      <c r="K7545" s="58">
        <f t="shared" si="17"/>
        <v>1</v>
      </c>
      <c r="L7545" s="91" t="str">
        <f t="shared" si="8"/>
        <v>Tue</v>
      </c>
      <c r="M7545" s="78" t="str">
        <f>IFERROR(VLOOKUP(A7545, Entries!A:B,2,false),"")</f>
        <v>PlayStation</v>
      </c>
      <c r="N7545" s="23" t="str">
        <f>IFERROR(VLOOKUP(A7545, Entries!A:K,11,false),"")</f>
        <v/>
      </c>
    </row>
    <row r="7546">
      <c r="A7546" s="78" t="s">
        <v>7798</v>
      </c>
      <c r="B7546" s="78" t="s">
        <v>22</v>
      </c>
      <c r="C7546" s="85">
        <v>45719.0</v>
      </c>
      <c r="D7546" s="85">
        <v>45748.0</v>
      </c>
      <c r="E7546" s="86">
        <v>10.65</v>
      </c>
      <c r="F7546" s="87">
        <v>17.87</v>
      </c>
      <c r="G7546" s="88">
        <f t="shared" si="1"/>
        <v>7.22</v>
      </c>
      <c r="H7546" s="89">
        <f t="shared" si="18"/>
        <v>0.404029099</v>
      </c>
      <c r="I7546" s="103" t="s">
        <v>8574</v>
      </c>
      <c r="J7546" s="78" t="s">
        <v>69</v>
      </c>
      <c r="K7546" s="58">
        <f t="shared" si="17"/>
        <v>29</v>
      </c>
      <c r="L7546" s="91" t="str">
        <f t="shared" si="8"/>
        <v>Tue</v>
      </c>
      <c r="M7546" s="78" t="str">
        <f>IFERROR(VLOOKUP(A7546, Entries!A:B,2,false),"")</f>
        <v>Konami</v>
      </c>
      <c r="N7546" s="23" t="str">
        <f>IFERROR(VLOOKUP(A7546, Entries!A:K,11,false),"")</f>
        <v/>
      </c>
    </row>
    <row r="7547">
      <c r="A7547" s="78" t="s">
        <v>8529</v>
      </c>
      <c r="B7547" s="78" t="s">
        <v>19</v>
      </c>
      <c r="C7547" s="85">
        <v>45719.0</v>
      </c>
      <c r="D7547" s="85">
        <v>45720.0</v>
      </c>
      <c r="E7547" s="86">
        <v>21.89</v>
      </c>
      <c r="F7547" s="87">
        <v>38.32</v>
      </c>
      <c r="G7547" s="88">
        <f t="shared" si="1"/>
        <v>16.43</v>
      </c>
      <c r="H7547" s="89">
        <f t="shared" si="18"/>
        <v>0.4287578288</v>
      </c>
      <c r="I7547" s="78" t="s">
        <v>8575</v>
      </c>
      <c r="J7547" s="78" t="s">
        <v>69</v>
      </c>
      <c r="K7547" s="58">
        <f t="shared" si="17"/>
        <v>1</v>
      </c>
      <c r="L7547" s="91" t="str">
        <f t="shared" si="8"/>
        <v>Tue</v>
      </c>
      <c r="M7547" s="78" t="str">
        <f>IFERROR(VLOOKUP(A7547, Entries!A:B,2,false),"")</f>
        <v>SEGA</v>
      </c>
      <c r="N7547" s="23" t="str">
        <f>IFERROR(VLOOKUP(A7547, Entries!A:K,11,false),"")</f>
        <v/>
      </c>
    </row>
    <row r="7548">
      <c r="A7548" s="78" t="s">
        <v>8011</v>
      </c>
      <c r="B7548" s="78" t="s">
        <v>22</v>
      </c>
      <c r="C7548" s="85">
        <v>45720.0</v>
      </c>
      <c r="D7548" s="85">
        <v>45730.0</v>
      </c>
      <c r="E7548" s="86">
        <v>12.78</v>
      </c>
      <c r="F7548" s="87">
        <v>14.88</v>
      </c>
      <c r="G7548" s="88">
        <f t="shared" si="1"/>
        <v>2.1</v>
      </c>
      <c r="H7548" s="89">
        <f t="shared" si="18"/>
        <v>0.1411290323</v>
      </c>
      <c r="I7548" s="78" t="s">
        <v>8576</v>
      </c>
      <c r="J7548" s="78" t="s">
        <v>69</v>
      </c>
      <c r="K7548" s="58">
        <f t="shared" si="17"/>
        <v>10</v>
      </c>
      <c r="L7548" s="91" t="str">
        <f t="shared" si="8"/>
        <v>Fri</v>
      </c>
      <c r="M7548" s="78" t="str">
        <f>IFERROR(VLOOKUP(A7548, Entries!A:B,2,false),"")</f>
        <v/>
      </c>
      <c r="N7548" s="23" t="str">
        <f>IFERROR(VLOOKUP(A7548, Entries!A:K,11,false),"")</f>
        <v/>
      </c>
    </row>
    <row r="7549">
      <c r="A7549" s="78" t="s">
        <v>8529</v>
      </c>
      <c r="B7549" s="78" t="s">
        <v>19</v>
      </c>
      <c r="C7549" s="85">
        <v>45720.0</v>
      </c>
      <c r="D7549" s="85">
        <v>45720.0</v>
      </c>
      <c r="E7549" s="86">
        <v>20.36</v>
      </c>
      <c r="F7549" s="87">
        <v>38.32</v>
      </c>
      <c r="G7549" s="88">
        <f t="shared" si="1"/>
        <v>17.96</v>
      </c>
      <c r="H7549" s="89">
        <f t="shared" si="18"/>
        <v>0.4686847599</v>
      </c>
      <c r="I7549" s="78" t="s">
        <v>8577</v>
      </c>
      <c r="J7549" s="78" t="s">
        <v>69</v>
      </c>
      <c r="K7549" s="58">
        <f t="shared" si="17"/>
        <v>0</v>
      </c>
      <c r="L7549" s="91" t="str">
        <f t="shared" si="8"/>
        <v>Tue</v>
      </c>
      <c r="M7549" s="78" t="str">
        <f>IFERROR(VLOOKUP(A7549, Entries!A:B,2,false),"")</f>
        <v>SEGA</v>
      </c>
      <c r="N7549" s="23" t="str">
        <f>IFERROR(VLOOKUP(A7549, Entries!A:K,11,false),"")</f>
        <v/>
      </c>
    </row>
    <row r="7550">
      <c r="A7550" s="78" t="s">
        <v>8529</v>
      </c>
      <c r="B7550" s="78" t="s">
        <v>19</v>
      </c>
      <c r="C7550" s="85">
        <v>45720.0</v>
      </c>
      <c r="D7550" s="85">
        <v>45720.0</v>
      </c>
      <c r="E7550" s="86">
        <v>20.89</v>
      </c>
      <c r="F7550" s="87">
        <v>40.13</v>
      </c>
      <c r="G7550" s="88">
        <f t="shared" si="1"/>
        <v>19.24</v>
      </c>
      <c r="H7550" s="89">
        <f t="shared" si="18"/>
        <v>0.4794418141</v>
      </c>
      <c r="I7550" s="78" t="s">
        <v>8578</v>
      </c>
      <c r="J7550" s="78" t="s">
        <v>69</v>
      </c>
      <c r="K7550" s="58">
        <f t="shared" si="17"/>
        <v>0</v>
      </c>
      <c r="L7550" s="91" t="str">
        <f t="shared" si="8"/>
        <v>Tue</v>
      </c>
      <c r="M7550" s="78" t="str">
        <f>IFERROR(VLOOKUP(A7550, Entries!A:B,2,false),"")</f>
        <v>SEGA</v>
      </c>
      <c r="N7550" s="23" t="str">
        <f>IFERROR(VLOOKUP(A7550, Entries!A:K,11,false),"")</f>
        <v/>
      </c>
    </row>
    <row r="7551">
      <c r="A7551" s="78" t="s">
        <v>8529</v>
      </c>
      <c r="B7551" s="78" t="s">
        <v>19</v>
      </c>
      <c r="C7551" s="85">
        <v>45720.0</v>
      </c>
      <c r="D7551" s="85">
        <v>45721.0</v>
      </c>
      <c r="E7551" s="86">
        <v>21.89</v>
      </c>
      <c r="F7551" s="87">
        <v>43.86</v>
      </c>
      <c r="G7551" s="88">
        <f t="shared" si="1"/>
        <v>21.97</v>
      </c>
      <c r="H7551" s="89">
        <f t="shared" si="18"/>
        <v>0.5009119927</v>
      </c>
      <c r="I7551" s="78" t="s">
        <v>8579</v>
      </c>
      <c r="J7551" s="78" t="s">
        <v>69</v>
      </c>
      <c r="K7551" s="58">
        <f t="shared" si="17"/>
        <v>1</v>
      </c>
      <c r="L7551" s="91" t="str">
        <f t="shared" si="8"/>
        <v>Wed</v>
      </c>
      <c r="M7551" s="78" t="str">
        <f>IFERROR(VLOOKUP(A7551, Entries!A:B,2,false),"")</f>
        <v>SEGA</v>
      </c>
      <c r="N7551" s="23" t="str">
        <f>IFERROR(VLOOKUP(A7551, Entries!A:K,11,false),"")</f>
        <v/>
      </c>
    </row>
    <row r="7552">
      <c r="A7552" s="78" t="s">
        <v>1053</v>
      </c>
      <c r="B7552" s="78" t="s">
        <v>19</v>
      </c>
      <c r="C7552" s="85">
        <v>45720.0</v>
      </c>
      <c r="D7552" s="85">
        <v>45720.0</v>
      </c>
      <c r="E7552" s="86">
        <v>0.0</v>
      </c>
      <c r="F7552" s="87">
        <v>1.14</v>
      </c>
      <c r="G7552" s="88">
        <f t="shared" si="1"/>
        <v>1.14</v>
      </c>
      <c r="H7552" s="89">
        <f t="shared" si="18"/>
        <v>1</v>
      </c>
      <c r="I7552" s="78" t="s">
        <v>8580</v>
      </c>
      <c r="J7552" s="78" t="s">
        <v>69</v>
      </c>
      <c r="K7552" s="58">
        <f t="shared" si="17"/>
        <v>0</v>
      </c>
      <c r="L7552" s="91" t="str">
        <f t="shared" si="8"/>
        <v>Tue</v>
      </c>
      <c r="M7552" s="78" t="str">
        <f>IFERROR(VLOOKUP(A7552, Entries!A:B,2,false),"")</f>
        <v>Techland Publishing</v>
      </c>
      <c r="N7552" s="23" t="str">
        <f>IFERROR(VLOOKUP(A7552, Entries!A:K,11,false),"")</f>
        <v/>
      </c>
    </row>
    <row r="7553">
      <c r="A7553" s="78" t="s">
        <v>2339</v>
      </c>
      <c r="B7553" s="78" t="s">
        <v>23</v>
      </c>
      <c r="C7553" s="85">
        <v>45720.0</v>
      </c>
      <c r="D7553" s="85">
        <v>45720.0</v>
      </c>
      <c r="E7553" s="86">
        <v>1.51</v>
      </c>
      <c r="F7553" s="87">
        <v>3.4</v>
      </c>
      <c r="G7553" s="88">
        <f t="shared" si="1"/>
        <v>1.89</v>
      </c>
      <c r="H7553" s="89">
        <f t="shared" si="18"/>
        <v>0.5558823529</v>
      </c>
      <c r="I7553" s="78" t="s">
        <v>8581</v>
      </c>
      <c r="J7553" s="78" t="s">
        <v>69</v>
      </c>
      <c r="K7553" s="58">
        <f t="shared" si="17"/>
        <v>0</v>
      </c>
      <c r="L7553" s="91" t="str">
        <f t="shared" si="8"/>
        <v>Tue</v>
      </c>
      <c r="M7553" s="78" t="str">
        <f>IFERROR(VLOOKUP(A7553, Entries!A:B,2,false),"")</f>
        <v>PlayWay</v>
      </c>
      <c r="N7553" s="23" t="str">
        <f>IFERROR(VLOOKUP(A7553, Entries!A:K,11,false),"")</f>
        <v/>
      </c>
    </row>
    <row r="7554">
      <c r="A7554" s="78" t="s">
        <v>7750</v>
      </c>
      <c r="B7554" s="78" t="s">
        <v>21</v>
      </c>
      <c r="C7554" s="85">
        <v>45720.0</v>
      </c>
      <c r="D7554" s="85">
        <v>45721.0</v>
      </c>
      <c r="E7554" s="86">
        <v>34.82</v>
      </c>
      <c r="F7554" s="87">
        <v>40.1</v>
      </c>
      <c r="G7554" s="88">
        <f t="shared" si="1"/>
        <v>5.28</v>
      </c>
      <c r="H7554" s="89">
        <f t="shared" si="18"/>
        <v>0.1316708229</v>
      </c>
      <c r="J7554" s="78" t="s">
        <v>69</v>
      </c>
      <c r="K7554" s="58">
        <f t="shared" si="17"/>
        <v>1</v>
      </c>
      <c r="L7554" s="91" t="str">
        <f t="shared" si="8"/>
        <v>Wed</v>
      </c>
      <c r="M7554" s="78" t="str">
        <f>IFERROR(VLOOKUP(A7554, Entries!A:B,2,false),"")</f>
        <v/>
      </c>
      <c r="N7554" s="23" t="str">
        <f>IFERROR(VLOOKUP(A7554, Entries!A:K,11,false),"")</f>
        <v/>
      </c>
    </row>
    <row r="7555">
      <c r="A7555" s="78" t="s">
        <v>2339</v>
      </c>
      <c r="B7555" s="78" t="s">
        <v>23</v>
      </c>
      <c r="C7555" s="85">
        <v>45720.0</v>
      </c>
      <c r="D7555" s="85">
        <v>45721.0</v>
      </c>
      <c r="E7555" s="86">
        <v>1.51</v>
      </c>
      <c r="F7555" s="87">
        <v>3.35</v>
      </c>
      <c r="G7555" s="88">
        <f t="shared" si="1"/>
        <v>1.84</v>
      </c>
      <c r="H7555" s="89">
        <f t="shared" si="18"/>
        <v>0.5492537313</v>
      </c>
      <c r="I7555" s="78" t="s">
        <v>8582</v>
      </c>
      <c r="J7555" s="78" t="s">
        <v>69</v>
      </c>
      <c r="K7555" s="58">
        <f t="shared" si="17"/>
        <v>1</v>
      </c>
      <c r="L7555" s="91" t="str">
        <f t="shared" si="8"/>
        <v>Wed</v>
      </c>
      <c r="M7555" s="78" t="str">
        <f>IFERROR(VLOOKUP(A7555, Entries!A:B,2,false),"")</f>
        <v>PlayWay</v>
      </c>
      <c r="N7555" s="23" t="str">
        <f>IFERROR(VLOOKUP(A7555, Entries!A:K,11,false),"")</f>
        <v/>
      </c>
    </row>
    <row r="7556">
      <c r="A7556" s="78" t="s">
        <v>5603</v>
      </c>
      <c r="B7556" s="78" t="s">
        <v>21</v>
      </c>
      <c r="C7556" s="85">
        <v>45720.0</v>
      </c>
      <c r="D7556" s="85">
        <v>45720.0</v>
      </c>
      <c r="E7556" s="86">
        <v>22.77</v>
      </c>
      <c r="F7556" s="87">
        <v>27.76</v>
      </c>
      <c r="G7556" s="88">
        <f t="shared" si="1"/>
        <v>4.99</v>
      </c>
      <c r="H7556" s="89">
        <f t="shared" si="18"/>
        <v>0.1797550432</v>
      </c>
      <c r="I7556" s="78" t="s">
        <v>8583</v>
      </c>
      <c r="J7556" s="78" t="s">
        <v>69</v>
      </c>
      <c r="K7556" s="58">
        <f t="shared" si="17"/>
        <v>0</v>
      </c>
      <c r="L7556" s="91" t="str">
        <f t="shared" si="8"/>
        <v>Tue</v>
      </c>
      <c r="M7556" s="78" t="str">
        <f>IFERROR(VLOOKUP(A7556, Entries!A:B,2,false),"")</f>
        <v>PlayStation</v>
      </c>
      <c r="N7556" s="23" t="str">
        <f>IFERROR(VLOOKUP(A7556, Entries!A:K,11,false),"")</f>
        <v/>
      </c>
    </row>
    <row r="7557">
      <c r="A7557" s="78" t="s">
        <v>8529</v>
      </c>
      <c r="B7557" s="78" t="s">
        <v>19</v>
      </c>
      <c r="C7557" s="85">
        <v>45721.0</v>
      </c>
      <c r="D7557" s="85">
        <v>45721.0</v>
      </c>
      <c r="E7557" s="86">
        <v>20.89</v>
      </c>
      <c r="F7557" s="87">
        <v>39.31</v>
      </c>
      <c r="G7557" s="88">
        <f t="shared" si="1"/>
        <v>18.42</v>
      </c>
      <c r="H7557" s="89">
        <f t="shared" si="18"/>
        <v>0.4685830577</v>
      </c>
      <c r="I7557" s="78" t="s">
        <v>8584</v>
      </c>
      <c r="J7557" s="78" t="s">
        <v>69</v>
      </c>
      <c r="K7557" s="58">
        <f t="shared" si="17"/>
        <v>0</v>
      </c>
      <c r="L7557" s="91" t="str">
        <f t="shared" si="8"/>
        <v>Wed</v>
      </c>
      <c r="M7557" s="78" t="str">
        <f>IFERROR(VLOOKUP(A7557, Entries!A:B,2,false),"")</f>
        <v>SEGA</v>
      </c>
      <c r="N7557" s="23" t="str">
        <f>IFERROR(VLOOKUP(A7557, Entries!A:K,11,false),"")</f>
        <v/>
      </c>
    </row>
    <row r="7558">
      <c r="A7558" s="78" t="s">
        <v>8585</v>
      </c>
      <c r="B7558" s="78" t="s">
        <v>21</v>
      </c>
      <c r="C7558" s="85">
        <v>45721.0</v>
      </c>
      <c r="D7558" s="85">
        <v>45721.0</v>
      </c>
      <c r="E7558" s="86">
        <v>24.09</v>
      </c>
      <c r="F7558" s="87">
        <v>26.73</v>
      </c>
      <c r="G7558" s="88">
        <f t="shared" si="1"/>
        <v>2.64</v>
      </c>
      <c r="H7558" s="89">
        <f t="shared" si="18"/>
        <v>0.0987654321</v>
      </c>
      <c r="I7558" s="78" t="s">
        <v>8586</v>
      </c>
      <c r="J7558" s="78" t="s">
        <v>69</v>
      </c>
      <c r="K7558" s="58">
        <f t="shared" si="17"/>
        <v>0</v>
      </c>
      <c r="L7558" s="91" t="str">
        <f t="shared" si="8"/>
        <v>Wed</v>
      </c>
      <c r="M7558" s="78" t="str">
        <f>IFERROR(VLOOKUP(A7558, Entries!A:B,2,false),"")</f>
        <v/>
      </c>
      <c r="N7558" s="23" t="str">
        <f>IFERROR(VLOOKUP(A7558, Entries!A:K,11,false),"")</f>
        <v/>
      </c>
    </row>
    <row r="7559">
      <c r="A7559" s="78" t="s">
        <v>8529</v>
      </c>
      <c r="B7559" s="78" t="s">
        <v>19</v>
      </c>
      <c r="C7559" s="85">
        <v>45721.0</v>
      </c>
      <c r="D7559" s="85">
        <v>45722.0</v>
      </c>
      <c r="E7559" s="86">
        <v>19.89</v>
      </c>
      <c r="F7559" s="87">
        <v>37.99</v>
      </c>
      <c r="G7559" s="88">
        <f t="shared" si="1"/>
        <v>18.1</v>
      </c>
      <c r="H7559" s="89">
        <f t="shared" si="18"/>
        <v>0.4764411687</v>
      </c>
      <c r="I7559" s="78" t="s">
        <v>8587</v>
      </c>
      <c r="J7559" s="78" t="s">
        <v>69</v>
      </c>
      <c r="K7559" s="58">
        <f t="shared" si="17"/>
        <v>1</v>
      </c>
      <c r="L7559" s="91" t="str">
        <f t="shared" si="8"/>
        <v>Thu</v>
      </c>
      <c r="M7559" s="78" t="str">
        <f>IFERROR(VLOOKUP(A7559, Entries!A:B,2,false),"")</f>
        <v>SEGA</v>
      </c>
      <c r="N7559" s="23" t="str">
        <f>IFERROR(VLOOKUP(A7559, Entries!A:K,11,false),"")</f>
        <v/>
      </c>
    </row>
    <row r="7560">
      <c r="A7560" s="78" t="s">
        <v>8588</v>
      </c>
      <c r="B7560" s="78" t="s">
        <v>19</v>
      </c>
      <c r="C7560" s="85">
        <v>45721.0</v>
      </c>
      <c r="D7560" s="85">
        <v>45979.0</v>
      </c>
      <c r="E7560" s="86">
        <v>0.0</v>
      </c>
      <c r="F7560" s="87">
        <v>0.18</v>
      </c>
      <c r="G7560" s="88">
        <f t="shared" si="1"/>
        <v>0.18</v>
      </c>
      <c r="H7560" s="89">
        <f t="shared" si="18"/>
        <v>1</v>
      </c>
      <c r="I7560" s="103" t="s">
        <v>8589</v>
      </c>
      <c r="J7560" s="78" t="s">
        <v>69</v>
      </c>
      <c r="K7560" s="58">
        <f t="shared" si="17"/>
        <v>258</v>
      </c>
      <c r="L7560" s="91" t="str">
        <f t="shared" si="8"/>
        <v>Tue</v>
      </c>
      <c r="M7560" s="78" t="str">
        <f>IFERROR(VLOOKUP(A7560, Entries!A:B,2,false),"")</f>
        <v/>
      </c>
      <c r="N7560" s="23" t="str">
        <f>IFERROR(VLOOKUP(A7560, Entries!A:K,11,false),"")</f>
        <v/>
      </c>
    </row>
    <row r="7561">
      <c r="A7561" s="78" t="s">
        <v>8590</v>
      </c>
      <c r="B7561" s="78" t="s">
        <v>21</v>
      </c>
      <c r="C7561" s="85">
        <v>45721.0</v>
      </c>
      <c r="D7561" s="85">
        <v>45726.0</v>
      </c>
      <c r="E7561" s="86">
        <v>8.35</v>
      </c>
      <c r="F7561" s="87">
        <v>12.17</v>
      </c>
      <c r="G7561" s="88">
        <f t="shared" si="1"/>
        <v>3.82</v>
      </c>
      <c r="H7561" s="89">
        <f t="shared" si="18"/>
        <v>0.3138866064</v>
      </c>
      <c r="I7561" s="78" t="s">
        <v>8591</v>
      </c>
      <c r="J7561" s="78" t="s">
        <v>69</v>
      </c>
      <c r="K7561" s="58">
        <f t="shared" si="17"/>
        <v>5</v>
      </c>
      <c r="L7561" s="91" t="str">
        <f t="shared" si="8"/>
        <v>Mon</v>
      </c>
      <c r="M7561" s="78" t="str">
        <f>IFERROR(VLOOKUP(A7561, Entries!A:B,2,false),"")</f>
        <v/>
      </c>
      <c r="N7561" s="23" t="str">
        <f>IFERROR(VLOOKUP(A7561, Entries!A:K,11,false),"")</f>
        <v/>
      </c>
    </row>
    <row r="7562">
      <c r="A7562" s="78" t="s">
        <v>8557</v>
      </c>
      <c r="B7562" s="78" t="s">
        <v>21</v>
      </c>
      <c r="C7562" s="85">
        <v>45721.0</v>
      </c>
      <c r="D7562" s="85">
        <v>45723.0</v>
      </c>
      <c r="E7562" s="86">
        <v>29.91</v>
      </c>
      <c r="F7562" s="87">
        <v>34.54</v>
      </c>
      <c r="G7562" s="88">
        <f t="shared" si="1"/>
        <v>4.63</v>
      </c>
      <c r="H7562" s="89">
        <f t="shared" si="18"/>
        <v>0.1340474812</v>
      </c>
      <c r="I7562" s="78" t="s">
        <v>8592</v>
      </c>
      <c r="J7562" s="78" t="s">
        <v>69</v>
      </c>
      <c r="K7562" s="58">
        <f t="shared" si="17"/>
        <v>2</v>
      </c>
      <c r="L7562" s="91" t="str">
        <f t="shared" si="8"/>
        <v>Fri</v>
      </c>
      <c r="M7562" s="78" t="str">
        <f>IFERROR(VLOOKUP(A7562, Entries!A:B,2,false),"")</f>
        <v/>
      </c>
      <c r="N7562" s="23" t="str">
        <f>IFERROR(VLOOKUP(A7562, Entries!A:K,11,false),"")</f>
        <v/>
      </c>
    </row>
    <row r="7563">
      <c r="A7563" s="78" t="s">
        <v>8557</v>
      </c>
      <c r="B7563" s="78" t="s">
        <v>21</v>
      </c>
      <c r="C7563" s="85">
        <v>45721.0</v>
      </c>
      <c r="D7563" s="85">
        <v>45724.0</v>
      </c>
      <c r="E7563" s="86">
        <v>29.91</v>
      </c>
      <c r="F7563" s="87">
        <v>34.54</v>
      </c>
      <c r="G7563" s="88">
        <f t="shared" si="1"/>
        <v>4.63</v>
      </c>
      <c r="H7563" s="89">
        <f t="shared" si="18"/>
        <v>0.1340474812</v>
      </c>
      <c r="I7563" s="78" t="s">
        <v>8593</v>
      </c>
      <c r="J7563" s="78" t="s">
        <v>69</v>
      </c>
      <c r="K7563" s="58">
        <f t="shared" si="17"/>
        <v>3</v>
      </c>
      <c r="L7563" s="91" t="str">
        <f t="shared" si="8"/>
        <v>Sat</v>
      </c>
      <c r="M7563" s="78" t="str">
        <f>IFERROR(VLOOKUP(A7563, Entries!A:B,2,false),"")</f>
        <v/>
      </c>
      <c r="N7563" s="23" t="str">
        <f>IFERROR(VLOOKUP(A7563, Entries!A:K,11,false),"")</f>
        <v/>
      </c>
    </row>
    <row r="7564">
      <c r="A7564" s="78" t="s">
        <v>2339</v>
      </c>
      <c r="B7564" s="78" t="s">
        <v>23</v>
      </c>
      <c r="C7564" s="85">
        <v>45721.0</v>
      </c>
      <c r="D7564" s="85">
        <v>45721.0</v>
      </c>
      <c r="E7564" s="86">
        <v>1.51</v>
      </c>
      <c r="F7564" s="87">
        <v>3.35</v>
      </c>
      <c r="G7564" s="88">
        <f t="shared" si="1"/>
        <v>1.84</v>
      </c>
      <c r="H7564" s="89">
        <f t="shared" si="18"/>
        <v>0.5492537313</v>
      </c>
      <c r="I7564" s="78" t="s">
        <v>8594</v>
      </c>
      <c r="J7564" s="78" t="s">
        <v>69</v>
      </c>
      <c r="K7564" s="58">
        <f t="shared" si="17"/>
        <v>0</v>
      </c>
      <c r="L7564" s="91" t="str">
        <f t="shared" si="8"/>
        <v>Wed</v>
      </c>
      <c r="M7564" s="78" t="str">
        <f>IFERROR(VLOOKUP(A7564, Entries!A:B,2,false),"")</f>
        <v>PlayWay</v>
      </c>
      <c r="N7564" s="23" t="str">
        <f>IFERROR(VLOOKUP(A7564, Entries!A:K,11,false),"")</f>
        <v/>
      </c>
    </row>
    <row r="7565">
      <c r="A7565" s="78" t="s">
        <v>2339</v>
      </c>
      <c r="B7565" s="78" t="s">
        <v>23</v>
      </c>
      <c r="C7565" s="85">
        <v>45721.0</v>
      </c>
      <c r="D7565" s="85">
        <v>45722.0</v>
      </c>
      <c r="E7565" s="86">
        <v>1.51</v>
      </c>
      <c r="F7565" s="87">
        <v>3.35</v>
      </c>
      <c r="G7565" s="88">
        <f t="shared" si="1"/>
        <v>1.84</v>
      </c>
      <c r="H7565" s="89">
        <f t="shared" si="18"/>
        <v>0.5492537313</v>
      </c>
      <c r="I7565" s="78" t="s">
        <v>8595</v>
      </c>
      <c r="J7565" s="78" t="s">
        <v>69</v>
      </c>
      <c r="K7565" s="58">
        <f t="shared" si="17"/>
        <v>1</v>
      </c>
      <c r="L7565" s="91" t="str">
        <f t="shared" si="8"/>
        <v>Thu</v>
      </c>
      <c r="M7565" s="78" t="str">
        <f>IFERROR(VLOOKUP(A7565, Entries!A:B,2,false),"")</f>
        <v>PlayWay</v>
      </c>
      <c r="N7565" s="23" t="str">
        <f>IFERROR(VLOOKUP(A7565, Entries!A:K,11,false),"")</f>
        <v/>
      </c>
    </row>
    <row r="7566">
      <c r="A7566" s="78" t="s">
        <v>8596</v>
      </c>
      <c r="B7566" s="78" t="s">
        <v>23</v>
      </c>
      <c r="C7566" s="85">
        <v>45722.0</v>
      </c>
      <c r="D7566" s="85">
        <v>45729.0</v>
      </c>
      <c r="E7566" s="86">
        <v>5.16</v>
      </c>
      <c r="F7566" s="87">
        <v>8.58</v>
      </c>
      <c r="G7566" s="88">
        <f t="shared" si="1"/>
        <v>3.42</v>
      </c>
      <c r="H7566" s="89">
        <f t="shared" si="18"/>
        <v>0.3986013986</v>
      </c>
      <c r="I7566" s="78" t="s">
        <v>8597</v>
      </c>
      <c r="J7566" s="78" t="s">
        <v>69</v>
      </c>
      <c r="K7566" s="58">
        <f t="shared" si="17"/>
        <v>7</v>
      </c>
      <c r="L7566" s="91" t="str">
        <f t="shared" si="8"/>
        <v>Thu</v>
      </c>
      <c r="M7566" s="78" t="str">
        <f>IFERROR(VLOOKUP(A7566, Entries!A:B,2,false),"")</f>
        <v/>
      </c>
      <c r="N7566" s="23" t="str">
        <f>IFERROR(VLOOKUP(A7566, Entries!A:K,11,false),"")</f>
        <v/>
      </c>
    </row>
    <row r="7567">
      <c r="A7567" s="78" t="s">
        <v>8598</v>
      </c>
      <c r="B7567" s="78" t="s">
        <v>21</v>
      </c>
      <c r="C7567" s="85">
        <v>45722.0</v>
      </c>
      <c r="D7567" s="85">
        <v>45724.0</v>
      </c>
      <c r="E7567" s="86">
        <v>21.5</v>
      </c>
      <c r="F7567" s="87">
        <v>26.88</v>
      </c>
      <c r="G7567" s="88">
        <f t="shared" si="1"/>
        <v>5.38</v>
      </c>
      <c r="H7567" s="89">
        <f t="shared" si="18"/>
        <v>0.2001488095</v>
      </c>
      <c r="I7567" s="78" t="s">
        <v>8599</v>
      </c>
      <c r="J7567" s="78" t="s">
        <v>69</v>
      </c>
      <c r="K7567" s="58">
        <f t="shared" si="17"/>
        <v>2</v>
      </c>
      <c r="L7567" s="91" t="str">
        <f t="shared" si="8"/>
        <v>Sat</v>
      </c>
      <c r="M7567" s="78" t="str">
        <f>IFERROR(VLOOKUP(A7567, Entries!A:B,2,false),"")</f>
        <v/>
      </c>
      <c r="N7567" s="23" t="str">
        <f>IFERROR(VLOOKUP(A7567, Entries!A:K,11,false),"")</f>
        <v/>
      </c>
    </row>
    <row r="7568">
      <c r="A7568" s="78" t="s">
        <v>8598</v>
      </c>
      <c r="B7568" s="78" t="s">
        <v>21</v>
      </c>
      <c r="C7568" s="85">
        <v>45722.0</v>
      </c>
      <c r="D7568" s="85">
        <v>45726.0</v>
      </c>
      <c r="E7568" s="86">
        <v>21.51</v>
      </c>
      <c r="F7568" s="87">
        <v>26.99</v>
      </c>
      <c r="G7568" s="88">
        <f t="shared" si="1"/>
        <v>5.48</v>
      </c>
      <c r="H7568" s="89">
        <f t="shared" si="18"/>
        <v>0.2030381623</v>
      </c>
      <c r="I7568" s="78" t="s">
        <v>8600</v>
      </c>
      <c r="J7568" s="78" t="s">
        <v>69</v>
      </c>
      <c r="K7568" s="58">
        <f t="shared" si="17"/>
        <v>4</v>
      </c>
      <c r="L7568" s="91" t="str">
        <f t="shared" si="8"/>
        <v>Mon</v>
      </c>
      <c r="M7568" s="78" t="str">
        <f>IFERROR(VLOOKUP(A7568, Entries!A:B,2,false),"")</f>
        <v/>
      </c>
      <c r="N7568" s="23" t="str">
        <f>IFERROR(VLOOKUP(A7568, Entries!A:K,11,false),"")</f>
        <v/>
      </c>
    </row>
    <row r="7569">
      <c r="A7569" s="78" t="s">
        <v>7810</v>
      </c>
      <c r="B7569" s="78" t="s">
        <v>22</v>
      </c>
      <c r="C7569" s="85">
        <v>45722.0</v>
      </c>
      <c r="D7569" s="85">
        <v>45722.0</v>
      </c>
      <c r="E7569" s="86">
        <v>12.52</v>
      </c>
      <c r="F7569" s="87">
        <v>13.83</v>
      </c>
      <c r="G7569" s="88">
        <f t="shared" si="1"/>
        <v>1.31</v>
      </c>
      <c r="H7569" s="89">
        <f t="shared" si="18"/>
        <v>0.09472161967</v>
      </c>
      <c r="I7569" s="78" t="s">
        <v>8601</v>
      </c>
      <c r="J7569" s="78" t="s">
        <v>69</v>
      </c>
      <c r="K7569" s="58">
        <f t="shared" si="17"/>
        <v>0</v>
      </c>
      <c r="L7569" s="91" t="str">
        <f t="shared" si="8"/>
        <v>Thu</v>
      </c>
      <c r="M7569" s="78" t="str">
        <f>IFERROR(VLOOKUP(A7569, Entries!A:B,2,false),"")</f>
        <v/>
      </c>
      <c r="N7569" s="23" t="str">
        <f>IFERROR(VLOOKUP(A7569, Entries!A:K,11,false),"")</f>
        <v/>
      </c>
    </row>
    <row r="7570">
      <c r="A7570" s="78" t="s">
        <v>8564</v>
      </c>
      <c r="B7570" s="78" t="s">
        <v>21</v>
      </c>
      <c r="C7570" s="85">
        <v>45722.0</v>
      </c>
      <c r="D7570" s="85">
        <v>45722.0</v>
      </c>
      <c r="E7570" s="86">
        <v>32.95</v>
      </c>
      <c r="F7570" s="87">
        <v>35.86</v>
      </c>
      <c r="G7570" s="88">
        <f t="shared" si="1"/>
        <v>2.91</v>
      </c>
      <c r="H7570" s="89">
        <f t="shared" si="18"/>
        <v>0.08114891244</v>
      </c>
      <c r="I7570" s="78" t="s">
        <v>8602</v>
      </c>
      <c r="J7570" s="78" t="s">
        <v>69</v>
      </c>
      <c r="K7570" s="58">
        <f t="shared" si="17"/>
        <v>0</v>
      </c>
      <c r="L7570" s="91" t="str">
        <f t="shared" si="8"/>
        <v>Thu</v>
      </c>
      <c r="M7570" s="78" t="str">
        <f>IFERROR(VLOOKUP(A7570, Entries!A:B,2,false),"")</f>
        <v/>
      </c>
      <c r="N7570" s="23" t="str">
        <f>IFERROR(VLOOKUP(A7570, Entries!A:K,11,false),"")</f>
        <v/>
      </c>
    </row>
    <row r="7571">
      <c r="A7571" s="78" t="s">
        <v>7750</v>
      </c>
      <c r="B7571" s="78" t="s">
        <v>21</v>
      </c>
      <c r="C7571" s="85">
        <v>45722.0</v>
      </c>
      <c r="D7571" s="85">
        <v>45724.0</v>
      </c>
      <c r="E7571" s="86">
        <v>34.82</v>
      </c>
      <c r="F7571" s="87">
        <v>40.53</v>
      </c>
      <c r="G7571" s="88">
        <f t="shared" si="1"/>
        <v>5.71</v>
      </c>
      <c r="H7571" s="89">
        <f t="shared" si="18"/>
        <v>0.1408832963</v>
      </c>
      <c r="I7571" s="78" t="s">
        <v>8603</v>
      </c>
      <c r="J7571" s="78" t="s">
        <v>69</v>
      </c>
      <c r="K7571" s="58">
        <f t="shared" si="17"/>
        <v>2</v>
      </c>
      <c r="L7571" s="91" t="str">
        <f t="shared" si="8"/>
        <v>Sat</v>
      </c>
      <c r="M7571" s="78" t="str">
        <f>IFERROR(VLOOKUP(A7571, Entries!A:B,2,false),"")</f>
        <v/>
      </c>
      <c r="N7571" s="23" t="str">
        <f>IFERROR(VLOOKUP(A7571, Entries!A:K,11,false),"")</f>
        <v/>
      </c>
    </row>
    <row r="7572">
      <c r="A7572" s="78" t="s">
        <v>8529</v>
      </c>
      <c r="B7572" s="78" t="s">
        <v>19</v>
      </c>
      <c r="C7572" s="85">
        <v>45722.0</v>
      </c>
      <c r="D7572" s="85">
        <v>45723.0</v>
      </c>
      <c r="E7572" s="86">
        <v>21.89</v>
      </c>
      <c r="F7572" s="87">
        <v>37.99</v>
      </c>
      <c r="G7572" s="88">
        <f t="shared" si="1"/>
        <v>16.1</v>
      </c>
      <c r="H7572" s="89">
        <f t="shared" si="18"/>
        <v>0.4237957357</v>
      </c>
      <c r="I7572" s="78" t="s">
        <v>8604</v>
      </c>
      <c r="J7572" s="78" t="s">
        <v>69</v>
      </c>
      <c r="K7572" s="58">
        <f t="shared" si="17"/>
        <v>1</v>
      </c>
      <c r="L7572" s="91" t="str">
        <f t="shared" si="8"/>
        <v>Fri</v>
      </c>
      <c r="M7572" s="78" t="str">
        <f>IFERROR(VLOOKUP(A7572, Entries!A:B,2,false),"")</f>
        <v>SEGA</v>
      </c>
      <c r="N7572" s="23" t="str">
        <f>IFERROR(VLOOKUP(A7572, Entries!A:K,11,false),"")</f>
        <v/>
      </c>
    </row>
    <row r="7573">
      <c r="A7573" s="78" t="s">
        <v>8529</v>
      </c>
      <c r="B7573" s="78" t="s">
        <v>19</v>
      </c>
      <c r="C7573" s="85">
        <v>45723.0</v>
      </c>
      <c r="D7573" s="85">
        <v>45724.0</v>
      </c>
      <c r="E7573" s="86">
        <v>21.89</v>
      </c>
      <c r="F7573" s="87">
        <v>32.24</v>
      </c>
      <c r="G7573" s="88">
        <f t="shared" si="1"/>
        <v>10.35</v>
      </c>
      <c r="H7573" s="89">
        <f t="shared" si="18"/>
        <v>0.3210297767</v>
      </c>
      <c r="I7573" s="78" t="s">
        <v>8605</v>
      </c>
      <c r="J7573" s="78" t="s">
        <v>69</v>
      </c>
      <c r="K7573" s="58">
        <f t="shared" si="17"/>
        <v>1</v>
      </c>
      <c r="L7573" s="91" t="str">
        <f t="shared" si="8"/>
        <v>Sat</v>
      </c>
      <c r="M7573" s="78" t="str">
        <f>IFERROR(VLOOKUP(A7573, Entries!A:B,2,false),"")</f>
        <v>SEGA</v>
      </c>
      <c r="N7573" s="23" t="str">
        <f>IFERROR(VLOOKUP(A7573, Entries!A:K,11,false),"")</f>
        <v/>
      </c>
    </row>
    <row r="7574">
      <c r="A7574" s="78" t="s">
        <v>5676</v>
      </c>
      <c r="B7574" s="78" t="s">
        <v>21</v>
      </c>
      <c r="C7574" s="85">
        <v>45723.0</v>
      </c>
      <c r="D7574" s="85">
        <v>45724.0</v>
      </c>
      <c r="E7574" s="86">
        <v>35.3</v>
      </c>
      <c r="F7574" s="87">
        <v>43.98</v>
      </c>
      <c r="G7574" s="88">
        <f t="shared" si="1"/>
        <v>8.68</v>
      </c>
      <c r="H7574" s="89">
        <f t="shared" si="18"/>
        <v>0.1973624375</v>
      </c>
      <c r="I7574" s="78" t="s">
        <v>8606</v>
      </c>
      <c r="J7574" s="78" t="s">
        <v>69</v>
      </c>
      <c r="K7574" s="58">
        <f t="shared" si="17"/>
        <v>1</v>
      </c>
      <c r="L7574" s="91" t="str">
        <f t="shared" si="8"/>
        <v>Sat</v>
      </c>
      <c r="M7574" s="78" t="str">
        <f>IFERROR(VLOOKUP(A7574, Entries!A:B,2,false),"")</f>
        <v>Bethesda Softworks</v>
      </c>
      <c r="N7574" s="23" t="str">
        <f>IFERROR(VLOOKUP(A7574, Entries!A:K,11,false),"")</f>
        <v/>
      </c>
    </row>
    <row r="7575">
      <c r="A7575" s="78" t="s">
        <v>8607</v>
      </c>
      <c r="B7575" s="78" t="s">
        <v>21</v>
      </c>
      <c r="C7575" s="85">
        <v>45724.0</v>
      </c>
      <c r="D7575" s="85">
        <v>45724.0</v>
      </c>
      <c r="E7575" s="86">
        <v>23.74</v>
      </c>
      <c r="F7575" s="87">
        <v>27.84</v>
      </c>
      <c r="G7575" s="88">
        <f t="shared" si="1"/>
        <v>4.1</v>
      </c>
      <c r="H7575" s="89">
        <f t="shared" si="18"/>
        <v>0.1472701149</v>
      </c>
      <c r="I7575" s="78" t="s">
        <v>8608</v>
      </c>
      <c r="J7575" s="78" t="s">
        <v>69</v>
      </c>
      <c r="K7575" s="58">
        <f t="shared" si="17"/>
        <v>0</v>
      </c>
      <c r="L7575" s="91" t="str">
        <f t="shared" si="8"/>
        <v>Sat</v>
      </c>
      <c r="M7575" s="78" t="str">
        <f>IFERROR(VLOOKUP(A7575, Entries!A:B,2,false),"")</f>
        <v/>
      </c>
      <c r="N7575" s="23" t="str">
        <f>IFERROR(VLOOKUP(A7575, Entries!A:K,11,false),"")</f>
        <v/>
      </c>
    </row>
    <row r="7576">
      <c r="A7576" s="78" t="s">
        <v>8529</v>
      </c>
      <c r="B7576" s="78" t="s">
        <v>19</v>
      </c>
      <c r="C7576" s="85">
        <v>45724.0</v>
      </c>
      <c r="D7576" s="85">
        <v>45724.0</v>
      </c>
      <c r="E7576" s="86">
        <v>20.36</v>
      </c>
      <c r="F7576" s="87">
        <v>29.2</v>
      </c>
      <c r="G7576" s="88">
        <f t="shared" si="1"/>
        <v>8.84</v>
      </c>
      <c r="H7576" s="89">
        <f t="shared" si="18"/>
        <v>0.302739726</v>
      </c>
      <c r="I7576" s="78" t="s">
        <v>8609</v>
      </c>
      <c r="J7576" s="78" t="s">
        <v>69</v>
      </c>
      <c r="K7576" s="58">
        <f t="shared" si="17"/>
        <v>0</v>
      </c>
      <c r="L7576" s="91" t="str">
        <f t="shared" si="8"/>
        <v>Sat</v>
      </c>
      <c r="M7576" s="78" t="str">
        <f>IFERROR(VLOOKUP(A7576, Entries!A:B,2,false),"")</f>
        <v>SEGA</v>
      </c>
      <c r="N7576" s="23" t="str">
        <f>IFERROR(VLOOKUP(A7576, Entries!A:K,11,false),"")</f>
        <v/>
      </c>
    </row>
    <row r="7577">
      <c r="A7577" s="78" t="s">
        <v>8529</v>
      </c>
      <c r="B7577" s="78" t="s">
        <v>19</v>
      </c>
      <c r="C7577" s="85">
        <v>45724.0</v>
      </c>
      <c r="D7577" s="85">
        <v>45724.0</v>
      </c>
      <c r="E7577" s="86">
        <v>20.36</v>
      </c>
      <c r="F7577" s="87">
        <v>29.2</v>
      </c>
      <c r="G7577" s="88">
        <f t="shared" si="1"/>
        <v>8.84</v>
      </c>
      <c r="H7577" s="89">
        <f t="shared" si="18"/>
        <v>0.302739726</v>
      </c>
      <c r="I7577" s="78" t="s">
        <v>8610</v>
      </c>
      <c r="J7577" s="78" t="s">
        <v>69</v>
      </c>
      <c r="K7577" s="58">
        <f t="shared" si="17"/>
        <v>0</v>
      </c>
      <c r="L7577" s="91" t="str">
        <f t="shared" si="8"/>
        <v>Sat</v>
      </c>
      <c r="M7577" s="78" t="str">
        <f>IFERROR(VLOOKUP(A7577, Entries!A:B,2,false),"")</f>
        <v>SEGA</v>
      </c>
      <c r="N7577" s="23" t="str">
        <f>IFERROR(VLOOKUP(A7577, Entries!A:K,11,false),"")</f>
        <v/>
      </c>
    </row>
    <row r="7578">
      <c r="A7578" s="78" t="s">
        <v>8529</v>
      </c>
      <c r="B7578" s="78" t="s">
        <v>19</v>
      </c>
      <c r="C7578" s="85">
        <v>45724.0</v>
      </c>
      <c r="D7578" s="85">
        <v>45724.0</v>
      </c>
      <c r="E7578" s="86">
        <v>21.89</v>
      </c>
      <c r="F7578" s="87">
        <v>29.2</v>
      </c>
      <c r="G7578" s="88">
        <f t="shared" si="1"/>
        <v>7.31</v>
      </c>
      <c r="H7578" s="89">
        <f t="shared" si="18"/>
        <v>0.2503424658</v>
      </c>
      <c r="I7578" s="78" t="s">
        <v>8611</v>
      </c>
      <c r="J7578" s="78" t="s">
        <v>69</v>
      </c>
      <c r="K7578" s="58">
        <f t="shared" si="17"/>
        <v>0</v>
      </c>
      <c r="L7578" s="91" t="str">
        <f t="shared" si="8"/>
        <v>Sat</v>
      </c>
      <c r="M7578" s="78" t="str">
        <f>IFERROR(VLOOKUP(A7578, Entries!A:B,2,false),"")</f>
        <v>SEGA</v>
      </c>
      <c r="N7578" s="23" t="str">
        <f>IFERROR(VLOOKUP(A7578, Entries!A:K,11,false),"")</f>
        <v/>
      </c>
    </row>
    <row r="7579">
      <c r="A7579" s="78" t="s">
        <v>8612</v>
      </c>
      <c r="B7579" s="78" t="s">
        <v>19</v>
      </c>
      <c r="C7579" s="85">
        <v>45724.0</v>
      </c>
      <c r="D7579" s="85">
        <v>45739.0</v>
      </c>
      <c r="E7579" s="86">
        <v>0.0</v>
      </c>
      <c r="F7579" s="87">
        <v>0.3</v>
      </c>
      <c r="G7579" s="88">
        <f t="shared" si="1"/>
        <v>0.3</v>
      </c>
      <c r="H7579" s="89">
        <f t="shared" si="18"/>
        <v>1</v>
      </c>
      <c r="I7579" s="78" t="s">
        <v>8613</v>
      </c>
      <c r="J7579" s="78" t="s">
        <v>69</v>
      </c>
      <c r="K7579" s="58">
        <f t="shared" si="17"/>
        <v>15</v>
      </c>
      <c r="L7579" s="91" t="str">
        <f t="shared" si="8"/>
        <v>Sun</v>
      </c>
      <c r="M7579" s="78" t="str">
        <f>IFERROR(VLOOKUP(A7579, Entries!A:B,2,false),"")</f>
        <v/>
      </c>
      <c r="N7579" s="23" t="str">
        <f>IFERROR(VLOOKUP(A7579, Entries!A:K,11,false),"")</f>
        <v/>
      </c>
    </row>
    <row r="7580">
      <c r="A7580" s="78" t="s">
        <v>8557</v>
      </c>
      <c r="B7580" s="78" t="s">
        <v>18</v>
      </c>
      <c r="C7580" s="85">
        <v>45724.0</v>
      </c>
      <c r="D7580" s="85">
        <v>45727.0</v>
      </c>
      <c r="E7580" s="86">
        <v>32.23</v>
      </c>
      <c r="F7580" s="87">
        <v>39.95</v>
      </c>
      <c r="G7580" s="88">
        <f t="shared" si="1"/>
        <v>7.72</v>
      </c>
      <c r="H7580" s="89">
        <f t="shared" si="18"/>
        <v>0.1932415519</v>
      </c>
      <c r="I7580" s="78" t="s">
        <v>8614</v>
      </c>
      <c r="J7580" s="78" t="s">
        <v>69</v>
      </c>
      <c r="K7580" s="58">
        <f t="shared" si="17"/>
        <v>3</v>
      </c>
      <c r="L7580" s="91" t="str">
        <f t="shared" si="8"/>
        <v>Tue</v>
      </c>
      <c r="M7580" s="78" t="str">
        <f>IFERROR(VLOOKUP(A7580, Entries!A:B,2,false),"")</f>
        <v/>
      </c>
      <c r="N7580" s="23" t="str">
        <f>IFERROR(VLOOKUP(A7580, Entries!A:K,11,false),"")</f>
        <v/>
      </c>
    </row>
    <row r="7581">
      <c r="A7581" s="78" t="s">
        <v>8557</v>
      </c>
      <c r="B7581" s="78" t="s">
        <v>18</v>
      </c>
      <c r="C7581" s="85">
        <v>45724.0</v>
      </c>
      <c r="D7581" s="85">
        <v>45760.0</v>
      </c>
      <c r="E7581" s="86">
        <v>32.23</v>
      </c>
      <c r="F7581" s="87">
        <v>40.22</v>
      </c>
      <c r="G7581" s="88">
        <f t="shared" si="1"/>
        <v>7.99</v>
      </c>
      <c r="H7581" s="89">
        <f t="shared" si="18"/>
        <v>0.1986573844</v>
      </c>
      <c r="I7581" s="103" t="s">
        <v>8615</v>
      </c>
      <c r="J7581" s="78" t="s">
        <v>69</v>
      </c>
      <c r="K7581" s="58">
        <f t="shared" si="17"/>
        <v>36</v>
      </c>
      <c r="L7581" s="91" t="str">
        <f t="shared" si="8"/>
        <v>Sun</v>
      </c>
      <c r="M7581" s="78" t="str">
        <f>IFERROR(VLOOKUP(A7581, Entries!A:B,2,false),"")</f>
        <v/>
      </c>
      <c r="N7581" s="23" t="str">
        <f>IFERROR(VLOOKUP(A7581, Entries!A:K,11,false),"")</f>
        <v/>
      </c>
    </row>
    <row r="7582">
      <c r="A7582" s="78" t="s">
        <v>8529</v>
      </c>
      <c r="B7582" s="78" t="s">
        <v>19</v>
      </c>
      <c r="C7582" s="85">
        <v>45724.0</v>
      </c>
      <c r="D7582" s="85">
        <v>45725.0</v>
      </c>
      <c r="E7582" s="86">
        <v>19.7</v>
      </c>
      <c r="F7582" s="87">
        <v>32.29</v>
      </c>
      <c r="G7582" s="88">
        <f t="shared" si="1"/>
        <v>12.59</v>
      </c>
      <c r="H7582" s="89">
        <f t="shared" si="18"/>
        <v>0.389903995</v>
      </c>
      <c r="I7582" s="78" t="s">
        <v>8616</v>
      </c>
      <c r="J7582" s="78" t="s">
        <v>69</v>
      </c>
      <c r="K7582" s="58">
        <f t="shared" si="17"/>
        <v>1</v>
      </c>
      <c r="L7582" s="91" t="str">
        <f t="shared" si="8"/>
        <v>Sun</v>
      </c>
      <c r="M7582" s="78" t="str">
        <f>IFERROR(VLOOKUP(A7582, Entries!A:B,2,false),"")</f>
        <v>SEGA</v>
      </c>
      <c r="N7582" s="23" t="str">
        <f>IFERROR(VLOOKUP(A7582, Entries!A:K,11,false),"")</f>
        <v/>
      </c>
    </row>
    <row r="7583">
      <c r="A7583" s="78" t="s">
        <v>8617</v>
      </c>
      <c r="B7583" s="78" t="s">
        <v>19</v>
      </c>
      <c r="C7583" s="85">
        <v>45724.0</v>
      </c>
      <c r="D7583" s="85">
        <v>45724.0</v>
      </c>
      <c r="E7583" s="86">
        <v>0.0</v>
      </c>
      <c r="F7583" s="87">
        <v>0.37</v>
      </c>
      <c r="G7583" s="88">
        <f t="shared" si="1"/>
        <v>0.37</v>
      </c>
      <c r="H7583" s="89">
        <f t="shared" si="18"/>
        <v>1</v>
      </c>
      <c r="I7583" s="78" t="s">
        <v>8618</v>
      </c>
      <c r="J7583" s="78" t="s">
        <v>69</v>
      </c>
      <c r="K7583" s="58">
        <f t="shared" si="17"/>
        <v>0</v>
      </c>
      <c r="L7583" s="91" t="str">
        <f t="shared" si="8"/>
        <v>Sat</v>
      </c>
      <c r="M7583" s="78" t="str">
        <f>IFERROR(VLOOKUP(A7583, Entries!A:B,2,false),"")</f>
        <v/>
      </c>
      <c r="N7583" s="23" t="str">
        <f>IFERROR(VLOOKUP(A7583, Entries!A:K,11,false),"")</f>
        <v/>
      </c>
    </row>
    <row r="7584">
      <c r="A7584" s="78" t="s">
        <v>8529</v>
      </c>
      <c r="B7584" s="78" t="s">
        <v>19</v>
      </c>
      <c r="C7584" s="85">
        <v>45725.0</v>
      </c>
      <c r="D7584" s="85">
        <v>45725.0</v>
      </c>
      <c r="E7584" s="86">
        <v>21.89</v>
      </c>
      <c r="F7584" s="87">
        <v>32.25</v>
      </c>
      <c r="G7584" s="88">
        <f t="shared" si="1"/>
        <v>10.36</v>
      </c>
      <c r="H7584" s="89">
        <f t="shared" si="18"/>
        <v>0.3212403101</v>
      </c>
      <c r="I7584" s="78" t="s">
        <v>8619</v>
      </c>
      <c r="J7584" s="78" t="s">
        <v>69</v>
      </c>
      <c r="K7584" s="58">
        <f t="shared" si="17"/>
        <v>0</v>
      </c>
      <c r="L7584" s="91" t="str">
        <f t="shared" si="8"/>
        <v>Sun</v>
      </c>
      <c r="M7584" s="78" t="str">
        <f>IFERROR(VLOOKUP(A7584, Entries!A:B,2,false),"")</f>
        <v>SEGA</v>
      </c>
      <c r="N7584" s="23" t="str">
        <f>IFERROR(VLOOKUP(A7584, Entries!A:K,11,false),"")</f>
        <v/>
      </c>
    </row>
    <row r="7585">
      <c r="A7585" s="78" t="s">
        <v>8529</v>
      </c>
      <c r="B7585" s="78" t="s">
        <v>19</v>
      </c>
      <c r="C7585" s="85">
        <v>45725.0</v>
      </c>
      <c r="D7585" s="85">
        <v>45725.0</v>
      </c>
      <c r="E7585" s="86">
        <v>20.8</v>
      </c>
      <c r="F7585" s="87">
        <v>29.21</v>
      </c>
      <c r="G7585" s="88">
        <f t="shared" si="1"/>
        <v>8.41</v>
      </c>
      <c r="H7585" s="89">
        <f t="shared" si="18"/>
        <v>0.2879150976</v>
      </c>
      <c r="I7585" s="78" t="s">
        <v>8620</v>
      </c>
      <c r="J7585" s="78" t="s">
        <v>69</v>
      </c>
      <c r="K7585" s="58">
        <f t="shared" si="17"/>
        <v>0</v>
      </c>
      <c r="L7585" s="91" t="str">
        <f t="shared" si="8"/>
        <v>Sun</v>
      </c>
      <c r="M7585" s="78" t="str">
        <f>IFERROR(VLOOKUP(A7585, Entries!A:B,2,false),"")</f>
        <v>SEGA</v>
      </c>
      <c r="N7585" s="23" t="str">
        <f>IFERROR(VLOOKUP(A7585, Entries!A:K,11,false),"")</f>
        <v/>
      </c>
    </row>
    <row r="7586">
      <c r="A7586" s="78" t="s">
        <v>8011</v>
      </c>
      <c r="B7586" s="78" t="s">
        <v>22</v>
      </c>
      <c r="C7586" s="85">
        <v>45725.0</v>
      </c>
      <c r="D7586" s="85">
        <v>45731.0</v>
      </c>
      <c r="E7586" s="86">
        <v>11.6</v>
      </c>
      <c r="F7586" s="87">
        <v>14.88</v>
      </c>
      <c r="G7586" s="88">
        <f t="shared" si="1"/>
        <v>3.28</v>
      </c>
      <c r="H7586" s="89">
        <f t="shared" si="18"/>
        <v>0.2204301075</v>
      </c>
      <c r="I7586" s="78" t="s">
        <v>8621</v>
      </c>
      <c r="J7586" s="78" t="s">
        <v>69</v>
      </c>
      <c r="K7586" s="58">
        <f t="shared" si="17"/>
        <v>6</v>
      </c>
      <c r="L7586" s="91" t="str">
        <f t="shared" si="8"/>
        <v>Sat</v>
      </c>
      <c r="M7586" s="78" t="str">
        <f>IFERROR(VLOOKUP(A7586, Entries!A:B,2,false),"")</f>
        <v/>
      </c>
      <c r="N7586" s="23" t="str">
        <f>IFERROR(VLOOKUP(A7586, Entries!A:K,11,false),"")</f>
        <v/>
      </c>
    </row>
    <row r="7587">
      <c r="A7587" s="78" t="s">
        <v>8529</v>
      </c>
      <c r="B7587" s="78" t="s">
        <v>19</v>
      </c>
      <c r="C7587" s="85">
        <v>45725.0</v>
      </c>
      <c r="D7587" s="85">
        <v>45725.0</v>
      </c>
      <c r="E7587" s="86">
        <v>20.89</v>
      </c>
      <c r="F7587" s="87">
        <v>29.21</v>
      </c>
      <c r="G7587" s="88">
        <f t="shared" si="1"/>
        <v>8.32</v>
      </c>
      <c r="H7587" s="89">
        <f t="shared" si="18"/>
        <v>0.284833961</v>
      </c>
      <c r="I7587" s="78" t="s">
        <v>8622</v>
      </c>
      <c r="J7587" s="78" t="s">
        <v>69</v>
      </c>
      <c r="K7587" s="58">
        <f t="shared" si="17"/>
        <v>0</v>
      </c>
      <c r="L7587" s="91" t="str">
        <f t="shared" si="8"/>
        <v>Sun</v>
      </c>
      <c r="M7587" s="78" t="str">
        <f>IFERROR(VLOOKUP(A7587, Entries!A:B,2,false),"")</f>
        <v>SEGA</v>
      </c>
      <c r="N7587" s="23" t="str">
        <f>IFERROR(VLOOKUP(A7587, Entries!A:K,11,false),"")</f>
        <v/>
      </c>
    </row>
    <row r="7588">
      <c r="A7588" s="78" t="s">
        <v>8529</v>
      </c>
      <c r="B7588" s="78" t="s">
        <v>19</v>
      </c>
      <c r="C7588" s="85">
        <v>45725.0</v>
      </c>
      <c r="D7588" s="85">
        <v>45726.0</v>
      </c>
      <c r="E7588" s="86">
        <v>20.36</v>
      </c>
      <c r="F7588" s="87">
        <v>32.19</v>
      </c>
      <c r="G7588" s="88">
        <f t="shared" si="1"/>
        <v>11.83</v>
      </c>
      <c r="H7588" s="89">
        <f t="shared" si="18"/>
        <v>0.3675054365</v>
      </c>
      <c r="I7588" s="78" t="s">
        <v>8623</v>
      </c>
      <c r="J7588" s="78" t="s">
        <v>69</v>
      </c>
      <c r="K7588" s="58">
        <f t="shared" si="17"/>
        <v>1</v>
      </c>
      <c r="L7588" s="91" t="str">
        <f t="shared" si="8"/>
        <v>Mon</v>
      </c>
      <c r="M7588" s="78"/>
      <c r="N7588" s="23" t="str">
        <f>IFERROR(VLOOKUP(A7588, Entries!A:K,11,false),"")</f>
        <v/>
      </c>
    </row>
    <row r="7589">
      <c r="A7589" s="78" t="s">
        <v>182</v>
      </c>
      <c r="B7589" s="78" t="s">
        <v>19</v>
      </c>
      <c r="C7589" s="85">
        <v>45725.0</v>
      </c>
      <c r="D7589" s="85">
        <v>45726.0</v>
      </c>
      <c r="E7589" s="86">
        <v>0.0</v>
      </c>
      <c r="F7589" s="87">
        <v>0.83</v>
      </c>
      <c r="G7589" s="88">
        <f t="shared" si="1"/>
        <v>0.83</v>
      </c>
      <c r="H7589" s="89">
        <f t="shared" si="18"/>
        <v>1</v>
      </c>
      <c r="I7589" s="78" t="s">
        <v>8624</v>
      </c>
      <c r="J7589" s="78" t="s">
        <v>69</v>
      </c>
      <c r="K7589" s="58">
        <f t="shared" si="17"/>
        <v>1</v>
      </c>
      <c r="L7589" s="91" t="str">
        <f t="shared" si="8"/>
        <v>Mon</v>
      </c>
      <c r="M7589" s="78"/>
      <c r="N7589" s="23" t="str">
        <f>IFERROR(VLOOKUP(A7589, Entries!A:K,11,false),"")</f>
        <v/>
      </c>
    </row>
    <row r="7590">
      <c r="A7590" s="78" t="s">
        <v>8529</v>
      </c>
      <c r="B7590" s="78" t="s">
        <v>19</v>
      </c>
      <c r="C7590" s="85">
        <v>45726.0</v>
      </c>
      <c r="D7590" s="85">
        <v>45726.0</v>
      </c>
      <c r="E7590" s="86">
        <v>20.8</v>
      </c>
      <c r="F7590" s="87">
        <v>32.38</v>
      </c>
      <c r="G7590" s="88">
        <f t="shared" si="1"/>
        <v>11.58</v>
      </c>
      <c r="H7590" s="89">
        <f t="shared" si="18"/>
        <v>0.3576281655</v>
      </c>
      <c r="I7590" s="78" t="s">
        <v>8625</v>
      </c>
      <c r="J7590" s="78" t="s">
        <v>69</v>
      </c>
      <c r="K7590" s="58">
        <f t="shared" si="17"/>
        <v>0</v>
      </c>
      <c r="L7590" s="91" t="str">
        <f t="shared" si="8"/>
        <v>Mon</v>
      </c>
      <c r="M7590" s="78" t="str">
        <f>IFERROR(VLOOKUP(A7590, Entries!A:B,2,false),"")</f>
        <v>SEGA</v>
      </c>
      <c r="N7590" s="23" t="str">
        <f>IFERROR(VLOOKUP(A7590, Entries!A:K,11,false),"")</f>
        <v/>
      </c>
    </row>
    <row r="7591">
      <c r="A7591" s="78" t="s">
        <v>8626</v>
      </c>
      <c r="B7591" s="78" t="s">
        <v>21</v>
      </c>
      <c r="C7591" s="85">
        <v>45726.0</v>
      </c>
      <c r="D7591" s="85">
        <v>45729.0</v>
      </c>
      <c r="E7591" s="86">
        <v>29.89</v>
      </c>
      <c r="F7591" s="87">
        <v>38.81</v>
      </c>
      <c r="G7591" s="88">
        <f t="shared" si="1"/>
        <v>8.92</v>
      </c>
      <c r="H7591" s="89">
        <f t="shared" si="18"/>
        <v>0.2298376707</v>
      </c>
      <c r="I7591" s="78" t="s">
        <v>8627</v>
      </c>
      <c r="J7591" s="78" t="s">
        <v>69</v>
      </c>
      <c r="K7591" s="58">
        <f t="shared" si="17"/>
        <v>3</v>
      </c>
      <c r="L7591" s="91" t="str">
        <f t="shared" si="8"/>
        <v>Thu</v>
      </c>
      <c r="M7591" s="78" t="str">
        <f>IFERROR(VLOOKUP(A7591, Entries!A:B,2,false),"")</f>
        <v/>
      </c>
      <c r="N7591" s="23" t="str">
        <f>IFERROR(VLOOKUP(A7591, Entries!A:K,11,false),"")</f>
        <v/>
      </c>
    </row>
    <row r="7592">
      <c r="A7592" s="78" t="s">
        <v>8529</v>
      </c>
      <c r="B7592" s="78" t="s">
        <v>19</v>
      </c>
      <c r="C7592" s="85">
        <v>45726.0</v>
      </c>
      <c r="D7592" s="85">
        <v>45726.0</v>
      </c>
      <c r="E7592" s="86">
        <v>20.8</v>
      </c>
      <c r="F7592" s="87">
        <v>32.26</v>
      </c>
      <c r="G7592" s="88">
        <f t="shared" si="1"/>
        <v>11.46</v>
      </c>
      <c r="H7592" s="89">
        <f t="shared" si="18"/>
        <v>0.3552386857</v>
      </c>
      <c r="I7592" s="78" t="s">
        <v>8628</v>
      </c>
      <c r="J7592" s="78" t="s">
        <v>69</v>
      </c>
      <c r="K7592" s="58">
        <f t="shared" si="17"/>
        <v>0</v>
      </c>
      <c r="L7592" s="91" t="str">
        <f t="shared" si="8"/>
        <v>Mon</v>
      </c>
      <c r="M7592" s="78" t="str">
        <f>IFERROR(VLOOKUP(A7592, Entries!A:B,2,false),"")</f>
        <v>SEGA</v>
      </c>
      <c r="N7592" s="23" t="str">
        <f>IFERROR(VLOOKUP(A7592, Entries!A:K,11,false),"")</f>
        <v/>
      </c>
    </row>
    <row r="7593">
      <c r="A7593" s="78" t="s">
        <v>5098</v>
      </c>
      <c r="B7593" s="78" t="s">
        <v>22</v>
      </c>
      <c r="C7593" s="85">
        <v>45726.0</v>
      </c>
      <c r="D7593" s="85">
        <v>45729.0</v>
      </c>
      <c r="E7593" s="86">
        <v>1.87</v>
      </c>
      <c r="F7593" s="87">
        <v>5.63</v>
      </c>
      <c r="G7593" s="88">
        <f t="shared" si="1"/>
        <v>3.76</v>
      </c>
      <c r="H7593" s="89">
        <f t="shared" si="18"/>
        <v>0.6678507993</v>
      </c>
      <c r="I7593" s="78" t="s">
        <v>8629</v>
      </c>
      <c r="J7593" s="78" t="s">
        <v>69</v>
      </c>
      <c r="K7593" s="58">
        <f t="shared" si="17"/>
        <v>3</v>
      </c>
      <c r="L7593" s="91" t="str">
        <f t="shared" si="8"/>
        <v>Thu</v>
      </c>
      <c r="M7593" s="78" t="str">
        <f>IFERROR(VLOOKUP(A7593, Entries!A:B,2,false),"")</f>
        <v>Funcom</v>
      </c>
      <c r="N7593" s="23" t="str">
        <f>IFERROR(VLOOKUP(A7593, Entries!A:K,11,false),"")</f>
        <v/>
      </c>
    </row>
    <row r="7594">
      <c r="A7594" s="78" t="s">
        <v>8630</v>
      </c>
      <c r="B7594" s="78" t="s">
        <v>21</v>
      </c>
      <c r="C7594" s="85">
        <v>45726.0</v>
      </c>
      <c r="D7594" s="85">
        <v>45726.0</v>
      </c>
      <c r="E7594" s="86">
        <v>31.57</v>
      </c>
      <c r="F7594" s="87">
        <v>35.2</v>
      </c>
      <c r="G7594" s="88">
        <f t="shared" si="1"/>
        <v>3.63</v>
      </c>
      <c r="H7594" s="89">
        <f t="shared" si="18"/>
        <v>0.103125</v>
      </c>
      <c r="I7594" s="78" t="s">
        <v>8631</v>
      </c>
      <c r="J7594" s="78" t="s">
        <v>69</v>
      </c>
      <c r="K7594" s="58">
        <f t="shared" si="17"/>
        <v>0</v>
      </c>
      <c r="L7594" s="91" t="str">
        <f t="shared" si="8"/>
        <v>Mon</v>
      </c>
      <c r="M7594" s="78" t="str">
        <f>IFERROR(VLOOKUP(A7594, Entries!A:B,2,false),"")</f>
        <v/>
      </c>
      <c r="N7594" s="23" t="str">
        <f>IFERROR(VLOOKUP(A7594, Entries!A:K,11,false),"")</f>
        <v/>
      </c>
    </row>
    <row r="7595">
      <c r="A7595" s="78" t="s">
        <v>8630</v>
      </c>
      <c r="B7595" s="78" t="s">
        <v>21</v>
      </c>
      <c r="C7595" s="85">
        <v>45726.0</v>
      </c>
      <c r="D7595" s="85">
        <v>45728.0</v>
      </c>
      <c r="E7595" s="86">
        <v>31.57</v>
      </c>
      <c r="F7595" s="87">
        <v>35.13</v>
      </c>
      <c r="G7595" s="88">
        <f t="shared" si="1"/>
        <v>3.56</v>
      </c>
      <c r="H7595" s="89">
        <f t="shared" si="18"/>
        <v>0.1013378878</v>
      </c>
      <c r="I7595" s="78" t="s">
        <v>8632</v>
      </c>
      <c r="J7595" s="78" t="s">
        <v>69</v>
      </c>
      <c r="K7595" s="58">
        <f t="shared" si="17"/>
        <v>2</v>
      </c>
      <c r="L7595" s="91" t="str">
        <f t="shared" si="8"/>
        <v>Wed</v>
      </c>
      <c r="M7595" s="78" t="str">
        <f>IFERROR(VLOOKUP(A7595, Entries!A:B,2,false),"")</f>
        <v/>
      </c>
      <c r="N7595" s="23" t="str">
        <f>IFERROR(VLOOKUP(A7595, Entries!A:K,11,false),"")</f>
        <v/>
      </c>
    </row>
    <row r="7596">
      <c r="A7596" s="78" t="s">
        <v>8590</v>
      </c>
      <c r="B7596" s="78" t="s">
        <v>22</v>
      </c>
      <c r="C7596" s="85">
        <v>45726.0</v>
      </c>
      <c r="D7596" s="85">
        <v>45779.0</v>
      </c>
      <c r="E7596" s="86">
        <v>8.12</v>
      </c>
      <c r="F7596" s="87">
        <v>6.38</v>
      </c>
      <c r="G7596" s="88">
        <f t="shared" si="1"/>
        <v>-1.74</v>
      </c>
      <c r="H7596" s="89">
        <f t="shared" si="18"/>
        <v>-0.2727272727</v>
      </c>
      <c r="I7596" s="103" t="s">
        <v>8633</v>
      </c>
      <c r="J7596" s="78" t="s">
        <v>69</v>
      </c>
      <c r="K7596" s="58">
        <f t="shared" si="17"/>
        <v>53</v>
      </c>
      <c r="L7596" s="91" t="str">
        <f t="shared" si="8"/>
        <v>Fri</v>
      </c>
      <c r="M7596" s="78" t="str">
        <f>IFERROR(VLOOKUP(A7596, Entries!A:B,2,false),"")</f>
        <v/>
      </c>
      <c r="N7596" s="23" t="str">
        <f>IFERROR(VLOOKUP(A7596, Entries!A:K,11,false),"")</f>
        <v/>
      </c>
    </row>
    <row r="7597">
      <c r="A7597" s="78" t="s">
        <v>8529</v>
      </c>
      <c r="B7597" s="78" t="s">
        <v>19</v>
      </c>
      <c r="C7597" s="85">
        <v>45726.0</v>
      </c>
      <c r="D7597" s="85">
        <v>45727.0</v>
      </c>
      <c r="E7597" s="86">
        <v>20.8</v>
      </c>
      <c r="F7597" s="87">
        <v>27.89</v>
      </c>
      <c r="G7597" s="88">
        <f t="shared" si="1"/>
        <v>7.09</v>
      </c>
      <c r="H7597" s="89">
        <f t="shared" si="18"/>
        <v>0.2542129796</v>
      </c>
      <c r="I7597" s="78" t="s">
        <v>8634</v>
      </c>
      <c r="J7597" s="78" t="s">
        <v>69</v>
      </c>
      <c r="K7597" s="58">
        <f t="shared" si="17"/>
        <v>1</v>
      </c>
      <c r="L7597" s="91" t="str">
        <f t="shared" si="8"/>
        <v>Tue</v>
      </c>
      <c r="M7597" s="78" t="str">
        <f>IFERROR(VLOOKUP(A7597, Entries!A:B,2,false),"")</f>
        <v>SEGA</v>
      </c>
      <c r="N7597" s="23" t="str">
        <f>IFERROR(VLOOKUP(A7597, Entries!A:K,11,false),"")</f>
        <v/>
      </c>
    </row>
    <row r="7598">
      <c r="A7598" s="78" t="s">
        <v>803</v>
      </c>
      <c r="B7598" s="78" t="s">
        <v>19</v>
      </c>
      <c r="C7598" s="85">
        <v>45726.0</v>
      </c>
      <c r="D7598" s="85">
        <v>45731.0</v>
      </c>
      <c r="E7598" s="86">
        <v>0.0</v>
      </c>
      <c r="F7598" s="87">
        <v>0.48</v>
      </c>
      <c r="G7598" s="88">
        <f t="shared" si="1"/>
        <v>0.48</v>
      </c>
      <c r="H7598" s="89">
        <f t="shared" si="18"/>
        <v>1</v>
      </c>
      <c r="I7598" s="78" t="s">
        <v>8635</v>
      </c>
      <c r="J7598" s="78" t="s">
        <v>69</v>
      </c>
      <c r="K7598" s="58">
        <f t="shared" si="17"/>
        <v>5</v>
      </c>
      <c r="L7598" s="91" t="str">
        <f t="shared" si="8"/>
        <v>Sat</v>
      </c>
      <c r="M7598" s="78" t="str">
        <f>IFERROR(VLOOKUP(A7598, Entries!A:B,2,false),"")</f>
        <v>Nacon</v>
      </c>
      <c r="N7598" s="23" t="str">
        <f>IFERROR(VLOOKUP(A7598, Entries!A:K,11,false),"")</f>
        <v/>
      </c>
    </row>
    <row r="7599">
      <c r="A7599" s="78" t="s">
        <v>8529</v>
      </c>
      <c r="B7599" s="78" t="s">
        <v>19</v>
      </c>
      <c r="C7599" s="85">
        <v>45726.0</v>
      </c>
      <c r="D7599" s="85">
        <v>45727.0</v>
      </c>
      <c r="E7599" s="86">
        <v>20.8</v>
      </c>
      <c r="F7599" s="87">
        <v>27.89</v>
      </c>
      <c r="G7599" s="88">
        <f t="shared" si="1"/>
        <v>7.09</v>
      </c>
      <c r="H7599" s="89">
        <f t="shared" si="18"/>
        <v>0.2542129796</v>
      </c>
      <c r="I7599" s="78" t="s">
        <v>8636</v>
      </c>
      <c r="J7599" s="78" t="s">
        <v>69</v>
      </c>
      <c r="K7599" s="58">
        <f t="shared" si="17"/>
        <v>1</v>
      </c>
      <c r="L7599" s="91" t="str">
        <f t="shared" si="8"/>
        <v>Tue</v>
      </c>
      <c r="M7599" s="78" t="str">
        <f>IFERROR(VLOOKUP(A7599, Entries!A:B,2,false),"")</f>
        <v>SEGA</v>
      </c>
      <c r="N7599" s="23" t="str">
        <f>IFERROR(VLOOKUP(A7599, Entries!A:K,11,false),"")</f>
        <v/>
      </c>
    </row>
    <row r="7600">
      <c r="A7600" s="78" t="s">
        <v>8529</v>
      </c>
      <c r="B7600" s="78" t="s">
        <v>19</v>
      </c>
      <c r="C7600" s="85">
        <v>45727.0</v>
      </c>
      <c r="D7600" s="85">
        <v>45728.0</v>
      </c>
      <c r="E7600" s="86">
        <v>20.89</v>
      </c>
      <c r="F7600" s="87">
        <v>28.37</v>
      </c>
      <c r="G7600" s="88">
        <f t="shared" si="1"/>
        <v>7.48</v>
      </c>
      <c r="H7600" s="89">
        <f t="shared" si="18"/>
        <v>0.2636587945</v>
      </c>
      <c r="I7600" s="78" t="s">
        <v>8637</v>
      </c>
      <c r="J7600" s="78" t="s">
        <v>69</v>
      </c>
      <c r="K7600" s="58">
        <f t="shared" si="17"/>
        <v>1</v>
      </c>
      <c r="L7600" s="91" t="str">
        <f t="shared" si="8"/>
        <v>Wed</v>
      </c>
      <c r="M7600" s="78" t="str">
        <f>IFERROR(VLOOKUP(A7600, Entries!A:B,2,false),"")</f>
        <v>SEGA</v>
      </c>
      <c r="N7600" s="23" t="str">
        <f>IFERROR(VLOOKUP(A7600, Entries!A:K,11,false),"")</f>
        <v/>
      </c>
    </row>
    <row r="7601">
      <c r="A7601" s="78" t="s">
        <v>8529</v>
      </c>
      <c r="B7601" s="78" t="s">
        <v>19</v>
      </c>
      <c r="C7601" s="85">
        <v>45727.0</v>
      </c>
      <c r="D7601" s="85">
        <v>45728.0</v>
      </c>
      <c r="E7601" s="86">
        <v>20.36</v>
      </c>
      <c r="F7601" s="87">
        <v>28.37</v>
      </c>
      <c r="G7601" s="88">
        <f t="shared" si="1"/>
        <v>8.01</v>
      </c>
      <c r="H7601" s="89">
        <f t="shared" si="18"/>
        <v>0.2823405005</v>
      </c>
      <c r="I7601" s="78" t="s">
        <v>8638</v>
      </c>
      <c r="J7601" s="78" t="s">
        <v>69</v>
      </c>
      <c r="K7601" s="58">
        <f t="shared" si="17"/>
        <v>1</v>
      </c>
      <c r="L7601" s="91" t="str">
        <f t="shared" si="8"/>
        <v>Wed</v>
      </c>
      <c r="M7601" s="78" t="str">
        <f>IFERROR(VLOOKUP(A7601, Entries!A:B,2,false),"")</f>
        <v>SEGA</v>
      </c>
      <c r="N7601" s="23" t="str">
        <f>IFERROR(VLOOKUP(A7601, Entries!A:K,11,false),"")</f>
        <v/>
      </c>
    </row>
    <row r="7602">
      <c r="A7602" s="78" t="s">
        <v>8639</v>
      </c>
      <c r="B7602" s="78" t="s">
        <v>19</v>
      </c>
      <c r="C7602" s="85">
        <v>45728.0</v>
      </c>
      <c r="D7602" s="85">
        <v>45730.0</v>
      </c>
      <c r="E7602" s="86">
        <v>0.0</v>
      </c>
      <c r="F7602" s="87">
        <v>0.93</v>
      </c>
      <c r="G7602" s="88">
        <f t="shared" si="1"/>
        <v>0.93</v>
      </c>
      <c r="H7602" s="89">
        <f t="shared" si="18"/>
        <v>1</v>
      </c>
      <c r="I7602" s="78" t="s">
        <v>8640</v>
      </c>
      <c r="J7602" s="78" t="s">
        <v>69</v>
      </c>
      <c r="K7602" s="58">
        <f t="shared" si="17"/>
        <v>2</v>
      </c>
      <c r="L7602" s="91" t="str">
        <f t="shared" si="8"/>
        <v>Fri</v>
      </c>
      <c r="M7602" s="78" t="str">
        <f>IFERROR(VLOOKUP(A7602, Entries!A:B,2,false),"")</f>
        <v/>
      </c>
      <c r="N7602" s="23" t="str">
        <f>IFERROR(VLOOKUP(A7602, Entries!A:K,11,false),"")</f>
        <v/>
      </c>
    </row>
    <row r="7603">
      <c r="A7603" s="78" t="s">
        <v>8529</v>
      </c>
      <c r="B7603" s="78" t="s">
        <v>19</v>
      </c>
      <c r="C7603" s="85">
        <v>45728.0</v>
      </c>
      <c r="D7603" s="85">
        <v>45728.0</v>
      </c>
      <c r="E7603" s="86">
        <v>20.89</v>
      </c>
      <c r="F7603" s="87">
        <v>30.38</v>
      </c>
      <c r="G7603" s="88">
        <f t="shared" si="1"/>
        <v>9.49</v>
      </c>
      <c r="H7603" s="89">
        <f t="shared" si="18"/>
        <v>0.3123765635</v>
      </c>
      <c r="I7603" s="78" t="s">
        <v>8641</v>
      </c>
      <c r="J7603" s="78" t="s">
        <v>69</v>
      </c>
      <c r="K7603" s="58">
        <f t="shared" si="17"/>
        <v>0</v>
      </c>
      <c r="L7603" s="91" t="str">
        <f t="shared" si="8"/>
        <v>Wed</v>
      </c>
      <c r="M7603" s="78" t="str">
        <f>IFERROR(VLOOKUP(A7603, Entries!A:B,2,false),"")</f>
        <v>SEGA</v>
      </c>
      <c r="N7603" s="23" t="str">
        <f>IFERROR(VLOOKUP(A7603, Entries!A:K,11,false),"")</f>
        <v/>
      </c>
    </row>
    <row r="7604">
      <c r="A7604" s="78" t="s">
        <v>8630</v>
      </c>
      <c r="B7604" s="78" t="s">
        <v>21</v>
      </c>
      <c r="C7604" s="85">
        <v>45728.0</v>
      </c>
      <c r="D7604" s="25"/>
      <c r="E7604" s="86">
        <v>31.71</v>
      </c>
      <c r="F7604" s="88"/>
      <c r="G7604" s="88">
        <f t="shared" si="1"/>
        <v>-31.71</v>
      </c>
      <c r="H7604" s="89" t="str">
        <f t="shared" si="18"/>
        <v/>
      </c>
      <c r="I7604" s="103" t="s">
        <v>8642</v>
      </c>
      <c r="J7604" s="78" t="s">
        <v>1129</v>
      </c>
      <c r="K7604" s="58" t="str">
        <f t="shared" si="17"/>
        <v/>
      </c>
      <c r="L7604" s="91" t="str">
        <f t="shared" si="8"/>
        <v/>
      </c>
      <c r="M7604" s="78" t="str">
        <f>IFERROR(VLOOKUP(A7604, Entries!A:B,2,false),"")</f>
        <v/>
      </c>
      <c r="N7604" s="23" t="str">
        <f>IFERROR(VLOOKUP(A7604, Entries!A:K,11,false),"")</f>
        <v/>
      </c>
    </row>
    <row r="7605">
      <c r="A7605" s="78" t="s">
        <v>8529</v>
      </c>
      <c r="B7605" s="78" t="s">
        <v>19</v>
      </c>
      <c r="C7605" s="85">
        <v>45728.0</v>
      </c>
      <c r="D7605" s="85">
        <v>45728.0</v>
      </c>
      <c r="E7605" s="86">
        <v>20.36</v>
      </c>
      <c r="F7605" s="87">
        <v>30.36</v>
      </c>
      <c r="G7605" s="88">
        <f t="shared" si="1"/>
        <v>10</v>
      </c>
      <c r="H7605" s="89">
        <f t="shared" si="18"/>
        <v>0.3293807642</v>
      </c>
      <c r="I7605" s="78" t="s">
        <v>8643</v>
      </c>
      <c r="J7605" s="78" t="s">
        <v>69</v>
      </c>
      <c r="K7605" s="58">
        <f t="shared" si="17"/>
        <v>0</v>
      </c>
      <c r="L7605" s="91" t="str">
        <f t="shared" si="8"/>
        <v>Wed</v>
      </c>
      <c r="M7605" s="78" t="str">
        <f>IFERROR(VLOOKUP(A7605, Entries!A:B,2,false),"")</f>
        <v>SEGA</v>
      </c>
      <c r="N7605" s="23" t="str">
        <f>IFERROR(VLOOKUP(A7605, Entries!A:K,11,false),"")</f>
        <v/>
      </c>
    </row>
    <row r="7606">
      <c r="A7606" s="78" t="s">
        <v>8529</v>
      </c>
      <c r="B7606" s="78" t="s">
        <v>19</v>
      </c>
      <c r="C7606" s="85">
        <v>45728.0</v>
      </c>
      <c r="D7606" s="85">
        <v>45729.0</v>
      </c>
      <c r="E7606" s="86">
        <v>20.8</v>
      </c>
      <c r="F7606" s="87">
        <v>30.13</v>
      </c>
      <c r="G7606" s="88">
        <f t="shared" si="1"/>
        <v>9.33</v>
      </c>
      <c r="H7606" s="89">
        <f t="shared" si="18"/>
        <v>0.309658148</v>
      </c>
      <c r="I7606" s="78" t="s">
        <v>8644</v>
      </c>
      <c r="J7606" s="78" t="s">
        <v>69</v>
      </c>
      <c r="K7606" s="58">
        <f t="shared" si="17"/>
        <v>1</v>
      </c>
      <c r="L7606" s="91" t="str">
        <f t="shared" si="8"/>
        <v>Thu</v>
      </c>
      <c r="M7606" s="78" t="str">
        <f>IFERROR(VLOOKUP(A7606, Entries!A:B,2,false),"")</f>
        <v>SEGA</v>
      </c>
      <c r="N7606" s="23" t="str">
        <f>IFERROR(VLOOKUP(A7606, Entries!A:K,11,false),"")</f>
        <v/>
      </c>
    </row>
    <row r="7607">
      <c r="A7607" s="78" t="s">
        <v>8529</v>
      </c>
      <c r="B7607" s="78" t="s">
        <v>19</v>
      </c>
      <c r="C7607" s="85">
        <v>45728.0</v>
      </c>
      <c r="D7607" s="85">
        <v>45729.0</v>
      </c>
      <c r="E7607" s="86">
        <v>20.8</v>
      </c>
      <c r="F7607" s="87">
        <v>29.66</v>
      </c>
      <c r="G7607" s="88">
        <f t="shared" si="1"/>
        <v>8.86</v>
      </c>
      <c r="H7607" s="89">
        <f t="shared" si="18"/>
        <v>0.2987188132</v>
      </c>
      <c r="I7607" s="78" t="s">
        <v>8645</v>
      </c>
      <c r="J7607" s="78" t="s">
        <v>69</v>
      </c>
      <c r="K7607" s="58">
        <f t="shared" si="17"/>
        <v>1</v>
      </c>
      <c r="L7607" s="91" t="str">
        <f t="shared" si="8"/>
        <v>Thu</v>
      </c>
      <c r="M7607" s="78" t="str">
        <f>IFERROR(VLOOKUP(A7607, Entries!A:B,2,false),"")</f>
        <v>SEGA</v>
      </c>
      <c r="N7607" s="23" t="str">
        <f>IFERROR(VLOOKUP(A7607, Entries!A:K,11,false),"")</f>
        <v/>
      </c>
    </row>
    <row r="7608">
      <c r="A7608" s="78" t="s">
        <v>8529</v>
      </c>
      <c r="B7608" s="78" t="s">
        <v>19</v>
      </c>
      <c r="C7608" s="85">
        <v>45728.0</v>
      </c>
      <c r="D7608" s="85">
        <v>45729.0</v>
      </c>
      <c r="E7608" s="86">
        <v>20.8</v>
      </c>
      <c r="F7608" s="87">
        <v>29.64</v>
      </c>
      <c r="G7608" s="88">
        <f t="shared" si="1"/>
        <v>8.84</v>
      </c>
      <c r="H7608" s="89">
        <f t="shared" si="18"/>
        <v>0.298245614</v>
      </c>
      <c r="I7608" s="78" t="s">
        <v>8646</v>
      </c>
      <c r="J7608" s="78" t="s">
        <v>69</v>
      </c>
      <c r="K7608" s="58">
        <f t="shared" si="17"/>
        <v>1</v>
      </c>
      <c r="L7608" s="91" t="str">
        <f t="shared" si="8"/>
        <v>Thu</v>
      </c>
      <c r="M7608" s="78" t="str">
        <f>IFERROR(VLOOKUP(A7608, Entries!A:B,2,false),"")</f>
        <v>SEGA</v>
      </c>
      <c r="N7608" s="23" t="str">
        <f>IFERROR(VLOOKUP(A7608, Entries!A:K,11,false),"")</f>
        <v/>
      </c>
    </row>
    <row r="7609">
      <c r="A7609" s="78" t="s">
        <v>8639</v>
      </c>
      <c r="B7609" s="78" t="s">
        <v>19</v>
      </c>
      <c r="C7609" s="85">
        <v>45728.0</v>
      </c>
      <c r="D7609" s="85">
        <v>45731.0</v>
      </c>
      <c r="E7609" s="86">
        <v>0.0</v>
      </c>
      <c r="F7609" s="87">
        <v>0.93</v>
      </c>
      <c r="G7609" s="88">
        <f t="shared" si="1"/>
        <v>0.93</v>
      </c>
      <c r="H7609" s="89">
        <f t="shared" si="18"/>
        <v>1</v>
      </c>
      <c r="I7609" s="78" t="s">
        <v>8647</v>
      </c>
      <c r="J7609" s="78" t="s">
        <v>69</v>
      </c>
      <c r="K7609" s="58">
        <f t="shared" si="17"/>
        <v>3</v>
      </c>
      <c r="L7609" s="91" t="str">
        <f t="shared" si="8"/>
        <v>Sat</v>
      </c>
      <c r="M7609" s="78" t="str">
        <f>IFERROR(VLOOKUP(A7609, Entries!A:B,2,false),"")</f>
        <v/>
      </c>
      <c r="N7609" s="23" t="str">
        <f>IFERROR(VLOOKUP(A7609, Entries!A:K,11,false),"")</f>
        <v/>
      </c>
    </row>
    <row r="7610">
      <c r="A7610" s="78" t="s">
        <v>8529</v>
      </c>
      <c r="B7610" s="78" t="s">
        <v>19</v>
      </c>
      <c r="C7610" s="85">
        <v>45729.0</v>
      </c>
      <c r="D7610" s="85">
        <v>45730.0</v>
      </c>
      <c r="E7610" s="86">
        <v>20.8</v>
      </c>
      <c r="F7610" s="87">
        <v>29.25</v>
      </c>
      <c r="G7610" s="88">
        <f t="shared" si="1"/>
        <v>8.45</v>
      </c>
      <c r="H7610" s="89">
        <f t="shared" si="18"/>
        <v>0.2888888889</v>
      </c>
      <c r="I7610" s="78" t="s">
        <v>8648</v>
      </c>
      <c r="J7610" s="78" t="s">
        <v>69</v>
      </c>
      <c r="K7610" s="58">
        <f t="shared" si="17"/>
        <v>1</v>
      </c>
      <c r="L7610" s="91" t="str">
        <f t="shared" si="8"/>
        <v>Fri</v>
      </c>
      <c r="M7610" s="78" t="str">
        <f>IFERROR(VLOOKUP(A7610, Entries!A:B,2,false),"")</f>
        <v>SEGA</v>
      </c>
      <c r="N7610" s="23" t="str">
        <f>IFERROR(VLOOKUP(A7610, Entries!A:K,11,false),"")</f>
        <v/>
      </c>
    </row>
    <row r="7611">
      <c r="A7611" s="78" t="s">
        <v>8529</v>
      </c>
      <c r="B7611" s="78" t="s">
        <v>19</v>
      </c>
      <c r="C7611" s="85">
        <v>45729.0</v>
      </c>
      <c r="D7611" s="85">
        <v>45730.0</v>
      </c>
      <c r="E7611" s="86">
        <v>20.8</v>
      </c>
      <c r="F7611" s="87">
        <v>29.12</v>
      </c>
      <c r="G7611" s="88">
        <f t="shared" si="1"/>
        <v>8.32</v>
      </c>
      <c r="H7611" s="89">
        <f t="shared" si="18"/>
        <v>0.2857142857</v>
      </c>
      <c r="I7611" s="78" t="s">
        <v>8649</v>
      </c>
      <c r="J7611" s="78" t="s">
        <v>69</v>
      </c>
      <c r="K7611" s="58">
        <f t="shared" si="17"/>
        <v>1</v>
      </c>
      <c r="L7611" s="91" t="str">
        <f t="shared" si="8"/>
        <v>Fri</v>
      </c>
      <c r="M7611" s="78" t="str">
        <f>IFERROR(VLOOKUP(A7611, Entries!A:B,2,false),"")</f>
        <v>SEGA</v>
      </c>
      <c r="N7611" s="23" t="str">
        <f>IFERROR(VLOOKUP(A7611, Entries!A:K,11,false),"")</f>
        <v/>
      </c>
    </row>
    <row r="7612">
      <c r="A7612" s="78" t="s">
        <v>8650</v>
      </c>
      <c r="B7612" s="78" t="s">
        <v>19</v>
      </c>
      <c r="C7612" s="85">
        <v>45729.0</v>
      </c>
      <c r="D7612" s="85">
        <v>45737.0</v>
      </c>
      <c r="E7612" s="86">
        <v>0.0</v>
      </c>
      <c r="F7612" s="87">
        <v>0.13</v>
      </c>
      <c r="G7612" s="88">
        <f t="shared" si="1"/>
        <v>0.13</v>
      </c>
      <c r="H7612" s="89">
        <f t="shared" si="18"/>
        <v>1</v>
      </c>
      <c r="I7612" s="78" t="s">
        <v>8651</v>
      </c>
      <c r="J7612" s="78" t="s">
        <v>69</v>
      </c>
      <c r="K7612" s="58">
        <f t="shared" si="17"/>
        <v>8</v>
      </c>
      <c r="L7612" s="91" t="str">
        <f t="shared" si="8"/>
        <v>Fri</v>
      </c>
      <c r="M7612" s="78" t="str">
        <f>IFERROR(VLOOKUP(A7612, Entries!A:B,2,false),"")</f>
        <v/>
      </c>
      <c r="N7612" s="23" t="str">
        <f>IFERROR(VLOOKUP(A7612, Entries!A:K,11,false),"")</f>
        <v/>
      </c>
    </row>
    <row r="7613">
      <c r="A7613" s="78" t="s">
        <v>8011</v>
      </c>
      <c r="B7613" s="78" t="s">
        <v>22</v>
      </c>
      <c r="C7613" s="85">
        <v>45730.0</v>
      </c>
      <c r="D7613" s="85">
        <v>45732.0</v>
      </c>
      <c r="E7613" s="86">
        <v>11.54</v>
      </c>
      <c r="F7613" s="87">
        <v>14.97</v>
      </c>
      <c r="G7613" s="88">
        <f t="shared" si="1"/>
        <v>3.43</v>
      </c>
      <c r="H7613" s="89">
        <f t="shared" si="18"/>
        <v>0.2291249165</v>
      </c>
      <c r="I7613" s="78" t="s">
        <v>8652</v>
      </c>
      <c r="J7613" s="78" t="s">
        <v>69</v>
      </c>
      <c r="K7613" s="58">
        <f t="shared" si="17"/>
        <v>2</v>
      </c>
      <c r="L7613" s="91" t="str">
        <f t="shared" si="8"/>
        <v>Sun</v>
      </c>
      <c r="M7613" s="78" t="str">
        <f>IFERROR(VLOOKUP(A7613, Entries!A:B,2,false),"")</f>
        <v/>
      </c>
      <c r="N7613" s="23" t="str">
        <f>IFERROR(VLOOKUP(A7613, Entries!A:K,11,false),"")</f>
        <v/>
      </c>
    </row>
    <row r="7614">
      <c r="A7614" s="78" t="s">
        <v>8529</v>
      </c>
      <c r="B7614" s="78" t="s">
        <v>19</v>
      </c>
      <c r="C7614" s="85">
        <v>45730.0</v>
      </c>
      <c r="D7614" s="85">
        <v>45730.0</v>
      </c>
      <c r="E7614" s="86">
        <v>20.8</v>
      </c>
      <c r="F7614" s="87">
        <v>29.12</v>
      </c>
      <c r="G7614" s="88">
        <f t="shared" si="1"/>
        <v>8.32</v>
      </c>
      <c r="H7614" s="89">
        <f t="shared" si="18"/>
        <v>0.2857142857</v>
      </c>
      <c r="I7614" s="78" t="s">
        <v>8653</v>
      </c>
      <c r="J7614" s="78" t="s">
        <v>69</v>
      </c>
      <c r="K7614" s="58">
        <f t="shared" si="17"/>
        <v>0</v>
      </c>
      <c r="L7614" s="91" t="str">
        <f t="shared" si="8"/>
        <v>Fri</v>
      </c>
      <c r="M7614" s="78" t="str">
        <f>IFERROR(VLOOKUP(A7614, Entries!A:B,2,false),"")</f>
        <v>SEGA</v>
      </c>
      <c r="N7614" s="23" t="str">
        <f>IFERROR(VLOOKUP(A7614, Entries!A:K,11,false),"")</f>
        <v/>
      </c>
    </row>
    <row r="7615">
      <c r="A7615" s="78" t="s">
        <v>8421</v>
      </c>
      <c r="B7615" s="78" t="s">
        <v>25</v>
      </c>
      <c r="C7615" s="85">
        <v>45730.0</v>
      </c>
      <c r="D7615" s="85">
        <v>45778.0</v>
      </c>
      <c r="E7615" s="86">
        <v>30.12</v>
      </c>
      <c r="F7615" s="87">
        <v>32.3</v>
      </c>
      <c r="G7615" s="88">
        <f t="shared" si="1"/>
        <v>2.18</v>
      </c>
      <c r="H7615" s="89">
        <f t="shared" si="18"/>
        <v>0.06749226006</v>
      </c>
      <c r="I7615" s="103" t="s">
        <v>8654</v>
      </c>
      <c r="J7615" s="78" t="s">
        <v>69</v>
      </c>
      <c r="K7615" s="58">
        <f t="shared" si="17"/>
        <v>48</v>
      </c>
      <c r="L7615" s="91" t="str">
        <f t="shared" si="8"/>
        <v>Thu</v>
      </c>
      <c r="M7615" s="78" t="str">
        <f>IFERROR(VLOOKUP(A7615, Entries!A:B,2,false),"")</f>
        <v/>
      </c>
      <c r="N7615" s="23" t="str">
        <f>IFERROR(VLOOKUP(A7615, Entries!A:K,11,false),"")</f>
        <v/>
      </c>
    </row>
    <row r="7616">
      <c r="A7616" s="78" t="s">
        <v>8421</v>
      </c>
      <c r="B7616" s="78" t="s">
        <v>25</v>
      </c>
      <c r="C7616" s="85">
        <v>45730.0</v>
      </c>
      <c r="D7616" s="85">
        <v>45899.0</v>
      </c>
      <c r="E7616" s="86">
        <v>30.12</v>
      </c>
      <c r="F7616" s="87">
        <v>30.26</v>
      </c>
      <c r="G7616" s="88">
        <f t="shared" si="1"/>
        <v>0.14</v>
      </c>
      <c r="H7616" s="89">
        <f t="shared" si="18"/>
        <v>0.004626569729</v>
      </c>
      <c r="I7616" s="103" t="s">
        <v>8655</v>
      </c>
      <c r="J7616" s="78" t="s">
        <v>69</v>
      </c>
      <c r="K7616" s="58">
        <f t="shared" si="17"/>
        <v>169</v>
      </c>
      <c r="L7616" s="91" t="str">
        <f t="shared" si="8"/>
        <v>Sat</v>
      </c>
      <c r="M7616" s="78" t="str">
        <f>IFERROR(VLOOKUP(A7616, Entries!A:B,2,false),"")</f>
        <v/>
      </c>
      <c r="N7616" s="23" t="str">
        <f>IFERROR(VLOOKUP(A7616, Entries!A:K,11,false),"")</f>
        <v/>
      </c>
    </row>
    <row r="7617">
      <c r="A7617" s="78" t="s">
        <v>8529</v>
      </c>
      <c r="B7617" s="78" t="s">
        <v>19</v>
      </c>
      <c r="C7617" s="85">
        <v>45730.0</v>
      </c>
      <c r="D7617" s="85">
        <v>45732.0</v>
      </c>
      <c r="E7617" s="86">
        <v>20.36</v>
      </c>
      <c r="F7617" s="87">
        <v>27.83</v>
      </c>
      <c r="G7617" s="88">
        <f t="shared" si="1"/>
        <v>7.47</v>
      </c>
      <c r="H7617" s="89">
        <f t="shared" si="18"/>
        <v>0.2684153791</v>
      </c>
      <c r="I7617" s="78" t="s">
        <v>8656</v>
      </c>
      <c r="J7617" s="78" t="s">
        <v>69</v>
      </c>
      <c r="K7617" s="58">
        <f t="shared" si="17"/>
        <v>2</v>
      </c>
      <c r="L7617" s="91" t="str">
        <f t="shared" si="8"/>
        <v>Sun</v>
      </c>
      <c r="M7617" s="78" t="str">
        <f>IFERROR(VLOOKUP(A7617, Entries!A:B,2,false),"")</f>
        <v>SEGA</v>
      </c>
      <c r="N7617" s="23" t="str">
        <f>IFERROR(VLOOKUP(A7617, Entries!A:K,11,false),"")</f>
        <v/>
      </c>
    </row>
    <row r="7618">
      <c r="A7618" s="78" t="s">
        <v>8657</v>
      </c>
      <c r="B7618" s="78" t="s">
        <v>19</v>
      </c>
      <c r="C7618" s="85">
        <v>45730.0</v>
      </c>
      <c r="D7618" s="85">
        <v>45731.0</v>
      </c>
      <c r="E7618" s="86">
        <v>0.0</v>
      </c>
      <c r="F7618" s="87">
        <v>0.93</v>
      </c>
      <c r="G7618" s="88">
        <f t="shared" si="1"/>
        <v>0.93</v>
      </c>
      <c r="H7618" s="89">
        <f t="shared" si="18"/>
        <v>1</v>
      </c>
      <c r="I7618" s="78" t="s">
        <v>8658</v>
      </c>
      <c r="J7618" s="78" t="s">
        <v>69</v>
      </c>
      <c r="K7618" s="58">
        <f t="shared" si="17"/>
        <v>1</v>
      </c>
      <c r="L7618" s="91" t="str">
        <f t="shared" si="8"/>
        <v>Sat</v>
      </c>
      <c r="M7618" s="78" t="str">
        <f>IFERROR(VLOOKUP(A7618, Entries!A:B,2,false),"")</f>
        <v/>
      </c>
      <c r="N7618" s="23" t="str">
        <f>IFERROR(VLOOKUP(A7618, Entries!A:K,11,false),"")</f>
        <v/>
      </c>
    </row>
    <row r="7619">
      <c r="A7619" s="78" t="s">
        <v>8011</v>
      </c>
      <c r="B7619" s="78" t="s">
        <v>22</v>
      </c>
      <c r="C7619" s="85">
        <v>45731.0</v>
      </c>
      <c r="D7619" s="85">
        <v>45732.0</v>
      </c>
      <c r="E7619" s="86">
        <v>11.53</v>
      </c>
      <c r="F7619" s="87">
        <v>14.97</v>
      </c>
      <c r="G7619" s="88">
        <f t="shared" si="1"/>
        <v>3.44</v>
      </c>
      <c r="H7619" s="89">
        <f t="shared" si="18"/>
        <v>0.2297929192</v>
      </c>
      <c r="I7619" s="78" t="s">
        <v>8659</v>
      </c>
      <c r="J7619" s="78" t="s">
        <v>69</v>
      </c>
      <c r="K7619" s="58">
        <f t="shared" si="17"/>
        <v>1</v>
      </c>
      <c r="L7619" s="91" t="str">
        <f t="shared" si="8"/>
        <v>Sun</v>
      </c>
      <c r="M7619" s="78" t="str">
        <f>IFERROR(VLOOKUP(A7619, Entries!A:B,2,false),"")</f>
        <v/>
      </c>
      <c r="N7619" s="23" t="str">
        <f>IFERROR(VLOOKUP(A7619, Entries!A:K,11,false),"")</f>
        <v/>
      </c>
    </row>
    <row r="7620">
      <c r="A7620" s="78" t="s">
        <v>8011</v>
      </c>
      <c r="B7620" s="78" t="s">
        <v>22</v>
      </c>
      <c r="C7620" s="85">
        <v>45732.0</v>
      </c>
      <c r="D7620" s="85">
        <v>45736.0</v>
      </c>
      <c r="E7620" s="86">
        <v>11.53</v>
      </c>
      <c r="F7620" s="87">
        <v>14.97</v>
      </c>
      <c r="G7620" s="88">
        <f t="shared" si="1"/>
        <v>3.44</v>
      </c>
      <c r="H7620" s="89">
        <f t="shared" si="18"/>
        <v>0.2297929192</v>
      </c>
      <c r="I7620" s="78" t="s">
        <v>8660</v>
      </c>
      <c r="J7620" s="78" t="s">
        <v>69</v>
      </c>
      <c r="K7620" s="58">
        <f t="shared" si="17"/>
        <v>4</v>
      </c>
      <c r="L7620" s="91" t="str">
        <f t="shared" si="8"/>
        <v>Thu</v>
      </c>
      <c r="M7620" s="78" t="str">
        <f>IFERROR(VLOOKUP(A7620, Entries!A:B,2,false),"")</f>
        <v/>
      </c>
      <c r="N7620" s="23" t="str">
        <f>IFERROR(VLOOKUP(A7620, Entries!A:K,11,false),"")</f>
        <v/>
      </c>
    </row>
    <row r="7621">
      <c r="A7621" s="78" t="s">
        <v>8529</v>
      </c>
      <c r="B7621" s="78" t="s">
        <v>19</v>
      </c>
      <c r="C7621" s="85">
        <v>45732.0</v>
      </c>
      <c r="D7621" s="85">
        <v>45733.0</v>
      </c>
      <c r="E7621" s="86">
        <v>20.8</v>
      </c>
      <c r="F7621" s="87">
        <v>27.83</v>
      </c>
      <c r="G7621" s="88">
        <f t="shared" si="1"/>
        <v>7.03</v>
      </c>
      <c r="H7621" s="89">
        <f t="shared" si="18"/>
        <v>0.2526051024</v>
      </c>
      <c r="I7621" s="78" t="s">
        <v>8661</v>
      </c>
      <c r="J7621" s="78" t="s">
        <v>69</v>
      </c>
      <c r="K7621" s="58">
        <f t="shared" si="17"/>
        <v>1</v>
      </c>
      <c r="L7621" s="91" t="str">
        <f t="shared" si="8"/>
        <v>Mon</v>
      </c>
      <c r="M7621" s="78" t="str">
        <f>IFERROR(VLOOKUP(A7621, Entries!A:B,2,false),"")</f>
        <v>SEGA</v>
      </c>
      <c r="N7621" s="23" t="str">
        <f>IFERROR(VLOOKUP(A7621, Entries!A:K,11,false),"")</f>
        <v/>
      </c>
    </row>
    <row r="7622">
      <c r="A7622" s="78" t="s">
        <v>8529</v>
      </c>
      <c r="B7622" s="78" t="s">
        <v>19</v>
      </c>
      <c r="C7622" s="85">
        <v>45732.0</v>
      </c>
      <c r="D7622" s="85">
        <v>45734.0</v>
      </c>
      <c r="E7622" s="86">
        <v>20.8</v>
      </c>
      <c r="F7622" s="87">
        <v>27.79</v>
      </c>
      <c r="G7622" s="88">
        <f t="shared" si="1"/>
        <v>6.99</v>
      </c>
      <c r="H7622" s="89">
        <f t="shared" si="18"/>
        <v>0.2515293271</v>
      </c>
      <c r="I7622" s="78" t="s">
        <v>8662</v>
      </c>
      <c r="J7622" s="78" t="s">
        <v>69</v>
      </c>
      <c r="K7622" s="58">
        <f t="shared" si="17"/>
        <v>2</v>
      </c>
      <c r="L7622" s="91" t="str">
        <f t="shared" si="8"/>
        <v>Tue</v>
      </c>
      <c r="M7622" s="78" t="str">
        <f>IFERROR(VLOOKUP(A7622, Entries!A:B,2,false),"")</f>
        <v>SEGA</v>
      </c>
      <c r="N7622" s="23" t="str">
        <f>IFERROR(VLOOKUP(A7622, Entries!A:K,11,false),"")</f>
        <v/>
      </c>
    </row>
    <row r="7623">
      <c r="A7623" s="78" t="s">
        <v>803</v>
      </c>
      <c r="B7623" s="78" t="s">
        <v>19</v>
      </c>
      <c r="C7623" s="85">
        <v>45732.0</v>
      </c>
      <c r="D7623" s="85">
        <v>45736.0</v>
      </c>
      <c r="E7623" s="86">
        <v>0.0</v>
      </c>
      <c r="F7623" s="87">
        <v>0.33</v>
      </c>
      <c r="G7623" s="88">
        <f t="shared" si="1"/>
        <v>0.33</v>
      </c>
      <c r="H7623" s="89">
        <f t="shared" si="18"/>
        <v>1</v>
      </c>
      <c r="I7623" s="78" t="s">
        <v>8663</v>
      </c>
      <c r="J7623" s="78" t="s">
        <v>69</v>
      </c>
      <c r="K7623" s="58">
        <f t="shared" si="17"/>
        <v>4</v>
      </c>
      <c r="L7623" s="91" t="str">
        <f t="shared" si="8"/>
        <v>Thu</v>
      </c>
      <c r="M7623" s="78" t="str">
        <f>IFERROR(VLOOKUP(A7623, Entries!A:B,2,false),"")</f>
        <v>Nacon</v>
      </c>
      <c r="N7623" s="23" t="str">
        <f>IFERROR(VLOOKUP(A7623, Entries!A:K,11,false),"")</f>
        <v/>
      </c>
    </row>
    <row r="7624">
      <c r="A7624" s="78" t="s">
        <v>8529</v>
      </c>
      <c r="B7624" s="78" t="s">
        <v>19</v>
      </c>
      <c r="C7624" s="85">
        <v>45733.0</v>
      </c>
      <c r="D7624" s="85">
        <v>45735.0</v>
      </c>
      <c r="E7624" s="86">
        <v>20.8</v>
      </c>
      <c r="F7624" s="87">
        <v>28.68</v>
      </c>
      <c r="G7624" s="88">
        <f t="shared" si="1"/>
        <v>7.88</v>
      </c>
      <c r="H7624" s="89">
        <f t="shared" si="18"/>
        <v>0.2747559275</v>
      </c>
      <c r="I7624" s="78" t="s">
        <v>8664</v>
      </c>
      <c r="J7624" s="78" t="s">
        <v>69</v>
      </c>
      <c r="K7624" s="58">
        <f t="shared" si="17"/>
        <v>2</v>
      </c>
      <c r="L7624" s="91" t="str">
        <f t="shared" si="8"/>
        <v>Wed</v>
      </c>
      <c r="M7624" s="78" t="str">
        <f>IFERROR(VLOOKUP(A7624, Entries!A:B,2,false),"")</f>
        <v>SEGA</v>
      </c>
      <c r="N7624" s="23" t="str">
        <f>IFERROR(VLOOKUP(A7624, Entries!A:K,11,false),"")</f>
        <v/>
      </c>
    </row>
    <row r="7625">
      <c r="A7625" s="78" t="s">
        <v>8529</v>
      </c>
      <c r="B7625" s="78" t="s">
        <v>19</v>
      </c>
      <c r="C7625" s="85">
        <v>45733.0</v>
      </c>
      <c r="D7625" s="85">
        <v>45735.0</v>
      </c>
      <c r="E7625" s="86">
        <v>20.36</v>
      </c>
      <c r="F7625" s="87">
        <v>28.68</v>
      </c>
      <c r="G7625" s="88">
        <f t="shared" si="1"/>
        <v>8.32</v>
      </c>
      <c r="H7625" s="89">
        <f t="shared" si="18"/>
        <v>0.290097629</v>
      </c>
      <c r="I7625" s="78" t="s">
        <v>8665</v>
      </c>
      <c r="J7625" s="78" t="s">
        <v>69</v>
      </c>
      <c r="K7625" s="58">
        <f t="shared" si="17"/>
        <v>2</v>
      </c>
      <c r="L7625" s="91" t="str">
        <f t="shared" si="8"/>
        <v>Wed</v>
      </c>
      <c r="M7625" s="78" t="str">
        <f>IFERROR(VLOOKUP(A7625, Entries!A:B,2,false),"")</f>
        <v>SEGA</v>
      </c>
      <c r="N7625" s="23" t="str">
        <f>IFERROR(VLOOKUP(A7625, Entries!A:K,11,false),"")</f>
        <v/>
      </c>
    </row>
    <row r="7626">
      <c r="A7626" s="78" t="s">
        <v>803</v>
      </c>
      <c r="B7626" s="78" t="s">
        <v>19</v>
      </c>
      <c r="C7626" s="85">
        <v>45733.0</v>
      </c>
      <c r="D7626" s="85">
        <v>45737.0</v>
      </c>
      <c r="E7626" s="86">
        <v>0.0</v>
      </c>
      <c r="F7626" s="87">
        <v>0.33</v>
      </c>
      <c r="G7626" s="88">
        <f t="shared" si="1"/>
        <v>0.33</v>
      </c>
      <c r="H7626" s="89">
        <f t="shared" si="18"/>
        <v>1</v>
      </c>
      <c r="I7626" s="78" t="s">
        <v>8666</v>
      </c>
      <c r="J7626" s="78" t="s">
        <v>69</v>
      </c>
      <c r="K7626" s="58">
        <f t="shared" si="17"/>
        <v>4</v>
      </c>
      <c r="L7626" s="91" t="str">
        <f t="shared" si="8"/>
        <v>Fri</v>
      </c>
      <c r="M7626" s="78" t="str">
        <f>IFERROR(VLOOKUP(A7626, Entries!A:B,2,false),"")</f>
        <v>Nacon</v>
      </c>
      <c r="N7626" s="23" t="str">
        <f>IFERROR(VLOOKUP(A7626, Entries!A:K,11,false),"")</f>
        <v/>
      </c>
    </row>
    <row r="7627">
      <c r="A7627" s="78" t="s">
        <v>8529</v>
      </c>
      <c r="B7627" s="78" t="s">
        <v>19</v>
      </c>
      <c r="C7627" s="85">
        <v>45733.0</v>
      </c>
      <c r="D7627" s="85">
        <v>45735.0</v>
      </c>
      <c r="E7627" s="86">
        <v>20.8</v>
      </c>
      <c r="F7627" s="87">
        <v>32.59</v>
      </c>
      <c r="G7627" s="88">
        <f t="shared" si="1"/>
        <v>11.79</v>
      </c>
      <c r="H7627" s="89">
        <f t="shared" si="18"/>
        <v>0.3617674133</v>
      </c>
      <c r="I7627" s="78" t="s">
        <v>8667</v>
      </c>
      <c r="J7627" s="78" t="s">
        <v>69</v>
      </c>
      <c r="K7627" s="58">
        <f t="shared" si="17"/>
        <v>2</v>
      </c>
      <c r="L7627" s="91" t="str">
        <f t="shared" si="8"/>
        <v>Wed</v>
      </c>
      <c r="M7627" s="78" t="str">
        <f>IFERROR(VLOOKUP(A7627, Entries!A:B,2,false),"")</f>
        <v>SEGA</v>
      </c>
      <c r="N7627" s="23" t="str">
        <f>IFERROR(VLOOKUP(A7627, Entries!A:K,11,false),"")</f>
        <v/>
      </c>
    </row>
    <row r="7628">
      <c r="A7628" s="78" t="s">
        <v>8529</v>
      </c>
      <c r="B7628" s="78" t="s">
        <v>19</v>
      </c>
      <c r="C7628" s="85">
        <v>45733.0</v>
      </c>
      <c r="D7628" s="85">
        <v>45736.0</v>
      </c>
      <c r="E7628" s="86">
        <v>20.8</v>
      </c>
      <c r="F7628" s="87">
        <v>31.38</v>
      </c>
      <c r="G7628" s="88">
        <f t="shared" si="1"/>
        <v>10.58</v>
      </c>
      <c r="H7628" s="89">
        <f t="shared" si="18"/>
        <v>0.3371574251</v>
      </c>
      <c r="I7628" s="78" t="s">
        <v>8668</v>
      </c>
      <c r="J7628" s="78" t="s">
        <v>69</v>
      </c>
      <c r="K7628" s="58">
        <f t="shared" si="17"/>
        <v>3</v>
      </c>
      <c r="L7628" s="91" t="str">
        <f t="shared" si="8"/>
        <v>Thu</v>
      </c>
      <c r="M7628" s="78" t="str">
        <f>IFERROR(VLOOKUP(A7628, Entries!A:B,2,false),"")</f>
        <v>SEGA</v>
      </c>
      <c r="N7628" s="23" t="str">
        <f>IFERROR(VLOOKUP(A7628, Entries!A:K,11,false),"")</f>
        <v/>
      </c>
    </row>
    <row r="7629">
      <c r="A7629" s="78" t="s">
        <v>8669</v>
      </c>
      <c r="B7629" s="78" t="s">
        <v>19</v>
      </c>
      <c r="C7629" s="85">
        <v>45733.0</v>
      </c>
      <c r="D7629" s="85">
        <v>45735.0</v>
      </c>
      <c r="E7629" s="86">
        <v>0.0</v>
      </c>
      <c r="F7629" s="87">
        <v>0.28</v>
      </c>
      <c r="G7629" s="88">
        <f t="shared" si="1"/>
        <v>0.28</v>
      </c>
      <c r="H7629" s="89">
        <f t="shared" si="18"/>
        <v>1</v>
      </c>
      <c r="I7629" s="78" t="s">
        <v>8670</v>
      </c>
      <c r="J7629" s="78" t="s">
        <v>69</v>
      </c>
      <c r="K7629" s="58">
        <f t="shared" si="17"/>
        <v>2</v>
      </c>
      <c r="L7629" s="91" t="str">
        <f t="shared" si="8"/>
        <v>Wed</v>
      </c>
      <c r="M7629" s="78" t="str">
        <f>IFERROR(VLOOKUP(A7629, Entries!A:B,2,false),"")</f>
        <v/>
      </c>
      <c r="N7629" s="23" t="str">
        <f>IFERROR(VLOOKUP(A7629, Entries!A:K,11,false),"")</f>
        <v/>
      </c>
    </row>
    <row r="7630">
      <c r="A7630" s="78" t="s">
        <v>7968</v>
      </c>
      <c r="B7630" s="78" t="s">
        <v>21</v>
      </c>
      <c r="C7630" s="85">
        <v>45735.0</v>
      </c>
      <c r="D7630" s="85">
        <v>45745.0</v>
      </c>
      <c r="E7630" s="86">
        <v>24.2</v>
      </c>
      <c r="F7630" s="87">
        <v>30.31</v>
      </c>
      <c r="G7630" s="88">
        <f t="shared" si="1"/>
        <v>6.11</v>
      </c>
      <c r="H7630" s="89">
        <f t="shared" si="18"/>
        <v>0.2015836358</v>
      </c>
      <c r="I7630" s="78" t="s">
        <v>8671</v>
      </c>
      <c r="J7630" s="78" t="s">
        <v>69</v>
      </c>
      <c r="K7630" s="58">
        <f t="shared" si="17"/>
        <v>10</v>
      </c>
      <c r="L7630" s="91" t="str">
        <f t="shared" si="8"/>
        <v>Sat</v>
      </c>
      <c r="M7630" s="78" t="str">
        <f>IFERROR(VLOOKUP(A7630, Entries!A:B,2,false),"")</f>
        <v>Coffee Stain</v>
      </c>
      <c r="N7630" s="23" t="str">
        <f>IFERROR(VLOOKUP(A7630, Entries!A:K,11,false),"")</f>
        <v/>
      </c>
    </row>
    <row r="7631">
      <c r="A7631" s="78" t="s">
        <v>8011</v>
      </c>
      <c r="B7631" s="78" t="s">
        <v>22</v>
      </c>
      <c r="C7631" s="85">
        <v>45736.0</v>
      </c>
      <c r="D7631" s="85">
        <v>45738.0</v>
      </c>
      <c r="E7631" s="86">
        <v>12.22</v>
      </c>
      <c r="F7631" s="87">
        <v>14.97</v>
      </c>
      <c r="G7631" s="88">
        <f t="shared" si="1"/>
        <v>2.75</v>
      </c>
      <c r="H7631" s="89">
        <f t="shared" si="18"/>
        <v>0.1837007348</v>
      </c>
      <c r="I7631" s="78" t="s">
        <v>8672</v>
      </c>
      <c r="J7631" s="78" t="s">
        <v>69</v>
      </c>
      <c r="K7631" s="58">
        <f t="shared" si="17"/>
        <v>2</v>
      </c>
      <c r="L7631" s="91" t="str">
        <f t="shared" si="8"/>
        <v>Sat</v>
      </c>
      <c r="M7631" s="78" t="str">
        <f>IFERROR(VLOOKUP(A7631, Entries!A:B,2,false),"")</f>
        <v/>
      </c>
      <c r="N7631" s="23" t="str">
        <f>IFERROR(VLOOKUP(A7631, Entries!A:K,11,false),"")</f>
        <v/>
      </c>
    </row>
    <row r="7632">
      <c r="A7632" s="78" t="s">
        <v>8529</v>
      </c>
      <c r="B7632" s="78" t="s">
        <v>22</v>
      </c>
      <c r="C7632" s="85">
        <v>45736.0</v>
      </c>
      <c r="D7632" s="85">
        <v>45737.0</v>
      </c>
      <c r="E7632" s="86">
        <v>21.6</v>
      </c>
      <c r="F7632" s="87">
        <v>25.06</v>
      </c>
      <c r="G7632" s="88">
        <f t="shared" si="1"/>
        <v>3.46</v>
      </c>
      <c r="H7632" s="89">
        <f t="shared" si="18"/>
        <v>0.1380686353</v>
      </c>
      <c r="I7632" s="78" t="s">
        <v>8673</v>
      </c>
      <c r="J7632" s="78" t="s">
        <v>69</v>
      </c>
      <c r="K7632" s="58">
        <f t="shared" si="17"/>
        <v>1</v>
      </c>
      <c r="L7632" s="91" t="str">
        <f t="shared" si="8"/>
        <v>Fri</v>
      </c>
      <c r="M7632" s="78" t="str">
        <f>IFERROR(VLOOKUP(A7632, Entries!A:B,2,false),"")</f>
        <v>SEGA</v>
      </c>
      <c r="N7632" s="23" t="str">
        <f>IFERROR(VLOOKUP(A7632, Entries!A:K,11,false),"")</f>
        <v/>
      </c>
    </row>
    <row r="7633">
      <c r="A7633" s="78" t="s">
        <v>8529</v>
      </c>
      <c r="B7633" s="109" t="s">
        <v>30</v>
      </c>
      <c r="C7633" s="85">
        <v>45737.0</v>
      </c>
      <c r="D7633" s="85">
        <v>45737.0</v>
      </c>
      <c r="E7633" s="86">
        <v>21.57</v>
      </c>
      <c r="F7633" s="87">
        <v>26.87</v>
      </c>
      <c r="G7633" s="88">
        <f t="shared" si="1"/>
        <v>5.3</v>
      </c>
      <c r="H7633" s="89">
        <f t="shared" si="18"/>
        <v>0.1972459993</v>
      </c>
      <c r="I7633" s="78" t="s">
        <v>8674</v>
      </c>
      <c r="J7633" s="78" t="s">
        <v>69</v>
      </c>
      <c r="K7633" s="58">
        <f t="shared" si="17"/>
        <v>0</v>
      </c>
      <c r="L7633" s="91" t="str">
        <f t="shared" si="8"/>
        <v>Fri</v>
      </c>
      <c r="M7633" s="78" t="str">
        <f>IFERROR(VLOOKUP(A7633, Entries!A:B,2,false),"")</f>
        <v>SEGA</v>
      </c>
      <c r="N7633" s="23" t="str">
        <f>IFERROR(VLOOKUP(A7633, Entries!A:K,11,false),"")</f>
        <v/>
      </c>
    </row>
    <row r="7634">
      <c r="A7634" s="78" t="s">
        <v>8529</v>
      </c>
      <c r="B7634" s="109" t="s">
        <v>30</v>
      </c>
      <c r="C7634" s="85">
        <v>45737.0</v>
      </c>
      <c r="D7634" s="85">
        <v>45737.0</v>
      </c>
      <c r="E7634" s="86">
        <v>21.57</v>
      </c>
      <c r="F7634" s="87">
        <v>26.87</v>
      </c>
      <c r="G7634" s="88">
        <f t="shared" si="1"/>
        <v>5.3</v>
      </c>
      <c r="H7634" s="89">
        <f t="shared" si="18"/>
        <v>0.1972459993</v>
      </c>
      <c r="I7634" s="78" t="s">
        <v>8675</v>
      </c>
      <c r="J7634" s="78" t="s">
        <v>69</v>
      </c>
      <c r="K7634" s="58">
        <f t="shared" si="17"/>
        <v>0</v>
      </c>
      <c r="L7634" s="91" t="str">
        <f t="shared" si="8"/>
        <v>Fri</v>
      </c>
      <c r="M7634" s="78" t="str">
        <f>IFERROR(VLOOKUP(A7634, Entries!A:B,2,false),"")</f>
        <v>SEGA</v>
      </c>
      <c r="N7634" s="23" t="str">
        <f>IFERROR(VLOOKUP(A7634, Entries!A:K,11,false),"")</f>
        <v/>
      </c>
    </row>
    <row r="7635">
      <c r="A7635" s="78" t="s">
        <v>8529</v>
      </c>
      <c r="B7635" s="109" t="s">
        <v>30</v>
      </c>
      <c r="C7635" s="85">
        <v>45737.0</v>
      </c>
      <c r="D7635" s="85">
        <v>45738.0</v>
      </c>
      <c r="E7635" s="86">
        <v>21.57</v>
      </c>
      <c r="F7635" s="87">
        <v>26.87</v>
      </c>
      <c r="G7635" s="88">
        <f t="shared" si="1"/>
        <v>5.3</v>
      </c>
      <c r="H7635" s="89">
        <f t="shared" si="18"/>
        <v>0.1972459993</v>
      </c>
      <c r="I7635" s="78" t="s">
        <v>8676</v>
      </c>
      <c r="J7635" s="78" t="s">
        <v>69</v>
      </c>
      <c r="K7635" s="58">
        <f t="shared" si="17"/>
        <v>1</v>
      </c>
      <c r="L7635" s="91" t="str">
        <f t="shared" si="8"/>
        <v>Sat</v>
      </c>
      <c r="M7635" s="78" t="str">
        <f>IFERROR(VLOOKUP(A7635, Entries!A:B,2,false),"")</f>
        <v>SEGA</v>
      </c>
      <c r="N7635" s="23" t="str">
        <f>IFERROR(VLOOKUP(A7635, Entries!A:K,11,false),"")</f>
        <v/>
      </c>
    </row>
    <row r="7636">
      <c r="A7636" s="78" t="s">
        <v>8011</v>
      </c>
      <c r="B7636" s="78" t="s">
        <v>22</v>
      </c>
      <c r="C7636" s="85">
        <v>45738.0</v>
      </c>
      <c r="D7636" s="85">
        <v>45738.0</v>
      </c>
      <c r="E7636" s="86">
        <v>12.27</v>
      </c>
      <c r="F7636" s="87">
        <v>14.97</v>
      </c>
      <c r="G7636" s="88">
        <f t="shared" si="1"/>
        <v>2.7</v>
      </c>
      <c r="H7636" s="89">
        <f t="shared" si="18"/>
        <v>0.1803607214</v>
      </c>
      <c r="I7636" s="78" t="s">
        <v>8677</v>
      </c>
      <c r="J7636" s="78" t="s">
        <v>69</v>
      </c>
      <c r="K7636" s="58">
        <f t="shared" si="17"/>
        <v>0</v>
      </c>
      <c r="L7636" s="91" t="str">
        <f t="shared" si="8"/>
        <v>Sat</v>
      </c>
      <c r="M7636" s="78" t="str">
        <f>IFERROR(VLOOKUP(A7636, Entries!A:B,2,false),"")</f>
        <v/>
      </c>
      <c r="N7636" s="23" t="str">
        <f>IFERROR(VLOOKUP(A7636, Entries!A:K,11,false),"")</f>
        <v/>
      </c>
    </row>
    <row r="7637">
      <c r="A7637" s="78" t="s">
        <v>8678</v>
      </c>
      <c r="B7637" s="78" t="s">
        <v>21</v>
      </c>
      <c r="C7637" s="85">
        <v>45738.0</v>
      </c>
      <c r="D7637" s="85">
        <v>45738.0</v>
      </c>
      <c r="E7637" s="86">
        <v>30.55</v>
      </c>
      <c r="F7637" s="87">
        <v>33.5</v>
      </c>
      <c r="G7637" s="88">
        <f t="shared" si="1"/>
        <v>2.95</v>
      </c>
      <c r="H7637" s="89">
        <f t="shared" si="18"/>
        <v>0.08805970149</v>
      </c>
      <c r="I7637" s="78" t="s">
        <v>8679</v>
      </c>
      <c r="J7637" s="78" t="s">
        <v>69</v>
      </c>
      <c r="K7637" s="58">
        <f t="shared" si="17"/>
        <v>0</v>
      </c>
      <c r="L7637" s="91" t="str">
        <f t="shared" si="8"/>
        <v>Sat</v>
      </c>
      <c r="M7637" s="78" t="str">
        <f>IFERROR(VLOOKUP(A7637, Entries!A:B,2,false),"")</f>
        <v/>
      </c>
      <c r="N7637" s="23" t="str">
        <f>IFERROR(VLOOKUP(A7637, Entries!A:K,11,false),"")</f>
        <v/>
      </c>
    </row>
    <row r="7638">
      <c r="A7638" s="78" t="s">
        <v>8529</v>
      </c>
      <c r="B7638" s="109" t="s">
        <v>30</v>
      </c>
      <c r="C7638" s="85">
        <v>45738.0</v>
      </c>
      <c r="D7638" s="85">
        <v>45738.0</v>
      </c>
      <c r="E7638" s="86">
        <v>21.6</v>
      </c>
      <c r="F7638" s="87">
        <v>26.87</v>
      </c>
      <c r="G7638" s="88">
        <f t="shared" si="1"/>
        <v>5.27</v>
      </c>
      <c r="H7638" s="89">
        <f t="shared" si="18"/>
        <v>0.1961295125</v>
      </c>
      <c r="I7638" s="78" t="s">
        <v>8680</v>
      </c>
      <c r="J7638" s="78" t="s">
        <v>69</v>
      </c>
      <c r="K7638" s="58">
        <f t="shared" si="17"/>
        <v>0</v>
      </c>
      <c r="L7638" s="91" t="str">
        <f t="shared" si="8"/>
        <v>Sat</v>
      </c>
      <c r="M7638" s="78" t="str">
        <f>IFERROR(VLOOKUP(A7638, Entries!A:B,2,false),"")</f>
        <v>SEGA</v>
      </c>
      <c r="N7638" s="23" t="str">
        <f>IFERROR(VLOOKUP(A7638, Entries!A:K,11,false),"")</f>
        <v/>
      </c>
    </row>
    <row r="7639">
      <c r="A7639" s="78" t="s">
        <v>4991</v>
      </c>
      <c r="B7639" s="78" t="s">
        <v>22</v>
      </c>
      <c r="C7639" s="85">
        <v>45738.0</v>
      </c>
      <c r="D7639" s="85">
        <v>45739.0</v>
      </c>
      <c r="E7639" s="86">
        <v>7.33</v>
      </c>
      <c r="F7639" s="87">
        <v>15.86</v>
      </c>
      <c r="G7639" s="88">
        <f t="shared" si="1"/>
        <v>8.53</v>
      </c>
      <c r="H7639" s="89">
        <f t="shared" si="18"/>
        <v>0.5378310214</v>
      </c>
      <c r="I7639" s="78" t="s">
        <v>8681</v>
      </c>
      <c r="J7639" s="78" t="s">
        <v>69</v>
      </c>
      <c r="K7639" s="58">
        <f t="shared" si="17"/>
        <v>1</v>
      </c>
      <c r="L7639" s="91" t="str">
        <f t="shared" si="8"/>
        <v>Sun</v>
      </c>
      <c r="M7639" s="78" t="str">
        <f>IFERROR(VLOOKUP(A7639, Entries!A:B,2,false),"")</f>
        <v>Red Barrels</v>
      </c>
      <c r="N7639" s="23" t="str">
        <f>IFERROR(VLOOKUP(A7639, Entries!A:K,11,false),"")</f>
        <v/>
      </c>
    </row>
    <row r="7640">
      <c r="A7640" s="78" t="s">
        <v>8682</v>
      </c>
      <c r="B7640" s="78" t="s">
        <v>21</v>
      </c>
      <c r="C7640" s="85">
        <v>45738.0</v>
      </c>
      <c r="D7640" s="85">
        <v>45799.0</v>
      </c>
      <c r="E7640" s="86">
        <v>31.15</v>
      </c>
      <c r="F7640" s="87">
        <v>32.3</v>
      </c>
      <c r="G7640" s="88">
        <f t="shared" si="1"/>
        <v>1.15</v>
      </c>
      <c r="H7640" s="89">
        <f t="shared" si="18"/>
        <v>0.03560371517</v>
      </c>
      <c r="I7640" s="103" t="s">
        <v>8683</v>
      </c>
      <c r="J7640" s="78" t="s">
        <v>69</v>
      </c>
      <c r="K7640" s="58">
        <f t="shared" si="17"/>
        <v>61</v>
      </c>
      <c r="L7640" s="91" t="str">
        <f t="shared" si="8"/>
        <v>Thu</v>
      </c>
      <c r="M7640" s="78" t="str">
        <f>IFERROR(VLOOKUP(A7640, Entries!A:B,2,false),"")</f>
        <v/>
      </c>
    </row>
    <row r="7641">
      <c r="A7641" s="78" t="s">
        <v>8684</v>
      </c>
      <c r="B7641" s="78" t="s">
        <v>18</v>
      </c>
      <c r="C7641" s="85">
        <v>45738.0</v>
      </c>
      <c r="D7641" s="85">
        <v>45739.0</v>
      </c>
      <c r="E7641" s="86">
        <v>45.88</v>
      </c>
      <c r="F7641" s="87">
        <v>49.85</v>
      </c>
      <c r="G7641" s="88">
        <f t="shared" si="1"/>
        <v>3.97</v>
      </c>
      <c r="H7641" s="89">
        <f t="shared" si="18"/>
        <v>0.07963891675</v>
      </c>
      <c r="I7641" s="78" t="s">
        <v>8685</v>
      </c>
      <c r="J7641" s="78" t="s">
        <v>69</v>
      </c>
      <c r="K7641" s="58">
        <f t="shared" si="17"/>
        <v>1</v>
      </c>
      <c r="L7641" s="91" t="str">
        <f t="shared" si="8"/>
        <v>Sun</v>
      </c>
      <c r="M7641" s="78" t="str">
        <f>IFERROR(VLOOKUP(A7641, Entries!A:B,2,false),"")</f>
        <v/>
      </c>
      <c r="N7641" s="23" t="str">
        <f>IFERROR(VLOOKUP(A7641, Entries!A:K,11,false),"")</f>
        <v/>
      </c>
    </row>
    <row r="7642">
      <c r="A7642" s="78" t="s">
        <v>8684</v>
      </c>
      <c r="B7642" s="78" t="s">
        <v>18</v>
      </c>
      <c r="C7642" s="85">
        <v>45738.0</v>
      </c>
      <c r="D7642" s="85">
        <v>46052.0</v>
      </c>
      <c r="E7642" s="86">
        <v>45.88</v>
      </c>
      <c r="F7642" s="87">
        <v>50.97</v>
      </c>
      <c r="G7642" s="88">
        <f t="shared" si="1"/>
        <v>5.09</v>
      </c>
      <c r="H7642" s="89">
        <f t="shared" si="18"/>
        <v>0.09986266431</v>
      </c>
      <c r="I7642" s="103" t="s">
        <v>8686</v>
      </c>
      <c r="J7642" s="78" t="s">
        <v>69</v>
      </c>
      <c r="K7642" s="58">
        <f t="shared" si="17"/>
        <v>314</v>
      </c>
      <c r="L7642" s="91" t="str">
        <f t="shared" si="8"/>
        <v>Fri</v>
      </c>
      <c r="M7642" s="78" t="str">
        <f>IFERROR(VLOOKUP(A7642, Entries!A:B,2,false),"")</f>
        <v/>
      </c>
      <c r="N7642" s="23" t="str">
        <f>IFERROR(VLOOKUP(A7642, Entries!A:K,11,false),"")</f>
        <v/>
      </c>
    </row>
    <row r="7643">
      <c r="A7643" s="78" t="s">
        <v>8529</v>
      </c>
      <c r="B7643" s="109" t="s">
        <v>30</v>
      </c>
      <c r="C7643" s="85">
        <v>45738.0</v>
      </c>
      <c r="D7643" s="85">
        <v>45740.0</v>
      </c>
      <c r="E7643" s="86">
        <v>21.6</v>
      </c>
      <c r="F7643" s="87">
        <v>26.86</v>
      </c>
      <c r="G7643" s="88">
        <f t="shared" si="1"/>
        <v>5.26</v>
      </c>
      <c r="H7643" s="89">
        <f t="shared" si="18"/>
        <v>0.1958302308</v>
      </c>
      <c r="I7643" s="78" t="s">
        <v>8687</v>
      </c>
      <c r="J7643" s="78" t="s">
        <v>69</v>
      </c>
      <c r="K7643" s="58">
        <f t="shared" si="17"/>
        <v>2</v>
      </c>
      <c r="L7643" s="91" t="str">
        <f t="shared" si="8"/>
        <v>Mon</v>
      </c>
      <c r="M7643" s="78" t="str">
        <f>IFERROR(VLOOKUP(A7643, Entries!A:B,2,false),"")</f>
        <v>SEGA</v>
      </c>
      <c r="N7643" s="23" t="str">
        <f>IFERROR(VLOOKUP(A7643, Entries!A:K,11,false),"")</f>
        <v/>
      </c>
    </row>
    <row r="7644">
      <c r="A7644" s="78" t="s">
        <v>5676</v>
      </c>
      <c r="B7644" s="78" t="s">
        <v>21</v>
      </c>
      <c r="C7644" s="85">
        <v>45739.0</v>
      </c>
      <c r="D7644" s="85">
        <v>45742.0</v>
      </c>
      <c r="E7644" s="86">
        <v>35.3</v>
      </c>
      <c r="F7644" s="87">
        <v>40.41</v>
      </c>
      <c r="G7644" s="88">
        <f t="shared" si="1"/>
        <v>5.11</v>
      </c>
      <c r="H7644" s="89">
        <f t="shared" si="18"/>
        <v>0.1264538481</v>
      </c>
      <c r="I7644" s="78" t="s">
        <v>8688</v>
      </c>
      <c r="J7644" s="78" t="s">
        <v>69</v>
      </c>
      <c r="K7644" s="58">
        <f t="shared" si="17"/>
        <v>3</v>
      </c>
      <c r="L7644" s="91" t="str">
        <f t="shared" si="8"/>
        <v>Wed</v>
      </c>
      <c r="M7644" s="78" t="str">
        <f>IFERROR(VLOOKUP(A7644, Entries!A:B,2,false),"")</f>
        <v>Bethesda Softworks</v>
      </c>
      <c r="N7644" s="23" t="str">
        <f>IFERROR(VLOOKUP(A7644, Entries!A:K,11,false),"")</f>
        <v/>
      </c>
    </row>
    <row r="7645">
      <c r="A7645" s="78" t="s">
        <v>8011</v>
      </c>
      <c r="B7645" s="78" t="s">
        <v>22</v>
      </c>
      <c r="C7645" s="85">
        <v>45739.0</v>
      </c>
      <c r="D7645" s="85">
        <v>45740.0</v>
      </c>
      <c r="E7645" s="86">
        <v>12.29</v>
      </c>
      <c r="F7645" s="87">
        <v>14.97</v>
      </c>
      <c r="G7645" s="88">
        <f t="shared" si="1"/>
        <v>2.68</v>
      </c>
      <c r="H7645" s="89">
        <f t="shared" si="18"/>
        <v>0.1790247161</v>
      </c>
      <c r="I7645" s="78" t="s">
        <v>8689</v>
      </c>
      <c r="J7645" s="78" t="s">
        <v>69</v>
      </c>
      <c r="K7645" s="58">
        <f t="shared" si="17"/>
        <v>1</v>
      </c>
      <c r="L7645" s="91" t="str">
        <f t="shared" si="8"/>
        <v>Mon</v>
      </c>
      <c r="M7645" s="78" t="str">
        <f>IFERROR(VLOOKUP(A7645, Entries!A:B,2,false),"")</f>
        <v/>
      </c>
      <c r="N7645" s="23" t="str">
        <f>IFERROR(VLOOKUP(A7645, Entries!A:K,11,false),"")</f>
        <v/>
      </c>
    </row>
    <row r="7646">
      <c r="A7646" s="78" t="s">
        <v>8529</v>
      </c>
      <c r="B7646" s="109" t="s">
        <v>30</v>
      </c>
      <c r="C7646" s="85">
        <v>45740.0</v>
      </c>
      <c r="D7646" s="85">
        <v>45742.0</v>
      </c>
      <c r="E7646" s="86">
        <v>21.6</v>
      </c>
      <c r="F7646" s="87">
        <v>26.06</v>
      </c>
      <c r="G7646" s="88">
        <f t="shared" si="1"/>
        <v>4.46</v>
      </c>
      <c r="H7646" s="89">
        <f t="shared" si="18"/>
        <v>0.171143515</v>
      </c>
      <c r="I7646" s="78" t="s">
        <v>8690</v>
      </c>
      <c r="J7646" s="78" t="s">
        <v>69</v>
      </c>
      <c r="K7646" s="58">
        <f t="shared" si="17"/>
        <v>2</v>
      </c>
      <c r="L7646" s="91" t="str">
        <f t="shared" si="8"/>
        <v>Wed</v>
      </c>
      <c r="M7646" s="78" t="str">
        <f>IFERROR(VLOOKUP(A7646, Entries!A:B,2,false),"")</f>
        <v>SEGA</v>
      </c>
      <c r="N7646" s="23" t="str">
        <f>IFERROR(VLOOKUP(A7646, Entries!A:K,11,false),"")</f>
        <v/>
      </c>
    </row>
    <row r="7647">
      <c r="A7647" s="78" t="s">
        <v>8691</v>
      </c>
      <c r="B7647" s="78" t="s">
        <v>22</v>
      </c>
      <c r="C7647" s="85">
        <v>45740.0</v>
      </c>
      <c r="D7647" s="85">
        <v>45741.0</v>
      </c>
      <c r="E7647" s="86">
        <v>9.25</v>
      </c>
      <c r="F7647" s="87">
        <v>12.85</v>
      </c>
      <c r="G7647" s="88">
        <f t="shared" si="1"/>
        <v>3.6</v>
      </c>
      <c r="H7647" s="89">
        <f t="shared" si="18"/>
        <v>0.280155642</v>
      </c>
      <c r="I7647" s="78" t="s">
        <v>8692</v>
      </c>
      <c r="J7647" s="78" t="s">
        <v>69</v>
      </c>
      <c r="K7647" s="58">
        <f t="shared" si="17"/>
        <v>1</v>
      </c>
      <c r="L7647" s="91" t="str">
        <f t="shared" si="8"/>
        <v>Tue</v>
      </c>
      <c r="M7647" s="78" t="str">
        <f>IFERROR(VLOOKUP(A7647, Entries!A:B,2,false),"")</f>
        <v/>
      </c>
      <c r="N7647" s="23" t="str">
        <f>IFERROR(VLOOKUP(A7647, Entries!A:K,11,false),"")</f>
        <v/>
      </c>
    </row>
    <row r="7648">
      <c r="A7648" s="78" t="s">
        <v>8691</v>
      </c>
      <c r="B7648" s="78" t="s">
        <v>22</v>
      </c>
      <c r="C7648" s="85">
        <v>45741.0</v>
      </c>
      <c r="D7648" s="85">
        <v>45741.0</v>
      </c>
      <c r="E7648" s="86">
        <v>9.27</v>
      </c>
      <c r="F7648" s="87">
        <v>10.5</v>
      </c>
      <c r="G7648" s="88">
        <f t="shared" si="1"/>
        <v>1.23</v>
      </c>
      <c r="H7648" s="89">
        <f t="shared" si="18"/>
        <v>0.1171428571</v>
      </c>
      <c r="I7648" s="78" t="s">
        <v>8693</v>
      </c>
      <c r="J7648" s="78" t="s">
        <v>69</v>
      </c>
      <c r="K7648" s="58">
        <f t="shared" si="17"/>
        <v>0</v>
      </c>
      <c r="L7648" s="91" t="str">
        <f t="shared" si="8"/>
        <v>Tue</v>
      </c>
      <c r="M7648" s="78" t="str">
        <f>IFERROR(VLOOKUP(A7648, Entries!A:B,2,false),"")</f>
        <v/>
      </c>
      <c r="N7648" s="23" t="str">
        <f>IFERROR(VLOOKUP(A7648, Entries!A:K,11,false),"")</f>
        <v/>
      </c>
    </row>
    <row r="7649">
      <c r="A7649" s="78" t="s">
        <v>8691</v>
      </c>
      <c r="B7649" s="78" t="s">
        <v>22</v>
      </c>
      <c r="C7649" s="85">
        <v>45741.0</v>
      </c>
      <c r="D7649" s="85">
        <v>45741.0</v>
      </c>
      <c r="E7649" s="86">
        <v>9.27</v>
      </c>
      <c r="F7649" s="87">
        <v>10.5</v>
      </c>
      <c r="G7649" s="88">
        <f t="shared" si="1"/>
        <v>1.23</v>
      </c>
      <c r="H7649" s="89">
        <f t="shared" si="18"/>
        <v>0.1171428571</v>
      </c>
      <c r="I7649" s="78" t="s">
        <v>8694</v>
      </c>
      <c r="J7649" s="78" t="s">
        <v>69</v>
      </c>
      <c r="K7649" s="58">
        <f t="shared" si="17"/>
        <v>0</v>
      </c>
      <c r="L7649" s="91" t="str">
        <f t="shared" si="8"/>
        <v>Tue</v>
      </c>
      <c r="M7649" s="78" t="str">
        <f>IFERROR(VLOOKUP(A7649, Entries!A:B,2,false),"")</f>
        <v/>
      </c>
      <c r="N7649" s="23" t="str">
        <f>IFERROR(VLOOKUP(A7649, Entries!A:K,11,false),"")</f>
        <v/>
      </c>
    </row>
    <row r="7650">
      <c r="A7650" s="78" t="s">
        <v>8691</v>
      </c>
      <c r="B7650" s="78" t="s">
        <v>22</v>
      </c>
      <c r="C7650" s="85">
        <v>45741.0</v>
      </c>
      <c r="D7650" s="85">
        <v>45758.0</v>
      </c>
      <c r="E7650" s="86">
        <v>9.27</v>
      </c>
      <c r="F7650" s="87">
        <v>10.9</v>
      </c>
      <c r="G7650" s="88">
        <f t="shared" si="1"/>
        <v>1.63</v>
      </c>
      <c r="H7650" s="89">
        <f t="shared" si="18"/>
        <v>0.1495412844</v>
      </c>
      <c r="I7650" s="103" t="s">
        <v>8695</v>
      </c>
      <c r="J7650" s="78" t="s">
        <v>69</v>
      </c>
      <c r="K7650" s="58">
        <f t="shared" si="17"/>
        <v>17</v>
      </c>
      <c r="L7650" s="91" t="str">
        <f t="shared" si="8"/>
        <v>Fri</v>
      </c>
      <c r="M7650" s="78" t="str">
        <f>IFERROR(VLOOKUP(A7650, Entries!A:B,2,false),"")</f>
        <v/>
      </c>
      <c r="N7650" s="23" t="str">
        <f>IFERROR(VLOOKUP(A7650, Entries!A:K,11,false),"")</f>
        <v/>
      </c>
    </row>
    <row r="7651">
      <c r="A7651" s="78" t="s">
        <v>8696</v>
      </c>
      <c r="B7651" s="78" t="s">
        <v>25</v>
      </c>
      <c r="C7651" s="85">
        <v>45742.0</v>
      </c>
      <c r="D7651" s="85">
        <v>45744.0</v>
      </c>
      <c r="E7651" s="86">
        <v>41.68</v>
      </c>
      <c r="F7651" s="87">
        <v>52.49</v>
      </c>
      <c r="G7651" s="88">
        <f t="shared" si="1"/>
        <v>10.81</v>
      </c>
      <c r="H7651" s="89">
        <f t="shared" si="18"/>
        <v>0.2059439893</v>
      </c>
      <c r="I7651" s="78" t="s">
        <v>8697</v>
      </c>
      <c r="J7651" s="78" t="s">
        <v>69</v>
      </c>
      <c r="K7651" s="58">
        <f t="shared" si="17"/>
        <v>2</v>
      </c>
      <c r="L7651" s="91" t="str">
        <f t="shared" si="8"/>
        <v>Fri</v>
      </c>
      <c r="M7651" s="78" t="str">
        <f>IFERROR(VLOOKUP(A7651, Entries!A:B,2,false),"")</f>
        <v/>
      </c>
      <c r="N7651" s="23" t="str">
        <f>IFERROR(VLOOKUP(A7651, Entries!A:K,11,false),"")</f>
        <v/>
      </c>
    </row>
    <row r="7652">
      <c r="A7652" s="78" t="s">
        <v>8696</v>
      </c>
      <c r="B7652" s="78" t="s">
        <v>25</v>
      </c>
      <c r="C7652" s="85">
        <v>45742.0</v>
      </c>
      <c r="D7652" s="85">
        <v>45744.0</v>
      </c>
      <c r="E7652" s="86">
        <v>41.68</v>
      </c>
      <c r="F7652" s="87">
        <v>52.49</v>
      </c>
      <c r="G7652" s="88">
        <f t="shared" si="1"/>
        <v>10.81</v>
      </c>
      <c r="H7652" s="89">
        <f t="shared" si="18"/>
        <v>0.2059439893</v>
      </c>
      <c r="I7652" s="78" t="s">
        <v>8698</v>
      </c>
      <c r="J7652" s="78" t="s">
        <v>69</v>
      </c>
      <c r="K7652" s="58">
        <f t="shared" si="17"/>
        <v>2</v>
      </c>
      <c r="L7652" s="91" t="str">
        <f t="shared" si="8"/>
        <v>Fri</v>
      </c>
      <c r="M7652" s="78" t="str">
        <f>IFERROR(VLOOKUP(A7652, Entries!A:B,2,false),"")</f>
        <v/>
      </c>
      <c r="N7652" s="23" t="str">
        <f>IFERROR(VLOOKUP(A7652, Entries!A:K,11,false),"")</f>
        <v/>
      </c>
    </row>
    <row r="7653">
      <c r="A7653" s="78" t="s">
        <v>8607</v>
      </c>
      <c r="B7653" s="78" t="s">
        <v>21</v>
      </c>
      <c r="C7653" s="85">
        <v>45742.0</v>
      </c>
      <c r="D7653" s="85">
        <v>45742.0</v>
      </c>
      <c r="E7653" s="86">
        <v>24.71</v>
      </c>
      <c r="F7653" s="87">
        <v>28.1</v>
      </c>
      <c r="G7653" s="88">
        <f t="shared" si="1"/>
        <v>3.39</v>
      </c>
      <c r="H7653" s="89">
        <f t="shared" si="18"/>
        <v>0.1206405694</v>
      </c>
      <c r="I7653" s="78" t="s">
        <v>8699</v>
      </c>
      <c r="J7653" s="78" t="s">
        <v>69</v>
      </c>
      <c r="K7653" s="58">
        <f t="shared" si="17"/>
        <v>0</v>
      </c>
      <c r="L7653" s="91" t="str">
        <f t="shared" si="8"/>
        <v>Wed</v>
      </c>
      <c r="M7653" s="78" t="str">
        <f>IFERROR(VLOOKUP(A7653, Entries!A:B,2,false),"")</f>
        <v/>
      </c>
      <c r="N7653" s="23" t="str">
        <f>IFERROR(VLOOKUP(A7653, Entries!A:K,11,false),"")</f>
        <v/>
      </c>
    </row>
    <row r="7654">
      <c r="A7654" s="78" t="s">
        <v>8011</v>
      </c>
      <c r="B7654" s="78" t="s">
        <v>22</v>
      </c>
      <c r="C7654" s="85">
        <v>45742.0</v>
      </c>
      <c r="D7654" s="85">
        <v>45744.0</v>
      </c>
      <c r="E7654" s="86">
        <v>12.32</v>
      </c>
      <c r="F7654" s="87">
        <v>14.97</v>
      </c>
      <c r="G7654" s="88">
        <f t="shared" si="1"/>
        <v>2.65</v>
      </c>
      <c r="H7654" s="89">
        <f t="shared" si="18"/>
        <v>0.1770207081</v>
      </c>
      <c r="I7654" s="78" t="s">
        <v>8700</v>
      </c>
      <c r="J7654" s="78" t="s">
        <v>69</v>
      </c>
      <c r="K7654" s="58">
        <f t="shared" si="17"/>
        <v>2</v>
      </c>
      <c r="L7654" s="91" t="str">
        <f t="shared" si="8"/>
        <v>Fri</v>
      </c>
      <c r="M7654" s="78" t="str">
        <f>IFERROR(VLOOKUP(A7654, Entries!A:B,2,false),"")</f>
        <v/>
      </c>
      <c r="N7654" s="23" t="str">
        <f>IFERROR(VLOOKUP(A7654, Entries!A:K,11,false),"")</f>
        <v/>
      </c>
    </row>
    <row r="7655">
      <c r="A7655" s="78" t="s">
        <v>8529</v>
      </c>
      <c r="B7655" s="109" t="s">
        <v>30</v>
      </c>
      <c r="C7655" s="85">
        <v>45742.0</v>
      </c>
      <c r="D7655" s="85">
        <v>45797.0</v>
      </c>
      <c r="E7655" s="86">
        <v>21.65</v>
      </c>
      <c r="F7655" s="87">
        <v>23.53</v>
      </c>
      <c r="G7655" s="88">
        <f t="shared" si="1"/>
        <v>1.88</v>
      </c>
      <c r="H7655" s="89">
        <f t="shared" si="18"/>
        <v>0.07989800255</v>
      </c>
      <c r="I7655" s="103"/>
      <c r="J7655" s="78" t="s">
        <v>69</v>
      </c>
      <c r="K7655" s="58">
        <f t="shared" si="17"/>
        <v>55</v>
      </c>
      <c r="L7655" s="91" t="str">
        <f t="shared" si="8"/>
        <v>Tue</v>
      </c>
      <c r="M7655" s="78" t="str">
        <f>IFERROR(VLOOKUP(A7655, Entries!A:B,2,false),"")</f>
        <v>SEGA</v>
      </c>
    </row>
    <row r="7656">
      <c r="A7656" s="78" t="s">
        <v>3832</v>
      </c>
      <c r="B7656" s="78" t="s">
        <v>18</v>
      </c>
      <c r="C7656" s="85">
        <v>45742.0</v>
      </c>
      <c r="D7656" s="85">
        <v>45744.0</v>
      </c>
      <c r="E7656" s="86">
        <v>12.31</v>
      </c>
      <c r="F7656" s="87">
        <v>15.99</v>
      </c>
      <c r="G7656" s="88">
        <f t="shared" si="1"/>
        <v>3.68</v>
      </c>
      <c r="H7656" s="89">
        <f t="shared" si="18"/>
        <v>0.2301438399</v>
      </c>
      <c r="I7656" s="78" t="s">
        <v>8701</v>
      </c>
      <c r="J7656" s="78" t="s">
        <v>69</v>
      </c>
      <c r="K7656" s="58">
        <f t="shared" si="17"/>
        <v>2</v>
      </c>
      <c r="L7656" s="91" t="str">
        <f t="shared" si="8"/>
        <v>Fri</v>
      </c>
      <c r="M7656" s="78" t="str">
        <f>IFERROR(VLOOKUP(A7656, Entries!A:B,2,false),"")</f>
        <v>Rebellion</v>
      </c>
      <c r="N7656" s="23" t="str">
        <f>IFERROR(VLOOKUP(A7656, Entries!A:K,11,false),"")</f>
        <v/>
      </c>
    </row>
    <row r="7657">
      <c r="A7657" s="78" t="s">
        <v>3832</v>
      </c>
      <c r="B7657" s="78" t="s">
        <v>18</v>
      </c>
      <c r="C7657" s="85">
        <v>45742.0</v>
      </c>
      <c r="D7657" s="85">
        <v>45745.0</v>
      </c>
      <c r="E7657" s="86">
        <v>12.31</v>
      </c>
      <c r="F7657" s="87">
        <v>15.62</v>
      </c>
      <c r="G7657" s="88">
        <f t="shared" si="1"/>
        <v>3.31</v>
      </c>
      <c r="H7657" s="89">
        <f t="shared" si="18"/>
        <v>0.2119078105</v>
      </c>
      <c r="I7657" s="78" t="s">
        <v>8702</v>
      </c>
      <c r="J7657" s="78" t="s">
        <v>69</v>
      </c>
      <c r="K7657" s="58">
        <f t="shared" si="17"/>
        <v>3</v>
      </c>
      <c r="L7657" s="91" t="str">
        <f t="shared" si="8"/>
        <v>Sat</v>
      </c>
      <c r="M7657" s="78" t="str">
        <f>IFERROR(VLOOKUP(A7657, Entries!A:B,2,false),"")</f>
        <v>Rebellion</v>
      </c>
      <c r="N7657" s="23" t="str">
        <f>IFERROR(VLOOKUP(A7657, Entries!A:K,11,false),"")</f>
        <v/>
      </c>
    </row>
    <row r="7658">
      <c r="A7658" s="78" t="s">
        <v>8703</v>
      </c>
      <c r="B7658" s="78" t="s">
        <v>22</v>
      </c>
      <c r="C7658" s="85">
        <v>45743.0</v>
      </c>
      <c r="D7658" s="85">
        <v>45744.0</v>
      </c>
      <c r="E7658" s="86">
        <v>6.58</v>
      </c>
      <c r="F7658" s="87">
        <v>7.4</v>
      </c>
      <c r="G7658" s="88">
        <f t="shared" si="1"/>
        <v>0.82</v>
      </c>
      <c r="H7658" s="89">
        <f t="shared" si="18"/>
        <v>0.1108108108</v>
      </c>
      <c r="I7658" s="78" t="s">
        <v>8704</v>
      </c>
      <c r="J7658" s="78" t="s">
        <v>69</v>
      </c>
      <c r="K7658" s="58">
        <f t="shared" si="17"/>
        <v>1</v>
      </c>
      <c r="L7658" s="91" t="str">
        <f t="shared" si="8"/>
        <v>Fri</v>
      </c>
      <c r="M7658" s="78" t="str">
        <f>IFERROR(VLOOKUP(A7658, Entries!A:B,2,false),"")</f>
        <v/>
      </c>
      <c r="N7658" s="23" t="str">
        <f>IFERROR(VLOOKUP(A7658, Entries!A:K,11,false),"")</f>
        <v/>
      </c>
    </row>
    <row r="7659">
      <c r="A7659" s="78" t="s">
        <v>7715</v>
      </c>
      <c r="B7659" s="78" t="s">
        <v>22</v>
      </c>
      <c r="C7659" s="85">
        <v>45743.0</v>
      </c>
      <c r="D7659" s="85">
        <v>45751.0</v>
      </c>
      <c r="E7659" s="86">
        <v>11.63</v>
      </c>
      <c r="F7659" s="87">
        <v>22.37</v>
      </c>
      <c r="G7659" s="88">
        <f t="shared" si="1"/>
        <v>10.74</v>
      </c>
      <c r="H7659" s="89">
        <f t="shared" si="18"/>
        <v>0.4801072865</v>
      </c>
      <c r="I7659" s="78" t="s">
        <v>8705</v>
      </c>
      <c r="J7659" s="78" t="s">
        <v>69</v>
      </c>
      <c r="K7659" s="58">
        <f t="shared" si="17"/>
        <v>8</v>
      </c>
      <c r="L7659" s="91" t="str">
        <f t="shared" si="8"/>
        <v>Fri</v>
      </c>
      <c r="M7659" s="78" t="str">
        <f>IFERROR(VLOOKUP(A7659, Entries!A:B,2,false),"")</f>
        <v>Torn Banner Studios</v>
      </c>
      <c r="N7659" s="23" t="str">
        <f>IFERROR(VLOOKUP(A7659, Entries!A:K,11,false),"")</f>
        <v/>
      </c>
    </row>
    <row r="7660">
      <c r="A7660" s="78" t="s">
        <v>8011</v>
      </c>
      <c r="B7660" s="78" t="s">
        <v>22</v>
      </c>
      <c r="C7660" s="85">
        <v>45744.0</v>
      </c>
      <c r="D7660" s="85">
        <v>45745.0</v>
      </c>
      <c r="E7660" s="86">
        <v>12.37</v>
      </c>
      <c r="F7660" s="87">
        <v>14.97</v>
      </c>
      <c r="G7660" s="88">
        <f t="shared" si="1"/>
        <v>2.6</v>
      </c>
      <c r="H7660" s="89">
        <f t="shared" si="18"/>
        <v>0.1736806947</v>
      </c>
      <c r="I7660" s="78" t="s">
        <v>8706</v>
      </c>
      <c r="J7660" s="78" t="s">
        <v>69</v>
      </c>
      <c r="K7660" s="58">
        <f t="shared" si="17"/>
        <v>1</v>
      </c>
      <c r="L7660" s="91" t="str">
        <f t="shared" si="8"/>
        <v>Sat</v>
      </c>
      <c r="M7660" s="78" t="str">
        <f>IFERROR(VLOOKUP(A7660, Entries!A:B,2,false),"")</f>
        <v/>
      </c>
      <c r="N7660" s="23" t="str">
        <f>IFERROR(VLOOKUP(A7660, Entries!A:K,11,false),"")</f>
        <v/>
      </c>
    </row>
    <row r="7661">
      <c r="A7661" s="78" t="s">
        <v>8703</v>
      </c>
      <c r="B7661" s="78" t="s">
        <v>22</v>
      </c>
      <c r="C7661" s="85">
        <v>45744.0</v>
      </c>
      <c r="D7661" s="85">
        <v>45744.0</v>
      </c>
      <c r="E7661" s="86">
        <v>6.59</v>
      </c>
      <c r="F7661" s="87">
        <v>7.4</v>
      </c>
      <c r="G7661" s="88">
        <f t="shared" si="1"/>
        <v>0.81</v>
      </c>
      <c r="H7661" s="89">
        <f t="shared" si="18"/>
        <v>0.1094594595</v>
      </c>
      <c r="I7661" s="78" t="s">
        <v>8707</v>
      </c>
      <c r="J7661" s="78" t="s">
        <v>69</v>
      </c>
      <c r="K7661" s="58">
        <f t="shared" si="17"/>
        <v>0</v>
      </c>
      <c r="L7661" s="91" t="str">
        <f t="shared" si="8"/>
        <v>Fri</v>
      </c>
      <c r="M7661" s="78" t="str">
        <f>IFERROR(VLOOKUP(A7661, Entries!A:B,2,false),"")</f>
        <v/>
      </c>
      <c r="N7661" s="23" t="str">
        <f>IFERROR(VLOOKUP(A7661, Entries!A:K,11,false),"")</f>
        <v/>
      </c>
    </row>
    <row r="7662">
      <c r="A7662" s="78" t="s">
        <v>8703</v>
      </c>
      <c r="B7662" s="78" t="s">
        <v>22</v>
      </c>
      <c r="C7662" s="85">
        <v>45744.0</v>
      </c>
      <c r="D7662" s="85">
        <v>45747.0</v>
      </c>
      <c r="E7662" s="86">
        <v>6.59</v>
      </c>
      <c r="F7662" s="87">
        <v>7.62</v>
      </c>
      <c r="G7662" s="88">
        <f t="shared" si="1"/>
        <v>1.03</v>
      </c>
      <c r="H7662" s="89">
        <f t="shared" si="18"/>
        <v>0.1351706037</v>
      </c>
      <c r="I7662" s="78" t="s">
        <v>8708</v>
      </c>
      <c r="J7662" s="78" t="s">
        <v>69</v>
      </c>
      <c r="K7662" s="58">
        <f t="shared" si="17"/>
        <v>3</v>
      </c>
      <c r="L7662" s="91" t="str">
        <f t="shared" si="8"/>
        <v>Mon</v>
      </c>
      <c r="M7662" s="78" t="str">
        <f>IFERROR(VLOOKUP(A7662, Entries!A:B,2,false),"")</f>
        <v/>
      </c>
      <c r="N7662" s="23" t="str">
        <f>IFERROR(VLOOKUP(A7662, Entries!A:K,11,false),"")</f>
        <v/>
      </c>
    </row>
    <row r="7663">
      <c r="A7663" s="78" t="s">
        <v>8011</v>
      </c>
      <c r="B7663" s="78" t="s">
        <v>22</v>
      </c>
      <c r="C7663" s="85">
        <v>45745.0</v>
      </c>
      <c r="D7663" s="85">
        <v>45746.0</v>
      </c>
      <c r="E7663" s="86">
        <v>12.33</v>
      </c>
      <c r="F7663" s="87">
        <v>14.97</v>
      </c>
      <c r="G7663" s="88">
        <f t="shared" si="1"/>
        <v>2.64</v>
      </c>
      <c r="H7663" s="89">
        <f t="shared" si="18"/>
        <v>0.1763527054</v>
      </c>
      <c r="I7663" s="103" t="s">
        <v>8709</v>
      </c>
      <c r="J7663" s="78" t="s">
        <v>69</v>
      </c>
      <c r="K7663" s="58">
        <f t="shared" si="17"/>
        <v>1</v>
      </c>
      <c r="L7663" s="91" t="str">
        <f t="shared" si="8"/>
        <v>Sun</v>
      </c>
      <c r="M7663" s="78" t="str">
        <f>IFERROR(VLOOKUP(A7663, Entries!A:B,2,false),"")</f>
        <v/>
      </c>
      <c r="N7663" s="23" t="str">
        <f>IFERROR(VLOOKUP(A7663, Entries!A:K,11,false),"")</f>
        <v/>
      </c>
    </row>
    <row r="7664">
      <c r="A7664" s="78" t="s">
        <v>5676</v>
      </c>
      <c r="B7664" s="78" t="s">
        <v>21</v>
      </c>
      <c r="C7664" s="85">
        <v>45746.0</v>
      </c>
      <c r="D7664" s="85">
        <v>45774.0</v>
      </c>
      <c r="E7664" s="86">
        <v>34.91</v>
      </c>
      <c r="F7664" s="87">
        <v>36.38</v>
      </c>
      <c r="G7664" s="88">
        <f t="shared" si="1"/>
        <v>1.47</v>
      </c>
      <c r="H7664" s="89">
        <f t="shared" si="18"/>
        <v>0.04040681693</v>
      </c>
      <c r="I7664" s="78" t="s">
        <v>8710</v>
      </c>
      <c r="J7664" s="78" t="s">
        <v>69</v>
      </c>
      <c r="K7664" s="58">
        <f t="shared" si="17"/>
        <v>28</v>
      </c>
      <c r="L7664" s="91" t="str">
        <f t="shared" si="8"/>
        <v>Sun</v>
      </c>
      <c r="M7664" s="78" t="str">
        <f>IFERROR(VLOOKUP(A7664, Entries!A:B,2,false),"")</f>
        <v>Bethesda Softworks</v>
      </c>
      <c r="N7664" s="23" t="str">
        <f>IFERROR(VLOOKUP(A7664, Entries!A:K,11,false),"")</f>
        <v/>
      </c>
    </row>
    <row r="7665">
      <c r="A7665" s="78" t="s">
        <v>8011</v>
      </c>
      <c r="B7665" s="78" t="s">
        <v>22</v>
      </c>
      <c r="C7665" s="85">
        <v>45746.0</v>
      </c>
      <c r="D7665" s="85">
        <v>45747.0</v>
      </c>
      <c r="E7665" s="86">
        <v>12.33</v>
      </c>
      <c r="F7665" s="87">
        <v>14.97</v>
      </c>
      <c r="G7665" s="88">
        <f t="shared" si="1"/>
        <v>2.64</v>
      </c>
      <c r="H7665" s="89">
        <f t="shared" si="18"/>
        <v>0.1763527054</v>
      </c>
      <c r="I7665" s="78" t="s">
        <v>8711</v>
      </c>
      <c r="J7665" s="78" t="s">
        <v>69</v>
      </c>
      <c r="K7665" s="58">
        <f t="shared" si="17"/>
        <v>1</v>
      </c>
      <c r="L7665" s="91" t="str">
        <f t="shared" si="8"/>
        <v>Mon</v>
      </c>
      <c r="M7665" s="78" t="str">
        <f>IFERROR(VLOOKUP(A7665, Entries!A:B,2,false),"")</f>
        <v/>
      </c>
      <c r="N7665" s="23" t="str">
        <f>IFERROR(VLOOKUP(A7665, Entries!A:K,11,false),"")</f>
        <v/>
      </c>
    </row>
    <row r="7666">
      <c r="A7666" s="78" t="s">
        <v>8011</v>
      </c>
      <c r="B7666" s="78" t="s">
        <v>22</v>
      </c>
      <c r="C7666" s="85">
        <v>45748.0</v>
      </c>
      <c r="D7666" s="85">
        <v>45749.0</v>
      </c>
      <c r="E7666" s="86">
        <v>12.31</v>
      </c>
      <c r="F7666" s="87">
        <v>14.97</v>
      </c>
      <c r="G7666" s="88">
        <f t="shared" si="1"/>
        <v>2.66</v>
      </c>
      <c r="H7666" s="89">
        <f t="shared" si="18"/>
        <v>0.1776887108</v>
      </c>
      <c r="I7666" s="78" t="s">
        <v>8712</v>
      </c>
      <c r="J7666" s="78" t="s">
        <v>69</v>
      </c>
      <c r="K7666" s="58">
        <f t="shared" si="17"/>
        <v>1</v>
      </c>
      <c r="L7666" s="91" t="str">
        <f t="shared" si="8"/>
        <v>Wed</v>
      </c>
      <c r="M7666" s="78" t="str">
        <f>IFERROR(VLOOKUP(A7666, Entries!A:B,2,false),"")</f>
        <v/>
      </c>
      <c r="N7666" s="23" t="str">
        <f>IFERROR(VLOOKUP(A7666, Entries!A:K,11,false),"")</f>
        <v/>
      </c>
    </row>
    <row r="7667">
      <c r="A7667" s="78" t="s">
        <v>7814</v>
      </c>
      <c r="B7667" s="78" t="s">
        <v>21</v>
      </c>
      <c r="C7667" s="85">
        <v>45751.0</v>
      </c>
      <c r="D7667" s="85">
        <v>45752.0</v>
      </c>
      <c r="E7667" s="86">
        <v>24.29</v>
      </c>
      <c r="F7667" s="87">
        <v>31.37</v>
      </c>
      <c r="G7667" s="88">
        <f t="shared" si="1"/>
        <v>7.08</v>
      </c>
      <c r="H7667" s="89">
        <f t="shared" si="18"/>
        <v>0.2256933376</v>
      </c>
      <c r="I7667" s="78" t="s">
        <v>8713</v>
      </c>
      <c r="J7667" s="78" t="s">
        <v>69</v>
      </c>
      <c r="K7667" s="58">
        <f t="shared" si="17"/>
        <v>1</v>
      </c>
      <c r="L7667" s="91" t="str">
        <f t="shared" si="8"/>
        <v>Sat</v>
      </c>
      <c r="M7667" s="78" t="str">
        <f>IFERROR(VLOOKUP(A7667, Entries!A:B,2,false),"")</f>
        <v>Electronic Arts</v>
      </c>
      <c r="N7667" s="23" t="str">
        <f>IFERROR(VLOOKUP(A7667, Entries!A:K,11,false),"")</f>
        <v/>
      </c>
    </row>
    <row r="7668">
      <c r="A7668" s="78" t="s">
        <v>7814</v>
      </c>
      <c r="B7668" s="78" t="s">
        <v>21</v>
      </c>
      <c r="C7668" s="85">
        <v>45751.0</v>
      </c>
      <c r="D7668" s="85">
        <v>45752.0</v>
      </c>
      <c r="E7668" s="86">
        <v>24.29</v>
      </c>
      <c r="F7668" s="87">
        <v>31.37</v>
      </c>
      <c r="G7668" s="88">
        <f t="shared" si="1"/>
        <v>7.08</v>
      </c>
      <c r="H7668" s="89">
        <f t="shared" si="18"/>
        <v>0.2256933376</v>
      </c>
      <c r="I7668" s="78" t="s">
        <v>8714</v>
      </c>
      <c r="J7668" s="78" t="s">
        <v>69</v>
      </c>
      <c r="K7668" s="58">
        <f t="shared" si="17"/>
        <v>1</v>
      </c>
      <c r="L7668" s="91" t="str">
        <f t="shared" si="8"/>
        <v>Sat</v>
      </c>
      <c r="M7668" s="78" t="str">
        <f>IFERROR(VLOOKUP(A7668, Entries!A:B,2,false),"")</f>
        <v>Electronic Arts</v>
      </c>
      <c r="N7668" s="23" t="str">
        <f>IFERROR(VLOOKUP(A7668, Entries!A:K,11,false),"")</f>
        <v/>
      </c>
    </row>
    <row r="7669">
      <c r="A7669" s="78" t="s">
        <v>8607</v>
      </c>
      <c r="B7669" s="78" t="s">
        <v>21</v>
      </c>
      <c r="C7669" s="85">
        <v>45751.0</v>
      </c>
      <c r="D7669" s="85">
        <v>45754.0</v>
      </c>
      <c r="E7669" s="86">
        <v>25.98</v>
      </c>
      <c r="F7669" s="87">
        <v>28.1</v>
      </c>
      <c r="G7669" s="88">
        <f t="shared" si="1"/>
        <v>2.12</v>
      </c>
      <c r="H7669" s="89">
        <f t="shared" si="18"/>
        <v>0.07544483986</v>
      </c>
      <c r="I7669" s="78" t="s">
        <v>8715</v>
      </c>
      <c r="J7669" s="78" t="s">
        <v>69</v>
      </c>
      <c r="K7669" s="58">
        <f t="shared" si="17"/>
        <v>3</v>
      </c>
      <c r="L7669" s="91" t="str">
        <f t="shared" si="8"/>
        <v>Mon</v>
      </c>
      <c r="M7669" s="78" t="str">
        <f>IFERROR(VLOOKUP(A7669, Entries!A:B,2,false),"")</f>
        <v/>
      </c>
      <c r="N7669" s="23" t="str">
        <f>IFERROR(VLOOKUP(A7669, Entries!A:K,11,false),"")</f>
        <v/>
      </c>
    </row>
    <row r="7670">
      <c r="A7670" s="78" t="s">
        <v>7814</v>
      </c>
      <c r="B7670" s="78" t="s">
        <v>21</v>
      </c>
      <c r="C7670" s="85">
        <v>45753.0</v>
      </c>
      <c r="D7670" s="85">
        <v>45754.0</v>
      </c>
      <c r="E7670" s="86">
        <v>25.08</v>
      </c>
      <c r="F7670" s="87">
        <v>31.37</v>
      </c>
      <c r="G7670" s="88">
        <f t="shared" si="1"/>
        <v>6.29</v>
      </c>
      <c r="H7670" s="89">
        <f t="shared" si="18"/>
        <v>0.2005100414</v>
      </c>
      <c r="I7670" s="78" t="s">
        <v>8716</v>
      </c>
      <c r="J7670" s="78" t="s">
        <v>69</v>
      </c>
      <c r="K7670" s="58">
        <f t="shared" si="17"/>
        <v>1</v>
      </c>
      <c r="L7670" s="91" t="str">
        <f t="shared" si="8"/>
        <v>Mon</v>
      </c>
      <c r="M7670" s="78" t="str">
        <f>IFERROR(VLOOKUP(A7670, Entries!A:B,2,false),"")</f>
        <v>Electronic Arts</v>
      </c>
      <c r="N7670" s="23" t="str">
        <f>IFERROR(VLOOKUP(A7670, Entries!A:K,11,false),"")</f>
        <v/>
      </c>
    </row>
    <row r="7671">
      <c r="A7671" s="78" t="s">
        <v>7814</v>
      </c>
      <c r="B7671" s="78" t="s">
        <v>21</v>
      </c>
      <c r="C7671" s="85">
        <v>45754.0</v>
      </c>
      <c r="D7671" s="85">
        <v>45754.0</v>
      </c>
      <c r="E7671" s="86">
        <v>25.08</v>
      </c>
      <c r="F7671" s="87">
        <v>31.37</v>
      </c>
      <c r="G7671" s="88">
        <f t="shared" si="1"/>
        <v>6.29</v>
      </c>
      <c r="H7671" s="89">
        <f t="shared" si="18"/>
        <v>0.2005100414</v>
      </c>
      <c r="I7671" s="78" t="s">
        <v>8717</v>
      </c>
      <c r="J7671" s="78" t="s">
        <v>69</v>
      </c>
      <c r="K7671" s="58">
        <f t="shared" si="17"/>
        <v>0</v>
      </c>
      <c r="L7671" s="91" t="str">
        <f t="shared" si="8"/>
        <v>Mon</v>
      </c>
      <c r="M7671" s="78" t="str">
        <f>IFERROR(VLOOKUP(A7671, Entries!A:B,2,false),"")</f>
        <v>Electronic Arts</v>
      </c>
      <c r="N7671" s="23" t="str">
        <f>IFERROR(VLOOKUP(A7671, Entries!A:K,11,false),"")</f>
        <v/>
      </c>
    </row>
    <row r="7672">
      <c r="A7672" s="78" t="s">
        <v>7814</v>
      </c>
      <c r="B7672" s="78" t="s">
        <v>21</v>
      </c>
      <c r="C7672" s="85">
        <v>45754.0</v>
      </c>
      <c r="D7672" s="85">
        <v>45759.0</v>
      </c>
      <c r="E7672" s="86">
        <v>25.08</v>
      </c>
      <c r="F7672" s="87">
        <v>31.37</v>
      </c>
      <c r="G7672" s="88">
        <f t="shared" si="1"/>
        <v>6.29</v>
      </c>
      <c r="H7672" s="89">
        <f t="shared" si="18"/>
        <v>0.2005100414</v>
      </c>
      <c r="J7672" s="78" t="s">
        <v>69</v>
      </c>
      <c r="K7672" s="58">
        <f t="shared" si="17"/>
        <v>5</v>
      </c>
      <c r="L7672" s="91" t="str">
        <f t="shared" si="8"/>
        <v>Sat</v>
      </c>
      <c r="M7672" s="78" t="str">
        <f>IFERROR(VLOOKUP(A7672, Entries!A:B,2,false),"")</f>
        <v>Electronic Arts</v>
      </c>
      <c r="N7672" s="23" t="str">
        <f>IFERROR(VLOOKUP(A7672, Entries!A:K,11,false),"")</f>
        <v/>
      </c>
    </row>
    <row r="7673">
      <c r="A7673" s="78" t="s">
        <v>8718</v>
      </c>
      <c r="B7673" s="78" t="s">
        <v>29</v>
      </c>
      <c r="C7673" s="85">
        <v>45756.0</v>
      </c>
      <c r="D7673" s="85">
        <v>45782.0</v>
      </c>
      <c r="E7673" s="86">
        <v>27.15</v>
      </c>
      <c r="F7673" s="87">
        <v>35.35</v>
      </c>
      <c r="G7673" s="88">
        <f t="shared" si="1"/>
        <v>8.2</v>
      </c>
      <c r="H7673" s="89">
        <f t="shared" si="18"/>
        <v>0.2319660537</v>
      </c>
      <c r="I7673" s="78" t="s">
        <v>8719</v>
      </c>
      <c r="J7673" s="78" t="s">
        <v>69</v>
      </c>
      <c r="K7673" s="58">
        <f t="shared" si="17"/>
        <v>26</v>
      </c>
      <c r="L7673" s="91" t="str">
        <f t="shared" si="8"/>
        <v>Mon</v>
      </c>
      <c r="M7673" s="78" t="str">
        <f>IFERROR(VLOOKUP(A7673, Entries!A:B,2,false),"")</f>
        <v/>
      </c>
      <c r="N7673" s="23" t="str">
        <f>IFERROR(VLOOKUP(A7673, Entries!A:K,11,false),"")</f>
        <v/>
      </c>
    </row>
    <row r="7674">
      <c r="A7674" s="78" t="s">
        <v>8718</v>
      </c>
      <c r="B7674" s="78" t="s">
        <v>29</v>
      </c>
      <c r="C7674" s="85">
        <v>45756.0</v>
      </c>
      <c r="D7674" s="85">
        <v>45786.0</v>
      </c>
      <c r="E7674" s="86">
        <v>27.15</v>
      </c>
      <c r="F7674" s="87">
        <v>33.08</v>
      </c>
      <c r="G7674" s="88">
        <f t="shared" si="1"/>
        <v>5.93</v>
      </c>
      <c r="H7674" s="89">
        <f t="shared" si="18"/>
        <v>0.1792623942</v>
      </c>
      <c r="I7674" s="78" t="s">
        <v>8720</v>
      </c>
      <c r="J7674" s="78" t="s">
        <v>69</v>
      </c>
      <c r="K7674" s="58">
        <f t="shared" si="17"/>
        <v>30</v>
      </c>
      <c r="L7674" s="91" t="str">
        <f t="shared" si="8"/>
        <v>Fri</v>
      </c>
      <c r="M7674" s="78" t="str">
        <f>IFERROR(VLOOKUP(A7674, Entries!A:B,2,false),"")</f>
        <v/>
      </c>
      <c r="N7674" s="23" t="str">
        <f>IFERROR(VLOOKUP(A7674, Entries!A:K,11,false),"")</f>
        <v/>
      </c>
    </row>
    <row r="7675">
      <c r="A7675" s="78" t="s">
        <v>8718</v>
      </c>
      <c r="B7675" s="78" t="s">
        <v>29</v>
      </c>
      <c r="C7675" s="85">
        <v>45756.0</v>
      </c>
      <c r="D7675" s="85">
        <v>45788.0</v>
      </c>
      <c r="E7675" s="86">
        <v>27.15</v>
      </c>
      <c r="F7675" s="87">
        <v>33.06</v>
      </c>
      <c r="G7675" s="88">
        <f t="shared" si="1"/>
        <v>5.91</v>
      </c>
      <c r="H7675" s="89">
        <f t="shared" si="18"/>
        <v>0.1787658802</v>
      </c>
      <c r="I7675" s="78" t="s">
        <v>8721</v>
      </c>
      <c r="J7675" s="78" t="s">
        <v>69</v>
      </c>
      <c r="K7675" s="58">
        <f t="shared" si="17"/>
        <v>32</v>
      </c>
      <c r="L7675" s="91" t="str">
        <f t="shared" si="8"/>
        <v>Sun</v>
      </c>
      <c r="M7675" s="78" t="str">
        <f>IFERROR(VLOOKUP(A7675, Entries!A:B,2,false),"")</f>
        <v/>
      </c>
      <c r="N7675" s="23" t="str">
        <f>IFERROR(VLOOKUP(A7675, Entries!A:K,11,false),"")</f>
        <v/>
      </c>
    </row>
    <row r="7676">
      <c r="A7676" s="78" t="s">
        <v>8718</v>
      </c>
      <c r="B7676" s="78" t="s">
        <v>29</v>
      </c>
      <c r="C7676" s="85">
        <v>45756.0</v>
      </c>
      <c r="D7676" s="85">
        <v>45793.0</v>
      </c>
      <c r="E7676" s="86">
        <v>27.15</v>
      </c>
      <c r="F7676" s="87">
        <v>33.0</v>
      </c>
      <c r="G7676" s="88">
        <f t="shared" si="1"/>
        <v>5.85</v>
      </c>
      <c r="H7676" s="89">
        <f t="shared" si="18"/>
        <v>0.1772727273</v>
      </c>
      <c r="I7676" s="78" t="s">
        <v>8722</v>
      </c>
      <c r="J7676" s="78" t="s">
        <v>69</v>
      </c>
      <c r="K7676" s="58">
        <f t="shared" si="17"/>
        <v>37</v>
      </c>
      <c r="L7676" s="91" t="str">
        <f t="shared" si="8"/>
        <v>Fri</v>
      </c>
      <c r="M7676" s="78" t="str">
        <f>IFERROR(VLOOKUP(A7676, Entries!A:B,2,false),"")</f>
        <v/>
      </c>
      <c r="N7676" s="23" t="str">
        <f>IFERROR(VLOOKUP(A7676, Entries!A:K,11,false),"")</f>
        <v/>
      </c>
    </row>
    <row r="7677">
      <c r="A7677" s="78" t="s">
        <v>8718</v>
      </c>
      <c r="B7677" s="78" t="s">
        <v>29</v>
      </c>
      <c r="C7677" s="85">
        <v>45756.0</v>
      </c>
      <c r="D7677" s="85">
        <v>45798.0</v>
      </c>
      <c r="E7677" s="86">
        <v>27.15</v>
      </c>
      <c r="F7677" s="87">
        <v>33.19</v>
      </c>
      <c r="G7677" s="88">
        <f t="shared" si="1"/>
        <v>6.04</v>
      </c>
      <c r="H7677" s="89">
        <f t="shared" si="18"/>
        <v>0.1819825249</v>
      </c>
      <c r="I7677" s="78" t="s">
        <v>8723</v>
      </c>
      <c r="J7677" s="78" t="s">
        <v>69</v>
      </c>
      <c r="K7677" s="58">
        <f t="shared" si="17"/>
        <v>42</v>
      </c>
      <c r="L7677" s="91" t="str">
        <f t="shared" si="8"/>
        <v>Wed</v>
      </c>
      <c r="M7677" s="78" t="str">
        <f>IFERROR(VLOOKUP(A7677, Entries!A:B,2,false),"")</f>
        <v/>
      </c>
      <c r="N7677" s="23" t="str">
        <f>IFERROR(VLOOKUP(A7677, Entries!A:K,11,false),"")</f>
        <v/>
      </c>
    </row>
    <row r="7678">
      <c r="A7678" s="78" t="s">
        <v>8718</v>
      </c>
      <c r="B7678" s="78" t="s">
        <v>29</v>
      </c>
      <c r="C7678" s="85">
        <v>45756.0</v>
      </c>
      <c r="D7678" s="85">
        <v>45801.0</v>
      </c>
      <c r="E7678" s="86">
        <v>25.75</v>
      </c>
      <c r="F7678" s="87">
        <v>32.25</v>
      </c>
      <c r="G7678" s="88">
        <f t="shared" si="1"/>
        <v>6.5</v>
      </c>
      <c r="H7678" s="89">
        <f t="shared" si="18"/>
        <v>0.2015503876</v>
      </c>
      <c r="I7678" s="78" t="s">
        <v>8724</v>
      </c>
      <c r="J7678" s="78" t="s">
        <v>69</v>
      </c>
      <c r="K7678" s="58">
        <f t="shared" si="17"/>
        <v>45</v>
      </c>
      <c r="L7678" s="91" t="str">
        <f t="shared" si="8"/>
        <v>Sat</v>
      </c>
      <c r="M7678" s="78" t="str">
        <f>IFERROR(VLOOKUP(A7678, Entries!A:B,2,false),"")</f>
        <v/>
      </c>
    </row>
    <row r="7679">
      <c r="A7679" s="78" t="s">
        <v>8718</v>
      </c>
      <c r="B7679" s="78" t="s">
        <v>29</v>
      </c>
      <c r="C7679" s="85">
        <v>45756.0</v>
      </c>
      <c r="D7679" s="85">
        <v>45802.0</v>
      </c>
      <c r="E7679" s="86">
        <v>25.75</v>
      </c>
      <c r="F7679" s="87">
        <v>32.25</v>
      </c>
      <c r="G7679" s="88">
        <f t="shared" si="1"/>
        <v>6.5</v>
      </c>
      <c r="H7679" s="89">
        <f t="shared" si="18"/>
        <v>0.2015503876</v>
      </c>
      <c r="I7679" s="78" t="s">
        <v>8725</v>
      </c>
      <c r="J7679" s="78" t="s">
        <v>69</v>
      </c>
      <c r="K7679" s="58">
        <f t="shared" si="17"/>
        <v>46</v>
      </c>
      <c r="L7679" s="91" t="str">
        <f t="shared" si="8"/>
        <v>Sun</v>
      </c>
      <c r="M7679" s="78" t="str">
        <f>IFERROR(VLOOKUP(A7679, Entries!A:B,2,false),"")</f>
        <v/>
      </c>
    </row>
    <row r="7680">
      <c r="A7680" s="78" t="s">
        <v>8718</v>
      </c>
      <c r="B7680" s="78" t="s">
        <v>29</v>
      </c>
      <c r="C7680" s="85">
        <v>45756.0</v>
      </c>
      <c r="D7680" s="85">
        <v>45813.0</v>
      </c>
      <c r="E7680" s="86">
        <v>25.75</v>
      </c>
      <c r="F7680" s="87">
        <v>28.04</v>
      </c>
      <c r="G7680" s="88">
        <f t="shared" si="1"/>
        <v>2.29</v>
      </c>
      <c r="H7680" s="89">
        <f t="shared" si="18"/>
        <v>0.08166904422</v>
      </c>
      <c r="I7680" s="78" t="s">
        <v>8726</v>
      </c>
      <c r="J7680" s="78" t="s">
        <v>69</v>
      </c>
      <c r="K7680" s="58">
        <f t="shared" si="17"/>
        <v>57</v>
      </c>
      <c r="L7680" s="91" t="str">
        <f t="shared" si="8"/>
        <v>Thu</v>
      </c>
      <c r="M7680" s="78" t="str">
        <f>IFERROR(VLOOKUP(A7680, Entries!A:B,2,false),"")</f>
        <v/>
      </c>
      <c r="N7680" s="23" t="str">
        <f>IFERROR(VLOOKUP(A7680, Entries!A:K,11,false),"")</f>
        <v/>
      </c>
    </row>
    <row r="7681">
      <c r="A7681" s="78" t="s">
        <v>8718</v>
      </c>
      <c r="B7681" s="78" t="s">
        <v>29</v>
      </c>
      <c r="C7681" s="85">
        <v>45756.0</v>
      </c>
      <c r="D7681" s="85">
        <v>45817.0</v>
      </c>
      <c r="E7681" s="86">
        <v>25.75</v>
      </c>
      <c r="F7681" s="87">
        <v>28.04</v>
      </c>
      <c r="G7681" s="88">
        <f t="shared" si="1"/>
        <v>2.29</v>
      </c>
      <c r="H7681" s="89">
        <f t="shared" si="18"/>
        <v>0.08166904422</v>
      </c>
      <c r="I7681" s="78" t="s">
        <v>8727</v>
      </c>
      <c r="J7681" s="78" t="s">
        <v>69</v>
      </c>
      <c r="K7681" s="58">
        <f t="shared" si="17"/>
        <v>61</v>
      </c>
      <c r="L7681" s="91" t="str">
        <f t="shared" si="8"/>
        <v>Mon</v>
      </c>
      <c r="M7681" s="78" t="str">
        <f>IFERROR(VLOOKUP(A7681, Entries!A:B,2,false),"")</f>
        <v/>
      </c>
      <c r="N7681" s="23" t="str">
        <f>IFERROR(VLOOKUP(A7681, Entries!A:K,11,false),"")</f>
        <v/>
      </c>
    </row>
    <row r="7682">
      <c r="A7682" s="78" t="s">
        <v>8718</v>
      </c>
      <c r="B7682" s="78" t="s">
        <v>29</v>
      </c>
      <c r="C7682" s="85">
        <v>45756.0</v>
      </c>
      <c r="D7682" s="85">
        <v>45827.0</v>
      </c>
      <c r="E7682" s="86">
        <v>25.75</v>
      </c>
      <c r="F7682" s="87">
        <v>28.04</v>
      </c>
      <c r="G7682" s="88">
        <f t="shared" si="1"/>
        <v>2.29</v>
      </c>
      <c r="H7682" s="89">
        <f t="shared" si="18"/>
        <v>0.08166904422</v>
      </c>
      <c r="I7682" s="78" t="s">
        <v>8728</v>
      </c>
      <c r="J7682" s="78" t="s">
        <v>69</v>
      </c>
      <c r="K7682" s="58">
        <f t="shared" si="17"/>
        <v>71</v>
      </c>
      <c r="L7682" s="91" t="str">
        <f t="shared" si="8"/>
        <v>Thu</v>
      </c>
      <c r="M7682" s="78" t="str">
        <f>IFERROR(VLOOKUP(A7682, Entries!A:B,2,false),"")</f>
        <v/>
      </c>
      <c r="N7682" s="23" t="str">
        <f>IFERROR(VLOOKUP(A7682, Entries!A:K,11,false),"")</f>
        <v/>
      </c>
    </row>
    <row r="7683">
      <c r="A7683" s="78" t="s">
        <v>8718</v>
      </c>
      <c r="B7683" s="78" t="s">
        <v>29</v>
      </c>
      <c r="C7683" s="85">
        <v>45756.0</v>
      </c>
      <c r="D7683" s="85">
        <v>45991.0</v>
      </c>
      <c r="E7683" s="86">
        <v>25.75</v>
      </c>
      <c r="F7683" s="87">
        <v>24.3</v>
      </c>
      <c r="G7683" s="88">
        <f t="shared" si="1"/>
        <v>-1.45</v>
      </c>
      <c r="H7683" s="89">
        <f t="shared" si="18"/>
        <v>-0.05967078189</v>
      </c>
      <c r="I7683" s="78" t="s">
        <v>8729</v>
      </c>
      <c r="J7683" s="78" t="s">
        <v>69</v>
      </c>
      <c r="K7683" s="58">
        <f t="shared" si="17"/>
        <v>235</v>
      </c>
      <c r="L7683" s="91" t="str">
        <f t="shared" si="8"/>
        <v>Sun</v>
      </c>
      <c r="M7683" s="78" t="str">
        <f>IFERROR(VLOOKUP(A7683, Entries!A:B,2,false),"")</f>
        <v/>
      </c>
      <c r="N7683" s="23" t="str">
        <f>IFERROR(VLOOKUP(A7683, Entries!A:K,11,false),"")</f>
        <v/>
      </c>
    </row>
    <row r="7684">
      <c r="A7684" s="78" t="s">
        <v>8718</v>
      </c>
      <c r="B7684" s="78" t="s">
        <v>29</v>
      </c>
      <c r="C7684" s="85">
        <v>45756.0</v>
      </c>
      <c r="D7684" s="85">
        <v>45994.0</v>
      </c>
      <c r="E7684" s="86">
        <v>25.75</v>
      </c>
      <c r="F7684" s="87">
        <v>26.81</v>
      </c>
      <c r="G7684" s="88">
        <f t="shared" si="1"/>
        <v>1.06</v>
      </c>
      <c r="H7684" s="89">
        <f t="shared" si="18"/>
        <v>0.03953748601</v>
      </c>
      <c r="I7684" s="78" t="s">
        <v>8730</v>
      </c>
      <c r="J7684" s="78" t="s">
        <v>69</v>
      </c>
      <c r="K7684" s="58">
        <f t="shared" si="17"/>
        <v>238</v>
      </c>
      <c r="L7684" s="91" t="str">
        <f t="shared" si="8"/>
        <v>Wed</v>
      </c>
      <c r="M7684" s="78" t="str">
        <f>IFERROR(VLOOKUP(A7684, Entries!A:B,2,false),"")</f>
        <v/>
      </c>
      <c r="N7684" s="23" t="str">
        <f>IFERROR(VLOOKUP(A7684, Entries!A:K,11,false),"")</f>
        <v/>
      </c>
    </row>
    <row r="7685">
      <c r="A7685" s="78" t="s">
        <v>8718</v>
      </c>
      <c r="B7685" s="78" t="s">
        <v>29</v>
      </c>
      <c r="C7685" s="85">
        <v>45756.0</v>
      </c>
      <c r="D7685" s="85">
        <v>45994.0</v>
      </c>
      <c r="E7685" s="86">
        <v>25.75</v>
      </c>
      <c r="F7685" s="87">
        <v>26.81</v>
      </c>
      <c r="G7685" s="88">
        <f t="shared" si="1"/>
        <v>1.06</v>
      </c>
      <c r="H7685" s="89">
        <f t="shared" si="18"/>
        <v>0.03953748601</v>
      </c>
      <c r="I7685" s="78" t="s">
        <v>8731</v>
      </c>
      <c r="J7685" s="78" t="s">
        <v>69</v>
      </c>
      <c r="K7685" s="58">
        <f t="shared" si="17"/>
        <v>238</v>
      </c>
      <c r="L7685" s="91" t="str">
        <f t="shared" si="8"/>
        <v>Wed</v>
      </c>
      <c r="M7685" s="78" t="str">
        <f>IFERROR(VLOOKUP(A7685, Entries!A:B,2,false),"")</f>
        <v/>
      </c>
      <c r="N7685" s="23" t="str">
        <f>IFERROR(VLOOKUP(A7685, Entries!A:K,11,false),"")</f>
        <v/>
      </c>
    </row>
    <row r="7686">
      <c r="A7686" s="78" t="s">
        <v>8718</v>
      </c>
      <c r="B7686" s="78" t="s">
        <v>29</v>
      </c>
      <c r="C7686" s="85">
        <v>45756.0</v>
      </c>
      <c r="D7686" s="85">
        <v>46009.0</v>
      </c>
      <c r="E7686" s="86">
        <v>25.75</v>
      </c>
      <c r="F7686" s="87">
        <v>25.68</v>
      </c>
      <c r="G7686" s="88">
        <f t="shared" si="1"/>
        <v>-0.07</v>
      </c>
      <c r="H7686" s="89">
        <f t="shared" si="18"/>
        <v>-0.002725856698</v>
      </c>
      <c r="I7686" s="78" t="s">
        <v>8732</v>
      </c>
      <c r="J7686" s="78" t="s">
        <v>69</v>
      </c>
      <c r="K7686" s="58">
        <f t="shared" si="17"/>
        <v>253</v>
      </c>
      <c r="L7686" s="91" t="str">
        <f t="shared" si="8"/>
        <v>Thu</v>
      </c>
      <c r="M7686" s="78" t="str">
        <f>IFERROR(VLOOKUP(A7686, Entries!A:B,2,false),"")</f>
        <v/>
      </c>
      <c r="N7686" s="23" t="str">
        <f>IFERROR(VLOOKUP(A7686, Entries!A:K,11,false),"")</f>
        <v/>
      </c>
    </row>
    <row r="7687">
      <c r="A7687" s="78" t="s">
        <v>8718</v>
      </c>
      <c r="B7687" s="78" t="s">
        <v>29</v>
      </c>
      <c r="C7687" s="85">
        <v>45756.0</v>
      </c>
      <c r="D7687" s="85">
        <v>46015.0</v>
      </c>
      <c r="E7687" s="86">
        <v>25.75</v>
      </c>
      <c r="F7687" s="87">
        <v>24.49</v>
      </c>
      <c r="G7687" s="88">
        <f t="shared" si="1"/>
        <v>-1.26</v>
      </c>
      <c r="H7687" s="89">
        <f t="shared" si="18"/>
        <v>-0.05144957125</v>
      </c>
      <c r="I7687" s="78" t="s">
        <v>8733</v>
      </c>
      <c r="J7687" s="78" t="s">
        <v>69</v>
      </c>
      <c r="K7687" s="58">
        <f t="shared" si="17"/>
        <v>259</v>
      </c>
      <c r="L7687" s="91" t="str">
        <f t="shared" si="8"/>
        <v>Wed</v>
      </c>
      <c r="M7687" s="78" t="str">
        <f>IFERROR(VLOOKUP(A7687, Entries!A:B,2,false),"")</f>
        <v/>
      </c>
      <c r="N7687" s="23" t="str">
        <f>IFERROR(VLOOKUP(A7687, Entries!A:K,11,false),"")</f>
        <v/>
      </c>
    </row>
    <row r="7688">
      <c r="A7688" s="78" t="s">
        <v>8734</v>
      </c>
      <c r="B7688" s="78" t="s">
        <v>21</v>
      </c>
      <c r="C7688" s="85">
        <v>45756.0</v>
      </c>
      <c r="D7688" s="85">
        <v>45772.0</v>
      </c>
      <c r="E7688" s="86">
        <v>35.71</v>
      </c>
      <c r="F7688" s="87">
        <v>41.96</v>
      </c>
      <c r="G7688" s="88">
        <f t="shared" si="1"/>
        <v>6.25</v>
      </c>
      <c r="H7688" s="89">
        <f t="shared" si="18"/>
        <v>0.1489513823</v>
      </c>
      <c r="I7688" s="78" t="s">
        <v>8735</v>
      </c>
      <c r="J7688" s="78" t="s">
        <v>69</v>
      </c>
      <c r="K7688" s="58">
        <f t="shared" si="17"/>
        <v>16</v>
      </c>
      <c r="L7688" s="91" t="str">
        <f t="shared" si="8"/>
        <v>Fri</v>
      </c>
      <c r="M7688" s="78" t="str">
        <f>IFERROR(VLOOKUP(A7688, Entries!A:B,2,false),"")</f>
        <v/>
      </c>
      <c r="N7688" s="23" t="str">
        <f>IFERROR(VLOOKUP(A7688, Entries!A:K,11,false),"")</f>
        <v/>
      </c>
    </row>
    <row r="7689">
      <c r="A7689" s="78" t="s">
        <v>8691</v>
      </c>
      <c r="B7689" s="78" t="s">
        <v>22</v>
      </c>
      <c r="C7689" s="85">
        <v>45758.0</v>
      </c>
      <c r="D7689" s="85">
        <v>45759.0</v>
      </c>
      <c r="E7689" s="86">
        <v>9.2</v>
      </c>
      <c r="F7689" s="87">
        <v>10.2</v>
      </c>
      <c r="G7689" s="88">
        <f t="shared" si="1"/>
        <v>1</v>
      </c>
      <c r="H7689" s="89">
        <f t="shared" si="18"/>
        <v>0.09803921569</v>
      </c>
      <c r="I7689" s="78" t="s">
        <v>8736</v>
      </c>
      <c r="J7689" s="78" t="s">
        <v>69</v>
      </c>
      <c r="K7689" s="58">
        <f t="shared" si="17"/>
        <v>1</v>
      </c>
      <c r="L7689" s="91" t="str">
        <f t="shared" si="8"/>
        <v>Sat</v>
      </c>
      <c r="M7689" s="78" t="str">
        <f>IFERROR(VLOOKUP(A7689, Entries!A:B,2,false),"")</f>
        <v/>
      </c>
      <c r="N7689" s="23" t="str">
        <f>IFERROR(VLOOKUP(A7689, Entries!A:K,11,false),"")</f>
        <v/>
      </c>
    </row>
    <row r="7690">
      <c r="A7690" s="78" t="s">
        <v>7968</v>
      </c>
      <c r="B7690" s="78" t="s">
        <v>25</v>
      </c>
      <c r="C7690" s="85">
        <v>45758.0</v>
      </c>
      <c r="D7690" s="85">
        <v>45759.0</v>
      </c>
      <c r="E7690" s="86">
        <v>32.14</v>
      </c>
      <c r="F7690" s="87">
        <v>36.34</v>
      </c>
      <c r="G7690" s="88">
        <f t="shared" si="1"/>
        <v>4.2</v>
      </c>
      <c r="H7690" s="89">
        <f t="shared" si="18"/>
        <v>0.1155751238</v>
      </c>
      <c r="I7690" s="78" t="s">
        <v>8737</v>
      </c>
      <c r="J7690" s="78" t="s">
        <v>69</v>
      </c>
      <c r="K7690" s="58">
        <f t="shared" si="17"/>
        <v>1</v>
      </c>
      <c r="L7690" s="91" t="str">
        <f t="shared" si="8"/>
        <v>Sat</v>
      </c>
      <c r="M7690" s="78" t="str">
        <f>IFERROR(VLOOKUP(A7690, Entries!A:B,2,false),"")</f>
        <v>Coffee Stain</v>
      </c>
      <c r="N7690" s="23" t="str">
        <f>IFERROR(VLOOKUP(A7690, Entries!A:K,11,false),"")</f>
        <v/>
      </c>
    </row>
    <row r="7691">
      <c r="A7691" s="78" t="s">
        <v>7968</v>
      </c>
      <c r="B7691" s="78" t="s">
        <v>25</v>
      </c>
      <c r="C7691" s="85">
        <v>45758.0</v>
      </c>
      <c r="D7691" s="85">
        <v>45759.0</v>
      </c>
      <c r="E7691" s="86">
        <v>32.15</v>
      </c>
      <c r="F7691" s="87">
        <v>36.34</v>
      </c>
      <c r="G7691" s="88">
        <f t="shared" si="1"/>
        <v>4.19</v>
      </c>
      <c r="H7691" s="89">
        <f t="shared" si="18"/>
        <v>0.115299945</v>
      </c>
      <c r="I7691" s="78" t="s">
        <v>8738</v>
      </c>
      <c r="J7691" s="78" t="s">
        <v>69</v>
      </c>
      <c r="K7691" s="58">
        <f t="shared" si="17"/>
        <v>1</v>
      </c>
      <c r="L7691" s="91" t="str">
        <f t="shared" si="8"/>
        <v>Sat</v>
      </c>
      <c r="M7691" s="78" t="str">
        <f>IFERROR(VLOOKUP(A7691, Entries!A:B,2,false),"")</f>
        <v>Coffee Stain</v>
      </c>
      <c r="N7691" s="23" t="str">
        <f>IFERROR(VLOOKUP(A7691, Entries!A:K,11,false),"")</f>
        <v/>
      </c>
    </row>
    <row r="7692">
      <c r="A7692" s="78" t="s">
        <v>8739</v>
      </c>
      <c r="B7692" s="78" t="s">
        <v>22</v>
      </c>
      <c r="C7692" s="85">
        <v>45758.0</v>
      </c>
      <c r="D7692" s="85">
        <v>45760.0</v>
      </c>
      <c r="E7692" s="86">
        <v>8.91</v>
      </c>
      <c r="F7692" s="87">
        <v>14.27</v>
      </c>
      <c r="G7692" s="88">
        <f t="shared" si="1"/>
        <v>5.36</v>
      </c>
      <c r="H7692" s="89">
        <f t="shared" si="18"/>
        <v>0.3756131745</v>
      </c>
      <c r="I7692" s="78" t="s">
        <v>8740</v>
      </c>
      <c r="J7692" s="78" t="s">
        <v>69</v>
      </c>
      <c r="K7692" s="58">
        <f t="shared" si="17"/>
        <v>2</v>
      </c>
      <c r="L7692" s="91" t="str">
        <f t="shared" si="8"/>
        <v>Sun</v>
      </c>
      <c r="M7692" s="78" t="str">
        <f>IFERROR(VLOOKUP(A7692, Entries!A:B,2,false),"")</f>
        <v/>
      </c>
      <c r="N7692" s="23" t="str">
        <f>IFERROR(VLOOKUP(A7692, Entries!A:K,11,false),"")</f>
        <v/>
      </c>
    </row>
    <row r="7693">
      <c r="A7693" s="78" t="s">
        <v>8691</v>
      </c>
      <c r="B7693" s="78" t="s">
        <v>22</v>
      </c>
      <c r="C7693" s="85">
        <v>45759.0</v>
      </c>
      <c r="D7693" s="85">
        <v>45759.0</v>
      </c>
      <c r="E7693" s="86">
        <v>9.49</v>
      </c>
      <c r="F7693" s="87">
        <v>10.2</v>
      </c>
      <c r="G7693" s="88">
        <f t="shared" si="1"/>
        <v>0.71</v>
      </c>
      <c r="H7693" s="89">
        <f t="shared" si="18"/>
        <v>0.06960784314</v>
      </c>
      <c r="I7693" s="78" t="s">
        <v>8741</v>
      </c>
      <c r="J7693" s="78" t="s">
        <v>69</v>
      </c>
      <c r="K7693" s="58">
        <f t="shared" si="17"/>
        <v>0</v>
      </c>
      <c r="L7693" s="91" t="str">
        <f t="shared" si="8"/>
        <v>Sat</v>
      </c>
      <c r="M7693" s="78" t="str">
        <f>IFERROR(VLOOKUP(A7693, Entries!A:B,2,false),"")</f>
        <v/>
      </c>
      <c r="N7693" s="23" t="str">
        <f>IFERROR(VLOOKUP(A7693, Entries!A:K,11,false),"")</f>
        <v/>
      </c>
    </row>
    <row r="7694">
      <c r="A7694" s="78" t="s">
        <v>7814</v>
      </c>
      <c r="B7694" s="78" t="s">
        <v>21</v>
      </c>
      <c r="C7694" s="85">
        <v>45759.0</v>
      </c>
      <c r="D7694" s="85">
        <v>45764.0</v>
      </c>
      <c r="E7694" s="86">
        <v>24.01</v>
      </c>
      <c r="F7694" s="87">
        <v>28.44</v>
      </c>
      <c r="G7694" s="88">
        <f t="shared" si="1"/>
        <v>4.43</v>
      </c>
      <c r="H7694" s="89">
        <f t="shared" si="18"/>
        <v>0.155766526</v>
      </c>
      <c r="I7694" s="78" t="s">
        <v>8742</v>
      </c>
      <c r="J7694" s="78" t="s">
        <v>69</v>
      </c>
      <c r="K7694" s="58">
        <f t="shared" si="17"/>
        <v>5</v>
      </c>
      <c r="L7694" s="91" t="str">
        <f t="shared" si="8"/>
        <v>Thu</v>
      </c>
      <c r="M7694" s="78" t="str">
        <f>IFERROR(VLOOKUP(A7694, Entries!A:B,2,false),"")</f>
        <v>Electronic Arts</v>
      </c>
      <c r="N7694" s="23" t="str">
        <f>IFERROR(VLOOKUP(A7694, Entries!A:K,11,false),"")</f>
        <v/>
      </c>
    </row>
    <row r="7695">
      <c r="A7695" s="78" t="s">
        <v>7814</v>
      </c>
      <c r="B7695" s="78" t="s">
        <v>21</v>
      </c>
      <c r="C7695" s="85">
        <v>45759.0</v>
      </c>
      <c r="D7695" s="85">
        <v>45770.0</v>
      </c>
      <c r="E7695" s="86">
        <v>24.02</v>
      </c>
      <c r="F7695" s="87">
        <v>31.38</v>
      </c>
      <c r="G7695" s="88">
        <f t="shared" si="1"/>
        <v>7.36</v>
      </c>
      <c r="H7695" s="89">
        <f t="shared" si="18"/>
        <v>0.2345442957</v>
      </c>
      <c r="I7695" s="78" t="s">
        <v>8743</v>
      </c>
      <c r="J7695" s="78" t="s">
        <v>69</v>
      </c>
      <c r="K7695" s="58">
        <f t="shared" si="17"/>
        <v>11</v>
      </c>
      <c r="L7695" s="91" t="str">
        <f t="shared" si="8"/>
        <v>Wed</v>
      </c>
      <c r="M7695" s="78" t="str">
        <f>IFERROR(VLOOKUP(A7695, Entries!A:B,2,false),"")</f>
        <v>Electronic Arts</v>
      </c>
      <c r="N7695" s="23" t="str">
        <f>IFERROR(VLOOKUP(A7695, Entries!A:K,11,false),"")</f>
        <v/>
      </c>
    </row>
    <row r="7696">
      <c r="A7696" s="78" t="s">
        <v>8739</v>
      </c>
      <c r="B7696" s="78" t="s">
        <v>22</v>
      </c>
      <c r="C7696" s="85">
        <v>45760.0</v>
      </c>
      <c r="D7696" s="85">
        <v>45761.0</v>
      </c>
      <c r="E7696" s="86">
        <v>8.73</v>
      </c>
      <c r="F7696" s="87">
        <v>14.41</v>
      </c>
      <c r="G7696" s="88">
        <f t="shared" si="1"/>
        <v>5.68</v>
      </c>
      <c r="H7696" s="89">
        <f t="shared" si="18"/>
        <v>0.3941707148</v>
      </c>
      <c r="I7696" s="78" t="s">
        <v>8744</v>
      </c>
      <c r="J7696" s="78" t="s">
        <v>69</v>
      </c>
      <c r="K7696" s="58">
        <f t="shared" si="17"/>
        <v>1</v>
      </c>
      <c r="L7696" s="91" t="str">
        <f t="shared" si="8"/>
        <v>Mon</v>
      </c>
      <c r="M7696" s="78" t="str">
        <f>IFERROR(VLOOKUP(A7696, Entries!A:B,2,false),"")</f>
        <v/>
      </c>
      <c r="N7696" s="23" t="str">
        <f>IFERROR(VLOOKUP(A7696, Entries!A:K,11,false),"")</f>
        <v/>
      </c>
    </row>
    <row r="7697">
      <c r="A7697" s="78" t="s">
        <v>8739</v>
      </c>
      <c r="B7697" s="78" t="s">
        <v>22</v>
      </c>
      <c r="C7697" s="85">
        <v>45761.0</v>
      </c>
      <c r="D7697" s="85">
        <v>45761.0</v>
      </c>
      <c r="E7697" s="86">
        <v>8.73</v>
      </c>
      <c r="F7697" s="87">
        <v>14.41</v>
      </c>
      <c r="G7697" s="88">
        <f t="shared" si="1"/>
        <v>5.68</v>
      </c>
      <c r="H7697" s="89">
        <f t="shared" si="18"/>
        <v>0.3941707148</v>
      </c>
      <c r="I7697" s="78" t="s">
        <v>8745</v>
      </c>
      <c r="J7697" s="78" t="s">
        <v>69</v>
      </c>
      <c r="K7697" s="58">
        <f t="shared" si="17"/>
        <v>0</v>
      </c>
      <c r="L7697" s="91" t="str">
        <f t="shared" si="8"/>
        <v>Mon</v>
      </c>
      <c r="M7697" s="78" t="str">
        <f>IFERROR(VLOOKUP(A7697, Entries!A:B,2,false),"")</f>
        <v/>
      </c>
      <c r="N7697" s="23" t="str">
        <f>IFERROR(VLOOKUP(A7697, Entries!A:K,11,false),"")</f>
        <v/>
      </c>
    </row>
    <row r="7698">
      <c r="A7698" s="78" t="s">
        <v>8739</v>
      </c>
      <c r="B7698" s="78" t="s">
        <v>22</v>
      </c>
      <c r="C7698" s="85">
        <v>45761.0</v>
      </c>
      <c r="D7698" s="85">
        <v>45761.0</v>
      </c>
      <c r="E7698" s="86">
        <v>8.73</v>
      </c>
      <c r="F7698" s="87">
        <v>14.41</v>
      </c>
      <c r="G7698" s="88">
        <f t="shared" si="1"/>
        <v>5.68</v>
      </c>
      <c r="H7698" s="89">
        <f t="shared" si="18"/>
        <v>0.3941707148</v>
      </c>
      <c r="I7698" s="78" t="s">
        <v>8746</v>
      </c>
      <c r="J7698" s="78" t="s">
        <v>69</v>
      </c>
      <c r="K7698" s="58">
        <f t="shared" si="17"/>
        <v>0</v>
      </c>
      <c r="L7698" s="91" t="str">
        <f t="shared" si="8"/>
        <v>Mon</v>
      </c>
      <c r="M7698" s="78" t="str">
        <f>IFERROR(VLOOKUP(A7698, Entries!A:B,2,false),"")</f>
        <v/>
      </c>
      <c r="N7698" s="23" t="str">
        <f>IFERROR(VLOOKUP(A7698, Entries!A:K,11,false),"")</f>
        <v/>
      </c>
    </row>
    <row r="7699">
      <c r="A7699" s="78" t="s">
        <v>7836</v>
      </c>
      <c r="B7699" s="78" t="s">
        <v>32</v>
      </c>
      <c r="C7699" s="85">
        <v>45761.0</v>
      </c>
      <c r="D7699" s="85">
        <v>45785.0</v>
      </c>
      <c r="E7699" s="86">
        <v>19.79</v>
      </c>
      <c r="F7699" s="87">
        <v>29.99</v>
      </c>
      <c r="G7699" s="88">
        <f t="shared" si="1"/>
        <v>10.2</v>
      </c>
      <c r="H7699" s="89">
        <f t="shared" si="18"/>
        <v>0.3401133711</v>
      </c>
      <c r="I7699" s="78" t="s">
        <v>8747</v>
      </c>
      <c r="J7699" s="78" t="s">
        <v>69</v>
      </c>
      <c r="K7699" s="58">
        <f t="shared" si="17"/>
        <v>24</v>
      </c>
      <c r="L7699" s="91" t="str">
        <f t="shared" si="8"/>
        <v>Thu</v>
      </c>
      <c r="M7699" s="78" t="str">
        <f>IFERROR(VLOOKUP(A7699, Entries!A:B,2,false),"")</f>
        <v/>
      </c>
      <c r="N7699" s="23" t="str">
        <f>IFERROR(VLOOKUP(A7699, Entries!A:K,11,false),"")</f>
        <v/>
      </c>
    </row>
    <row r="7700">
      <c r="A7700" s="78" t="s">
        <v>7836</v>
      </c>
      <c r="B7700" s="78" t="s">
        <v>32</v>
      </c>
      <c r="C7700" s="85">
        <v>45761.0</v>
      </c>
      <c r="D7700" s="25"/>
      <c r="E7700" s="86">
        <v>19.79</v>
      </c>
      <c r="F7700" s="88"/>
      <c r="G7700" s="88">
        <f t="shared" si="1"/>
        <v>-19.79</v>
      </c>
      <c r="H7700" s="89" t="str">
        <f t="shared" si="18"/>
        <v/>
      </c>
      <c r="I7700" s="78" t="s">
        <v>8748</v>
      </c>
      <c r="J7700" s="78" t="s">
        <v>1129</v>
      </c>
      <c r="K7700" s="58" t="str">
        <f t="shared" si="17"/>
        <v/>
      </c>
      <c r="L7700" s="91" t="str">
        <f t="shared" si="8"/>
        <v/>
      </c>
      <c r="M7700" s="78" t="str">
        <f>IFERROR(VLOOKUP(A7700, Entries!A:B,2,false),"")</f>
        <v/>
      </c>
      <c r="N7700" s="23" t="str">
        <f>IFERROR(VLOOKUP(A7700, Entries!A:K,11,false),"")</f>
        <v/>
      </c>
    </row>
    <row r="7701">
      <c r="A7701" s="78" t="s">
        <v>8739</v>
      </c>
      <c r="B7701" s="78" t="s">
        <v>22</v>
      </c>
      <c r="C7701" s="85">
        <v>45761.0</v>
      </c>
      <c r="D7701" s="85">
        <v>45763.0</v>
      </c>
      <c r="E7701" s="86">
        <v>8.73</v>
      </c>
      <c r="F7701" s="87">
        <v>11.95</v>
      </c>
      <c r="G7701" s="88">
        <f t="shared" si="1"/>
        <v>3.22</v>
      </c>
      <c r="H7701" s="89">
        <f t="shared" si="18"/>
        <v>0.2694560669</v>
      </c>
      <c r="I7701" s="78" t="s">
        <v>8749</v>
      </c>
      <c r="J7701" s="78" t="s">
        <v>69</v>
      </c>
      <c r="K7701" s="58">
        <f t="shared" si="17"/>
        <v>2</v>
      </c>
      <c r="L7701" s="91" t="str">
        <f t="shared" si="8"/>
        <v>Wed</v>
      </c>
      <c r="M7701" s="78" t="str">
        <f>IFERROR(VLOOKUP(A7701, Entries!A:B,2,false),"")</f>
        <v/>
      </c>
      <c r="N7701" s="23" t="str">
        <f>IFERROR(VLOOKUP(A7701, Entries!A:K,11,false),"")</f>
        <v/>
      </c>
    </row>
    <row r="7702">
      <c r="A7702" s="78" t="s">
        <v>8739</v>
      </c>
      <c r="B7702" s="78" t="s">
        <v>22</v>
      </c>
      <c r="C7702" s="85">
        <v>45761.0</v>
      </c>
      <c r="D7702" s="85">
        <v>45764.0</v>
      </c>
      <c r="E7702" s="86">
        <v>8.73</v>
      </c>
      <c r="F7702" s="87">
        <v>12.42</v>
      </c>
      <c r="G7702" s="88">
        <f t="shared" si="1"/>
        <v>3.69</v>
      </c>
      <c r="H7702" s="89">
        <f t="shared" si="18"/>
        <v>0.2971014493</v>
      </c>
      <c r="I7702" s="78" t="s">
        <v>8750</v>
      </c>
      <c r="J7702" s="78" t="s">
        <v>69</v>
      </c>
      <c r="K7702" s="58">
        <f t="shared" si="17"/>
        <v>3</v>
      </c>
      <c r="L7702" s="91" t="str">
        <f t="shared" si="8"/>
        <v>Thu</v>
      </c>
      <c r="M7702" s="78" t="str">
        <f>IFERROR(VLOOKUP(A7702, Entries!A:B,2,false),"")</f>
        <v/>
      </c>
      <c r="N7702" s="23" t="str">
        <f>IFERROR(VLOOKUP(A7702, Entries!A:K,11,false),"")</f>
        <v/>
      </c>
    </row>
    <row r="7703">
      <c r="A7703" s="78" t="s">
        <v>8696</v>
      </c>
      <c r="B7703" s="78" t="s">
        <v>19</v>
      </c>
      <c r="C7703" s="85">
        <v>45763.0</v>
      </c>
      <c r="D7703" s="85">
        <v>45767.0</v>
      </c>
      <c r="E7703" s="86">
        <v>43.37</v>
      </c>
      <c r="F7703" s="87">
        <v>46.71</v>
      </c>
      <c r="G7703" s="88">
        <f t="shared" si="1"/>
        <v>3.34</v>
      </c>
      <c r="H7703" s="89">
        <f t="shared" si="18"/>
        <v>0.07150503104</v>
      </c>
      <c r="I7703" s="78" t="s">
        <v>8751</v>
      </c>
      <c r="J7703" s="78" t="s">
        <v>69</v>
      </c>
      <c r="K7703" s="58">
        <f t="shared" si="17"/>
        <v>4</v>
      </c>
      <c r="L7703" s="91" t="str">
        <f t="shared" si="8"/>
        <v>Sun</v>
      </c>
      <c r="M7703" s="78" t="str">
        <f>IFERROR(VLOOKUP(A7703, Entries!A:B,2,false),"")</f>
        <v/>
      </c>
      <c r="N7703" s="23" t="str">
        <f>IFERROR(VLOOKUP(A7703, Entries!A:K,11,false),"")</f>
        <v/>
      </c>
    </row>
    <row r="7704">
      <c r="A7704" s="78" t="s">
        <v>8752</v>
      </c>
      <c r="B7704" s="78" t="s">
        <v>21</v>
      </c>
      <c r="C7704" s="85">
        <v>45763.0</v>
      </c>
      <c r="D7704" s="25"/>
      <c r="E7704" s="86">
        <v>21.18</v>
      </c>
      <c r="F7704" s="88"/>
      <c r="G7704" s="88">
        <f t="shared" si="1"/>
        <v>-21.18</v>
      </c>
      <c r="H7704" s="89" t="str">
        <f t="shared" si="18"/>
        <v/>
      </c>
      <c r="I7704" s="78" t="s">
        <v>8753</v>
      </c>
      <c r="J7704" s="78" t="s">
        <v>1129</v>
      </c>
      <c r="K7704" s="58" t="str">
        <f t="shared" si="17"/>
        <v/>
      </c>
      <c r="L7704" s="91" t="str">
        <f t="shared" si="8"/>
        <v/>
      </c>
      <c r="M7704" s="78" t="str">
        <f>IFERROR(VLOOKUP(A7704, Entries!A:B,2,false),"")</f>
        <v/>
      </c>
      <c r="N7704" s="23" t="str">
        <f>IFERROR(VLOOKUP(A7704, Entries!A:K,11,false),"")</f>
        <v/>
      </c>
    </row>
    <row r="7705">
      <c r="A7705" s="78" t="s">
        <v>8752</v>
      </c>
      <c r="B7705" s="78" t="s">
        <v>21</v>
      </c>
      <c r="C7705" s="85">
        <v>45763.0</v>
      </c>
      <c r="D7705" s="25"/>
      <c r="E7705" s="86">
        <v>21.18</v>
      </c>
      <c r="F7705" s="88"/>
      <c r="G7705" s="88">
        <f t="shared" si="1"/>
        <v>-21.18</v>
      </c>
      <c r="H7705" s="89" t="str">
        <f t="shared" si="18"/>
        <v/>
      </c>
      <c r="I7705" s="78" t="s">
        <v>8754</v>
      </c>
      <c r="J7705" s="78" t="s">
        <v>1129</v>
      </c>
      <c r="K7705" s="58" t="str">
        <f t="shared" si="17"/>
        <v/>
      </c>
      <c r="L7705" s="91" t="str">
        <f t="shared" si="8"/>
        <v/>
      </c>
      <c r="M7705" s="78" t="str">
        <f>IFERROR(VLOOKUP(A7705, Entries!A:B,2,false),"")</f>
        <v/>
      </c>
      <c r="N7705" s="23" t="str">
        <f>IFERROR(VLOOKUP(A7705, Entries!A:K,11,false),"")</f>
        <v/>
      </c>
    </row>
    <row r="7706">
      <c r="A7706" s="78" t="s">
        <v>8739</v>
      </c>
      <c r="B7706" s="78" t="s">
        <v>22</v>
      </c>
      <c r="C7706" s="85">
        <v>45764.0</v>
      </c>
      <c r="D7706" s="85">
        <v>45764.0</v>
      </c>
      <c r="E7706" s="86">
        <v>8.66</v>
      </c>
      <c r="F7706" s="87">
        <v>12.42</v>
      </c>
      <c r="G7706" s="88">
        <f t="shared" si="1"/>
        <v>3.76</v>
      </c>
      <c r="H7706" s="89">
        <f t="shared" si="18"/>
        <v>0.3027375201</v>
      </c>
      <c r="I7706" s="78" t="s">
        <v>8755</v>
      </c>
      <c r="J7706" s="78" t="s">
        <v>69</v>
      </c>
      <c r="K7706" s="58">
        <f t="shared" si="17"/>
        <v>0</v>
      </c>
      <c r="L7706" s="91" t="str">
        <f t="shared" si="8"/>
        <v>Thu</v>
      </c>
      <c r="M7706" s="78" t="str">
        <f>IFERROR(VLOOKUP(A7706, Entries!A:B,2,false),"")</f>
        <v/>
      </c>
      <c r="N7706" s="23" t="str">
        <f>IFERROR(VLOOKUP(A7706, Entries!A:K,11,false),"")</f>
        <v/>
      </c>
    </row>
    <row r="7707">
      <c r="A7707" s="78" t="s">
        <v>8739</v>
      </c>
      <c r="B7707" s="78" t="s">
        <v>22</v>
      </c>
      <c r="C7707" s="85">
        <v>45764.0</v>
      </c>
      <c r="D7707" s="85">
        <v>45764.0</v>
      </c>
      <c r="E7707" s="86">
        <v>8.66</v>
      </c>
      <c r="F7707" s="87">
        <v>12.42</v>
      </c>
      <c r="G7707" s="88">
        <f t="shared" si="1"/>
        <v>3.76</v>
      </c>
      <c r="H7707" s="89">
        <f t="shared" si="18"/>
        <v>0.3027375201</v>
      </c>
      <c r="I7707" s="78" t="s">
        <v>8756</v>
      </c>
      <c r="J7707" s="78" t="s">
        <v>69</v>
      </c>
      <c r="K7707" s="58">
        <f t="shared" si="17"/>
        <v>0</v>
      </c>
      <c r="L7707" s="91" t="str">
        <f t="shared" si="8"/>
        <v>Thu</v>
      </c>
      <c r="M7707" s="78" t="str">
        <f>IFERROR(VLOOKUP(A7707, Entries!A:B,2,false),"")</f>
        <v/>
      </c>
      <c r="N7707" s="23" t="str">
        <f>IFERROR(VLOOKUP(A7707, Entries!A:K,11,false),"")</f>
        <v/>
      </c>
    </row>
    <row r="7708">
      <c r="A7708" s="78" t="s">
        <v>3832</v>
      </c>
      <c r="B7708" s="78" t="s">
        <v>35</v>
      </c>
      <c r="C7708" s="85">
        <v>45764.0</v>
      </c>
      <c r="D7708" s="85">
        <v>45764.0</v>
      </c>
      <c r="E7708" s="86">
        <v>10.12</v>
      </c>
      <c r="F7708" s="87">
        <v>28.68</v>
      </c>
      <c r="G7708" s="88">
        <f t="shared" si="1"/>
        <v>18.56</v>
      </c>
      <c r="H7708" s="89">
        <f t="shared" si="18"/>
        <v>0.6471408647</v>
      </c>
      <c r="I7708" s="78" t="s">
        <v>8757</v>
      </c>
      <c r="J7708" s="78" t="s">
        <v>69</v>
      </c>
      <c r="K7708" s="58">
        <f t="shared" si="17"/>
        <v>0</v>
      </c>
      <c r="L7708" s="91" t="str">
        <f t="shared" si="8"/>
        <v>Thu</v>
      </c>
      <c r="M7708" s="78" t="str">
        <f>IFERROR(VLOOKUP(A7708, Entries!A:B,2,false),"")</f>
        <v>Rebellion</v>
      </c>
      <c r="N7708" s="23" t="str">
        <f>IFERROR(VLOOKUP(A7708, Entries!A:K,11,false),"")</f>
        <v/>
      </c>
    </row>
    <row r="7709">
      <c r="A7709" s="78" t="s">
        <v>3832</v>
      </c>
      <c r="B7709" s="78" t="s">
        <v>35</v>
      </c>
      <c r="C7709" s="85">
        <v>45764.0</v>
      </c>
      <c r="D7709" s="85">
        <v>45826.0</v>
      </c>
      <c r="E7709" s="86">
        <v>10.12</v>
      </c>
      <c r="F7709" s="87">
        <v>20.31</v>
      </c>
      <c r="G7709" s="88">
        <f t="shared" si="1"/>
        <v>10.19</v>
      </c>
      <c r="H7709" s="89">
        <f t="shared" si="18"/>
        <v>0.501723289</v>
      </c>
      <c r="I7709" s="78" t="s">
        <v>8758</v>
      </c>
      <c r="J7709" s="78" t="s">
        <v>69</v>
      </c>
      <c r="K7709" s="58">
        <f t="shared" si="17"/>
        <v>62</v>
      </c>
      <c r="L7709" s="91" t="str">
        <f t="shared" si="8"/>
        <v>Wed</v>
      </c>
      <c r="M7709" s="78" t="str">
        <f>IFERROR(VLOOKUP(A7709, Entries!A:B,2,false),"")</f>
        <v>Rebellion</v>
      </c>
      <c r="N7709" s="23" t="str">
        <f>IFERROR(VLOOKUP(A7709, Entries!A:K,11,false),"")</f>
        <v/>
      </c>
    </row>
    <row r="7710">
      <c r="A7710" s="78" t="s">
        <v>8759</v>
      </c>
      <c r="B7710" s="78" t="s">
        <v>22</v>
      </c>
      <c r="C7710" s="85">
        <v>45764.0</v>
      </c>
      <c r="D7710" s="85">
        <v>45764.0</v>
      </c>
      <c r="E7710" s="86">
        <v>19.63</v>
      </c>
      <c r="F7710" s="87">
        <v>33.01</v>
      </c>
      <c r="G7710" s="88">
        <f t="shared" si="1"/>
        <v>13.38</v>
      </c>
      <c r="H7710" s="89">
        <f t="shared" si="18"/>
        <v>0.4053317177</v>
      </c>
      <c r="I7710" s="78" t="s">
        <v>8760</v>
      </c>
      <c r="J7710" s="78" t="s">
        <v>69</v>
      </c>
      <c r="K7710" s="58">
        <f t="shared" si="17"/>
        <v>0</v>
      </c>
      <c r="L7710" s="91" t="str">
        <f t="shared" si="8"/>
        <v>Thu</v>
      </c>
      <c r="M7710" s="78" t="str">
        <f>IFERROR(VLOOKUP(A7710, Entries!A:B,2,false),"")</f>
        <v/>
      </c>
      <c r="N7710" s="23" t="str">
        <f>IFERROR(VLOOKUP(A7710, Entries!A:K,11,false),"")</f>
        <v/>
      </c>
    </row>
    <row r="7711">
      <c r="A7711" s="78" t="s">
        <v>8761</v>
      </c>
      <c r="B7711" s="78" t="s">
        <v>22</v>
      </c>
      <c r="C7711" s="85">
        <v>45765.0</v>
      </c>
      <c r="D7711" s="85">
        <v>45766.0</v>
      </c>
      <c r="E7711" s="86">
        <v>19.52</v>
      </c>
      <c r="F7711" s="87">
        <v>34.01</v>
      </c>
      <c r="G7711" s="88">
        <f t="shared" si="1"/>
        <v>14.49</v>
      </c>
      <c r="H7711" s="89">
        <f t="shared" si="18"/>
        <v>0.4260511614</v>
      </c>
      <c r="I7711" s="78" t="s">
        <v>8762</v>
      </c>
      <c r="J7711" s="78" t="s">
        <v>69</v>
      </c>
      <c r="K7711" s="58">
        <f t="shared" si="17"/>
        <v>1</v>
      </c>
      <c r="L7711" s="91" t="str">
        <f t="shared" si="8"/>
        <v>Sat</v>
      </c>
      <c r="M7711" s="78" t="str">
        <f>IFERROR(VLOOKUP(A7711, Entries!A:B,2,false),"")</f>
        <v/>
      </c>
      <c r="N7711" s="23" t="str">
        <f>IFERROR(VLOOKUP(A7711, Entries!A:K,11,false),"")</f>
        <v/>
      </c>
    </row>
    <row r="7712">
      <c r="A7712" s="78" t="s">
        <v>1832</v>
      </c>
      <c r="B7712" s="78" t="s">
        <v>19</v>
      </c>
      <c r="C7712" s="85">
        <v>45765.0</v>
      </c>
      <c r="D7712" s="85">
        <v>45766.0</v>
      </c>
      <c r="E7712" s="86">
        <v>9.64</v>
      </c>
      <c r="F7712" s="87">
        <v>12.22</v>
      </c>
      <c r="G7712" s="88">
        <f t="shared" si="1"/>
        <v>2.58</v>
      </c>
      <c r="H7712" s="89">
        <f t="shared" si="18"/>
        <v>0.2111292962</v>
      </c>
      <c r="I7712" s="78" t="s">
        <v>8763</v>
      </c>
      <c r="J7712" s="78" t="s">
        <v>69</v>
      </c>
      <c r="K7712" s="58">
        <f t="shared" si="17"/>
        <v>1</v>
      </c>
      <c r="L7712" s="91" t="str">
        <f t="shared" si="8"/>
        <v>Sat</v>
      </c>
      <c r="M7712" s="78" t="str">
        <f>IFERROR(VLOOKUP(A7712, Entries!A:B,2,false),"")</f>
        <v>Bethesda Softworks</v>
      </c>
      <c r="N7712" s="23" t="str">
        <f>IFERROR(VLOOKUP(A7712, Entries!A:K,11,false),"")</f>
        <v/>
      </c>
    </row>
    <row r="7713">
      <c r="A7713" s="78" t="s">
        <v>8761</v>
      </c>
      <c r="B7713" s="78" t="s">
        <v>22</v>
      </c>
      <c r="C7713" s="85">
        <v>45766.0</v>
      </c>
      <c r="D7713" s="85">
        <v>45766.0</v>
      </c>
      <c r="E7713" s="86">
        <v>19.5</v>
      </c>
      <c r="F7713" s="87">
        <v>34.04</v>
      </c>
      <c r="G7713" s="88">
        <f t="shared" si="1"/>
        <v>14.54</v>
      </c>
      <c r="H7713" s="89">
        <f t="shared" si="18"/>
        <v>0.4271445358</v>
      </c>
      <c r="I7713" s="78" t="s">
        <v>8764</v>
      </c>
      <c r="J7713" s="78" t="s">
        <v>69</v>
      </c>
      <c r="K7713" s="58">
        <f t="shared" si="17"/>
        <v>0</v>
      </c>
      <c r="L7713" s="91" t="str">
        <f t="shared" si="8"/>
        <v>Sat</v>
      </c>
      <c r="M7713" s="78" t="str">
        <f>IFERROR(VLOOKUP(A7713, Entries!A:B,2,false),"")</f>
        <v/>
      </c>
      <c r="N7713" s="23" t="str">
        <f>IFERROR(VLOOKUP(A7713, Entries!A:K,11,false),"")</f>
        <v/>
      </c>
    </row>
    <row r="7714">
      <c r="A7714" s="78" t="s">
        <v>1832</v>
      </c>
      <c r="B7714" s="78" t="s">
        <v>19</v>
      </c>
      <c r="C7714" s="85">
        <v>45766.0</v>
      </c>
      <c r="D7714" s="85">
        <v>45768.0</v>
      </c>
      <c r="E7714" s="86">
        <v>10.55</v>
      </c>
      <c r="F7714" s="87">
        <v>12.15</v>
      </c>
      <c r="G7714" s="88">
        <f t="shared" si="1"/>
        <v>1.6</v>
      </c>
      <c r="H7714" s="89">
        <f t="shared" si="18"/>
        <v>0.1316872428</v>
      </c>
      <c r="J7714" s="78" t="s">
        <v>69</v>
      </c>
      <c r="K7714" s="58">
        <f t="shared" si="17"/>
        <v>2</v>
      </c>
      <c r="L7714" s="91" t="str">
        <f t="shared" si="8"/>
        <v>Mon</v>
      </c>
      <c r="M7714" s="78" t="str">
        <f>IFERROR(VLOOKUP(A7714, Entries!A:B,2,false),"")</f>
        <v>Bethesda Softworks</v>
      </c>
      <c r="N7714" s="23" t="str">
        <f>IFERROR(VLOOKUP(A7714, Entries!A:K,11,false),"")</f>
        <v/>
      </c>
    </row>
    <row r="7715">
      <c r="A7715" s="78" t="s">
        <v>8765</v>
      </c>
      <c r="B7715" s="78" t="s">
        <v>21</v>
      </c>
      <c r="C7715" s="85">
        <v>45767.0</v>
      </c>
      <c r="D7715" s="85">
        <v>45771.0</v>
      </c>
      <c r="E7715" s="86">
        <v>20.61</v>
      </c>
      <c r="F7715" s="87">
        <v>21.41</v>
      </c>
      <c r="G7715" s="88">
        <f t="shared" si="1"/>
        <v>0.8</v>
      </c>
      <c r="H7715" s="89">
        <f t="shared" si="18"/>
        <v>0.03736571695</v>
      </c>
      <c r="I7715" s="78" t="s">
        <v>8766</v>
      </c>
      <c r="J7715" s="78" t="s">
        <v>69</v>
      </c>
      <c r="K7715" s="58">
        <f t="shared" si="17"/>
        <v>4</v>
      </c>
      <c r="L7715" s="91" t="str">
        <f t="shared" si="8"/>
        <v>Thu</v>
      </c>
      <c r="M7715" s="78" t="str">
        <f>IFERROR(VLOOKUP(A7715, Entries!A:B,2,false),"")</f>
        <v/>
      </c>
      <c r="N7715" s="23" t="str">
        <f>IFERROR(VLOOKUP(A7715, Entries!A:K,11,false),"")</f>
        <v/>
      </c>
    </row>
    <row r="7716">
      <c r="A7716" s="78" t="s">
        <v>8761</v>
      </c>
      <c r="B7716" s="78" t="s">
        <v>22</v>
      </c>
      <c r="C7716" s="85">
        <v>45767.0</v>
      </c>
      <c r="D7716" s="85">
        <v>45768.0</v>
      </c>
      <c r="E7716" s="86">
        <v>19.5</v>
      </c>
      <c r="F7716" s="87">
        <v>32.72</v>
      </c>
      <c r="G7716" s="88">
        <f t="shared" si="1"/>
        <v>13.22</v>
      </c>
      <c r="H7716" s="89">
        <f t="shared" si="18"/>
        <v>0.4040342298</v>
      </c>
      <c r="I7716" s="78" t="s">
        <v>8767</v>
      </c>
      <c r="J7716" s="78" t="s">
        <v>69</v>
      </c>
      <c r="K7716" s="58">
        <f t="shared" si="17"/>
        <v>1</v>
      </c>
      <c r="L7716" s="91" t="str">
        <f t="shared" si="8"/>
        <v>Mon</v>
      </c>
      <c r="M7716" s="78" t="str">
        <f>IFERROR(VLOOKUP(A7716, Entries!A:B,2,false),"")</f>
        <v/>
      </c>
      <c r="N7716" s="23" t="str">
        <f>IFERROR(VLOOKUP(A7716, Entries!A:K,11,false),"")</f>
        <v/>
      </c>
    </row>
    <row r="7717">
      <c r="A7717" s="78" t="s">
        <v>8696</v>
      </c>
      <c r="B7717" s="78" t="s">
        <v>19</v>
      </c>
      <c r="C7717" s="85">
        <v>45768.0</v>
      </c>
      <c r="D7717" s="85">
        <v>45787.0</v>
      </c>
      <c r="E7717" s="86">
        <v>42.12</v>
      </c>
      <c r="F7717" s="87">
        <v>44.41</v>
      </c>
      <c r="G7717" s="88">
        <f t="shared" si="1"/>
        <v>2.29</v>
      </c>
      <c r="H7717" s="89">
        <f t="shared" si="18"/>
        <v>0.05156496285</v>
      </c>
      <c r="I7717" s="78" t="s">
        <v>8768</v>
      </c>
      <c r="J7717" s="78" t="s">
        <v>69</v>
      </c>
      <c r="K7717" s="58">
        <f t="shared" si="17"/>
        <v>19</v>
      </c>
      <c r="L7717" s="91" t="str">
        <f t="shared" si="8"/>
        <v>Sat</v>
      </c>
      <c r="M7717" s="78" t="str">
        <f>IFERROR(VLOOKUP(A7717, Entries!A:B,2,false),"")</f>
        <v/>
      </c>
      <c r="N7717" s="23" t="str">
        <f>IFERROR(VLOOKUP(A7717, Entries!A:K,11,false),"")</f>
        <v/>
      </c>
    </row>
    <row r="7718">
      <c r="A7718" s="78" t="s">
        <v>8761</v>
      </c>
      <c r="B7718" s="78" t="s">
        <v>22</v>
      </c>
      <c r="C7718" s="85">
        <v>45768.0</v>
      </c>
      <c r="D7718" s="85">
        <v>45768.0</v>
      </c>
      <c r="E7718" s="86">
        <v>19.5</v>
      </c>
      <c r="F7718" s="87">
        <v>27.49</v>
      </c>
      <c r="G7718" s="88">
        <f t="shared" si="1"/>
        <v>7.99</v>
      </c>
      <c r="H7718" s="89">
        <f t="shared" si="18"/>
        <v>0.2906511459</v>
      </c>
      <c r="I7718" s="78" t="s">
        <v>8769</v>
      </c>
      <c r="J7718" s="78" t="s">
        <v>69</v>
      </c>
      <c r="K7718" s="58">
        <f t="shared" si="17"/>
        <v>0</v>
      </c>
      <c r="L7718" s="91" t="str">
        <f t="shared" si="8"/>
        <v>Mon</v>
      </c>
      <c r="M7718" s="78" t="str">
        <f>IFERROR(VLOOKUP(A7718, Entries!A:B,2,false),"")</f>
        <v/>
      </c>
      <c r="N7718" s="23" t="str">
        <f>IFERROR(VLOOKUP(A7718, Entries!A:K,11,false),"")</f>
        <v/>
      </c>
    </row>
    <row r="7719">
      <c r="A7719" s="78" t="s">
        <v>7814</v>
      </c>
      <c r="B7719" s="78" t="s">
        <v>21</v>
      </c>
      <c r="C7719" s="85">
        <v>45770.0</v>
      </c>
      <c r="D7719" s="85">
        <v>45777.0</v>
      </c>
      <c r="E7719" s="86">
        <v>26.86</v>
      </c>
      <c r="F7719" s="87">
        <v>30.41</v>
      </c>
      <c r="G7719" s="88">
        <f t="shared" si="1"/>
        <v>3.55</v>
      </c>
      <c r="H7719" s="89">
        <f t="shared" si="18"/>
        <v>0.1167379152</v>
      </c>
      <c r="I7719" s="78" t="s">
        <v>8770</v>
      </c>
      <c r="J7719" s="78" t="s">
        <v>69</v>
      </c>
      <c r="K7719" s="58">
        <f t="shared" si="17"/>
        <v>7</v>
      </c>
      <c r="L7719" s="91" t="str">
        <f t="shared" si="8"/>
        <v>Wed</v>
      </c>
      <c r="M7719" s="78" t="str">
        <f>IFERROR(VLOOKUP(A7719, Entries!A:B,2,false),"")</f>
        <v>Electronic Arts</v>
      </c>
      <c r="N7719" s="23" t="str">
        <f>IFERROR(VLOOKUP(A7719, Entries!A:K,11,false),"")</f>
        <v/>
      </c>
    </row>
    <row r="7720">
      <c r="A7720" s="78" t="s">
        <v>8759</v>
      </c>
      <c r="B7720" s="78" t="s">
        <v>21</v>
      </c>
      <c r="C7720" s="85">
        <v>45770.0</v>
      </c>
      <c r="D7720" s="85">
        <v>45772.0</v>
      </c>
      <c r="E7720" s="86">
        <v>25.09</v>
      </c>
      <c r="F7720" s="87">
        <v>28.05</v>
      </c>
      <c r="G7720" s="88">
        <f t="shared" si="1"/>
        <v>2.96</v>
      </c>
      <c r="H7720" s="89">
        <f t="shared" si="18"/>
        <v>0.1055258467</v>
      </c>
      <c r="I7720" s="78" t="s">
        <v>8771</v>
      </c>
      <c r="J7720" s="78" t="s">
        <v>69</v>
      </c>
      <c r="K7720" s="58">
        <f t="shared" si="17"/>
        <v>2</v>
      </c>
      <c r="L7720" s="91" t="str">
        <f t="shared" si="8"/>
        <v>Fri</v>
      </c>
      <c r="M7720" s="78" t="str">
        <f>IFERROR(VLOOKUP(A7720, Entries!A:B,2,false),"")</f>
        <v/>
      </c>
      <c r="N7720" s="23" t="str">
        <f>IFERROR(VLOOKUP(A7720, Entries!A:K,11,false),"")</f>
        <v/>
      </c>
    </row>
    <row r="7721">
      <c r="A7721" s="78" t="s">
        <v>8772</v>
      </c>
      <c r="B7721" s="78" t="s">
        <v>22</v>
      </c>
      <c r="C7721" s="85">
        <v>45771.0</v>
      </c>
      <c r="D7721" s="85">
        <v>45773.0</v>
      </c>
      <c r="E7721" s="86">
        <v>23.48</v>
      </c>
      <c r="F7721" s="87">
        <v>35.87</v>
      </c>
      <c r="G7721" s="88">
        <f t="shared" si="1"/>
        <v>12.39</v>
      </c>
      <c r="H7721" s="89">
        <f t="shared" si="18"/>
        <v>0.345413995</v>
      </c>
      <c r="I7721" s="78" t="s">
        <v>8773</v>
      </c>
      <c r="J7721" s="78" t="s">
        <v>69</v>
      </c>
      <c r="K7721" s="58">
        <f t="shared" si="17"/>
        <v>2</v>
      </c>
      <c r="L7721" s="91" t="str">
        <f t="shared" si="8"/>
        <v>Sat</v>
      </c>
      <c r="M7721" s="78" t="str">
        <f>IFERROR(VLOOKUP(A7721, Entries!A:B,2,false),"")</f>
        <v/>
      </c>
      <c r="N7721" s="23" t="str">
        <f>IFERROR(VLOOKUP(A7721, Entries!A:K,11,false),"")</f>
        <v/>
      </c>
    </row>
    <row r="7722">
      <c r="A7722" s="78" t="s">
        <v>5676</v>
      </c>
      <c r="B7722" s="78" t="s">
        <v>21</v>
      </c>
      <c r="C7722" s="85">
        <v>45771.0</v>
      </c>
      <c r="D7722" s="85">
        <v>45775.0</v>
      </c>
      <c r="E7722" s="86">
        <v>33.66</v>
      </c>
      <c r="F7722" s="87">
        <v>36.36</v>
      </c>
      <c r="G7722" s="88">
        <f t="shared" si="1"/>
        <v>2.7</v>
      </c>
      <c r="H7722" s="89">
        <f t="shared" si="18"/>
        <v>0.07425742574</v>
      </c>
      <c r="I7722" s="78" t="s">
        <v>8774</v>
      </c>
      <c r="J7722" s="78" t="s">
        <v>69</v>
      </c>
      <c r="K7722" s="58">
        <f t="shared" si="17"/>
        <v>4</v>
      </c>
      <c r="L7722" s="91" t="str">
        <f t="shared" si="8"/>
        <v>Mon</v>
      </c>
      <c r="M7722" s="78" t="str">
        <f>IFERROR(VLOOKUP(A7722, Entries!A:B,2,false),"")</f>
        <v>Bethesda Softworks</v>
      </c>
      <c r="N7722" s="23" t="str">
        <f>IFERROR(VLOOKUP(A7722, Entries!A:K,11,false),"")</f>
        <v/>
      </c>
    </row>
    <row r="7723">
      <c r="A7723" s="78" t="s">
        <v>8775</v>
      </c>
      <c r="B7723" s="78" t="s">
        <v>21</v>
      </c>
      <c r="C7723" s="85">
        <v>45772.0</v>
      </c>
      <c r="D7723" s="85">
        <v>45774.0</v>
      </c>
      <c r="E7723" s="86">
        <v>8.73</v>
      </c>
      <c r="F7723" s="87">
        <v>20.0</v>
      </c>
      <c r="G7723" s="88">
        <f t="shared" si="1"/>
        <v>11.27</v>
      </c>
      <c r="H7723" s="89">
        <f t="shared" si="18"/>
        <v>0.5635</v>
      </c>
      <c r="I7723" s="78" t="s">
        <v>8776</v>
      </c>
      <c r="J7723" s="78" t="s">
        <v>69</v>
      </c>
      <c r="K7723" s="58">
        <f t="shared" si="17"/>
        <v>2</v>
      </c>
      <c r="L7723" s="91" t="str">
        <f t="shared" si="8"/>
        <v>Sun</v>
      </c>
      <c r="M7723" s="78" t="str">
        <f>IFERROR(VLOOKUP(A7723, Entries!A:B,2,false),"")</f>
        <v/>
      </c>
      <c r="N7723" s="23" t="str">
        <f>IFERROR(VLOOKUP(A7723, Entries!A:K,11,false),"")</f>
        <v/>
      </c>
    </row>
    <row r="7724">
      <c r="A7724" s="78" t="s">
        <v>8775</v>
      </c>
      <c r="B7724" s="78" t="s">
        <v>21</v>
      </c>
      <c r="C7724" s="85">
        <v>45772.0</v>
      </c>
      <c r="D7724" s="85">
        <v>45783.0</v>
      </c>
      <c r="E7724" s="86">
        <v>8.73</v>
      </c>
      <c r="F7724" s="87">
        <v>15.79</v>
      </c>
      <c r="G7724" s="88">
        <f t="shared" si="1"/>
        <v>7.06</v>
      </c>
      <c r="H7724" s="89">
        <f t="shared" si="18"/>
        <v>0.4471184294</v>
      </c>
      <c r="I7724" s="78" t="s">
        <v>8777</v>
      </c>
      <c r="J7724" s="78" t="s">
        <v>69</v>
      </c>
      <c r="K7724" s="58">
        <f t="shared" si="17"/>
        <v>11</v>
      </c>
      <c r="L7724" s="91" t="str">
        <f t="shared" si="8"/>
        <v>Tue</v>
      </c>
      <c r="M7724" s="78" t="str">
        <f>IFERROR(VLOOKUP(A7724, Entries!A:B,2,false),"")</f>
        <v/>
      </c>
      <c r="N7724" s="23" t="str">
        <f>IFERROR(VLOOKUP(A7724, Entries!A:K,11,false),"")</f>
        <v/>
      </c>
    </row>
    <row r="7725">
      <c r="A7725" s="78" t="s">
        <v>8778</v>
      </c>
      <c r="B7725" s="78" t="s">
        <v>22</v>
      </c>
      <c r="C7725" s="85">
        <v>45773.0</v>
      </c>
      <c r="D7725" s="85">
        <v>45774.0</v>
      </c>
      <c r="E7725" s="86">
        <v>4.53</v>
      </c>
      <c r="F7725" s="87">
        <v>5.53</v>
      </c>
      <c r="G7725" s="88">
        <f t="shared" si="1"/>
        <v>1</v>
      </c>
      <c r="H7725" s="89">
        <f t="shared" si="18"/>
        <v>0.1808318264</v>
      </c>
      <c r="I7725" s="78" t="s">
        <v>8779</v>
      </c>
      <c r="J7725" s="78" t="s">
        <v>69</v>
      </c>
      <c r="K7725" s="58">
        <f t="shared" si="17"/>
        <v>1</v>
      </c>
      <c r="L7725" s="91" t="str">
        <f t="shared" si="8"/>
        <v>Sun</v>
      </c>
      <c r="M7725" s="78" t="str">
        <f>IFERROR(VLOOKUP(A7725, Entries!A:B,2,false),"")</f>
        <v/>
      </c>
      <c r="N7725" s="23" t="str">
        <f>IFERROR(VLOOKUP(A7725, Entries!A:K,11,false),"")</f>
        <v/>
      </c>
    </row>
    <row r="7726">
      <c r="A7726" s="78" t="s">
        <v>8780</v>
      </c>
      <c r="B7726" s="78" t="s">
        <v>22</v>
      </c>
      <c r="C7726" s="85">
        <v>45774.0</v>
      </c>
      <c r="D7726" s="85">
        <v>45774.0</v>
      </c>
      <c r="E7726" s="86">
        <v>30.93</v>
      </c>
      <c r="F7726" s="87">
        <v>47.94</v>
      </c>
      <c r="G7726" s="88">
        <f t="shared" si="1"/>
        <v>17.01</v>
      </c>
      <c r="H7726" s="89">
        <f t="shared" si="18"/>
        <v>0.3548185232</v>
      </c>
      <c r="I7726" s="78" t="s">
        <v>8781</v>
      </c>
      <c r="J7726" s="78" t="s">
        <v>69</v>
      </c>
      <c r="K7726" s="58">
        <f t="shared" si="17"/>
        <v>0</v>
      </c>
      <c r="L7726" s="91" t="str">
        <f t="shared" si="8"/>
        <v>Sun</v>
      </c>
      <c r="M7726" s="78" t="str">
        <f>IFERROR(VLOOKUP(A7726, Entries!A:B,2,false),"")</f>
        <v/>
      </c>
      <c r="N7726" s="23" t="str">
        <f>IFERROR(VLOOKUP(A7726, Entries!A:K,11,false),"")</f>
        <v/>
      </c>
    </row>
    <row r="7727">
      <c r="A7727" s="78" t="s">
        <v>6006</v>
      </c>
      <c r="B7727" s="78" t="s">
        <v>19</v>
      </c>
      <c r="C7727" s="85">
        <v>45775.0</v>
      </c>
      <c r="D7727" s="85">
        <v>45776.0</v>
      </c>
      <c r="E7727" s="86">
        <v>32.45</v>
      </c>
      <c r="F7727" s="87">
        <v>33.96</v>
      </c>
      <c r="G7727" s="88">
        <f t="shared" si="1"/>
        <v>1.51</v>
      </c>
      <c r="H7727" s="89">
        <f t="shared" si="18"/>
        <v>0.04446407538</v>
      </c>
      <c r="I7727" s="78" t="s">
        <v>8782</v>
      </c>
      <c r="J7727" s="78" t="s">
        <v>69</v>
      </c>
      <c r="K7727" s="58">
        <f t="shared" si="17"/>
        <v>1</v>
      </c>
      <c r="L7727" s="91" t="str">
        <f t="shared" si="8"/>
        <v>Tue</v>
      </c>
      <c r="M7727" s="78" t="str">
        <f>IFERROR(VLOOKUP(A7727, Entries!A:B,2,false),"")</f>
        <v>Bethesda Softworks</v>
      </c>
      <c r="N7727" s="23" t="str">
        <f>IFERROR(VLOOKUP(A7727, Entries!A:K,11,false),"")</f>
        <v/>
      </c>
    </row>
    <row r="7728">
      <c r="A7728" s="78" t="s">
        <v>6006</v>
      </c>
      <c r="B7728" s="78" t="s">
        <v>19</v>
      </c>
      <c r="C7728" s="85">
        <v>45776.0</v>
      </c>
      <c r="D7728" s="85">
        <v>45777.0</v>
      </c>
      <c r="E7728" s="86">
        <v>33.19</v>
      </c>
      <c r="F7728" s="87">
        <v>36.47</v>
      </c>
      <c r="G7728" s="88">
        <f t="shared" si="1"/>
        <v>3.28</v>
      </c>
      <c r="H7728" s="89">
        <f t="shared" si="18"/>
        <v>0.08993693447</v>
      </c>
      <c r="I7728" s="78" t="s">
        <v>8783</v>
      </c>
      <c r="J7728" s="78" t="s">
        <v>69</v>
      </c>
      <c r="K7728" s="58">
        <f t="shared" si="17"/>
        <v>1</v>
      </c>
      <c r="L7728" s="91" t="str">
        <f t="shared" si="8"/>
        <v>Wed</v>
      </c>
      <c r="M7728" s="78" t="str">
        <f>IFERROR(VLOOKUP(A7728, Entries!A:B,2,false),"")</f>
        <v>Bethesda Softworks</v>
      </c>
      <c r="N7728" s="23" t="str">
        <f>IFERROR(VLOOKUP(A7728, Entries!A:K,11,false),"")</f>
        <v/>
      </c>
    </row>
    <row r="7729">
      <c r="A7729" s="78" t="s">
        <v>7814</v>
      </c>
      <c r="B7729" s="78" t="s">
        <v>21</v>
      </c>
      <c r="C7729" s="85">
        <v>45777.0</v>
      </c>
      <c r="D7729" s="85">
        <v>45778.0</v>
      </c>
      <c r="E7729" s="86">
        <v>26.06</v>
      </c>
      <c r="F7729" s="87">
        <v>29.58</v>
      </c>
      <c r="G7729" s="88">
        <f t="shared" si="1"/>
        <v>3.52</v>
      </c>
      <c r="H7729" s="89">
        <f t="shared" si="18"/>
        <v>0.1189993239</v>
      </c>
      <c r="I7729" s="78" t="s">
        <v>8784</v>
      </c>
      <c r="J7729" s="78" t="s">
        <v>69</v>
      </c>
      <c r="K7729" s="58">
        <f t="shared" si="17"/>
        <v>1</v>
      </c>
      <c r="L7729" s="91" t="str">
        <f t="shared" si="8"/>
        <v>Thu</v>
      </c>
      <c r="M7729" s="78" t="str">
        <f>IFERROR(VLOOKUP(A7729, Entries!A:B,2,false),"")</f>
        <v>Electronic Arts</v>
      </c>
      <c r="N7729" s="23" t="str">
        <f>IFERROR(VLOOKUP(A7729, Entries!A:K,11,false),"")</f>
        <v/>
      </c>
    </row>
    <row r="7730">
      <c r="A7730" s="78" t="s">
        <v>7814</v>
      </c>
      <c r="B7730" s="78" t="s">
        <v>21</v>
      </c>
      <c r="C7730" s="85">
        <v>45777.0</v>
      </c>
      <c r="D7730" s="85">
        <v>45900.0</v>
      </c>
      <c r="E7730" s="86">
        <v>26.07</v>
      </c>
      <c r="F7730" s="87">
        <v>27.75</v>
      </c>
      <c r="G7730" s="88">
        <f t="shared" si="1"/>
        <v>1.68</v>
      </c>
      <c r="H7730" s="89">
        <f t="shared" si="18"/>
        <v>0.06054054054</v>
      </c>
      <c r="I7730" s="78" t="s">
        <v>8785</v>
      </c>
      <c r="J7730" s="78" t="s">
        <v>69</v>
      </c>
      <c r="K7730" s="58">
        <f t="shared" si="17"/>
        <v>123</v>
      </c>
      <c r="L7730" s="91" t="str">
        <f t="shared" si="8"/>
        <v>Sun</v>
      </c>
      <c r="M7730" s="78" t="str">
        <f>IFERROR(VLOOKUP(A7730, Entries!A:B,2,false),"")</f>
        <v>Electronic Arts</v>
      </c>
      <c r="N7730" s="23" t="str">
        <f>IFERROR(VLOOKUP(A7730, Entries!A:K,11,false),"")</f>
        <v/>
      </c>
    </row>
    <row r="7731">
      <c r="A7731" s="78" t="s">
        <v>6006</v>
      </c>
      <c r="B7731" s="78" t="s">
        <v>19</v>
      </c>
      <c r="C7731" s="85">
        <v>45778.0</v>
      </c>
      <c r="D7731" s="85">
        <v>45782.0</v>
      </c>
      <c r="E7731" s="86">
        <v>33.07</v>
      </c>
      <c r="F7731" s="87">
        <v>36.47</v>
      </c>
      <c r="G7731" s="88">
        <f t="shared" si="1"/>
        <v>3.4</v>
      </c>
      <c r="H7731" s="89">
        <f t="shared" si="18"/>
        <v>0.09322731012</v>
      </c>
      <c r="I7731" s="78" t="s">
        <v>8786</v>
      </c>
      <c r="J7731" s="78" t="s">
        <v>69</v>
      </c>
      <c r="K7731" s="58">
        <f t="shared" si="17"/>
        <v>4</v>
      </c>
      <c r="L7731" s="91" t="str">
        <f t="shared" si="8"/>
        <v>Mon</v>
      </c>
      <c r="M7731" s="78" t="str">
        <f>IFERROR(VLOOKUP(A7731, Entries!A:B,2,false),"")</f>
        <v>Bethesda Softworks</v>
      </c>
      <c r="N7731" s="23" t="str">
        <f>IFERROR(VLOOKUP(A7731, Entries!A:K,11,false),"")</f>
        <v/>
      </c>
    </row>
    <row r="7732">
      <c r="A7732" s="78" t="s">
        <v>8056</v>
      </c>
      <c r="B7732" s="78" t="s">
        <v>18</v>
      </c>
      <c r="C7732" s="85">
        <v>45778.0</v>
      </c>
      <c r="D7732" s="85">
        <v>45786.0</v>
      </c>
      <c r="E7732" s="86">
        <v>24.55</v>
      </c>
      <c r="F7732" s="87">
        <v>28.67</v>
      </c>
      <c r="G7732" s="88">
        <f t="shared" si="1"/>
        <v>4.12</v>
      </c>
      <c r="H7732" s="89">
        <f t="shared" si="18"/>
        <v>0.1437042204</v>
      </c>
      <c r="I7732" s="78" t="s">
        <v>8787</v>
      </c>
      <c r="J7732" s="78" t="s">
        <v>69</v>
      </c>
      <c r="K7732" s="58">
        <f t="shared" si="17"/>
        <v>8</v>
      </c>
      <c r="L7732" s="91" t="str">
        <f t="shared" si="8"/>
        <v>Fri</v>
      </c>
      <c r="M7732" s="78" t="str">
        <f>IFERROR(VLOOKUP(A7732, Entries!A:B,2,false),"")</f>
        <v>Survios</v>
      </c>
      <c r="N7732" s="23" t="str">
        <f>IFERROR(VLOOKUP(A7732, Entries!A:K,11,false),"")</f>
        <v/>
      </c>
    </row>
    <row r="7733">
      <c r="A7733" s="78" t="s">
        <v>8788</v>
      </c>
      <c r="B7733" s="78" t="s">
        <v>18</v>
      </c>
      <c r="C7733" s="85">
        <v>45778.0</v>
      </c>
      <c r="D7733" s="85">
        <v>45778.0</v>
      </c>
      <c r="E7733" s="86">
        <v>28.54</v>
      </c>
      <c r="F7733" s="87">
        <v>32.72</v>
      </c>
      <c r="G7733" s="88">
        <f t="shared" si="1"/>
        <v>4.18</v>
      </c>
      <c r="H7733" s="89">
        <f t="shared" si="18"/>
        <v>0.1277506112</v>
      </c>
      <c r="I7733" s="78" t="s">
        <v>8789</v>
      </c>
      <c r="J7733" s="78" t="s">
        <v>69</v>
      </c>
      <c r="K7733" s="58">
        <f t="shared" si="17"/>
        <v>0</v>
      </c>
      <c r="L7733" s="91" t="str">
        <f t="shared" si="8"/>
        <v>Thu</v>
      </c>
      <c r="M7733" s="78" t="str">
        <f>IFERROR(VLOOKUP(A7733, Entries!A:B,2,false),"")</f>
        <v/>
      </c>
      <c r="N7733" s="23" t="str">
        <f>IFERROR(VLOOKUP(A7733, Entries!A:K,11,false),"")</f>
        <v/>
      </c>
    </row>
    <row r="7734">
      <c r="A7734" s="78" t="s">
        <v>8790</v>
      </c>
      <c r="B7734" s="78" t="s">
        <v>18</v>
      </c>
      <c r="C7734" s="85">
        <v>45778.0</v>
      </c>
      <c r="D7734" s="85">
        <v>45778.0</v>
      </c>
      <c r="E7734" s="86">
        <v>28.54</v>
      </c>
      <c r="F7734" s="87">
        <v>32.72</v>
      </c>
      <c r="G7734" s="88">
        <f t="shared" si="1"/>
        <v>4.18</v>
      </c>
      <c r="H7734" s="89">
        <f t="shared" si="18"/>
        <v>0.1277506112</v>
      </c>
      <c r="I7734" s="78" t="s">
        <v>8791</v>
      </c>
      <c r="J7734" s="78" t="s">
        <v>69</v>
      </c>
      <c r="K7734" s="58">
        <f t="shared" si="17"/>
        <v>0</v>
      </c>
      <c r="L7734" s="91" t="str">
        <f t="shared" si="8"/>
        <v>Thu</v>
      </c>
      <c r="M7734" s="78" t="str">
        <f>IFERROR(VLOOKUP(A7734, Entries!A:B,2,false),"")</f>
        <v/>
      </c>
      <c r="N7734" s="23" t="str">
        <f>IFERROR(VLOOKUP(A7734, Entries!A:K,11,false),"")</f>
        <v/>
      </c>
    </row>
    <row r="7735">
      <c r="A7735" s="78" t="s">
        <v>8790</v>
      </c>
      <c r="B7735" s="78" t="s">
        <v>18</v>
      </c>
      <c r="C7735" s="85">
        <v>45778.0</v>
      </c>
      <c r="D7735" s="85">
        <v>45778.0</v>
      </c>
      <c r="E7735" s="86">
        <v>28.38</v>
      </c>
      <c r="F7735" s="87">
        <v>32.72</v>
      </c>
      <c r="G7735" s="88">
        <f t="shared" si="1"/>
        <v>4.34</v>
      </c>
      <c r="H7735" s="89">
        <f t="shared" si="18"/>
        <v>0.1326405868</v>
      </c>
      <c r="I7735" s="78" t="s">
        <v>8792</v>
      </c>
      <c r="J7735" s="78" t="s">
        <v>69</v>
      </c>
      <c r="K7735" s="58">
        <f t="shared" si="17"/>
        <v>0</v>
      </c>
      <c r="L7735" s="91" t="str">
        <f t="shared" si="8"/>
        <v>Thu</v>
      </c>
      <c r="M7735" s="78" t="str">
        <f>IFERROR(VLOOKUP(A7735, Entries!A:B,2,false),"")</f>
        <v/>
      </c>
      <c r="N7735" s="23" t="str">
        <f>IFERROR(VLOOKUP(A7735, Entries!A:K,11,false),"")</f>
        <v/>
      </c>
    </row>
    <row r="7736">
      <c r="A7736" s="78" t="s">
        <v>8790</v>
      </c>
      <c r="B7736" s="78" t="s">
        <v>18</v>
      </c>
      <c r="C7736" s="85">
        <v>45778.0</v>
      </c>
      <c r="D7736" s="85">
        <v>45779.0</v>
      </c>
      <c r="E7736" s="86">
        <v>28.38</v>
      </c>
      <c r="F7736" s="87">
        <v>32.72</v>
      </c>
      <c r="G7736" s="88">
        <f t="shared" si="1"/>
        <v>4.34</v>
      </c>
      <c r="H7736" s="89">
        <f t="shared" si="18"/>
        <v>0.1326405868</v>
      </c>
      <c r="I7736" s="78" t="s">
        <v>8793</v>
      </c>
      <c r="J7736" s="78" t="s">
        <v>69</v>
      </c>
      <c r="K7736" s="58">
        <f t="shared" si="17"/>
        <v>1</v>
      </c>
      <c r="L7736" s="91" t="str">
        <f t="shared" si="8"/>
        <v>Fri</v>
      </c>
      <c r="M7736" s="78" t="str">
        <f>IFERROR(VLOOKUP(A7736, Entries!A:B,2,false),"")</f>
        <v/>
      </c>
      <c r="N7736" s="23" t="str">
        <f>IFERROR(VLOOKUP(A7736, Entries!A:K,11,false),"")</f>
        <v/>
      </c>
    </row>
    <row r="7737">
      <c r="A7737" s="78" t="s">
        <v>8790</v>
      </c>
      <c r="B7737" s="78" t="s">
        <v>18</v>
      </c>
      <c r="C7737" s="85">
        <v>45778.0</v>
      </c>
      <c r="D7737" s="85">
        <v>45779.0</v>
      </c>
      <c r="E7737" s="86">
        <v>28.38</v>
      </c>
      <c r="F7737" s="87">
        <v>32.72</v>
      </c>
      <c r="G7737" s="88">
        <f t="shared" si="1"/>
        <v>4.34</v>
      </c>
      <c r="H7737" s="89">
        <f t="shared" si="18"/>
        <v>0.1326405868</v>
      </c>
      <c r="I7737" s="78" t="s">
        <v>8794</v>
      </c>
      <c r="J7737" s="78" t="s">
        <v>69</v>
      </c>
      <c r="K7737" s="58">
        <f t="shared" si="17"/>
        <v>1</v>
      </c>
      <c r="L7737" s="91" t="str">
        <f t="shared" si="8"/>
        <v>Fri</v>
      </c>
      <c r="M7737" s="78" t="str">
        <f>IFERROR(VLOOKUP(A7737, Entries!A:B,2,false),"")</f>
        <v/>
      </c>
      <c r="N7737" s="23" t="str">
        <f>IFERROR(VLOOKUP(A7737, Entries!A:K,11,false),"")</f>
        <v/>
      </c>
    </row>
    <row r="7738">
      <c r="A7738" s="78" t="s">
        <v>8759</v>
      </c>
      <c r="B7738" s="78" t="s">
        <v>25</v>
      </c>
      <c r="C7738" s="85">
        <v>45778.0</v>
      </c>
      <c r="D7738" s="85">
        <v>45779.0</v>
      </c>
      <c r="E7738" s="86">
        <v>24.5</v>
      </c>
      <c r="F7738" s="87">
        <v>32.16</v>
      </c>
      <c r="G7738" s="88">
        <f t="shared" si="1"/>
        <v>7.66</v>
      </c>
      <c r="H7738" s="89">
        <f t="shared" si="18"/>
        <v>0.2381840796</v>
      </c>
      <c r="I7738" s="78" t="s">
        <v>8795</v>
      </c>
      <c r="J7738" s="78" t="s">
        <v>69</v>
      </c>
      <c r="K7738" s="58">
        <f t="shared" si="17"/>
        <v>1</v>
      </c>
      <c r="L7738" s="91" t="str">
        <f t="shared" si="8"/>
        <v>Fri</v>
      </c>
      <c r="M7738" s="78" t="str">
        <f>IFERROR(VLOOKUP(A7738, Entries!A:B,2,false),"")</f>
        <v/>
      </c>
      <c r="N7738" s="23" t="str">
        <f>IFERROR(VLOOKUP(A7738, Entries!A:K,11,false),"")</f>
        <v/>
      </c>
    </row>
    <row r="7739">
      <c r="A7739" s="78" t="s">
        <v>8759</v>
      </c>
      <c r="B7739" s="78" t="s">
        <v>18</v>
      </c>
      <c r="C7739" s="85">
        <v>45778.0</v>
      </c>
      <c r="D7739" s="85">
        <v>45792.0</v>
      </c>
      <c r="E7739" s="86">
        <v>26.3</v>
      </c>
      <c r="F7739" s="87">
        <v>32.14</v>
      </c>
      <c r="G7739" s="88">
        <f t="shared" si="1"/>
        <v>5.84</v>
      </c>
      <c r="H7739" s="89">
        <f t="shared" si="18"/>
        <v>0.1817050404</v>
      </c>
      <c r="I7739" s="78" t="s">
        <v>8796</v>
      </c>
      <c r="J7739" s="78" t="s">
        <v>69</v>
      </c>
      <c r="K7739" s="58">
        <f t="shared" si="17"/>
        <v>14</v>
      </c>
      <c r="L7739" s="91" t="str">
        <f t="shared" si="8"/>
        <v>Thu</v>
      </c>
      <c r="M7739" s="78" t="str">
        <f>IFERROR(VLOOKUP(A7739, Entries!A:B,2,false),"")</f>
        <v/>
      </c>
    </row>
    <row r="7740">
      <c r="A7740" s="78" t="s">
        <v>8759</v>
      </c>
      <c r="B7740" s="78" t="s">
        <v>18</v>
      </c>
      <c r="C7740" s="85">
        <v>45778.0</v>
      </c>
      <c r="D7740" s="85">
        <v>45940.0</v>
      </c>
      <c r="E7740" s="86">
        <v>26.3</v>
      </c>
      <c r="F7740" s="87">
        <v>28.62</v>
      </c>
      <c r="G7740" s="88">
        <f t="shared" si="1"/>
        <v>2.32</v>
      </c>
      <c r="H7740" s="89">
        <f t="shared" si="18"/>
        <v>0.08106219427</v>
      </c>
      <c r="I7740" s="78" t="s">
        <v>8797</v>
      </c>
      <c r="J7740" s="78" t="s">
        <v>69</v>
      </c>
      <c r="K7740" s="58">
        <f t="shared" si="17"/>
        <v>162</v>
      </c>
      <c r="L7740" s="91" t="str">
        <f t="shared" si="8"/>
        <v>Fri</v>
      </c>
      <c r="M7740" s="78" t="str">
        <f>IFERROR(VLOOKUP(A7740, Entries!A:B,2,false),"")</f>
        <v/>
      </c>
      <c r="N7740" s="23" t="str">
        <f>IFERROR(VLOOKUP(A7740, Entries!A:K,11,false),"")</f>
        <v/>
      </c>
    </row>
    <row r="7741">
      <c r="A7741" s="78" t="s">
        <v>8327</v>
      </c>
      <c r="B7741" s="94" t="s">
        <v>22</v>
      </c>
      <c r="C7741" s="85">
        <v>45779.0</v>
      </c>
      <c r="D7741" s="85">
        <v>46129.0</v>
      </c>
      <c r="E7741" s="86">
        <v>27.82</v>
      </c>
      <c r="F7741" s="87">
        <v>17.83</v>
      </c>
      <c r="G7741" s="88">
        <f t="shared" si="1"/>
        <v>-9.99</v>
      </c>
      <c r="H7741" s="89">
        <f t="shared" si="18"/>
        <v>-0.5602916433</v>
      </c>
      <c r="I7741" s="78" t="s">
        <v>8798</v>
      </c>
      <c r="J7741" s="78" t="s">
        <v>69</v>
      </c>
      <c r="K7741" s="58">
        <f t="shared" si="17"/>
        <v>350</v>
      </c>
      <c r="L7741" s="91" t="str">
        <f t="shared" si="8"/>
        <v>Fri</v>
      </c>
      <c r="M7741" s="78" t="str">
        <f>IFERROR(VLOOKUP(A7741, Entries!A:B,2,false),"")</f>
        <v/>
      </c>
      <c r="N7741" s="23" t="str">
        <f>IFERROR(VLOOKUP(A7741, Entries!A:K,11,false),"")</f>
        <v/>
      </c>
    </row>
    <row r="7742">
      <c r="A7742" s="94" t="s">
        <v>8327</v>
      </c>
      <c r="B7742" s="94" t="s">
        <v>22</v>
      </c>
      <c r="C7742" s="85">
        <v>45779.0</v>
      </c>
      <c r="D7742" s="85">
        <v>45779.0</v>
      </c>
      <c r="E7742" s="86">
        <v>7.97</v>
      </c>
      <c r="F7742" s="87">
        <v>14.22</v>
      </c>
      <c r="G7742" s="88">
        <f t="shared" si="1"/>
        <v>6.25</v>
      </c>
      <c r="H7742" s="89">
        <f t="shared" si="18"/>
        <v>0.4395218003</v>
      </c>
      <c r="I7742" s="78" t="s">
        <v>8799</v>
      </c>
      <c r="J7742" s="78" t="s">
        <v>69</v>
      </c>
      <c r="K7742" s="58">
        <f t="shared" si="17"/>
        <v>0</v>
      </c>
      <c r="L7742" s="91" t="str">
        <f t="shared" si="8"/>
        <v>Fri</v>
      </c>
      <c r="M7742" s="78" t="str">
        <f>IFERROR(VLOOKUP(A7742, Entries!A:B,2,false),"")</f>
        <v/>
      </c>
      <c r="N7742" s="23" t="str">
        <f>IFERROR(VLOOKUP(A7742, Entries!A:K,11,false),"")</f>
        <v/>
      </c>
    </row>
    <row r="7743">
      <c r="A7743" s="94" t="s">
        <v>8327</v>
      </c>
      <c r="B7743" s="94" t="s">
        <v>22</v>
      </c>
      <c r="C7743" s="85">
        <v>45779.0</v>
      </c>
      <c r="D7743" s="85">
        <v>45780.0</v>
      </c>
      <c r="E7743" s="86">
        <v>7.97</v>
      </c>
      <c r="F7743" s="87">
        <v>13.98</v>
      </c>
      <c r="G7743" s="88">
        <f t="shared" si="1"/>
        <v>6.01</v>
      </c>
      <c r="H7743" s="89">
        <f t="shared" si="18"/>
        <v>0.4298998569</v>
      </c>
      <c r="I7743" s="78" t="s">
        <v>8800</v>
      </c>
      <c r="J7743" s="78" t="s">
        <v>69</v>
      </c>
      <c r="K7743" s="58">
        <f t="shared" si="17"/>
        <v>1</v>
      </c>
      <c r="L7743" s="91" t="str">
        <f t="shared" si="8"/>
        <v>Sat</v>
      </c>
      <c r="M7743" s="78" t="str">
        <f>IFERROR(VLOOKUP(A7743, Entries!A:B,2,false),"")</f>
        <v/>
      </c>
      <c r="N7743" s="23" t="str">
        <f>IFERROR(VLOOKUP(A7743, Entries!A:K,11,false),"")</f>
        <v/>
      </c>
    </row>
    <row r="7744">
      <c r="A7744" s="94" t="s">
        <v>8327</v>
      </c>
      <c r="B7744" s="94" t="s">
        <v>22</v>
      </c>
      <c r="C7744" s="85">
        <v>45779.0</v>
      </c>
      <c r="D7744" s="85">
        <v>45780.0</v>
      </c>
      <c r="E7744" s="86">
        <v>7.97</v>
      </c>
      <c r="F7744" s="87">
        <v>13.98</v>
      </c>
      <c r="G7744" s="88">
        <f t="shared" si="1"/>
        <v>6.01</v>
      </c>
      <c r="H7744" s="89">
        <f t="shared" si="18"/>
        <v>0.4298998569</v>
      </c>
      <c r="I7744" s="78" t="s">
        <v>8801</v>
      </c>
      <c r="J7744" s="78" t="s">
        <v>69</v>
      </c>
      <c r="K7744" s="58">
        <f t="shared" si="17"/>
        <v>1</v>
      </c>
      <c r="L7744" s="91" t="str">
        <f t="shared" si="8"/>
        <v>Sat</v>
      </c>
      <c r="M7744" s="78" t="str">
        <f>IFERROR(VLOOKUP(A7744, Entries!A:B,2,false),"")</f>
        <v/>
      </c>
      <c r="N7744" s="23" t="str">
        <f>IFERROR(VLOOKUP(A7744, Entries!A:K,11,false),"")</f>
        <v/>
      </c>
    </row>
    <row r="7745">
      <c r="A7745" s="78" t="s">
        <v>8802</v>
      </c>
      <c r="B7745" s="78" t="s">
        <v>22</v>
      </c>
      <c r="C7745" s="85">
        <v>45780.0</v>
      </c>
      <c r="D7745" s="85">
        <v>45790.0</v>
      </c>
      <c r="E7745" s="86">
        <v>20.33</v>
      </c>
      <c r="F7745" s="87">
        <v>23.81</v>
      </c>
      <c r="G7745" s="88">
        <f t="shared" si="1"/>
        <v>3.48</v>
      </c>
      <c r="H7745" s="89">
        <f t="shared" si="18"/>
        <v>0.1461570769</v>
      </c>
      <c r="I7745" s="78" t="s">
        <v>8803</v>
      </c>
      <c r="J7745" s="78" t="s">
        <v>69</v>
      </c>
      <c r="K7745" s="58">
        <f t="shared" si="17"/>
        <v>10</v>
      </c>
      <c r="L7745" s="91" t="str">
        <f t="shared" si="8"/>
        <v>Tue</v>
      </c>
      <c r="M7745" s="78" t="str">
        <f>IFERROR(VLOOKUP(A7745, Entries!A:B,2,false),"")</f>
        <v/>
      </c>
      <c r="N7745" s="23" t="str">
        <f>IFERROR(VLOOKUP(A7745, Entries!A:K,11,false),"")</f>
        <v/>
      </c>
    </row>
    <row r="7746">
      <c r="A7746" s="78" t="s">
        <v>8790</v>
      </c>
      <c r="B7746" s="78" t="s">
        <v>18</v>
      </c>
      <c r="C7746" s="85">
        <v>45781.0</v>
      </c>
      <c r="D7746" s="85">
        <v>45781.0</v>
      </c>
      <c r="E7746" s="86">
        <v>30.9</v>
      </c>
      <c r="F7746" s="87">
        <v>34.57</v>
      </c>
      <c r="G7746" s="88">
        <f t="shared" si="1"/>
        <v>3.67</v>
      </c>
      <c r="H7746" s="89">
        <f t="shared" si="18"/>
        <v>0.1061614116</v>
      </c>
      <c r="I7746" s="78" t="s">
        <v>8804</v>
      </c>
      <c r="J7746" s="78" t="s">
        <v>69</v>
      </c>
      <c r="K7746" s="58">
        <f t="shared" si="17"/>
        <v>0</v>
      </c>
      <c r="L7746" s="91" t="str">
        <f t="shared" si="8"/>
        <v>Sun</v>
      </c>
      <c r="M7746" s="78" t="str">
        <f>IFERROR(VLOOKUP(A7746, Entries!A:B,2,false),"")</f>
        <v/>
      </c>
      <c r="N7746" s="23" t="str">
        <f>IFERROR(VLOOKUP(A7746, Entries!A:K,11,false),"")</f>
        <v/>
      </c>
    </row>
    <row r="7747">
      <c r="A7747" s="78" t="s">
        <v>8790</v>
      </c>
      <c r="B7747" s="78" t="s">
        <v>18</v>
      </c>
      <c r="C7747" s="85">
        <v>45781.0</v>
      </c>
      <c r="D7747" s="85">
        <v>45781.0</v>
      </c>
      <c r="E7747" s="86">
        <v>30.9</v>
      </c>
      <c r="F7747" s="87">
        <v>32.26</v>
      </c>
      <c r="G7747" s="88">
        <f t="shared" si="1"/>
        <v>1.36</v>
      </c>
      <c r="H7747" s="89">
        <f t="shared" si="18"/>
        <v>0.04215747055</v>
      </c>
      <c r="I7747" s="78" t="s">
        <v>8805</v>
      </c>
      <c r="J7747" s="78" t="s">
        <v>69</v>
      </c>
      <c r="K7747" s="58">
        <f t="shared" si="17"/>
        <v>0</v>
      </c>
      <c r="L7747" s="91" t="str">
        <f t="shared" si="8"/>
        <v>Sun</v>
      </c>
      <c r="M7747" s="78" t="str">
        <f>IFERROR(VLOOKUP(A7747, Entries!A:B,2,false),"")</f>
        <v/>
      </c>
      <c r="N7747" s="23" t="str">
        <f>IFERROR(VLOOKUP(A7747, Entries!A:K,11,false),"")</f>
        <v/>
      </c>
    </row>
    <row r="7748">
      <c r="A7748" s="78" t="s">
        <v>8790</v>
      </c>
      <c r="B7748" s="78" t="s">
        <v>18</v>
      </c>
      <c r="C7748" s="85">
        <v>45781.0</v>
      </c>
      <c r="D7748" s="85">
        <v>45782.0</v>
      </c>
      <c r="E7748" s="86">
        <v>30.9</v>
      </c>
      <c r="F7748" s="87">
        <v>34.11</v>
      </c>
      <c r="G7748" s="88">
        <f t="shared" si="1"/>
        <v>3.21</v>
      </c>
      <c r="H7748" s="89">
        <f t="shared" si="18"/>
        <v>0.09410729991</v>
      </c>
      <c r="I7748" s="78" t="s">
        <v>8806</v>
      </c>
      <c r="J7748" s="78" t="s">
        <v>69</v>
      </c>
      <c r="K7748" s="58">
        <f t="shared" si="17"/>
        <v>1</v>
      </c>
      <c r="L7748" s="91" t="str">
        <f t="shared" si="8"/>
        <v>Mon</v>
      </c>
      <c r="M7748" s="78" t="str">
        <f>IFERROR(VLOOKUP(A7748, Entries!A:B,2,false),"")</f>
        <v/>
      </c>
      <c r="N7748" s="23" t="str">
        <f>IFERROR(VLOOKUP(A7748, Entries!A:K,11,false),"")</f>
        <v/>
      </c>
    </row>
    <row r="7749">
      <c r="A7749" s="78" t="s">
        <v>8807</v>
      </c>
      <c r="B7749" s="78" t="s">
        <v>21</v>
      </c>
      <c r="C7749" s="85">
        <v>45781.0</v>
      </c>
      <c r="D7749" s="85">
        <v>45805.0</v>
      </c>
      <c r="E7749" s="86">
        <v>21.96</v>
      </c>
      <c r="F7749" s="87">
        <v>27.5</v>
      </c>
      <c r="G7749" s="88">
        <f t="shared" si="1"/>
        <v>5.54</v>
      </c>
      <c r="H7749" s="89">
        <f t="shared" si="18"/>
        <v>0.2014545455</v>
      </c>
      <c r="I7749" s="78" t="s">
        <v>8807</v>
      </c>
      <c r="J7749" s="78" t="s">
        <v>69</v>
      </c>
      <c r="K7749" s="58">
        <f t="shared" si="17"/>
        <v>24</v>
      </c>
      <c r="L7749" s="91" t="str">
        <f t="shared" si="8"/>
        <v>Wed</v>
      </c>
      <c r="M7749" s="78" t="str">
        <f>IFERROR(VLOOKUP(A7749, Entries!A:B,2,false),"")</f>
        <v/>
      </c>
      <c r="N7749" s="23" t="str">
        <f>IFERROR(VLOOKUP(A7749, Entries!A:K,11,false),"")</f>
        <v/>
      </c>
    </row>
    <row r="7750">
      <c r="A7750" s="78" t="s">
        <v>8790</v>
      </c>
      <c r="B7750" s="78" t="s">
        <v>18</v>
      </c>
      <c r="C7750" s="85">
        <v>45781.0</v>
      </c>
      <c r="D7750" s="85">
        <v>45782.0</v>
      </c>
      <c r="E7750" s="86">
        <v>30.9</v>
      </c>
      <c r="F7750" s="87">
        <v>34.11</v>
      </c>
      <c r="G7750" s="88">
        <f t="shared" si="1"/>
        <v>3.21</v>
      </c>
      <c r="H7750" s="89">
        <f t="shared" si="18"/>
        <v>0.09410729991</v>
      </c>
      <c r="I7750" s="78" t="s">
        <v>8808</v>
      </c>
      <c r="J7750" s="78" t="s">
        <v>69</v>
      </c>
      <c r="K7750" s="58">
        <f t="shared" si="17"/>
        <v>1</v>
      </c>
      <c r="L7750" s="91" t="str">
        <f t="shared" si="8"/>
        <v>Mon</v>
      </c>
      <c r="M7750" s="78" t="str">
        <f>IFERROR(VLOOKUP(A7750, Entries!A:B,2,false),"")</f>
        <v/>
      </c>
      <c r="N7750" s="23" t="str">
        <f>IFERROR(VLOOKUP(A7750, Entries!A:K,11,false),"")</f>
        <v/>
      </c>
    </row>
    <row r="7751">
      <c r="A7751" s="78" t="s">
        <v>8790</v>
      </c>
      <c r="B7751" s="78" t="s">
        <v>18</v>
      </c>
      <c r="C7751" s="85">
        <v>45781.0</v>
      </c>
      <c r="D7751" s="85">
        <v>45782.0</v>
      </c>
      <c r="E7751" s="86">
        <v>30.9</v>
      </c>
      <c r="F7751" s="87">
        <v>34.11</v>
      </c>
      <c r="G7751" s="88">
        <f t="shared" si="1"/>
        <v>3.21</v>
      </c>
      <c r="H7751" s="89">
        <f t="shared" si="18"/>
        <v>0.09410729991</v>
      </c>
      <c r="I7751" s="78" t="s">
        <v>8809</v>
      </c>
      <c r="J7751" s="78" t="s">
        <v>69</v>
      </c>
      <c r="K7751" s="58">
        <f t="shared" si="17"/>
        <v>1</v>
      </c>
      <c r="L7751" s="91" t="str">
        <f t="shared" si="8"/>
        <v>Mon</v>
      </c>
      <c r="M7751" s="78" t="str">
        <f>IFERROR(VLOOKUP(A7751, Entries!A:B,2,false),"")</f>
        <v/>
      </c>
      <c r="N7751" s="23" t="str">
        <f>IFERROR(VLOOKUP(A7751, Entries!A:K,11,false),"")</f>
        <v/>
      </c>
    </row>
    <row r="7752">
      <c r="A7752" s="78" t="s">
        <v>8790</v>
      </c>
      <c r="B7752" s="78" t="s">
        <v>18</v>
      </c>
      <c r="C7752" s="85">
        <v>45781.0</v>
      </c>
      <c r="D7752" s="85">
        <v>45782.0</v>
      </c>
      <c r="E7752" s="86">
        <v>30.9</v>
      </c>
      <c r="F7752" s="87">
        <v>34.11</v>
      </c>
      <c r="G7752" s="88">
        <f t="shared" si="1"/>
        <v>3.21</v>
      </c>
      <c r="H7752" s="89">
        <f t="shared" si="18"/>
        <v>0.09410729991</v>
      </c>
      <c r="I7752" s="78" t="s">
        <v>8810</v>
      </c>
      <c r="J7752" s="78" t="s">
        <v>69</v>
      </c>
      <c r="K7752" s="58">
        <f t="shared" si="17"/>
        <v>1</v>
      </c>
      <c r="L7752" s="91" t="str">
        <f t="shared" si="8"/>
        <v>Mon</v>
      </c>
      <c r="M7752" s="78" t="str">
        <f>IFERROR(VLOOKUP(A7752, Entries!A:B,2,false),"")</f>
        <v/>
      </c>
      <c r="N7752" s="23" t="str">
        <f>IFERROR(VLOOKUP(A7752, Entries!A:K,11,false),"")</f>
        <v/>
      </c>
    </row>
    <row r="7753">
      <c r="A7753" s="78" t="s">
        <v>8811</v>
      </c>
      <c r="B7753" s="78" t="s">
        <v>22</v>
      </c>
      <c r="C7753" s="85">
        <v>45782.0</v>
      </c>
      <c r="D7753" s="85">
        <v>45784.0</v>
      </c>
      <c r="E7753" s="86">
        <v>4.55</v>
      </c>
      <c r="F7753" s="87">
        <v>7.42</v>
      </c>
      <c r="G7753" s="88">
        <f t="shared" si="1"/>
        <v>2.87</v>
      </c>
      <c r="H7753" s="89">
        <f t="shared" si="18"/>
        <v>0.3867924528</v>
      </c>
      <c r="I7753" s="78" t="s">
        <v>8812</v>
      </c>
      <c r="J7753" s="78" t="s">
        <v>69</v>
      </c>
      <c r="K7753" s="58">
        <f t="shared" si="17"/>
        <v>2</v>
      </c>
      <c r="L7753" s="91" t="str">
        <f t="shared" si="8"/>
        <v>Wed</v>
      </c>
      <c r="M7753" s="78" t="str">
        <f>IFERROR(VLOOKUP(A7753, Entries!A:B,2,false),"")</f>
        <v/>
      </c>
      <c r="N7753" s="23" t="str">
        <f>IFERROR(VLOOKUP(A7753, Entries!A:K,11,false),"")</f>
        <v/>
      </c>
    </row>
    <row r="7754">
      <c r="A7754" s="78" t="s">
        <v>7370</v>
      </c>
      <c r="B7754" s="78" t="s">
        <v>18</v>
      </c>
      <c r="C7754" s="85">
        <v>45783.0</v>
      </c>
      <c r="D7754" s="85">
        <v>45784.0</v>
      </c>
      <c r="E7754" s="86">
        <v>15.58</v>
      </c>
      <c r="F7754" s="87">
        <v>23.78</v>
      </c>
      <c r="G7754" s="88">
        <f t="shared" si="1"/>
        <v>8.2</v>
      </c>
      <c r="H7754" s="89">
        <f t="shared" si="18"/>
        <v>0.3448275862</v>
      </c>
      <c r="I7754" s="78" t="s">
        <v>8813</v>
      </c>
      <c r="J7754" s="78" t="s">
        <v>69</v>
      </c>
      <c r="K7754" s="58">
        <f t="shared" si="17"/>
        <v>1</v>
      </c>
      <c r="L7754" s="91" t="str">
        <f t="shared" si="8"/>
        <v>Wed</v>
      </c>
      <c r="M7754" s="78" t="str">
        <f>IFERROR(VLOOKUP(A7754, Entries!A:B,2,false),"")</f>
        <v/>
      </c>
      <c r="N7754" s="23" t="str">
        <f>IFERROR(VLOOKUP(A7754, Entries!A:K,11,false),"")</f>
        <v/>
      </c>
    </row>
    <row r="7755">
      <c r="A7755" s="78" t="s">
        <v>7370</v>
      </c>
      <c r="B7755" s="78" t="s">
        <v>18</v>
      </c>
      <c r="C7755" s="85">
        <v>45783.0</v>
      </c>
      <c r="D7755" s="85">
        <v>45789.0</v>
      </c>
      <c r="E7755" s="86">
        <v>15.59</v>
      </c>
      <c r="F7755" s="87">
        <v>19.29</v>
      </c>
      <c r="G7755" s="88">
        <f t="shared" si="1"/>
        <v>3.7</v>
      </c>
      <c r="H7755" s="89">
        <f t="shared" si="18"/>
        <v>0.1918092276</v>
      </c>
      <c r="I7755" s="78" t="s">
        <v>8814</v>
      </c>
      <c r="J7755" s="78" t="s">
        <v>69</v>
      </c>
      <c r="K7755" s="58">
        <f t="shared" si="17"/>
        <v>6</v>
      </c>
      <c r="L7755" s="91" t="str">
        <f t="shared" si="8"/>
        <v>Mon</v>
      </c>
      <c r="M7755" s="78" t="str">
        <f>IFERROR(VLOOKUP(A7755, Entries!A:B,2,false),"")</f>
        <v/>
      </c>
      <c r="N7755" s="23" t="str">
        <f>IFERROR(VLOOKUP(A7755, Entries!A:K,11,false),"")</f>
        <v/>
      </c>
    </row>
    <row r="7756">
      <c r="A7756" s="78" t="s">
        <v>8811</v>
      </c>
      <c r="B7756" s="78" t="s">
        <v>22</v>
      </c>
      <c r="C7756" s="85">
        <v>45784.0</v>
      </c>
      <c r="D7756" s="85">
        <v>45789.0</v>
      </c>
      <c r="E7756" s="86">
        <v>4.54</v>
      </c>
      <c r="F7756" s="87">
        <v>7.33</v>
      </c>
      <c r="G7756" s="88">
        <f t="shared" si="1"/>
        <v>2.79</v>
      </c>
      <c r="H7756" s="89">
        <f t="shared" si="18"/>
        <v>0.380627558</v>
      </c>
      <c r="I7756" s="78" t="s">
        <v>8815</v>
      </c>
      <c r="J7756" s="78" t="s">
        <v>69</v>
      </c>
      <c r="K7756" s="58">
        <f t="shared" si="17"/>
        <v>5</v>
      </c>
      <c r="L7756" s="91" t="str">
        <f t="shared" si="8"/>
        <v>Mon</v>
      </c>
      <c r="M7756" s="78" t="str">
        <f>IFERROR(VLOOKUP(A7756, Entries!A:B,2,false),"")</f>
        <v/>
      </c>
      <c r="N7756" s="23" t="str">
        <f>IFERROR(VLOOKUP(A7756, Entries!A:K,11,false),"")</f>
        <v/>
      </c>
    </row>
    <row r="7757">
      <c r="A7757" s="78" t="s">
        <v>8816</v>
      </c>
      <c r="B7757" s="78" t="s">
        <v>21</v>
      </c>
      <c r="C7757" s="85">
        <v>45784.0</v>
      </c>
      <c r="D7757" s="85">
        <v>46112.0</v>
      </c>
      <c r="E7757" s="86">
        <v>13.56</v>
      </c>
      <c r="F7757" s="87">
        <v>14.92</v>
      </c>
      <c r="G7757" s="88">
        <f t="shared" si="1"/>
        <v>1.36</v>
      </c>
      <c r="H7757" s="89">
        <f t="shared" si="18"/>
        <v>0.09115281501</v>
      </c>
      <c r="I7757" s="78" t="s">
        <v>8817</v>
      </c>
      <c r="J7757" s="78" t="s">
        <v>69</v>
      </c>
      <c r="K7757" s="58">
        <f t="shared" si="17"/>
        <v>328</v>
      </c>
      <c r="L7757" s="91" t="str">
        <f t="shared" si="8"/>
        <v>Tue</v>
      </c>
      <c r="M7757" s="78" t="str">
        <f>IFERROR(VLOOKUP(A7757, Entries!A:B,2,false),"")</f>
        <v/>
      </c>
      <c r="N7757" s="23" t="str">
        <f>IFERROR(VLOOKUP(A7757, Entries!A:K,11,false),"")</f>
        <v/>
      </c>
    </row>
    <row r="7758">
      <c r="A7758" s="78" t="s">
        <v>8816</v>
      </c>
      <c r="B7758" s="78" t="s">
        <v>21</v>
      </c>
      <c r="C7758" s="85">
        <v>45784.0</v>
      </c>
      <c r="D7758" s="25"/>
      <c r="E7758" s="86">
        <v>13.56</v>
      </c>
      <c r="F7758" s="88"/>
      <c r="G7758" s="88">
        <f t="shared" si="1"/>
        <v>-13.56</v>
      </c>
      <c r="H7758" s="89" t="str">
        <f t="shared" si="18"/>
        <v/>
      </c>
      <c r="I7758" s="78" t="s">
        <v>8818</v>
      </c>
      <c r="J7758" s="78" t="s">
        <v>1129</v>
      </c>
      <c r="K7758" s="58" t="str">
        <f t="shared" si="17"/>
        <v/>
      </c>
      <c r="L7758" s="91" t="str">
        <f t="shared" si="8"/>
        <v/>
      </c>
      <c r="M7758" s="78" t="str">
        <f>IFERROR(VLOOKUP(A7758, Entries!A:B,2,false),"")</f>
        <v/>
      </c>
      <c r="N7758" s="23" t="str">
        <f>IFERROR(VLOOKUP(A7758, Entries!A:K,11,false),"")</f>
        <v/>
      </c>
    </row>
    <row r="7759">
      <c r="A7759" s="78" t="s">
        <v>8819</v>
      </c>
      <c r="B7759" s="78" t="s">
        <v>22</v>
      </c>
      <c r="C7759" s="85">
        <v>45785.0</v>
      </c>
      <c r="D7759" s="85">
        <v>45785.0</v>
      </c>
      <c r="E7759" s="86">
        <v>6.26</v>
      </c>
      <c r="F7759" s="87">
        <v>11.58</v>
      </c>
      <c r="G7759" s="88">
        <f t="shared" si="1"/>
        <v>5.32</v>
      </c>
      <c r="H7759" s="89">
        <f t="shared" si="18"/>
        <v>0.4594127807</v>
      </c>
      <c r="I7759" s="78" t="s">
        <v>8820</v>
      </c>
      <c r="J7759" s="78" t="s">
        <v>69</v>
      </c>
      <c r="K7759" s="58">
        <f t="shared" si="17"/>
        <v>0</v>
      </c>
      <c r="L7759" s="91" t="str">
        <f t="shared" si="8"/>
        <v>Thu</v>
      </c>
      <c r="M7759" s="78" t="str">
        <f>IFERROR(VLOOKUP(A7759, Entries!A:B,2,false),"")</f>
        <v/>
      </c>
      <c r="N7759" s="23" t="str">
        <f>IFERROR(VLOOKUP(A7759, Entries!A:K,11,false),"")</f>
        <v/>
      </c>
    </row>
    <row r="7760">
      <c r="A7760" s="78" t="s">
        <v>8819</v>
      </c>
      <c r="B7760" s="78" t="s">
        <v>22</v>
      </c>
      <c r="C7760" s="85">
        <v>45785.0</v>
      </c>
      <c r="D7760" s="85">
        <v>45785.0</v>
      </c>
      <c r="E7760" s="86">
        <v>6.26</v>
      </c>
      <c r="F7760" s="87">
        <v>10.27</v>
      </c>
      <c r="G7760" s="88">
        <f t="shared" si="1"/>
        <v>4.01</v>
      </c>
      <c r="H7760" s="89">
        <f t="shared" si="18"/>
        <v>0.3904576436</v>
      </c>
      <c r="I7760" s="78" t="s">
        <v>8821</v>
      </c>
      <c r="J7760" s="78" t="s">
        <v>69</v>
      </c>
      <c r="K7760" s="58">
        <f t="shared" si="17"/>
        <v>0</v>
      </c>
      <c r="L7760" s="91" t="str">
        <f t="shared" si="8"/>
        <v>Thu</v>
      </c>
      <c r="M7760" s="78" t="str">
        <f>IFERROR(VLOOKUP(A7760, Entries!A:B,2,false),"")</f>
        <v/>
      </c>
      <c r="N7760" s="23" t="str">
        <f>IFERROR(VLOOKUP(A7760, Entries!A:K,11,false),"")</f>
        <v/>
      </c>
    </row>
    <row r="7761">
      <c r="A7761" s="78" t="s">
        <v>8819</v>
      </c>
      <c r="B7761" s="78" t="s">
        <v>22</v>
      </c>
      <c r="C7761" s="85">
        <v>45785.0</v>
      </c>
      <c r="D7761" s="85">
        <v>45785.0</v>
      </c>
      <c r="E7761" s="86">
        <v>6.26</v>
      </c>
      <c r="F7761" s="87">
        <v>10.27</v>
      </c>
      <c r="G7761" s="88">
        <f t="shared" si="1"/>
        <v>4.01</v>
      </c>
      <c r="H7761" s="89">
        <f t="shared" si="18"/>
        <v>0.3904576436</v>
      </c>
      <c r="I7761" s="78" t="s">
        <v>8822</v>
      </c>
      <c r="J7761" s="78" t="s">
        <v>69</v>
      </c>
      <c r="K7761" s="58">
        <f t="shared" si="17"/>
        <v>0</v>
      </c>
      <c r="L7761" s="91" t="str">
        <f t="shared" si="8"/>
        <v>Thu</v>
      </c>
      <c r="M7761" s="78" t="str">
        <f>IFERROR(VLOOKUP(A7761, Entries!A:B,2,false),"")</f>
        <v/>
      </c>
      <c r="N7761" s="23" t="str">
        <f>IFERROR(VLOOKUP(A7761, Entries!A:K,11,false),"")</f>
        <v/>
      </c>
    </row>
    <row r="7762">
      <c r="A7762" s="78" t="s">
        <v>8819</v>
      </c>
      <c r="B7762" s="78" t="s">
        <v>22</v>
      </c>
      <c r="C7762" s="85">
        <v>45785.0</v>
      </c>
      <c r="D7762" s="85">
        <v>45786.0</v>
      </c>
      <c r="E7762" s="86">
        <v>6.26</v>
      </c>
      <c r="F7762" s="87">
        <v>10.27</v>
      </c>
      <c r="G7762" s="88">
        <f t="shared" si="1"/>
        <v>4.01</v>
      </c>
      <c r="H7762" s="89">
        <f t="shared" si="18"/>
        <v>0.3904576436</v>
      </c>
      <c r="I7762" s="78" t="s">
        <v>8823</v>
      </c>
      <c r="J7762" s="78" t="s">
        <v>69</v>
      </c>
      <c r="K7762" s="58">
        <f t="shared" si="17"/>
        <v>1</v>
      </c>
      <c r="L7762" s="91" t="str">
        <f t="shared" si="8"/>
        <v>Fri</v>
      </c>
      <c r="M7762" s="78" t="str">
        <f>IFERROR(VLOOKUP(A7762, Entries!A:B,2,false),"")</f>
        <v/>
      </c>
      <c r="N7762" s="23" t="str">
        <f>IFERROR(VLOOKUP(A7762, Entries!A:K,11,false),"")</f>
        <v/>
      </c>
    </row>
    <row r="7763">
      <c r="A7763" s="78" t="s">
        <v>8819</v>
      </c>
      <c r="B7763" s="78" t="s">
        <v>22</v>
      </c>
      <c r="C7763" s="85">
        <v>45785.0</v>
      </c>
      <c r="D7763" s="85">
        <v>45786.0</v>
      </c>
      <c r="E7763" s="86">
        <v>6.27</v>
      </c>
      <c r="F7763" s="87">
        <v>10.27</v>
      </c>
      <c r="G7763" s="88">
        <f t="shared" si="1"/>
        <v>4</v>
      </c>
      <c r="H7763" s="89">
        <f t="shared" si="18"/>
        <v>0.3894839338</v>
      </c>
      <c r="I7763" s="78" t="s">
        <v>8824</v>
      </c>
      <c r="J7763" s="78" t="s">
        <v>69</v>
      </c>
      <c r="K7763" s="58">
        <f t="shared" si="17"/>
        <v>1</v>
      </c>
      <c r="L7763" s="91" t="str">
        <f t="shared" si="8"/>
        <v>Fri</v>
      </c>
      <c r="M7763" s="78" t="str">
        <f>IFERROR(VLOOKUP(A7763, Entries!A:B,2,false),"")</f>
        <v/>
      </c>
      <c r="N7763" s="23" t="str">
        <f>IFERROR(VLOOKUP(A7763, Entries!A:K,11,false),"")</f>
        <v/>
      </c>
    </row>
    <row r="7764">
      <c r="A7764" s="78" t="s">
        <v>8819</v>
      </c>
      <c r="B7764" s="78" t="s">
        <v>22</v>
      </c>
      <c r="C7764" s="85">
        <v>45785.0</v>
      </c>
      <c r="D7764" s="85">
        <v>45786.0</v>
      </c>
      <c r="E7764" s="86">
        <v>6.27</v>
      </c>
      <c r="F7764" s="87">
        <v>10.43</v>
      </c>
      <c r="G7764" s="88">
        <f t="shared" si="1"/>
        <v>4.16</v>
      </c>
      <c r="H7764" s="89">
        <f t="shared" si="18"/>
        <v>0.3988494727</v>
      </c>
      <c r="I7764" s="78" t="s">
        <v>8825</v>
      </c>
      <c r="J7764" s="78" t="s">
        <v>69</v>
      </c>
      <c r="K7764" s="58">
        <f t="shared" si="17"/>
        <v>1</v>
      </c>
      <c r="L7764" s="91" t="str">
        <f t="shared" si="8"/>
        <v>Fri</v>
      </c>
      <c r="M7764" s="78" t="str">
        <f>IFERROR(VLOOKUP(A7764, Entries!A:B,2,false),"")</f>
        <v/>
      </c>
      <c r="N7764" s="23" t="str">
        <f>IFERROR(VLOOKUP(A7764, Entries!A:K,11,false),"")</f>
        <v/>
      </c>
    </row>
    <row r="7765">
      <c r="A7765" s="78" t="s">
        <v>8826</v>
      </c>
      <c r="B7765" s="78" t="s">
        <v>21</v>
      </c>
      <c r="C7765" s="85">
        <v>45785.0</v>
      </c>
      <c r="D7765" s="25"/>
      <c r="E7765" s="86">
        <v>26.26</v>
      </c>
      <c r="F7765" s="88"/>
      <c r="G7765" s="88">
        <f t="shared" si="1"/>
        <v>-26.26</v>
      </c>
      <c r="H7765" s="89" t="str">
        <f t="shared" si="18"/>
        <v/>
      </c>
      <c r="I7765" s="78" t="s">
        <v>8827</v>
      </c>
      <c r="J7765" s="78" t="s">
        <v>1129</v>
      </c>
      <c r="K7765" s="58" t="str">
        <f t="shared" si="17"/>
        <v/>
      </c>
      <c r="L7765" s="91" t="str">
        <f t="shared" si="8"/>
        <v/>
      </c>
      <c r="M7765" s="78" t="str">
        <f>IFERROR(VLOOKUP(A7765, Entries!A:B,2,false),"")</f>
        <v/>
      </c>
      <c r="N7765" s="23" t="str">
        <f>IFERROR(VLOOKUP(A7765, Entries!A:K,11,false),"")</f>
        <v/>
      </c>
    </row>
    <row r="7766">
      <c r="A7766" s="78" t="s">
        <v>8828</v>
      </c>
      <c r="B7766" s="78" t="s">
        <v>22</v>
      </c>
      <c r="C7766" s="85">
        <v>45785.0</v>
      </c>
      <c r="D7766" s="85">
        <v>45786.0</v>
      </c>
      <c r="E7766" s="86">
        <v>14.11</v>
      </c>
      <c r="F7766" s="87">
        <v>18.31</v>
      </c>
      <c r="G7766" s="88">
        <f t="shared" si="1"/>
        <v>4.2</v>
      </c>
      <c r="H7766" s="89">
        <f t="shared" si="18"/>
        <v>0.2293828509</v>
      </c>
      <c r="I7766" s="78" t="s">
        <v>8829</v>
      </c>
      <c r="J7766" s="78" t="s">
        <v>69</v>
      </c>
      <c r="K7766" s="58">
        <f t="shared" si="17"/>
        <v>1</v>
      </c>
      <c r="L7766" s="91" t="str">
        <f t="shared" si="8"/>
        <v>Fri</v>
      </c>
      <c r="M7766" s="78" t="str">
        <f>IFERROR(VLOOKUP(A7766, Entries!A:B,2,false),"")</f>
        <v/>
      </c>
      <c r="N7766" s="23" t="str">
        <f>IFERROR(VLOOKUP(A7766, Entries!A:K,11,false),"")</f>
        <v/>
      </c>
    </row>
    <row r="7767">
      <c r="A7767" s="78" t="s">
        <v>8828</v>
      </c>
      <c r="B7767" s="78" t="s">
        <v>22</v>
      </c>
      <c r="C7767" s="85">
        <v>45786.0</v>
      </c>
      <c r="D7767" s="85">
        <v>45786.0</v>
      </c>
      <c r="E7767" s="86">
        <v>14.21</v>
      </c>
      <c r="F7767" s="87">
        <v>18.31</v>
      </c>
      <c r="G7767" s="88">
        <f t="shared" si="1"/>
        <v>4.1</v>
      </c>
      <c r="H7767" s="89">
        <f t="shared" si="18"/>
        <v>0.2239213545</v>
      </c>
      <c r="I7767" s="78" t="s">
        <v>8830</v>
      </c>
      <c r="J7767" s="78" t="s">
        <v>69</v>
      </c>
      <c r="K7767" s="58">
        <f t="shared" si="17"/>
        <v>0</v>
      </c>
      <c r="L7767" s="91" t="str">
        <f t="shared" si="8"/>
        <v>Fri</v>
      </c>
      <c r="M7767" s="78" t="str">
        <f>IFERROR(VLOOKUP(A7767, Entries!A:B,2,false),"")</f>
        <v/>
      </c>
      <c r="N7767" s="23" t="str">
        <f>IFERROR(VLOOKUP(A7767, Entries!A:K,11,false),"")</f>
        <v/>
      </c>
    </row>
    <row r="7768">
      <c r="A7768" s="78" t="s">
        <v>8828</v>
      </c>
      <c r="B7768" s="78" t="s">
        <v>22</v>
      </c>
      <c r="C7768" s="85">
        <v>45786.0</v>
      </c>
      <c r="D7768" s="85">
        <v>45786.0</v>
      </c>
      <c r="E7768" s="86">
        <v>14.21</v>
      </c>
      <c r="F7768" s="87">
        <v>18.31</v>
      </c>
      <c r="G7768" s="88">
        <f t="shared" si="1"/>
        <v>4.1</v>
      </c>
      <c r="H7768" s="89">
        <f t="shared" si="18"/>
        <v>0.2239213545</v>
      </c>
      <c r="I7768" s="78" t="s">
        <v>8831</v>
      </c>
      <c r="J7768" s="78" t="s">
        <v>69</v>
      </c>
      <c r="K7768" s="58">
        <f t="shared" si="17"/>
        <v>0</v>
      </c>
      <c r="L7768" s="91" t="str">
        <f t="shared" si="8"/>
        <v>Fri</v>
      </c>
      <c r="M7768" s="78" t="str">
        <f>IFERROR(VLOOKUP(A7768, Entries!A:B,2,false),"")</f>
        <v/>
      </c>
      <c r="N7768" s="23" t="str">
        <f>IFERROR(VLOOKUP(A7768, Entries!A:K,11,false),"")</f>
        <v/>
      </c>
    </row>
    <row r="7769">
      <c r="A7769" s="78" t="s">
        <v>2466</v>
      </c>
      <c r="B7769" s="78" t="s">
        <v>18</v>
      </c>
      <c r="C7769" s="85">
        <v>45786.0</v>
      </c>
      <c r="D7769" s="85">
        <v>45787.0</v>
      </c>
      <c r="E7769" s="86">
        <v>9.39</v>
      </c>
      <c r="F7769" s="87">
        <v>10.83</v>
      </c>
      <c r="G7769" s="88">
        <f t="shared" si="1"/>
        <v>1.44</v>
      </c>
      <c r="H7769" s="89">
        <f t="shared" si="18"/>
        <v>0.1329639889</v>
      </c>
      <c r="I7769" s="78" t="s">
        <v>8832</v>
      </c>
      <c r="J7769" s="78" t="s">
        <v>69</v>
      </c>
      <c r="K7769" s="58">
        <f t="shared" si="17"/>
        <v>1</v>
      </c>
      <c r="L7769" s="91" t="str">
        <f t="shared" si="8"/>
        <v>Sat</v>
      </c>
      <c r="M7769" s="78" t="str">
        <f>IFERROR(VLOOKUP(A7769, Entries!A:B,2,false),"")</f>
        <v>Bethesda Softworks</v>
      </c>
      <c r="N7769" s="23" t="str">
        <f>IFERROR(VLOOKUP(A7769, Entries!A:K,11,false),"")</f>
        <v/>
      </c>
    </row>
    <row r="7770">
      <c r="A7770" s="78" t="s">
        <v>2466</v>
      </c>
      <c r="B7770" s="78" t="s">
        <v>18</v>
      </c>
      <c r="C7770" s="85">
        <v>45786.0</v>
      </c>
      <c r="D7770" s="85">
        <v>45788.0</v>
      </c>
      <c r="E7770" s="86">
        <v>9.39</v>
      </c>
      <c r="F7770" s="87">
        <v>10.77</v>
      </c>
      <c r="G7770" s="88">
        <f t="shared" si="1"/>
        <v>1.38</v>
      </c>
      <c r="H7770" s="89">
        <f t="shared" si="18"/>
        <v>0.1281337047</v>
      </c>
      <c r="I7770" s="78" t="s">
        <v>8833</v>
      </c>
      <c r="J7770" s="78" t="s">
        <v>69</v>
      </c>
      <c r="K7770" s="58">
        <f t="shared" si="17"/>
        <v>2</v>
      </c>
      <c r="L7770" s="91" t="str">
        <f t="shared" si="8"/>
        <v>Sun</v>
      </c>
      <c r="M7770" s="78" t="str">
        <f>IFERROR(VLOOKUP(A7770, Entries!A:B,2,false),"")</f>
        <v>Bethesda Softworks</v>
      </c>
      <c r="N7770" s="23" t="str">
        <f>IFERROR(VLOOKUP(A7770, Entries!A:K,11,false),"")</f>
        <v/>
      </c>
    </row>
    <row r="7771">
      <c r="A7771" s="78" t="s">
        <v>2466</v>
      </c>
      <c r="B7771" s="78" t="s">
        <v>18</v>
      </c>
      <c r="C7771" s="85">
        <v>45786.0</v>
      </c>
      <c r="D7771" s="85">
        <v>45788.0</v>
      </c>
      <c r="E7771" s="86">
        <v>9.39</v>
      </c>
      <c r="F7771" s="87">
        <v>10.79</v>
      </c>
      <c r="G7771" s="88">
        <f t="shared" si="1"/>
        <v>1.4</v>
      </c>
      <c r="H7771" s="89">
        <f t="shared" si="18"/>
        <v>0.1297497683</v>
      </c>
      <c r="I7771" s="78" t="s">
        <v>8834</v>
      </c>
      <c r="J7771" s="78" t="s">
        <v>69</v>
      </c>
      <c r="K7771" s="58">
        <f t="shared" si="17"/>
        <v>2</v>
      </c>
      <c r="L7771" s="91" t="str">
        <f t="shared" si="8"/>
        <v>Sun</v>
      </c>
      <c r="M7771" s="78" t="str">
        <f>IFERROR(VLOOKUP(A7771, Entries!A:B,2,false),"")</f>
        <v>Bethesda Softworks</v>
      </c>
      <c r="N7771" s="23" t="str">
        <f>IFERROR(VLOOKUP(A7771, Entries!A:K,11,false),"")</f>
        <v/>
      </c>
    </row>
    <row r="7772">
      <c r="A7772" s="78" t="s">
        <v>2466</v>
      </c>
      <c r="B7772" s="78" t="s">
        <v>18</v>
      </c>
      <c r="C7772" s="85">
        <v>45786.0</v>
      </c>
      <c r="D7772" s="85">
        <v>45788.0</v>
      </c>
      <c r="E7772" s="86">
        <v>9.39</v>
      </c>
      <c r="F7772" s="87">
        <v>10.79</v>
      </c>
      <c r="G7772" s="88">
        <f t="shared" si="1"/>
        <v>1.4</v>
      </c>
      <c r="H7772" s="89">
        <f t="shared" si="18"/>
        <v>0.1297497683</v>
      </c>
      <c r="I7772" s="78" t="s">
        <v>8835</v>
      </c>
      <c r="J7772" s="78" t="s">
        <v>69</v>
      </c>
      <c r="K7772" s="58">
        <f t="shared" si="17"/>
        <v>2</v>
      </c>
      <c r="L7772" s="91" t="str">
        <f t="shared" si="8"/>
        <v>Sun</v>
      </c>
      <c r="M7772" s="78" t="str">
        <f>IFERROR(VLOOKUP(A7772, Entries!A:B,2,false),"")</f>
        <v>Bethesda Softworks</v>
      </c>
      <c r="N7772" s="23" t="str">
        <f>IFERROR(VLOOKUP(A7772, Entries!A:K,11,false),"")</f>
        <v/>
      </c>
    </row>
    <row r="7773">
      <c r="A7773" s="78" t="s">
        <v>2466</v>
      </c>
      <c r="B7773" s="78" t="s">
        <v>18</v>
      </c>
      <c r="C7773" s="85">
        <v>45786.0</v>
      </c>
      <c r="D7773" s="85">
        <v>45788.0</v>
      </c>
      <c r="E7773" s="86">
        <v>9.4</v>
      </c>
      <c r="F7773" s="87">
        <v>10.79</v>
      </c>
      <c r="G7773" s="88">
        <f t="shared" si="1"/>
        <v>1.39</v>
      </c>
      <c r="H7773" s="89">
        <f t="shared" si="18"/>
        <v>0.1288229842</v>
      </c>
      <c r="I7773" s="78" t="s">
        <v>8836</v>
      </c>
      <c r="J7773" s="78" t="s">
        <v>69</v>
      </c>
      <c r="K7773" s="58">
        <f t="shared" si="17"/>
        <v>2</v>
      </c>
      <c r="L7773" s="91" t="str">
        <f t="shared" si="8"/>
        <v>Sun</v>
      </c>
      <c r="M7773" s="78" t="str">
        <f>IFERROR(VLOOKUP(A7773, Entries!A:B,2,false),"")</f>
        <v>Bethesda Softworks</v>
      </c>
      <c r="N7773" s="23" t="str">
        <f>IFERROR(VLOOKUP(A7773, Entries!A:K,11,false),"")</f>
        <v/>
      </c>
    </row>
    <row r="7774">
      <c r="A7774" s="78" t="s">
        <v>8811</v>
      </c>
      <c r="B7774" s="78" t="s">
        <v>22</v>
      </c>
      <c r="C7774" s="85">
        <v>45788.0</v>
      </c>
      <c r="D7774" s="85">
        <v>45806.0</v>
      </c>
      <c r="E7774" s="86">
        <v>4.58</v>
      </c>
      <c r="F7774" s="87">
        <v>7.3</v>
      </c>
      <c r="G7774" s="88">
        <f t="shared" si="1"/>
        <v>2.72</v>
      </c>
      <c r="H7774" s="89">
        <f t="shared" si="18"/>
        <v>0.3726027397</v>
      </c>
      <c r="I7774" s="78" t="s">
        <v>8837</v>
      </c>
      <c r="J7774" s="78" t="s">
        <v>69</v>
      </c>
      <c r="K7774" s="58">
        <f t="shared" si="17"/>
        <v>18</v>
      </c>
      <c r="L7774" s="91" t="str">
        <f t="shared" si="8"/>
        <v>Thu</v>
      </c>
      <c r="M7774" s="78" t="str">
        <f>IFERROR(VLOOKUP(A7774, Entries!A:B,2,false),"")</f>
        <v/>
      </c>
      <c r="N7774" s="23" t="str">
        <f>IFERROR(VLOOKUP(A7774, Entries!A:K,11,false),"")</f>
        <v/>
      </c>
    </row>
    <row r="7775">
      <c r="A7775" s="78" t="s">
        <v>6243</v>
      </c>
      <c r="B7775" s="78" t="s">
        <v>22</v>
      </c>
      <c r="C7775" s="85">
        <v>45788.0</v>
      </c>
      <c r="D7775" s="85">
        <v>45789.0</v>
      </c>
      <c r="E7775" s="86">
        <v>7.91</v>
      </c>
      <c r="F7775" s="87">
        <v>9.16</v>
      </c>
      <c r="G7775" s="88">
        <f t="shared" si="1"/>
        <v>1.25</v>
      </c>
      <c r="H7775" s="89">
        <f t="shared" si="18"/>
        <v>0.1364628821</v>
      </c>
      <c r="I7775" s="78" t="s">
        <v>8838</v>
      </c>
      <c r="J7775" s="78" t="s">
        <v>69</v>
      </c>
      <c r="K7775" s="58">
        <f t="shared" si="17"/>
        <v>1</v>
      </c>
      <c r="L7775" s="91" t="str">
        <f t="shared" si="8"/>
        <v>Mon</v>
      </c>
      <c r="M7775" s="78" t="str">
        <f>IFERROR(VLOOKUP(A7775, Entries!A:B,2,false),"")</f>
        <v/>
      </c>
      <c r="N7775" s="23" t="str">
        <f>IFERROR(VLOOKUP(A7775, Entries!A:K,11,false),"")</f>
        <v/>
      </c>
    </row>
    <row r="7776">
      <c r="A7776" s="78" t="s">
        <v>2466</v>
      </c>
      <c r="B7776" s="78" t="s">
        <v>18</v>
      </c>
      <c r="C7776" s="85">
        <v>45788.0</v>
      </c>
      <c r="D7776" s="85">
        <v>45789.0</v>
      </c>
      <c r="E7776" s="86">
        <v>9.39</v>
      </c>
      <c r="F7776" s="87">
        <v>10.79</v>
      </c>
      <c r="G7776" s="88">
        <f t="shared" si="1"/>
        <v>1.4</v>
      </c>
      <c r="H7776" s="89">
        <f t="shared" si="18"/>
        <v>0.1297497683</v>
      </c>
      <c r="I7776" s="78" t="s">
        <v>8839</v>
      </c>
      <c r="J7776" s="78" t="s">
        <v>69</v>
      </c>
      <c r="K7776" s="58">
        <f t="shared" si="17"/>
        <v>1</v>
      </c>
      <c r="L7776" s="91" t="str">
        <f t="shared" si="8"/>
        <v>Mon</v>
      </c>
      <c r="M7776" s="78" t="str">
        <f>IFERROR(VLOOKUP(A7776, Entries!A:B,2,false),"")</f>
        <v>Bethesda Softworks</v>
      </c>
      <c r="N7776" s="23" t="str">
        <f>IFERROR(VLOOKUP(A7776, Entries!A:K,11,false),"")</f>
        <v/>
      </c>
    </row>
    <row r="7777">
      <c r="A7777" s="78" t="s">
        <v>2466</v>
      </c>
      <c r="B7777" s="78" t="s">
        <v>18</v>
      </c>
      <c r="C7777" s="85">
        <v>45788.0</v>
      </c>
      <c r="D7777" s="85">
        <v>45789.0</v>
      </c>
      <c r="E7777" s="86">
        <v>9.39</v>
      </c>
      <c r="F7777" s="87">
        <v>10.77</v>
      </c>
      <c r="G7777" s="88">
        <f t="shared" si="1"/>
        <v>1.38</v>
      </c>
      <c r="H7777" s="89">
        <f t="shared" si="18"/>
        <v>0.1281337047</v>
      </c>
      <c r="I7777" s="78" t="s">
        <v>8840</v>
      </c>
      <c r="J7777" s="78" t="s">
        <v>69</v>
      </c>
      <c r="K7777" s="58">
        <f t="shared" si="17"/>
        <v>1</v>
      </c>
      <c r="L7777" s="91" t="str">
        <f t="shared" si="8"/>
        <v>Mon</v>
      </c>
      <c r="M7777" s="78" t="str">
        <f>IFERROR(VLOOKUP(A7777, Entries!A:B,2,false),"")</f>
        <v>Bethesda Softworks</v>
      </c>
      <c r="N7777" s="23" t="str">
        <f>IFERROR(VLOOKUP(A7777, Entries!A:K,11,false),"")</f>
        <v/>
      </c>
    </row>
    <row r="7778">
      <c r="A7778" s="78" t="s">
        <v>2466</v>
      </c>
      <c r="B7778" s="78" t="s">
        <v>18</v>
      </c>
      <c r="C7778" s="85">
        <v>45788.0</v>
      </c>
      <c r="D7778" s="85">
        <v>45790.0</v>
      </c>
      <c r="E7778" s="86">
        <v>9.39</v>
      </c>
      <c r="F7778" s="87">
        <v>10.77</v>
      </c>
      <c r="G7778" s="88">
        <f t="shared" si="1"/>
        <v>1.38</v>
      </c>
      <c r="H7778" s="89">
        <f t="shared" si="18"/>
        <v>0.1281337047</v>
      </c>
      <c r="I7778" s="78" t="s">
        <v>8841</v>
      </c>
      <c r="J7778" s="78" t="s">
        <v>69</v>
      </c>
      <c r="K7778" s="58">
        <f t="shared" si="17"/>
        <v>2</v>
      </c>
      <c r="L7778" s="91" t="str">
        <f t="shared" si="8"/>
        <v>Tue</v>
      </c>
      <c r="M7778" s="78" t="str">
        <f>IFERROR(VLOOKUP(A7778, Entries!A:B,2,false),"")</f>
        <v>Bethesda Softworks</v>
      </c>
      <c r="N7778" s="23" t="str">
        <f>IFERROR(VLOOKUP(A7778, Entries!A:K,11,false),"")</f>
        <v/>
      </c>
    </row>
    <row r="7779">
      <c r="A7779" s="78" t="s">
        <v>2466</v>
      </c>
      <c r="B7779" s="78" t="s">
        <v>18</v>
      </c>
      <c r="C7779" s="85">
        <v>45788.0</v>
      </c>
      <c r="D7779" s="85">
        <v>45794.0</v>
      </c>
      <c r="E7779" s="86">
        <v>9.39</v>
      </c>
      <c r="F7779" s="87">
        <v>10.53</v>
      </c>
      <c r="G7779" s="88">
        <f t="shared" si="1"/>
        <v>1.14</v>
      </c>
      <c r="H7779" s="89">
        <f t="shared" si="18"/>
        <v>0.1082621083</v>
      </c>
      <c r="I7779" s="78" t="s">
        <v>8842</v>
      </c>
      <c r="J7779" s="78" t="s">
        <v>69</v>
      </c>
      <c r="K7779" s="58">
        <f t="shared" si="17"/>
        <v>6</v>
      </c>
      <c r="L7779" s="91" t="str">
        <f t="shared" si="8"/>
        <v>Sat</v>
      </c>
      <c r="M7779" s="78" t="str">
        <f>IFERROR(VLOOKUP(A7779, Entries!A:B,2,false),"")</f>
        <v>Bethesda Softworks</v>
      </c>
      <c r="N7779" s="23" t="str">
        <f>IFERROR(VLOOKUP(A7779, Entries!A:K,11,false),"")</f>
        <v/>
      </c>
    </row>
    <row r="7780">
      <c r="A7780" s="78" t="s">
        <v>2466</v>
      </c>
      <c r="B7780" s="78" t="s">
        <v>18</v>
      </c>
      <c r="C7780" s="85">
        <v>45788.0</v>
      </c>
      <c r="D7780" s="85">
        <v>45794.0</v>
      </c>
      <c r="E7780" s="86">
        <v>9.4</v>
      </c>
      <c r="F7780" s="87">
        <v>10.53</v>
      </c>
      <c r="G7780" s="88">
        <f t="shared" si="1"/>
        <v>1.13</v>
      </c>
      <c r="H7780" s="89">
        <f t="shared" si="18"/>
        <v>0.1073124406</v>
      </c>
      <c r="I7780" s="78" t="s">
        <v>8843</v>
      </c>
      <c r="J7780" s="78" t="s">
        <v>69</v>
      </c>
      <c r="K7780" s="58">
        <f t="shared" si="17"/>
        <v>6</v>
      </c>
      <c r="L7780" s="91" t="str">
        <f t="shared" si="8"/>
        <v>Sat</v>
      </c>
      <c r="M7780" s="78" t="str">
        <f>IFERROR(VLOOKUP(A7780, Entries!A:B,2,false),"")</f>
        <v>Bethesda Softworks</v>
      </c>
      <c r="N7780" s="23" t="str">
        <f>IFERROR(VLOOKUP(A7780, Entries!A:K,11,false),"")</f>
        <v/>
      </c>
    </row>
    <row r="7781">
      <c r="A7781" s="78" t="s">
        <v>8844</v>
      </c>
      <c r="B7781" s="78" t="s">
        <v>18</v>
      </c>
      <c r="C7781" s="85">
        <v>45789.0</v>
      </c>
      <c r="D7781" s="85">
        <v>45792.0</v>
      </c>
      <c r="E7781" s="86">
        <v>31.63</v>
      </c>
      <c r="F7781" s="87">
        <v>44.96</v>
      </c>
      <c r="G7781" s="88">
        <f t="shared" si="1"/>
        <v>13.33</v>
      </c>
      <c r="H7781" s="89">
        <f t="shared" si="18"/>
        <v>0.2964857651</v>
      </c>
      <c r="I7781" s="78" t="s">
        <v>8845</v>
      </c>
      <c r="J7781" s="78" t="s">
        <v>69</v>
      </c>
      <c r="K7781" s="58">
        <f t="shared" si="17"/>
        <v>3</v>
      </c>
      <c r="L7781" s="91" t="str">
        <f t="shared" si="8"/>
        <v>Thu</v>
      </c>
      <c r="M7781" s="78" t="str">
        <f>IFERROR(VLOOKUP(A7781, Entries!A:B,2,false),"")</f>
        <v/>
      </c>
      <c r="N7781" s="23" t="str">
        <f>IFERROR(VLOOKUP(A7781, Entries!A:K,11,false),"")</f>
        <v/>
      </c>
    </row>
    <row r="7782">
      <c r="A7782" s="78" t="s">
        <v>8844</v>
      </c>
      <c r="B7782" s="78" t="s">
        <v>18</v>
      </c>
      <c r="C7782" s="85">
        <v>45789.0</v>
      </c>
      <c r="D7782" s="85">
        <v>45792.0</v>
      </c>
      <c r="E7782" s="86">
        <v>31.63</v>
      </c>
      <c r="F7782" s="87">
        <v>44.96</v>
      </c>
      <c r="G7782" s="88">
        <f t="shared" si="1"/>
        <v>13.33</v>
      </c>
      <c r="H7782" s="89">
        <f t="shared" si="18"/>
        <v>0.2964857651</v>
      </c>
      <c r="I7782" s="78" t="s">
        <v>8846</v>
      </c>
      <c r="J7782" s="78" t="s">
        <v>69</v>
      </c>
      <c r="K7782" s="58">
        <f t="shared" si="17"/>
        <v>3</v>
      </c>
      <c r="L7782" s="91" t="str">
        <f t="shared" si="8"/>
        <v>Thu</v>
      </c>
      <c r="M7782" s="78" t="str">
        <f>IFERROR(VLOOKUP(A7782, Entries!A:B,2,false),"")</f>
        <v/>
      </c>
      <c r="N7782" s="23" t="str">
        <f>IFERROR(VLOOKUP(A7782, Entries!A:K,11,false),"")</f>
        <v/>
      </c>
    </row>
    <row r="7783">
      <c r="A7783" s="78" t="s">
        <v>5920</v>
      </c>
      <c r="B7783" s="78" t="s">
        <v>18</v>
      </c>
      <c r="C7783" s="85">
        <v>45789.0</v>
      </c>
      <c r="D7783" s="85">
        <v>45790.0</v>
      </c>
      <c r="E7783" s="86">
        <v>16.09</v>
      </c>
      <c r="F7783" s="87">
        <v>18.24</v>
      </c>
      <c r="G7783" s="88">
        <f t="shared" si="1"/>
        <v>2.15</v>
      </c>
      <c r="H7783" s="89">
        <f t="shared" si="18"/>
        <v>0.117872807</v>
      </c>
      <c r="J7783" s="78" t="s">
        <v>69</v>
      </c>
      <c r="K7783" s="58">
        <f t="shared" si="17"/>
        <v>1</v>
      </c>
      <c r="L7783" s="91" t="str">
        <f t="shared" si="8"/>
        <v>Tue</v>
      </c>
      <c r="M7783" s="78" t="str">
        <f>IFERROR(VLOOKUP(A7783, Entries!A:B,2,false),"")</f>
        <v>Paradox Interactive</v>
      </c>
      <c r="N7783" s="23" t="str">
        <f>IFERROR(VLOOKUP(A7783, Entries!A:K,11,false),"")</f>
        <v/>
      </c>
    </row>
    <row r="7784">
      <c r="A7784" s="78" t="s">
        <v>5920</v>
      </c>
      <c r="B7784" s="78" t="s">
        <v>18</v>
      </c>
      <c r="C7784" s="85">
        <v>45789.0</v>
      </c>
      <c r="D7784" s="85">
        <v>45790.0</v>
      </c>
      <c r="E7784" s="86">
        <v>16.09</v>
      </c>
      <c r="F7784" s="87">
        <v>17.8</v>
      </c>
      <c r="G7784" s="88">
        <f t="shared" si="1"/>
        <v>1.71</v>
      </c>
      <c r="H7784" s="89">
        <f t="shared" si="18"/>
        <v>0.09606741573</v>
      </c>
      <c r="I7784" s="78" t="s">
        <v>4864</v>
      </c>
      <c r="J7784" s="78" t="s">
        <v>69</v>
      </c>
      <c r="K7784" s="58">
        <f t="shared" si="17"/>
        <v>1</v>
      </c>
      <c r="L7784" s="91" t="str">
        <f t="shared" si="8"/>
        <v>Tue</v>
      </c>
      <c r="M7784" s="78" t="str">
        <f>IFERROR(VLOOKUP(A7784, Entries!A:B,2,false),"")</f>
        <v>Paradox Interactive</v>
      </c>
      <c r="N7784" s="23" t="str">
        <f>IFERROR(VLOOKUP(A7784, Entries!A:K,11,false),"")</f>
        <v/>
      </c>
    </row>
    <row r="7785">
      <c r="A7785" s="78" t="s">
        <v>5920</v>
      </c>
      <c r="B7785" s="78" t="s">
        <v>18</v>
      </c>
      <c r="C7785" s="85">
        <v>45789.0</v>
      </c>
      <c r="D7785" s="85">
        <v>45791.0</v>
      </c>
      <c r="E7785" s="86">
        <v>16.1</v>
      </c>
      <c r="F7785" s="87">
        <v>17.8</v>
      </c>
      <c r="G7785" s="88">
        <f t="shared" si="1"/>
        <v>1.7</v>
      </c>
      <c r="H7785" s="89">
        <f t="shared" si="18"/>
        <v>0.09550561798</v>
      </c>
      <c r="I7785" s="78" t="s">
        <v>4865</v>
      </c>
      <c r="J7785" s="78" t="s">
        <v>69</v>
      </c>
      <c r="K7785" s="58">
        <f t="shared" si="17"/>
        <v>2</v>
      </c>
      <c r="L7785" s="91" t="str">
        <f t="shared" si="8"/>
        <v>Wed</v>
      </c>
      <c r="M7785" s="78" t="str">
        <f>IFERROR(VLOOKUP(A7785, Entries!A:B,2,false),"")</f>
        <v>Paradox Interactive</v>
      </c>
      <c r="N7785" s="23" t="str">
        <f>IFERROR(VLOOKUP(A7785, Entries!A:K,11,false),"")</f>
        <v/>
      </c>
    </row>
    <row r="7786">
      <c r="A7786" s="78" t="s">
        <v>7224</v>
      </c>
      <c r="B7786" s="78" t="s">
        <v>21</v>
      </c>
      <c r="C7786" s="85">
        <v>45790.0</v>
      </c>
      <c r="D7786" s="85">
        <v>45804.0</v>
      </c>
      <c r="E7786" s="86">
        <v>21.86</v>
      </c>
      <c r="F7786" s="87">
        <v>22.64</v>
      </c>
      <c r="G7786" s="88">
        <f t="shared" si="1"/>
        <v>0.78</v>
      </c>
      <c r="H7786" s="89">
        <f t="shared" si="18"/>
        <v>0.03445229682</v>
      </c>
      <c r="I7786" s="78" t="s">
        <v>8847</v>
      </c>
      <c r="J7786" s="78" t="s">
        <v>69</v>
      </c>
      <c r="K7786" s="58">
        <f t="shared" si="17"/>
        <v>14</v>
      </c>
      <c r="L7786" s="91" t="str">
        <f t="shared" si="8"/>
        <v>Tue</v>
      </c>
      <c r="M7786" s="78" t="str">
        <f>IFERROR(VLOOKUP(A7786, Entries!A:B,2,false),"")</f>
        <v/>
      </c>
      <c r="N7786" s="23" t="str">
        <f>IFERROR(VLOOKUP(A7786, Entries!A:K,11,false),"")</f>
        <v/>
      </c>
    </row>
    <row r="7787">
      <c r="A7787" s="78" t="s">
        <v>8828</v>
      </c>
      <c r="B7787" s="78" t="s">
        <v>22</v>
      </c>
      <c r="C7787" s="85">
        <v>45790.0</v>
      </c>
      <c r="D7787" s="85">
        <v>45790.0</v>
      </c>
      <c r="E7787" s="86">
        <v>14.4</v>
      </c>
      <c r="F7787" s="87">
        <v>18.31</v>
      </c>
      <c r="G7787" s="88">
        <f t="shared" si="1"/>
        <v>3.91</v>
      </c>
      <c r="H7787" s="89">
        <f t="shared" si="18"/>
        <v>0.2135445112</v>
      </c>
      <c r="I7787" s="78" t="s">
        <v>8848</v>
      </c>
      <c r="J7787" s="78" t="s">
        <v>69</v>
      </c>
      <c r="K7787" s="58">
        <f t="shared" si="17"/>
        <v>0</v>
      </c>
      <c r="L7787" s="91" t="str">
        <f t="shared" si="8"/>
        <v>Tue</v>
      </c>
      <c r="M7787" s="78" t="str">
        <f>IFERROR(VLOOKUP(A7787, Entries!A:B,2,false),"")</f>
        <v/>
      </c>
      <c r="N7787" s="23" t="str">
        <f>IFERROR(VLOOKUP(A7787, Entries!A:K,11,false),"")</f>
        <v/>
      </c>
    </row>
    <row r="7788">
      <c r="A7788" s="78" t="s">
        <v>8849</v>
      </c>
      <c r="B7788" s="78" t="s">
        <v>18</v>
      </c>
      <c r="C7788" s="85">
        <v>45790.0</v>
      </c>
      <c r="D7788" s="25"/>
      <c r="E7788" s="86">
        <v>19.04</v>
      </c>
      <c r="F7788" s="88"/>
      <c r="G7788" s="88">
        <f t="shared" si="1"/>
        <v>-19.04</v>
      </c>
      <c r="H7788" s="89" t="str">
        <f t="shared" si="18"/>
        <v/>
      </c>
      <c r="I7788" s="78" t="s">
        <v>8850</v>
      </c>
      <c r="J7788" s="78" t="s">
        <v>1129</v>
      </c>
      <c r="K7788" s="58" t="str">
        <f t="shared" si="17"/>
        <v/>
      </c>
      <c r="L7788" s="91" t="str">
        <f t="shared" si="8"/>
        <v/>
      </c>
      <c r="M7788" s="78" t="str">
        <f>IFERROR(VLOOKUP(A7788, Entries!A:B,2,false),"")</f>
        <v/>
      </c>
      <c r="N7788" s="23" t="str">
        <f>IFERROR(VLOOKUP(A7788, Entries!A:K,11,false),"")</f>
        <v/>
      </c>
    </row>
    <row r="7789">
      <c r="A7789" s="78" t="s">
        <v>8851</v>
      </c>
      <c r="B7789" s="78" t="s">
        <v>22</v>
      </c>
      <c r="C7789" s="85">
        <v>45790.0</v>
      </c>
      <c r="D7789" s="85">
        <v>45790.0</v>
      </c>
      <c r="E7789" s="86">
        <v>7.44</v>
      </c>
      <c r="F7789" s="87">
        <v>9.08</v>
      </c>
      <c r="G7789" s="88">
        <f t="shared" si="1"/>
        <v>1.64</v>
      </c>
      <c r="H7789" s="89">
        <f t="shared" si="18"/>
        <v>0.1806167401</v>
      </c>
      <c r="I7789" s="78" t="s">
        <v>8852</v>
      </c>
      <c r="J7789" s="78" t="s">
        <v>69</v>
      </c>
      <c r="K7789" s="58">
        <f t="shared" si="17"/>
        <v>0</v>
      </c>
      <c r="L7789" s="91" t="str">
        <f t="shared" si="8"/>
        <v>Tue</v>
      </c>
      <c r="M7789" s="78" t="str">
        <f>IFERROR(VLOOKUP(A7789, Entries!A:B,2,false),"")</f>
        <v/>
      </c>
      <c r="N7789" s="23" t="str">
        <f>IFERROR(VLOOKUP(A7789, Entries!A:K,11,false),"")</f>
        <v/>
      </c>
    </row>
    <row r="7790">
      <c r="A7790" s="78" t="s">
        <v>8828</v>
      </c>
      <c r="B7790" s="78" t="s">
        <v>22</v>
      </c>
      <c r="C7790" s="85">
        <v>45792.0</v>
      </c>
      <c r="D7790" s="85">
        <v>45792.0</v>
      </c>
      <c r="E7790" s="86">
        <v>14.27</v>
      </c>
      <c r="F7790" s="87">
        <v>18.31</v>
      </c>
      <c r="G7790" s="88">
        <f t="shared" si="1"/>
        <v>4.04</v>
      </c>
      <c r="H7790" s="89">
        <f t="shared" si="18"/>
        <v>0.2206444566</v>
      </c>
      <c r="I7790" s="78" t="s">
        <v>8853</v>
      </c>
      <c r="J7790" s="78" t="s">
        <v>69</v>
      </c>
      <c r="K7790" s="58">
        <f t="shared" si="17"/>
        <v>0</v>
      </c>
      <c r="L7790" s="91" t="str">
        <f t="shared" si="8"/>
        <v>Thu</v>
      </c>
      <c r="M7790" s="78" t="str">
        <f>IFERROR(VLOOKUP(A7790, Entries!A:B,2,false),"")</f>
        <v/>
      </c>
      <c r="N7790" s="23" t="str">
        <f>IFERROR(VLOOKUP(A7790, Entries!A:K,11,false),"")</f>
        <v/>
      </c>
    </row>
    <row r="7791">
      <c r="A7791" s="78" t="s">
        <v>8844</v>
      </c>
      <c r="B7791" s="78" t="s">
        <v>18</v>
      </c>
      <c r="C7791" s="85">
        <v>45793.0</v>
      </c>
      <c r="D7791" s="85">
        <v>45845.0</v>
      </c>
      <c r="E7791" s="86">
        <v>31.63</v>
      </c>
      <c r="F7791" s="87">
        <v>40.27</v>
      </c>
      <c r="G7791" s="88">
        <f t="shared" si="1"/>
        <v>8.64</v>
      </c>
      <c r="H7791" s="89">
        <f t="shared" si="18"/>
        <v>0.2145517755</v>
      </c>
      <c r="I7791" s="78" t="s">
        <v>8854</v>
      </c>
      <c r="J7791" s="78" t="s">
        <v>69</v>
      </c>
      <c r="K7791" s="58">
        <f t="shared" si="17"/>
        <v>52</v>
      </c>
      <c r="L7791" s="91" t="str">
        <f t="shared" si="8"/>
        <v>Mon</v>
      </c>
      <c r="M7791" s="78" t="str">
        <f>IFERROR(VLOOKUP(A7791, Entries!A:B,2,false),"")</f>
        <v/>
      </c>
      <c r="N7791" s="23" t="str">
        <f>IFERROR(VLOOKUP(A7791, Entries!A:K,11,false),"")</f>
        <v/>
      </c>
    </row>
    <row r="7792">
      <c r="A7792" s="78" t="s">
        <v>8844</v>
      </c>
      <c r="B7792" s="78" t="s">
        <v>18</v>
      </c>
      <c r="C7792" s="85">
        <v>45793.0</v>
      </c>
      <c r="D7792" s="85">
        <v>45853.0</v>
      </c>
      <c r="E7792" s="86">
        <v>31.63</v>
      </c>
      <c r="F7792" s="87">
        <v>40.27</v>
      </c>
      <c r="G7792" s="88">
        <f t="shared" si="1"/>
        <v>8.64</v>
      </c>
      <c r="H7792" s="89">
        <f t="shared" si="18"/>
        <v>0.2145517755</v>
      </c>
      <c r="I7792" s="78" t="s">
        <v>8855</v>
      </c>
      <c r="J7792" s="78" t="s">
        <v>69</v>
      </c>
      <c r="K7792" s="58">
        <f t="shared" si="17"/>
        <v>60</v>
      </c>
      <c r="L7792" s="91" t="str">
        <f t="shared" si="8"/>
        <v>Tue</v>
      </c>
      <c r="M7792" s="78" t="str">
        <f>IFERROR(VLOOKUP(A7792, Entries!A:B,2,false),"")</f>
        <v/>
      </c>
      <c r="N7792" s="23" t="str">
        <f>IFERROR(VLOOKUP(A7792, Entries!A:K,11,false),"")</f>
        <v/>
      </c>
    </row>
    <row r="7793">
      <c r="A7793" s="78" t="s">
        <v>8856</v>
      </c>
      <c r="B7793" s="78" t="s">
        <v>25</v>
      </c>
      <c r="C7793" s="85">
        <v>45793.0</v>
      </c>
      <c r="D7793" s="85">
        <v>45794.0</v>
      </c>
      <c r="E7793" s="86">
        <v>18.45</v>
      </c>
      <c r="F7793" s="87">
        <v>23.5</v>
      </c>
      <c r="G7793" s="88">
        <f t="shared" si="1"/>
        <v>5.05</v>
      </c>
      <c r="H7793" s="89">
        <f t="shared" si="18"/>
        <v>0.214893617</v>
      </c>
      <c r="I7793" s="78" t="s">
        <v>8857</v>
      </c>
      <c r="J7793" s="78" t="s">
        <v>69</v>
      </c>
      <c r="K7793" s="58">
        <f t="shared" si="17"/>
        <v>1</v>
      </c>
      <c r="L7793" s="91" t="str">
        <f t="shared" si="8"/>
        <v>Sat</v>
      </c>
      <c r="M7793" s="78" t="str">
        <f>IFERROR(VLOOKUP(A7793, Entries!A:B,2,false),"")</f>
        <v/>
      </c>
      <c r="N7793" s="23" t="str">
        <f>IFERROR(VLOOKUP(A7793, Entries!A:K,11,false),"")</f>
        <v/>
      </c>
    </row>
    <row r="7794">
      <c r="A7794" s="78" t="s">
        <v>8856</v>
      </c>
      <c r="B7794" s="78" t="s">
        <v>25</v>
      </c>
      <c r="C7794" s="85">
        <v>45793.0</v>
      </c>
      <c r="D7794" s="85">
        <v>45796.0</v>
      </c>
      <c r="E7794" s="86">
        <v>17.55</v>
      </c>
      <c r="F7794" s="87">
        <v>25.45</v>
      </c>
      <c r="G7794" s="88">
        <f t="shared" si="1"/>
        <v>7.9</v>
      </c>
      <c r="H7794" s="89">
        <f t="shared" si="18"/>
        <v>0.3104125737</v>
      </c>
      <c r="I7794" s="78" t="s">
        <v>8858</v>
      </c>
      <c r="J7794" s="78" t="s">
        <v>69</v>
      </c>
      <c r="K7794" s="58">
        <f t="shared" si="17"/>
        <v>3</v>
      </c>
      <c r="L7794" s="91" t="str">
        <f t="shared" si="8"/>
        <v>Mon</v>
      </c>
      <c r="M7794" s="78" t="str">
        <f>IFERROR(VLOOKUP(A7794, Entries!A:B,2,false),"")</f>
        <v/>
      </c>
      <c r="N7794" s="23" t="str">
        <f>IFERROR(VLOOKUP(A7794, Entries!A:K,11,false),"")</f>
        <v/>
      </c>
    </row>
    <row r="7795">
      <c r="A7795" s="78" t="s">
        <v>7647</v>
      </c>
      <c r="B7795" s="78" t="s">
        <v>21</v>
      </c>
      <c r="C7795" s="85">
        <v>45795.0</v>
      </c>
      <c r="D7795" s="85">
        <v>45795.0</v>
      </c>
      <c r="E7795" s="86">
        <v>31.71</v>
      </c>
      <c r="F7795" s="87">
        <v>35.67</v>
      </c>
      <c r="G7795" s="88">
        <f t="shared" si="1"/>
        <v>3.96</v>
      </c>
      <c r="H7795" s="89">
        <f t="shared" si="18"/>
        <v>0.1110176619</v>
      </c>
      <c r="I7795" s="78" t="s">
        <v>8859</v>
      </c>
      <c r="J7795" s="78" t="s">
        <v>69</v>
      </c>
      <c r="K7795" s="58">
        <f t="shared" si="17"/>
        <v>0</v>
      </c>
      <c r="L7795" s="91" t="str">
        <f t="shared" si="8"/>
        <v>Sun</v>
      </c>
      <c r="M7795" s="78" t="str">
        <f>IFERROR(VLOOKUP(A7795, Entries!A:B,2,false),"")</f>
        <v>PlayStation</v>
      </c>
      <c r="N7795" s="23" t="str">
        <f>IFERROR(VLOOKUP(A7795, Entries!A:K,11,false),"")</f>
        <v/>
      </c>
    </row>
    <row r="7796">
      <c r="A7796" s="78" t="s">
        <v>7647</v>
      </c>
      <c r="B7796" s="78" t="s">
        <v>21</v>
      </c>
      <c r="C7796" s="85">
        <v>45795.0</v>
      </c>
      <c r="D7796" s="85">
        <v>45797.0</v>
      </c>
      <c r="E7796" s="86">
        <v>31.71</v>
      </c>
      <c r="F7796" s="87">
        <v>35.67</v>
      </c>
      <c r="G7796" s="88">
        <f t="shared" si="1"/>
        <v>3.96</v>
      </c>
      <c r="H7796" s="89">
        <f t="shared" si="18"/>
        <v>0.1110176619</v>
      </c>
      <c r="I7796" s="78" t="s">
        <v>8860</v>
      </c>
      <c r="J7796" s="78" t="s">
        <v>69</v>
      </c>
      <c r="K7796" s="58">
        <f t="shared" si="17"/>
        <v>2</v>
      </c>
      <c r="L7796" s="91" t="str">
        <f t="shared" si="8"/>
        <v>Tue</v>
      </c>
      <c r="M7796" s="78" t="str">
        <f>IFERROR(VLOOKUP(A7796, Entries!A:B,2,false),"")</f>
        <v>PlayStation</v>
      </c>
      <c r="N7796" s="23" t="str">
        <f>IFERROR(VLOOKUP(A7796, Entries!A:K,11,false),"")</f>
        <v/>
      </c>
    </row>
    <row r="7797">
      <c r="A7797" s="78" t="s">
        <v>8861</v>
      </c>
      <c r="B7797" s="78" t="s">
        <v>32</v>
      </c>
      <c r="C7797" s="85">
        <v>45795.0</v>
      </c>
      <c r="D7797" s="85">
        <v>45795.0</v>
      </c>
      <c r="E7797" s="86">
        <v>11.18</v>
      </c>
      <c r="F7797" s="87">
        <v>15.64</v>
      </c>
      <c r="G7797" s="88">
        <f t="shared" si="1"/>
        <v>4.46</v>
      </c>
      <c r="H7797" s="89">
        <f t="shared" si="18"/>
        <v>0.2851662404</v>
      </c>
      <c r="I7797" s="94" t="s">
        <v>8862</v>
      </c>
      <c r="J7797" s="78" t="s">
        <v>69</v>
      </c>
      <c r="K7797" s="58">
        <f t="shared" si="17"/>
        <v>0</v>
      </c>
      <c r="L7797" s="91" t="str">
        <f t="shared" si="8"/>
        <v>Sun</v>
      </c>
      <c r="M7797" s="78" t="str">
        <f>IFERROR(VLOOKUP(A7797, Entries!A:B,2,false),"")</f>
        <v/>
      </c>
      <c r="N7797" s="23" t="str">
        <f>IFERROR(VLOOKUP(A7797, Entries!A:K,11,false),"")</f>
        <v/>
      </c>
    </row>
    <row r="7798">
      <c r="A7798" s="78" t="s">
        <v>7647</v>
      </c>
      <c r="B7798" s="78" t="s">
        <v>21</v>
      </c>
      <c r="C7798" s="85">
        <v>45795.0</v>
      </c>
      <c r="D7798" s="85">
        <v>45798.0</v>
      </c>
      <c r="E7798" s="86">
        <v>31.34</v>
      </c>
      <c r="F7798" s="87">
        <v>34.44</v>
      </c>
      <c r="G7798" s="88">
        <f t="shared" si="1"/>
        <v>3.1</v>
      </c>
      <c r="H7798" s="89">
        <f t="shared" si="18"/>
        <v>0.0900116144</v>
      </c>
      <c r="I7798" s="78" t="s">
        <v>8863</v>
      </c>
      <c r="J7798" s="78" t="s">
        <v>69</v>
      </c>
      <c r="K7798" s="58">
        <f t="shared" si="17"/>
        <v>3</v>
      </c>
      <c r="L7798" s="91" t="str">
        <f t="shared" si="8"/>
        <v>Wed</v>
      </c>
      <c r="M7798" s="78" t="str">
        <f>IFERROR(VLOOKUP(A7798, Entries!A:B,2,false),"")</f>
        <v>PlayStation</v>
      </c>
      <c r="N7798" s="23" t="str">
        <f>IFERROR(VLOOKUP(A7798, Entries!A:K,11,false),"")</f>
        <v/>
      </c>
    </row>
    <row r="7799">
      <c r="A7799" s="78" t="s">
        <v>7647</v>
      </c>
      <c r="B7799" s="78" t="s">
        <v>21</v>
      </c>
      <c r="C7799" s="85">
        <v>45795.0</v>
      </c>
      <c r="D7799" s="85">
        <v>45799.0</v>
      </c>
      <c r="E7799" s="86">
        <v>31.35</v>
      </c>
      <c r="F7799" s="87">
        <v>35.89</v>
      </c>
      <c r="G7799" s="88">
        <f t="shared" si="1"/>
        <v>4.54</v>
      </c>
      <c r="H7799" s="89">
        <f t="shared" si="18"/>
        <v>0.1264976317</v>
      </c>
      <c r="I7799" s="78" t="s">
        <v>8864</v>
      </c>
      <c r="J7799" s="78" t="s">
        <v>69</v>
      </c>
      <c r="K7799" s="58">
        <f t="shared" si="17"/>
        <v>4</v>
      </c>
      <c r="L7799" s="91" t="str">
        <f t="shared" si="8"/>
        <v>Thu</v>
      </c>
      <c r="M7799" s="78" t="str">
        <f>IFERROR(VLOOKUP(A7799, Entries!A:B,2,false),"")</f>
        <v>PlayStation</v>
      </c>
      <c r="N7799" s="23" t="str">
        <f>IFERROR(VLOOKUP(A7799, Entries!A:K,11,false),"")</f>
        <v/>
      </c>
    </row>
    <row r="7800">
      <c r="A7800" s="78" t="s">
        <v>8865</v>
      </c>
      <c r="B7800" s="78" t="s">
        <v>19</v>
      </c>
      <c r="C7800" s="85">
        <v>45795.0</v>
      </c>
      <c r="D7800" s="85">
        <v>45795.0</v>
      </c>
      <c r="E7800" s="86">
        <v>38.83</v>
      </c>
      <c r="F7800" s="87">
        <v>42.17</v>
      </c>
      <c r="G7800" s="88">
        <f t="shared" si="1"/>
        <v>3.34</v>
      </c>
      <c r="H7800" s="89">
        <f t="shared" si="18"/>
        <v>0.07920322504</v>
      </c>
      <c r="I7800" s="78" t="s">
        <v>8866</v>
      </c>
      <c r="J7800" s="78" t="s">
        <v>69</v>
      </c>
      <c r="K7800" s="58">
        <f t="shared" si="17"/>
        <v>0</v>
      </c>
      <c r="L7800" s="91" t="str">
        <f t="shared" si="8"/>
        <v>Sun</v>
      </c>
      <c r="M7800" s="78" t="str">
        <f>IFERROR(VLOOKUP(A7800, Entries!A:B,2,false),"")</f>
        <v>Bethesda Softworks</v>
      </c>
      <c r="N7800" s="23" t="str">
        <f>IFERROR(VLOOKUP(A7800, Entries!A:K,11,false),"")</f>
        <v/>
      </c>
    </row>
    <row r="7801">
      <c r="A7801" s="78" t="s">
        <v>8865</v>
      </c>
      <c r="B7801" s="78" t="s">
        <v>19</v>
      </c>
      <c r="C7801" s="85">
        <v>45796.0</v>
      </c>
      <c r="D7801" s="85">
        <v>45796.0</v>
      </c>
      <c r="E7801" s="86">
        <v>37.9</v>
      </c>
      <c r="F7801" s="87">
        <v>42.19</v>
      </c>
      <c r="G7801" s="88">
        <f t="shared" si="1"/>
        <v>4.29</v>
      </c>
      <c r="H7801" s="89">
        <f t="shared" si="18"/>
        <v>0.1016828632</v>
      </c>
      <c r="I7801" s="78" t="s">
        <v>8867</v>
      </c>
      <c r="J7801" s="78" t="s">
        <v>69</v>
      </c>
      <c r="K7801" s="58">
        <f t="shared" si="17"/>
        <v>0</v>
      </c>
      <c r="L7801" s="91" t="str">
        <f t="shared" si="8"/>
        <v>Mon</v>
      </c>
      <c r="M7801" s="78" t="str">
        <f>IFERROR(VLOOKUP(A7801, Entries!A:B,2,false),"")</f>
        <v>Bethesda Softworks</v>
      </c>
      <c r="N7801" s="23" t="str">
        <f>IFERROR(VLOOKUP(A7801, Entries!A:K,11,false),"")</f>
        <v/>
      </c>
    </row>
    <row r="7802">
      <c r="A7802" s="78" t="s">
        <v>8696</v>
      </c>
      <c r="B7802" s="78" t="s">
        <v>19</v>
      </c>
      <c r="C7802" s="85">
        <v>45796.0</v>
      </c>
      <c r="D7802" s="85">
        <v>45797.0</v>
      </c>
      <c r="E7802" s="86">
        <v>42.94</v>
      </c>
      <c r="F7802" s="87">
        <v>50.21</v>
      </c>
      <c r="G7802" s="88">
        <f t="shared" si="1"/>
        <v>7.27</v>
      </c>
      <c r="H7802" s="89">
        <f t="shared" si="18"/>
        <v>0.1447918741</v>
      </c>
      <c r="I7802" s="78" t="s">
        <v>8868</v>
      </c>
      <c r="J7802" s="78" t="s">
        <v>69</v>
      </c>
      <c r="K7802" s="58">
        <f t="shared" si="17"/>
        <v>1</v>
      </c>
      <c r="L7802" s="91" t="str">
        <f t="shared" si="8"/>
        <v>Tue</v>
      </c>
      <c r="M7802" s="78" t="str">
        <f>IFERROR(VLOOKUP(A7802, Entries!A:B,2,false),"")</f>
        <v/>
      </c>
      <c r="N7802" s="23" t="str">
        <f>IFERROR(VLOOKUP(A7802, Entries!A:K,11,false),"")</f>
        <v/>
      </c>
    </row>
    <row r="7803">
      <c r="A7803" s="78" t="s">
        <v>8865</v>
      </c>
      <c r="B7803" s="78" t="s">
        <v>19</v>
      </c>
      <c r="C7803" s="85">
        <v>45796.0</v>
      </c>
      <c r="D7803" s="85">
        <v>45796.0</v>
      </c>
      <c r="E7803" s="86">
        <v>38.83</v>
      </c>
      <c r="F7803" s="87">
        <v>42.19</v>
      </c>
      <c r="G7803" s="88">
        <f t="shared" si="1"/>
        <v>3.36</v>
      </c>
      <c r="H7803" s="89">
        <f t="shared" si="18"/>
        <v>0.07963972505</v>
      </c>
      <c r="I7803" s="78" t="s">
        <v>8869</v>
      </c>
      <c r="J7803" s="78" t="s">
        <v>69</v>
      </c>
      <c r="K7803" s="58">
        <f t="shared" si="17"/>
        <v>0</v>
      </c>
      <c r="L7803" s="91" t="str">
        <f t="shared" si="8"/>
        <v>Mon</v>
      </c>
      <c r="M7803" s="78" t="str">
        <f>IFERROR(VLOOKUP(A7803, Entries!A:B,2,false),"")</f>
        <v>Bethesda Softworks</v>
      </c>
      <c r="N7803" s="23" t="str">
        <f>IFERROR(VLOOKUP(A7803, Entries!A:K,11,false),"")</f>
        <v/>
      </c>
    </row>
    <row r="7804">
      <c r="A7804" s="78" t="s">
        <v>8865</v>
      </c>
      <c r="B7804" s="78" t="s">
        <v>19</v>
      </c>
      <c r="C7804" s="85">
        <v>45796.0</v>
      </c>
      <c r="D7804" s="85">
        <v>45796.0</v>
      </c>
      <c r="E7804" s="86">
        <v>38.83</v>
      </c>
      <c r="F7804" s="87">
        <v>42.19</v>
      </c>
      <c r="G7804" s="88">
        <f t="shared" si="1"/>
        <v>3.36</v>
      </c>
      <c r="H7804" s="89">
        <f t="shared" si="18"/>
        <v>0.07963972505</v>
      </c>
      <c r="I7804" s="78" t="s">
        <v>8870</v>
      </c>
      <c r="J7804" s="78" t="s">
        <v>69</v>
      </c>
      <c r="K7804" s="58">
        <f t="shared" si="17"/>
        <v>0</v>
      </c>
      <c r="L7804" s="91" t="str">
        <f t="shared" si="8"/>
        <v>Mon</v>
      </c>
      <c r="M7804" s="78" t="str">
        <f>IFERROR(VLOOKUP(A7804, Entries!A:B,2,false),"")</f>
        <v>Bethesda Softworks</v>
      </c>
      <c r="N7804" s="23" t="str">
        <f>IFERROR(VLOOKUP(A7804, Entries!A:K,11,false),"")</f>
        <v/>
      </c>
    </row>
    <row r="7805">
      <c r="A7805" s="78" t="s">
        <v>8865</v>
      </c>
      <c r="B7805" s="78" t="s">
        <v>19</v>
      </c>
      <c r="C7805" s="85">
        <v>45796.0</v>
      </c>
      <c r="D7805" s="85">
        <v>45796.0</v>
      </c>
      <c r="E7805" s="86">
        <v>38.83</v>
      </c>
      <c r="F7805" s="87">
        <v>42.19</v>
      </c>
      <c r="G7805" s="88">
        <f t="shared" si="1"/>
        <v>3.36</v>
      </c>
      <c r="H7805" s="89">
        <f t="shared" si="18"/>
        <v>0.07963972505</v>
      </c>
      <c r="I7805" s="78" t="s">
        <v>8871</v>
      </c>
      <c r="J7805" s="78" t="s">
        <v>69</v>
      </c>
      <c r="K7805" s="58">
        <f t="shared" si="17"/>
        <v>0</v>
      </c>
      <c r="L7805" s="91" t="str">
        <f t="shared" si="8"/>
        <v>Mon</v>
      </c>
      <c r="M7805" s="78" t="str">
        <f>IFERROR(VLOOKUP(A7805, Entries!A:B,2,false),"")</f>
        <v>Bethesda Softworks</v>
      </c>
      <c r="N7805" s="23" t="str">
        <f>IFERROR(VLOOKUP(A7805, Entries!A:K,11,false),"")</f>
        <v/>
      </c>
    </row>
    <row r="7806">
      <c r="A7806" s="78" t="s">
        <v>8872</v>
      </c>
      <c r="B7806" s="78" t="s">
        <v>19</v>
      </c>
      <c r="C7806" s="85">
        <v>45796.0</v>
      </c>
      <c r="D7806" s="85">
        <v>45801.0</v>
      </c>
      <c r="E7806" s="86">
        <v>5.61</v>
      </c>
      <c r="F7806" s="87">
        <v>6.6</v>
      </c>
      <c r="G7806" s="88">
        <f t="shared" si="1"/>
        <v>0.99</v>
      </c>
      <c r="H7806" s="89">
        <f t="shared" si="18"/>
        <v>0.15</v>
      </c>
      <c r="I7806" s="78" t="s">
        <v>8873</v>
      </c>
      <c r="J7806" s="78" t="s">
        <v>69</v>
      </c>
      <c r="K7806" s="58">
        <f t="shared" si="17"/>
        <v>5</v>
      </c>
      <c r="L7806" s="91" t="str">
        <f t="shared" si="8"/>
        <v>Sat</v>
      </c>
      <c r="M7806" s="78" t="str">
        <f>IFERROR(VLOOKUP(A7806, Entries!A:B,2,false),"")</f>
        <v/>
      </c>
      <c r="N7806" s="23" t="str">
        <f>IFERROR(VLOOKUP(A7806, Entries!A:K,11,false),"")</f>
        <v/>
      </c>
    </row>
    <row r="7807">
      <c r="A7807" s="78" t="s">
        <v>3593</v>
      </c>
      <c r="B7807" s="78" t="s">
        <v>19</v>
      </c>
      <c r="C7807" s="85">
        <v>45796.0</v>
      </c>
      <c r="D7807" s="85"/>
      <c r="E7807" s="86">
        <v>17.09</v>
      </c>
      <c r="F7807" s="88"/>
      <c r="G7807" s="88">
        <f t="shared" si="1"/>
        <v>-17.09</v>
      </c>
      <c r="H7807" s="89" t="str">
        <f t="shared" si="18"/>
        <v/>
      </c>
      <c r="I7807" s="78" t="s">
        <v>8874</v>
      </c>
      <c r="J7807" s="78" t="s">
        <v>1129</v>
      </c>
      <c r="K7807" s="58" t="str">
        <f t="shared" si="17"/>
        <v/>
      </c>
      <c r="L7807" s="91" t="str">
        <f t="shared" si="8"/>
        <v/>
      </c>
      <c r="M7807" s="78" t="str">
        <f>IFERROR(VLOOKUP(A7807, Entries!A:B,2,false),"")</f>
        <v>Bethesda Softworks</v>
      </c>
      <c r="N7807" s="23" t="str">
        <f>IFERROR(VLOOKUP(A7807, Entries!A:K,11,false),"")</f>
        <v/>
      </c>
      <c r="Q7807" s="78" t="s">
        <v>8875</v>
      </c>
    </row>
    <row r="7808">
      <c r="A7808" s="78" t="s">
        <v>8865</v>
      </c>
      <c r="B7808" s="78" t="s">
        <v>19</v>
      </c>
      <c r="C7808" s="85">
        <v>45796.0</v>
      </c>
      <c r="D7808" s="85">
        <v>45796.0</v>
      </c>
      <c r="E7808" s="86">
        <v>38.83</v>
      </c>
      <c r="F7808" s="87">
        <v>42.19</v>
      </c>
      <c r="G7808" s="88">
        <f t="shared" si="1"/>
        <v>3.36</v>
      </c>
      <c r="H7808" s="89">
        <f t="shared" si="18"/>
        <v>0.07963972505</v>
      </c>
      <c r="I7808" s="78" t="s">
        <v>8876</v>
      </c>
      <c r="J7808" s="78" t="s">
        <v>69</v>
      </c>
      <c r="K7808" s="58">
        <f t="shared" si="17"/>
        <v>0</v>
      </c>
      <c r="L7808" s="91" t="str">
        <f t="shared" si="8"/>
        <v>Mon</v>
      </c>
      <c r="M7808" s="78" t="str">
        <f>IFERROR(VLOOKUP(A7808, Entries!A:B,2,false),"")</f>
        <v>Bethesda Softworks</v>
      </c>
      <c r="N7808" s="23" t="str">
        <f>IFERROR(VLOOKUP(A7808, Entries!A:K,11,false),"")</f>
        <v/>
      </c>
    </row>
    <row r="7809">
      <c r="A7809" s="78" t="s">
        <v>8865</v>
      </c>
      <c r="B7809" s="78" t="s">
        <v>19</v>
      </c>
      <c r="C7809" s="85">
        <v>45796.0</v>
      </c>
      <c r="D7809" s="85">
        <v>45796.0</v>
      </c>
      <c r="E7809" s="86">
        <v>38.83</v>
      </c>
      <c r="F7809" s="87">
        <v>42.19</v>
      </c>
      <c r="G7809" s="88">
        <f t="shared" si="1"/>
        <v>3.36</v>
      </c>
      <c r="H7809" s="89">
        <f t="shared" si="18"/>
        <v>0.07963972505</v>
      </c>
      <c r="I7809" s="78" t="s">
        <v>8877</v>
      </c>
      <c r="J7809" s="78" t="s">
        <v>69</v>
      </c>
      <c r="K7809" s="58">
        <f t="shared" si="17"/>
        <v>0</v>
      </c>
      <c r="L7809" s="91" t="str">
        <f t="shared" si="8"/>
        <v>Mon</v>
      </c>
      <c r="M7809" s="78" t="str">
        <f>IFERROR(VLOOKUP(A7809, Entries!A:B,2,false),"")</f>
        <v>Bethesda Softworks</v>
      </c>
      <c r="N7809" s="23" t="str">
        <f>IFERROR(VLOOKUP(A7809, Entries!A:K,11,false),"")</f>
        <v/>
      </c>
    </row>
    <row r="7810">
      <c r="A7810" s="78" t="s">
        <v>8865</v>
      </c>
      <c r="B7810" s="78" t="s">
        <v>19</v>
      </c>
      <c r="C7810" s="85">
        <v>45796.0</v>
      </c>
      <c r="D7810" s="85">
        <v>45797.0</v>
      </c>
      <c r="E7810" s="86">
        <v>38.83</v>
      </c>
      <c r="F7810" s="87">
        <v>42.19</v>
      </c>
      <c r="G7810" s="88">
        <f t="shared" si="1"/>
        <v>3.36</v>
      </c>
      <c r="H7810" s="89">
        <f t="shared" si="18"/>
        <v>0.07963972505</v>
      </c>
      <c r="I7810" s="78" t="s">
        <v>8878</v>
      </c>
      <c r="J7810" s="78" t="s">
        <v>69</v>
      </c>
      <c r="K7810" s="58">
        <f t="shared" si="17"/>
        <v>1</v>
      </c>
      <c r="L7810" s="91" t="str">
        <f t="shared" si="8"/>
        <v>Tue</v>
      </c>
      <c r="M7810" s="78" t="str">
        <f>IFERROR(VLOOKUP(A7810, Entries!A:B,2,false),"")</f>
        <v>Bethesda Softworks</v>
      </c>
      <c r="N7810" s="23" t="str">
        <f>IFERROR(VLOOKUP(A7810, Entries!A:K,11,false),"")</f>
        <v/>
      </c>
    </row>
    <row r="7811">
      <c r="A7811" s="78" t="s">
        <v>3593</v>
      </c>
      <c r="B7811" s="78" t="s">
        <v>19</v>
      </c>
      <c r="C7811" s="85">
        <v>45797.0</v>
      </c>
      <c r="D7811" s="85">
        <v>45797.0</v>
      </c>
      <c r="E7811" s="86">
        <v>9.79</v>
      </c>
      <c r="F7811" s="87">
        <v>13.09</v>
      </c>
      <c r="G7811" s="88">
        <f t="shared" si="1"/>
        <v>3.3</v>
      </c>
      <c r="H7811" s="89">
        <f t="shared" si="18"/>
        <v>0.2521008403</v>
      </c>
      <c r="I7811" s="78" t="s">
        <v>8879</v>
      </c>
      <c r="J7811" s="78" t="s">
        <v>69</v>
      </c>
      <c r="K7811" s="58">
        <f t="shared" si="17"/>
        <v>0</v>
      </c>
      <c r="L7811" s="91" t="str">
        <f t="shared" si="8"/>
        <v>Tue</v>
      </c>
      <c r="M7811" s="78" t="str">
        <f>IFERROR(VLOOKUP(A7811, Entries!A:B,2,false),"")</f>
        <v>Bethesda Softworks</v>
      </c>
      <c r="N7811" s="23" t="str">
        <f>IFERROR(VLOOKUP(A7811, Entries!A:K,11,false),"")</f>
        <v/>
      </c>
    </row>
    <row r="7812">
      <c r="A7812" s="78" t="s">
        <v>3593</v>
      </c>
      <c r="B7812" s="78" t="s">
        <v>19</v>
      </c>
      <c r="C7812" s="85">
        <v>45797.0</v>
      </c>
      <c r="D7812" s="85">
        <v>45799.0</v>
      </c>
      <c r="E7812" s="86">
        <v>9.79</v>
      </c>
      <c r="F7812" s="87">
        <v>12.35</v>
      </c>
      <c r="G7812" s="88">
        <f t="shared" si="1"/>
        <v>2.56</v>
      </c>
      <c r="H7812" s="89">
        <f t="shared" si="18"/>
        <v>0.2072874494</v>
      </c>
      <c r="I7812" s="78" t="s">
        <v>8880</v>
      </c>
      <c r="J7812" s="78" t="s">
        <v>69</v>
      </c>
      <c r="K7812" s="58">
        <f t="shared" si="17"/>
        <v>2</v>
      </c>
      <c r="L7812" s="91" t="str">
        <f t="shared" si="8"/>
        <v>Thu</v>
      </c>
      <c r="M7812" s="78" t="str">
        <f>IFERROR(VLOOKUP(A7812, Entries!A:B,2,false),"")</f>
        <v>Bethesda Softworks</v>
      </c>
      <c r="N7812" s="23" t="str">
        <f>IFERROR(VLOOKUP(A7812, Entries!A:K,11,false),"")</f>
        <v/>
      </c>
    </row>
    <row r="7813">
      <c r="A7813" s="78" t="s">
        <v>8696</v>
      </c>
      <c r="B7813" s="78" t="s">
        <v>19</v>
      </c>
      <c r="C7813" s="85">
        <v>45797.0</v>
      </c>
      <c r="D7813" s="85">
        <v>45799.0</v>
      </c>
      <c r="E7813" s="86">
        <v>40.57</v>
      </c>
      <c r="F7813" s="87">
        <v>50.05</v>
      </c>
      <c r="G7813" s="88">
        <f t="shared" si="1"/>
        <v>9.48</v>
      </c>
      <c r="H7813" s="89">
        <f t="shared" si="18"/>
        <v>0.1894105894</v>
      </c>
      <c r="I7813" s="78" t="s">
        <v>8881</v>
      </c>
      <c r="J7813" s="78" t="s">
        <v>69</v>
      </c>
      <c r="K7813" s="58">
        <f t="shared" si="17"/>
        <v>2</v>
      </c>
      <c r="L7813" s="91" t="str">
        <f t="shared" si="8"/>
        <v>Thu</v>
      </c>
      <c r="M7813" s="78" t="str">
        <f>IFERROR(VLOOKUP(A7813, Entries!A:B,2,false),"")</f>
        <v/>
      </c>
      <c r="N7813" s="23" t="str">
        <f>IFERROR(VLOOKUP(A7813, Entries!A:K,11,false),"")</f>
        <v/>
      </c>
    </row>
    <row r="7814">
      <c r="A7814" s="78" t="s">
        <v>8856</v>
      </c>
      <c r="B7814" s="78" t="s">
        <v>25</v>
      </c>
      <c r="C7814" s="85">
        <v>45797.0</v>
      </c>
      <c r="D7814" s="85">
        <v>45866.0</v>
      </c>
      <c r="E7814" s="86">
        <v>21.09</v>
      </c>
      <c r="F7814" s="87">
        <v>22.3</v>
      </c>
      <c r="G7814" s="88">
        <f t="shared" si="1"/>
        <v>1.21</v>
      </c>
      <c r="H7814" s="89">
        <f t="shared" si="18"/>
        <v>0.05426008969</v>
      </c>
      <c r="I7814" s="78" t="s">
        <v>8882</v>
      </c>
      <c r="J7814" s="78" t="s">
        <v>69</v>
      </c>
      <c r="K7814" s="58">
        <f t="shared" si="17"/>
        <v>69</v>
      </c>
      <c r="L7814" s="91" t="str">
        <f t="shared" si="8"/>
        <v>Mon</v>
      </c>
      <c r="M7814" s="78" t="str">
        <f>IFERROR(VLOOKUP(A7814, Entries!A:B,2,false),"")</f>
        <v/>
      </c>
      <c r="N7814" s="23" t="str">
        <f>IFERROR(VLOOKUP(A7814, Entries!A:K,11,false),"")</f>
        <v/>
      </c>
    </row>
    <row r="7815">
      <c r="A7815" s="78" t="s">
        <v>8011</v>
      </c>
      <c r="B7815" s="78" t="s">
        <v>30</v>
      </c>
      <c r="C7815" s="85">
        <v>45797.0</v>
      </c>
      <c r="D7815" s="85">
        <v>45800.0</v>
      </c>
      <c r="E7815" s="86">
        <v>11.75</v>
      </c>
      <c r="F7815" s="87">
        <v>17.21</v>
      </c>
      <c r="G7815" s="88">
        <f t="shared" si="1"/>
        <v>5.46</v>
      </c>
      <c r="H7815" s="89">
        <f t="shared" si="18"/>
        <v>0.3172574085</v>
      </c>
      <c r="I7815" s="78" t="s">
        <v>8883</v>
      </c>
      <c r="J7815" s="78" t="s">
        <v>69</v>
      </c>
      <c r="K7815" s="58">
        <f t="shared" si="17"/>
        <v>3</v>
      </c>
      <c r="L7815" s="91" t="str">
        <f t="shared" si="8"/>
        <v>Fri</v>
      </c>
      <c r="M7815" s="78" t="str">
        <f>IFERROR(VLOOKUP(A7815, Entries!A:B,2,false),"")</f>
        <v/>
      </c>
      <c r="N7815" s="23" t="str">
        <f>IFERROR(VLOOKUP(A7815, Entries!A:K,11,false),"")</f>
        <v/>
      </c>
    </row>
    <row r="7816">
      <c r="A7816" s="78" t="s">
        <v>8865</v>
      </c>
      <c r="B7816" s="78" t="s">
        <v>19</v>
      </c>
      <c r="C7816" s="85">
        <v>45797.0</v>
      </c>
      <c r="D7816" s="85">
        <v>45797.0</v>
      </c>
      <c r="E7816" s="86">
        <v>34.86</v>
      </c>
      <c r="F7816" s="87">
        <v>41.99</v>
      </c>
      <c r="G7816" s="88">
        <f t="shared" si="1"/>
        <v>7.13</v>
      </c>
      <c r="H7816" s="89">
        <f t="shared" si="18"/>
        <v>0.1698023339</v>
      </c>
      <c r="I7816" s="78" t="s">
        <v>8884</v>
      </c>
      <c r="J7816" s="78" t="s">
        <v>69</v>
      </c>
      <c r="K7816" s="58">
        <f t="shared" si="17"/>
        <v>0</v>
      </c>
      <c r="L7816" s="91" t="str">
        <f t="shared" si="8"/>
        <v>Tue</v>
      </c>
      <c r="M7816" s="78" t="str">
        <f>IFERROR(VLOOKUP(A7816, Entries!A:B,2,false),"")</f>
        <v>Bethesda Softworks</v>
      </c>
      <c r="N7816" s="23" t="str">
        <f>IFERROR(VLOOKUP(A7816, Entries!A:K,11,false),"")</f>
        <v/>
      </c>
    </row>
    <row r="7817">
      <c r="A7817" s="78" t="s">
        <v>8885</v>
      </c>
      <c r="B7817" s="78" t="s">
        <v>25</v>
      </c>
      <c r="C7817" s="85">
        <v>45797.0</v>
      </c>
      <c r="D7817" s="85">
        <v>45800.0</v>
      </c>
      <c r="E7817" s="86">
        <v>10.8</v>
      </c>
      <c r="F7817" s="87">
        <v>14.1</v>
      </c>
      <c r="G7817" s="88">
        <f t="shared" si="1"/>
        <v>3.3</v>
      </c>
      <c r="H7817" s="89">
        <f t="shared" si="18"/>
        <v>0.2340425532</v>
      </c>
      <c r="I7817" s="78" t="s">
        <v>8886</v>
      </c>
      <c r="J7817" s="78" t="s">
        <v>69</v>
      </c>
      <c r="K7817" s="58">
        <f t="shared" si="17"/>
        <v>3</v>
      </c>
      <c r="L7817" s="91" t="str">
        <f t="shared" si="8"/>
        <v>Fri</v>
      </c>
      <c r="M7817" s="78" t="str">
        <f>IFERROR(VLOOKUP(A7817, Entries!A:B,2,false),"")</f>
        <v/>
      </c>
      <c r="N7817" s="23" t="str">
        <f>IFERROR(VLOOKUP(A7817, Entries!A:K,11,false),"")</f>
        <v/>
      </c>
    </row>
    <row r="7818">
      <c r="A7818" s="78" t="s">
        <v>8865</v>
      </c>
      <c r="B7818" s="78" t="s">
        <v>19</v>
      </c>
      <c r="C7818" s="85">
        <v>45797.0</v>
      </c>
      <c r="D7818" s="85">
        <v>45797.0</v>
      </c>
      <c r="E7818" s="86">
        <v>34.86</v>
      </c>
      <c r="F7818" s="87">
        <v>41.99</v>
      </c>
      <c r="G7818" s="88">
        <f t="shared" si="1"/>
        <v>7.13</v>
      </c>
      <c r="H7818" s="89">
        <f t="shared" si="18"/>
        <v>0.1698023339</v>
      </c>
      <c r="I7818" s="78" t="s">
        <v>8887</v>
      </c>
      <c r="J7818" s="78" t="s">
        <v>69</v>
      </c>
      <c r="K7818" s="58">
        <f t="shared" si="17"/>
        <v>0</v>
      </c>
      <c r="L7818" s="91" t="str">
        <f t="shared" si="8"/>
        <v>Tue</v>
      </c>
      <c r="M7818" s="78" t="str">
        <f>IFERROR(VLOOKUP(A7818, Entries!A:B,2,false),"")</f>
        <v>Bethesda Softworks</v>
      </c>
      <c r="N7818" s="23" t="str">
        <f>IFERROR(VLOOKUP(A7818, Entries!A:K,11,false),"")</f>
        <v/>
      </c>
      <c r="Q7818" s="78" t="s">
        <v>8888</v>
      </c>
    </row>
    <row r="7819">
      <c r="A7819" s="78" t="s">
        <v>8865</v>
      </c>
      <c r="B7819" s="78" t="s">
        <v>19</v>
      </c>
      <c r="C7819" s="85">
        <v>45797.0</v>
      </c>
      <c r="D7819" s="85">
        <v>45798.0</v>
      </c>
      <c r="E7819" s="86">
        <v>32.92</v>
      </c>
      <c r="F7819" s="87">
        <v>41.99</v>
      </c>
      <c r="G7819" s="88">
        <f t="shared" si="1"/>
        <v>9.07</v>
      </c>
      <c r="H7819" s="89">
        <f t="shared" si="18"/>
        <v>0.2160038104</v>
      </c>
      <c r="I7819" s="78" t="s">
        <v>8889</v>
      </c>
      <c r="J7819" s="78" t="s">
        <v>69</v>
      </c>
      <c r="K7819" s="58">
        <f t="shared" si="17"/>
        <v>1</v>
      </c>
      <c r="L7819" s="91" t="str">
        <f t="shared" si="8"/>
        <v>Wed</v>
      </c>
      <c r="M7819" s="78" t="str">
        <f>IFERROR(VLOOKUP(A7819, Entries!A:B,2,false),"")</f>
        <v>Bethesda Softworks</v>
      </c>
      <c r="N7819" s="23" t="str">
        <f>IFERROR(VLOOKUP(A7819, Entries!A:K,11,false),"")</f>
        <v/>
      </c>
      <c r="Q7819" s="78" t="s">
        <v>8890</v>
      </c>
    </row>
    <row r="7820">
      <c r="A7820" s="78" t="s">
        <v>6710</v>
      </c>
      <c r="B7820" s="78" t="s">
        <v>22</v>
      </c>
      <c r="C7820" s="85">
        <v>45798.0</v>
      </c>
      <c r="D7820" s="85">
        <v>45799.0</v>
      </c>
      <c r="E7820" s="86">
        <v>23.67</v>
      </c>
      <c r="F7820" s="87">
        <v>29.05</v>
      </c>
      <c r="G7820" s="88">
        <f t="shared" si="1"/>
        <v>5.38</v>
      </c>
      <c r="H7820" s="89">
        <f t="shared" si="18"/>
        <v>0.1851979346</v>
      </c>
      <c r="I7820" s="78" t="s">
        <v>8891</v>
      </c>
      <c r="J7820" s="78" t="s">
        <v>69</v>
      </c>
      <c r="K7820" s="58">
        <f t="shared" si="17"/>
        <v>1</v>
      </c>
      <c r="L7820" s="91" t="str">
        <f t="shared" si="8"/>
        <v>Thu</v>
      </c>
      <c r="M7820" s="78" t="str">
        <f>IFERROR(VLOOKUP(A7820, Entries!A:B,2,false),"")</f>
        <v/>
      </c>
      <c r="N7820" s="23" t="str">
        <f>IFERROR(VLOOKUP(A7820, Entries!A:K,11,false),"")</f>
        <v/>
      </c>
    </row>
    <row r="7821">
      <c r="A7821" s="78" t="s">
        <v>8865</v>
      </c>
      <c r="B7821" s="78" t="s">
        <v>19</v>
      </c>
      <c r="C7821" s="85">
        <v>45798.0</v>
      </c>
      <c r="D7821" s="85">
        <v>45798.0</v>
      </c>
      <c r="E7821" s="86">
        <v>32.76</v>
      </c>
      <c r="F7821" s="87">
        <v>41.99</v>
      </c>
      <c r="G7821" s="88">
        <f t="shared" si="1"/>
        <v>9.23</v>
      </c>
      <c r="H7821" s="89">
        <f t="shared" si="18"/>
        <v>0.2198142415</v>
      </c>
      <c r="I7821" s="78" t="s">
        <v>8892</v>
      </c>
      <c r="J7821" s="78" t="s">
        <v>69</v>
      </c>
      <c r="K7821" s="58">
        <f t="shared" si="17"/>
        <v>0</v>
      </c>
      <c r="L7821" s="91" t="str">
        <f t="shared" si="8"/>
        <v>Wed</v>
      </c>
      <c r="M7821" s="78" t="str">
        <f>IFERROR(VLOOKUP(A7821, Entries!A:B,2,false),"")</f>
        <v>Bethesda Softworks</v>
      </c>
      <c r="N7821" s="23" t="str">
        <f>IFERROR(VLOOKUP(A7821, Entries!A:K,11,false),"")</f>
        <v/>
      </c>
    </row>
    <row r="7822">
      <c r="A7822" s="78" t="s">
        <v>8893</v>
      </c>
      <c r="B7822" s="78" t="s">
        <v>19</v>
      </c>
      <c r="C7822" s="85">
        <v>45798.0</v>
      </c>
      <c r="D7822" s="85">
        <v>45801.0</v>
      </c>
      <c r="E7822" s="86">
        <v>0.0</v>
      </c>
      <c r="F7822" s="87">
        <v>0.59</v>
      </c>
      <c r="G7822" s="88">
        <f t="shared" si="1"/>
        <v>0.59</v>
      </c>
      <c r="H7822" s="89">
        <f t="shared" si="18"/>
        <v>1</v>
      </c>
      <c r="I7822" s="78" t="s">
        <v>8894</v>
      </c>
      <c r="J7822" s="78" t="s">
        <v>69</v>
      </c>
      <c r="K7822" s="58">
        <f t="shared" si="17"/>
        <v>3</v>
      </c>
      <c r="L7822" s="91" t="str">
        <f t="shared" si="8"/>
        <v>Sat</v>
      </c>
      <c r="M7822" s="78" t="str">
        <f>IFERROR(VLOOKUP(A7822, Entries!A:B,2,false),"")</f>
        <v/>
      </c>
      <c r="N7822" s="23" t="str">
        <f>IFERROR(VLOOKUP(A7822, Entries!A:K,11,false),"")</f>
        <v/>
      </c>
    </row>
    <row r="7823">
      <c r="A7823" s="78" t="s">
        <v>8865</v>
      </c>
      <c r="B7823" s="78" t="s">
        <v>19</v>
      </c>
      <c r="C7823" s="85">
        <v>45798.0</v>
      </c>
      <c r="D7823" s="85">
        <v>45798.0</v>
      </c>
      <c r="E7823" s="86">
        <v>36.61</v>
      </c>
      <c r="F7823" s="87">
        <v>41.99</v>
      </c>
      <c r="G7823" s="88">
        <f t="shared" si="1"/>
        <v>5.38</v>
      </c>
      <c r="H7823" s="89">
        <f t="shared" si="18"/>
        <v>0.1281257442</v>
      </c>
      <c r="I7823" s="78" t="s">
        <v>8895</v>
      </c>
      <c r="J7823" s="78" t="s">
        <v>69</v>
      </c>
      <c r="K7823" s="58">
        <f t="shared" si="17"/>
        <v>0</v>
      </c>
      <c r="L7823" s="91" t="str">
        <f t="shared" si="8"/>
        <v>Wed</v>
      </c>
      <c r="M7823" s="78" t="str">
        <f>IFERROR(VLOOKUP(A7823, Entries!A:B,2,false),"")</f>
        <v>Bethesda Softworks</v>
      </c>
      <c r="N7823" s="23" t="str">
        <f>IFERROR(VLOOKUP(A7823, Entries!A:K,11,false),"")</f>
        <v/>
      </c>
      <c r="Q7823" s="78" t="s">
        <v>8896</v>
      </c>
    </row>
    <row r="7824">
      <c r="A7824" s="78" t="s">
        <v>8865</v>
      </c>
      <c r="B7824" s="78" t="s">
        <v>19</v>
      </c>
      <c r="C7824" s="85">
        <v>45798.0</v>
      </c>
      <c r="D7824" s="85">
        <v>45798.0</v>
      </c>
      <c r="E7824" s="86">
        <v>34.68</v>
      </c>
      <c r="F7824" s="87">
        <v>41.99</v>
      </c>
      <c r="G7824" s="88">
        <f t="shared" si="1"/>
        <v>7.31</v>
      </c>
      <c r="H7824" s="89">
        <f t="shared" si="18"/>
        <v>0.1740890688</v>
      </c>
      <c r="I7824" s="78" t="s">
        <v>8897</v>
      </c>
      <c r="J7824" s="78" t="s">
        <v>69</v>
      </c>
      <c r="K7824" s="58">
        <f t="shared" si="17"/>
        <v>0</v>
      </c>
      <c r="L7824" s="91" t="str">
        <f t="shared" si="8"/>
        <v>Wed</v>
      </c>
      <c r="M7824" s="78" t="str">
        <f>IFERROR(VLOOKUP(A7824, Entries!A:B,2,false),"")</f>
        <v>Bethesda Softworks</v>
      </c>
      <c r="N7824" s="23" t="str">
        <f>IFERROR(VLOOKUP(A7824, Entries!A:K,11,false),"")</f>
        <v/>
      </c>
    </row>
    <row r="7825">
      <c r="A7825" s="78" t="s">
        <v>8865</v>
      </c>
      <c r="B7825" s="78" t="s">
        <v>19</v>
      </c>
      <c r="C7825" s="85">
        <v>45798.0</v>
      </c>
      <c r="D7825" s="85">
        <v>45798.0</v>
      </c>
      <c r="E7825" s="86">
        <v>36.61</v>
      </c>
      <c r="F7825" s="87">
        <v>41.99</v>
      </c>
      <c r="G7825" s="88">
        <f t="shared" si="1"/>
        <v>5.38</v>
      </c>
      <c r="H7825" s="89">
        <f t="shared" si="18"/>
        <v>0.1281257442</v>
      </c>
      <c r="I7825" s="78" t="s">
        <v>8898</v>
      </c>
      <c r="J7825" s="78" t="s">
        <v>69</v>
      </c>
      <c r="K7825" s="58">
        <f t="shared" si="17"/>
        <v>0</v>
      </c>
      <c r="L7825" s="91" t="str">
        <f t="shared" si="8"/>
        <v>Wed</v>
      </c>
      <c r="M7825" s="78" t="str">
        <f>IFERROR(VLOOKUP(A7825, Entries!A:B,2,false),"")</f>
        <v>Bethesda Softworks</v>
      </c>
      <c r="N7825" s="23" t="str">
        <f>IFERROR(VLOOKUP(A7825, Entries!A:K,11,false),"")</f>
        <v/>
      </c>
    </row>
    <row r="7826">
      <c r="A7826" s="78" t="s">
        <v>8899</v>
      </c>
      <c r="B7826" s="78" t="s">
        <v>19</v>
      </c>
      <c r="C7826" s="85">
        <v>45798.0</v>
      </c>
      <c r="D7826" s="85">
        <v>45798.0</v>
      </c>
      <c r="E7826" s="86">
        <v>0.0</v>
      </c>
      <c r="F7826" s="87">
        <v>0.65</v>
      </c>
      <c r="G7826" s="88">
        <f t="shared" si="1"/>
        <v>0.65</v>
      </c>
      <c r="H7826" s="89">
        <f t="shared" si="18"/>
        <v>1</v>
      </c>
      <c r="I7826" s="78" t="s">
        <v>8900</v>
      </c>
      <c r="J7826" s="78" t="s">
        <v>69</v>
      </c>
      <c r="K7826" s="58">
        <f t="shared" si="17"/>
        <v>0</v>
      </c>
      <c r="L7826" s="91" t="str">
        <f t="shared" si="8"/>
        <v>Wed</v>
      </c>
      <c r="M7826" s="78" t="str">
        <f>IFERROR(VLOOKUP(A7826, Entries!A:B,2,false),"")</f>
        <v/>
      </c>
      <c r="N7826" s="23" t="str">
        <f>IFERROR(VLOOKUP(A7826, Entries!A:K,11,false),"")</f>
        <v/>
      </c>
    </row>
    <row r="7827">
      <c r="A7827" s="78" t="s">
        <v>8778</v>
      </c>
      <c r="B7827" s="78" t="s">
        <v>22</v>
      </c>
      <c r="C7827" s="85">
        <v>45798.0</v>
      </c>
      <c r="D7827" s="85">
        <v>45804.0</v>
      </c>
      <c r="E7827" s="86">
        <v>4.57</v>
      </c>
      <c r="F7827" s="87">
        <v>6.04</v>
      </c>
      <c r="G7827" s="88">
        <f t="shared" si="1"/>
        <v>1.47</v>
      </c>
      <c r="H7827" s="89">
        <f t="shared" si="18"/>
        <v>0.2433774834</v>
      </c>
      <c r="I7827" s="78" t="s">
        <v>8901</v>
      </c>
      <c r="J7827" s="78" t="s">
        <v>69</v>
      </c>
      <c r="K7827" s="58">
        <f t="shared" si="17"/>
        <v>6</v>
      </c>
      <c r="L7827" s="91" t="str">
        <f t="shared" si="8"/>
        <v>Tue</v>
      </c>
      <c r="M7827" s="78" t="str">
        <f>IFERROR(VLOOKUP(A7827, Entries!A:B,2,false),"")</f>
        <v/>
      </c>
      <c r="N7827" s="23" t="str">
        <f>IFERROR(VLOOKUP(A7827, Entries!A:K,11,false),"")</f>
        <v/>
      </c>
    </row>
    <row r="7828">
      <c r="A7828" s="78" t="s">
        <v>8778</v>
      </c>
      <c r="B7828" s="78" t="s">
        <v>22</v>
      </c>
      <c r="C7828" s="85">
        <v>45798.0</v>
      </c>
      <c r="D7828" s="85">
        <v>45805.0</v>
      </c>
      <c r="E7828" s="86">
        <v>4.57</v>
      </c>
      <c r="F7828" s="87">
        <v>6.04</v>
      </c>
      <c r="G7828" s="88">
        <f t="shared" si="1"/>
        <v>1.47</v>
      </c>
      <c r="H7828" s="89">
        <f t="shared" si="18"/>
        <v>0.2433774834</v>
      </c>
      <c r="I7828" s="78" t="s">
        <v>8902</v>
      </c>
      <c r="J7828" s="78" t="s">
        <v>69</v>
      </c>
      <c r="K7828" s="58">
        <f t="shared" si="17"/>
        <v>7</v>
      </c>
      <c r="L7828" s="91" t="str">
        <f t="shared" si="8"/>
        <v>Wed</v>
      </c>
      <c r="M7828" s="78" t="str">
        <f>IFERROR(VLOOKUP(A7828, Entries!A:B,2,false),"")</f>
        <v/>
      </c>
      <c r="N7828" s="23" t="str">
        <f>IFERROR(VLOOKUP(A7828, Entries!A:K,11,false),"")</f>
        <v/>
      </c>
    </row>
    <row r="7829">
      <c r="A7829" s="78" t="s">
        <v>8865</v>
      </c>
      <c r="B7829" s="78" t="s">
        <v>19</v>
      </c>
      <c r="C7829" s="85">
        <v>45798.0</v>
      </c>
      <c r="D7829" s="85">
        <v>45799.0</v>
      </c>
      <c r="E7829" s="86">
        <v>36.61</v>
      </c>
      <c r="F7829" s="87">
        <v>41.99</v>
      </c>
      <c r="G7829" s="88">
        <f t="shared" si="1"/>
        <v>5.38</v>
      </c>
      <c r="H7829" s="89">
        <f t="shared" si="18"/>
        <v>0.1281257442</v>
      </c>
      <c r="I7829" s="78" t="s">
        <v>8903</v>
      </c>
      <c r="J7829" s="78" t="s">
        <v>69</v>
      </c>
      <c r="K7829" s="58">
        <f t="shared" si="17"/>
        <v>1</v>
      </c>
      <c r="L7829" s="91" t="str">
        <f t="shared" si="8"/>
        <v>Thu</v>
      </c>
      <c r="M7829" s="78" t="str">
        <f>IFERROR(VLOOKUP(A7829, Entries!A:B,2,false),"")</f>
        <v>Bethesda Softworks</v>
      </c>
      <c r="N7829" s="23" t="str">
        <f>IFERROR(VLOOKUP(A7829, Entries!A:K,11,false),"")</f>
        <v/>
      </c>
    </row>
    <row r="7830">
      <c r="A7830" s="78" t="s">
        <v>8904</v>
      </c>
      <c r="B7830" s="78" t="s">
        <v>19</v>
      </c>
      <c r="C7830" s="85">
        <v>45798.0</v>
      </c>
      <c r="D7830" s="85">
        <v>45816.0</v>
      </c>
      <c r="E7830" s="86">
        <v>0.0</v>
      </c>
      <c r="F7830" s="87">
        <v>1.65</v>
      </c>
      <c r="G7830" s="88">
        <f t="shared" si="1"/>
        <v>1.65</v>
      </c>
      <c r="H7830" s="89">
        <f t="shared" si="18"/>
        <v>1</v>
      </c>
      <c r="I7830" s="78" t="s">
        <v>8905</v>
      </c>
      <c r="J7830" s="78" t="s">
        <v>69</v>
      </c>
      <c r="K7830" s="58">
        <f t="shared" si="17"/>
        <v>18</v>
      </c>
      <c r="L7830" s="91" t="str">
        <f t="shared" si="8"/>
        <v>Sun</v>
      </c>
      <c r="M7830" s="78" t="str">
        <f>IFERROR(VLOOKUP(A7830, Entries!A:B,2,false),"")</f>
        <v/>
      </c>
      <c r="N7830" s="23" t="str">
        <f>IFERROR(VLOOKUP(A7830, Entries!A:K,11,false),"")</f>
        <v/>
      </c>
    </row>
    <row r="7831">
      <c r="A7831" s="78" t="s">
        <v>8865</v>
      </c>
      <c r="B7831" s="78" t="s">
        <v>19</v>
      </c>
      <c r="C7831" s="85">
        <v>45798.0</v>
      </c>
      <c r="D7831" s="85">
        <v>45799.0</v>
      </c>
      <c r="E7831" s="86">
        <v>36.61</v>
      </c>
      <c r="F7831" s="87">
        <v>41.99</v>
      </c>
      <c r="G7831" s="88">
        <f t="shared" si="1"/>
        <v>5.38</v>
      </c>
      <c r="H7831" s="89">
        <f t="shared" si="18"/>
        <v>0.1281257442</v>
      </c>
      <c r="I7831" s="78" t="s">
        <v>8906</v>
      </c>
      <c r="J7831" s="78" t="s">
        <v>69</v>
      </c>
      <c r="K7831" s="58">
        <f t="shared" si="17"/>
        <v>1</v>
      </c>
      <c r="L7831" s="91" t="str">
        <f t="shared" si="8"/>
        <v>Thu</v>
      </c>
      <c r="M7831" s="78" t="str">
        <f>IFERROR(VLOOKUP(A7831, Entries!A:B,2,false),"")</f>
        <v>Bethesda Softworks</v>
      </c>
      <c r="N7831" s="23" t="str">
        <f>IFERROR(VLOOKUP(A7831, Entries!A:K,11,false),"")</f>
        <v/>
      </c>
    </row>
    <row r="7832">
      <c r="A7832" s="78" t="s">
        <v>8899</v>
      </c>
      <c r="B7832" s="78" t="s">
        <v>19</v>
      </c>
      <c r="C7832" s="85">
        <v>45798.0</v>
      </c>
      <c r="D7832" s="85">
        <v>45800.0</v>
      </c>
      <c r="E7832" s="86">
        <v>0.0</v>
      </c>
      <c r="F7832" s="87">
        <v>0.63</v>
      </c>
      <c r="G7832" s="88">
        <f t="shared" si="1"/>
        <v>0.63</v>
      </c>
      <c r="H7832" s="89">
        <f t="shared" si="18"/>
        <v>1</v>
      </c>
      <c r="I7832" s="78" t="s">
        <v>8907</v>
      </c>
      <c r="J7832" s="78" t="s">
        <v>69</v>
      </c>
      <c r="K7832" s="58">
        <f t="shared" si="17"/>
        <v>2</v>
      </c>
      <c r="L7832" s="91" t="str">
        <f t="shared" si="8"/>
        <v>Fri</v>
      </c>
      <c r="M7832" s="78" t="str">
        <f>IFERROR(VLOOKUP(A7832, Entries!A:B,2,false),"")</f>
        <v/>
      </c>
      <c r="N7832" s="23" t="str">
        <f>IFERROR(VLOOKUP(A7832, Entries!A:K,11,false),"")</f>
        <v/>
      </c>
    </row>
    <row r="7833">
      <c r="A7833" s="78" t="s">
        <v>7647</v>
      </c>
      <c r="B7833" s="78" t="s">
        <v>21</v>
      </c>
      <c r="C7833" s="85">
        <v>45799.0</v>
      </c>
      <c r="D7833" s="85">
        <v>45801.0</v>
      </c>
      <c r="E7833" s="86">
        <v>31.71</v>
      </c>
      <c r="F7833" s="87">
        <v>36.76</v>
      </c>
      <c r="G7833" s="88">
        <f t="shared" si="1"/>
        <v>5.05</v>
      </c>
      <c r="H7833" s="89">
        <f t="shared" si="18"/>
        <v>0.1373775843</v>
      </c>
      <c r="I7833" s="78" t="s">
        <v>8908</v>
      </c>
      <c r="J7833" s="78" t="s">
        <v>69</v>
      </c>
      <c r="K7833" s="58">
        <f t="shared" si="17"/>
        <v>2</v>
      </c>
      <c r="L7833" s="91" t="str">
        <f t="shared" si="8"/>
        <v>Sat</v>
      </c>
      <c r="M7833" s="78" t="str">
        <f>IFERROR(VLOOKUP(A7833, Entries!A:B,2,false),"")</f>
        <v>PlayStation</v>
      </c>
      <c r="N7833" s="23" t="str">
        <f>IFERROR(VLOOKUP(A7833, Entries!A:K,11,false),"")</f>
        <v/>
      </c>
    </row>
    <row r="7834">
      <c r="A7834" s="78" t="s">
        <v>7647</v>
      </c>
      <c r="B7834" s="78" t="s">
        <v>21</v>
      </c>
      <c r="C7834" s="85">
        <v>45799.0</v>
      </c>
      <c r="D7834" s="85">
        <v>45801.0</v>
      </c>
      <c r="E7834" s="86">
        <v>31.71</v>
      </c>
      <c r="F7834" s="87">
        <v>36.98</v>
      </c>
      <c r="G7834" s="88">
        <f t="shared" si="1"/>
        <v>5.27</v>
      </c>
      <c r="H7834" s="89">
        <f t="shared" si="18"/>
        <v>0.1425094646</v>
      </c>
      <c r="I7834" s="78" t="s">
        <v>8909</v>
      </c>
      <c r="J7834" s="78" t="s">
        <v>69</v>
      </c>
      <c r="K7834" s="58">
        <f t="shared" si="17"/>
        <v>2</v>
      </c>
      <c r="L7834" s="91" t="str">
        <f t="shared" si="8"/>
        <v>Sat</v>
      </c>
      <c r="M7834" s="78" t="str">
        <f>IFERROR(VLOOKUP(A7834, Entries!A:B,2,false),"")</f>
        <v>PlayStation</v>
      </c>
      <c r="N7834" s="23" t="str">
        <f>IFERROR(VLOOKUP(A7834, Entries!A:K,11,false),"")</f>
        <v/>
      </c>
    </row>
    <row r="7835">
      <c r="A7835" s="78" t="s">
        <v>8865</v>
      </c>
      <c r="B7835" s="78" t="s">
        <v>19</v>
      </c>
      <c r="C7835" s="85">
        <v>45799.0</v>
      </c>
      <c r="D7835" s="85">
        <v>45799.0</v>
      </c>
      <c r="E7835" s="86">
        <v>36.41</v>
      </c>
      <c r="F7835" s="87">
        <v>42.2</v>
      </c>
      <c r="G7835" s="88">
        <f t="shared" si="1"/>
        <v>5.79</v>
      </c>
      <c r="H7835" s="89">
        <f t="shared" si="18"/>
        <v>0.1372037915</v>
      </c>
      <c r="I7835" s="78" t="s">
        <v>8910</v>
      </c>
      <c r="J7835" s="78" t="s">
        <v>69</v>
      </c>
      <c r="K7835" s="58">
        <f t="shared" si="17"/>
        <v>0</v>
      </c>
      <c r="L7835" s="91" t="str">
        <f t="shared" si="8"/>
        <v>Thu</v>
      </c>
      <c r="M7835" s="78" t="str">
        <f>IFERROR(VLOOKUP(A7835, Entries!A:B,2,false),"")</f>
        <v>Bethesda Softworks</v>
      </c>
      <c r="N7835" s="23" t="str">
        <f>IFERROR(VLOOKUP(A7835, Entries!A:K,11,false),"")</f>
        <v/>
      </c>
      <c r="Q7835" s="78" t="s">
        <v>8911</v>
      </c>
    </row>
    <row r="7836">
      <c r="A7836" s="78" t="s">
        <v>8865</v>
      </c>
      <c r="B7836" s="78" t="s">
        <v>19</v>
      </c>
      <c r="C7836" s="85">
        <v>45799.0</v>
      </c>
      <c r="D7836" s="85">
        <v>45799.0</v>
      </c>
      <c r="E7836" s="86">
        <v>36.41</v>
      </c>
      <c r="F7836" s="87">
        <v>42.18</v>
      </c>
      <c r="G7836" s="88">
        <f t="shared" si="1"/>
        <v>5.77</v>
      </c>
      <c r="H7836" s="89">
        <f t="shared" si="18"/>
        <v>0.1367946894</v>
      </c>
      <c r="I7836" s="78" t="s">
        <v>8912</v>
      </c>
      <c r="J7836" s="78" t="s">
        <v>69</v>
      </c>
      <c r="K7836" s="58">
        <f t="shared" si="17"/>
        <v>0</v>
      </c>
      <c r="L7836" s="91" t="str">
        <f t="shared" si="8"/>
        <v>Thu</v>
      </c>
      <c r="M7836" s="78" t="str">
        <f>IFERROR(VLOOKUP(A7836, Entries!A:B,2,false),"")</f>
        <v>Bethesda Softworks</v>
      </c>
      <c r="N7836" s="23" t="str">
        <f>IFERROR(VLOOKUP(A7836, Entries!A:K,11,false),"")</f>
        <v/>
      </c>
    </row>
    <row r="7837">
      <c r="A7837" s="78" t="s">
        <v>8865</v>
      </c>
      <c r="B7837" s="78" t="s">
        <v>19</v>
      </c>
      <c r="C7837" s="85">
        <v>45799.0</v>
      </c>
      <c r="D7837" s="85">
        <v>45799.0</v>
      </c>
      <c r="E7837" s="86">
        <v>32.58</v>
      </c>
      <c r="F7837" s="87">
        <v>42.2</v>
      </c>
      <c r="G7837" s="88">
        <f t="shared" si="1"/>
        <v>9.62</v>
      </c>
      <c r="H7837" s="89">
        <f t="shared" si="18"/>
        <v>0.2279620853</v>
      </c>
      <c r="I7837" s="78" t="s">
        <v>8913</v>
      </c>
      <c r="J7837" s="78" t="s">
        <v>69</v>
      </c>
      <c r="K7837" s="58">
        <f t="shared" si="17"/>
        <v>0</v>
      </c>
      <c r="L7837" s="91" t="str">
        <f t="shared" si="8"/>
        <v>Thu</v>
      </c>
      <c r="M7837" s="78" t="str">
        <f>IFERROR(VLOOKUP(A7837, Entries!A:B,2,false),"")</f>
        <v>Bethesda Softworks</v>
      </c>
      <c r="N7837" s="23" t="str">
        <f>IFERROR(VLOOKUP(A7837, Entries!A:K,11,false),"")</f>
        <v/>
      </c>
    </row>
    <row r="7838">
      <c r="A7838" s="78" t="s">
        <v>8696</v>
      </c>
      <c r="B7838" s="78" t="s">
        <v>19</v>
      </c>
      <c r="C7838" s="85">
        <v>45799.0</v>
      </c>
      <c r="D7838" s="85">
        <v>45800.0</v>
      </c>
      <c r="E7838" s="86">
        <v>42.38</v>
      </c>
      <c r="F7838" s="87">
        <v>49.96</v>
      </c>
      <c r="G7838" s="88">
        <f t="shared" si="1"/>
        <v>7.58</v>
      </c>
      <c r="H7838" s="89">
        <f t="shared" si="18"/>
        <v>0.1517213771</v>
      </c>
      <c r="I7838" s="78" t="s">
        <v>8914</v>
      </c>
      <c r="J7838" s="78" t="s">
        <v>69</v>
      </c>
      <c r="K7838" s="58">
        <f t="shared" si="17"/>
        <v>1</v>
      </c>
      <c r="L7838" s="91" t="str">
        <f t="shared" si="8"/>
        <v>Fri</v>
      </c>
      <c r="M7838" s="78" t="str">
        <f>IFERROR(VLOOKUP(A7838, Entries!A:B,2,false),"")</f>
        <v/>
      </c>
      <c r="N7838" s="23" t="str">
        <f>IFERROR(VLOOKUP(A7838, Entries!A:K,11,false),"")</f>
        <v/>
      </c>
      <c r="Q7838" s="78" t="s">
        <v>8915</v>
      </c>
    </row>
    <row r="7839">
      <c r="A7839" s="78" t="s">
        <v>8865</v>
      </c>
      <c r="B7839" s="78" t="s">
        <v>19</v>
      </c>
      <c r="C7839" s="85">
        <v>45800.0</v>
      </c>
      <c r="D7839" s="85">
        <v>45800.0</v>
      </c>
      <c r="E7839" s="86">
        <v>36.41</v>
      </c>
      <c r="F7839" s="87">
        <v>41.99</v>
      </c>
      <c r="G7839" s="88">
        <f t="shared" si="1"/>
        <v>5.58</v>
      </c>
      <c r="H7839" s="89">
        <f t="shared" si="18"/>
        <v>0.132888783</v>
      </c>
      <c r="I7839" s="78" t="s">
        <v>8916</v>
      </c>
      <c r="J7839" s="78" t="s">
        <v>69</v>
      </c>
      <c r="K7839" s="58">
        <f t="shared" si="17"/>
        <v>0</v>
      </c>
      <c r="L7839" s="91" t="str">
        <f t="shared" si="8"/>
        <v>Fri</v>
      </c>
      <c r="M7839" s="78" t="str">
        <f>IFERROR(VLOOKUP(A7839, Entries!A:B,2,false),"")</f>
        <v>Bethesda Softworks</v>
      </c>
      <c r="N7839" s="23" t="str">
        <f>IFERROR(VLOOKUP(A7839, Entries!A:K,11,false),"")</f>
        <v/>
      </c>
      <c r="Q7839" s="78" t="s">
        <v>8917</v>
      </c>
    </row>
    <row r="7840">
      <c r="A7840" s="78" t="s">
        <v>8885</v>
      </c>
      <c r="B7840" s="78" t="s">
        <v>25</v>
      </c>
      <c r="C7840" s="85">
        <v>45800.0</v>
      </c>
      <c r="D7840" s="85">
        <v>45805.0</v>
      </c>
      <c r="E7840" s="86">
        <v>12.0</v>
      </c>
      <c r="F7840" s="87">
        <v>14.25</v>
      </c>
      <c r="G7840" s="88">
        <f t="shared" si="1"/>
        <v>2.25</v>
      </c>
      <c r="H7840" s="89">
        <f t="shared" si="18"/>
        <v>0.1578947368</v>
      </c>
      <c r="I7840" s="78" t="s">
        <v>8918</v>
      </c>
      <c r="J7840" s="78" t="s">
        <v>69</v>
      </c>
      <c r="K7840" s="58">
        <f t="shared" si="17"/>
        <v>5</v>
      </c>
      <c r="L7840" s="91" t="str">
        <f t="shared" si="8"/>
        <v>Wed</v>
      </c>
      <c r="M7840" s="78" t="str">
        <f>IFERROR(VLOOKUP(A7840, Entries!A:B,2,false),"")</f>
        <v/>
      </c>
      <c r="N7840" s="23" t="str">
        <f>IFERROR(VLOOKUP(A7840, Entries!A:K,11,false),"")</f>
        <v/>
      </c>
    </row>
    <row r="7841">
      <c r="A7841" s="78" t="s">
        <v>8885</v>
      </c>
      <c r="B7841" s="78" t="s">
        <v>25</v>
      </c>
      <c r="C7841" s="85">
        <v>45800.0</v>
      </c>
      <c r="D7841" s="85">
        <v>45818.0</v>
      </c>
      <c r="E7841" s="86">
        <v>12.01</v>
      </c>
      <c r="F7841" s="87">
        <v>14.25</v>
      </c>
      <c r="G7841" s="88">
        <f t="shared" si="1"/>
        <v>2.24</v>
      </c>
      <c r="H7841" s="89">
        <f t="shared" si="18"/>
        <v>0.1571929825</v>
      </c>
      <c r="I7841" s="78" t="s">
        <v>8919</v>
      </c>
      <c r="J7841" s="78" t="s">
        <v>69</v>
      </c>
      <c r="K7841" s="58">
        <f t="shared" si="17"/>
        <v>18</v>
      </c>
      <c r="L7841" s="91" t="str">
        <f t="shared" si="8"/>
        <v>Tue</v>
      </c>
      <c r="M7841" s="78" t="str">
        <f>IFERROR(VLOOKUP(A7841, Entries!A:B,2,false),"")</f>
        <v/>
      </c>
      <c r="N7841" s="23" t="str">
        <f>IFERROR(VLOOKUP(A7841, Entries!A:K,11,false),"")</f>
        <v/>
      </c>
    </row>
    <row r="7842">
      <c r="A7842" s="78" t="s">
        <v>8529</v>
      </c>
      <c r="B7842" s="78" t="s">
        <v>21</v>
      </c>
      <c r="C7842" s="85">
        <v>45800.0</v>
      </c>
      <c r="D7842" s="85">
        <v>45801.0</v>
      </c>
      <c r="E7842" s="86">
        <v>23.42</v>
      </c>
      <c r="F7842" s="87">
        <v>27.84</v>
      </c>
      <c r="G7842" s="88">
        <f t="shared" si="1"/>
        <v>4.42</v>
      </c>
      <c r="H7842" s="89">
        <f t="shared" si="18"/>
        <v>0.1587643678</v>
      </c>
      <c r="J7842" s="78" t="s">
        <v>69</v>
      </c>
      <c r="K7842" s="58">
        <f t="shared" si="17"/>
        <v>1</v>
      </c>
      <c r="L7842" s="91" t="str">
        <f t="shared" si="8"/>
        <v>Sat</v>
      </c>
      <c r="M7842" s="78" t="str">
        <f>IFERROR(VLOOKUP(A7842, Entries!A:B,2,false),"")</f>
        <v>SEGA</v>
      </c>
      <c r="N7842" s="23" t="str">
        <f>IFERROR(VLOOKUP(A7842, Entries!A:K,11,false),"")</f>
        <v/>
      </c>
    </row>
    <row r="7843">
      <c r="A7843" s="78" t="s">
        <v>8920</v>
      </c>
      <c r="B7843" s="78" t="s">
        <v>22</v>
      </c>
      <c r="C7843" s="85">
        <v>45800.0</v>
      </c>
      <c r="D7843" s="85">
        <v>45804.0</v>
      </c>
      <c r="E7843" s="86">
        <v>19.66</v>
      </c>
      <c r="F7843" s="87">
        <v>40.78</v>
      </c>
      <c r="G7843" s="88">
        <f t="shared" si="1"/>
        <v>21.12</v>
      </c>
      <c r="H7843" s="89">
        <f t="shared" si="18"/>
        <v>0.5179009318</v>
      </c>
      <c r="I7843" s="78" t="s">
        <v>8921</v>
      </c>
      <c r="J7843" s="78" t="s">
        <v>69</v>
      </c>
      <c r="K7843" s="58">
        <f t="shared" si="17"/>
        <v>4</v>
      </c>
      <c r="L7843" s="91" t="str">
        <f t="shared" si="8"/>
        <v>Tue</v>
      </c>
      <c r="M7843" s="78" t="str">
        <f>IFERROR(VLOOKUP(A7843, Entries!A:B,2,false),"")</f>
        <v/>
      </c>
      <c r="N7843" s="23" t="str">
        <f>IFERROR(VLOOKUP(A7843, Entries!A:K,11,false),"")</f>
        <v/>
      </c>
    </row>
    <row r="7844">
      <c r="A7844" s="78" t="s">
        <v>8734</v>
      </c>
      <c r="B7844" s="78" t="s">
        <v>18</v>
      </c>
      <c r="C7844" s="85">
        <v>45800.0</v>
      </c>
      <c r="D7844" s="85">
        <v>45816.0</v>
      </c>
      <c r="E7844" s="86">
        <v>31.16</v>
      </c>
      <c r="F7844" s="87">
        <v>40.88</v>
      </c>
      <c r="G7844" s="88">
        <f t="shared" si="1"/>
        <v>9.72</v>
      </c>
      <c r="H7844" s="89">
        <f t="shared" si="18"/>
        <v>0.2377690802</v>
      </c>
      <c r="I7844" s="78" t="s">
        <v>8922</v>
      </c>
      <c r="J7844" s="78" t="s">
        <v>69</v>
      </c>
      <c r="K7844" s="58">
        <f t="shared" si="17"/>
        <v>16</v>
      </c>
      <c r="L7844" s="91" t="str">
        <f t="shared" si="8"/>
        <v>Sun</v>
      </c>
      <c r="M7844" s="78" t="str">
        <f>IFERROR(VLOOKUP(A7844, Entries!A:B,2,false),"")</f>
        <v/>
      </c>
      <c r="N7844" s="23" t="str">
        <f>IFERROR(VLOOKUP(A7844, Entries!A:K,11,false),"")</f>
        <v/>
      </c>
    </row>
    <row r="7845">
      <c r="A7845" s="78" t="s">
        <v>8923</v>
      </c>
      <c r="B7845" s="78" t="s">
        <v>22</v>
      </c>
      <c r="C7845" s="85">
        <v>45800.0</v>
      </c>
      <c r="D7845" s="85">
        <v>45802.0</v>
      </c>
      <c r="E7845" s="86">
        <v>17.7</v>
      </c>
      <c r="F7845" s="87">
        <v>24.15</v>
      </c>
      <c r="G7845" s="88">
        <f t="shared" si="1"/>
        <v>6.45</v>
      </c>
      <c r="H7845" s="89">
        <f t="shared" si="18"/>
        <v>0.2670807453</v>
      </c>
      <c r="I7845" s="78" t="s">
        <v>8924</v>
      </c>
      <c r="J7845" s="78" t="s">
        <v>69</v>
      </c>
      <c r="K7845" s="58">
        <f t="shared" si="17"/>
        <v>2</v>
      </c>
      <c r="L7845" s="91" t="str">
        <f t="shared" si="8"/>
        <v>Sun</v>
      </c>
      <c r="M7845" s="78" t="str">
        <f>IFERROR(VLOOKUP(A7845, Entries!A:B,2,false),"")</f>
        <v/>
      </c>
      <c r="N7845" s="23" t="str">
        <f>IFERROR(VLOOKUP(A7845, Entries!A:K,11,false),"")</f>
        <v/>
      </c>
    </row>
    <row r="7846">
      <c r="A7846" s="78" t="s">
        <v>8696</v>
      </c>
      <c r="B7846" s="78" t="s">
        <v>19</v>
      </c>
      <c r="C7846" s="85">
        <v>45800.0</v>
      </c>
      <c r="D7846" s="85">
        <v>45802.0</v>
      </c>
      <c r="E7846" s="86">
        <v>40.23</v>
      </c>
      <c r="F7846" s="87">
        <v>50.23</v>
      </c>
      <c r="G7846" s="88">
        <f t="shared" si="1"/>
        <v>10</v>
      </c>
      <c r="H7846" s="89">
        <f t="shared" si="18"/>
        <v>0.1990842126</v>
      </c>
      <c r="I7846" s="78" t="s">
        <v>8925</v>
      </c>
      <c r="J7846" s="78" t="s">
        <v>69</v>
      </c>
      <c r="K7846" s="58">
        <f t="shared" si="17"/>
        <v>2</v>
      </c>
      <c r="L7846" s="91" t="str">
        <f t="shared" si="8"/>
        <v>Sun</v>
      </c>
      <c r="M7846" s="78" t="str">
        <f>IFERROR(VLOOKUP(A7846, Entries!A:B,2,false),"")</f>
        <v/>
      </c>
      <c r="N7846" s="23" t="str">
        <f>IFERROR(VLOOKUP(A7846, Entries!A:K,11,false),"")</f>
        <v/>
      </c>
    </row>
    <row r="7847">
      <c r="A7847" s="78" t="s">
        <v>8926</v>
      </c>
      <c r="B7847" s="78" t="s">
        <v>19</v>
      </c>
      <c r="C7847" s="85">
        <v>45800.0</v>
      </c>
      <c r="D7847" s="85">
        <v>45800.0</v>
      </c>
      <c r="E7847" s="86">
        <v>0.0</v>
      </c>
      <c r="F7847" s="87">
        <v>1.11</v>
      </c>
      <c r="G7847" s="88">
        <f t="shared" si="1"/>
        <v>1.11</v>
      </c>
      <c r="H7847" s="89">
        <f t="shared" si="18"/>
        <v>1</v>
      </c>
      <c r="I7847" s="78" t="s">
        <v>8927</v>
      </c>
      <c r="J7847" s="78" t="s">
        <v>69</v>
      </c>
      <c r="K7847" s="58">
        <f t="shared" si="17"/>
        <v>0</v>
      </c>
      <c r="L7847" s="91" t="str">
        <f t="shared" si="8"/>
        <v>Fri</v>
      </c>
      <c r="M7847" s="78" t="str">
        <f>IFERROR(VLOOKUP(A7847, Entries!A:B,2,false),"")</f>
        <v/>
      </c>
      <c r="N7847" s="23" t="str">
        <f>IFERROR(VLOOKUP(A7847, Entries!A:K,11,false),"")</f>
        <v/>
      </c>
    </row>
    <row r="7848">
      <c r="A7848" s="78" t="s">
        <v>8928</v>
      </c>
      <c r="B7848" s="78" t="s">
        <v>22</v>
      </c>
      <c r="C7848" s="85">
        <v>45800.0</v>
      </c>
      <c r="D7848" s="85">
        <v>45802.0</v>
      </c>
      <c r="E7848" s="86">
        <v>9.83</v>
      </c>
      <c r="F7848" s="87">
        <v>13.49</v>
      </c>
      <c r="G7848" s="88">
        <f t="shared" si="1"/>
        <v>3.66</v>
      </c>
      <c r="H7848" s="89">
        <f t="shared" si="18"/>
        <v>0.271312083</v>
      </c>
      <c r="I7848" s="78" t="s">
        <v>8929</v>
      </c>
      <c r="J7848" s="78" t="s">
        <v>69</v>
      </c>
      <c r="K7848" s="58">
        <f t="shared" si="17"/>
        <v>2</v>
      </c>
      <c r="L7848" s="91" t="str">
        <f t="shared" si="8"/>
        <v>Sun</v>
      </c>
      <c r="M7848" s="78" t="str">
        <f>IFERROR(VLOOKUP(A7848, Entries!A:B,2,false),"")</f>
        <v/>
      </c>
      <c r="N7848" s="23" t="str">
        <f>IFERROR(VLOOKUP(A7848, Entries!A:K,11,false),"")</f>
        <v/>
      </c>
    </row>
    <row r="7849">
      <c r="A7849" s="78" t="s">
        <v>8529</v>
      </c>
      <c r="B7849" s="78" t="s">
        <v>19</v>
      </c>
      <c r="C7849" s="85">
        <v>45800.0</v>
      </c>
      <c r="D7849" s="85">
        <v>45801.0</v>
      </c>
      <c r="E7849" s="86">
        <v>25.19</v>
      </c>
      <c r="F7849" s="87">
        <v>27.84</v>
      </c>
      <c r="G7849" s="88">
        <f t="shared" si="1"/>
        <v>2.65</v>
      </c>
      <c r="H7849" s="89">
        <f t="shared" si="18"/>
        <v>0.09518678161</v>
      </c>
      <c r="I7849" s="78" t="s">
        <v>8930</v>
      </c>
      <c r="J7849" s="78" t="s">
        <v>69</v>
      </c>
      <c r="K7849" s="58">
        <f t="shared" si="17"/>
        <v>1</v>
      </c>
      <c r="L7849" s="91" t="str">
        <f t="shared" si="8"/>
        <v>Sat</v>
      </c>
      <c r="M7849" s="78" t="str">
        <f>IFERROR(VLOOKUP(A7849, Entries!A:B,2,false),"")</f>
        <v>SEGA</v>
      </c>
      <c r="N7849" s="23" t="str">
        <f>IFERROR(VLOOKUP(A7849, Entries!A:K,11,false),"")</f>
        <v/>
      </c>
    </row>
    <row r="7850">
      <c r="A7850" s="78" t="s">
        <v>8529</v>
      </c>
      <c r="B7850" s="78" t="s">
        <v>19</v>
      </c>
      <c r="C7850" s="85">
        <v>45800.0</v>
      </c>
      <c r="D7850" s="85">
        <v>45806.0</v>
      </c>
      <c r="E7850" s="86">
        <v>25.19</v>
      </c>
      <c r="F7850" s="87">
        <v>28.3</v>
      </c>
      <c r="G7850" s="88">
        <f t="shared" si="1"/>
        <v>3.11</v>
      </c>
      <c r="H7850" s="89">
        <f t="shared" si="18"/>
        <v>0.1098939929</v>
      </c>
      <c r="I7850" s="78" t="s">
        <v>8931</v>
      </c>
      <c r="J7850" s="78" t="s">
        <v>69</v>
      </c>
      <c r="K7850" s="58">
        <f t="shared" si="17"/>
        <v>6</v>
      </c>
      <c r="L7850" s="91" t="str">
        <f t="shared" si="8"/>
        <v>Thu</v>
      </c>
      <c r="M7850" s="78" t="str">
        <f>IFERROR(VLOOKUP(A7850, Entries!A:B,2,false),"")</f>
        <v>SEGA</v>
      </c>
      <c r="N7850" s="23" t="str">
        <f>IFERROR(VLOOKUP(A7850, Entries!A:K,11,false),"")</f>
        <v/>
      </c>
    </row>
    <row r="7851">
      <c r="A7851" s="78" t="s">
        <v>8696</v>
      </c>
      <c r="B7851" s="78" t="s">
        <v>19</v>
      </c>
      <c r="C7851" s="85">
        <v>45800.0</v>
      </c>
      <c r="D7851" s="85">
        <v>45802.0</v>
      </c>
      <c r="E7851" s="86">
        <v>42.47</v>
      </c>
      <c r="F7851" s="87">
        <v>50.24</v>
      </c>
      <c r="G7851" s="88">
        <f t="shared" si="1"/>
        <v>7.77</v>
      </c>
      <c r="H7851" s="89">
        <f t="shared" si="18"/>
        <v>0.1546576433</v>
      </c>
      <c r="I7851" s="78" t="s">
        <v>8932</v>
      </c>
      <c r="J7851" s="78" t="s">
        <v>69</v>
      </c>
      <c r="K7851" s="58">
        <f t="shared" si="17"/>
        <v>2</v>
      </c>
      <c r="L7851" s="91" t="str">
        <f t="shared" si="8"/>
        <v>Sun</v>
      </c>
      <c r="M7851" s="78" t="str">
        <f>IFERROR(VLOOKUP(A7851, Entries!A:B,2,false),"")</f>
        <v/>
      </c>
      <c r="N7851" s="23" t="str">
        <f>IFERROR(VLOOKUP(A7851, Entries!A:K,11,false),"")</f>
        <v/>
      </c>
    </row>
    <row r="7852">
      <c r="A7852" s="78" t="s">
        <v>8865</v>
      </c>
      <c r="B7852" s="78" t="s">
        <v>19</v>
      </c>
      <c r="C7852" s="85">
        <v>45801.0</v>
      </c>
      <c r="D7852" s="85">
        <v>45801.0</v>
      </c>
      <c r="E7852" s="86">
        <v>36.49</v>
      </c>
      <c r="F7852" s="87">
        <v>41.99</v>
      </c>
      <c r="G7852" s="88">
        <f t="shared" si="1"/>
        <v>5.5</v>
      </c>
      <c r="H7852" s="89">
        <f t="shared" si="18"/>
        <v>0.1309835675</v>
      </c>
      <c r="I7852" s="78" t="s">
        <v>8933</v>
      </c>
      <c r="J7852" s="78" t="s">
        <v>69</v>
      </c>
      <c r="K7852" s="58">
        <f t="shared" si="17"/>
        <v>0</v>
      </c>
      <c r="L7852" s="91" t="str">
        <f t="shared" si="8"/>
        <v>Sat</v>
      </c>
      <c r="M7852" s="78" t="str">
        <f>IFERROR(VLOOKUP(A7852, Entries!A:B,2,false),"")</f>
        <v>Bethesda Softworks</v>
      </c>
      <c r="N7852" s="23" t="str">
        <f>IFERROR(VLOOKUP(A7852, Entries!A:K,11,false),"")</f>
        <v/>
      </c>
    </row>
    <row r="7853">
      <c r="A7853" s="78" t="s">
        <v>1053</v>
      </c>
      <c r="B7853" s="78" t="s">
        <v>19</v>
      </c>
      <c r="C7853" s="85">
        <v>45801.0</v>
      </c>
      <c r="D7853" s="85">
        <v>45802.0</v>
      </c>
      <c r="E7853" s="86">
        <v>0.0</v>
      </c>
      <c r="F7853" s="87">
        <v>1.03</v>
      </c>
      <c r="G7853" s="88">
        <f t="shared" si="1"/>
        <v>1.03</v>
      </c>
      <c r="H7853" s="89">
        <f t="shared" si="18"/>
        <v>1</v>
      </c>
      <c r="I7853" s="78" t="s">
        <v>8934</v>
      </c>
      <c r="J7853" s="78" t="s">
        <v>69</v>
      </c>
      <c r="K7853" s="58">
        <f t="shared" si="17"/>
        <v>1</v>
      </c>
      <c r="L7853" s="91" t="str">
        <f t="shared" si="8"/>
        <v>Sun</v>
      </c>
      <c r="M7853" s="78" t="str">
        <f>IFERROR(VLOOKUP(A7853, Entries!A:B,2,false),"")</f>
        <v>Techland Publishing</v>
      </c>
      <c r="N7853" s="23" t="str">
        <f>IFERROR(VLOOKUP(A7853, Entries!A:K,11,false),"")</f>
        <v/>
      </c>
    </row>
    <row r="7854">
      <c r="A7854" s="78" t="s">
        <v>8865</v>
      </c>
      <c r="B7854" s="78" t="s">
        <v>19</v>
      </c>
      <c r="C7854" s="85">
        <v>45801.0</v>
      </c>
      <c r="D7854" s="85">
        <v>45801.0</v>
      </c>
      <c r="E7854" s="86">
        <v>36.49</v>
      </c>
      <c r="F7854" s="87">
        <v>41.99</v>
      </c>
      <c r="G7854" s="88">
        <f t="shared" si="1"/>
        <v>5.5</v>
      </c>
      <c r="H7854" s="89">
        <f t="shared" si="18"/>
        <v>0.1309835675</v>
      </c>
      <c r="I7854" s="78" t="s">
        <v>8935</v>
      </c>
      <c r="J7854" s="78" t="s">
        <v>69</v>
      </c>
      <c r="K7854" s="58">
        <f t="shared" si="17"/>
        <v>0</v>
      </c>
      <c r="L7854" s="91" t="str">
        <f t="shared" si="8"/>
        <v>Sat</v>
      </c>
      <c r="M7854" s="78" t="str">
        <f>IFERROR(VLOOKUP(A7854, Entries!A:B,2,false),"")</f>
        <v>Bethesda Softworks</v>
      </c>
      <c r="N7854" s="23" t="str">
        <f>IFERROR(VLOOKUP(A7854, Entries!A:K,11,false),"")</f>
        <v/>
      </c>
    </row>
    <row r="7855">
      <c r="A7855" s="78" t="s">
        <v>8865</v>
      </c>
      <c r="B7855" s="78" t="s">
        <v>19</v>
      </c>
      <c r="C7855" s="85">
        <v>45801.0</v>
      </c>
      <c r="D7855" s="85">
        <v>45801.0</v>
      </c>
      <c r="E7855" s="86">
        <v>36.42</v>
      </c>
      <c r="F7855" s="87">
        <v>41.99</v>
      </c>
      <c r="G7855" s="88">
        <f t="shared" si="1"/>
        <v>5.57</v>
      </c>
      <c r="H7855" s="89">
        <f t="shared" si="18"/>
        <v>0.1326506311</v>
      </c>
      <c r="I7855" s="78" t="s">
        <v>8936</v>
      </c>
      <c r="J7855" s="78" t="s">
        <v>69</v>
      </c>
      <c r="K7855" s="58">
        <f t="shared" si="17"/>
        <v>0</v>
      </c>
      <c r="L7855" s="91" t="str">
        <f t="shared" si="8"/>
        <v>Sat</v>
      </c>
      <c r="M7855" s="78" t="str">
        <f>IFERROR(VLOOKUP(A7855, Entries!A:B,2,false),"")</f>
        <v>Bethesda Softworks</v>
      </c>
      <c r="N7855" s="23" t="str">
        <f>IFERROR(VLOOKUP(A7855, Entries!A:K,11,false),"")</f>
        <v/>
      </c>
      <c r="P7855" s="78" t="s">
        <v>8937</v>
      </c>
    </row>
    <row r="7856">
      <c r="A7856" s="78" t="s">
        <v>8865</v>
      </c>
      <c r="B7856" s="78" t="s">
        <v>19</v>
      </c>
      <c r="C7856" s="85">
        <v>45801.0</v>
      </c>
      <c r="D7856" s="85">
        <v>45801.0</v>
      </c>
      <c r="E7856" s="86">
        <v>36.42</v>
      </c>
      <c r="F7856" s="87">
        <v>41.99</v>
      </c>
      <c r="G7856" s="88">
        <f t="shared" si="1"/>
        <v>5.57</v>
      </c>
      <c r="H7856" s="89">
        <f t="shared" si="18"/>
        <v>0.1326506311</v>
      </c>
      <c r="I7856" s="78" t="s">
        <v>8938</v>
      </c>
      <c r="J7856" s="78" t="s">
        <v>69</v>
      </c>
      <c r="K7856" s="58">
        <f t="shared" si="17"/>
        <v>0</v>
      </c>
      <c r="L7856" s="91" t="str">
        <f t="shared" si="8"/>
        <v>Sat</v>
      </c>
      <c r="M7856" s="78" t="str">
        <f>IFERROR(VLOOKUP(A7856, Entries!A:B,2,false),"")</f>
        <v>Bethesda Softworks</v>
      </c>
      <c r="N7856" s="23" t="str">
        <f>IFERROR(VLOOKUP(A7856, Entries!A:K,11,false),"")</f>
        <v/>
      </c>
      <c r="P7856" s="78" t="s">
        <v>8939</v>
      </c>
    </row>
    <row r="7857">
      <c r="A7857" s="78" t="s">
        <v>8865</v>
      </c>
      <c r="B7857" s="78" t="s">
        <v>19</v>
      </c>
      <c r="C7857" s="85">
        <v>45801.0</v>
      </c>
      <c r="D7857" s="85">
        <v>45801.0</v>
      </c>
      <c r="E7857" s="86">
        <v>34.5</v>
      </c>
      <c r="F7857" s="87">
        <v>41.99</v>
      </c>
      <c r="G7857" s="88">
        <f t="shared" si="1"/>
        <v>7.49</v>
      </c>
      <c r="H7857" s="89">
        <f t="shared" si="18"/>
        <v>0.1783758038</v>
      </c>
      <c r="I7857" s="78" t="s">
        <v>8940</v>
      </c>
      <c r="J7857" s="78" t="s">
        <v>69</v>
      </c>
      <c r="K7857" s="58">
        <f t="shared" si="17"/>
        <v>0</v>
      </c>
      <c r="L7857" s="91" t="str">
        <f t="shared" si="8"/>
        <v>Sat</v>
      </c>
      <c r="M7857" s="78" t="str">
        <f>IFERROR(VLOOKUP(A7857, Entries!A:B,2,false),"")</f>
        <v>Bethesda Softworks</v>
      </c>
      <c r="N7857" s="23" t="str">
        <f>IFERROR(VLOOKUP(A7857, Entries!A:K,11,false),"")</f>
        <v/>
      </c>
    </row>
    <row r="7858">
      <c r="A7858" s="78" t="s">
        <v>8926</v>
      </c>
      <c r="B7858" s="78" t="s">
        <v>19</v>
      </c>
      <c r="C7858" s="85">
        <v>45801.0</v>
      </c>
      <c r="D7858" s="85">
        <v>45803.0</v>
      </c>
      <c r="E7858" s="86">
        <v>0.0</v>
      </c>
      <c r="F7858" s="87">
        <v>1.12</v>
      </c>
      <c r="G7858" s="88">
        <f t="shared" si="1"/>
        <v>1.12</v>
      </c>
      <c r="H7858" s="89">
        <f t="shared" si="18"/>
        <v>1</v>
      </c>
      <c r="I7858" s="78" t="s">
        <v>8941</v>
      </c>
      <c r="J7858" s="78" t="s">
        <v>69</v>
      </c>
      <c r="K7858" s="58">
        <f t="shared" si="17"/>
        <v>2</v>
      </c>
      <c r="L7858" s="91" t="str">
        <f t="shared" si="8"/>
        <v>Mon</v>
      </c>
      <c r="M7858" s="78" t="str">
        <f>IFERROR(VLOOKUP(A7858, Entries!A:B,2,false),"")</f>
        <v/>
      </c>
      <c r="N7858" s="23" t="str">
        <f>IFERROR(VLOOKUP(A7858, Entries!A:K,11,false),"")</f>
        <v/>
      </c>
    </row>
    <row r="7859">
      <c r="A7859" s="78" t="s">
        <v>8865</v>
      </c>
      <c r="B7859" s="78" t="s">
        <v>19</v>
      </c>
      <c r="C7859" s="85">
        <v>45803.0</v>
      </c>
      <c r="D7859" s="85">
        <v>45803.0</v>
      </c>
      <c r="E7859" s="86">
        <v>36.42</v>
      </c>
      <c r="F7859" s="87">
        <v>41.52</v>
      </c>
      <c r="G7859" s="88">
        <f t="shared" si="1"/>
        <v>5.1</v>
      </c>
      <c r="H7859" s="89">
        <f t="shared" si="18"/>
        <v>0.1228323699</v>
      </c>
      <c r="I7859" s="78" t="s">
        <v>8942</v>
      </c>
      <c r="J7859" s="78" t="s">
        <v>69</v>
      </c>
      <c r="K7859" s="58">
        <f t="shared" si="17"/>
        <v>0</v>
      </c>
      <c r="L7859" s="91" t="str">
        <f t="shared" si="8"/>
        <v>Mon</v>
      </c>
      <c r="M7859" s="78" t="str">
        <f>IFERROR(VLOOKUP(A7859, Entries!A:B,2,false),"")</f>
        <v>Bethesda Softworks</v>
      </c>
      <c r="N7859" s="23" t="str">
        <f>IFERROR(VLOOKUP(A7859, Entries!A:K,11,false),"")</f>
        <v/>
      </c>
      <c r="P7859" s="78" t="s">
        <v>8943</v>
      </c>
    </row>
    <row r="7860">
      <c r="A7860" s="78" t="s">
        <v>8865</v>
      </c>
      <c r="B7860" s="78" t="s">
        <v>19</v>
      </c>
      <c r="C7860" s="85">
        <v>45803.0</v>
      </c>
      <c r="D7860" s="85">
        <v>45803.0</v>
      </c>
      <c r="E7860" s="86">
        <v>33.81</v>
      </c>
      <c r="F7860" s="87">
        <v>41.52</v>
      </c>
      <c r="G7860" s="88">
        <f t="shared" si="1"/>
        <v>7.71</v>
      </c>
      <c r="H7860" s="89">
        <f t="shared" si="18"/>
        <v>0.1856936416</v>
      </c>
      <c r="I7860" s="78" t="s">
        <v>8944</v>
      </c>
      <c r="J7860" s="78" t="s">
        <v>69</v>
      </c>
      <c r="K7860" s="58">
        <f t="shared" si="17"/>
        <v>0</v>
      </c>
      <c r="L7860" s="91" t="str">
        <f t="shared" si="8"/>
        <v>Mon</v>
      </c>
      <c r="M7860" s="78" t="str">
        <f>IFERROR(VLOOKUP(A7860, Entries!A:B,2,false),"")</f>
        <v>Bethesda Softworks</v>
      </c>
      <c r="N7860" s="23" t="str">
        <f>IFERROR(VLOOKUP(A7860, Entries!A:K,11,false),"")</f>
        <v/>
      </c>
    </row>
    <row r="7861">
      <c r="A7861" s="78" t="s">
        <v>8696</v>
      </c>
      <c r="B7861" s="78" t="s">
        <v>19</v>
      </c>
      <c r="C7861" s="85">
        <v>45803.0</v>
      </c>
      <c r="D7861" s="85">
        <v>45803.0</v>
      </c>
      <c r="E7861" s="86">
        <v>36.7</v>
      </c>
      <c r="F7861" s="87">
        <v>49.91</v>
      </c>
      <c r="G7861" s="88">
        <f t="shared" si="1"/>
        <v>13.21</v>
      </c>
      <c r="H7861" s="89">
        <f t="shared" si="18"/>
        <v>0.2646764176</v>
      </c>
      <c r="I7861" s="78" t="s">
        <v>8945</v>
      </c>
      <c r="J7861" s="78" t="s">
        <v>69</v>
      </c>
      <c r="K7861" s="58">
        <f t="shared" si="17"/>
        <v>0</v>
      </c>
      <c r="L7861" s="91" t="str">
        <f t="shared" si="8"/>
        <v>Mon</v>
      </c>
      <c r="M7861" s="78" t="str">
        <f>IFERROR(VLOOKUP(A7861, Entries!A:B,2,false),"")</f>
        <v/>
      </c>
      <c r="N7861" s="23" t="str">
        <f>IFERROR(VLOOKUP(A7861, Entries!A:K,11,false),"")</f>
        <v/>
      </c>
    </row>
    <row r="7862">
      <c r="A7862" s="78" t="s">
        <v>7647</v>
      </c>
      <c r="B7862" s="78" t="s">
        <v>21</v>
      </c>
      <c r="C7862" s="85">
        <v>45803.0</v>
      </c>
      <c r="D7862" s="85">
        <v>45803.0</v>
      </c>
      <c r="E7862" s="86">
        <v>34.49</v>
      </c>
      <c r="F7862" s="87">
        <v>37.68</v>
      </c>
      <c r="G7862" s="88">
        <f t="shared" si="1"/>
        <v>3.19</v>
      </c>
      <c r="H7862" s="89">
        <f t="shared" si="18"/>
        <v>0.08466029724</v>
      </c>
      <c r="I7862" s="78" t="s">
        <v>8946</v>
      </c>
      <c r="J7862" s="78" t="s">
        <v>69</v>
      </c>
      <c r="K7862" s="58">
        <f t="shared" si="17"/>
        <v>0</v>
      </c>
      <c r="L7862" s="91" t="str">
        <f t="shared" si="8"/>
        <v>Mon</v>
      </c>
      <c r="M7862" s="78" t="str">
        <f>IFERROR(VLOOKUP(A7862, Entries!A:B,2,false),"")</f>
        <v>PlayStation</v>
      </c>
      <c r="N7862" s="23" t="str">
        <f>IFERROR(VLOOKUP(A7862, Entries!A:K,11,false),"")</f>
        <v/>
      </c>
    </row>
    <row r="7863">
      <c r="A7863" s="78" t="s">
        <v>8904</v>
      </c>
      <c r="B7863" s="78" t="s">
        <v>19</v>
      </c>
      <c r="C7863" s="85">
        <v>45803.0</v>
      </c>
      <c r="D7863" s="85">
        <v>45817.0</v>
      </c>
      <c r="E7863" s="86">
        <v>0.0</v>
      </c>
      <c r="F7863" s="87">
        <v>1.65</v>
      </c>
      <c r="G7863" s="88">
        <f t="shared" si="1"/>
        <v>1.65</v>
      </c>
      <c r="H7863" s="89">
        <f t="shared" si="18"/>
        <v>1</v>
      </c>
      <c r="I7863" s="78" t="s">
        <v>8947</v>
      </c>
      <c r="J7863" s="78" t="s">
        <v>69</v>
      </c>
      <c r="K7863" s="58">
        <f t="shared" si="17"/>
        <v>14</v>
      </c>
      <c r="L7863" s="91" t="str">
        <f t="shared" si="8"/>
        <v>Mon</v>
      </c>
      <c r="M7863" s="78" t="str">
        <f>IFERROR(VLOOKUP(A7863, Entries!A:B,2,false),"")</f>
        <v/>
      </c>
      <c r="N7863" s="23" t="str">
        <f>IFERROR(VLOOKUP(A7863, Entries!A:K,11,false),"")</f>
        <v/>
      </c>
    </row>
    <row r="7864">
      <c r="A7864" s="78" t="s">
        <v>8948</v>
      </c>
      <c r="B7864" s="78" t="s">
        <v>22</v>
      </c>
      <c r="C7864" s="85">
        <v>45803.0</v>
      </c>
      <c r="D7864" s="25"/>
      <c r="E7864" s="86">
        <v>5.9</v>
      </c>
      <c r="F7864" s="88"/>
      <c r="G7864" s="88">
        <f t="shared" si="1"/>
        <v>-5.9</v>
      </c>
      <c r="H7864" s="89" t="str">
        <f t="shared" si="18"/>
        <v/>
      </c>
      <c r="I7864" s="78" t="s">
        <v>8949</v>
      </c>
      <c r="J7864" s="78" t="s">
        <v>1129</v>
      </c>
      <c r="K7864" s="58" t="str">
        <f t="shared" si="17"/>
        <v/>
      </c>
      <c r="L7864" s="91" t="str">
        <f t="shared" si="8"/>
        <v/>
      </c>
      <c r="M7864" s="78" t="str">
        <f>IFERROR(VLOOKUP(A7864, Entries!A:B,2,false),"")</f>
        <v/>
      </c>
      <c r="N7864" s="23" t="str">
        <f>IFERROR(VLOOKUP(A7864, Entries!A:K,11,false),"")</f>
        <v/>
      </c>
    </row>
    <row r="7865">
      <c r="A7865" s="78" t="s">
        <v>8950</v>
      </c>
      <c r="B7865" s="78" t="s">
        <v>22</v>
      </c>
      <c r="C7865" s="85">
        <v>45803.0</v>
      </c>
      <c r="D7865" s="85">
        <v>45805.0</v>
      </c>
      <c r="E7865" s="86">
        <v>11.77</v>
      </c>
      <c r="F7865" s="87">
        <v>15.35</v>
      </c>
      <c r="G7865" s="88">
        <f t="shared" si="1"/>
        <v>3.58</v>
      </c>
      <c r="H7865" s="89">
        <f t="shared" si="18"/>
        <v>0.2332247557</v>
      </c>
      <c r="I7865" s="78" t="s">
        <v>8951</v>
      </c>
      <c r="J7865" s="78" t="s">
        <v>69</v>
      </c>
      <c r="K7865" s="58">
        <f t="shared" si="17"/>
        <v>2</v>
      </c>
      <c r="L7865" s="91" t="str">
        <f t="shared" si="8"/>
        <v>Wed</v>
      </c>
      <c r="M7865" s="78" t="str">
        <f>IFERROR(VLOOKUP(A7865, Entries!A:B,2,false),"")</f>
        <v/>
      </c>
      <c r="N7865" s="23" t="str">
        <f>IFERROR(VLOOKUP(A7865, Entries!A:K,11,false),"")</f>
        <v/>
      </c>
    </row>
    <row r="7866">
      <c r="A7866" s="78" t="s">
        <v>8952</v>
      </c>
      <c r="B7866" s="78" t="s">
        <v>23</v>
      </c>
      <c r="C7866" s="85">
        <v>45803.0</v>
      </c>
      <c r="D7866" s="85">
        <v>45924.0</v>
      </c>
      <c r="E7866" s="86">
        <v>17.54</v>
      </c>
      <c r="F7866" s="87">
        <v>23.82</v>
      </c>
      <c r="G7866" s="88">
        <f t="shared" si="1"/>
        <v>6.28</v>
      </c>
      <c r="H7866" s="89">
        <f t="shared" si="18"/>
        <v>0.2636439966</v>
      </c>
      <c r="I7866" s="78" t="s">
        <v>8953</v>
      </c>
      <c r="J7866" s="78" t="s">
        <v>69</v>
      </c>
      <c r="K7866" s="58">
        <f t="shared" si="17"/>
        <v>121</v>
      </c>
      <c r="L7866" s="91" t="str">
        <f t="shared" si="8"/>
        <v>Wed</v>
      </c>
      <c r="M7866" s="78" t="str">
        <f>IFERROR(VLOOKUP(A7866, Entries!A:B,2,false),"")</f>
        <v/>
      </c>
      <c r="N7866" s="23" t="str">
        <f>IFERROR(VLOOKUP(A7866, Entries!A:K,11,false),"")</f>
        <v/>
      </c>
    </row>
    <row r="7867">
      <c r="A7867" s="78" t="s">
        <v>8954</v>
      </c>
      <c r="B7867" s="78" t="s">
        <v>25</v>
      </c>
      <c r="C7867" s="85">
        <v>45803.0</v>
      </c>
      <c r="D7867" s="85">
        <v>45804.0</v>
      </c>
      <c r="E7867" s="86">
        <v>11.8</v>
      </c>
      <c r="F7867" s="87">
        <v>14.22</v>
      </c>
      <c r="G7867" s="88">
        <f t="shared" si="1"/>
        <v>2.42</v>
      </c>
      <c r="H7867" s="89">
        <f t="shared" si="18"/>
        <v>0.1701828411</v>
      </c>
      <c r="I7867" s="78" t="s">
        <v>8955</v>
      </c>
      <c r="J7867" s="78" t="s">
        <v>69</v>
      </c>
      <c r="K7867" s="58">
        <f t="shared" si="17"/>
        <v>1</v>
      </c>
      <c r="L7867" s="91" t="str">
        <f t="shared" si="8"/>
        <v>Tue</v>
      </c>
      <c r="M7867" s="78" t="str">
        <f>IFERROR(VLOOKUP(A7867, Entries!A:B,2,false),"")</f>
        <v/>
      </c>
      <c r="N7867" s="23" t="str">
        <f>IFERROR(VLOOKUP(A7867, Entries!A:K,11,false),"")</f>
        <v/>
      </c>
    </row>
    <row r="7868">
      <c r="A7868" s="78" t="s">
        <v>8954</v>
      </c>
      <c r="B7868" s="78" t="s">
        <v>25</v>
      </c>
      <c r="C7868" s="85">
        <v>45803.0</v>
      </c>
      <c r="D7868" s="85">
        <v>45825.0</v>
      </c>
      <c r="E7868" s="86">
        <v>11.81</v>
      </c>
      <c r="F7868" s="87">
        <v>12.84</v>
      </c>
      <c r="G7868" s="88">
        <f t="shared" si="1"/>
        <v>1.03</v>
      </c>
      <c r="H7868" s="89">
        <f t="shared" si="18"/>
        <v>0.08021806854</v>
      </c>
      <c r="I7868" s="78" t="s">
        <v>8956</v>
      </c>
      <c r="J7868" s="78" t="s">
        <v>69</v>
      </c>
      <c r="K7868" s="58">
        <f t="shared" si="17"/>
        <v>22</v>
      </c>
      <c r="L7868" s="91" t="str">
        <f t="shared" si="8"/>
        <v>Tue</v>
      </c>
      <c r="M7868" s="78" t="str">
        <f>IFERROR(VLOOKUP(A7868, Entries!A:B,2,false),"")</f>
        <v/>
      </c>
      <c r="N7868" s="23" t="str">
        <f>IFERROR(VLOOKUP(A7868, Entries!A:K,11,false),"")</f>
        <v/>
      </c>
    </row>
    <row r="7869">
      <c r="A7869" s="78" t="s">
        <v>8865</v>
      </c>
      <c r="B7869" s="78" t="s">
        <v>19</v>
      </c>
      <c r="C7869" s="85">
        <v>45803.0</v>
      </c>
      <c r="D7869" s="85">
        <v>45803.0</v>
      </c>
      <c r="E7869" s="86">
        <v>36.42</v>
      </c>
      <c r="F7869" s="87">
        <v>41.52</v>
      </c>
      <c r="G7869" s="88">
        <f t="shared" si="1"/>
        <v>5.1</v>
      </c>
      <c r="H7869" s="89">
        <f t="shared" si="18"/>
        <v>0.1228323699</v>
      </c>
      <c r="I7869" s="78" t="s">
        <v>8957</v>
      </c>
      <c r="J7869" s="78" t="s">
        <v>69</v>
      </c>
      <c r="K7869" s="58">
        <f t="shared" si="17"/>
        <v>0</v>
      </c>
      <c r="L7869" s="91" t="str">
        <f t="shared" si="8"/>
        <v>Mon</v>
      </c>
      <c r="M7869" s="78" t="str">
        <f>IFERROR(VLOOKUP(A7869, Entries!A:B,2,false),"")</f>
        <v>Bethesda Softworks</v>
      </c>
      <c r="N7869" s="23" t="str">
        <f>IFERROR(VLOOKUP(A7869, Entries!A:K,11,false),"")</f>
        <v/>
      </c>
    </row>
    <row r="7870">
      <c r="A7870" s="78" t="s">
        <v>8865</v>
      </c>
      <c r="B7870" s="78" t="s">
        <v>19</v>
      </c>
      <c r="C7870" s="85">
        <v>45803.0</v>
      </c>
      <c r="D7870" s="85">
        <v>45803.0</v>
      </c>
      <c r="E7870" s="86">
        <v>35.42</v>
      </c>
      <c r="F7870" s="87">
        <v>41.52</v>
      </c>
      <c r="G7870" s="88">
        <f t="shared" si="1"/>
        <v>6.1</v>
      </c>
      <c r="H7870" s="89">
        <f t="shared" si="18"/>
        <v>0.1469171484</v>
      </c>
      <c r="I7870" s="78" t="s">
        <v>8958</v>
      </c>
      <c r="J7870" s="78" t="s">
        <v>69</v>
      </c>
      <c r="K7870" s="58">
        <f t="shared" si="17"/>
        <v>0</v>
      </c>
      <c r="L7870" s="91" t="str">
        <f t="shared" si="8"/>
        <v>Mon</v>
      </c>
      <c r="M7870" s="78" t="str">
        <f>IFERROR(VLOOKUP(A7870, Entries!A:B,2,false),"")</f>
        <v>Bethesda Softworks</v>
      </c>
      <c r="N7870" s="23" t="str">
        <f>IFERROR(VLOOKUP(A7870, Entries!A:K,11,false),"")</f>
        <v/>
      </c>
    </row>
    <row r="7871">
      <c r="A7871" s="78" t="s">
        <v>8696</v>
      </c>
      <c r="B7871" s="78" t="s">
        <v>19</v>
      </c>
      <c r="C7871" s="85">
        <v>45803.0</v>
      </c>
      <c r="D7871" s="85">
        <v>45803.0</v>
      </c>
      <c r="E7871" s="86">
        <v>38.06</v>
      </c>
      <c r="F7871" s="87">
        <v>49.91</v>
      </c>
      <c r="G7871" s="88">
        <f t="shared" si="1"/>
        <v>11.85</v>
      </c>
      <c r="H7871" s="89">
        <f t="shared" si="18"/>
        <v>0.2374273693</v>
      </c>
      <c r="I7871" s="78" t="s">
        <v>8959</v>
      </c>
      <c r="J7871" s="78" t="s">
        <v>69</v>
      </c>
      <c r="K7871" s="58">
        <f t="shared" si="17"/>
        <v>0</v>
      </c>
      <c r="L7871" s="91" t="str">
        <f t="shared" si="8"/>
        <v>Mon</v>
      </c>
      <c r="M7871" s="78"/>
    </row>
    <row r="7872">
      <c r="A7872" s="78" t="s">
        <v>8696</v>
      </c>
      <c r="B7872" s="78" t="s">
        <v>19</v>
      </c>
      <c r="C7872" s="85">
        <v>45803.0</v>
      </c>
      <c r="D7872" s="85">
        <v>45803.0</v>
      </c>
      <c r="E7872" s="86">
        <v>41.16</v>
      </c>
      <c r="F7872" s="87">
        <v>49.91</v>
      </c>
      <c r="G7872" s="88">
        <f t="shared" si="1"/>
        <v>8.75</v>
      </c>
      <c r="H7872" s="89">
        <f t="shared" si="18"/>
        <v>0.175315568</v>
      </c>
      <c r="I7872" s="78" t="s">
        <v>8960</v>
      </c>
      <c r="J7872" s="78" t="s">
        <v>69</v>
      </c>
      <c r="K7872" s="58">
        <f t="shared" si="17"/>
        <v>0</v>
      </c>
      <c r="L7872" s="91" t="str">
        <f t="shared" si="8"/>
        <v>Mon</v>
      </c>
      <c r="M7872" s="78" t="str">
        <f>IFERROR(VLOOKUP(A7872, Entries!A:B,2,false),"")</f>
        <v/>
      </c>
      <c r="N7872" s="23" t="str">
        <f>IFERROR(VLOOKUP(A7872, Entries!A:K,11,false),"")</f>
        <v/>
      </c>
    </row>
    <row r="7873">
      <c r="A7873" s="78" t="s">
        <v>8865</v>
      </c>
      <c r="B7873" s="78" t="s">
        <v>19</v>
      </c>
      <c r="C7873" s="85">
        <v>45803.0</v>
      </c>
      <c r="D7873" s="85">
        <v>45804.0</v>
      </c>
      <c r="E7873" s="86">
        <v>33.3</v>
      </c>
      <c r="F7873" s="87">
        <v>41.52</v>
      </c>
      <c r="G7873" s="88">
        <f t="shared" si="1"/>
        <v>8.22</v>
      </c>
      <c r="H7873" s="89">
        <f t="shared" si="18"/>
        <v>0.1979768786</v>
      </c>
      <c r="I7873" s="78" t="s">
        <v>8961</v>
      </c>
      <c r="J7873" s="78" t="s">
        <v>69</v>
      </c>
      <c r="K7873" s="58">
        <f t="shared" si="17"/>
        <v>1</v>
      </c>
      <c r="L7873" s="91" t="str">
        <f t="shared" si="8"/>
        <v>Tue</v>
      </c>
      <c r="M7873" s="78" t="str">
        <f>IFERROR(VLOOKUP(A7873, Entries!A:B,2,false),"")</f>
        <v>Bethesda Softworks</v>
      </c>
      <c r="N7873" s="23" t="str">
        <f>IFERROR(VLOOKUP(A7873, Entries!A:K,11,false),"")</f>
        <v/>
      </c>
    </row>
    <row r="7874">
      <c r="A7874" s="78" t="s">
        <v>8696</v>
      </c>
      <c r="B7874" s="78" t="s">
        <v>19</v>
      </c>
      <c r="C7874" s="85">
        <v>45803.0</v>
      </c>
      <c r="D7874" s="85">
        <v>45805.0</v>
      </c>
      <c r="E7874" s="86">
        <v>36.11</v>
      </c>
      <c r="F7874" s="87">
        <v>49.87</v>
      </c>
      <c r="G7874" s="88">
        <f t="shared" si="1"/>
        <v>13.76</v>
      </c>
      <c r="H7874" s="89">
        <f t="shared" si="18"/>
        <v>0.2759173852</v>
      </c>
      <c r="I7874" s="78" t="s">
        <v>8962</v>
      </c>
      <c r="J7874" s="78" t="s">
        <v>69</v>
      </c>
      <c r="K7874" s="58">
        <f t="shared" si="17"/>
        <v>2</v>
      </c>
      <c r="L7874" s="91" t="str">
        <f t="shared" si="8"/>
        <v>Wed</v>
      </c>
      <c r="M7874" s="78" t="str">
        <f>IFERROR(VLOOKUP(A7874, Entries!A:B,2,false),"")</f>
        <v/>
      </c>
      <c r="N7874" s="23" t="str">
        <f>IFERROR(VLOOKUP(A7874, Entries!A:K,11,false),"")</f>
        <v/>
      </c>
    </row>
    <row r="7875">
      <c r="A7875" s="78" t="s">
        <v>8865</v>
      </c>
      <c r="B7875" s="78" t="s">
        <v>19</v>
      </c>
      <c r="C7875" s="85">
        <v>45803.0</v>
      </c>
      <c r="D7875" s="85">
        <v>45803.0</v>
      </c>
      <c r="E7875" s="86">
        <v>34.42</v>
      </c>
      <c r="F7875" s="87">
        <v>41.52</v>
      </c>
      <c r="G7875" s="88">
        <f t="shared" si="1"/>
        <v>7.1</v>
      </c>
      <c r="H7875" s="89">
        <f t="shared" si="18"/>
        <v>0.1710019268</v>
      </c>
      <c r="I7875" s="78" t="s">
        <v>8963</v>
      </c>
      <c r="J7875" s="78" t="s">
        <v>69</v>
      </c>
      <c r="K7875" s="58">
        <f t="shared" si="17"/>
        <v>0</v>
      </c>
      <c r="L7875" s="91" t="str">
        <f t="shared" si="8"/>
        <v>Mon</v>
      </c>
      <c r="M7875" s="78" t="str">
        <f>IFERROR(VLOOKUP(A7875, Entries!A:B,2,false),"")</f>
        <v>Bethesda Softworks</v>
      </c>
      <c r="N7875" s="23" t="str">
        <f>IFERROR(VLOOKUP(A7875, Entries!A:K,11,false),"")</f>
        <v/>
      </c>
    </row>
    <row r="7876">
      <c r="A7876" s="78" t="s">
        <v>8696</v>
      </c>
      <c r="B7876" s="78" t="s">
        <v>19</v>
      </c>
      <c r="C7876" s="85">
        <v>45803.0</v>
      </c>
      <c r="D7876" s="85">
        <v>45805.0</v>
      </c>
      <c r="E7876" s="86">
        <v>39.06</v>
      </c>
      <c r="F7876" s="87">
        <v>50.23</v>
      </c>
      <c r="G7876" s="88">
        <f t="shared" si="1"/>
        <v>11.17</v>
      </c>
      <c r="H7876" s="89">
        <f t="shared" si="18"/>
        <v>0.2223770655</v>
      </c>
      <c r="I7876" s="78" t="s">
        <v>8964</v>
      </c>
      <c r="J7876" s="78" t="s">
        <v>69</v>
      </c>
      <c r="K7876" s="58">
        <f t="shared" si="17"/>
        <v>2</v>
      </c>
      <c r="L7876" s="91" t="str">
        <f t="shared" si="8"/>
        <v>Wed</v>
      </c>
      <c r="M7876" s="78" t="str">
        <f>IFERROR(VLOOKUP(A7876, Entries!A:B,2,false),"")</f>
        <v/>
      </c>
      <c r="N7876" s="23" t="str">
        <f>IFERROR(VLOOKUP(A7876, Entries!A:K,11,false),"")</f>
        <v/>
      </c>
    </row>
    <row r="7877">
      <c r="A7877" s="78" t="s">
        <v>8904</v>
      </c>
      <c r="B7877" s="78" t="s">
        <v>19</v>
      </c>
      <c r="C7877" s="85">
        <v>45803.0</v>
      </c>
      <c r="D7877" s="85">
        <v>45906.0</v>
      </c>
      <c r="E7877" s="86">
        <v>0.0</v>
      </c>
      <c r="F7877" s="87">
        <v>0.85</v>
      </c>
      <c r="G7877" s="88">
        <f t="shared" si="1"/>
        <v>0.85</v>
      </c>
      <c r="H7877" s="89">
        <f t="shared" si="18"/>
        <v>1</v>
      </c>
      <c r="I7877" s="78" t="s">
        <v>8965</v>
      </c>
      <c r="J7877" s="78" t="s">
        <v>69</v>
      </c>
      <c r="K7877" s="58">
        <f t="shared" si="17"/>
        <v>103</v>
      </c>
      <c r="L7877" s="91" t="str">
        <f t="shared" si="8"/>
        <v>Sat</v>
      </c>
      <c r="M7877" s="78" t="str">
        <f>IFERROR(VLOOKUP(A7877, Entries!A:B,2,false),"")</f>
        <v/>
      </c>
      <c r="N7877" s="23" t="str">
        <f>IFERROR(VLOOKUP(A7877, Entries!A:K,11,false),"")</f>
        <v/>
      </c>
    </row>
    <row r="7878">
      <c r="A7878" s="78" t="s">
        <v>8966</v>
      </c>
      <c r="B7878" s="78" t="s">
        <v>23</v>
      </c>
      <c r="C7878" s="85">
        <v>45803.0</v>
      </c>
      <c r="D7878" s="25"/>
      <c r="E7878" s="86">
        <v>30.02</v>
      </c>
      <c r="F7878" s="88"/>
      <c r="G7878" s="88">
        <f t="shared" si="1"/>
        <v>-30.02</v>
      </c>
      <c r="H7878" s="89" t="str">
        <f t="shared" si="18"/>
        <v/>
      </c>
      <c r="I7878" s="78" t="s">
        <v>8967</v>
      </c>
      <c r="J7878" s="78" t="s">
        <v>1129</v>
      </c>
      <c r="K7878" s="58" t="str">
        <f t="shared" si="17"/>
        <v/>
      </c>
      <c r="L7878" s="91" t="str">
        <f t="shared" si="8"/>
        <v/>
      </c>
      <c r="M7878" s="78" t="str">
        <f>IFERROR(VLOOKUP(A7878, Entries!A:B,2,false),"")</f>
        <v/>
      </c>
      <c r="N7878" s="23" t="str">
        <f>IFERROR(VLOOKUP(A7878, Entries!A:K,11,false),"")</f>
        <v/>
      </c>
    </row>
    <row r="7879">
      <c r="A7879" s="78" t="s">
        <v>8865</v>
      </c>
      <c r="B7879" s="78" t="s">
        <v>19</v>
      </c>
      <c r="C7879" s="85">
        <v>45803.0</v>
      </c>
      <c r="D7879" s="85">
        <v>45803.0</v>
      </c>
      <c r="E7879" s="86">
        <v>36.42</v>
      </c>
      <c r="F7879" s="87">
        <v>41.52</v>
      </c>
      <c r="G7879" s="88">
        <f t="shared" si="1"/>
        <v>5.1</v>
      </c>
      <c r="H7879" s="89">
        <f t="shared" si="18"/>
        <v>0.1228323699</v>
      </c>
      <c r="I7879" s="78" t="s">
        <v>8968</v>
      </c>
      <c r="J7879" s="78" t="s">
        <v>69</v>
      </c>
      <c r="K7879" s="58">
        <f t="shared" si="17"/>
        <v>0</v>
      </c>
      <c r="L7879" s="91" t="str">
        <f t="shared" si="8"/>
        <v>Mon</v>
      </c>
      <c r="M7879" s="78" t="str">
        <f>IFERROR(VLOOKUP(A7879, Entries!A:B,2,false),"")</f>
        <v>Bethesda Softworks</v>
      </c>
      <c r="N7879" s="23" t="str">
        <f>IFERROR(VLOOKUP(A7879, Entries!A:K,11,false),"")</f>
        <v/>
      </c>
    </row>
    <row r="7880">
      <c r="A7880" s="78" t="s">
        <v>8865</v>
      </c>
      <c r="B7880" s="78" t="s">
        <v>19</v>
      </c>
      <c r="C7880" s="85">
        <v>45803.0</v>
      </c>
      <c r="D7880" s="85">
        <v>45804.0</v>
      </c>
      <c r="E7880" s="86">
        <v>36.42</v>
      </c>
      <c r="F7880" s="87">
        <v>41.69</v>
      </c>
      <c r="G7880" s="88">
        <f t="shared" si="1"/>
        <v>5.27</v>
      </c>
      <c r="H7880" s="89">
        <f t="shared" si="18"/>
        <v>0.1264092108</v>
      </c>
      <c r="I7880" s="78" t="s">
        <v>8969</v>
      </c>
      <c r="J7880" s="78" t="s">
        <v>69</v>
      </c>
      <c r="K7880" s="58">
        <f t="shared" si="17"/>
        <v>1</v>
      </c>
      <c r="L7880" s="91" t="str">
        <f t="shared" si="8"/>
        <v>Tue</v>
      </c>
      <c r="M7880" s="78" t="str">
        <f>IFERROR(VLOOKUP(A7880, Entries!A:B,2,false),"")</f>
        <v>Bethesda Softworks</v>
      </c>
      <c r="N7880" s="23" t="str">
        <f>IFERROR(VLOOKUP(A7880, Entries!A:K,11,false),"")</f>
        <v/>
      </c>
    </row>
    <row r="7881">
      <c r="A7881" s="78" t="s">
        <v>8865</v>
      </c>
      <c r="B7881" s="78" t="s">
        <v>19</v>
      </c>
      <c r="C7881" s="85">
        <v>45803.0</v>
      </c>
      <c r="D7881" s="85">
        <v>45804.0</v>
      </c>
      <c r="E7881" s="86">
        <v>36.42</v>
      </c>
      <c r="F7881" s="87">
        <v>41.69</v>
      </c>
      <c r="G7881" s="88">
        <f t="shared" si="1"/>
        <v>5.27</v>
      </c>
      <c r="H7881" s="89">
        <f t="shared" si="18"/>
        <v>0.1264092108</v>
      </c>
      <c r="I7881" s="78" t="s">
        <v>8970</v>
      </c>
      <c r="J7881" s="78" t="s">
        <v>69</v>
      </c>
      <c r="K7881" s="58">
        <f t="shared" si="17"/>
        <v>1</v>
      </c>
      <c r="L7881" s="91" t="str">
        <f t="shared" si="8"/>
        <v>Tue</v>
      </c>
      <c r="M7881" s="78" t="str">
        <f>IFERROR(VLOOKUP(A7881, Entries!A:B,2,false),"")</f>
        <v>Bethesda Softworks</v>
      </c>
      <c r="N7881" s="23" t="str">
        <f>IFERROR(VLOOKUP(A7881, Entries!A:K,11,false),"")</f>
        <v/>
      </c>
    </row>
    <row r="7882">
      <c r="A7882" s="78" t="s">
        <v>8865</v>
      </c>
      <c r="B7882" s="78" t="s">
        <v>19</v>
      </c>
      <c r="C7882" s="85">
        <v>45803.0</v>
      </c>
      <c r="D7882" s="85">
        <v>45804.0</v>
      </c>
      <c r="E7882" s="86">
        <v>35.42</v>
      </c>
      <c r="F7882" s="87">
        <v>41.69</v>
      </c>
      <c r="G7882" s="88">
        <f t="shared" si="1"/>
        <v>6.27</v>
      </c>
      <c r="H7882" s="89">
        <f t="shared" si="18"/>
        <v>0.1503957784</v>
      </c>
      <c r="I7882" s="78" t="s">
        <v>8971</v>
      </c>
      <c r="J7882" s="78" t="s">
        <v>69</v>
      </c>
      <c r="K7882" s="58">
        <f t="shared" si="17"/>
        <v>1</v>
      </c>
      <c r="L7882" s="91" t="str">
        <f t="shared" si="8"/>
        <v>Tue</v>
      </c>
      <c r="M7882" s="78" t="str">
        <f>IFERROR(VLOOKUP(A7882, Entries!A:B,2,false),"")</f>
        <v>Bethesda Softworks</v>
      </c>
      <c r="N7882" s="23" t="str">
        <f>IFERROR(VLOOKUP(A7882, Entries!A:K,11,false),"")</f>
        <v/>
      </c>
    </row>
    <row r="7883">
      <c r="A7883" s="78" t="s">
        <v>8696</v>
      </c>
      <c r="B7883" s="78" t="s">
        <v>19</v>
      </c>
      <c r="C7883" s="85">
        <v>45803.0</v>
      </c>
      <c r="D7883" s="85">
        <v>45806.0</v>
      </c>
      <c r="E7883" s="86">
        <v>38.06</v>
      </c>
      <c r="F7883" s="87">
        <v>50.23</v>
      </c>
      <c r="G7883" s="88">
        <f t="shared" si="1"/>
        <v>12.17</v>
      </c>
      <c r="H7883" s="89">
        <f t="shared" si="18"/>
        <v>0.2422854868</v>
      </c>
      <c r="I7883" s="78" t="s">
        <v>8972</v>
      </c>
      <c r="J7883" s="78" t="s">
        <v>69</v>
      </c>
      <c r="K7883" s="58">
        <f t="shared" si="17"/>
        <v>3</v>
      </c>
      <c r="L7883" s="91" t="str">
        <f t="shared" si="8"/>
        <v>Thu</v>
      </c>
      <c r="M7883" s="78" t="str">
        <f>IFERROR(VLOOKUP(A7883, Entries!A:B,2,false),"")</f>
        <v/>
      </c>
      <c r="N7883" s="23" t="str">
        <f>IFERROR(VLOOKUP(A7883, Entries!A:K,11,false),"")</f>
        <v/>
      </c>
    </row>
    <row r="7884">
      <c r="A7884" s="78" t="s">
        <v>4707</v>
      </c>
      <c r="B7884" s="78" t="s">
        <v>19</v>
      </c>
      <c r="C7884" s="85">
        <v>45803.0</v>
      </c>
      <c r="D7884" s="85">
        <v>45898.0</v>
      </c>
      <c r="E7884" s="86">
        <v>0.0</v>
      </c>
      <c r="F7884" s="87">
        <v>0.29</v>
      </c>
      <c r="G7884" s="88">
        <f t="shared" si="1"/>
        <v>0.29</v>
      </c>
      <c r="H7884" s="89">
        <f t="shared" si="18"/>
        <v>1</v>
      </c>
      <c r="I7884" s="78" t="s">
        <v>8973</v>
      </c>
      <c r="J7884" s="78" t="s">
        <v>69</v>
      </c>
      <c r="K7884" s="58">
        <f t="shared" si="17"/>
        <v>95</v>
      </c>
      <c r="L7884" s="91" t="str">
        <f t="shared" si="8"/>
        <v>Fri</v>
      </c>
      <c r="M7884" s="78" t="str">
        <f>IFERROR(VLOOKUP(A7884, Entries!A:B,2,false),"")</f>
        <v/>
      </c>
      <c r="N7884" s="23" t="str">
        <f>IFERROR(VLOOKUP(A7884, Entries!A:K,11,false),"")</f>
        <v/>
      </c>
    </row>
    <row r="7885">
      <c r="A7885" s="78" t="s">
        <v>7647</v>
      </c>
      <c r="B7885" s="78" t="s">
        <v>21</v>
      </c>
      <c r="C7885" s="85">
        <v>45804.0</v>
      </c>
      <c r="D7885" s="85">
        <v>45805.0</v>
      </c>
      <c r="E7885" s="86">
        <v>35.65</v>
      </c>
      <c r="F7885" s="87">
        <v>40.86</v>
      </c>
      <c r="G7885" s="88">
        <f t="shared" si="1"/>
        <v>5.21</v>
      </c>
      <c r="H7885" s="89">
        <f t="shared" si="18"/>
        <v>0.1275085658</v>
      </c>
      <c r="I7885" s="78" t="s">
        <v>8974</v>
      </c>
      <c r="J7885" s="78" t="s">
        <v>69</v>
      </c>
      <c r="K7885" s="58">
        <f t="shared" si="17"/>
        <v>1</v>
      </c>
      <c r="L7885" s="91" t="str">
        <f t="shared" si="8"/>
        <v>Wed</v>
      </c>
      <c r="M7885" s="78" t="str">
        <f>IFERROR(VLOOKUP(A7885, Entries!A:B,2,false),"")</f>
        <v>PlayStation</v>
      </c>
      <c r="N7885" s="23" t="str">
        <f>IFERROR(VLOOKUP(A7885, Entries!A:K,11,false),"")</f>
        <v/>
      </c>
    </row>
    <row r="7886">
      <c r="A7886" s="78" t="s">
        <v>7647</v>
      </c>
      <c r="B7886" s="78" t="s">
        <v>21</v>
      </c>
      <c r="C7886" s="85">
        <v>45804.0</v>
      </c>
      <c r="D7886" s="85">
        <v>45807.0</v>
      </c>
      <c r="E7886" s="86">
        <v>35.65</v>
      </c>
      <c r="F7886" s="87">
        <v>43.75</v>
      </c>
      <c r="G7886" s="88">
        <f t="shared" si="1"/>
        <v>8.1</v>
      </c>
      <c r="H7886" s="89">
        <f t="shared" si="18"/>
        <v>0.1851428571</v>
      </c>
      <c r="I7886" s="78" t="s">
        <v>8975</v>
      </c>
      <c r="J7886" s="78" t="s">
        <v>69</v>
      </c>
      <c r="K7886" s="58">
        <f t="shared" si="17"/>
        <v>3</v>
      </c>
      <c r="L7886" s="91" t="str">
        <f t="shared" si="8"/>
        <v>Fri</v>
      </c>
      <c r="M7886" s="78" t="str">
        <f>IFERROR(VLOOKUP(A7886, Entries!A:B,2,false),"")</f>
        <v>PlayStation</v>
      </c>
      <c r="N7886" s="23" t="str">
        <f>IFERROR(VLOOKUP(A7886, Entries!A:K,11,false),"")</f>
        <v/>
      </c>
    </row>
    <row r="7887">
      <c r="A7887" s="78" t="s">
        <v>8696</v>
      </c>
      <c r="B7887" s="78" t="s">
        <v>19</v>
      </c>
      <c r="C7887" s="85">
        <v>45804.0</v>
      </c>
      <c r="D7887" s="85">
        <v>45806.0</v>
      </c>
      <c r="E7887" s="86">
        <v>41.16</v>
      </c>
      <c r="F7887" s="87">
        <v>50.23</v>
      </c>
      <c r="G7887" s="88">
        <f t="shared" si="1"/>
        <v>9.07</v>
      </c>
      <c r="H7887" s="89">
        <f t="shared" si="18"/>
        <v>0.1805693808</v>
      </c>
      <c r="I7887" s="78" t="s">
        <v>8976</v>
      </c>
      <c r="J7887" s="78" t="s">
        <v>69</v>
      </c>
      <c r="K7887" s="58">
        <f t="shared" si="17"/>
        <v>2</v>
      </c>
      <c r="L7887" s="91" t="str">
        <f t="shared" si="8"/>
        <v>Thu</v>
      </c>
      <c r="M7887" s="78" t="str">
        <f>IFERROR(VLOOKUP(A7887, Entries!A:B,2,false),"")</f>
        <v/>
      </c>
      <c r="N7887" s="23" t="str">
        <f>IFERROR(VLOOKUP(A7887, Entries!A:K,11,false),"")</f>
        <v/>
      </c>
    </row>
    <row r="7888">
      <c r="A7888" s="78" t="s">
        <v>8977</v>
      </c>
      <c r="B7888" s="78" t="s">
        <v>22</v>
      </c>
      <c r="C7888" s="85">
        <v>45804.0</v>
      </c>
      <c r="D7888" s="85">
        <v>45806.0</v>
      </c>
      <c r="E7888" s="86">
        <v>6.27</v>
      </c>
      <c r="F7888" s="87">
        <v>10.65</v>
      </c>
      <c r="G7888" s="88">
        <f t="shared" si="1"/>
        <v>4.38</v>
      </c>
      <c r="H7888" s="89">
        <f t="shared" si="18"/>
        <v>0.4112676056</v>
      </c>
      <c r="I7888" s="78" t="s">
        <v>8978</v>
      </c>
      <c r="J7888" s="78" t="s">
        <v>69</v>
      </c>
      <c r="K7888" s="58">
        <f t="shared" si="17"/>
        <v>2</v>
      </c>
      <c r="L7888" s="91" t="str">
        <f t="shared" si="8"/>
        <v>Thu</v>
      </c>
      <c r="M7888" s="78" t="str">
        <f>IFERROR(VLOOKUP(A7888, Entries!A:B,2,false),"")</f>
        <v/>
      </c>
      <c r="N7888" s="23" t="str">
        <f>IFERROR(VLOOKUP(A7888, Entries!A:K,11,false),"")</f>
        <v/>
      </c>
    </row>
    <row r="7889">
      <c r="A7889" s="78" t="s">
        <v>8979</v>
      </c>
      <c r="B7889" s="78" t="s">
        <v>22</v>
      </c>
      <c r="C7889" s="85">
        <v>45804.0</v>
      </c>
      <c r="D7889" s="85">
        <v>45820.0</v>
      </c>
      <c r="E7889" s="86">
        <v>4.8</v>
      </c>
      <c r="F7889" s="87">
        <v>7.05</v>
      </c>
      <c r="G7889" s="88">
        <f t="shared" si="1"/>
        <v>2.25</v>
      </c>
      <c r="H7889" s="89">
        <f t="shared" si="18"/>
        <v>0.3191489362</v>
      </c>
      <c r="I7889" s="78" t="s">
        <v>8980</v>
      </c>
      <c r="J7889" s="78" t="s">
        <v>69</v>
      </c>
      <c r="K7889" s="58">
        <f t="shared" si="17"/>
        <v>16</v>
      </c>
      <c r="L7889" s="91" t="str">
        <f t="shared" si="8"/>
        <v>Thu</v>
      </c>
      <c r="M7889" s="78" t="str">
        <f>IFERROR(VLOOKUP(A7889, Entries!A:B,2,false),"")</f>
        <v/>
      </c>
      <c r="N7889" s="23" t="str">
        <f>IFERROR(VLOOKUP(A7889, Entries!A:K,11,false),"")</f>
        <v/>
      </c>
    </row>
    <row r="7890">
      <c r="A7890" s="78" t="s">
        <v>8778</v>
      </c>
      <c r="B7890" s="78" t="s">
        <v>22</v>
      </c>
      <c r="C7890" s="85">
        <v>45805.0</v>
      </c>
      <c r="D7890" s="25"/>
      <c r="E7890" s="86">
        <v>4.53</v>
      </c>
      <c r="F7890" s="88"/>
      <c r="G7890" s="88">
        <f t="shared" si="1"/>
        <v>-4.53</v>
      </c>
      <c r="H7890" s="89" t="str">
        <f t="shared" si="18"/>
        <v/>
      </c>
      <c r="I7890" s="78" t="s">
        <v>8981</v>
      </c>
      <c r="J7890" s="78" t="s">
        <v>1093</v>
      </c>
      <c r="K7890" s="58" t="str">
        <f t="shared" si="17"/>
        <v/>
      </c>
      <c r="L7890" s="91" t="str">
        <f t="shared" si="8"/>
        <v/>
      </c>
      <c r="M7890" s="78" t="str">
        <f>IFERROR(VLOOKUP(A7890, Entries!A:B,2,false),"")</f>
        <v/>
      </c>
      <c r="N7890" s="23" t="str">
        <f>IFERROR(VLOOKUP(A7890, Entries!A:K,11,false),"")</f>
        <v/>
      </c>
    </row>
    <row r="7891">
      <c r="A7891" s="78" t="s">
        <v>8778</v>
      </c>
      <c r="B7891" s="78" t="s">
        <v>22</v>
      </c>
      <c r="C7891" s="85">
        <v>45805.0</v>
      </c>
      <c r="D7891" s="85">
        <v>45805.0</v>
      </c>
      <c r="E7891" s="86">
        <v>4.53</v>
      </c>
      <c r="F7891" s="87">
        <v>6.75</v>
      </c>
      <c r="G7891" s="88">
        <f t="shared" si="1"/>
        <v>2.22</v>
      </c>
      <c r="H7891" s="89">
        <f t="shared" si="18"/>
        <v>0.3288888889</v>
      </c>
      <c r="I7891" s="78" t="s">
        <v>8982</v>
      </c>
      <c r="J7891" s="78" t="s">
        <v>69</v>
      </c>
      <c r="K7891" s="58">
        <f t="shared" si="17"/>
        <v>0</v>
      </c>
      <c r="L7891" s="91" t="str">
        <f t="shared" si="8"/>
        <v>Wed</v>
      </c>
      <c r="M7891" s="78" t="str">
        <f>IFERROR(VLOOKUP(A7891, Entries!A:B,2,false),"")</f>
        <v/>
      </c>
      <c r="N7891" s="23" t="str">
        <f>IFERROR(VLOOKUP(A7891, Entries!A:K,11,false),"")</f>
        <v/>
      </c>
    </row>
    <row r="7892">
      <c r="A7892" s="78" t="s">
        <v>8778</v>
      </c>
      <c r="B7892" s="78" t="s">
        <v>22</v>
      </c>
      <c r="C7892" s="85">
        <v>45805.0</v>
      </c>
      <c r="D7892" s="85">
        <v>45808.0</v>
      </c>
      <c r="E7892" s="86">
        <v>4.53</v>
      </c>
      <c r="F7892" s="87">
        <v>6.7</v>
      </c>
      <c r="G7892" s="88">
        <f t="shared" si="1"/>
        <v>2.17</v>
      </c>
      <c r="H7892" s="89">
        <f t="shared" si="18"/>
        <v>0.323880597</v>
      </c>
      <c r="I7892" s="78" t="s">
        <v>8983</v>
      </c>
      <c r="J7892" s="78" t="s">
        <v>69</v>
      </c>
      <c r="K7892" s="58">
        <f t="shared" si="17"/>
        <v>3</v>
      </c>
      <c r="L7892" s="91" t="str">
        <f t="shared" si="8"/>
        <v>Sat</v>
      </c>
      <c r="M7892" s="78" t="str">
        <f>IFERROR(VLOOKUP(A7892, Entries!A:B,2,false),"")</f>
        <v/>
      </c>
      <c r="N7892" s="23" t="str">
        <f>IFERROR(VLOOKUP(A7892, Entries!A:K,11,false),"")</f>
        <v/>
      </c>
    </row>
    <row r="7893">
      <c r="A7893" s="78" t="s">
        <v>8778</v>
      </c>
      <c r="B7893" s="78" t="s">
        <v>22</v>
      </c>
      <c r="C7893" s="85">
        <v>45805.0</v>
      </c>
      <c r="D7893" s="85">
        <v>45809.0</v>
      </c>
      <c r="E7893" s="86">
        <v>4.53</v>
      </c>
      <c r="F7893" s="87">
        <v>6.7</v>
      </c>
      <c r="G7893" s="88">
        <f t="shared" si="1"/>
        <v>2.17</v>
      </c>
      <c r="H7893" s="89">
        <f t="shared" si="18"/>
        <v>0.323880597</v>
      </c>
      <c r="I7893" s="78" t="s">
        <v>8984</v>
      </c>
      <c r="J7893" s="78" t="s">
        <v>69</v>
      </c>
      <c r="K7893" s="58">
        <f t="shared" si="17"/>
        <v>4</v>
      </c>
      <c r="L7893" s="91" t="str">
        <f t="shared" si="8"/>
        <v>Sun</v>
      </c>
      <c r="M7893" s="78" t="str">
        <f>IFERROR(VLOOKUP(A7893, Entries!A:B,2,false),"")</f>
        <v/>
      </c>
      <c r="N7893" s="23" t="str">
        <f>IFERROR(VLOOKUP(A7893, Entries!A:K,11,false),"")</f>
        <v/>
      </c>
    </row>
    <row r="7894">
      <c r="A7894" s="78" t="s">
        <v>8985</v>
      </c>
      <c r="B7894" s="78" t="s">
        <v>21</v>
      </c>
      <c r="C7894" s="85">
        <v>45805.0</v>
      </c>
      <c r="D7894" s="85">
        <v>45808.0</v>
      </c>
      <c r="E7894" s="86">
        <v>36.24</v>
      </c>
      <c r="F7894" s="87">
        <v>37.5</v>
      </c>
      <c r="G7894" s="88">
        <f t="shared" si="1"/>
        <v>1.26</v>
      </c>
      <c r="H7894" s="89">
        <f t="shared" si="18"/>
        <v>0.0336</v>
      </c>
      <c r="I7894" s="78" t="s">
        <v>8986</v>
      </c>
      <c r="J7894" s="78" t="s">
        <v>69</v>
      </c>
      <c r="K7894" s="58">
        <f t="shared" si="17"/>
        <v>3</v>
      </c>
      <c r="L7894" s="91" t="str">
        <f t="shared" si="8"/>
        <v>Sat</v>
      </c>
      <c r="M7894" s="78" t="str">
        <f>IFERROR(VLOOKUP(A7894, Entries!A:B,2,false),"")</f>
        <v/>
      </c>
      <c r="N7894" s="23" t="str">
        <f>IFERROR(VLOOKUP(A7894, Entries!A:K,11,false),"")</f>
        <v/>
      </c>
    </row>
    <row r="7895">
      <c r="A7895" s="78" t="s">
        <v>8865</v>
      </c>
      <c r="B7895" s="78" t="s">
        <v>19</v>
      </c>
      <c r="C7895" s="85">
        <v>45805.0</v>
      </c>
      <c r="D7895" s="85">
        <v>45805.0</v>
      </c>
      <c r="E7895" s="86">
        <v>36.27</v>
      </c>
      <c r="F7895" s="87">
        <v>41.69</v>
      </c>
      <c r="G7895" s="88">
        <f t="shared" si="1"/>
        <v>5.42</v>
      </c>
      <c r="H7895" s="89">
        <f t="shared" si="18"/>
        <v>0.130007196</v>
      </c>
      <c r="I7895" s="78" t="s">
        <v>8987</v>
      </c>
      <c r="J7895" s="78" t="s">
        <v>69</v>
      </c>
      <c r="K7895" s="58">
        <f t="shared" si="17"/>
        <v>0</v>
      </c>
      <c r="L7895" s="91" t="str">
        <f t="shared" si="8"/>
        <v>Wed</v>
      </c>
      <c r="M7895" s="78" t="str">
        <f>IFERROR(VLOOKUP(A7895, Entries!A:B,2,false),"")</f>
        <v>Bethesda Softworks</v>
      </c>
      <c r="N7895" s="23" t="str">
        <f>IFERROR(VLOOKUP(A7895, Entries!A:K,11,false),"")</f>
        <v/>
      </c>
    </row>
    <row r="7896">
      <c r="A7896" s="78" t="s">
        <v>8865</v>
      </c>
      <c r="B7896" s="78" t="s">
        <v>19</v>
      </c>
      <c r="C7896" s="85">
        <v>45805.0</v>
      </c>
      <c r="D7896" s="85">
        <v>45812.0</v>
      </c>
      <c r="E7896" s="86">
        <v>34.8</v>
      </c>
      <c r="F7896" s="87">
        <v>50.24</v>
      </c>
      <c r="G7896" s="88">
        <f t="shared" si="1"/>
        <v>15.44</v>
      </c>
      <c r="H7896" s="89">
        <f t="shared" si="18"/>
        <v>0.3073248408</v>
      </c>
      <c r="I7896" s="78" t="s">
        <v>8988</v>
      </c>
      <c r="J7896" s="78" t="s">
        <v>69</v>
      </c>
      <c r="K7896" s="58">
        <f t="shared" si="17"/>
        <v>7</v>
      </c>
      <c r="L7896" s="91" t="str">
        <f t="shared" si="8"/>
        <v>Wed</v>
      </c>
      <c r="M7896" s="78" t="str">
        <f>IFERROR(VLOOKUP(A7896, Entries!A:B,2,false),"")</f>
        <v>Bethesda Softworks</v>
      </c>
      <c r="N7896" s="23" t="str">
        <f>IFERROR(VLOOKUP(A7896, Entries!A:K,11,false),"")</f>
        <v/>
      </c>
    </row>
    <row r="7897">
      <c r="A7897" s="78" t="s">
        <v>8696</v>
      </c>
      <c r="B7897" s="78" t="s">
        <v>19</v>
      </c>
      <c r="C7897" s="85">
        <v>45805.0</v>
      </c>
      <c r="D7897" s="85">
        <v>45812.0</v>
      </c>
      <c r="E7897" s="86">
        <v>39.55</v>
      </c>
      <c r="F7897" s="87">
        <v>50.24</v>
      </c>
      <c r="G7897" s="88">
        <f t="shared" si="1"/>
        <v>10.69</v>
      </c>
      <c r="H7897" s="89">
        <f t="shared" si="18"/>
        <v>0.2127786624</v>
      </c>
      <c r="I7897" s="78" t="s">
        <v>8989</v>
      </c>
      <c r="J7897" s="78" t="s">
        <v>69</v>
      </c>
      <c r="K7897" s="58">
        <f t="shared" si="17"/>
        <v>7</v>
      </c>
      <c r="L7897" s="91" t="str">
        <f t="shared" si="8"/>
        <v>Wed</v>
      </c>
      <c r="M7897" s="78" t="str">
        <f>IFERROR(VLOOKUP(A7897, Entries!A:B,2,false),"")</f>
        <v/>
      </c>
      <c r="N7897" s="23" t="str">
        <f>IFERROR(VLOOKUP(A7897, Entries!A:K,11,false),"")</f>
        <v/>
      </c>
    </row>
    <row r="7898">
      <c r="A7898" s="78" t="s">
        <v>8696</v>
      </c>
      <c r="B7898" s="78" t="s">
        <v>19</v>
      </c>
      <c r="C7898" s="85">
        <v>45806.0</v>
      </c>
      <c r="D7898" s="85">
        <v>45806.0</v>
      </c>
      <c r="E7898" s="86">
        <v>42.36</v>
      </c>
      <c r="F7898" s="87">
        <v>50.23</v>
      </c>
      <c r="G7898" s="88">
        <f t="shared" si="1"/>
        <v>7.87</v>
      </c>
      <c r="H7898" s="89">
        <f t="shared" si="18"/>
        <v>0.1566792753</v>
      </c>
      <c r="I7898" s="78" t="s">
        <v>8990</v>
      </c>
      <c r="J7898" s="78" t="s">
        <v>69</v>
      </c>
      <c r="K7898" s="58">
        <f t="shared" si="17"/>
        <v>0</v>
      </c>
      <c r="L7898" s="91" t="str">
        <f t="shared" si="8"/>
        <v>Thu</v>
      </c>
      <c r="M7898" s="78" t="str">
        <f>IFERROR(VLOOKUP(A7898, Entries!A:B,2,false),"")</f>
        <v/>
      </c>
      <c r="N7898" s="23" t="str">
        <f>IFERROR(VLOOKUP(A7898, Entries!A:K,11,false),"")</f>
        <v/>
      </c>
    </row>
    <row r="7899">
      <c r="A7899" s="78" t="s">
        <v>8529</v>
      </c>
      <c r="B7899" s="78" t="s">
        <v>21</v>
      </c>
      <c r="C7899" s="85">
        <v>45806.0</v>
      </c>
      <c r="D7899" s="85">
        <v>45807.0</v>
      </c>
      <c r="E7899" s="86">
        <v>25.11</v>
      </c>
      <c r="F7899" s="87">
        <v>26.4</v>
      </c>
      <c r="G7899" s="88">
        <f t="shared" si="1"/>
        <v>1.29</v>
      </c>
      <c r="H7899" s="89">
        <f t="shared" si="18"/>
        <v>0.04886363636</v>
      </c>
      <c r="I7899" s="78" t="s">
        <v>8991</v>
      </c>
      <c r="J7899" s="78" t="s">
        <v>69</v>
      </c>
      <c r="K7899" s="58">
        <f t="shared" si="17"/>
        <v>1</v>
      </c>
      <c r="L7899" s="91" t="str">
        <f t="shared" si="8"/>
        <v>Fri</v>
      </c>
      <c r="M7899" s="78" t="str">
        <f>IFERROR(VLOOKUP(A7899, Entries!A:B,2,false),"")</f>
        <v>SEGA</v>
      </c>
      <c r="N7899" s="23" t="str">
        <f>IFERROR(VLOOKUP(A7899, Entries!A:K,11,false),"")</f>
        <v/>
      </c>
    </row>
    <row r="7900">
      <c r="A7900" s="78" t="s">
        <v>8865</v>
      </c>
      <c r="B7900" s="78" t="s">
        <v>19</v>
      </c>
      <c r="C7900" s="85">
        <v>45807.0</v>
      </c>
      <c r="D7900" s="25"/>
      <c r="E7900" s="86">
        <v>35.54</v>
      </c>
      <c r="F7900" s="88"/>
      <c r="G7900" s="88">
        <f t="shared" si="1"/>
        <v>-35.54</v>
      </c>
      <c r="H7900" s="89" t="str">
        <f t="shared" si="18"/>
        <v/>
      </c>
      <c r="I7900" s="78" t="s">
        <v>8992</v>
      </c>
      <c r="J7900" s="78" t="s">
        <v>1093</v>
      </c>
      <c r="K7900" s="58" t="str">
        <f t="shared" si="17"/>
        <v/>
      </c>
      <c r="L7900" s="91" t="str">
        <f t="shared" si="8"/>
        <v/>
      </c>
      <c r="M7900" s="78" t="str">
        <f>IFERROR(VLOOKUP(A7900, Entries!A:B,2,false),"")</f>
        <v>Bethesda Softworks</v>
      </c>
      <c r="N7900" s="23" t="str">
        <f>IFERROR(VLOOKUP(A7900, Entries!A:K,11,false),"")</f>
        <v/>
      </c>
    </row>
    <row r="7901">
      <c r="A7901" s="78" t="s">
        <v>8696</v>
      </c>
      <c r="B7901" s="78" t="s">
        <v>19</v>
      </c>
      <c r="C7901" s="85">
        <v>45807.0</v>
      </c>
      <c r="D7901" s="85">
        <v>45807.0</v>
      </c>
      <c r="E7901" s="86">
        <v>39.55</v>
      </c>
      <c r="F7901" s="87">
        <v>50.23</v>
      </c>
      <c r="G7901" s="88">
        <f t="shared" si="1"/>
        <v>10.68</v>
      </c>
      <c r="H7901" s="89">
        <f t="shared" si="18"/>
        <v>0.2126219391</v>
      </c>
      <c r="I7901" s="78" t="s">
        <v>8993</v>
      </c>
      <c r="J7901" s="78" t="s">
        <v>69</v>
      </c>
      <c r="K7901" s="58">
        <f t="shared" si="17"/>
        <v>0</v>
      </c>
      <c r="L7901" s="91" t="str">
        <f t="shared" si="8"/>
        <v>Fri</v>
      </c>
      <c r="M7901" s="78" t="str">
        <f>IFERROR(VLOOKUP(A7901, Entries!A:B,2,false),"")</f>
        <v/>
      </c>
      <c r="N7901" s="23" t="str">
        <f>IFERROR(VLOOKUP(A7901, Entries!A:K,11,false),"")</f>
        <v/>
      </c>
    </row>
    <row r="7902">
      <c r="A7902" s="78" t="s">
        <v>7647</v>
      </c>
      <c r="B7902" s="78" t="s">
        <v>25</v>
      </c>
      <c r="C7902" s="85">
        <v>45807.0</v>
      </c>
      <c r="D7902" s="85">
        <v>45808.0</v>
      </c>
      <c r="E7902" s="86">
        <v>39.7</v>
      </c>
      <c r="F7902" s="87">
        <v>43.42</v>
      </c>
      <c r="G7902" s="88">
        <f t="shared" si="1"/>
        <v>3.72</v>
      </c>
      <c r="H7902" s="89">
        <f t="shared" si="18"/>
        <v>0.08567480424</v>
      </c>
      <c r="I7902" s="78" t="s">
        <v>8994</v>
      </c>
      <c r="J7902" s="78" t="s">
        <v>69</v>
      </c>
      <c r="K7902" s="58">
        <f t="shared" si="17"/>
        <v>1</v>
      </c>
      <c r="L7902" s="91" t="str">
        <f t="shared" si="8"/>
        <v>Sat</v>
      </c>
      <c r="M7902" s="78" t="str">
        <f>IFERROR(VLOOKUP(A7902, Entries!A:B,2,false),"")</f>
        <v>PlayStation</v>
      </c>
      <c r="N7902" s="23" t="str">
        <f>IFERROR(VLOOKUP(A7902, Entries!A:K,11,false),"")</f>
        <v/>
      </c>
    </row>
    <row r="7903">
      <c r="A7903" s="94" t="s">
        <v>7647</v>
      </c>
      <c r="B7903" s="78" t="s">
        <v>25</v>
      </c>
      <c r="C7903" s="85">
        <v>45807.0</v>
      </c>
      <c r="D7903" s="25"/>
      <c r="E7903" s="86">
        <v>37.68</v>
      </c>
      <c r="F7903" s="88"/>
      <c r="G7903" s="88">
        <f t="shared" si="1"/>
        <v>-37.68</v>
      </c>
      <c r="H7903" s="89" t="str">
        <f t="shared" si="18"/>
        <v/>
      </c>
      <c r="I7903" s="78" t="s">
        <v>8995</v>
      </c>
      <c r="J7903" s="78" t="s">
        <v>1129</v>
      </c>
      <c r="K7903" s="58" t="str">
        <f t="shared" si="17"/>
        <v/>
      </c>
      <c r="L7903" s="91" t="str">
        <f t="shared" si="8"/>
        <v/>
      </c>
      <c r="M7903" s="78" t="str">
        <f>IFERROR(VLOOKUP(A7903, Entries!A:B,2,false),"")</f>
        <v>PlayStation</v>
      </c>
      <c r="N7903" s="23" t="str">
        <f>IFERROR(VLOOKUP(A7903, Entries!A:K,11,false),"")</f>
        <v/>
      </c>
    </row>
    <row r="7904">
      <c r="A7904" s="78" t="s">
        <v>8529</v>
      </c>
      <c r="B7904" s="78" t="s">
        <v>21</v>
      </c>
      <c r="C7904" s="85">
        <v>45807.0</v>
      </c>
      <c r="D7904" s="85">
        <v>45807.0</v>
      </c>
      <c r="E7904" s="86">
        <v>25.11</v>
      </c>
      <c r="F7904" s="87">
        <v>26.4</v>
      </c>
      <c r="G7904" s="88">
        <f t="shared" si="1"/>
        <v>1.29</v>
      </c>
      <c r="H7904" s="89">
        <f t="shared" si="18"/>
        <v>0.04886363636</v>
      </c>
      <c r="I7904" s="78" t="s">
        <v>8996</v>
      </c>
      <c r="J7904" s="78" t="s">
        <v>69</v>
      </c>
      <c r="K7904" s="58">
        <f t="shared" si="17"/>
        <v>0</v>
      </c>
      <c r="L7904" s="91" t="str">
        <f t="shared" si="8"/>
        <v>Fri</v>
      </c>
      <c r="M7904" s="78" t="str">
        <f>IFERROR(VLOOKUP(A7904, Entries!A:B,2,false),"")</f>
        <v>SEGA</v>
      </c>
      <c r="N7904" s="23" t="str">
        <f>IFERROR(VLOOKUP(A7904, Entries!A:K,11,false),"")</f>
        <v/>
      </c>
    </row>
    <row r="7905">
      <c r="A7905" s="78" t="s">
        <v>8865</v>
      </c>
      <c r="B7905" s="78" t="s">
        <v>19</v>
      </c>
      <c r="C7905" s="85">
        <v>45807.0</v>
      </c>
      <c r="D7905" s="85">
        <v>45828.0</v>
      </c>
      <c r="E7905" s="86">
        <v>35.54</v>
      </c>
      <c r="F7905" s="87">
        <v>37.24</v>
      </c>
      <c r="G7905" s="88">
        <f t="shared" si="1"/>
        <v>1.7</v>
      </c>
      <c r="H7905" s="89">
        <f t="shared" si="18"/>
        <v>0.04564983888</v>
      </c>
      <c r="I7905" s="78" t="s">
        <v>8997</v>
      </c>
      <c r="J7905" s="78" t="s">
        <v>69</v>
      </c>
      <c r="K7905" s="58">
        <f t="shared" si="17"/>
        <v>21</v>
      </c>
      <c r="L7905" s="91" t="str">
        <f t="shared" si="8"/>
        <v>Fri</v>
      </c>
      <c r="M7905" s="78" t="str">
        <f>IFERROR(VLOOKUP(A7905, Entries!A:B,2,false),"")</f>
        <v>Bethesda Softworks</v>
      </c>
      <c r="N7905" s="23" t="str">
        <f>IFERROR(VLOOKUP(A7905, Entries!A:K,11,false),"")</f>
        <v/>
      </c>
    </row>
    <row r="7906">
      <c r="A7906" s="78" t="s">
        <v>8696</v>
      </c>
      <c r="B7906" s="78" t="s">
        <v>19</v>
      </c>
      <c r="C7906" s="85">
        <v>45807.0</v>
      </c>
      <c r="D7906" s="85">
        <v>45809.0</v>
      </c>
      <c r="E7906" s="86">
        <v>39.55</v>
      </c>
      <c r="F7906" s="87">
        <v>50.24</v>
      </c>
      <c r="G7906" s="88">
        <f t="shared" si="1"/>
        <v>10.69</v>
      </c>
      <c r="H7906" s="89">
        <f t="shared" si="18"/>
        <v>0.2127786624</v>
      </c>
      <c r="I7906" s="78" t="s">
        <v>8998</v>
      </c>
      <c r="J7906" s="78" t="s">
        <v>69</v>
      </c>
      <c r="K7906" s="58">
        <f t="shared" si="17"/>
        <v>2</v>
      </c>
      <c r="L7906" s="91" t="str">
        <f t="shared" si="8"/>
        <v>Sun</v>
      </c>
      <c r="M7906" s="78" t="str">
        <f>IFERROR(VLOOKUP(A7906, Entries!A:B,2,false),"")</f>
        <v/>
      </c>
      <c r="N7906" s="23" t="str">
        <f>IFERROR(VLOOKUP(A7906, Entries!A:K,11,false),"")</f>
        <v/>
      </c>
    </row>
    <row r="7907">
      <c r="A7907" s="78" t="s">
        <v>8999</v>
      </c>
      <c r="B7907" s="78" t="s">
        <v>18</v>
      </c>
      <c r="C7907" s="85">
        <v>45808.0</v>
      </c>
      <c r="D7907" s="85">
        <v>45810.0</v>
      </c>
      <c r="E7907" s="86">
        <v>26.93</v>
      </c>
      <c r="F7907" s="87">
        <v>27.96</v>
      </c>
      <c r="G7907" s="88">
        <f t="shared" si="1"/>
        <v>1.03</v>
      </c>
      <c r="H7907" s="89">
        <f t="shared" si="18"/>
        <v>0.03683834049</v>
      </c>
      <c r="J7907" s="78" t="s">
        <v>69</v>
      </c>
      <c r="K7907" s="58">
        <f t="shared" si="17"/>
        <v>2</v>
      </c>
      <c r="L7907" s="91" t="str">
        <f t="shared" si="8"/>
        <v>Mon</v>
      </c>
      <c r="M7907" s="78" t="str">
        <f>IFERROR(VLOOKUP(A7907, Entries!A:B,2,false),"")</f>
        <v/>
      </c>
      <c r="N7907" s="23" t="str">
        <f>IFERROR(VLOOKUP(A7907, Entries!A:K,11,false),"")</f>
        <v/>
      </c>
    </row>
    <row r="7908">
      <c r="A7908" s="78" t="s">
        <v>9000</v>
      </c>
      <c r="B7908" s="78" t="s">
        <v>22</v>
      </c>
      <c r="C7908" s="85">
        <v>45808.0</v>
      </c>
      <c r="D7908" s="85">
        <v>45808.0</v>
      </c>
      <c r="E7908" s="86">
        <v>8.21</v>
      </c>
      <c r="F7908" s="87">
        <v>13.49</v>
      </c>
      <c r="G7908" s="88">
        <f t="shared" si="1"/>
        <v>5.28</v>
      </c>
      <c r="H7908" s="89">
        <f t="shared" si="18"/>
        <v>0.3914010378</v>
      </c>
      <c r="I7908" s="78" t="s">
        <v>9001</v>
      </c>
      <c r="J7908" s="78" t="s">
        <v>69</v>
      </c>
      <c r="K7908" s="58">
        <f t="shared" si="17"/>
        <v>0</v>
      </c>
      <c r="L7908" s="91" t="str">
        <f t="shared" si="8"/>
        <v>Sat</v>
      </c>
      <c r="M7908" s="78" t="str">
        <f>IFERROR(VLOOKUP(A7908, Entries!A:B,2,false),"")</f>
        <v/>
      </c>
      <c r="N7908" s="23" t="str">
        <f>IFERROR(VLOOKUP(A7908, Entries!A:K,11,false),"")</f>
        <v/>
      </c>
    </row>
    <row r="7909">
      <c r="A7909" s="78" t="s">
        <v>8529</v>
      </c>
      <c r="B7909" s="78" t="s">
        <v>25</v>
      </c>
      <c r="C7909" s="85">
        <v>45808.0</v>
      </c>
      <c r="D7909" s="85">
        <v>45808.0</v>
      </c>
      <c r="E7909" s="86">
        <v>23.34</v>
      </c>
      <c r="F7909" s="87">
        <v>26.4</v>
      </c>
      <c r="G7909" s="88">
        <f t="shared" si="1"/>
        <v>3.06</v>
      </c>
      <c r="H7909" s="89">
        <f t="shared" si="18"/>
        <v>0.1159090909</v>
      </c>
      <c r="I7909" s="78" t="s">
        <v>9002</v>
      </c>
      <c r="J7909" s="78" t="s">
        <v>69</v>
      </c>
      <c r="K7909" s="58">
        <f t="shared" si="17"/>
        <v>0</v>
      </c>
      <c r="L7909" s="91" t="str">
        <f t="shared" si="8"/>
        <v>Sat</v>
      </c>
      <c r="M7909" s="78" t="str">
        <f>IFERROR(VLOOKUP(A7909, Entries!A:B,2,false),"")</f>
        <v>SEGA</v>
      </c>
      <c r="N7909" s="23" t="str">
        <f>IFERROR(VLOOKUP(A7909, Entries!A:K,11,false),"")</f>
        <v/>
      </c>
    </row>
    <row r="7910">
      <c r="A7910" s="78" t="s">
        <v>8529</v>
      </c>
      <c r="B7910" s="78" t="s">
        <v>25</v>
      </c>
      <c r="C7910" s="85">
        <v>45808.0</v>
      </c>
      <c r="D7910" s="85">
        <v>45810.0</v>
      </c>
      <c r="E7910" s="86">
        <v>23.34</v>
      </c>
      <c r="F7910" s="87">
        <v>26.68</v>
      </c>
      <c r="G7910" s="88">
        <f t="shared" si="1"/>
        <v>3.34</v>
      </c>
      <c r="H7910" s="89">
        <f t="shared" si="18"/>
        <v>0.1251874063</v>
      </c>
      <c r="I7910" s="78" t="s">
        <v>9003</v>
      </c>
      <c r="J7910" s="78" t="s">
        <v>69</v>
      </c>
      <c r="K7910" s="58">
        <f t="shared" si="17"/>
        <v>2</v>
      </c>
      <c r="L7910" s="91" t="str">
        <f t="shared" si="8"/>
        <v>Mon</v>
      </c>
      <c r="M7910" s="78" t="str">
        <f>IFERROR(VLOOKUP(A7910, Entries!A:B,2,false),"")</f>
        <v>SEGA</v>
      </c>
      <c r="N7910" s="23" t="str">
        <f>IFERROR(VLOOKUP(A7910, Entries!A:K,11,false),"")</f>
        <v/>
      </c>
    </row>
    <row r="7911">
      <c r="A7911" s="78" t="s">
        <v>8696</v>
      </c>
      <c r="B7911" s="78" t="s">
        <v>19</v>
      </c>
      <c r="C7911" s="85">
        <v>45809.0</v>
      </c>
      <c r="D7911" s="85">
        <v>45812.0</v>
      </c>
      <c r="E7911" s="86">
        <v>42.25</v>
      </c>
      <c r="F7911" s="87">
        <v>50.23</v>
      </c>
      <c r="G7911" s="88">
        <f t="shared" si="1"/>
        <v>7.98</v>
      </c>
      <c r="H7911" s="89">
        <f t="shared" si="18"/>
        <v>0.1588692017</v>
      </c>
      <c r="I7911" s="78" t="s">
        <v>9004</v>
      </c>
      <c r="J7911" s="78" t="s">
        <v>69</v>
      </c>
      <c r="K7911" s="58">
        <f t="shared" si="17"/>
        <v>3</v>
      </c>
      <c r="L7911" s="91" t="str">
        <f t="shared" si="8"/>
        <v>Wed</v>
      </c>
      <c r="M7911" s="78" t="str">
        <f>IFERROR(VLOOKUP(A7911, Entries!A:B,2,false),"")</f>
        <v/>
      </c>
      <c r="N7911" s="23" t="str">
        <f>IFERROR(VLOOKUP(A7911, Entries!A:K,11,false),"")</f>
        <v/>
      </c>
    </row>
    <row r="7912">
      <c r="A7912" s="78" t="s">
        <v>8696</v>
      </c>
      <c r="B7912" s="78" t="s">
        <v>19</v>
      </c>
      <c r="C7912" s="85">
        <v>45809.0</v>
      </c>
      <c r="D7912" s="85">
        <v>45822.0</v>
      </c>
      <c r="E7912" s="86">
        <v>40.02</v>
      </c>
      <c r="F7912" s="87">
        <v>54.81</v>
      </c>
      <c r="G7912" s="88">
        <f t="shared" si="1"/>
        <v>14.79</v>
      </c>
      <c r="H7912" s="89">
        <f t="shared" si="18"/>
        <v>0.2698412698</v>
      </c>
      <c r="I7912" s="78" t="s">
        <v>9005</v>
      </c>
      <c r="J7912" s="78" t="s">
        <v>69</v>
      </c>
      <c r="K7912" s="58">
        <f t="shared" si="17"/>
        <v>13</v>
      </c>
      <c r="L7912" s="91" t="str">
        <f t="shared" si="8"/>
        <v>Sat</v>
      </c>
      <c r="M7912" s="78" t="str">
        <f>IFERROR(VLOOKUP(A7912, Entries!A:B,2,false),"")</f>
        <v/>
      </c>
      <c r="N7912" s="23" t="str">
        <f>IFERROR(VLOOKUP(A7912, Entries!A:K,11,false),"")</f>
        <v/>
      </c>
    </row>
    <row r="7913">
      <c r="A7913" s="78" t="s">
        <v>8529</v>
      </c>
      <c r="B7913" s="78" t="s">
        <v>21</v>
      </c>
      <c r="C7913" s="85">
        <v>45810.0</v>
      </c>
      <c r="D7913" s="85">
        <v>45813.0</v>
      </c>
      <c r="E7913" s="86">
        <v>25.11</v>
      </c>
      <c r="F7913" s="87">
        <v>29.11</v>
      </c>
      <c r="G7913" s="88">
        <f t="shared" si="1"/>
        <v>4</v>
      </c>
      <c r="H7913" s="89">
        <f t="shared" si="18"/>
        <v>0.1374098248</v>
      </c>
      <c r="I7913" s="78" t="s">
        <v>9006</v>
      </c>
      <c r="J7913" s="78" t="s">
        <v>69</v>
      </c>
      <c r="K7913" s="58">
        <f t="shared" si="17"/>
        <v>3</v>
      </c>
      <c r="L7913" s="91" t="str">
        <f t="shared" si="8"/>
        <v>Thu</v>
      </c>
      <c r="M7913" s="78" t="str">
        <f>IFERROR(VLOOKUP(A7913, Entries!A:B,2,false),"")</f>
        <v>SEGA</v>
      </c>
      <c r="N7913" s="23" t="str">
        <f>IFERROR(VLOOKUP(A7913, Entries!A:K,11,false),"")</f>
        <v/>
      </c>
    </row>
    <row r="7914">
      <c r="A7914" s="78" t="s">
        <v>2339</v>
      </c>
      <c r="B7914" s="78" t="s">
        <v>23</v>
      </c>
      <c r="C7914" s="85">
        <v>45810.0</v>
      </c>
      <c r="D7914" s="85">
        <v>45811.0</v>
      </c>
      <c r="E7914" s="86">
        <v>1.51</v>
      </c>
      <c r="F7914" s="87">
        <v>2.4</v>
      </c>
      <c r="G7914" s="88">
        <f t="shared" si="1"/>
        <v>0.89</v>
      </c>
      <c r="H7914" s="89">
        <f t="shared" si="18"/>
        <v>0.3708333333</v>
      </c>
      <c r="I7914" s="78" t="s">
        <v>9007</v>
      </c>
      <c r="J7914" s="78" t="s">
        <v>69</v>
      </c>
      <c r="K7914" s="58">
        <f t="shared" si="17"/>
        <v>1</v>
      </c>
      <c r="L7914" s="91" t="str">
        <f t="shared" si="8"/>
        <v>Tue</v>
      </c>
      <c r="M7914" s="78" t="str">
        <f>IFERROR(VLOOKUP(A7914, Entries!A:B,2,false),"")</f>
        <v>PlayWay</v>
      </c>
      <c r="N7914" s="23" t="str">
        <f>IFERROR(VLOOKUP(A7914, Entries!A:K,11,false),"")</f>
        <v/>
      </c>
    </row>
    <row r="7915">
      <c r="A7915" s="78" t="s">
        <v>2339</v>
      </c>
      <c r="B7915" s="78" t="s">
        <v>23</v>
      </c>
      <c r="C7915" s="85">
        <v>45811.0</v>
      </c>
      <c r="D7915" s="85">
        <v>45825.0</v>
      </c>
      <c r="E7915" s="86">
        <v>1.51</v>
      </c>
      <c r="F7915" s="87">
        <v>2.4</v>
      </c>
      <c r="G7915" s="88">
        <f t="shared" si="1"/>
        <v>0.89</v>
      </c>
      <c r="H7915" s="89">
        <f t="shared" si="18"/>
        <v>0.3708333333</v>
      </c>
      <c r="I7915" s="78" t="s">
        <v>9008</v>
      </c>
      <c r="J7915" s="78" t="s">
        <v>69</v>
      </c>
      <c r="K7915" s="58">
        <f t="shared" si="17"/>
        <v>14</v>
      </c>
      <c r="L7915" s="91" t="str">
        <f t="shared" si="8"/>
        <v>Tue</v>
      </c>
      <c r="M7915" s="78" t="str">
        <f>IFERROR(VLOOKUP(A7915, Entries!A:B,2,false),"")</f>
        <v>PlayWay</v>
      </c>
      <c r="N7915" s="23" t="str">
        <f>IFERROR(VLOOKUP(A7915, Entries!A:K,11,false),"")</f>
        <v/>
      </c>
    </row>
    <row r="7916">
      <c r="A7916" s="78" t="s">
        <v>8650</v>
      </c>
      <c r="B7916" s="78" t="s">
        <v>19</v>
      </c>
      <c r="C7916" s="85">
        <v>45813.0</v>
      </c>
      <c r="D7916" s="85">
        <v>45820.0</v>
      </c>
      <c r="E7916" s="86">
        <v>0.0</v>
      </c>
      <c r="F7916" s="87">
        <v>0.53</v>
      </c>
      <c r="G7916" s="88">
        <f t="shared" si="1"/>
        <v>0.53</v>
      </c>
      <c r="H7916" s="89">
        <f t="shared" si="18"/>
        <v>1</v>
      </c>
      <c r="I7916" s="78" t="s">
        <v>9009</v>
      </c>
      <c r="J7916" s="78" t="s">
        <v>69</v>
      </c>
      <c r="K7916" s="58">
        <f t="shared" si="17"/>
        <v>7</v>
      </c>
      <c r="L7916" s="91" t="str">
        <f t="shared" si="8"/>
        <v>Thu</v>
      </c>
      <c r="M7916" s="78" t="str">
        <f>IFERROR(VLOOKUP(A7916, Entries!A:B,2,false),"")</f>
        <v/>
      </c>
      <c r="N7916" s="23" t="str">
        <f>IFERROR(VLOOKUP(A7916, Entries!A:K,11,false),"")</f>
        <v/>
      </c>
    </row>
    <row r="7917">
      <c r="A7917" s="78" t="s">
        <v>8529</v>
      </c>
      <c r="B7917" s="78" t="s">
        <v>25</v>
      </c>
      <c r="C7917" s="85">
        <v>45813.0</v>
      </c>
      <c r="D7917" s="85">
        <v>45831.0</v>
      </c>
      <c r="E7917" s="86">
        <v>30.7</v>
      </c>
      <c r="F7917" s="87">
        <v>49.3</v>
      </c>
      <c r="G7917" s="88">
        <f t="shared" si="1"/>
        <v>18.6</v>
      </c>
      <c r="H7917" s="89">
        <f t="shared" si="18"/>
        <v>0.3772819473</v>
      </c>
      <c r="J7917" s="78" t="s">
        <v>69</v>
      </c>
      <c r="K7917" s="58">
        <f t="shared" si="17"/>
        <v>18</v>
      </c>
      <c r="L7917" s="91" t="str">
        <f t="shared" si="8"/>
        <v>Mon</v>
      </c>
      <c r="M7917" s="78" t="str">
        <f>IFERROR(VLOOKUP(A7917, Entries!A:B,2,false),"")</f>
        <v>SEGA</v>
      </c>
      <c r="N7917" s="23" t="str">
        <f>IFERROR(VLOOKUP(A7917, Entries!A:K,11,false),"")</f>
        <v/>
      </c>
    </row>
    <row r="7918">
      <c r="A7918" s="78" t="s">
        <v>9010</v>
      </c>
      <c r="B7918" s="78" t="s">
        <v>22</v>
      </c>
      <c r="C7918" s="85">
        <v>45813.0</v>
      </c>
      <c r="D7918" s="85">
        <v>45814.0</v>
      </c>
      <c r="E7918" s="86">
        <v>14.67</v>
      </c>
      <c r="F7918" s="87">
        <v>24.64</v>
      </c>
      <c r="G7918" s="88">
        <f t="shared" si="1"/>
        <v>9.97</v>
      </c>
      <c r="H7918" s="89">
        <f t="shared" si="18"/>
        <v>0.4046266234</v>
      </c>
      <c r="I7918" s="78" t="s">
        <v>9011</v>
      </c>
      <c r="J7918" s="78" t="s">
        <v>69</v>
      </c>
      <c r="K7918" s="58">
        <f t="shared" si="17"/>
        <v>1</v>
      </c>
      <c r="L7918" s="91" t="str">
        <f t="shared" si="8"/>
        <v>Fri</v>
      </c>
      <c r="M7918" s="78" t="str">
        <f>IFERROR(VLOOKUP(A7918, Entries!A:B,2,false),"")</f>
        <v/>
      </c>
      <c r="N7918" s="23" t="str">
        <f>IFERROR(VLOOKUP(A7918, Entries!A:K,11,false),"")</f>
        <v/>
      </c>
    </row>
    <row r="7919">
      <c r="A7919" s="78" t="s">
        <v>5817</v>
      </c>
      <c r="B7919" s="78" t="s">
        <v>35</v>
      </c>
      <c r="C7919" s="85">
        <v>45814.0</v>
      </c>
      <c r="D7919" s="85">
        <v>46158.0</v>
      </c>
      <c r="E7919" s="86">
        <v>23.18</v>
      </c>
      <c r="F7919" s="87">
        <v>23.92</v>
      </c>
      <c r="G7919" s="88">
        <f t="shared" si="1"/>
        <v>0.74</v>
      </c>
      <c r="H7919" s="89">
        <f t="shared" si="18"/>
        <v>0.03093645485</v>
      </c>
      <c r="I7919" s="78" t="s">
        <v>9012</v>
      </c>
      <c r="J7919" s="78" t="s">
        <v>69</v>
      </c>
      <c r="K7919" s="58">
        <f t="shared" si="17"/>
        <v>344</v>
      </c>
      <c r="L7919" s="91" t="str">
        <f t="shared" si="8"/>
        <v>Sat</v>
      </c>
      <c r="M7919" s="78" t="str">
        <f>IFERROR(VLOOKUP(A7919, Entries!A:B,2,false),"")</f>
        <v>IO Interactive</v>
      </c>
      <c r="N7919" s="23" t="str">
        <f>IFERROR(VLOOKUP(A7919, Entries!A:K,11,false),"")</f>
        <v/>
      </c>
    </row>
    <row r="7920">
      <c r="A7920" s="78" t="s">
        <v>9013</v>
      </c>
      <c r="B7920" s="78" t="s">
        <v>25</v>
      </c>
      <c r="C7920" s="85">
        <v>45816.0</v>
      </c>
      <c r="D7920" s="85">
        <v>45816.0</v>
      </c>
      <c r="E7920" s="86">
        <v>0.0</v>
      </c>
      <c r="F7920" s="87">
        <v>1.55</v>
      </c>
      <c r="G7920" s="88">
        <f t="shared" si="1"/>
        <v>1.55</v>
      </c>
      <c r="H7920" s="89">
        <f t="shared" si="18"/>
        <v>1</v>
      </c>
      <c r="I7920" s="78" t="s">
        <v>9014</v>
      </c>
      <c r="J7920" s="78" t="s">
        <v>69</v>
      </c>
      <c r="K7920" s="58">
        <f t="shared" si="17"/>
        <v>0</v>
      </c>
      <c r="L7920" s="91" t="str">
        <f t="shared" si="8"/>
        <v>Sun</v>
      </c>
      <c r="M7920" s="78" t="str">
        <f>IFERROR(VLOOKUP(A7920, Entries!A:B,2,false),"")</f>
        <v/>
      </c>
      <c r="N7920" s="23" t="str">
        <f>IFERROR(VLOOKUP(A7920, Entries!A:K,11,false),"")</f>
        <v/>
      </c>
    </row>
    <row r="7921">
      <c r="A7921" s="78" t="s">
        <v>8885</v>
      </c>
      <c r="B7921" s="78" t="s">
        <v>25</v>
      </c>
      <c r="C7921" s="85">
        <v>45818.0</v>
      </c>
      <c r="D7921" s="85">
        <v>45826.0</v>
      </c>
      <c r="E7921" s="86">
        <v>11.04</v>
      </c>
      <c r="F7921" s="87">
        <v>14.25</v>
      </c>
      <c r="G7921" s="88">
        <f t="shared" si="1"/>
        <v>3.21</v>
      </c>
      <c r="H7921" s="89">
        <f t="shared" si="18"/>
        <v>0.2252631579</v>
      </c>
      <c r="I7921" s="78" t="s">
        <v>9015</v>
      </c>
      <c r="J7921" s="78" t="s">
        <v>69</v>
      </c>
      <c r="K7921" s="58">
        <f t="shared" si="17"/>
        <v>8</v>
      </c>
      <c r="L7921" s="91" t="str">
        <f t="shared" si="8"/>
        <v>Wed</v>
      </c>
      <c r="M7921" s="78" t="str">
        <f>IFERROR(VLOOKUP(A7921, Entries!A:B,2,false),"")</f>
        <v/>
      </c>
      <c r="N7921" s="23" t="str">
        <f>IFERROR(VLOOKUP(A7921, Entries!A:K,11,false),"")</f>
        <v/>
      </c>
    </row>
    <row r="7922">
      <c r="A7922" s="78" t="s">
        <v>5100</v>
      </c>
      <c r="B7922" s="78" t="s">
        <v>21</v>
      </c>
      <c r="C7922" s="85">
        <v>45814.0</v>
      </c>
      <c r="D7922" s="85">
        <v>46007.0</v>
      </c>
      <c r="E7922" s="86">
        <v>23.9</v>
      </c>
      <c r="F7922" s="87">
        <v>25.0</v>
      </c>
      <c r="G7922" s="88">
        <f t="shared" si="1"/>
        <v>1.1</v>
      </c>
      <c r="H7922" s="89">
        <f t="shared" si="18"/>
        <v>0.044</v>
      </c>
      <c r="I7922" s="78" t="s">
        <v>9016</v>
      </c>
      <c r="J7922" s="78" t="s">
        <v>69</v>
      </c>
      <c r="K7922" s="58">
        <f t="shared" si="17"/>
        <v>193</v>
      </c>
      <c r="L7922" s="91" t="str">
        <f t="shared" si="8"/>
        <v>Tue</v>
      </c>
      <c r="M7922" s="78" t="str">
        <f>IFERROR(VLOOKUP(A7922, Entries!A:B,2,false),"")</f>
        <v>Activision</v>
      </c>
      <c r="N7922" s="23" t="str">
        <f>IFERROR(VLOOKUP(A7922, Entries!A:K,11,false),"")</f>
        <v/>
      </c>
    </row>
    <row r="7923">
      <c r="A7923" s="78" t="s">
        <v>8861</v>
      </c>
      <c r="B7923" s="78" t="s">
        <v>37</v>
      </c>
      <c r="C7923" s="85">
        <v>45819.0</v>
      </c>
      <c r="D7923" s="85">
        <v>45821.0</v>
      </c>
      <c r="E7923" s="86">
        <v>16.25</v>
      </c>
      <c r="F7923" s="87">
        <v>18.27</v>
      </c>
      <c r="G7923" s="88">
        <f t="shared" si="1"/>
        <v>2.02</v>
      </c>
      <c r="H7923" s="89">
        <f t="shared" si="18"/>
        <v>0.1105637657</v>
      </c>
      <c r="I7923" s="78" t="s">
        <v>9017</v>
      </c>
      <c r="J7923" s="78" t="s">
        <v>69</v>
      </c>
      <c r="K7923" s="58">
        <f t="shared" si="17"/>
        <v>2</v>
      </c>
      <c r="L7923" s="91" t="str">
        <f t="shared" si="8"/>
        <v>Fri</v>
      </c>
      <c r="M7923" s="78" t="str">
        <f>IFERROR(VLOOKUP(A7923, Entries!A:B,2,false),"")</f>
        <v/>
      </c>
      <c r="N7923" s="23" t="str">
        <f>IFERROR(VLOOKUP(A7923, Entries!A:K,11,false),"")</f>
        <v/>
      </c>
    </row>
    <row r="7924">
      <c r="A7924" s="78" t="s">
        <v>9018</v>
      </c>
      <c r="B7924" s="78" t="s">
        <v>17</v>
      </c>
      <c r="C7924" s="85">
        <v>45819.0</v>
      </c>
      <c r="D7924" s="85">
        <v>45890.0</v>
      </c>
      <c r="E7924" s="86">
        <v>43.88</v>
      </c>
      <c r="F7924" s="87">
        <v>43.73</v>
      </c>
      <c r="G7924" s="88">
        <f t="shared" si="1"/>
        <v>-0.15</v>
      </c>
      <c r="H7924" s="89">
        <f t="shared" si="18"/>
        <v>-0.003430139492</v>
      </c>
      <c r="I7924" s="78" t="s">
        <v>9019</v>
      </c>
      <c r="J7924" s="78" t="s">
        <v>69</v>
      </c>
      <c r="K7924" s="58">
        <f t="shared" si="17"/>
        <v>71</v>
      </c>
      <c r="L7924" s="91" t="str">
        <f t="shared" si="8"/>
        <v>Thu</v>
      </c>
      <c r="M7924" s="78" t="str">
        <f>IFERROR(VLOOKUP(A7924, Entries!A:B,2,false),"")</f>
        <v>Game Science</v>
      </c>
      <c r="N7924" s="23" t="str">
        <f>IFERROR(VLOOKUP(A7924, Entries!A:K,11,false),"")</f>
        <v/>
      </c>
      <c r="Q7924" s="78" t="s">
        <v>7796</v>
      </c>
    </row>
    <row r="7925">
      <c r="A7925" s="78" t="s">
        <v>5106</v>
      </c>
      <c r="B7925" s="78" t="s">
        <v>32</v>
      </c>
      <c r="C7925" s="85">
        <v>45821.0</v>
      </c>
      <c r="D7925" s="85">
        <v>45821.0</v>
      </c>
      <c r="E7925" s="86">
        <v>3.34</v>
      </c>
      <c r="F7925" s="87">
        <v>4.14</v>
      </c>
      <c r="G7925" s="88">
        <f t="shared" si="1"/>
        <v>0.8</v>
      </c>
      <c r="H7925" s="89">
        <f t="shared" si="18"/>
        <v>0.193236715</v>
      </c>
      <c r="I7925" s="78" t="s">
        <v>9020</v>
      </c>
      <c r="J7925" s="78" t="s">
        <v>69</v>
      </c>
      <c r="K7925" s="58">
        <f t="shared" si="17"/>
        <v>0</v>
      </c>
      <c r="L7925" s="91" t="str">
        <f t="shared" si="8"/>
        <v>Fri</v>
      </c>
      <c r="M7925" s="78" t="str">
        <f>IFERROR(VLOOKUP(A7925, Entries!A:B,2,false),"")</f>
        <v>Triternion</v>
      </c>
      <c r="N7925" s="23" t="str">
        <f>IFERROR(VLOOKUP(A7925, Entries!A:K,11,false),"")</f>
        <v/>
      </c>
    </row>
    <row r="7926">
      <c r="A7926" s="78" t="s">
        <v>5106</v>
      </c>
      <c r="B7926" s="78" t="s">
        <v>32</v>
      </c>
      <c r="C7926" s="85">
        <v>45821.0</v>
      </c>
      <c r="D7926" s="85">
        <v>45822.0</v>
      </c>
      <c r="E7926" s="86">
        <v>3.34</v>
      </c>
      <c r="F7926" s="87">
        <v>3.55</v>
      </c>
      <c r="G7926" s="88">
        <f t="shared" si="1"/>
        <v>0.21</v>
      </c>
      <c r="H7926" s="89">
        <f t="shared" si="18"/>
        <v>0.05915492958</v>
      </c>
      <c r="I7926" s="78" t="s">
        <v>9021</v>
      </c>
      <c r="J7926" s="78" t="s">
        <v>69</v>
      </c>
      <c r="K7926" s="58">
        <f t="shared" si="17"/>
        <v>1</v>
      </c>
      <c r="L7926" s="91" t="str">
        <f t="shared" si="8"/>
        <v>Sat</v>
      </c>
      <c r="N7926" s="23" t="str">
        <f>IFERROR(VLOOKUP(A7926, Entries!A:K,11,false),"")</f>
        <v/>
      </c>
    </row>
    <row r="7927">
      <c r="A7927" s="78" t="s">
        <v>8861</v>
      </c>
      <c r="B7927" s="78" t="s">
        <v>37</v>
      </c>
      <c r="C7927" s="85">
        <v>45821.0</v>
      </c>
      <c r="D7927" s="85">
        <v>45823.0</v>
      </c>
      <c r="E7927" s="86">
        <v>16.75</v>
      </c>
      <c r="F7927" s="87">
        <v>18.27</v>
      </c>
      <c r="G7927" s="88">
        <f t="shared" si="1"/>
        <v>1.52</v>
      </c>
      <c r="H7927" s="89">
        <f t="shared" si="18"/>
        <v>0.08319649699</v>
      </c>
      <c r="I7927" s="78" t="s">
        <v>9022</v>
      </c>
      <c r="J7927" s="78" t="s">
        <v>69</v>
      </c>
      <c r="K7927" s="58">
        <f t="shared" si="17"/>
        <v>2</v>
      </c>
      <c r="L7927" s="91" t="str">
        <f t="shared" si="8"/>
        <v>Sun</v>
      </c>
      <c r="M7927" s="78" t="str">
        <f>IFERROR(VLOOKUP(A7927, Entries!A:B,2,false),"")</f>
        <v/>
      </c>
      <c r="N7927" s="23" t="str">
        <f>IFERROR(VLOOKUP(A7927, Entries!A:K,11,false),"")</f>
        <v/>
      </c>
    </row>
    <row r="7928">
      <c r="A7928" s="78" t="s">
        <v>8529</v>
      </c>
      <c r="B7928" s="78" t="s">
        <v>18</v>
      </c>
      <c r="C7928" s="85">
        <v>45822.0</v>
      </c>
      <c r="D7928" s="85">
        <v>45830.0</v>
      </c>
      <c r="E7928" s="86">
        <v>40.4</v>
      </c>
      <c r="F7928" s="87">
        <v>49.15</v>
      </c>
      <c r="G7928" s="88">
        <f t="shared" si="1"/>
        <v>8.75</v>
      </c>
      <c r="H7928" s="89">
        <f t="shared" si="18"/>
        <v>0.1780264496</v>
      </c>
      <c r="I7928" s="78" t="s">
        <v>9023</v>
      </c>
      <c r="J7928" s="78" t="s">
        <v>69</v>
      </c>
      <c r="K7928" s="58">
        <f t="shared" si="17"/>
        <v>8</v>
      </c>
      <c r="L7928" s="91" t="str">
        <f t="shared" si="8"/>
        <v>Sun</v>
      </c>
      <c r="M7928" s="78" t="str">
        <f>IFERROR(VLOOKUP(A7928, Entries!A:B,2,false),"")</f>
        <v>SEGA</v>
      </c>
      <c r="N7928" s="23" t="str">
        <f>IFERROR(VLOOKUP(A7928, Entries!A:K,11,false),"")</f>
        <v/>
      </c>
    </row>
    <row r="7929">
      <c r="A7929" s="78" t="s">
        <v>8529</v>
      </c>
      <c r="B7929" s="78" t="s">
        <v>18</v>
      </c>
      <c r="C7929" s="85">
        <v>45822.0</v>
      </c>
      <c r="D7929" s="85">
        <v>45963.0</v>
      </c>
      <c r="E7929" s="86">
        <v>40.39</v>
      </c>
      <c r="F7929" s="87">
        <v>39.93</v>
      </c>
      <c r="G7929" s="88">
        <f t="shared" si="1"/>
        <v>-0.46</v>
      </c>
      <c r="H7929" s="89">
        <f t="shared" si="18"/>
        <v>-0.01152016028</v>
      </c>
      <c r="I7929" s="78" t="s">
        <v>9024</v>
      </c>
      <c r="J7929" s="78" t="s">
        <v>69</v>
      </c>
      <c r="K7929" s="58">
        <f t="shared" si="17"/>
        <v>141</v>
      </c>
      <c r="L7929" s="91" t="str">
        <f t="shared" si="8"/>
        <v>Sun</v>
      </c>
      <c r="M7929" s="78" t="str">
        <f>IFERROR(VLOOKUP(A7929, Entries!A:B,2,false),"")</f>
        <v>SEGA</v>
      </c>
      <c r="N7929" s="23" t="str">
        <f>IFERROR(VLOOKUP(A7929, Entries!A:K,11,false),"")</f>
        <v/>
      </c>
    </row>
    <row r="7930">
      <c r="A7930" s="78" t="s">
        <v>8861</v>
      </c>
      <c r="B7930" s="78" t="s">
        <v>37</v>
      </c>
      <c r="C7930" s="85">
        <v>45823.0</v>
      </c>
      <c r="D7930" s="85">
        <v>45823.0</v>
      </c>
      <c r="E7930" s="86">
        <v>16.58</v>
      </c>
      <c r="F7930" s="87">
        <v>18.27</v>
      </c>
      <c r="G7930" s="88">
        <f t="shared" si="1"/>
        <v>1.69</v>
      </c>
      <c r="H7930" s="89">
        <f t="shared" si="18"/>
        <v>0.09250136836</v>
      </c>
      <c r="I7930" s="78" t="s">
        <v>9025</v>
      </c>
      <c r="J7930" s="78" t="s">
        <v>69</v>
      </c>
      <c r="K7930" s="58">
        <f t="shared" si="17"/>
        <v>0</v>
      </c>
      <c r="L7930" s="91" t="str">
        <f t="shared" si="8"/>
        <v>Sun</v>
      </c>
      <c r="M7930" s="78" t="str">
        <f>IFERROR(VLOOKUP(A7930, Entries!A:B,2,false),"")</f>
        <v/>
      </c>
      <c r="N7930" s="23" t="str">
        <f>IFERROR(VLOOKUP(A7930, Entries!A:K,11,false),"")</f>
        <v/>
      </c>
    </row>
    <row r="7931">
      <c r="A7931" s="78" t="s">
        <v>8861</v>
      </c>
      <c r="B7931" s="78" t="s">
        <v>37</v>
      </c>
      <c r="C7931" s="85">
        <v>45824.0</v>
      </c>
      <c r="D7931" s="85">
        <v>45826.0</v>
      </c>
      <c r="E7931" s="86">
        <v>17.0</v>
      </c>
      <c r="F7931" s="87">
        <v>18.27</v>
      </c>
      <c r="G7931" s="88">
        <f t="shared" si="1"/>
        <v>1.27</v>
      </c>
      <c r="H7931" s="89">
        <f t="shared" si="18"/>
        <v>0.06951286262</v>
      </c>
      <c r="I7931" s="78" t="s">
        <v>9026</v>
      </c>
      <c r="J7931" s="78" t="s">
        <v>69</v>
      </c>
      <c r="K7931" s="58">
        <f t="shared" si="17"/>
        <v>2</v>
      </c>
      <c r="L7931" s="91" t="str">
        <f t="shared" si="8"/>
        <v>Wed</v>
      </c>
      <c r="M7931" s="78" t="str">
        <f>IFERROR(VLOOKUP(A7931, Entries!A:B,2,false),"")</f>
        <v/>
      </c>
      <c r="N7931" s="23" t="str">
        <f>IFERROR(VLOOKUP(A7931, Entries!A:K,11,false),"")</f>
        <v/>
      </c>
    </row>
    <row r="7932">
      <c r="A7932" s="78" t="s">
        <v>8861</v>
      </c>
      <c r="B7932" s="78" t="s">
        <v>37</v>
      </c>
      <c r="C7932" s="85">
        <v>45824.0</v>
      </c>
      <c r="D7932" s="85">
        <v>45826.0</v>
      </c>
      <c r="E7932" s="86">
        <v>17.0</v>
      </c>
      <c r="F7932" s="87">
        <v>18.27</v>
      </c>
      <c r="G7932" s="88">
        <f t="shared" si="1"/>
        <v>1.27</v>
      </c>
      <c r="H7932" s="89">
        <f t="shared" si="18"/>
        <v>0.06951286262</v>
      </c>
      <c r="I7932" s="78" t="s">
        <v>9027</v>
      </c>
      <c r="J7932" s="78" t="s">
        <v>69</v>
      </c>
      <c r="K7932" s="58">
        <f t="shared" si="17"/>
        <v>2</v>
      </c>
      <c r="L7932" s="91" t="str">
        <f t="shared" si="8"/>
        <v>Wed</v>
      </c>
      <c r="M7932" s="78" t="str">
        <f>IFERROR(VLOOKUP(A7932, Entries!A:B,2,false),"")</f>
        <v/>
      </c>
      <c r="N7932" s="23" t="str">
        <f>IFERROR(VLOOKUP(A7932, Entries!A:K,11,false),"")</f>
        <v/>
      </c>
    </row>
    <row r="7933">
      <c r="A7933" s="78" t="s">
        <v>9028</v>
      </c>
      <c r="B7933" s="78" t="s">
        <v>23</v>
      </c>
      <c r="C7933" s="85">
        <v>45825.0</v>
      </c>
      <c r="D7933" s="85">
        <v>45835.0</v>
      </c>
      <c r="E7933" s="86">
        <v>20.87</v>
      </c>
      <c r="F7933" s="87">
        <v>21.1</v>
      </c>
      <c r="G7933" s="88">
        <f t="shared" si="1"/>
        <v>0.23</v>
      </c>
      <c r="H7933" s="89">
        <f t="shared" si="18"/>
        <v>0.01090047393</v>
      </c>
      <c r="I7933" s="78" t="s">
        <v>9029</v>
      </c>
      <c r="J7933" s="78" t="s">
        <v>69</v>
      </c>
      <c r="K7933" s="58">
        <f t="shared" si="17"/>
        <v>10</v>
      </c>
      <c r="L7933" s="91" t="str">
        <f t="shared" si="8"/>
        <v>Fri</v>
      </c>
      <c r="M7933" s="78" t="str">
        <f>IFERROR(VLOOKUP(A7933, Entries!A:B,2,false),"")</f>
        <v/>
      </c>
      <c r="N7933" s="23" t="str">
        <f>IFERROR(VLOOKUP(A7933, Entries!A:K,11,false),"")</f>
        <v/>
      </c>
    </row>
    <row r="7934">
      <c r="A7934" s="78" t="s">
        <v>8861</v>
      </c>
      <c r="B7934" s="78" t="s">
        <v>37</v>
      </c>
      <c r="C7934" s="85">
        <v>45826.0</v>
      </c>
      <c r="D7934" s="85">
        <v>45826.0</v>
      </c>
      <c r="E7934" s="86">
        <v>16.66</v>
      </c>
      <c r="F7934" s="87">
        <v>18.27</v>
      </c>
      <c r="G7934" s="88">
        <f t="shared" si="1"/>
        <v>1.61</v>
      </c>
      <c r="H7934" s="89">
        <f t="shared" si="18"/>
        <v>0.08812260536</v>
      </c>
      <c r="I7934" s="78" t="s">
        <v>9030</v>
      </c>
      <c r="J7934" s="78" t="s">
        <v>69</v>
      </c>
      <c r="K7934" s="58">
        <f t="shared" si="17"/>
        <v>0</v>
      </c>
      <c r="L7934" s="91" t="str">
        <f t="shared" si="8"/>
        <v>Wed</v>
      </c>
      <c r="M7934" s="78" t="str">
        <f>IFERROR(VLOOKUP(A7934, Entries!A:B,2,false),"")</f>
        <v/>
      </c>
      <c r="N7934" s="23" t="str">
        <f>IFERROR(VLOOKUP(A7934, Entries!A:K,11,false),"")</f>
        <v/>
      </c>
    </row>
    <row r="7935">
      <c r="A7935" s="78" t="s">
        <v>5768</v>
      </c>
      <c r="B7935" s="78" t="s">
        <v>23</v>
      </c>
      <c r="C7935" s="85">
        <v>45826.0</v>
      </c>
      <c r="D7935" s="85">
        <v>45850.0</v>
      </c>
      <c r="E7935" s="86">
        <v>14.39</v>
      </c>
      <c r="F7935" s="87">
        <v>19.44</v>
      </c>
      <c r="G7935" s="88">
        <f t="shared" si="1"/>
        <v>5.05</v>
      </c>
      <c r="H7935" s="89">
        <f t="shared" si="18"/>
        <v>0.2597736626</v>
      </c>
      <c r="I7935" s="78" t="s">
        <v>9031</v>
      </c>
      <c r="J7935" s="78" t="s">
        <v>69</v>
      </c>
      <c r="K7935" s="58">
        <f t="shared" si="17"/>
        <v>24</v>
      </c>
      <c r="L7935" s="91" t="str">
        <f t="shared" si="8"/>
        <v>Sat</v>
      </c>
      <c r="M7935" s="78" t="str">
        <f>IFERROR(VLOOKUP(A7935, Entries!A:B,2,false),"")</f>
        <v>10 Chambers</v>
      </c>
      <c r="N7935" s="23" t="str">
        <f>IFERROR(VLOOKUP(A7935, Entries!A:K,11,false),"")</f>
        <v/>
      </c>
    </row>
    <row r="7936">
      <c r="A7936" s="78" t="s">
        <v>8861</v>
      </c>
      <c r="B7936" s="78" t="s">
        <v>37</v>
      </c>
      <c r="C7936" s="85">
        <v>45826.0</v>
      </c>
      <c r="D7936" s="85">
        <v>45826.0</v>
      </c>
      <c r="E7936" s="86">
        <v>17.0</v>
      </c>
      <c r="F7936" s="87">
        <v>18.27</v>
      </c>
      <c r="G7936" s="88">
        <f t="shared" si="1"/>
        <v>1.27</v>
      </c>
      <c r="H7936" s="89">
        <f t="shared" si="18"/>
        <v>0.06951286262</v>
      </c>
      <c r="I7936" s="78" t="s">
        <v>9032</v>
      </c>
      <c r="J7936" s="78" t="s">
        <v>69</v>
      </c>
      <c r="K7936" s="58">
        <f t="shared" si="17"/>
        <v>0</v>
      </c>
      <c r="L7936" s="91" t="str">
        <f t="shared" si="8"/>
        <v>Wed</v>
      </c>
      <c r="M7936" s="78" t="str">
        <f>IFERROR(VLOOKUP(A7936, Entries!A:B,2,false),"")</f>
        <v/>
      </c>
      <c r="N7936" s="23" t="str">
        <f>IFERROR(VLOOKUP(A7936, Entries!A:K,11,false),"")</f>
        <v/>
      </c>
    </row>
    <row r="7937">
      <c r="A7937" s="78" t="s">
        <v>8861</v>
      </c>
      <c r="B7937" s="78" t="s">
        <v>37</v>
      </c>
      <c r="C7937" s="85">
        <v>45826.0</v>
      </c>
      <c r="D7937" s="85">
        <v>45830.0</v>
      </c>
      <c r="E7937" s="86">
        <v>16.83</v>
      </c>
      <c r="F7937" s="87">
        <v>18.27</v>
      </c>
      <c r="G7937" s="88">
        <f t="shared" si="1"/>
        <v>1.44</v>
      </c>
      <c r="H7937" s="89">
        <f t="shared" si="18"/>
        <v>0.07881773399</v>
      </c>
      <c r="I7937" s="78" t="s">
        <v>9033</v>
      </c>
      <c r="J7937" s="78" t="s">
        <v>69</v>
      </c>
      <c r="K7937" s="58">
        <f t="shared" si="17"/>
        <v>4</v>
      </c>
      <c r="L7937" s="91" t="str">
        <f t="shared" si="8"/>
        <v>Sun</v>
      </c>
      <c r="M7937" s="78" t="str">
        <f>IFERROR(VLOOKUP(A7937, Entries!A:B,2,false),"")</f>
        <v/>
      </c>
      <c r="N7937" s="23" t="str">
        <f>IFERROR(VLOOKUP(A7937, Entries!A:K,11,false),"")</f>
        <v/>
      </c>
    </row>
    <row r="7938">
      <c r="A7938" s="78" t="s">
        <v>9034</v>
      </c>
      <c r="B7938" s="78" t="s">
        <v>22</v>
      </c>
      <c r="C7938" s="85">
        <v>45827.0</v>
      </c>
      <c r="D7938" s="25"/>
      <c r="E7938" s="86">
        <v>8.11</v>
      </c>
      <c r="F7938" s="88"/>
      <c r="G7938" s="88">
        <f t="shared" si="1"/>
        <v>-8.11</v>
      </c>
      <c r="H7938" s="89" t="str">
        <f t="shared" si="18"/>
        <v/>
      </c>
      <c r="I7938" s="78" t="s">
        <v>9035</v>
      </c>
      <c r="J7938" s="78" t="s">
        <v>1129</v>
      </c>
      <c r="K7938" s="58" t="str">
        <f t="shared" si="17"/>
        <v/>
      </c>
      <c r="L7938" s="91" t="str">
        <f t="shared" si="8"/>
        <v/>
      </c>
      <c r="M7938" s="78" t="str">
        <f>IFERROR(VLOOKUP(A7938, Entries!A:B,2,false),"")</f>
        <v/>
      </c>
      <c r="N7938" s="23" t="str">
        <f>IFERROR(VLOOKUP(A7938, Entries!A:K,11,false),"")</f>
        <v/>
      </c>
    </row>
    <row r="7939">
      <c r="A7939" s="78" t="s">
        <v>2466</v>
      </c>
      <c r="B7939" s="78" t="s">
        <v>18</v>
      </c>
      <c r="C7939" s="85">
        <v>45828.0</v>
      </c>
      <c r="D7939" s="85">
        <v>45828.0</v>
      </c>
      <c r="E7939" s="86">
        <v>9.51</v>
      </c>
      <c r="F7939" s="87">
        <v>12.21</v>
      </c>
      <c r="G7939" s="88">
        <f t="shared" si="1"/>
        <v>2.7</v>
      </c>
      <c r="H7939" s="89">
        <f t="shared" si="18"/>
        <v>0.2211302211</v>
      </c>
      <c r="I7939" s="78" t="s">
        <v>9036</v>
      </c>
      <c r="J7939" s="78" t="s">
        <v>69</v>
      </c>
      <c r="K7939" s="58">
        <f t="shared" si="17"/>
        <v>0</v>
      </c>
      <c r="L7939" s="91" t="str">
        <f t="shared" si="8"/>
        <v>Fri</v>
      </c>
      <c r="M7939" s="78" t="str">
        <f>IFERROR(VLOOKUP(A7939, Entries!A:B,2,false),"")</f>
        <v>Bethesda Softworks</v>
      </c>
      <c r="N7939" s="23" t="str">
        <f>IFERROR(VLOOKUP(A7939, Entries!A:K,11,false),"")</f>
        <v/>
      </c>
      <c r="Q7939" s="78" t="s">
        <v>4333</v>
      </c>
    </row>
    <row r="7940">
      <c r="A7940" s="78" t="s">
        <v>2466</v>
      </c>
      <c r="B7940" s="78" t="s">
        <v>18</v>
      </c>
      <c r="C7940" s="85">
        <v>45828.0</v>
      </c>
      <c r="D7940" s="85">
        <v>45839.0</v>
      </c>
      <c r="E7940" s="86">
        <v>9.51</v>
      </c>
      <c r="F7940" s="87">
        <v>11.49</v>
      </c>
      <c r="G7940" s="88">
        <f t="shared" si="1"/>
        <v>1.98</v>
      </c>
      <c r="H7940" s="89">
        <f t="shared" si="18"/>
        <v>0.1723237598</v>
      </c>
      <c r="I7940" s="78" t="s">
        <v>9037</v>
      </c>
      <c r="J7940" s="78" t="s">
        <v>69</v>
      </c>
      <c r="K7940" s="58">
        <f t="shared" si="17"/>
        <v>11</v>
      </c>
      <c r="L7940" s="91" t="str">
        <f t="shared" si="8"/>
        <v>Tue</v>
      </c>
      <c r="M7940" s="78" t="str">
        <f>IFERROR(VLOOKUP(A7940, Entries!A:B,2,false),"")</f>
        <v>Bethesda Softworks</v>
      </c>
      <c r="N7940" s="23" t="str">
        <f>IFERROR(VLOOKUP(A7940, Entries!A:K,11,false),"")</f>
        <v/>
      </c>
      <c r="Q7940" s="78" t="s">
        <v>9038</v>
      </c>
    </row>
    <row r="7941">
      <c r="A7941" s="78" t="s">
        <v>1786</v>
      </c>
      <c r="B7941" s="78" t="s">
        <v>19</v>
      </c>
      <c r="C7941" s="85">
        <v>45828.0</v>
      </c>
      <c r="D7941" s="85">
        <v>45829.0</v>
      </c>
      <c r="E7941" s="86">
        <v>11.4</v>
      </c>
      <c r="F7941" s="87">
        <v>11.75</v>
      </c>
      <c r="G7941" s="88">
        <f t="shared" si="1"/>
        <v>0.35</v>
      </c>
      <c r="H7941" s="89">
        <f t="shared" si="18"/>
        <v>0.02978723404</v>
      </c>
      <c r="I7941" s="78" t="s">
        <v>9039</v>
      </c>
      <c r="J7941" s="78" t="s">
        <v>69</v>
      </c>
      <c r="K7941" s="58">
        <f t="shared" si="17"/>
        <v>1</v>
      </c>
      <c r="L7941" s="91" t="str">
        <f t="shared" si="8"/>
        <v>Sat</v>
      </c>
      <c r="M7941" s="78" t="str">
        <f>IFERROR(VLOOKUP(A7941, Entries!A:B,2,false),"")</f>
        <v>Bethesda Softworks</v>
      </c>
      <c r="N7941" s="23" t="str">
        <f>IFERROR(VLOOKUP(A7941, Entries!A:K,11,false),"")</f>
        <v/>
      </c>
    </row>
    <row r="7942">
      <c r="A7942" s="78" t="s">
        <v>9040</v>
      </c>
      <c r="B7942" s="78" t="s">
        <v>19</v>
      </c>
      <c r="C7942" s="85">
        <v>45828.0</v>
      </c>
      <c r="D7942" s="85">
        <v>45829.0</v>
      </c>
      <c r="E7942" s="86">
        <v>11.39</v>
      </c>
      <c r="F7942" s="87">
        <v>15.18</v>
      </c>
      <c r="G7942" s="88">
        <f t="shared" si="1"/>
        <v>3.79</v>
      </c>
      <c r="H7942" s="89">
        <f t="shared" si="18"/>
        <v>0.2496706192</v>
      </c>
      <c r="I7942" s="78" t="s">
        <v>9041</v>
      </c>
      <c r="J7942" s="78" t="s">
        <v>69</v>
      </c>
      <c r="K7942" s="58">
        <f t="shared" si="17"/>
        <v>1</v>
      </c>
      <c r="L7942" s="91" t="str">
        <f t="shared" si="8"/>
        <v>Sat</v>
      </c>
      <c r="M7942" s="78" t="str">
        <f>IFERROR(VLOOKUP(A7942, Entries!A:B,2,false),"")</f>
        <v/>
      </c>
      <c r="N7942" s="23" t="str">
        <f>IFERROR(VLOOKUP(A7942, Entries!A:K,11,false),"")</f>
        <v/>
      </c>
    </row>
    <row r="7943">
      <c r="A7943" s="78" t="s">
        <v>8696</v>
      </c>
      <c r="B7943" s="78" t="s">
        <v>19</v>
      </c>
      <c r="C7943" s="85">
        <v>45828.0</v>
      </c>
      <c r="D7943" s="85">
        <v>45829.0</v>
      </c>
      <c r="E7943" s="86">
        <v>44.27</v>
      </c>
      <c r="F7943" s="87">
        <v>54.81</v>
      </c>
      <c r="G7943" s="88">
        <f t="shared" si="1"/>
        <v>10.54</v>
      </c>
      <c r="H7943" s="89">
        <f t="shared" si="18"/>
        <v>0.1923006751</v>
      </c>
      <c r="I7943" s="78" t="s">
        <v>9042</v>
      </c>
      <c r="J7943" s="78" t="s">
        <v>69</v>
      </c>
      <c r="K7943" s="58">
        <f t="shared" si="17"/>
        <v>1</v>
      </c>
      <c r="L7943" s="91" t="str">
        <f t="shared" si="8"/>
        <v>Sat</v>
      </c>
      <c r="M7943" s="78" t="str">
        <f>IFERROR(VLOOKUP(A7943, Entries!A:B,2,false),"")</f>
        <v/>
      </c>
      <c r="N7943" s="23" t="str">
        <f>IFERROR(VLOOKUP(A7943, Entries!A:K,11,false),"")</f>
        <v/>
      </c>
      <c r="Q7943" s="78" t="s">
        <v>9043</v>
      </c>
    </row>
    <row r="7944">
      <c r="A7944" s="78" t="s">
        <v>8865</v>
      </c>
      <c r="B7944" s="78" t="s">
        <v>19</v>
      </c>
      <c r="C7944" s="85">
        <v>45828.0</v>
      </c>
      <c r="D7944" s="85">
        <v>45833.0</v>
      </c>
      <c r="E7944" s="86">
        <v>35.54</v>
      </c>
      <c r="F7944" s="87">
        <v>36.84</v>
      </c>
      <c r="G7944" s="88">
        <f t="shared" si="1"/>
        <v>1.3</v>
      </c>
      <c r="H7944" s="89">
        <f t="shared" si="18"/>
        <v>0.03528773073</v>
      </c>
      <c r="I7944" s="78" t="s">
        <v>8993</v>
      </c>
      <c r="J7944" s="78" t="s">
        <v>69</v>
      </c>
      <c r="K7944" s="58">
        <f t="shared" si="17"/>
        <v>5</v>
      </c>
      <c r="L7944" s="91" t="str">
        <f t="shared" si="8"/>
        <v>Wed</v>
      </c>
      <c r="M7944" s="78" t="str">
        <f>IFERROR(VLOOKUP(A7944, Entries!A:B,2,false),"")</f>
        <v>Bethesda Softworks</v>
      </c>
      <c r="N7944" s="23" t="str">
        <f>IFERROR(VLOOKUP(A7944, Entries!A:K,11,false),"")</f>
        <v/>
      </c>
    </row>
    <row r="7945">
      <c r="A7945" s="78" t="s">
        <v>8865</v>
      </c>
      <c r="B7945" s="78" t="s">
        <v>19</v>
      </c>
      <c r="C7945" s="85">
        <v>45828.0</v>
      </c>
      <c r="D7945" s="85">
        <v>45829.0</v>
      </c>
      <c r="E7945" s="86">
        <v>30.48</v>
      </c>
      <c r="F7945" s="87">
        <v>36.78</v>
      </c>
      <c r="G7945" s="88">
        <f t="shared" si="1"/>
        <v>6.3</v>
      </c>
      <c r="H7945" s="89">
        <f t="shared" si="18"/>
        <v>0.1712887439</v>
      </c>
      <c r="I7945" s="78" t="s">
        <v>9044</v>
      </c>
      <c r="J7945" s="78" t="s">
        <v>69</v>
      </c>
      <c r="K7945" s="58">
        <f t="shared" si="17"/>
        <v>1</v>
      </c>
      <c r="L7945" s="91" t="str">
        <f t="shared" si="8"/>
        <v>Sat</v>
      </c>
      <c r="M7945" s="78" t="str">
        <f>IFERROR(VLOOKUP(A7945, Entries!A:B,2,false),"")</f>
        <v>Bethesda Softworks</v>
      </c>
      <c r="N7945" s="23" t="str">
        <f>IFERROR(VLOOKUP(A7945, Entries!A:K,11,false),"")</f>
        <v/>
      </c>
    </row>
    <row r="7946">
      <c r="A7946" s="78" t="s">
        <v>9045</v>
      </c>
      <c r="B7946" s="78" t="s">
        <v>19</v>
      </c>
      <c r="C7946" s="85">
        <v>45828.0</v>
      </c>
      <c r="D7946" s="85">
        <v>45830.0</v>
      </c>
      <c r="E7946" s="86">
        <v>0.0</v>
      </c>
      <c r="F7946" s="87">
        <v>2.16</v>
      </c>
      <c r="G7946" s="88">
        <f t="shared" si="1"/>
        <v>2.16</v>
      </c>
      <c r="H7946" s="89">
        <f t="shared" si="18"/>
        <v>1</v>
      </c>
      <c r="I7946" s="78" t="s">
        <v>9046</v>
      </c>
      <c r="J7946" s="78" t="s">
        <v>69</v>
      </c>
      <c r="K7946" s="58">
        <f t="shared" si="17"/>
        <v>2</v>
      </c>
      <c r="L7946" s="91" t="str">
        <f t="shared" si="8"/>
        <v>Sun</v>
      </c>
      <c r="M7946" s="78" t="str">
        <f>IFERROR(VLOOKUP(A7946, Entries!A:B,2,false),"")</f>
        <v/>
      </c>
      <c r="N7946" s="23" t="str">
        <f>IFERROR(VLOOKUP(A7946, Entries!A:K,11,false),"")</f>
        <v/>
      </c>
    </row>
    <row r="7947">
      <c r="A7947" s="78" t="s">
        <v>9047</v>
      </c>
      <c r="B7947" s="78" t="s">
        <v>18</v>
      </c>
      <c r="C7947" s="85">
        <v>45828.0</v>
      </c>
      <c r="D7947" s="85">
        <v>45953.0</v>
      </c>
      <c r="E7947" s="86">
        <v>34.89</v>
      </c>
      <c r="F7947" s="87">
        <v>38.77</v>
      </c>
      <c r="G7947" s="88">
        <f t="shared" si="1"/>
        <v>3.88</v>
      </c>
      <c r="H7947" s="89">
        <f t="shared" si="18"/>
        <v>0.1000773794</v>
      </c>
      <c r="I7947" s="78" t="s">
        <v>9048</v>
      </c>
      <c r="J7947" s="78" t="s">
        <v>69</v>
      </c>
      <c r="K7947" s="58">
        <f t="shared" si="17"/>
        <v>125</v>
      </c>
      <c r="L7947" s="91" t="str">
        <f t="shared" si="8"/>
        <v>Thu</v>
      </c>
      <c r="M7947" s="78" t="str">
        <f>IFERROR(VLOOKUP(A7947, Entries!A:B,2,false),"")</f>
        <v/>
      </c>
      <c r="N7947" s="23" t="str">
        <f>IFERROR(VLOOKUP(A7947, Entries!A:K,11,false),"")</f>
        <v/>
      </c>
    </row>
    <row r="7948">
      <c r="A7948" s="78" t="s">
        <v>9049</v>
      </c>
      <c r="B7948" s="78" t="s">
        <v>21</v>
      </c>
      <c r="C7948" s="85">
        <v>45828.0</v>
      </c>
      <c r="D7948" s="85">
        <v>45845.0</v>
      </c>
      <c r="E7948" s="86">
        <v>45.74</v>
      </c>
      <c r="F7948" s="87">
        <v>53.38</v>
      </c>
      <c r="G7948" s="88">
        <f t="shared" si="1"/>
        <v>7.64</v>
      </c>
      <c r="H7948" s="89">
        <f t="shared" si="18"/>
        <v>0.1431247658</v>
      </c>
      <c r="I7948" s="78" t="s">
        <v>9050</v>
      </c>
      <c r="J7948" s="78" t="s">
        <v>69</v>
      </c>
      <c r="K7948" s="58">
        <f t="shared" si="17"/>
        <v>17</v>
      </c>
      <c r="L7948" s="91" t="str">
        <f t="shared" si="8"/>
        <v>Mon</v>
      </c>
      <c r="M7948" s="78" t="str">
        <f>IFERROR(VLOOKUP(A7948, Entries!A:B,2,false),"")</f>
        <v/>
      </c>
      <c r="N7948" s="23" t="str">
        <f>IFERROR(VLOOKUP(A7948, Entries!A:K,11,false),"")</f>
        <v/>
      </c>
      <c r="Q7948" s="78" t="s">
        <v>9051</v>
      </c>
    </row>
    <row r="7949">
      <c r="A7949" s="78" t="s">
        <v>8865</v>
      </c>
      <c r="B7949" s="78" t="s">
        <v>25</v>
      </c>
      <c r="C7949" s="85">
        <v>45829.0</v>
      </c>
      <c r="D7949" s="85">
        <v>45844.0</v>
      </c>
      <c r="E7949" s="86">
        <v>29.97</v>
      </c>
      <c r="F7949" s="87">
        <v>36.98</v>
      </c>
      <c r="G7949" s="88">
        <f t="shared" si="1"/>
        <v>7.01</v>
      </c>
      <c r="H7949" s="89">
        <f t="shared" si="18"/>
        <v>0.1895619254</v>
      </c>
      <c r="I7949" s="78" t="s">
        <v>9052</v>
      </c>
      <c r="J7949" s="78" t="s">
        <v>69</v>
      </c>
      <c r="K7949" s="58">
        <f t="shared" si="17"/>
        <v>15</v>
      </c>
      <c r="L7949" s="91" t="str">
        <f t="shared" si="8"/>
        <v>Sun</v>
      </c>
      <c r="M7949" s="78" t="str">
        <f>IFERROR(VLOOKUP(A7949, Entries!A:B,2,false),"")</f>
        <v>Bethesda Softworks</v>
      </c>
      <c r="N7949" s="23" t="str">
        <f>IFERROR(VLOOKUP(A7949, Entries!A:K,11,false),"")</f>
        <v/>
      </c>
    </row>
    <row r="7950">
      <c r="A7950" s="78" t="s">
        <v>8865</v>
      </c>
      <c r="B7950" s="78" t="s">
        <v>25</v>
      </c>
      <c r="C7950" s="85">
        <v>45829.0</v>
      </c>
      <c r="D7950" s="85">
        <v>45848.0</v>
      </c>
      <c r="E7950" s="86">
        <v>29.97</v>
      </c>
      <c r="F7950" s="87">
        <v>37.02</v>
      </c>
      <c r="G7950" s="88">
        <f t="shared" si="1"/>
        <v>7.05</v>
      </c>
      <c r="H7950" s="89">
        <f t="shared" si="18"/>
        <v>0.1904376013</v>
      </c>
      <c r="I7950" s="78" t="s">
        <v>9053</v>
      </c>
      <c r="J7950" s="78" t="s">
        <v>69</v>
      </c>
      <c r="K7950" s="58">
        <f t="shared" si="17"/>
        <v>19</v>
      </c>
      <c r="L7950" s="91" t="str">
        <f t="shared" si="8"/>
        <v>Thu</v>
      </c>
      <c r="M7950" s="78" t="str">
        <f>IFERROR(VLOOKUP(A7950, Entries!A:B,2,false),"")</f>
        <v>Bethesda Softworks</v>
      </c>
      <c r="N7950" s="23" t="str">
        <f>IFERROR(VLOOKUP(A7950, Entries!A:K,11,false),"")</f>
        <v/>
      </c>
    </row>
    <row r="7951">
      <c r="A7951" s="78" t="s">
        <v>8865</v>
      </c>
      <c r="B7951" s="78" t="s">
        <v>25</v>
      </c>
      <c r="C7951" s="85">
        <v>45829.0</v>
      </c>
      <c r="D7951" s="85">
        <v>45851.0</v>
      </c>
      <c r="E7951" s="86">
        <v>29.97</v>
      </c>
      <c r="F7951" s="87">
        <v>36.96</v>
      </c>
      <c r="G7951" s="88">
        <f t="shared" si="1"/>
        <v>6.99</v>
      </c>
      <c r="H7951" s="89">
        <f t="shared" si="18"/>
        <v>0.1891233766</v>
      </c>
      <c r="I7951" s="78" t="s">
        <v>9054</v>
      </c>
      <c r="J7951" s="78" t="s">
        <v>69</v>
      </c>
      <c r="K7951" s="58">
        <f t="shared" si="17"/>
        <v>22</v>
      </c>
      <c r="L7951" s="91" t="str">
        <f t="shared" si="8"/>
        <v>Sun</v>
      </c>
      <c r="M7951" s="78" t="str">
        <f>IFERROR(VLOOKUP(A7951, Entries!A:B,2,false),"")</f>
        <v>Bethesda Softworks</v>
      </c>
      <c r="N7951" s="23" t="str">
        <f>IFERROR(VLOOKUP(A7951, Entries!A:K,11,false),"")</f>
        <v/>
      </c>
    </row>
    <row r="7952">
      <c r="A7952" s="78" t="s">
        <v>8865</v>
      </c>
      <c r="B7952" s="78" t="s">
        <v>25</v>
      </c>
      <c r="C7952" s="85">
        <v>45829.0</v>
      </c>
      <c r="D7952" s="85">
        <v>45851.0</v>
      </c>
      <c r="E7952" s="86">
        <v>29.97</v>
      </c>
      <c r="F7952" s="87">
        <v>36.95</v>
      </c>
      <c r="G7952" s="88">
        <f t="shared" si="1"/>
        <v>6.98</v>
      </c>
      <c r="H7952" s="89">
        <f t="shared" si="18"/>
        <v>0.1889039242</v>
      </c>
      <c r="I7952" s="78" t="s">
        <v>9055</v>
      </c>
      <c r="J7952" s="78" t="s">
        <v>69</v>
      </c>
      <c r="K7952" s="58">
        <f t="shared" si="17"/>
        <v>22</v>
      </c>
      <c r="L7952" s="91" t="str">
        <f t="shared" si="8"/>
        <v>Sun</v>
      </c>
      <c r="M7952" s="78" t="str">
        <f>IFERROR(VLOOKUP(A7952, Entries!A:B,2,false),"")</f>
        <v>Bethesda Softworks</v>
      </c>
      <c r="N7952" s="23" t="str">
        <f>IFERROR(VLOOKUP(A7952, Entries!A:K,11,false),"")</f>
        <v/>
      </c>
    </row>
    <row r="7953">
      <c r="A7953" s="78" t="s">
        <v>8865</v>
      </c>
      <c r="B7953" s="78" t="s">
        <v>25</v>
      </c>
      <c r="C7953" s="85">
        <v>45829.0</v>
      </c>
      <c r="D7953" s="85">
        <v>45852.0</v>
      </c>
      <c r="E7953" s="86">
        <v>29.98</v>
      </c>
      <c r="F7953" s="87">
        <v>36.95</v>
      </c>
      <c r="G7953" s="88">
        <f t="shared" si="1"/>
        <v>6.97</v>
      </c>
      <c r="H7953" s="89">
        <f t="shared" si="18"/>
        <v>0.1886332882</v>
      </c>
      <c r="I7953" s="78" t="s">
        <v>9056</v>
      </c>
      <c r="J7953" s="78" t="s">
        <v>69</v>
      </c>
      <c r="K7953" s="58">
        <f t="shared" si="17"/>
        <v>23</v>
      </c>
      <c r="L7953" s="91" t="str">
        <f t="shared" si="8"/>
        <v>Mon</v>
      </c>
      <c r="M7953" s="78" t="str">
        <f>IFERROR(VLOOKUP(A7953, Entries!A:B,2,false),"")</f>
        <v>Bethesda Softworks</v>
      </c>
      <c r="N7953" s="23" t="str">
        <f>IFERROR(VLOOKUP(A7953, Entries!A:K,11,false),"")</f>
        <v/>
      </c>
    </row>
    <row r="7954">
      <c r="A7954" s="78" t="s">
        <v>8861</v>
      </c>
      <c r="B7954" s="78" t="s">
        <v>37</v>
      </c>
      <c r="C7954" s="85">
        <v>45830.0</v>
      </c>
      <c r="D7954" s="85">
        <v>45860.0</v>
      </c>
      <c r="E7954" s="86">
        <v>17.0</v>
      </c>
      <c r="F7954" s="87">
        <v>17.18</v>
      </c>
      <c r="G7954" s="88">
        <f t="shared" si="1"/>
        <v>0.18</v>
      </c>
      <c r="H7954" s="89">
        <f t="shared" si="18"/>
        <v>0.01047729919</v>
      </c>
      <c r="I7954" s="78" t="s">
        <v>9057</v>
      </c>
      <c r="J7954" s="78" t="s">
        <v>69</v>
      </c>
      <c r="K7954" s="58">
        <f t="shared" si="17"/>
        <v>30</v>
      </c>
      <c r="L7954" s="91" t="str">
        <f t="shared" si="8"/>
        <v>Tue</v>
      </c>
      <c r="M7954" s="78" t="str">
        <f>IFERROR(VLOOKUP(A7954, Entries!A:B,2,false),"")</f>
        <v/>
      </c>
      <c r="N7954" s="23" t="str">
        <f>IFERROR(VLOOKUP(A7954, Entries!A:K,11,false),"")</f>
        <v/>
      </c>
    </row>
    <row r="7955">
      <c r="A7955" s="78" t="s">
        <v>8006</v>
      </c>
      <c r="B7955" s="78" t="s">
        <v>22</v>
      </c>
      <c r="C7955" s="85">
        <v>45834.0</v>
      </c>
      <c r="D7955" s="85">
        <v>45976.0</v>
      </c>
      <c r="E7955" s="86">
        <v>13.48</v>
      </c>
      <c r="F7955" s="87">
        <v>15.09</v>
      </c>
      <c r="G7955" s="88">
        <f t="shared" si="1"/>
        <v>1.61</v>
      </c>
      <c r="H7955" s="89">
        <f t="shared" si="18"/>
        <v>0.1066931743</v>
      </c>
      <c r="I7955" s="78" t="s">
        <v>9058</v>
      </c>
      <c r="J7955" s="78" t="s">
        <v>69</v>
      </c>
      <c r="K7955" s="58">
        <f t="shared" si="17"/>
        <v>142</v>
      </c>
      <c r="L7955" s="91" t="str">
        <f t="shared" si="8"/>
        <v>Sat</v>
      </c>
      <c r="M7955" s="78" t="str">
        <f>IFERROR(VLOOKUP(A7955, Entries!A:B,2,false),"")</f>
        <v>North Beach</v>
      </c>
      <c r="N7955" s="23" t="str">
        <f>IFERROR(VLOOKUP(A7955, Entries!A:K,11,false),"")</f>
        <v/>
      </c>
    </row>
    <row r="7956">
      <c r="A7956" s="78" t="s">
        <v>9059</v>
      </c>
      <c r="B7956" s="78" t="s">
        <v>21</v>
      </c>
      <c r="C7956" s="85">
        <v>45836.0</v>
      </c>
      <c r="D7956" s="85">
        <v>45906.0</v>
      </c>
      <c r="E7956" s="86">
        <v>13.74</v>
      </c>
      <c r="F7956" s="87">
        <v>15.74</v>
      </c>
      <c r="G7956" s="88">
        <f t="shared" si="1"/>
        <v>2</v>
      </c>
      <c r="H7956" s="89">
        <f t="shared" si="18"/>
        <v>0.127064803</v>
      </c>
      <c r="I7956" s="78" t="s">
        <v>9060</v>
      </c>
      <c r="J7956" s="78" t="s">
        <v>69</v>
      </c>
      <c r="K7956" s="58">
        <f t="shared" si="17"/>
        <v>70</v>
      </c>
      <c r="L7956" s="91" t="str">
        <f t="shared" si="8"/>
        <v>Sat</v>
      </c>
      <c r="M7956" s="78" t="str">
        <f>IFERROR(VLOOKUP(A7956, Entries!A:B,2,false),"")</f>
        <v/>
      </c>
      <c r="N7956" s="23" t="str">
        <f>IFERROR(VLOOKUP(A7956, Entries!A:K,11,false),"")</f>
        <v/>
      </c>
    </row>
    <row r="7957">
      <c r="A7957" s="78" t="s">
        <v>9059</v>
      </c>
      <c r="B7957" s="78" t="s">
        <v>21</v>
      </c>
      <c r="C7957" s="85">
        <v>45836.0</v>
      </c>
      <c r="D7957" s="85">
        <v>45908.0</v>
      </c>
      <c r="E7957" s="86">
        <v>13.74</v>
      </c>
      <c r="F7957" s="87">
        <v>15.74</v>
      </c>
      <c r="G7957" s="88">
        <f t="shared" si="1"/>
        <v>2</v>
      </c>
      <c r="H7957" s="89">
        <f t="shared" si="18"/>
        <v>0.127064803</v>
      </c>
      <c r="I7957" s="78" t="s">
        <v>9061</v>
      </c>
      <c r="J7957" s="78" t="s">
        <v>69</v>
      </c>
      <c r="K7957" s="58">
        <f t="shared" si="17"/>
        <v>72</v>
      </c>
      <c r="L7957" s="91" t="str">
        <f t="shared" si="8"/>
        <v>Mon</v>
      </c>
      <c r="M7957" s="78" t="str">
        <f>IFERROR(VLOOKUP(A7957, Entries!A:B,2,false),"")</f>
        <v/>
      </c>
      <c r="N7957" s="23" t="str">
        <f>IFERROR(VLOOKUP(A7957, Entries!A:K,11,false),"")</f>
        <v/>
      </c>
    </row>
    <row r="7958">
      <c r="A7958" s="78" t="s">
        <v>2466</v>
      </c>
      <c r="B7958" s="78" t="s">
        <v>18</v>
      </c>
      <c r="C7958" s="85">
        <v>45840.0</v>
      </c>
      <c r="D7958" s="85">
        <v>45840.0</v>
      </c>
      <c r="E7958" s="86">
        <v>9.66</v>
      </c>
      <c r="F7958" s="87">
        <v>11.49</v>
      </c>
      <c r="G7958" s="88">
        <f t="shared" si="1"/>
        <v>1.83</v>
      </c>
      <c r="H7958" s="89">
        <f t="shared" si="18"/>
        <v>0.1592689295</v>
      </c>
      <c r="I7958" s="78" t="s">
        <v>9062</v>
      </c>
      <c r="J7958" s="78" t="s">
        <v>69</v>
      </c>
      <c r="K7958" s="58">
        <f t="shared" si="17"/>
        <v>0</v>
      </c>
      <c r="L7958" s="91" t="str">
        <f t="shared" si="8"/>
        <v>Wed</v>
      </c>
      <c r="M7958" s="78" t="str">
        <f>IFERROR(VLOOKUP(A7958, Entries!A:B,2,false),"")</f>
        <v>Bethesda Softworks</v>
      </c>
      <c r="N7958" s="23" t="str">
        <f>IFERROR(VLOOKUP(A7958, Entries!A:K,11,false),"")</f>
        <v/>
      </c>
    </row>
    <row r="7959">
      <c r="A7959" s="78" t="s">
        <v>2466</v>
      </c>
      <c r="B7959" s="78" t="s">
        <v>18</v>
      </c>
      <c r="C7959" s="85">
        <v>45840.0</v>
      </c>
      <c r="D7959" s="85">
        <v>45842.0</v>
      </c>
      <c r="E7959" s="86">
        <v>9.66</v>
      </c>
      <c r="F7959" s="87">
        <v>11.49</v>
      </c>
      <c r="G7959" s="88">
        <f t="shared" si="1"/>
        <v>1.83</v>
      </c>
      <c r="H7959" s="89">
        <f t="shared" si="18"/>
        <v>0.1592689295</v>
      </c>
      <c r="I7959" s="78" t="s">
        <v>9063</v>
      </c>
      <c r="J7959" s="78" t="s">
        <v>69</v>
      </c>
      <c r="K7959" s="58">
        <f t="shared" si="17"/>
        <v>2</v>
      </c>
      <c r="L7959" s="91" t="str">
        <f t="shared" si="8"/>
        <v>Fri</v>
      </c>
      <c r="M7959" s="78" t="str">
        <f>IFERROR(VLOOKUP(A7959, Entries!A:B,2,false),"")</f>
        <v>Bethesda Softworks</v>
      </c>
      <c r="N7959" s="23" t="str">
        <f>IFERROR(VLOOKUP(A7959, Entries!A:K,11,false),"")</f>
        <v/>
      </c>
    </row>
    <row r="7960">
      <c r="A7960" s="78" t="s">
        <v>2466</v>
      </c>
      <c r="B7960" s="78" t="s">
        <v>18</v>
      </c>
      <c r="C7960" s="85">
        <v>45842.0</v>
      </c>
      <c r="D7960" s="85">
        <v>45842.0</v>
      </c>
      <c r="E7960" s="86">
        <v>9.59</v>
      </c>
      <c r="F7960" s="87">
        <v>11.49</v>
      </c>
      <c r="G7960" s="88">
        <f t="shared" si="1"/>
        <v>1.9</v>
      </c>
      <c r="H7960" s="89">
        <f t="shared" si="18"/>
        <v>0.1653611836</v>
      </c>
      <c r="I7960" s="78" t="s">
        <v>9064</v>
      </c>
      <c r="J7960" s="78" t="s">
        <v>69</v>
      </c>
      <c r="K7960" s="58">
        <f t="shared" si="17"/>
        <v>0</v>
      </c>
      <c r="L7960" s="91" t="str">
        <f t="shared" si="8"/>
        <v>Fri</v>
      </c>
      <c r="M7960" s="78" t="str">
        <f>IFERROR(VLOOKUP(A7960, Entries!A:B,2,false),"")</f>
        <v>Bethesda Softworks</v>
      </c>
      <c r="N7960" s="23" t="str">
        <f>IFERROR(VLOOKUP(A7960, Entries!A:K,11,false),"")</f>
        <v/>
      </c>
    </row>
    <row r="7961">
      <c r="A7961" s="78" t="s">
        <v>2466</v>
      </c>
      <c r="B7961" s="78" t="s">
        <v>18</v>
      </c>
      <c r="C7961" s="85">
        <v>45842.0</v>
      </c>
      <c r="D7961" s="85">
        <v>45842.0</v>
      </c>
      <c r="E7961" s="86">
        <v>9.59</v>
      </c>
      <c r="F7961" s="87">
        <v>11.49</v>
      </c>
      <c r="G7961" s="88">
        <f t="shared" si="1"/>
        <v>1.9</v>
      </c>
      <c r="H7961" s="89">
        <f t="shared" si="18"/>
        <v>0.1653611836</v>
      </c>
      <c r="I7961" s="78" t="s">
        <v>9065</v>
      </c>
      <c r="J7961" s="78" t="s">
        <v>69</v>
      </c>
      <c r="K7961" s="58">
        <f t="shared" si="17"/>
        <v>0</v>
      </c>
      <c r="L7961" s="91" t="str">
        <f t="shared" si="8"/>
        <v>Fri</v>
      </c>
      <c r="M7961" s="78" t="str">
        <f>IFERROR(VLOOKUP(A7961, Entries!A:B,2,false),"")</f>
        <v>Bethesda Softworks</v>
      </c>
      <c r="N7961" s="23" t="str">
        <f>IFERROR(VLOOKUP(A7961, Entries!A:K,11,false),"")</f>
        <v/>
      </c>
    </row>
    <row r="7962">
      <c r="A7962" s="78" t="s">
        <v>2466</v>
      </c>
      <c r="B7962" s="78" t="s">
        <v>18</v>
      </c>
      <c r="C7962" s="85">
        <v>45842.0</v>
      </c>
      <c r="D7962" s="85">
        <v>45868.0</v>
      </c>
      <c r="E7962" s="86">
        <v>9.59</v>
      </c>
      <c r="F7962" s="87">
        <v>11.96</v>
      </c>
      <c r="G7962" s="88">
        <f t="shared" si="1"/>
        <v>2.37</v>
      </c>
      <c r="H7962" s="89">
        <f t="shared" si="18"/>
        <v>0.1981605351</v>
      </c>
      <c r="I7962" s="78" t="s">
        <v>9066</v>
      </c>
      <c r="J7962" s="78" t="s">
        <v>69</v>
      </c>
      <c r="K7962" s="58">
        <f t="shared" si="17"/>
        <v>26</v>
      </c>
      <c r="L7962" s="91" t="str">
        <f t="shared" si="8"/>
        <v>Wed</v>
      </c>
      <c r="M7962" s="78" t="str">
        <f>IFERROR(VLOOKUP(A7962, Entries!A:B,2,false),"")</f>
        <v>Bethesda Softworks</v>
      </c>
      <c r="N7962" s="23" t="str">
        <f>IFERROR(VLOOKUP(A7962, Entries!A:K,11,false),"")</f>
        <v/>
      </c>
    </row>
    <row r="7963">
      <c r="A7963" s="78" t="s">
        <v>9067</v>
      </c>
      <c r="B7963" s="78" t="s">
        <v>25</v>
      </c>
      <c r="C7963" s="85">
        <v>45851.0</v>
      </c>
      <c r="D7963" s="85">
        <v>45851.0</v>
      </c>
      <c r="E7963" s="86">
        <v>0.0</v>
      </c>
      <c r="F7963" s="87">
        <v>2.58</v>
      </c>
      <c r="G7963" s="88">
        <f t="shared" si="1"/>
        <v>2.58</v>
      </c>
      <c r="H7963" s="89">
        <f t="shared" si="18"/>
        <v>1</v>
      </c>
      <c r="I7963" s="78" t="s">
        <v>9068</v>
      </c>
      <c r="J7963" s="78" t="s">
        <v>69</v>
      </c>
      <c r="K7963" s="58">
        <f t="shared" si="17"/>
        <v>0</v>
      </c>
      <c r="L7963" s="91" t="str">
        <f t="shared" si="8"/>
        <v>Sun</v>
      </c>
      <c r="M7963" s="78" t="str">
        <f>IFERROR(VLOOKUP(A7963, Entries!A:B,2,false),"")</f>
        <v/>
      </c>
      <c r="N7963" s="23" t="str">
        <f>IFERROR(VLOOKUP(A7963, Entries!A:K,11,false),"")</f>
        <v/>
      </c>
    </row>
    <row r="7964">
      <c r="A7964" s="78" t="s">
        <v>8865</v>
      </c>
      <c r="B7964" s="78" t="s">
        <v>25</v>
      </c>
      <c r="C7964" s="85">
        <v>45852.0</v>
      </c>
      <c r="D7964" s="85">
        <v>45852.0</v>
      </c>
      <c r="E7964" s="86">
        <v>33.85</v>
      </c>
      <c r="F7964" s="87">
        <v>37.4</v>
      </c>
      <c r="G7964" s="88">
        <f t="shared" si="1"/>
        <v>3.55</v>
      </c>
      <c r="H7964" s="89">
        <f t="shared" si="18"/>
        <v>0.0949197861</v>
      </c>
      <c r="I7964" s="78" t="s">
        <v>9069</v>
      </c>
      <c r="J7964" s="78" t="s">
        <v>69</v>
      </c>
      <c r="K7964" s="58">
        <f t="shared" si="17"/>
        <v>0</v>
      </c>
      <c r="L7964" s="91" t="str">
        <f t="shared" si="8"/>
        <v>Mon</v>
      </c>
      <c r="M7964" s="78" t="str">
        <f>IFERROR(VLOOKUP(A7964, Entries!A:B,2,false),"")</f>
        <v>Bethesda Softworks</v>
      </c>
      <c r="N7964" s="23" t="str">
        <f>IFERROR(VLOOKUP(A7964, Entries!A:K,11,false),"")</f>
        <v/>
      </c>
    </row>
    <row r="7965">
      <c r="A7965" s="78" t="s">
        <v>9010</v>
      </c>
      <c r="B7965" s="78" t="s">
        <v>22</v>
      </c>
      <c r="C7965" s="85">
        <v>45856.0</v>
      </c>
      <c r="D7965" s="85">
        <v>45856.0</v>
      </c>
      <c r="E7965" s="86">
        <v>14.42</v>
      </c>
      <c r="F7965" s="87">
        <v>26.22</v>
      </c>
      <c r="G7965" s="88">
        <f t="shared" si="1"/>
        <v>11.8</v>
      </c>
      <c r="H7965" s="89">
        <f t="shared" si="18"/>
        <v>0.4500381388</v>
      </c>
      <c r="I7965" s="78" t="s">
        <v>9070</v>
      </c>
      <c r="J7965" s="78" t="s">
        <v>69</v>
      </c>
      <c r="K7965" s="58">
        <f t="shared" si="17"/>
        <v>0</v>
      </c>
      <c r="L7965" s="91" t="str">
        <f t="shared" si="8"/>
        <v>Fri</v>
      </c>
      <c r="M7965" s="78" t="str">
        <f>IFERROR(VLOOKUP(A7965, Entries!A:B,2,false),"")</f>
        <v/>
      </c>
      <c r="N7965" s="23" t="str">
        <f>IFERROR(VLOOKUP(A7965, Entries!A:K,11,false),"")</f>
        <v/>
      </c>
    </row>
    <row r="7966">
      <c r="A7966" s="78" t="s">
        <v>9000</v>
      </c>
      <c r="B7966" s="78" t="s">
        <v>22</v>
      </c>
      <c r="C7966" s="85">
        <v>45856.0</v>
      </c>
      <c r="D7966" s="85">
        <v>45887.0</v>
      </c>
      <c r="E7966" s="86">
        <v>8.04</v>
      </c>
      <c r="F7966" s="87">
        <v>13.59</v>
      </c>
      <c r="G7966" s="88">
        <f t="shared" si="1"/>
        <v>5.55</v>
      </c>
      <c r="H7966" s="89">
        <f t="shared" si="18"/>
        <v>0.408388521</v>
      </c>
      <c r="I7966" s="78" t="s">
        <v>9071</v>
      </c>
      <c r="J7966" s="78" t="s">
        <v>69</v>
      </c>
      <c r="K7966" s="58">
        <f t="shared" si="17"/>
        <v>31</v>
      </c>
      <c r="L7966" s="91" t="str">
        <f t="shared" si="8"/>
        <v>Mon</v>
      </c>
      <c r="M7966" s="78" t="str">
        <f>IFERROR(VLOOKUP(A7966, Entries!A:B,2,false),"")</f>
        <v/>
      </c>
      <c r="N7966" s="23" t="str">
        <f>IFERROR(VLOOKUP(A7966, Entries!A:K,11,false),"")</f>
        <v/>
      </c>
    </row>
    <row r="7967">
      <c r="A7967" s="78" t="s">
        <v>8778</v>
      </c>
      <c r="B7967" s="78" t="s">
        <v>22</v>
      </c>
      <c r="C7967" s="85">
        <v>45856.0</v>
      </c>
      <c r="D7967" s="85">
        <v>45857.0</v>
      </c>
      <c r="E7967" s="86">
        <v>4.44</v>
      </c>
      <c r="F7967" s="87">
        <v>5.76</v>
      </c>
      <c r="G7967" s="88">
        <f t="shared" si="1"/>
        <v>1.32</v>
      </c>
      <c r="H7967" s="89">
        <f t="shared" si="18"/>
        <v>0.2291666667</v>
      </c>
      <c r="I7967" s="78" t="s">
        <v>9072</v>
      </c>
      <c r="J7967" s="78" t="s">
        <v>69</v>
      </c>
      <c r="K7967" s="58">
        <f t="shared" si="17"/>
        <v>1</v>
      </c>
      <c r="L7967" s="91" t="str">
        <f t="shared" si="8"/>
        <v>Sat</v>
      </c>
      <c r="M7967" s="78" t="str">
        <f>IFERROR(VLOOKUP(A7967, Entries!A:B,2,false),"")</f>
        <v/>
      </c>
      <c r="N7967" s="23" t="str">
        <f>IFERROR(VLOOKUP(A7967, Entries!A:K,11,false),"")</f>
        <v/>
      </c>
    </row>
    <row r="7968">
      <c r="A7968" s="78" t="s">
        <v>8739</v>
      </c>
      <c r="B7968" s="78" t="s">
        <v>22</v>
      </c>
      <c r="C7968" s="85">
        <v>45856.0</v>
      </c>
      <c r="D7968" s="85">
        <v>45857.0</v>
      </c>
      <c r="E7968" s="86">
        <v>9.57</v>
      </c>
      <c r="F7968" s="87">
        <v>14.89</v>
      </c>
      <c r="G7968" s="88">
        <f t="shared" si="1"/>
        <v>5.32</v>
      </c>
      <c r="H7968" s="89">
        <f t="shared" si="18"/>
        <v>0.3572867696</v>
      </c>
      <c r="I7968" s="78" t="s">
        <v>9073</v>
      </c>
      <c r="J7968" s="78" t="s">
        <v>69</v>
      </c>
      <c r="K7968" s="58">
        <f t="shared" si="17"/>
        <v>1</v>
      </c>
      <c r="L7968" s="91" t="str">
        <f t="shared" si="8"/>
        <v>Sat</v>
      </c>
      <c r="M7968" s="78" t="str">
        <f>IFERROR(VLOOKUP(A7968, Entries!A:B,2,false),"")</f>
        <v/>
      </c>
      <c r="N7968" s="23" t="str">
        <f>IFERROR(VLOOKUP(A7968, Entries!A:K,11,false),"")</f>
        <v/>
      </c>
    </row>
    <row r="7969">
      <c r="A7969" s="78" t="s">
        <v>8778</v>
      </c>
      <c r="B7969" s="78" t="s">
        <v>22</v>
      </c>
      <c r="C7969" s="85">
        <v>45857.0</v>
      </c>
      <c r="D7969" s="85">
        <v>45858.0</v>
      </c>
      <c r="E7969" s="86">
        <v>4.43</v>
      </c>
      <c r="F7969" s="87">
        <v>5.76</v>
      </c>
      <c r="G7969" s="88">
        <f t="shared" si="1"/>
        <v>1.33</v>
      </c>
      <c r="H7969" s="89">
        <f t="shared" si="18"/>
        <v>0.2309027778</v>
      </c>
      <c r="I7969" s="78" t="s">
        <v>9074</v>
      </c>
      <c r="J7969" s="78" t="s">
        <v>69</v>
      </c>
      <c r="K7969" s="58">
        <f t="shared" si="17"/>
        <v>1</v>
      </c>
      <c r="L7969" s="91" t="str">
        <f t="shared" si="8"/>
        <v>Sun</v>
      </c>
      <c r="M7969" s="78" t="str">
        <f>IFERROR(VLOOKUP(A7969, Entries!A:B,2,false),"")</f>
        <v/>
      </c>
      <c r="N7969" s="23" t="str">
        <f>IFERROR(VLOOKUP(A7969, Entries!A:K,11,false),"")</f>
        <v/>
      </c>
    </row>
    <row r="7970">
      <c r="A7970" s="78" t="s">
        <v>8778</v>
      </c>
      <c r="B7970" s="78" t="s">
        <v>22</v>
      </c>
      <c r="C7970" s="85">
        <v>45857.0</v>
      </c>
      <c r="D7970" s="85">
        <v>45858.0</v>
      </c>
      <c r="E7970" s="86">
        <v>4.42</v>
      </c>
      <c r="F7970" s="87">
        <v>5.76</v>
      </c>
      <c r="G7970" s="88">
        <f t="shared" si="1"/>
        <v>1.34</v>
      </c>
      <c r="H7970" s="89">
        <f t="shared" si="18"/>
        <v>0.2326388889</v>
      </c>
      <c r="I7970" s="78" t="s">
        <v>9075</v>
      </c>
      <c r="J7970" s="78" t="s">
        <v>69</v>
      </c>
      <c r="K7970" s="58">
        <f t="shared" si="17"/>
        <v>1</v>
      </c>
      <c r="L7970" s="91" t="str">
        <f t="shared" si="8"/>
        <v>Sun</v>
      </c>
      <c r="M7970" s="78" t="str">
        <f>IFERROR(VLOOKUP(A7970, Entries!A:B,2,false),"")</f>
        <v/>
      </c>
      <c r="N7970" s="23" t="str">
        <f>IFERROR(VLOOKUP(A7970, Entries!A:K,11,false),"")</f>
        <v/>
      </c>
    </row>
    <row r="7971">
      <c r="A7971" s="78" t="s">
        <v>9076</v>
      </c>
      <c r="B7971" s="78" t="s">
        <v>18</v>
      </c>
      <c r="C7971" s="85">
        <v>45858.0</v>
      </c>
      <c r="D7971" s="85">
        <v>46110.0</v>
      </c>
      <c r="E7971" s="86">
        <v>6.05</v>
      </c>
      <c r="F7971" s="87">
        <v>6.76</v>
      </c>
      <c r="G7971" s="88">
        <f t="shared" si="1"/>
        <v>0.71</v>
      </c>
      <c r="H7971" s="89">
        <f t="shared" si="18"/>
        <v>0.1050295858</v>
      </c>
      <c r="I7971" s="78" t="s">
        <v>9077</v>
      </c>
      <c r="J7971" s="78" t="s">
        <v>69</v>
      </c>
      <c r="K7971" s="58">
        <f t="shared" si="17"/>
        <v>252</v>
      </c>
      <c r="L7971" s="91" t="str">
        <f t="shared" si="8"/>
        <v>Sun</v>
      </c>
      <c r="M7971" s="78" t="str">
        <f>IFERROR(VLOOKUP(A7971, Entries!A:B,2,false),"")</f>
        <v/>
      </c>
      <c r="N7971" s="23" t="str">
        <f>IFERROR(VLOOKUP(A7971, Entries!A:K,11,false),"")</f>
        <v/>
      </c>
    </row>
    <row r="7972">
      <c r="A7972" s="78" t="s">
        <v>9076</v>
      </c>
      <c r="B7972" s="78" t="s">
        <v>18</v>
      </c>
      <c r="C7972" s="85">
        <v>45858.0</v>
      </c>
      <c r="D7972" s="25"/>
      <c r="E7972" s="86">
        <v>6.05</v>
      </c>
      <c r="F7972" s="88"/>
      <c r="G7972" s="88">
        <f t="shared" si="1"/>
        <v>-6.05</v>
      </c>
      <c r="H7972" s="89" t="str">
        <f t="shared" si="18"/>
        <v/>
      </c>
      <c r="I7972" s="78" t="s">
        <v>9078</v>
      </c>
      <c r="J7972" s="78" t="s">
        <v>1129</v>
      </c>
      <c r="K7972" s="58" t="str">
        <f t="shared" si="17"/>
        <v/>
      </c>
      <c r="L7972" s="91" t="str">
        <f t="shared" si="8"/>
        <v/>
      </c>
      <c r="M7972" s="78" t="str">
        <f>IFERROR(VLOOKUP(A7972, Entries!A:B,2,false),"")</f>
        <v/>
      </c>
      <c r="N7972" s="23" t="str">
        <f>IFERROR(VLOOKUP(A7972, Entries!A:K,11,false),"")</f>
        <v/>
      </c>
    </row>
    <row r="7973">
      <c r="A7973" s="78" t="s">
        <v>9076</v>
      </c>
      <c r="B7973" s="78" t="s">
        <v>18</v>
      </c>
      <c r="C7973" s="85">
        <v>45858.0</v>
      </c>
      <c r="D7973" s="25"/>
      <c r="E7973" s="86">
        <v>6.04</v>
      </c>
      <c r="F7973" s="88"/>
      <c r="G7973" s="88">
        <f t="shared" si="1"/>
        <v>-6.04</v>
      </c>
      <c r="H7973" s="89" t="str">
        <f t="shared" si="18"/>
        <v/>
      </c>
      <c r="I7973" s="78" t="s">
        <v>9079</v>
      </c>
      <c r="J7973" s="78" t="s">
        <v>1129</v>
      </c>
      <c r="K7973" s="58" t="str">
        <f t="shared" si="17"/>
        <v/>
      </c>
      <c r="L7973" s="91" t="str">
        <f t="shared" si="8"/>
        <v/>
      </c>
      <c r="M7973" s="78" t="str">
        <f>IFERROR(VLOOKUP(A7973, Entries!A:B,2,false),"")</f>
        <v/>
      </c>
      <c r="N7973" s="23" t="str">
        <f>IFERROR(VLOOKUP(A7973, Entries!A:K,11,false),"")</f>
        <v/>
      </c>
    </row>
    <row r="7974">
      <c r="A7974" s="78" t="s">
        <v>8778</v>
      </c>
      <c r="B7974" s="78" t="s">
        <v>22</v>
      </c>
      <c r="C7974" s="85">
        <v>45859.0</v>
      </c>
      <c r="D7974" s="85">
        <v>45863.0</v>
      </c>
      <c r="E7974" s="86">
        <v>4.43</v>
      </c>
      <c r="F7974" s="87">
        <v>5.67</v>
      </c>
      <c r="G7974" s="88">
        <f t="shared" si="1"/>
        <v>1.24</v>
      </c>
      <c r="H7974" s="89">
        <f t="shared" si="18"/>
        <v>0.2186948854</v>
      </c>
      <c r="I7974" s="78" t="s">
        <v>9080</v>
      </c>
      <c r="J7974" s="78" t="s">
        <v>69</v>
      </c>
      <c r="K7974" s="58">
        <f t="shared" si="17"/>
        <v>4</v>
      </c>
      <c r="L7974" s="91" t="str">
        <f t="shared" si="8"/>
        <v>Fri</v>
      </c>
      <c r="M7974" s="78" t="str">
        <f>IFERROR(VLOOKUP(A7974, Entries!A:B,2,false),"")</f>
        <v/>
      </c>
      <c r="N7974" s="23" t="str">
        <f>IFERROR(VLOOKUP(A7974, Entries!A:K,11,false),"")</f>
        <v/>
      </c>
    </row>
    <row r="7975">
      <c r="A7975" s="78" t="s">
        <v>8778</v>
      </c>
      <c r="B7975" s="78" t="s">
        <v>22</v>
      </c>
      <c r="C7975" s="85">
        <v>45859.0</v>
      </c>
      <c r="D7975" s="85">
        <v>45865.0</v>
      </c>
      <c r="E7975" s="86">
        <v>4.42</v>
      </c>
      <c r="F7975" s="87">
        <v>5.67</v>
      </c>
      <c r="G7975" s="88">
        <f t="shared" si="1"/>
        <v>1.25</v>
      </c>
      <c r="H7975" s="89">
        <f t="shared" si="18"/>
        <v>0.2204585538</v>
      </c>
      <c r="I7975" s="78" t="s">
        <v>9081</v>
      </c>
      <c r="J7975" s="78" t="s">
        <v>69</v>
      </c>
      <c r="K7975" s="58">
        <f t="shared" si="17"/>
        <v>6</v>
      </c>
      <c r="L7975" s="91" t="str">
        <f t="shared" si="8"/>
        <v>Sun</v>
      </c>
      <c r="M7975" s="78" t="str">
        <f>IFERROR(VLOOKUP(A7975, Entries!A:B,2,false),"")</f>
        <v/>
      </c>
      <c r="N7975" s="23" t="str">
        <f>IFERROR(VLOOKUP(A7975, Entries!A:K,11,false),"")</f>
        <v/>
      </c>
    </row>
    <row r="7976">
      <c r="A7976" s="78" t="s">
        <v>8778</v>
      </c>
      <c r="B7976" s="78" t="s">
        <v>22</v>
      </c>
      <c r="C7976" s="85">
        <v>45859.0</v>
      </c>
      <c r="D7976" s="85">
        <v>45865.0</v>
      </c>
      <c r="E7976" s="86">
        <v>4.43</v>
      </c>
      <c r="F7976" s="87">
        <v>5.67</v>
      </c>
      <c r="G7976" s="88">
        <f t="shared" si="1"/>
        <v>1.24</v>
      </c>
      <c r="H7976" s="89">
        <f t="shared" si="18"/>
        <v>0.2186948854</v>
      </c>
      <c r="I7976" s="78" t="s">
        <v>9082</v>
      </c>
      <c r="J7976" s="78" t="s">
        <v>69</v>
      </c>
      <c r="K7976" s="58">
        <f t="shared" si="17"/>
        <v>6</v>
      </c>
      <c r="L7976" s="91" t="str">
        <f t="shared" si="8"/>
        <v>Sun</v>
      </c>
      <c r="M7976" s="78" t="str">
        <f>IFERROR(VLOOKUP(A7976, Entries!A:B,2,false),"")</f>
        <v/>
      </c>
      <c r="N7976" s="23" t="str">
        <f>IFERROR(VLOOKUP(A7976, Entries!A:K,11,false),"")</f>
        <v/>
      </c>
    </row>
    <row r="7977">
      <c r="A7977" s="78" t="s">
        <v>8778</v>
      </c>
      <c r="B7977" s="78" t="s">
        <v>22</v>
      </c>
      <c r="C7977" s="85">
        <v>45859.0</v>
      </c>
      <c r="D7977" s="85">
        <v>45865.0</v>
      </c>
      <c r="E7977" s="86">
        <v>4.42</v>
      </c>
      <c r="F7977" s="87">
        <v>5.67</v>
      </c>
      <c r="G7977" s="88">
        <f t="shared" si="1"/>
        <v>1.25</v>
      </c>
      <c r="H7977" s="89">
        <f t="shared" si="18"/>
        <v>0.2204585538</v>
      </c>
      <c r="I7977" s="78" t="s">
        <v>9083</v>
      </c>
      <c r="J7977" s="78" t="s">
        <v>69</v>
      </c>
      <c r="K7977" s="58">
        <f t="shared" si="17"/>
        <v>6</v>
      </c>
      <c r="L7977" s="91" t="str">
        <f t="shared" si="8"/>
        <v>Sun</v>
      </c>
      <c r="M7977" s="78" t="str">
        <f>IFERROR(VLOOKUP(A7977, Entries!A:B,2,false),"")</f>
        <v/>
      </c>
      <c r="N7977" s="23" t="str">
        <f>IFERROR(VLOOKUP(A7977, Entries!A:K,11,false),"")</f>
        <v/>
      </c>
    </row>
    <row r="7978">
      <c r="A7978" s="78" t="s">
        <v>4532</v>
      </c>
      <c r="B7978" s="78" t="s">
        <v>23</v>
      </c>
      <c r="C7978" s="85">
        <v>45867.0</v>
      </c>
      <c r="D7978" s="85">
        <v>45867.0</v>
      </c>
      <c r="E7978" s="86">
        <v>16.63</v>
      </c>
      <c r="F7978" s="87">
        <v>23.68</v>
      </c>
      <c r="G7978" s="88">
        <f t="shared" si="1"/>
        <v>7.05</v>
      </c>
      <c r="H7978" s="89">
        <f t="shared" si="18"/>
        <v>0.2977195946</v>
      </c>
      <c r="I7978" s="78" t="s">
        <v>9084</v>
      </c>
      <c r="J7978" s="78" t="s">
        <v>69</v>
      </c>
      <c r="K7978" s="58">
        <f t="shared" si="17"/>
        <v>0</v>
      </c>
      <c r="L7978" s="91" t="str">
        <f t="shared" si="8"/>
        <v>Tue</v>
      </c>
      <c r="M7978" s="78" t="str">
        <f>IFERROR(VLOOKUP(A7978, Entries!A:B,2,false),"")</f>
        <v>Eugen Systems</v>
      </c>
      <c r="N7978" s="23" t="str">
        <f>IFERROR(VLOOKUP(A7978, Entries!A:K,11,false),"")</f>
        <v/>
      </c>
    </row>
    <row r="7979">
      <c r="A7979" s="78" t="s">
        <v>1034</v>
      </c>
      <c r="B7979" s="78" t="s">
        <v>23</v>
      </c>
      <c r="C7979" s="85">
        <v>45867.0</v>
      </c>
      <c r="D7979" s="85">
        <v>45870.0</v>
      </c>
      <c r="E7979" s="86">
        <v>4.72</v>
      </c>
      <c r="F7979" s="87">
        <v>6.28</v>
      </c>
      <c r="G7979" s="88">
        <f t="shared" si="1"/>
        <v>1.56</v>
      </c>
      <c r="H7979" s="89">
        <f t="shared" si="18"/>
        <v>0.2484076433</v>
      </c>
      <c r="I7979" s="78" t="s">
        <v>9085</v>
      </c>
      <c r="J7979" s="78" t="s">
        <v>69</v>
      </c>
      <c r="K7979" s="58">
        <f t="shared" si="17"/>
        <v>3</v>
      </c>
      <c r="L7979" s="91" t="str">
        <f t="shared" si="8"/>
        <v>Fri</v>
      </c>
      <c r="M7979" s="78" t="str">
        <f>IFERROR(VLOOKUP(A7979, Entries!A:B,2,false),"")</f>
        <v>Eugen Systems</v>
      </c>
      <c r="N7979" s="23" t="str">
        <f>IFERROR(VLOOKUP(A7979, Entries!A:K,11,false),"")</f>
        <v/>
      </c>
    </row>
    <row r="7980">
      <c r="A7980" s="78" t="s">
        <v>8696</v>
      </c>
      <c r="B7980" s="78" t="s">
        <v>23</v>
      </c>
      <c r="C7980" s="85">
        <v>45867.0</v>
      </c>
      <c r="D7980" s="85">
        <v>45889.0</v>
      </c>
      <c r="E7980" s="86">
        <v>46.75</v>
      </c>
      <c r="F7980" s="87">
        <v>48.85</v>
      </c>
      <c r="G7980" s="88">
        <f t="shared" si="1"/>
        <v>2.1</v>
      </c>
      <c r="H7980" s="89">
        <f t="shared" si="18"/>
        <v>0.04298874104</v>
      </c>
      <c r="I7980" s="78" t="s">
        <v>9086</v>
      </c>
      <c r="J7980" s="78" t="s">
        <v>69</v>
      </c>
      <c r="K7980" s="58">
        <f t="shared" si="17"/>
        <v>22</v>
      </c>
      <c r="L7980" s="91" t="str">
        <f t="shared" si="8"/>
        <v>Wed</v>
      </c>
      <c r="M7980" s="78" t="str">
        <f>IFERROR(VLOOKUP(A7980, Entries!A:B,2,false),"")</f>
        <v/>
      </c>
      <c r="N7980" s="23" t="str">
        <f>IFERROR(VLOOKUP(A7980, Entries!A:K,11,false),"")</f>
        <v/>
      </c>
    </row>
    <row r="7981">
      <c r="A7981" s="78" t="s">
        <v>9087</v>
      </c>
      <c r="B7981" s="78" t="s">
        <v>23</v>
      </c>
      <c r="C7981" s="85">
        <v>45867.0</v>
      </c>
      <c r="D7981" s="85">
        <v>45871.0</v>
      </c>
      <c r="E7981" s="86">
        <v>24.27</v>
      </c>
      <c r="F7981" s="87">
        <v>33.38</v>
      </c>
      <c r="G7981" s="88">
        <f t="shared" si="1"/>
        <v>9.11</v>
      </c>
      <c r="H7981" s="89">
        <f t="shared" si="18"/>
        <v>0.2729179149</v>
      </c>
      <c r="I7981" s="78" t="s">
        <v>9088</v>
      </c>
      <c r="J7981" s="78" t="s">
        <v>69</v>
      </c>
      <c r="K7981" s="58">
        <f t="shared" si="17"/>
        <v>4</v>
      </c>
      <c r="L7981" s="91" t="str">
        <f t="shared" si="8"/>
        <v>Sat</v>
      </c>
      <c r="M7981" s="78" t="str">
        <f>IFERROR(VLOOKUP(A7981, Entries!A:B,2,false),"")</f>
        <v>SEGA</v>
      </c>
      <c r="N7981" s="23" t="str">
        <f>IFERROR(VLOOKUP(A7981, Entries!A:K,11,false),"")</f>
        <v/>
      </c>
    </row>
    <row r="7982">
      <c r="A7982" s="78" t="s">
        <v>4532</v>
      </c>
      <c r="B7982" s="78" t="s">
        <v>23</v>
      </c>
      <c r="C7982" s="85">
        <v>45867.0</v>
      </c>
      <c r="D7982" s="85">
        <v>45876.0</v>
      </c>
      <c r="E7982" s="86">
        <v>16.63</v>
      </c>
      <c r="F7982" s="87">
        <v>22.64</v>
      </c>
      <c r="G7982" s="88">
        <f t="shared" si="1"/>
        <v>6.01</v>
      </c>
      <c r="H7982" s="89">
        <f t="shared" si="18"/>
        <v>0.265459364</v>
      </c>
      <c r="I7982" s="78" t="s">
        <v>9089</v>
      </c>
      <c r="J7982" s="78" t="s">
        <v>69</v>
      </c>
      <c r="K7982" s="58">
        <f t="shared" si="17"/>
        <v>9</v>
      </c>
      <c r="L7982" s="91" t="str">
        <f t="shared" si="8"/>
        <v>Thu</v>
      </c>
      <c r="M7982" s="78" t="str">
        <f>IFERROR(VLOOKUP(A7982, Entries!A:B,2,false),"")</f>
        <v>Eugen Systems</v>
      </c>
      <c r="N7982" s="23" t="str">
        <f>IFERROR(VLOOKUP(A7982, Entries!A:K,11,false),"")</f>
        <v/>
      </c>
    </row>
    <row r="7983">
      <c r="A7983" s="78" t="s">
        <v>2466</v>
      </c>
      <c r="B7983" s="78" t="s">
        <v>18</v>
      </c>
      <c r="C7983" s="85">
        <v>45868.0</v>
      </c>
      <c r="D7983" s="85">
        <v>45869.0</v>
      </c>
      <c r="E7983" s="86">
        <v>9.66</v>
      </c>
      <c r="F7983" s="87">
        <v>11.94</v>
      </c>
      <c r="G7983" s="88">
        <f t="shared" si="1"/>
        <v>2.28</v>
      </c>
      <c r="H7983" s="89">
        <f t="shared" si="18"/>
        <v>0.1909547739</v>
      </c>
      <c r="I7983" s="78" t="s">
        <v>9090</v>
      </c>
      <c r="J7983" s="78" t="s">
        <v>69</v>
      </c>
      <c r="K7983" s="58">
        <f t="shared" si="17"/>
        <v>1</v>
      </c>
      <c r="L7983" s="91" t="str">
        <f t="shared" si="8"/>
        <v>Thu</v>
      </c>
      <c r="M7983" s="78" t="str">
        <f>IFERROR(VLOOKUP(A7983, Entries!A:B,2,false),"")</f>
        <v>Bethesda Softworks</v>
      </c>
      <c r="N7983" s="23" t="str">
        <f>IFERROR(VLOOKUP(A7983, Entries!A:K,11,false),"")</f>
        <v/>
      </c>
    </row>
    <row r="7984">
      <c r="A7984" s="78" t="s">
        <v>2466</v>
      </c>
      <c r="B7984" s="78" t="s">
        <v>18</v>
      </c>
      <c r="C7984" s="85">
        <v>45868.0</v>
      </c>
      <c r="D7984" s="85">
        <v>45869.0</v>
      </c>
      <c r="E7984" s="86">
        <v>9.66</v>
      </c>
      <c r="F7984" s="87">
        <v>11.94</v>
      </c>
      <c r="G7984" s="88">
        <f t="shared" si="1"/>
        <v>2.28</v>
      </c>
      <c r="H7984" s="89">
        <f t="shared" si="18"/>
        <v>0.1909547739</v>
      </c>
      <c r="I7984" s="78" t="s">
        <v>9091</v>
      </c>
      <c r="J7984" s="78" t="s">
        <v>69</v>
      </c>
      <c r="K7984" s="58">
        <f t="shared" si="17"/>
        <v>1</v>
      </c>
      <c r="L7984" s="91" t="str">
        <f t="shared" si="8"/>
        <v>Thu</v>
      </c>
      <c r="M7984" s="78" t="str">
        <f>IFERROR(VLOOKUP(A7984, Entries!A:B,2,false),"")</f>
        <v>Bethesda Softworks</v>
      </c>
      <c r="N7984" s="23" t="str">
        <f>IFERROR(VLOOKUP(A7984, Entries!A:K,11,false),"")</f>
        <v/>
      </c>
    </row>
    <row r="7985">
      <c r="A7985" s="78" t="s">
        <v>8865</v>
      </c>
      <c r="B7985" s="78" t="s">
        <v>23</v>
      </c>
      <c r="C7985" s="85">
        <v>45868.0</v>
      </c>
      <c r="D7985" s="85">
        <v>45891.0</v>
      </c>
      <c r="E7985" s="86">
        <v>32.88</v>
      </c>
      <c r="F7985" s="87">
        <v>37.69</v>
      </c>
      <c r="G7985" s="88">
        <f t="shared" si="1"/>
        <v>4.81</v>
      </c>
      <c r="H7985" s="89">
        <f t="shared" si="18"/>
        <v>0.1276200584</v>
      </c>
      <c r="I7985" s="78" t="s">
        <v>9092</v>
      </c>
      <c r="J7985" s="78" t="s">
        <v>69</v>
      </c>
      <c r="K7985" s="58">
        <f t="shared" si="17"/>
        <v>23</v>
      </c>
      <c r="L7985" s="91" t="str">
        <f t="shared" si="8"/>
        <v>Fri</v>
      </c>
      <c r="M7985" s="78" t="str">
        <f>IFERROR(VLOOKUP(A7985, Entries!A:B,2,false),"")</f>
        <v>Bethesda Softworks</v>
      </c>
      <c r="N7985" s="23" t="str">
        <f>IFERROR(VLOOKUP(A7985, Entries!A:K,11,false),"")</f>
        <v/>
      </c>
    </row>
    <row r="7986">
      <c r="A7986" s="78" t="s">
        <v>1034</v>
      </c>
      <c r="B7986" s="78" t="s">
        <v>23</v>
      </c>
      <c r="C7986" s="85">
        <v>45870.0</v>
      </c>
      <c r="D7986" s="85">
        <v>45893.0</v>
      </c>
      <c r="E7986" s="86">
        <v>4.8</v>
      </c>
      <c r="F7986" s="87">
        <v>6.25</v>
      </c>
      <c r="G7986" s="88">
        <f t="shared" si="1"/>
        <v>1.45</v>
      </c>
      <c r="H7986" s="89">
        <f t="shared" si="18"/>
        <v>0.232</v>
      </c>
      <c r="I7986" s="78" t="s">
        <v>9093</v>
      </c>
      <c r="J7986" s="78" t="s">
        <v>69</v>
      </c>
      <c r="K7986" s="58">
        <f t="shared" si="17"/>
        <v>23</v>
      </c>
      <c r="L7986" s="91" t="str">
        <f t="shared" si="8"/>
        <v>Sun</v>
      </c>
      <c r="M7986" s="78" t="str">
        <f>IFERROR(VLOOKUP(A7986, Entries!A:B,2,false),"")</f>
        <v>Eugen Systems</v>
      </c>
      <c r="N7986" s="23" t="str">
        <f>IFERROR(VLOOKUP(A7986, Entries!A:K,11,false),"")</f>
        <v/>
      </c>
    </row>
    <row r="7987">
      <c r="A7987" s="78" t="s">
        <v>2466</v>
      </c>
      <c r="B7987" s="78" t="s">
        <v>18</v>
      </c>
      <c r="C7987" s="85">
        <v>45870.0</v>
      </c>
      <c r="D7987" s="85">
        <v>45871.0</v>
      </c>
      <c r="E7987" s="86">
        <v>9.59</v>
      </c>
      <c r="F7987" s="87">
        <v>11.94</v>
      </c>
      <c r="G7987" s="88">
        <f t="shared" si="1"/>
        <v>2.35</v>
      </c>
      <c r="H7987" s="89">
        <f t="shared" si="18"/>
        <v>0.1968174204</v>
      </c>
      <c r="I7987" s="78" t="s">
        <v>9094</v>
      </c>
      <c r="J7987" s="78" t="s">
        <v>69</v>
      </c>
      <c r="K7987" s="58">
        <f t="shared" si="17"/>
        <v>1</v>
      </c>
      <c r="L7987" s="91" t="str">
        <f t="shared" si="8"/>
        <v>Sat</v>
      </c>
      <c r="M7987" s="78" t="str">
        <f>IFERROR(VLOOKUP(A7987, Entries!A:B,2,false),"")</f>
        <v>Bethesda Softworks</v>
      </c>
      <c r="N7987" s="23" t="str">
        <f>IFERROR(VLOOKUP(A7987, Entries!A:K,11,false),"")</f>
        <v/>
      </c>
    </row>
    <row r="7988">
      <c r="A7988" s="78" t="s">
        <v>2466</v>
      </c>
      <c r="B7988" s="78" t="s">
        <v>18</v>
      </c>
      <c r="C7988" s="85">
        <v>45870.0</v>
      </c>
      <c r="D7988" s="85">
        <v>45874.0</v>
      </c>
      <c r="E7988" s="86">
        <v>9.59</v>
      </c>
      <c r="F7988" s="87">
        <v>11.94</v>
      </c>
      <c r="G7988" s="88">
        <f t="shared" si="1"/>
        <v>2.35</v>
      </c>
      <c r="H7988" s="89">
        <f t="shared" si="18"/>
        <v>0.1968174204</v>
      </c>
      <c r="I7988" s="78" t="s">
        <v>9095</v>
      </c>
      <c r="J7988" s="78" t="s">
        <v>69</v>
      </c>
      <c r="K7988" s="58">
        <f t="shared" si="17"/>
        <v>4</v>
      </c>
      <c r="L7988" s="91" t="str">
        <f t="shared" si="8"/>
        <v>Tue</v>
      </c>
      <c r="M7988" s="78" t="str">
        <f>IFERROR(VLOOKUP(A7988, Entries!A:B,2,false),"")</f>
        <v>Bethesda Softworks</v>
      </c>
      <c r="N7988" s="23" t="str">
        <f>IFERROR(VLOOKUP(A7988, Entries!A:K,11,false),"")</f>
        <v/>
      </c>
    </row>
    <row r="7989">
      <c r="A7989" s="78" t="s">
        <v>2466</v>
      </c>
      <c r="B7989" s="78" t="s">
        <v>18</v>
      </c>
      <c r="C7989" s="85">
        <v>45870.0</v>
      </c>
      <c r="D7989" s="85">
        <v>45879.0</v>
      </c>
      <c r="E7989" s="86">
        <v>9.59</v>
      </c>
      <c r="F7989" s="87">
        <v>12.45</v>
      </c>
      <c r="G7989" s="88">
        <f t="shared" si="1"/>
        <v>2.86</v>
      </c>
      <c r="H7989" s="89">
        <f t="shared" si="18"/>
        <v>0.2297188755</v>
      </c>
      <c r="I7989" s="78" t="s">
        <v>9096</v>
      </c>
      <c r="J7989" s="78" t="s">
        <v>69</v>
      </c>
      <c r="K7989" s="58">
        <f t="shared" si="17"/>
        <v>9</v>
      </c>
      <c r="L7989" s="91" t="str">
        <f t="shared" si="8"/>
        <v>Sun</v>
      </c>
      <c r="M7989" s="78" t="str">
        <f>IFERROR(VLOOKUP(A7989, Entries!A:B,2,false),"")</f>
        <v>Bethesda Softworks</v>
      </c>
      <c r="N7989" s="23" t="str">
        <f>IFERROR(VLOOKUP(A7989, Entries!A:K,11,false),"")</f>
        <v/>
      </c>
    </row>
    <row r="7990">
      <c r="A7990" s="78" t="s">
        <v>7968</v>
      </c>
      <c r="B7990" s="78" t="s">
        <v>25</v>
      </c>
      <c r="C7990" s="85">
        <v>45877.0</v>
      </c>
      <c r="D7990" s="85">
        <v>45880.0</v>
      </c>
      <c r="E7990" s="86">
        <v>26.72</v>
      </c>
      <c r="F7990" s="87">
        <v>34.08</v>
      </c>
      <c r="G7990" s="88">
        <f t="shared" si="1"/>
        <v>7.36</v>
      </c>
      <c r="H7990" s="89">
        <f t="shared" si="18"/>
        <v>0.2159624413</v>
      </c>
      <c r="I7990" s="78" t="s">
        <v>9097</v>
      </c>
      <c r="J7990" s="78" t="s">
        <v>69</v>
      </c>
      <c r="K7990" s="58">
        <f t="shared" si="17"/>
        <v>3</v>
      </c>
      <c r="L7990" s="91" t="str">
        <f t="shared" si="8"/>
        <v>Mon</v>
      </c>
      <c r="M7990" s="78" t="str">
        <f>IFERROR(VLOOKUP(A7990, Entries!A:B,2,false),"")</f>
        <v>Coffee Stain</v>
      </c>
      <c r="N7990" s="23" t="str">
        <f>IFERROR(VLOOKUP(A7990, Entries!A:K,11,false),"")</f>
        <v/>
      </c>
    </row>
    <row r="7991">
      <c r="A7991" s="78" t="s">
        <v>7968</v>
      </c>
      <c r="B7991" s="78" t="s">
        <v>25</v>
      </c>
      <c r="C7991" s="85">
        <v>45877.0</v>
      </c>
      <c r="D7991" s="85">
        <v>45882.0</v>
      </c>
      <c r="E7991" s="86">
        <v>26.72</v>
      </c>
      <c r="F7991" s="87">
        <v>33.45</v>
      </c>
      <c r="G7991" s="88">
        <f t="shared" si="1"/>
        <v>6.73</v>
      </c>
      <c r="H7991" s="89">
        <f t="shared" si="18"/>
        <v>0.2011958146</v>
      </c>
      <c r="I7991" s="78" t="s">
        <v>9098</v>
      </c>
      <c r="J7991" s="78" t="s">
        <v>69</v>
      </c>
      <c r="K7991" s="58">
        <f t="shared" si="17"/>
        <v>5</v>
      </c>
      <c r="L7991" s="91" t="str">
        <f t="shared" si="8"/>
        <v>Wed</v>
      </c>
      <c r="M7991" s="78" t="str">
        <f>IFERROR(VLOOKUP(A7991, Entries!A:B,2,false),"")</f>
        <v>Coffee Stain</v>
      </c>
      <c r="N7991" s="23" t="str">
        <f>IFERROR(VLOOKUP(A7991, Entries!A:K,11,false),"")</f>
        <v/>
      </c>
    </row>
    <row r="7992">
      <c r="A7992" s="78" t="s">
        <v>7968</v>
      </c>
      <c r="B7992" s="78" t="s">
        <v>25</v>
      </c>
      <c r="C7992" s="85">
        <v>45877.0</v>
      </c>
      <c r="D7992" s="85">
        <v>45960.0</v>
      </c>
      <c r="E7992" s="86">
        <v>26.73</v>
      </c>
      <c r="F7992" s="87">
        <v>29.71</v>
      </c>
      <c r="G7992" s="88">
        <f t="shared" si="1"/>
        <v>2.98</v>
      </c>
      <c r="H7992" s="89">
        <f t="shared" si="18"/>
        <v>0.1003029283</v>
      </c>
      <c r="I7992" s="78" t="s">
        <v>9099</v>
      </c>
      <c r="J7992" s="78" t="s">
        <v>69</v>
      </c>
      <c r="K7992" s="58">
        <f t="shared" si="17"/>
        <v>83</v>
      </c>
      <c r="L7992" s="91" t="str">
        <f t="shared" si="8"/>
        <v>Thu</v>
      </c>
      <c r="M7992" s="78" t="str">
        <f>IFERROR(VLOOKUP(A7992, Entries!A:B,2,false),"")</f>
        <v>Coffee Stain</v>
      </c>
      <c r="N7992" s="23" t="str">
        <f>IFERROR(VLOOKUP(A7992, Entries!A:K,11,false),"")</f>
        <v/>
      </c>
    </row>
    <row r="7993">
      <c r="A7993" s="78" t="s">
        <v>2466</v>
      </c>
      <c r="B7993" s="78" t="s">
        <v>18</v>
      </c>
      <c r="C7993" s="85">
        <v>45889.0</v>
      </c>
      <c r="D7993" s="85">
        <v>45891.0</v>
      </c>
      <c r="E7993" s="86">
        <v>9.59</v>
      </c>
      <c r="F7993" s="87">
        <v>13.41</v>
      </c>
      <c r="G7993" s="88">
        <f t="shared" si="1"/>
        <v>3.82</v>
      </c>
      <c r="H7993" s="89">
        <f t="shared" si="18"/>
        <v>0.2848620433</v>
      </c>
      <c r="I7993" s="78" t="s">
        <v>9100</v>
      </c>
      <c r="J7993" s="78" t="s">
        <v>69</v>
      </c>
      <c r="K7993" s="58">
        <f t="shared" si="17"/>
        <v>2</v>
      </c>
      <c r="L7993" s="91" t="str">
        <f t="shared" si="8"/>
        <v>Fri</v>
      </c>
      <c r="M7993" s="78" t="str">
        <f>IFERROR(VLOOKUP(A7993, Entries!A:B,2,false),"")</f>
        <v>Bethesda Softworks</v>
      </c>
      <c r="N7993" s="23" t="str">
        <f>IFERROR(VLOOKUP(A7993, Entries!A:K,11,false),"")</f>
        <v/>
      </c>
    </row>
    <row r="7994">
      <c r="A7994" s="78" t="s">
        <v>2466</v>
      </c>
      <c r="B7994" s="78" t="s">
        <v>18</v>
      </c>
      <c r="C7994" s="85">
        <v>45889.0</v>
      </c>
      <c r="D7994" s="85">
        <v>45894.0</v>
      </c>
      <c r="E7994" s="86">
        <v>9.59</v>
      </c>
      <c r="F7994" s="87">
        <v>13.54</v>
      </c>
      <c r="G7994" s="88">
        <f t="shared" si="1"/>
        <v>3.95</v>
      </c>
      <c r="H7994" s="89">
        <f t="shared" si="18"/>
        <v>0.2917282127</v>
      </c>
      <c r="I7994" s="78" t="s">
        <v>9101</v>
      </c>
      <c r="J7994" s="78" t="s">
        <v>69</v>
      </c>
      <c r="K7994" s="58">
        <f t="shared" si="17"/>
        <v>5</v>
      </c>
      <c r="L7994" s="91" t="str">
        <f t="shared" si="8"/>
        <v>Mon</v>
      </c>
      <c r="M7994" s="78" t="str">
        <f>IFERROR(VLOOKUP(A7994, Entries!A:B,2,false),"")</f>
        <v>Bethesda Softworks</v>
      </c>
      <c r="N7994" s="23" t="str">
        <f>IFERROR(VLOOKUP(A7994, Entries!A:K,11,false),"")</f>
        <v/>
      </c>
    </row>
    <row r="7995">
      <c r="A7995" s="78" t="s">
        <v>2466</v>
      </c>
      <c r="B7995" s="78" t="s">
        <v>18</v>
      </c>
      <c r="C7995" s="85">
        <v>45889.0</v>
      </c>
      <c r="D7995" s="85">
        <v>45891.0</v>
      </c>
      <c r="E7995" s="86">
        <v>9.59</v>
      </c>
      <c r="F7995" s="87">
        <v>13.56</v>
      </c>
      <c r="G7995" s="88">
        <f t="shared" si="1"/>
        <v>3.97</v>
      </c>
      <c r="H7995" s="89">
        <f t="shared" si="18"/>
        <v>0.2927728614</v>
      </c>
      <c r="I7995" s="78" t="s">
        <v>9102</v>
      </c>
      <c r="J7995" s="78" t="s">
        <v>69</v>
      </c>
      <c r="K7995" s="58">
        <f t="shared" si="17"/>
        <v>2</v>
      </c>
      <c r="L7995" s="91" t="str">
        <f t="shared" si="8"/>
        <v>Fri</v>
      </c>
      <c r="M7995" s="78" t="str">
        <f>IFERROR(VLOOKUP(A7995, Entries!A:B,2,false),"")</f>
        <v>Bethesda Softworks</v>
      </c>
      <c r="N7995" s="23" t="str">
        <f>IFERROR(VLOOKUP(A7995, Entries!A:K,11,false),"")</f>
        <v/>
      </c>
    </row>
    <row r="7996">
      <c r="A7996" s="78" t="s">
        <v>8696</v>
      </c>
      <c r="B7996" s="78" t="s">
        <v>25</v>
      </c>
      <c r="C7996" s="85">
        <v>45893.0</v>
      </c>
      <c r="D7996" s="85">
        <v>45895.0</v>
      </c>
      <c r="E7996" s="86">
        <v>44.75</v>
      </c>
      <c r="F7996" s="87">
        <v>49.24</v>
      </c>
      <c r="G7996" s="88">
        <f t="shared" si="1"/>
        <v>4.49</v>
      </c>
      <c r="H7996" s="89">
        <f t="shared" si="18"/>
        <v>0.09118602762</v>
      </c>
      <c r="I7996" s="78" t="s">
        <v>9103</v>
      </c>
      <c r="J7996" s="78" t="s">
        <v>69</v>
      </c>
      <c r="K7996" s="58">
        <f t="shared" si="17"/>
        <v>2</v>
      </c>
      <c r="L7996" s="91" t="str">
        <f t="shared" si="8"/>
        <v>Tue</v>
      </c>
      <c r="M7996" s="78" t="str">
        <f>IFERROR(VLOOKUP(A7996, Entries!A:B,2,false),"")</f>
        <v/>
      </c>
      <c r="N7996" s="23" t="str">
        <f>IFERROR(VLOOKUP(A7996, Entries!A:K,11,false),"")</f>
        <v/>
      </c>
    </row>
    <row r="7997">
      <c r="A7997" s="78" t="s">
        <v>8696</v>
      </c>
      <c r="B7997" s="78" t="s">
        <v>25</v>
      </c>
      <c r="C7997" s="85">
        <v>45893.0</v>
      </c>
      <c r="D7997" s="85">
        <v>45895.0</v>
      </c>
      <c r="E7997" s="86">
        <v>44.75</v>
      </c>
      <c r="F7997" s="87">
        <v>49.24</v>
      </c>
      <c r="G7997" s="88">
        <f t="shared" si="1"/>
        <v>4.49</v>
      </c>
      <c r="H7997" s="89">
        <f t="shared" si="18"/>
        <v>0.09118602762</v>
      </c>
      <c r="I7997" s="78" t="s">
        <v>9104</v>
      </c>
      <c r="J7997" s="78" t="s">
        <v>69</v>
      </c>
      <c r="K7997" s="58">
        <f t="shared" si="17"/>
        <v>2</v>
      </c>
      <c r="L7997" s="91" t="str">
        <f t="shared" si="8"/>
        <v>Tue</v>
      </c>
      <c r="M7997" s="78" t="str">
        <f>IFERROR(VLOOKUP(A7997, Entries!A:B,2,false),"")</f>
        <v/>
      </c>
      <c r="N7997" s="23" t="str">
        <f>IFERROR(VLOOKUP(A7997, Entries!A:K,11,false),"")</f>
        <v/>
      </c>
    </row>
    <row r="7998">
      <c r="A7998" s="78" t="s">
        <v>2466</v>
      </c>
      <c r="B7998" s="78" t="s">
        <v>18</v>
      </c>
      <c r="C7998" s="85">
        <v>45894.0</v>
      </c>
      <c r="D7998" s="85">
        <v>45896.0</v>
      </c>
      <c r="E7998" s="86">
        <v>9.39</v>
      </c>
      <c r="F7998" s="87">
        <v>14.12</v>
      </c>
      <c r="G7998" s="88">
        <f t="shared" si="1"/>
        <v>4.73</v>
      </c>
      <c r="H7998" s="89">
        <f t="shared" si="18"/>
        <v>0.3349858357</v>
      </c>
      <c r="I7998" s="78" t="s">
        <v>9105</v>
      </c>
      <c r="J7998" s="78" t="s">
        <v>69</v>
      </c>
      <c r="K7998" s="58">
        <f t="shared" si="17"/>
        <v>2</v>
      </c>
      <c r="L7998" s="91" t="str">
        <f t="shared" si="8"/>
        <v>Wed</v>
      </c>
      <c r="M7998" s="78" t="str">
        <f>IFERROR(VLOOKUP(A7998, Entries!A:B,2,false),"")</f>
        <v>Bethesda Softworks</v>
      </c>
      <c r="N7998" s="23" t="str">
        <f>IFERROR(VLOOKUP(A7998, Entries!A:K,11,false),"")</f>
        <v/>
      </c>
    </row>
    <row r="7999">
      <c r="A7999" s="78" t="s">
        <v>2466</v>
      </c>
      <c r="B7999" s="78" t="s">
        <v>18</v>
      </c>
      <c r="C7999" s="85">
        <v>45894.0</v>
      </c>
      <c r="D7999" s="85">
        <v>45898.0</v>
      </c>
      <c r="E7999" s="86">
        <v>9.39</v>
      </c>
      <c r="F7999" s="87">
        <v>13.93</v>
      </c>
      <c r="G7999" s="88">
        <f t="shared" si="1"/>
        <v>4.54</v>
      </c>
      <c r="H7999" s="89">
        <f t="shared" si="18"/>
        <v>0.3259152907</v>
      </c>
      <c r="I7999" s="78" t="s">
        <v>9106</v>
      </c>
      <c r="J7999" s="78" t="s">
        <v>69</v>
      </c>
      <c r="K7999" s="58">
        <f t="shared" si="17"/>
        <v>4</v>
      </c>
      <c r="L7999" s="91" t="str">
        <f t="shared" si="8"/>
        <v>Fri</v>
      </c>
      <c r="M7999" s="78" t="str">
        <f>IFERROR(VLOOKUP(A7999, Entries!A:B,2,false),"")</f>
        <v>Bethesda Softworks</v>
      </c>
      <c r="N7999" s="23" t="str">
        <f>IFERROR(VLOOKUP(A7999, Entries!A:K,11,false),"")</f>
        <v/>
      </c>
    </row>
    <row r="8000">
      <c r="A8000" s="78" t="s">
        <v>2466</v>
      </c>
      <c r="B8000" s="78" t="s">
        <v>18</v>
      </c>
      <c r="C8000" s="85">
        <v>45894.0</v>
      </c>
      <c r="D8000" s="85">
        <v>45903.0</v>
      </c>
      <c r="E8000" s="86">
        <v>9.39</v>
      </c>
      <c r="F8000" s="87">
        <v>13.64</v>
      </c>
      <c r="G8000" s="88">
        <f t="shared" si="1"/>
        <v>4.25</v>
      </c>
      <c r="H8000" s="89">
        <f t="shared" si="18"/>
        <v>0.3115835777</v>
      </c>
      <c r="I8000" s="78" t="s">
        <v>9107</v>
      </c>
      <c r="J8000" s="78" t="s">
        <v>69</v>
      </c>
      <c r="K8000" s="58">
        <f t="shared" si="17"/>
        <v>9</v>
      </c>
      <c r="L8000" s="91" t="str">
        <f t="shared" si="8"/>
        <v>Wed</v>
      </c>
      <c r="M8000" s="78" t="str">
        <f>IFERROR(VLOOKUP(A8000, Entries!A:B,2,false),"")</f>
        <v>Bethesda Softworks</v>
      </c>
      <c r="N8000" s="23" t="str">
        <f>IFERROR(VLOOKUP(A8000, Entries!A:K,11,false),"")</f>
        <v/>
      </c>
    </row>
    <row r="8001">
      <c r="A8001" s="78" t="s">
        <v>2466</v>
      </c>
      <c r="B8001" s="78" t="s">
        <v>18</v>
      </c>
      <c r="C8001" s="85">
        <v>45894.0</v>
      </c>
      <c r="D8001" s="85">
        <v>45904.0</v>
      </c>
      <c r="E8001" s="86">
        <v>9.4</v>
      </c>
      <c r="F8001" s="87">
        <v>13.64</v>
      </c>
      <c r="G8001" s="88">
        <f t="shared" si="1"/>
        <v>4.24</v>
      </c>
      <c r="H8001" s="89">
        <f t="shared" si="18"/>
        <v>0.3108504399</v>
      </c>
      <c r="I8001" s="78" t="s">
        <v>9108</v>
      </c>
      <c r="J8001" s="78" t="s">
        <v>69</v>
      </c>
      <c r="K8001" s="58">
        <f t="shared" si="17"/>
        <v>10</v>
      </c>
      <c r="L8001" s="91" t="str">
        <f t="shared" si="8"/>
        <v>Thu</v>
      </c>
      <c r="M8001" s="78" t="str">
        <f>IFERROR(VLOOKUP(A8001, Entries!A:B,2,false),"")</f>
        <v>Bethesda Softworks</v>
      </c>
      <c r="N8001" s="23" t="str">
        <f>IFERROR(VLOOKUP(A8001, Entries!A:K,11,false),"")</f>
        <v/>
      </c>
    </row>
    <row r="8002">
      <c r="A8002" s="78" t="s">
        <v>2466</v>
      </c>
      <c r="B8002" s="78" t="s">
        <v>18</v>
      </c>
      <c r="C8002" s="85">
        <v>45894.0</v>
      </c>
      <c r="D8002" s="85">
        <v>45906.0</v>
      </c>
      <c r="E8002" s="86">
        <v>9.39</v>
      </c>
      <c r="F8002" s="87">
        <v>12.94</v>
      </c>
      <c r="G8002" s="88">
        <f t="shared" si="1"/>
        <v>3.55</v>
      </c>
      <c r="H8002" s="89">
        <f t="shared" si="18"/>
        <v>0.2743431221</v>
      </c>
      <c r="I8002" s="78" t="s">
        <v>9109</v>
      </c>
      <c r="J8002" s="78" t="s">
        <v>69</v>
      </c>
      <c r="K8002" s="58">
        <f t="shared" si="17"/>
        <v>12</v>
      </c>
      <c r="L8002" s="91" t="str">
        <f t="shared" si="8"/>
        <v>Sat</v>
      </c>
      <c r="M8002" s="78" t="str">
        <f>IFERROR(VLOOKUP(A8002, Entries!A:B,2,false),"")</f>
        <v>Bethesda Softworks</v>
      </c>
      <c r="N8002" s="23" t="str">
        <f>IFERROR(VLOOKUP(A8002, Entries!A:K,11,false),"")</f>
        <v/>
      </c>
    </row>
    <row r="8003">
      <c r="A8003" s="78" t="s">
        <v>9110</v>
      </c>
      <c r="B8003" s="78" t="s">
        <v>25</v>
      </c>
      <c r="C8003" s="85">
        <v>45894.0</v>
      </c>
      <c r="D8003" s="85">
        <v>45895.0</v>
      </c>
      <c r="E8003" s="86">
        <v>0.0</v>
      </c>
      <c r="F8003" s="87">
        <v>1.55</v>
      </c>
      <c r="G8003" s="88">
        <f t="shared" si="1"/>
        <v>1.55</v>
      </c>
      <c r="H8003" s="89">
        <f t="shared" si="18"/>
        <v>1</v>
      </c>
      <c r="I8003" s="78" t="s">
        <v>9111</v>
      </c>
      <c r="J8003" s="78" t="s">
        <v>69</v>
      </c>
      <c r="K8003" s="58">
        <f t="shared" si="17"/>
        <v>1</v>
      </c>
      <c r="L8003" s="91" t="str">
        <f t="shared" si="8"/>
        <v>Tue</v>
      </c>
      <c r="M8003" s="78" t="str">
        <f>IFERROR(VLOOKUP(A8003, Entries!A:B,2,false),"")</f>
        <v/>
      </c>
      <c r="N8003" s="23" t="str">
        <f>IFERROR(VLOOKUP(A8003, Entries!A:K,11,false),"")</f>
        <v/>
      </c>
    </row>
    <row r="8004">
      <c r="A8004" s="78" t="s">
        <v>9112</v>
      </c>
      <c r="B8004" s="78" t="s">
        <v>18</v>
      </c>
      <c r="C8004" s="85">
        <v>45902.0</v>
      </c>
      <c r="D8004" s="85">
        <v>45908.0</v>
      </c>
      <c r="E8004" s="86">
        <v>32.02</v>
      </c>
      <c r="F8004" s="87">
        <v>37.24</v>
      </c>
      <c r="G8004" s="88">
        <f t="shared" si="1"/>
        <v>5.22</v>
      </c>
      <c r="H8004" s="89">
        <f t="shared" si="18"/>
        <v>0.1401718582</v>
      </c>
      <c r="I8004" s="78" t="s">
        <v>9113</v>
      </c>
      <c r="J8004" s="78" t="s">
        <v>69</v>
      </c>
      <c r="K8004" s="58">
        <f t="shared" si="17"/>
        <v>6</v>
      </c>
      <c r="L8004" s="91" t="str">
        <f t="shared" si="8"/>
        <v>Mon</v>
      </c>
      <c r="M8004" s="78" t="str">
        <f>IFERROR(VLOOKUP(A8004, Entries!A:B,2,false),"")</f>
        <v/>
      </c>
      <c r="N8004" s="23" t="str">
        <f>IFERROR(VLOOKUP(A8004, Entries!A:K,11,false),"")</f>
        <v/>
      </c>
    </row>
    <row r="8005">
      <c r="A8005" s="78" t="s">
        <v>9018</v>
      </c>
      <c r="B8005" s="78" t="s">
        <v>9114</v>
      </c>
      <c r="C8005" s="85">
        <v>45895.0</v>
      </c>
      <c r="D8005" s="85">
        <v>45898.0</v>
      </c>
      <c r="E8005" s="86">
        <v>36.5</v>
      </c>
      <c r="F8005" s="87">
        <v>42.25</v>
      </c>
      <c r="G8005" s="88">
        <f t="shared" si="1"/>
        <v>5.75</v>
      </c>
      <c r="H8005" s="89">
        <f t="shared" si="18"/>
        <v>0.1360946746</v>
      </c>
      <c r="I8005" s="78" t="s">
        <v>9115</v>
      </c>
      <c r="J8005" s="78" t="s">
        <v>69</v>
      </c>
      <c r="K8005" s="58">
        <f t="shared" si="17"/>
        <v>3</v>
      </c>
      <c r="L8005" s="91" t="str">
        <f t="shared" si="8"/>
        <v>Fri</v>
      </c>
      <c r="M8005" s="78" t="str">
        <f>IFERROR(VLOOKUP(A8005, Entries!A:B,2,false),"")</f>
        <v>Game Science</v>
      </c>
      <c r="N8005" s="23" t="str">
        <f>IFERROR(VLOOKUP(A8005, Entries!A:K,11,false),"")</f>
        <v/>
      </c>
      <c r="Q8005" s="78" t="s">
        <v>9114</v>
      </c>
    </row>
    <row r="8006">
      <c r="A8006" s="78" t="s">
        <v>9116</v>
      </c>
      <c r="B8006" s="78" t="s">
        <v>25</v>
      </c>
      <c r="C8006" s="85">
        <v>45896.0</v>
      </c>
      <c r="D8006" s="85">
        <v>45896.0</v>
      </c>
      <c r="E8006" s="86">
        <v>0.0</v>
      </c>
      <c r="F8006" s="87">
        <v>1.14</v>
      </c>
      <c r="G8006" s="88">
        <f t="shared" si="1"/>
        <v>1.14</v>
      </c>
      <c r="H8006" s="89">
        <f t="shared" si="18"/>
        <v>1</v>
      </c>
      <c r="I8006" s="78" t="s">
        <v>9117</v>
      </c>
      <c r="J8006" s="78" t="s">
        <v>69</v>
      </c>
      <c r="K8006" s="58">
        <f t="shared" si="17"/>
        <v>0</v>
      </c>
      <c r="L8006" s="91" t="str">
        <f t="shared" si="8"/>
        <v>Wed</v>
      </c>
      <c r="M8006" s="78" t="str">
        <f>IFERROR(VLOOKUP(A8006, Entries!A:B,2,false),"")</f>
        <v/>
      </c>
      <c r="N8006" s="23" t="str">
        <f>IFERROR(VLOOKUP(A8006, Entries!A:K,11,false),"")</f>
        <v/>
      </c>
    </row>
    <row r="8007">
      <c r="A8007" s="78" t="s">
        <v>8696</v>
      </c>
      <c r="B8007" s="78" t="s">
        <v>25</v>
      </c>
      <c r="C8007" s="85">
        <v>45896.0</v>
      </c>
      <c r="D8007" s="85">
        <v>45896.0</v>
      </c>
      <c r="E8007" s="86">
        <v>45.92</v>
      </c>
      <c r="F8007" s="87">
        <v>49.24</v>
      </c>
      <c r="G8007" s="88">
        <f t="shared" si="1"/>
        <v>3.32</v>
      </c>
      <c r="H8007" s="89">
        <f t="shared" si="18"/>
        <v>0.06742485784</v>
      </c>
      <c r="I8007" s="78" t="s">
        <v>9118</v>
      </c>
      <c r="J8007" s="78" t="s">
        <v>69</v>
      </c>
      <c r="K8007" s="58">
        <f t="shared" si="17"/>
        <v>0</v>
      </c>
      <c r="L8007" s="91" t="str">
        <f t="shared" si="8"/>
        <v>Wed</v>
      </c>
      <c r="M8007" s="78" t="str">
        <f>IFERROR(VLOOKUP(A8007, Entries!A:B,2,false),"")</f>
        <v/>
      </c>
      <c r="N8007" s="23" t="str">
        <f>IFERROR(VLOOKUP(A8007, Entries!A:K,11,false),"")</f>
        <v/>
      </c>
    </row>
    <row r="8008">
      <c r="A8008" s="78" t="s">
        <v>9018</v>
      </c>
      <c r="B8008" s="78" t="s">
        <v>9114</v>
      </c>
      <c r="C8008" s="85">
        <v>45897.0</v>
      </c>
      <c r="D8008" s="85">
        <v>45897.0</v>
      </c>
      <c r="E8008" s="86">
        <v>36.9</v>
      </c>
      <c r="F8008" s="87">
        <v>42.27</v>
      </c>
      <c r="G8008" s="88">
        <f t="shared" si="1"/>
        <v>5.37</v>
      </c>
      <c r="H8008" s="89">
        <f t="shared" si="18"/>
        <v>0.1270404542</v>
      </c>
      <c r="I8008" s="78" t="s">
        <v>9119</v>
      </c>
      <c r="J8008" s="78" t="s">
        <v>69</v>
      </c>
      <c r="K8008" s="58">
        <f t="shared" si="17"/>
        <v>0</v>
      </c>
      <c r="L8008" s="91" t="str">
        <f t="shared" si="8"/>
        <v>Thu</v>
      </c>
      <c r="M8008" s="78" t="str">
        <f>IFERROR(VLOOKUP(A8008, Entries!A:B,2,false),"")</f>
        <v>Game Science</v>
      </c>
      <c r="N8008" s="23" t="str">
        <f>IFERROR(VLOOKUP(A8008, Entries!A:K,11,false),"")</f>
        <v/>
      </c>
      <c r="Q8008" s="78" t="s">
        <v>9114</v>
      </c>
    </row>
    <row r="8009">
      <c r="A8009" s="78" t="s">
        <v>8696</v>
      </c>
      <c r="B8009" s="78" t="s">
        <v>21</v>
      </c>
      <c r="C8009" s="85">
        <v>45897.0</v>
      </c>
      <c r="D8009" s="85">
        <v>45897.0</v>
      </c>
      <c r="E8009" s="78">
        <v>44.85</v>
      </c>
      <c r="F8009" s="87">
        <v>49.24</v>
      </c>
      <c r="G8009" s="88">
        <f t="shared" si="1"/>
        <v>4.39</v>
      </c>
      <c r="H8009" s="89">
        <f t="shared" si="18"/>
        <v>0.08915515841</v>
      </c>
      <c r="J8009" s="78" t="s">
        <v>69</v>
      </c>
      <c r="K8009" s="58">
        <f t="shared" si="17"/>
        <v>0</v>
      </c>
      <c r="L8009" s="91" t="str">
        <f t="shared" si="8"/>
        <v>Thu</v>
      </c>
      <c r="M8009" s="78" t="str">
        <f>IFERROR(VLOOKUP(A8009, Entries!A:B,2,false),"")</f>
        <v/>
      </c>
      <c r="N8009" s="23" t="str">
        <f>IFERROR(VLOOKUP(A8009, Entries!A:K,11,false),"")</f>
        <v/>
      </c>
    </row>
    <row r="8010">
      <c r="A8010" s="78" t="s">
        <v>9018</v>
      </c>
      <c r="B8010" s="78" t="s">
        <v>9114</v>
      </c>
      <c r="C8010" s="85">
        <v>45897.0</v>
      </c>
      <c r="D8010" s="85">
        <v>45897.0</v>
      </c>
      <c r="E8010" s="86">
        <v>36.9</v>
      </c>
      <c r="F8010" s="87">
        <v>42.27</v>
      </c>
      <c r="G8010" s="88">
        <f t="shared" si="1"/>
        <v>5.37</v>
      </c>
      <c r="H8010" s="89">
        <f t="shared" si="18"/>
        <v>0.1270404542</v>
      </c>
      <c r="I8010" s="78" t="s">
        <v>9120</v>
      </c>
      <c r="J8010" s="78" t="s">
        <v>69</v>
      </c>
      <c r="K8010" s="58">
        <f t="shared" si="17"/>
        <v>0</v>
      </c>
      <c r="L8010" s="91" t="str">
        <f t="shared" si="8"/>
        <v>Thu</v>
      </c>
      <c r="M8010" s="78" t="str">
        <f>IFERROR(VLOOKUP(A8010, Entries!A:B,2,false),"")</f>
        <v>Game Science</v>
      </c>
      <c r="N8010" s="23" t="str">
        <f>IFERROR(VLOOKUP(A8010, Entries!A:K,11,false),"")</f>
        <v/>
      </c>
      <c r="Q8010" s="78" t="s">
        <v>9114</v>
      </c>
    </row>
    <row r="8011">
      <c r="A8011" s="78" t="s">
        <v>9018</v>
      </c>
      <c r="B8011" s="78" t="s">
        <v>9114</v>
      </c>
      <c r="C8011" s="85">
        <v>45897.0</v>
      </c>
      <c r="D8011" s="85">
        <v>45897.0</v>
      </c>
      <c r="E8011" s="86">
        <v>36.9</v>
      </c>
      <c r="F8011" s="87">
        <v>42.27</v>
      </c>
      <c r="G8011" s="88">
        <f t="shared" si="1"/>
        <v>5.37</v>
      </c>
      <c r="H8011" s="89">
        <f t="shared" si="18"/>
        <v>0.1270404542</v>
      </c>
      <c r="I8011" s="78" t="s">
        <v>9121</v>
      </c>
      <c r="J8011" s="78" t="s">
        <v>69</v>
      </c>
      <c r="K8011" s="58">
        <f t="shared" si="17"/>
        <v>0</v>
      </c>
      <c r="L8011" s="91" t="str">
        <f t="shared" si="8"/>
        <v>Thu</v>
      </c>
      <c r="M8011" s="78" t="str">
        <f>IFERROR(VLOOKUP(A8011, Entries!A:B,2,false),"")</f>
        <v>Game Science</v>
      </c>
      <c r="N8011" s="23" t="str">
        <f>IFERROR(VLOOKUP(A8011, Entries!A:K,11,false),"")</f>
        <v/>
      </c>
      <c r="Q8011" s="78" t="s">
        <v>9114</v>
      </c>
    </row>
    <row r="8012">
      <c r="A8012" s="78" t="s">
        <v>9018</v>
      </c>
      <c r="B8012" s="78" t="s">
        <v>9114</v>
      </c>
      <c r="C8012" s="85">
        <v>45897.0</v>
      </c>
      <c r="D8012" s="85">
        <v>45898.0</v>
      </c>
      <c r="E8012" s="86">
        <v>36.9</v>
      </c>
      <c r="F8012" s="87">
        <v>42.25</v>
      </c>
      <c r="G8012" s="88">
        <f>MINUS(F8012,E8030)</f>
        <v>8.74</v>
      </c>
      <c r="H8012" s="89">
        <f t="shared" si="18"/>
        <v>0.2068639053</v>
      </c>
      <c r="I8012" s="78" t="s">
        <v>9122</v>
      </c>
      <c r="J8012" s="78" t="s">
        <v>69</v>
      </c>
      <c r="K8012" s="58">
        <f t="shared" si="17"/>
        <v>1</v>
      </c>
      <c r="L8012" s="91" t="str">
        <f t="shared" si="8"/>
        <v>Fri</v>
      </c>
      <c r="M8012" s="78" t="str">
        <f>IFERROR(VLOOKUP(A8012, Entries!A:B,2,false),"")</f>
        <v>Game Science</v>
      </c>
      <c r="N8012" s="23" t="str">
        <f>IFERROR(VLOOKUP(A8012, Entries!A:K,11,false),"")</f>
        <v/>
      </c>
      <c r="Q8012" s="78" t="s">
        <v>9114</v>
      </c>
    </row>
    <row r="8013">
      <c r="A8013" s="78" t="s">
        <v>9018</v>
      </c>
      <c r="B8013" s="78" t="s">
        <v>9114</v>
      </c>
      <c r="C8013" s="85">
        <v>45898.0</v>
      </c>
      <c r="D8013" s="85">
        <v>45898.0</v>
      </c>
      <c r="E8013" s="86">
        <v>36.9</v>
      </c>
      <c r="F8013" s="87">
        <v>42.25</v>
      </c>
      <c r="G8013" s="88">
        <f t="shared" ref="G8013:G8020" si="22">MINUS(F8013,E8013)</f>
        <v>5.35</v>
      </c>
      <c r="H8013" s="89">
        <f t="shared" si="18"/>
        <v>0.1266272189</v>
      </c>
      <c r="I8013" s="78" t="s">
        <v>9123</v>
      </c>
      <c r="J8013" s="78" t="s">
        <v>69</v>
      </c>
      <c r="K8013" s="58">
        <f t="shared" si="17"/>
        <v>0</v>
      </c>
      <c r="L8013" s="91" t="str">
        <f t="shared" si="8"/>
        <v>Fri</v>
      </c>
      <c r="M8013" s="78" t="str">
        <f>IFERROR(VLOOKUP(A8013, Entries!A:B,2,false),"")</f>
        <v>Game Science</v>
      </c>
      <c r="N8013" s="23" t="str">
        <f>IFERROR(VLOOKUP(A8013, Entries!A:K,11,false),"")</f>
        <v/>
      </c>
    </row>
    <row r="8014">
      <c r="A8014" s="78" t="s">
        <v>9018</v>
      </c>
      <c r="B8014" s="78" t="s">
        <v>9114</v>
      </c>
      <c r="C8014" s="85">
        <v>45898.0</v>
      </c>
      <c r="D8014" s="85">
        <v>45898.0</v>
      </c>
      <c r="E8014" s="86">
        <v>36.9</v>
      </c>
      <c r="F8014" s="87">
        <v>42.25</v>
      </c>
      <c r="G8014" s="88">
        <f t="shared" si="22"/>
        <v>5.35</v>
      </c>
      <c r="H8014" s="89">
        <f t="shared" si="18"/>
        <v>0.1266272189</v>
      </c>
      <c r="I8014" s="78" t="s">
        <v>9124</v>
      </c>
      <c r="J8014" s="78" t="s">
        <v>69</v>
      </c>
      <c r="K8014" s="58">
        <f t="shared" si="17"/>
        <v>0</v>
      </c>
      <c r="L8014" s="91" t="str">
        <f t="shared" si="8"/>
        <v>Fri</v>
      </c>
      <c r="M8014" s="78" t="str">
        <f>IFERROR(VLOOKUP(A8014, Entries!A:B,2,false),"")</f>
        <v>Game Science</v>
      </c>
      <c r="N8014" s="23" t="str">
        <f>IFERROR(VLOOKUP(A8014, Entries!A:K,11,false),"")</f>
        <v/>
      </c>
    </row>
    <row r="8015">
      <c r="A8015" s="78" t="s">
        <v>9018</v>
      </c>
      <c r="B8015" s="78" t="s">
        <v>9114</v>
      </c>
      <c r="C8015" s="85">
        <v>45898.0</v>
      </c>
      <c r="D8015" s="85">
        <v>45899.0</v>
      </c>
      <c r="E8015" s="86">
        <v>36.9</v>
      </c>
      <c r="F8015" s="87">
        <v>43.49</v>
      </c>
      <c r="G8015" s="88">
        <f t="shared" si="22"/>
        <v>6.59</v>
      </c>
      <c r="H8015" s="89">
        <f t="shared" si="18"/>
        <v>0.1515290871</v>
      </c>
      <c r="I8015" s="78" t="s">
        <v>9125</v>
      </c>
      <c r="J8015" s="78" t="s">
        <v>69</v>
      </c>
      <c r="K8015" s="58">
        <f t="shared" si="17"/>
        <v>1</v>
      </c>
      <c r="L8015" s="91" t="str">
        <f t="shared" si="8"/>
        <v>Sat</v>
      </c>
      <c r="M8015" s="78" t="str">
        <f>IFERROR(VLOOKUP(A8015, Entries!A:B,2,false),"")</f>
        <v>Game Science</v>
      </c>
      <c r="N8015" s="23" t="str">
        <f>IFERROR(VLOOKUP(A8015, Entries!A:K,11,false),"")</f>
        <v/>
      </c>
    </row>
    <row r="8016">
      <c r="A8016" s="78" t="s">
        <v>9018</v>
      </c>
      <c r="B8016" s="78" t="s">
        <v>9114</v>
      </c>
      <c r="C8016" s="85">
        <v>45898.0</v>
      </c>
      <c r="D8016" s="85">
        <v>45899.0</v>
      </c>
      <c r="E8016" s="86">
        <v>36.9</v>
      </c>
      <c r="F8016" s="87">
        <v>43.47</v>
      </c>
      <c r="G8016" s="88">
        <f t="shared" si="22"/>
        <v>6.57</v>
      </c>
      <c r="H8016" s="89">
        <f t="shared" si="18"/>
        <v>0.1511387164</v>
      </c>
      <c r="I8016" s="78" t="s">
        <v>9126</v>
      </c>
      <c r="J8016" s="78" t="s">
        <v>69</v>
      </c>
      <c r="K8016" s="58">
        <f t="shared" si="17"/>
        <v>1</v>
      </c>
      <c r="L8016" s="91" t="str">
        <f t="shared" si="8"/>
        <v>Sat</v>
      </c>
      <c r="M8016" s="78" t="str">
        <f>IFERROR(VLOOKUP(A8016, Entries!A:B,2,false),"")</f>
        <v>Game Science</v>
      </c>
      <c r="N8016" s="23" t="str">
        <f>IFERROR(VLOOKUP(A8016, Entries!A:K,11,false),"")</f>
        <v/>
      </c>
    </row>
    <row r="8017">
      <c r="A8017" s="78" t="s">
        <v>9127</v>
      </c>
      <c r="B8017" s="78" t="s">
        <v>32</v>
      </c>
      <c r="C8017" s="85">
        <v>45898.0</v>
      </c>
      <c r="D8017" s="85">
        <v>45903.0</v>
      </c>
      <c r="E8017" s="86">
        <v>32.88</v>
      </c>
      <c r="F8017" s="87">
        <v>41.1</v>
      </c>
      <c r="G8017" s="88">
        <f t="shared" si="22"/>
        <v>8.22</v>
      </c>
      <c r="H8017" s="89">
        <f t="shared" si="18"/>
        <v>0.2</v>
      </c>
      <c r="I8017" s="78" t="s">
        <v>9128</v>
      </c>
      <c r="J8017" s="78" t="s">
        <v>69</v>
      </c>
      <c r="K8017" s="58">
        <f t="shared" si="17"/>
        <v>5</v>
      </c>
      <c r="L8017" s="91" t="str">
        <f t="shared" si="8"/>
        <v>Wed</v>
      </c>
      <c r="M8017" s="78" t="str">
        <f>IFERROR(VLOOKUP(A8017, Entries!A:B,2,false),"")</f>
        <v/>
      </c>
      <c r="N8017" s="23" t="str">
        <f>IFERROR(VLOOKUP(A8017, Entries!A:K,11,false),"")</f>
        <v/>
      </c>
    </row>
    <row r="8018">
      <c r="A8018" s="78" t="s">
        <v>9127</v>
      </c>
      <c r="B8018" s="78" t="s">
        <v>32</v>
      </c>
      <c r="C8018" s="85">
        <v>45898.0</v>
      </c>
      <c r="D8018" s="85">
        <v>45908.0</v>
      </c>
      <c r="E8018" s="86">
        <v>32.88</v>
      </c>
      <c r="F8018" s="87">
        <v>42.01</v>
      </c>
      <c r="G8018" s="88">
        <f t="shared" si="22"/>
        <v>9.13</v>
      </c>
      <c r="H8018" s="89">
        <f t="shared" si="18"/>
        <v>0.2173292073</v>
      </c>
      <c r="I8018" s="78" t="s">
        <v>9129</v>
      </c>
      <c r="J8018" s="78" t="s">
        <v>69</v>
      </c>
      <c r="K8018" s="58">
        <f t="shared" si="17"/>
        <v>10</v>
      </c>
      <c r="L8018" s="91" t="str">
        <f t="shared" si="8"/>
        <v>Mon</v>
      </c>
      <c r="M8018" s="78" t="str">
        <f>IFERROR(VLOOKUP(A8018, Entries!A:B,2,false),"")</f>
        <v/>
      </c>
      <c r="N8018" s="23" t="str">
        <f>IFERROR(VLOOKUP(A8018, Entries!A:K,11,false),"")</f>
        <v/>
      </c>
    </row>
    <row r="8019">
      <c r="A8019" s="78" t="s">
        <v>9018</v>
      </c>
      <c r="B8019" s="78" t="s">
        <v>9114</v>
      </c>
      <c r="C8019" s="85">
        <v>45899.0</v>
      </c>
      <c r="D8019" s="85">
        <v>45900.0</v>
      </c>
      <c r="E8019" s="86">
        <v>36.9</v>
      </c>
      <c r="F8019" s="87">
        <v>43.45</v>
      </c>
      <c r="G8019" s="88">
        <f t="shared" si="22"/>
        <v>6.55</v>
      </c>
      <c r="H8019" s="89">
        <f t="shared" si="18"/>
        <v>0.1507479862</v>
      </c>
      <c r="I8019" s="78" t="s">
        <v>9130</v>
      </c>
      <c r="J8019" s="78" t="s">
        <v>69</v>
      </c>
      <c r="K8019" s="58">
        <f t="shared" si="17"/>
        <v>1</v>
      </c>
      <c r="L8019" s="91" t="str">
        <f t="shared" si="8"/>
        <v>Sun</v>
      </c>
      <c r="M8019" s="78" t="str">
        <f>IFERROR(VLOOKUP(A8019, Entries!A:B,2,false),"")</f>
        <v>Game Science</v>
      </c>
      <c r="N8019" s="23" t="str">
        <f>IFERROR(VLOOKUP(A8019, Entries!A:K,11,false),"")</f>
        <v/>
      </c>
    </row>
    <row r="8020">
      <c r="A8020" s="78" t="s">
        <v>9018</v>
      </c>
      <c r="B8020" s="78" t="s">
        <v>9114</v>
      </c>
      <c r="C8020" s="85">
        <v>45899.0</v>
      </c>
      <c r="D8020" s="85">
        <v>45900.0</v>
      </c>
      <c r="E8020" s="86">
        <v>36.9</v>
      </c>
      <c r="F8020" s="87">
        <v>43.45</v>
      </c>
      <c r="G8020" s="88">
        <f t="shared" si="22"/>
        <v>6.55</v>
      </c>
      <c r="H8020" s="89">
        <f t="shared" si="18"/>
        <v>0.1507479862</v>
      </c>
      <c r="I8020" s="78" t="s">
        <v>9131</v>
      </c>
      <c r="J8020" s="78" t="s">
        <v>69</v>
      </c>
      <c r="K8020" s="58">
        <f t="shared" si="17"/>
        <v>1</v>
      </c>
      <c r="L8020" s="91" t="str">
        <f t="shared" si="8"/>
        <v>Sun</v>
      </c>
      <c r="M8020" s="78" t="str">
        <f>IFERROR(VLOOKUP(A8020, Entries!A:B,2,false),"")</f>
        <v>Game Science</v>
      </c>
      <c r="N8020" s="23" t="str">
        <f>IFERROR(VLOOKUP(A8020, Entries!A:K,11,false),"")</f>
        <v/>
      </c>
    </row>
    <row r="8021">
      <c r="A8021" s="78" t="s">
        <v>9018</v>
      </c>
      <c r="B8021" s="78" t="s">
        <v>9114</v>
      </c>
      <c r="C8021" s="85">
        <v>45900.0</v>
      </c>
      <c r="D8021" s="85">
        <v>45900.0</v>
      </c>
      <c r="E8021" s="86">
        <v>36.9</v>
      </c>
      <c r="F8021" s="87">
        <v>43.45</v>
      </c>
      <c r="G8021" s="88">
        <f>MINUS(F8021,E8030)</f>
        <v>9.94</v>
      </c>
      <c r="H8021" s="89">
        <f t="shared" si="18"/>
        <v>0.2287686997</v>
      </c>
      <c r="I8021" s="78" t="s">
        <v>9132</v>
      </c>
      <c r="J8021" s="78" t="s">
        <v>69</v>
      </c>
      <c r="K8021" s="58">
        <f t="shared" si="17"/>
        <v>0</v>
      </c>
      <c r="L8021" s="91" t="str">
        <f t="shared" si="8"/>
        <v>Sun</v>
      </c>
      <c r="M8021" s="78" t="str">
        <f>IFERROR(VLOOKUP(A8021, Entries!A:B,2,false),"")</f>
        <v>Game Science</v>
      </c>
      <c r="N8021" s="23" t="str">
        <f>IFERROR(VLOOKUP(A8021, Entries!A:K,11,false),"")</f>
        <v/>
      </c>
    </row>
    <row r="8022">
      <c r="A8022" s="78" t="s">
        <v>9018</v>
      </c>
      <c r="B8022" s="78" t="s">
        <v>9114</v>
      </c>
      <c r="C8022" s="85">
        <v>45900.0</v>
      </c>
      <c r="D8022" s="85">
        <v>45900.0</v>
      </c>
      <c r="E8022" s="86">
        <v>36.9</v>
      </c>
      <c r="F8022" s="87">
        <v>43.45</v>
      </c>
      <c r="G8022" s="88">
        <f t="shared" ref="G8022:G8982" si="23">MINUS(F8022,E8022)</f>
        <v>6.55</v>
      </c>
      <c r="H8022" s="89">
        <f t="shared" si="18"/>
        <v>0.1507479862</v>
      </c>
      <c r="I8022" s="78" t="s">
        <v>9133</v>
      </c>
      <c r="J8022" s="78" t="s">
        <v>69</v>
      </c>
      <c r="K8022" s="58">
        <f t="shared" si="17"/>
        <v>0</v>
      </c>
      <c r="L8022" s="91" t="str">
        <f t="shared" si="8"/>
        <v>Sun</v>
      </c>
      <c r="M8022" s="78" t="str">
        <f>IFERROR(VLOOKUP(A8022, Entries!A:B,2,false),"")</f>
        <v>Game Science</v>
      </c>
      <c r="N8022" s="23" t="str">
        <f>IFERROR(VLOOKUP(A8022, Entries!A:K,11,false),"")</f>
        <v/>
      </c>
    </row>
    <row r="8023">
      <c r="A8023" s="78" t="s">
        <v>9018</v>
      </c>
      <c r="B8023" s="78" t="s">
        <v>9114</v>
      </c>
      <c r="C8023" s="85">
        <v>45900.0</v>
      </c>
      <c r="D8023" s="85">
        <v>45900.0</v>
      </c>
      <c r="E8023" s="86">
        <v>36.9</v>
      </c>
      <c r="F8023" s="87">
        <v>43.45</v>
      </c>
      <c r="G8023" s="88">
        <f t="shared" si="23"/>
        <v>6.55</v>
      </c>
      <c r="H8023" s="89">
        <f t="shared" si="18"/>
        <v>0.1507479862</v>
      </c>
      <c r="I8023" s="78" t="s">
        <v>9134</v>
      </c>
      <c r="J8023" s="78" t="s">
        <v>69</v>
      </c>
      <c r="K8023" s="58">
        <f t="shared" si="17"/>
        <v>0</v>
      </c>
      <c r="L8023" s="91" t="str">
        <f t="shared" si="8"/>
        <v>Sun</v>
      </c>
      <c r="M8023" s="78" t="str">
        <f>IFERROR(VLOOKUP(A8023, Entries!A:B,2,false),"")</f>
        <v>Game Science</v>
      </c>
      <c r="N8023" s="23" t="str">
        <f>IFERROR(VLOOKUP(A8023, Entries!A:K,11,false),"")</f>
        <v/>
      </c>
    </row>
    <row r="8024">
      <c r="A8024" s="78" t="s">
        <v>9018</v>
      </c>
      <c r="B8024" s="78" t="s">
        <v>9114</v>
      </c>
      <c r="C8024" s="85">
        <v>45900.0</v>
      </c>
      <c r="D8024" s="85">
        <v>45906.0</v>
      </c>
      <c r="E8024" s="86">
        <v>36.9</v>
      </c>
      <c r="F8024" s="87">
        <v>41.16</v>
      </c>
      <c r="G8024" s="88">
        <f t="shared" si="23"/>
        <v>4.26</v>
      </c>
      <c r="H8024" s="89">
        <f t="shared" si="18"/>
        <v>0.1034985423</v>
      </c>
      <c r="I8024" s="78" t="s">
        <v>9135</v>
      </c>
      <c r="J8024" s="78" t="s">
        <v>69</v>
      </c>
      <c r="K8024" s="58">
        <f t="shared" si="17"/>
        <v>6</v>
      </c>
      <c r="L8024" s="91" t="str">
        <f t="shared" si="8"/>
        <v>Sat</v>
      </c>
      <c r="M8024" s="78" t="str">
        <f>IFERROR(VLOOKUP(A8024, Entries!A:B,2,false),"")</f>
        <v>Game Science</v>
      </c>
      <c r="N8024" s="23" t="str">
        <f>IFERROR(VLOOKUP(A8024, Entries!A:K,11,false),"")</f>
        <v/>
      </c>
    </row>
    <row r="8025">
      <c r="A8025" s="78" t="s">
        <v>9018</v>
      </c>
      <c r="B8025" s="78" t="s">
        <v>9114</v>
      </c>
      <c r="C8025" s="85">
        <v>45900.0</v>
      </c>
      <c r="D8025" s="85">
        <v>45900.0</v>
      </c>
      <c r="E8025" s="86">
        <v>35.1</v>
      </c>
      <c r="F8025" s="87">
        <v>43.45</v>
      </c>
      <c r="G8025" s="88">
        <f t="shared" si="23"/>
        <v>8.35</v>
      </c>
      <c r="H8025" s="89">
        <f t="shared" si="18"/>
        <v>0.1921749137</v>
      </c>
      <c r="I8025" s="78" t="s">
        <v>9136</v>
      </c>
      <c r="J8025" s="78" t="s">
        <v>69</v>
      </c>
      <c r="K8025" s="58">
        <f t="shared" si="17"/>
        <v>0</v>
      </c>
      <c r="L8025" s="91" t="str">
        <f t="shared" si="8"/>
        <v>Sun</v>
      </c>
      <c r="M8025" s="78" t="str">
        <f>IFERROR(VLOOKUP(A8025, Entries!A:B,2,false),"")</f>
        <v>Game Science</v>
      </c>
      <c r="N8025" s="23" t="str">
        <f>IFERROR(VLOOKUP(A8025, Entries!A:K,11,false),"")</f>
        <v/>
      </c>
    </row>
    <row r="8026">
      <c r="A8026" s="78" t="s">
        <v>9018</v>
      </c>
      <c r="B8026" s="78" t="s">
        <v>9114</v>
      </c>
      <c r="C8026" s="85">
        <v>45900.0</v>
      </c>
      <c r="D8026" s="85">
        <v>45901.0</v>
      </c>
      <c r="E8026" s="86">
        <v>35.1</v>
      </c>
      <c r="F8026" s="87">
        <v>43.45</v>
      </c>
      <c r="G8026" s="88">
        <f t="shared" si="23"/>
        <v>8.35</v>
      </c>
      <c r="H8026" s="89">
        <f t="shared" si="18"/>
        <v>0.1921749137</v>
      </c>
      <c r="I8026" s="78" t="s">
        <v>9137</v>
      </c>
      <c r="J8026" s="78" t="s">
        <v>69</v>
      </c>
      <c r="K8026" s="58">
        <f t="shared" si="17"/>
        <v>1</v>
      </c>
      <c r="L8026" s="91" t="str">
        <f t="shared" si="8"/>
        <v>Mon</v>
      </c>
      <c r="M8026" s="78" t="str">
        <f>IFERROR(VLOOKUP(A8026, Entries!A:B,2,false),"")</f>
        <v>Game Science</v>
      </c>
      <c r="N8026" s="23" t="str">
        <f>IFERROR(VLOOKUP(A8026, Entries!A:K,11,false),"")</f>
        <v/>
      </c>
    </row>
    <row r="8027">
      <c r="A8027" s="78" t="s">
        <v>9018</v>
      </c>
      <c r="B8027" s="78" t="s">
        <v>21</v>
      </c>
      <c r="C8027" s="85">
        <v>45901.0</v>
      </c>
      <c r="D8027" s="85">
        <v>45901.0</v>
      </c>
      <c r="E8027" s="86">
        <v>37.5</v>
      </c>
      <c r="F8027" s="87">
        <v>43.5</v>
      </c>
      <c r="G8027" s="88">
        <f t="shared" si="23"/>
        <v>6</v>
      </c>
      <c r="H8027" s="89">
        <f t="shared" si="18"/>
        <v>0.1379310345</v>
      </c>
      <c r="I8027" s="78" t="s">
        <v>9138</v>
      </c>
      <c r="J8027" s="78" t="s">
        <v>69</v>
      </c>
      <c r="K8027" s="58">
        <f t="shared" si="17"/>
        <v>0</v>
      </c>
      <c r="L8027" s="91" t="str">
        <f t="shared" si="8"/>
        <v>Mon</v>
      </c>
      <c r="M8027" s="78" t="str">
        <f>IFERROR(VLOOKUP(A8027, Entries!A:B,2,false),"")</f>
        <v>Game Science</v>
      </c>
      <c r="N8027" s="23" t="str">
        <f>IFERROR(VLOOKUP(A8027, Entries!A:K,11,false),"")</f>
        <v/>
      </c>
    </row>
    <row r="8028">
      <c r="A8028" s="94" t="s">
        <v>9139</v>
      </c>
      <c r="B8028" s="78" t="s">
        <v>25</v>
      </c>
      <c r="C8028" s="85">
        <v>45902.0</v>
      </c>
      <c r="D8028" s="25"/>
      <c r="E8028" s="86">
        <v>37.47</v>
      </c>
      <c r="F8028" s="88"/>
      <c r="G8028" s="88">
        <f t="shared" si="23"/>
        <v>-37.47</v>
      </c>
      <c r="H8028" s="89" t="str">
        <f t="shared" si="18"/>
        <v/>
      </c>
      <c r="I8028" s="78" t="s">
        <v>8995</v>
      </c>
      <c r="J8028" s="78" t="s">
        <v>1129</v>
      </c>
      <c r="K8028" s="58" t="str">
        <f t="shared" si="17"/>
        <v/>
      </c>
      <c r="L8028" s="91" t="str">
        <f t="shared" si="8"/>
        <v/>
      </c>
      <c r="M8028" s="78" t="str">
        <f>IFERROR(VLOOKUP(A8028, Entries!A:B,2,false),"")</f>
        <v/>
      </c>
      <c r="N8028" s="23" t="str">
        <f>IFERROR(VLOOKUP(A8028, Entries!A:K,11,false),"")</f>
        <v/>
      </c>
      <c r="P8028" s="78" t="s">
        <v>9140</v>
      </c>
    </row>
    <row r="8029">
      <c r="A8029" s="78" t="s">
        <v>8865</v>
      </c>
      <c r="B8029" s="78" t="s">
        <v>19</v>
      </c>
      <c r="C8029" s="85">
        <v>45902.0</v>
      </c>
      <c r="D8029" s="85">
        <v>45913.0</v>
      </c>
      <c r="E8029" s="86">
        <v>29.64</v>
      </c>
      <c r="F8029" s="87">
        <v>34.0</v>
      </c>
      <c r="G8029" s="88">
        <f t="shared" si="23"/>
        <v>4.36</v>
      </c>
      <c r="H8029" s="89">
        <f t="shared" si="18"/>
        <v>0.1282352941</v>
      </c>
      <c r="I8029" s="78" t="s">
        <v>9141</v>
      </c>
      <c r="J8029" s="78" t="s">
        <v>69</v>
      </c>
      <c r="K8029" s="58">
        <f t="shared" si="17"/>
        <v>11</v>
      </c>
      <c r="L8029" s="91" t="str">
        <f t="shared" si="8"/>
        <v>Sat</v>
      </c>
      <c r="M8029" s="78" t="str">
        <f>IFERROR(VLOOKUP(A8029, Entries!A:B,2,false),"")</f>
        <v>Bethesda Softworks</v>
      </c>
      <c r="N8029" s="23" t="str">
        <f>IFERROR(VLOOKUP(A8029, Entries!A:K,11,false),"")</f>
        <v/>
      </c>
      <c r="P8029" s="78" t="s">
        <v>9142</v>
      </c>
    </row>
    <row r="8030">
      <c r="A8030" s="78" t="s">
        <v>7649</v>
      </c>
      <c r="B8030" s="78" t="s">
        <v>18</v>
      </c>
      <c r="C8030" s="85">
        <v>45904.0</v>
      </c>
      <c r="D8030" s="85">
        <v>45905.0</v>
      </c>
      <c r="E8030" s="86">
        <v>33.51</v>
      </c>
      <c r="F8030" s="87">
        <v>37.23</v>
      </c>
      <c r="G8030" s="88">
        <f t="shared" si="23"/>
        <v>3.72</v>
      </c>
      <c r="H8030" s="89">
        <f t="shared" si="18"/>
        <v>0.09991941982</v>
      </c>
      <c r="I8030" s="78" t="s">
        <v>9143</v>
      </c>
      <c r="J8030" s="78" t="s">
        <v>69</v>
      </c>
      <c r="K8030" s="58">
        <f t="shared" si="17"/>
        <v>1</v>
      </c>
      <c r="L8030" s="91" t="str">
        <f t="shared" si="8"/>
        <v>Fri</v>
      </c>
      <c r="M8030" s="78" t="str">
        <f>IFERROR(VLOOKUP(A8030, Entries!A:B,2,false),"")</f>
        <v>PlayStation</v>
      </c>
      <c r="N8030" s="23" t="str">
        <f>IFERROR(VLOOKUP(A8030, Entries!A:K,11,false),"")</f>
        <v/>
      </c>
    </row>
    <row r="8031">
      <c r="A8031" s="78" t="s">
        <v>9018</v>
      </c>
      <c r="B8031" s="78" t="s">
        <v>21</v>
      </c>
      <c r="C8031" s="85">
        <v>45906.0</v>
      </c>
      <c r="D8031" s="85">
        <v>45907.0</v>
      </c>
      <c r="E8031" s="86">
        <v>37.59</v>
      </c>
      <c r="F8031" s="87">
        <v>41.12</v>
      </c>
      <c r="G8031" s="88">
        <f t="shared" si="23"/>
        <v>3.53</v>
      </c>
      <c r="H8031" s="89">
        <f t="shared" si="18"/>
        <v>0.0858463035</v>
      </c>
      <c r="I8031" s="78" t="s">
        <v>9144</v>
      </c>
      <c r="J8031" s="78" t="s">
        <v>69</v>
      </c>
      <c r="K8031" s="58">
        <f t="shared" si="17"/>
        <v>1</v>
      </c>
      <c r="L8031" s="91" t="str">
        <f t="shared" si="8"/>
        <v>Sun</v>
      </c>
      <c r="M8031" s="78" t="str">
        <f>IFERROR(VLOOKUP(A8031, Entries!A:B,2,false),"")</f>
        <v>Game Science</v>
      </c>
      <c r="N8031" s="23" t="str">
        <f>IFERROR(VLOOKUP(A8031, Entries!A:K,11,false),"")</f>
        <v/>
      </c>
    </row>
    <row r="8032">
      <c r="A8032" s="78" t="s">
        <v>8011</v>
      </c>
      <c r="B8032" s="78" t="s">
        <v>30</v>
      </c>
      <c r="C8032" s="85">
        <v>45909.0</v>
      </c>
      <c r="D8032" s="85">
        <v>45922.0</v>
      </c>
      <c r="E8032" s="86">
        <v>10.95</v>
      </c>
      <c r="F8032" s="87">
        <v>13.27</v>
      </c>
      <c r="G8032" s="88">
        <f t="shared" si="23"/>
        <v>2.32</v>
      </c>
      <c r="H8032" s="89">
        <f t="shared" si="18"/>
        <v>0.1748304446</v>
      </c>
      <c r="I8032" s="78" t="s">
        <v>9145</v>
      </c>
      <c r="J8032" s="78" t="s">
        <v>69</v>
      </c>
      <c r="K8032" s="58">
        <f t="shared" si="17"/>
        <v>13</v>
      </c>
      <c r="L8032" s="91" t="str">
        <f t="shared" si="8"/>
        <v>Mon</v>
      </c>
      <c r="M8032" s="78" t="str">
        <f>IFERROR(VLOOKUP(A8032, Entries!A:B,2,false),"")</f>
        <v/>
      </c>
      <c r="N8032" s="23" t="str">
        <f>IFERROR(VLOOKUP(A8032, Entries!A:K,11,false),"")</f>
        <v/>
      </c>
    </row>
    <row r="8033">
      <c r="A8033" s="78" t="s">
        <v>4966</v>
      </c>
      <c r="B8033" s="78" t="s">
        <v>27</v>
      </c>
      <c r="C8033" s="85">
        <v>45912.0</v>
      </c>
      <c r="D8033" s="85">
        <v>45912.0</v>
      </c>
      <c r="E8033" s="86">
        <v>16.29</v>
      </c>
      <c r="F8033" s="87">
        <v>20.19</v>
      </c>
      <c r="G8033" s="88">
        <f t="shared" si="23"/>
        <v>3.9</v>
      </c>
      <c r="H8033" s="89">
        <f t="shared" si="18"/>
        <v>0.1931649331</v>
      </c>
      <c r="I8033" s="78" t="s">
        <v>9146</v>
      </c>
      <c r="J8033" s="78" t="s">
        <v>69</v>
      </c>
      <c r="K8033" s="58">
        <f t="shared" si="17"/>
        <v>0</v>
      </c>
      <c r="L8033" s="91" t="str">
        <f t="shared" si="8"/>
        <v>Fri</v>
      </c>
      <c r="M8033" s="78" t="str">
        <f>IFERROR(VLOOKUP(A8033, Entries!A:B,2,false),"")</f>
        <v>Hello Games</v>
      </c>
      <c r="N8033" s="23" t="str">
        <f>IFERROR(VLOOKUP(A8033, Entries!A:K,11,false),"")</f>
        <v/>
      </c>
    </row>
    <row r="8034">
      <c r="A8034" s="78" t="s">
        <v>4966</v>
      </c>
      <c r="B8034" s="78" t="s">
        <v>27</v>
      </c>
      <c r="C8034" s="85">
        <v>45912.0</v>
      </c>
      <c r="D8034" s="85">
        <v>45912.0</v>
      </c>
      <c r="E8034" s="86">
        <v>16.29</v>
      </c>
      <c r="F8034" s="87">
        <v>20.97</v>
      </c>
      <c r="G8034" s="88">
        <f t="shared" si="23"/>
        <v>4.68</v>
      </c>
      <c r="H8034" s="89">
        <f t="shared" si="18"/>
        <v>0.2231759657</v>
      </c>
      <c r="I8034" s="78" t="s">
        <v>9147</v>
      </c>
      <c r="J8034" s="78" t="s">
        <v>69</v>
      </c>
      <c r="K8034" s="58">
        <f t="shared" si="17"/>
        <v>0</v>
      </c>
      <c r="L8034" s="91" t="str">
        <f t="shared" si="8"/>
        <v>Fri</v>
      </c>
      <c r="M8034" s="78" t="str">
        <f>IFERROR(VLOOKUP(A8034, Entries!A:B,2,false),"")</f>
        <v>Hello Games</v>
      </c>
      <c r="N8034" s="23" t="str">
        <f>IFERROR(VLOOKUP(A8034, Entries!A:K,11,false),"")</f>
        <v/>
      </c>
    </row>
    <row r="8035">
      <c r="A8035" s="78" t="s">
        <v>4966</v>
      </c>
      <c r="B8035" s="78" t="s">
        <v>27</v>
      </c>
      <c r="C8035" s="85">
        <v>45912.0</v>
      </c>
      <c r="D8035" s="85">
        <v>45912.0</v>
      </c>
      <c r="E8035" s="86">
        <v>16.29</v>
      </c>
      <c r="F8035" s="87">
        <v>20.97</v>
      </c>
      <c r="G8035" s="88">
        <f t="shared" si="23"/>
        <v>4.68</v>
      </c>
      <c r="H8035" s="89">
        <f t="shared" si="18"/>
        <v>0.2231759657</v>
      </c>
      <c r="I8035" s="78" t="s">
        <v>9148</v>
      </c>
      <c r="J8035" s="78" t="s">
        <v>69</v>
      </c>
      <c r="K8035" s="58">
        <f t="shared" si="17"/>
        <v>0</v>
      </c>
      <c r="L8035" s="91" t="str">
        <f t="shared" si="8"/>
        <v>Fri</v>
      </c>
      <c r="M8035" s="78" t="str">
        <f>IFERROR(VLOOKUP(A8035, Entries!A:B,2,false),"")</f>
        <v>Hello Games</v>
      </c>
      <c r="N8035" s="23" t="str">
        <f>IFERROR(VLOOKUP(A8035, Entries!A:K,11,false),"")</f>
        <v/>
      </c>
    </row>
    <row r="8036">
      <c r="A8036" s="78" t="s">
        <v>2466</v>
      </c>
      <c r="B8036" s="78" t="s">
        <v>27</v>
      </c>
      <c r="C8036" s="85">
        <v>45912.0</v>
      </c>
      <c r="D8036" s="85">
        <v>46041.0</v>
      </c>
      <c r="E8036" s="86">
        <v>11.39</v>
      </c>
      <c r="F8036" s="87">
        <v>13.51</v>
      </c>
      <c r="G8036" s="88">
        <f t="shared" si="23"/>
        <v>2.12</v>
      </c>
      <c r="H8036" s="89">
        <f t="shared" si="18"/>
        <v>0.1569207994</v>
      </c>
      <c r="I8036" s="78" t="s">
        <v>9149</v>
      </c>
      <c r="J8036" s="78" t="s">
        <v>69</v>
      </c>
      <c r="K8036" s="58">
        <f t="shared" si="17"/>
        <v>129</v>
      </c>
      <c r="L8036" s="91" t="str">
        <f t="shared" si="8"/>
        <v>Mon</v>
      </c>
      <c r="M8036" s="78" t="str">
        <f>IFERROR(VLOOKUP(A8036, Entries!A:B,2,false),"")</f>
        <v>Bethesda Softworks</v>
      </c>
      <c r="N8036" s="23" t="str">
        <f>IFERROR(VLOOKUP(A8036, Entries!A:K,11,false),"")</f>
        <v/>
      </c>
    </row>
    <row r="8037">
      <c r="A8037" s="78" t="s">
        <v>9112</v>
      </c>
      <c r="B8037" s="78" t="s">
        <v>21</v>
      </c>
      <c r="C8037" s="85">
        <v>45912.0</v>
      </c>
      <c r="D8037" s="25"/>
      <c r="E8037" s="86">
        <v>34.59</v>
      </c>
      <c r="F8037" s="88"/>
      <c r="G8037" s="88">
        <f t="shared" si="23"/>
        <v>-34.59</v>
      </c>
      <c r="H8037" s="89" t="str">
        <f t="shared" si="18"/>
        <v/>
      </c>
      <c r="I8037" s="78" t="s">
        <v>9150</v>
      </c>
      <c r="J8037" s="78" t="s">
        <v>1129</v>
      </c>
      <c r="K8037" s="58" t="str">
        <f t="shared" si="17"/>
        <v/>
      </c>
      <c r="L8037" s="91" t="str">
        <f t="shared" si="8"/>
        <v/>
      </c>
      <c r="M8037" s="78" t="str">
        <f>IFERROR(VLOOKUP(A8037, Entries!A:B,2,false),"")</f>
        <v/>
      </c>
      <c r="N8037" s="23" t="str">
        <f>IFERROR(VLOOKUP(A8037, Entries!A:K,11,false),"")</f>
        <v/>
      </c>
    </row>
    <row r="8038">
      <c r="A8038" s="78" t="s">
        <v>4970</v>
      </c>
      <c r="B8038" s="78" t="s">
        <v>17</v>
      </c>
      <c r="C8038" s="85">
        <v>45912.0</v>
      </c>
      <c r="D8038" s="85">
        <v>45912.0</v>
      </c>
      <c r="E8038" s="86">
        <v>19.4</v>
      </c>
      <c r="F8038" s="87">
        <v>22.89</v>
      </c>
      <c r="G8038" s="88">
        <f t="shared" si="23"/>
        <v>3.49</v>
      </c>
      <c r="H8038" s="89">
        <f t="shared" si="18"/>
        <v>0.1524683268</v>
      </c>
      <c r="I8038" s="78" t="s">
        <v>9151</v>
      </c>
      <c r="J8038" s="78" t="s">
        <v>69</v>
      </c>
      <c r="K8038" s="58">
        <f t="shared" si="17"/>
        <v>0</v>
      </c>
      <c r="L8038" s="91" t="str">
        <f t="shared" si="8"/>
        <v>Fri</v>
      </c>
      <c r="M8038" s="78" t="str">
        <f>IFERROR(VLOOKUP(A8038, Entries!A:B,2,false),"")</f>
        <v>Hello Games</v>
      </c>
      <c r="N8038" s="23" t="str">
        <f>IFERROR(VLOOKUP(A8038, Entries!A:K,11,false),"")</f>
        <v/>
      </c>
      <c r="P8038" s="78" t="s">
        <v>9152</v>
      </c>
    </row>
    <row r="8039">
      <c r="A8039" s="78" t="s">
        <v>9153</v>
      </c>
      <c r="B8039" s="78" t="s">
        <v>27</v>
      </c>
      <c r="C8039" s="85">
        <v>45913.0</v>
      </c>
      <c r="D8039" s="85">
        <v>45941.0</v>
      </c>
      <c r="E8039" s="86">
        <v>29.99</v>
      </c>
      <c r="F8039" s="87">
        <v>30.92</v>
      </c>
      <c r="G8039" s="88">
        <f t="shared" si="23"/>
        <v>0.93</v>
      </c>
      <c r="H8039" s="89">
        <f t="shared" si="18"/>
        <v>0.03007761966</v>
      </c>
      <c r="I8039" s="78" t="s">
        <v>9154</v>
      </c>
      <c r="J8039" s="78" t="s">
        <v>69</v>
      </c>
      <c r="K8039" s="58">
        <f t="shared" si="17"/>
        <v>28</v>
      </c>
      <c r="L8039" s="91" t="str">
        <f t="shared" si="8"/>
        <v>Sat</v>
      </c>
      <c r="M8039" s="78" t="str">
        <f>IFERROR(VLOOKUP(A8039, Entries!A:B,2,false),"")</f>
        <v/>
      </c>
      <c r="N8039" s="23" t="str">
        <f>IFERROR(VLOOKUP(A8039, Entries!A:K,11,false),"")</f>
        <v/>
      </c>
    </row>
    <row r="8040">
      <c r="A8040" s="78" t="s">
        <v>8696</v>
      </c>
      <c r="B8040" s="78" t="s">
        <v>19</v>
      </c>
      <c r="C8040" s="85">
        <v>45915.0</v>
      </c>
      <c r="D8040" s="85">
        <v>45916.0</v>
      </c>
      <c r="E8040" s="86">
        <v>41.44</v>
      </c>
      <c r="F8040" s="87">
        <v>50.73</v>
      </c>
      <c r="G8040" s="88">
        <f t="shared" si="23"/>
        <v>9.29</v>
      </c>
      <c r="H8040" s="89">
        <f t="shared" si="18"/>
        <v>0.1831263552</v>
      </c>
      <c r="I8040" s="78" t="s">
        <v>9155</v>
      </c>
      <c r="J8040" s="78" t="s">
        <v>69</v>
      </c>
      <c r="K8040" s="58">
        <f t="shared" si="17"/>
        <v>1</v>
      </c>
      <c r="L8040" s="91" t="str">
        <f t="shared" si="8"/>
        <v>Tue</v>
      </c>
      <c r="M8040" s="78" t="str">
        <f>IFERROR(VLOOKUP(A8040, Entries!A:B,2,false),"")</f>
        <v/>
      </c>
      <c r="N8040" s="23" t="str">
        <f>IFERROR(VLOOKUP(A8040, Entries!A:K,11,false),"")</f>
        <v/>
      </c>
      <c r="P8040" s="78" t="s">
        <v>9156</v>
      </c>
    </row>
    <row r="8041">
      <c r="A8041" s="78" t="s">
        <v>8696</v>
      </c>
      <c r="B8041" s="78" t="s">
        <v>19</v>
      </c>
      <c r="C8041" s="85">
        <v>45916.0</v>
      </c>
      <c r="D8041" s="85">
        <v>45966.0</v>
      </c>
      <c r="E8041" s="86">
        <v>41.38</v>
      </c>
      <c r="F8041" s="87">
        <v>47.0</v>
      </c>
      <c r="G8041" s="88">
        <f t="shared" si="23"/>
        <v>5.62</v>
      </c>
      <c r="H8041" s="89">
        <f t="shared" si="18"/>
        <v>0.1195744681</v>
      </c>
      <c r="I8041" s="78" t="s">
        <v>9157</v>
      </c>
      <c r="J8041" s="78" t="s">
        <v>69</v>
      </c>
      <c r="K8041" s="58">
        <f t="shared" si="17"/>
        <v>50</v>
      </c>
      <c r="L8041" s="91" t="str">
        <f t="shared" si="8"/>
        <v>Wed</v>
      </c>
      <c r="M8041" s="78" t="str">
        <f>IFERROR(VLOOKUP(A8041, Entries!A:B,2,false),"")</f>
        <v/>
      </c>
      <c r="N8041" s="23" t="str">
        <f>IFERROR(VLOOKUP(A8041, Entries!A:K,11,false),"")</f>
        <v/>
      </c>
      <c r="P8041" s="78" t="s">
        <v>9158</v>
      </c>
    </row>
    <row r="8042">
      <c r="A8042" s="78" t="s">
        <v>2316</v>
      </c>
      <c r="B8042" s="78" t="s">
        <v>19</v>
      </c>
      <c r="C8042" s="85">
        <v>45916.0</v>
      </c>
      <c r="D8042" s="85">
        <v>45919.0</v>
      </c>
      <c r="E8042" s="86">
        <v>0.0</v>
      </c>
      <c r="F8042" s="87">
        <v>0.55</v>
      </c>
      <c r="G8042" s="88">
        <f t="shared" si="23"/>
        <v>0.55</v>
      </c>
      <c r="H8042" s="89">
        <f t="shared" si="18"/>
        <v>1</v>
      </c>
      <c r="I8042" s="78" t="s">
        <v>9159</v>
      </c>
      <c r="J8042" s="78" t="s">
        <v>69</v>
      </c>
      <c r="K8042" s="58">
        <f t="shared" si="17"/>
        <v>3</v>
      </c>
      <c r="L8042" s="91" t="str">
        <f t="shared" si="8"/>
        <v>Fri</v>
      </c>
      <c r="M8042" s="78" t="str">
        <f>IFERROR(VLOOKUP(A8042, Entries!A:B,2,false),"")</f>
        <v>Freedom Games</v>
      </c>
      <c r="N8042" s="23" t="str">
        <f>IFERROR(VLOOKUP(A8042, Entries!A:K,11,false),"")</f>
        <v/>
      </c>
    </row>
    <row r="8043">
      <c r="A8043" s="78" t="s">
        <v>9018</v>
      </c>
      <c r="B8043" s="78" t="s">
        <v>21</v>
      </c>
      <c r="C8043" s="85">
        <v>45918.0</v>
      </c>
      <c r="D8043" s="85">
        <v>45924.0</v>
      </c>
      <c r="E8043" s="86">
        <v>40.21</v>
      </c>
      <c r="F8043" s="87">
        <v>44.82</v>
      </c>
      <c r="G8043" s="88">
        <f t="shared" si="23"/>
        <v>4.61</v>
      </c>
      <c r="H8043" s="89">
        <f t="shared" si="18"/>
        <v>0.1028558679</v>
      </c>
      <c r="I8043" s="78" t="s">
        <v>9160</v>
      </c>
      <c r="J8043" s="78" t="s">
        <v>69</v>
      </c>
      <c r="K8043" s="58">
        <f t="shared" si="17"/>
        <v>6</v>
      </c>
      <c r="L8043" s="91" t="str">
        <f t="shared" si="8"/>
        <v>Wed</v>
      </c>
      <c r="M8043" s="78" t="str">
        <f>IFERROR(VLOOKUP(A8043, Entries!A:B,2,false),"")</f>
        <v>Game Science</v>
      </c>
      <c r="N8043" s="23" t="str">
        <f>IFERROR(VLOOKUP(A8043, Entries!A:K,11,false),"")</f>
        <v/>
      </c>
    </row>
    <row r="8044">
      <c r="A8044" s="78" t="s">
        <v>4970</v>
      </c>
      <c r="B8044" s="78" t="s">
        <v>22</v>
      </c>
      <c r="C8044" s="85">
        <v>45919.0</v>
      </c>
      <c r="D8044" s="85">
        <v>45920.0</v>
      </c>
      <c r="E8044" s="86">
        <v>21.28</v>
      </c>
      <c r="F8044" s="87">
        <v>33.17</v>
      </c>
      <c r="G8044" s="88">
        <f t="shared" si="23"/>
        <v>11.89</v>
      </c>
      <c r="H8044" s="89">
        <f t="shared" si="18"/>
        <v>0.3584564365</v>
      </c>
      <c r="I8044" s="78" t="s">
        <v>9161</v>
      </c>
      <c r="J8044" s="78" t="s">
        <v>69</v>
      </c>
      <c r="K8044" s="58">
        <f t="shared" si="17"/>
        <v>1</v>
      </c>
      <c r="L8044" s="91" t="str">
        <f t="shared" si="8"/>
        <v>Sat</v>
      </c>
      <c r="M8044" s="78" t="str">
        <f>IFERROR(VLOOKUP(A8044, Entries!A:B,2,false),"")</f>
        <v>Hello Games</v>
      </c>
      <c r="N8044" s="23" t="str">
        <f>IFERROR(VLOOKUP(A8044, Entries!A:K,11,false),"")</f>
        <v/>
      </c>
    </row>
    <row r="8045">
      <c r="A8045" s="78" t="s">
        <v>9162</v>
      </c>
      <c r="B8045" s="78" t="s">
        <v>30</v>
      </c>
      <c r="C8045" s="85">
        <v>45919.0</v>
      </c>
      <c r="D8045" s="85">
        <v>45920.0</v>
      </c>
      <c r="E8045" s="86">
        <v>8.77</v>
      </c>
      <c r="F8045" s="87">
        <v>10.42</v>
      </c>
      <c r="G8045" s="88">
        <f t="shared" si="23"/>
        <v>1.65</v>
      </c>
      <c r="H8045" s="89">
        <f t="shared" si="18"/>
        <v>0.1583493282</v>
      </c>
      <c r="I8045" s="78" t="s">
        <v>9163</v>
      </c>
      <c r="J8045" s="78" t="s">
        <v>69</v>
      </c>
      <c r="K8045" s="58">
        <f t="shared" si="17"/>
        <v>1</v>
      </c>
      <c r="L8045" s="91" t="str">
        <f t="shared" si="8"/>
        <v>Sat</v>
      </c>
      <c r="M8045" s="78" t="str">
        <f>IFERROR(VLOOKUP(A8045, Entries!A:B,2,false),"")</f>
        <v/>
      </c>
      <c r="N8045" s="23" t="str">
        <f>IFERROR(VLOOKUP(A8045, Entries!A:K,11,false),"")</f>
        <v/>
      </c>
    </row>
    <row r="8046">
      <c r="A8046" s="78" t="s">
        <v>8865</v>
      </c>
      <c r="B8046" s="78" t="s">
        <v>19</v>
      </c>
      <c r="C8046" s="85">
        <v>45919.0</v>
      </c>
      <c r="D8046" s="85">
        <v>45921.0</v>
      </c>
      <c r="E8046" s="86">
        <v>29.69</v>
      </c>
      <c r="F8046" s="87">
        <v>35.89</v>
      </c>
      <c r="G8046" s="88">
        <f t="shared" si="23"/>
        <v>6.2</v>
      </c>
      <c r="H8046" s="89">
        <f t="shared" si="18"/>
        <v>0.1727500697</v>
      </c>
      <c r="I8046" s="78" t="s">
        <v>9164</v>
      </c>
      <c r="J8046" s="78" t="s">
        <v>69</v>
      </c>
      <c r="K8046" s="58">
        <f t="shared" si="17"/>
        <v>2</v>
      </c>
      <c r="L8046" s="91" t="str">
        <f t="shared" si="8"/>
        <v>Sun</v>
      </c>
      <c r="M8046" s="78" t="str">
        <f>IFERROR(VLOOKUP(A8046, Entries!A:B,2,false),"")</f>
        <v>Bethesda Softworks</v>
      </c>
      <c r="N8046" s="23" t="str">
        <f>IFERROR(VLOOKUP(A8046, Entries!A:K,11,false),"")</f>
        <v/>
      </c>
    </row>
    <row r="8047">
      <c r="A8047" s="78" t="s">
        <v>9165</v>
      </c>
      <c r="B8047" s="78" t="s">
        <v>19</v>
      </c>
      <c r="C8047" s="85">
        <v>45919.0</v>
      </c>
      <c r="D8047" s="85">
        <v>45920.0</v>
      </c>
      <c r="E8047" s="86">
        <v>0.0</v>
      </c>
      <c r="F8047" s="87">
        <v>0.67</v>
      </c>
      <c r="G8047" s="88">
        <f t="shared" si="23"/>
        <v>0.67</v>
      </c>
      <c r="H8047" s="89">
        <f t="shared" si="18"/>
        <v>1</v>
      </c>
      <c r="I8047" s="78" t="s">
        <v>9166</v>
      </c>
      <c r="J8047" s="78" t="s">
        <v>69</v>
      </c>
      <c r="K8047" s="58">
        <f t="shared" si="17"/>
        <v>1</v>
      </c>
      <c r="L8047" s="91" t="str">
        <f t="shared" si="8"/>
        <v>Sat</v>
      </c>
      <c r="M8047" s="78" t="str">
        <f>IFERROR(VLOOKUP(A8047, Entries!A:B,2,false),"")</f>
        <v/>
      </c>
      <c r="N8047" s="23" t="str">
        <f>IFERROR(VLOOKUP(A8047, Entries!A:K,11,false),"")</f>
        <v/>
      </c>
    </row>
    <row r="8048">
      <c r="A8048" s="78" t="s">
        <v>8865</v>
      </c>
      <c r="B8048" s="78" t="s">
        <v>19</v>
      </c>
      <c r="C8048" s="85">
        <v>45921.0</v>
      </c>
      <c r="D8048" s="85">
        <v>45921.0</v>
      </c>
      <c r="E8048" s="86">
        <v>28.86</v>
      </c>
      <c r="F8048" s="87">
        <v>35.89</v>
      </c>
      <c r="G8048" s="88">
        <f t="shared" si="23"/>
        <v>7.03</v>
      </c>
      <c r="H8048" s="89">
        <f t="shared" si="18"/>
        <v>0.1958762887</v>
      </c>
      <c r="I8048" s="78" t="s">
        <v>9167</v>
      </c>
      <c r="J8048" s="78" t="s">
        <v>69</v>
      </c>
      <c r="K8048" s="58">
        <f t="shared" si="17"/>
        <v>0</v>
      </c>
      <c r="L8048" s="91" t="str">
        <f t="shared" si="8"/>
        <v>Sun</v>
      </c>
      <c r="M8048" s="78" t="str">
        <f>IFERROR(VLOOKUP(A8048, Entries!A:B,2,false),"")</f>
        <v>Bethesda Softworks</v>
      </c>
      <c r="N8048" s="23" t="str">
        <f>IFERROR(VLOOKUP(A8048, Entries!A:K,11,false),"")</f>
        <v/>
      </c>
    </row>
    <row r="8049">
      <c r="A8049" s="78" t="s">
        <v>8865</v>
      </c>
      <c r="B8049" s="78" t="s">
        <v>19</v>
      </c>
      <c r="C8049" s="85">
        <v>45921.0</v>
      </c>
      <c r="D8049" s="85">
        <v>45923.0</v>
      </c>
      <c r="E8049" s="86">
        <v>29.11</v>
      </c>
      <c r="F8049" s="87">
        <v>35.79</v>
      </c>
      <c r="G8049" s="88">
        <f t="shared" si="23"/>
        <v>6.68</v>
      </c>
      <c r="H8049" s="89">
        <f t="shared" si="18"/>
        <v>0.1866443141</v>
      </c>
      <c r="I8049" s="78" t="s">
        <v>9168</v>
      </c>
      <c r="J8049" s="78" t="s">
        <v>69</v>
      </c>
      <c r="K8049" s="58">
        <f t="shared" si="17"/>
        <v>2</v>
      </c>
      <c r="L8049" s="91" t="str">
        <f t="shared" si="8"/>
        <v>Tue</v>
      </c>
      <c r="M8049" s="78" t="str">
        <f>IFERROR(VLOOKUP(A8049, Entries!A:B,2,false),"")</f>
        <v>Bethesda Softworks</v>
      </c>
      <c r="N8049" s="23" t="str">
        <f>IFERROR(VLOOKUP(A8049, Entries!A:K,11,false),"")</f>
        <v/>
      </c>
    </row>
    <row r="8050">
      <c r="A8050" s="78" t="s">
        <v>9169</v>
      </c>
      <c r="B8050" s="78" t="s">
        <v>19</v>
      </c>
      <c r="C8050" s="85">
        <v>45921.0</v>
      </c>
      <c r="D8050" s="85">
        <v>45922.0</v>
      </c>
      <c r="E8050" s="86">
        <v>0.0</v>
      </c>
      <c r="F8050" s="87">
        <v>0.28</v>
      </c>
      <c r="G8050" s="88">
        <f t="shared" si="23"/>
        <v>0.28</v>
      </c>
      <c r="H8050" s="89">
        <f t="shared" si="18"/>
        <v>1</v>
      </c>
      <c r="I8050" s="78" t="s">
        <v>9170</v>
      </c>
      <c r="J8050" s="78" t="s">
        <v>69</v>
      </c>
      <c r="K8050" s="58">
        <f t="shared" si="17"/>
        <v>1</v>
      </c>
      <c r="L8050" s="91" t="str">
        <f t="shared" si="8"/>
        <v>Mon</v>
      </c>
      <c r="M8050" s="78" t="str">
        <f>IFERROR(VLOOKUP(A8050, Entries!A:B,2,false),"")</f>
        <v/>
      </c>
      <c r="N8050" s="23" t="str">
        <f>IFERROR(VLOOKUP(A8050, Entries!A:K,11,false),"")</f>
        <v/>
      </c>
    </row>
    <row r="8051">
      <c r="A8051" s="78" t="s">
        <v>8865</v>
      </c>
      <c r="B8051" s="78" t="s">
        <v>19</v>
      </c>
      <c r="C8051" s="85">
        <v>45922.0</v>
      </c>
      <c r="D8051" s="85">
        <v>45925.0</v>
      </c>
      <c r="E8051" s="86">
        <v>29.11</v>
      </c>
      <c r="F8051" s="87">
        <v>35.69</v>
      </c>
      <c r="G8051" s="88">
        <f t="shared" si="23"/>
        <v>6.58</v>
      </c>
      <c r="H8051" s="89">
        <f t="shared" si="18"/>
        <v>0.1843653685</v>
      </c>
      <c r="I8051" s="78" t="s">
        <v>9171</v>
      </c>
      <c r="J8051" s="78" t="s">
        <v>69</v>
      </c>
      <c r="K8051" s="58">
        <f t="shared" si="17"/>
        <v>3</v>
      </c>
      <c r="L8051" s="91" t="str">
        <f t="shared" si="8"/>
        <v>Thu</v>
      </c>
      <c r="M8051" s="78" t="str">
        <f>IFERROR(VLOOKUP(A8051, Entries!A:B,2,false),"")</f>
        <v>Bethesda Softworks</v>
      </c>
      <c r="N8051" s="23" t="str">
        <f>IFERROR(VLOOKUP(A8051, Entries!A:K,11,false),"")</f>
        <v/>
      </c>
    </row>
    <row r="8052">
      <c r="A8052" s="78" t="s">
        <v>2316</v>
      </c>
      <c r="B8052" s="78" t="s">
        <v>19</v>
      </c>
      <c r="C8052" s="85">
        <v>45922.0</v>
      </c>
      <c r="D8052" s="85">
        <v>45923.0</v>
      </c>
      <c r="E8052" s="86">
        <v>0.0</v>
      </c>
      <c r="F8052" s="87">
        <v>0.7</v>
      </c>
      <c r="G8052" s="88">
        <f t="shared" si="23"/>
        <v>0.7</v>
      </c>
      <c r="H8052" s="89">
        <f t="shared" si="18"/>
        <v>1</v>
      </c>
      <c r="I8052" s="78" t="s">
        <v>9172</v>
      </c>
      <c r="J8052" s="78" t="s">
        <v>69</v>
      </c>
      <c r="K8052" s="58">
        <f t="shared" si="17"/>
        <v>1</v>
      </c>
      <c r="L8052" s="91" t="str">
        <f t="shared" si="8"/>
        <v>Tue</v>
      </c>
      <c r="M8052" s="78" t="str">
        <f>IFERROR(VLOOKUP(A8052, Entries!A:B,2,false),"")</f>
        <v>Freedom Games</v>
      </c>
      <c r="N8052" s="23" t="str">
        <f>IFERROR(VLOOKUP(A8052, Entries!A:K,11,false),"")</f>
        <v/>
      </c>
      <c r="P8052" s="78" t="s">
        <v>9173</v>
      </c>
    </row>
    <row r="8053">
      <c r="A8053" s="78" t="s">
        <v>4966</v>
      </c>
      <c r="B8053" s="78" t="s">
        <v>21</v>
      </c>
      <c r="C8053" s="85">
        <v>45922.0</v>
      </c>
      <c r="D8053" s="85">
        <v>45922.0</v>
      </c>
      <c r="E8053" s="86">
        <v>32.86</v>
      </c>
      <c r="F8053" s="87">
        <v>37.8</v>
      </c>
      <c r="G8053" s="88">
        <f t="shared" si="23"/>
        <v>4.94</v>
      </c>
      <c r="H8053" s="89">
        <f t="shared" si="18"/>
        <v>0.1306878307</v>
      </c>
      <c r="I8053" s="78" t="s">
        <v>9174</v>
      </c>
      <c r="J8053" s="78" t="s">
        <v>69</v>
      </c>
      <c r="K8053" s="58">
        <f t="shared" si="17"/>
        <v>0</v>
      </c>
      <c r="L8053" s="91" t="str">
        <f t="shared" si="8"/>
        <v>Mon</v>
      </c>
      <c r="M8053" s="78" t="str">
        <f>IFERROR(VLOOKUP(A8053, Entries!A:B,2,false),"")</f>
        <v>Hello Games</v>
      </c>
      <c r="N8053" s="23" t="str">
        <f>IFERROR(VLOOKUP(A8053, Entries!A:K,11,false),"")</f>
        <v/>
      </c>
    </row>
    <row r="8054">
      <c r="A8054" s="78" t="s">
        <v>4966</v>
      </c>
      <c r="B8054" s="78" t="s">
        <v>32</v>
      </c>
      <c r="C8054" s="85">
        <v>45924.0</v>
      </c>
      <c r="D8054" s="85">
        <v>45928.0</v>
      </c>
      <c r="E8054" s="86">
        <v>24.47</v>
      </c>
      <c r="F8054" s="87">
        <v>29.8</v>
      </c>
      <c r="G8054" s="88">
        <f t="shared" si="23"/>
        <v>5.33</v>
      </c>
      <c r="H8054" s="89">
        <f t="shared" si="18"/>
        <v>0.1788590604</v>
      </c>
      <c r="I8054" s="78" t="s">
        <v>9175</v>
      </c>
      <c r="J8054" s="78" t="s">
        <v>69</v>
      </c>
      <c r="K8054" s="58">
        <f t="shared" si="17"/>
        <v>4</v>
      </c>
      <c r="L8054" s="91" t="str">
        <f t="shared" si="8"/>
        <v>Sun</v>
      </c>
      <c r="M8054" s="78" t="str">
        <f>IFERROR(VLOOKUP(A8054, Entries!A:B,2,false),"")</f>
        <v>Hello Games</v>
      </c>
      <c r="N8054" s="23" t="str">
        <f>IFERROR(VLOOKUP(A8054, Entries!A:K,11,false),"")</f>
        <v/>
      </c>
    </row>
    <row r="8055">
      <c r="A8055" s="78" t="s">
        <v>4966</v>
      </c>
      <c r="B8055" s="78" t="s">
        <v>32</v>
      </c>
      <c r="C8055" s="85">
        <v>45924.0</v>
      </c>
      <c r="D8055" s="85">
        <v>45928.0</v>
      </c>
      <c r="E8055" s="86">
        <v>24.47</v>
      </c>
      <c r="F8055" s="87">
        <v>33.02</v>
      </c>
      <c r="G8055" s="88">
        <f t="shared" si="23"/>
        <v>8.55</v>
      </c>
      <c r="H8055" s="89">
        <f t="shared" si="18"/>
        <v>0.2589339794</v>
      </c>
      <c r="I8055" s="78" t="s">
        <v>9176</v>
      </c>
      <c r="J8055" s="78" t="s">
        <v>69</v>
      </c>
      <c r="K8055" s="58">
        <f t="shared" si="17"/>
        <v>4</v>
      </c>
      <c r="L8055" s="91" t="str">
        <f t="shared" si="8"/>
        <v>Sun</v>
      </c>
      <c r="M8055" s="78" t="str">
        <f>IFERROR(VLOOKUP(A8055, Entries!A:B,2,false),"")</f>
        <v>Hello Games</v>
      </c>
      <c r="N8055" s="23" t="str">
        <f>IFERROR(VLOOKUP(A8055, Entries!A:K,11,false),"")</f>
        <v/>
      </c>
    </row>
    <row r="8056">
      <c r="A8056" s="78" t="s">
        <v>4966</v>
      </c>
      <c r="B8056" s="78" t="s">
        <v>32</v>
      </c>
      <c r="C8056" s="85">
        <v>45924.0</v>
      </c>
      <c r="D8056" s="85">
        <v>45928.0</v>
      </c>
      <c r="E8056" s="86">
        <v>24.47</v>
      </c>
      <c r="F8056" s="87">
        <v>33.17</v>
      </c>
      <c r="G8056" s="88">
        <f t="shared" si="23"/>
        <v>8.7</v>
      </c>
      <c r="H8056" s="89">
        <f t="shared" si="18"/>
        <v>0.2622851975</v>
      </c>
      <c r="I8056" s="78" t="s">
        <v>9177</v>
      </c>
      <c r="J8056" s="78" t="s">
        <v>69</v>
      </c>
      <c r="K8056" s="58">
        <f t="shared" si="17"/>
        <v>4</v>
      </c>
      <c r="L8056" s="91" t="str">
        <f t="shared" si="8"/>
        <v>Sun</v>
      </c>
      <c r="M8056" s="78" t="str">
        <f>IFERROR(VLOOKUP(A8056, Entries!A:B,2,false),"")</f>
        <v>Hello Games</v>
      </c>
      <c r="N8056" s="23" t="str">
        <f>IFERROR(VLOOKUP(A8056, Entries!A:K,11,false),"")</f>
        <v/>
      </c>
    </row>
    <row r="8057">
      <c r="A8057" s="78" t="s">
        <v>9047</v>
      </c>
      <c r="B8057" s="78" t="s">
        <v>27</v>
      </c>
      <c r="C8057" s="85">
        <v>45925.0</v>
      </c>
      <c r="D8057" s="85">
        <v>45965.0</v>
      </c>
      <c r="E8057" s="86">
        <v>32.81</v>
      </c>
      <c r="F8057" s="87">
        <v>36.7</v>
      </c>
      <c r="G8057" s="88">
        <f t="shared" si="23"/>
        <v>3.89</v>
      </c>
      <c r="H8057" s="89">
        <f t="shared" si="18"/>
        <v>0.1059945504</v>
      </c>
      <c r="I8057" s="78" t="s">
        <v>9178</v>
      </c>
      <c r="J8057" s="78" t="s">
        <v>69</v>
      </c>
      <c r="K8057" s="58">
        <f t="shared" si="17"/>
        <v>40</v>
      </c>
      <c r="L8057" s="91" t="str">
        <f t="shared" si="8"/>
        <v>Tue</v>
      </c>
      <c r="M8057" s="78" t="str">
        <f>IFERROR(VLOOKUP(A8057, Entries!A:B,2,false),"")</f>
        <v/>
      </c>
      <c r="N8057" s="23" t="str">
        <f>IFERROR(VLOOKUP(A8057, Entries!A:K,11,false),"")</f>
        <v/>
      </c>
    </row>
    <row r="8058">
      <c r="A8058" s="78" t="s">
        <v>8865</v>
      </c>
      <c r="B8058" s="78" t="s">
        <v>19</v>
      </c>
      <c r="C8058" s="85">
        <v>45925.0</v>
      </c>
      <c r="D8058" s="85">
        <v>45927.0</v>
      </c>
      <c r="E8058" s="86">
        <v>29.11</v>
      </c>
      <c r="F8058" s="87">
        <v>34.99</v>
      </c>
      <c r="G8058" s="88">
        <f t="shared" si="23"/>
        <v>5.88</v>
      </c>
      <c r="H8058" s="89">
        <f t="shared" si="18"/>
        <v>0.1680480137</v>
      </c>
      <c r="I8058" s="78" t="s">
        <v>9179</v>
      </c>
      <c r="J8058" s="78" t="s">
        <v>69</v>
      </c>
      <c r="K8058" s="58">
        <f t="shared" si="17"/>
        <v>2</v>
      </c>
      <c r="L8058" s="91" t="str">
        <f t="shared" si="8"/>
        <v>Sat</v>
      </c>
      <c r="M8058" s="78" t="str">
        <f>IFERROR(VLOOKUP(A8058, Entries!A:B,2,false),"")</f>
        <v>Bethesda Softworks</v>
      </c>
      <c r="N8058" s="23" t="str">
        <f>IFERROR(VLOOKUP(A8058, Entries!A:K,11,false),"")</f>
        <v/>
      </c>
    </row>
    <row r="8059">
      <c r="A8059" s="78" t="s">
        <v>9180</v>
      </c>
      <c r="B8059" s="78" t="s">
        <v>19</v>
      </c>
      <c r="C8059" s="85">
        <v>45925.0</v>
      </c>
      <c r="D8059" s="85">
        <v>45954.0</v>
      </c>
      <c r="E8059" s="86">
        <v>0.0</v>
      </c>
      <c r="F8059" s="87">
        <v>0.28</v>
      </c>
      <c r="G8059" s="88">
        <f t="shared" si="23"/>
        <v>0.28</v>
      </c>
      <c r="H8059" s="89">
        <f t="shared" si="18"/>
        <v>1</v>
      </c>
      <c r="I8059" s="78" t="s">
        <v>9181</v>
      </c>
      <c r="J8059" s="78" t="s">
        <v>69</v>
      </c>
      <c r="K8059" s="58">
        <f t="shared" si="17"/>
        <v>29</v>
      </c>
      <c r="L8059" s="91" t="str">
        <f t="shared" si="8"/>
        <v>Fri</v>
      </c>
      <c r="M8059" s="78" t="str">
        <f>IFERROR(VLOOKUP(A8059, Entries!A:B,2,false),"")</f>
        <v/>
      </c>
      <c r="N8059" s="23" t="str">
        <f>IFERROR(VLOOKUP(A8059, Entries!A:K,11,false),"")</f>
        <v/>
      </c>
    </row>
    <row r="8060">
      <c r="A8060" s="78" t="s">
        <v>9182</v>
      </c>
      <c r="B8060" s="78" t="s">
        <v>23</v>
      </c>
      <c r="C8060" s="85">
        <v>45926.0</v>
      </c>
      <c r="D8060" s="85">
        <v>45936.0</v>
      </c>
      <c r="E8060" s="86">
        <v>6.43</v>
      </c>
      <c r="F8060" s="87">
        <v>7.97</v>
      </c>
      <c r="G8060" s="88">
        <f t="shared" si="23"/>
        <v>1.54</v>
      </c>
      <c r="H8060" s="89">
        <f t="shared" si="18"/>
        <v>0.1932245922</v>
      </c>
      <c r="I8060" s="78" t="s">
        <v>9183</v>
      </c>
      <c r="J8060" s="78" t="s">
        <v>69</v>
      </c>
      <c r="K8060" s="58">
        <f t="shared" si="17"/>
        <v>10</v>
      </c>
      <c r="L8060" s="91" t="str">
        <f t="shared" si="8"/>
        <v>Mon</v>
      </c>
      <c r="M8060" s="78" t="str">
        <f>IFERROR(VLOOKUP(A8060, Entries!A:B,2,false),"")</f>
        <v/>
      </c>
      <c r="N8060" s="23" t="str">
        <f>IFERROR(VLOOKUP(A8060, Entries!A:K,11,false),"")</f>
        <v/>
      </c>
    </row>
    <row r="8061">
      <c r="A8061" s="78" t="s">
        <v>9184</v>
      </c>
      <c r="B8061" s="78" t="s">
        <v>22</v>
      </c>
      <c r="C8061" s="85">
        <v>45926.0</v>
      </c>
      <c r="D8061" s="85">
        <v>45926.0</v>
      </c>
      <c r="E8061" s="86">
        <v>16.09</v>
      </c>
      <c r="F8061" s="87">
        <v>21.87</v>
      </c>
      <c r="G8061" s="88">
        <f t="shared" si="23"/>
        <v>5.78</v>
      </c>
      <c r="H8061" s="89">
        <f t="shared" si="18"/>
        <v>0.2642889803</v>
      </c>
      <c r="I8061" s="78" t="s">
        <v>9185</v>
      </c>
      <c r="J8061" s="78" t="s">
        <v>69</v>
      </c>
      <c r="K8061" s="58">
        <f t="shared" si="17"/>
        <v>0</v>
      </c>
      <c r="L8061" s="91" t="str">
        <f t="shared" si="8"/>
        <v>Fri</v>
      </c>
      <c r="M8061" s="78" t="str">
        <f>IFERROR(VLOOKUP(A8061, Entries!A:B,2,false),"")</f>
        <v/>
      </c>
      <c r="N8061" s="23" t="str">
        <f>IFERROR(VLOOKUP(A8061, Entries!A:K,11,false),"")</f>
        <v/>
      </c>
    </row>
    <row r="8062">
      <c r="A8062" s="78" t="s">
        <v>9186</v>
      </c>
      <c r="B8062" s="78" t="s">
        <v>22</v>
      </c>
      <c r="C8062" s="85">
        <v>45926.0</v>
      </c>
      <c r="D8062" s="85">
        <v>45930.0</v>
      </c>
      <c r="E8062" s="86">
        <v>4.4</v>
      </c>
      <c r="F8062" s="87">
        <v>5.81</v>
      </c>
      <c r="G8062" s="88">
        <f t="shared" si="23"/>
        <v>1.41</v>
      </c>
      <c r="H8062" s="89">
        <f t="shared" si="18"/>
        <v>0.2426850258</v>
      </c>
      <c r="I8062" s="78" t="s">
        <v>9187</v>
      </c>
      <c r="J8062" s="78" t="s">
        <v>69</v>
      </c>
      <c r="K8062" s="58">
        <f t="shared" si="17"/>
        <v>4</v>
      </c>
      <c r="L8062" s="91" t="str">
        <f t="shared" si="8"/>
        <v>Tue</v>
      </c>
      <c r="M8062" s="78" t="str">
        <f>IFERROR(VLOOKUP(A8062, Entries!A:B,2,false),"")</f>
        <v/>
      </c>
      <c r="N8062" s="23" t="str">
        <f>IFERROR(VLOOKUP(A8062, Entries!A:K,11,false),"")</f>
        <v/>
      </c>
    </row>
    <row r="8063">
      <c r="A8063" s="78" t="s">
        <v>9188</v>
      </c>
      <c r="B8063" s="78" t="s">
        <v>22</v>
      </c>
      <c r="C8063" s="85">
        <v>45927.0</v>
      </c>
      <c r="D8063" s="85">
        <v>45930.0</v>
      </c>
      <c r="E8063" s="86">
        <v>17.59</v>
      </c>
      <c r="F8063" s="87">
        <v>26.78</v>
      </c>
      <c r="G8063" s="88">
        <f t="shared" si="23"/>
        <v>9.19</v>
      </c>
      <c r="H8063" s="89">
        <f t="shared" si="18"/>
        <v>0.3431665422</v>
      </c>
      <c r="I8063" s="78" t="s">
        <v>9189</v>
      </c>
      <c r="J8063" s="78" t="s">
        <v>69</v>
      </c>
      <c r="K8063" s="58">
        <f t="shared" si="17"/>
        <v>3</v>
      </c>
      <c r="L8063" s="91" t="str">
        <f t="shared" si="8"/>
        <v>Tue</v>
      </c>
      <c r="M8063" s="78" t="str">
        <f>IFERROR(VLOOKUP(A8063, Entries!A:B,2,false),"")</f>
        <v/>
      </c>
      <c r="N8063" s="23" t="str">
        <f>IFERROR(VLOOKUP(A8063, Entries!A:K,11,false),"")</f>
        <v/>
      </c>
    </row>
    <row r="8064">
      <c r="A8064" s="78" t="s">
        <v>8865</v>
      </c>
      <c r="B8064" s="78" t="s">
        <v>19</v>
      </c>
      <c r="C8064" s="85">
        <v>45927.0</v>
      </c>
      <c r="D8064" s="85">
        <v>45927.0</v>
      </c>
      <c r="E8064" s="86">
        <v>29.3</v>
      </c>
      <c r="F8064" s="87">
        <v>34.99</v>
      </c>
      <c r="G8064" s="88">
        <f t="shared" si="23"/>
        <v>5.69</v>
      </c>
      <c r="H8064" s="89">
        <f t="shared" si="18"/>
        <v>0.1626178908</v>
      </c>
      <c r="I8064" s="78" t="s">
        <v>9190</v>
      </c>
      <c r="J8064" s="78" t="s">
        <v>69</v>
      </c>
      <c r="K8064" s="58">
        <f t="shared" si="17"/>
        <v>0</v>
      </c>
      <c r="L8064" s="91" t="str">
        <f t="shared" si="8"/>
        <v>Sat</v>
      </c>
      <c r="M8064" s="78" t="str">
        <f>IFERROR(VLOOKUP(A8064, Entries!A:B,2,false),"")</f>
        <v>Bethesda Softworks</v>
      </c>
      <c r="N8064" s="23" t="str">
        <f>IFERROR(VLOOKUP(A8064, Entries!A:K,11,false),"")</f>
        <v/>
      </c>
    </row>
    <row r="8065">
      <c r="A8065" s="78" t="s">
        <v>8865</v>
      </c>
      <c r="B8065" s="78" t="s">
        <v>19</v>
      </c>
      <c r="C8065" s="85">
        <v>45927.0</v>
      </c>
      <c r="D8065" s="85">
        <v>45927.0</v>
      </c>
      <c r="E8065" s="86">
        <v>29.3</v>
      </c>
      <c r="F8065" s="87">
        <v>34.99</v>
      </c>
      <c r="G8065" s="88">
        <f t="shared" si="23"/>
        <v>5.69</v>
      </c>
      <c r="H8065" s="89">
        <f t="shared" si="18"/>
        <v>0.1626178908</v>
      </c>
      <c r="I8065" s="78" t="s">
        <v>9191</v>
      </c>
      <c r="J8065" s="78" t="s">
        <v>69</v>
      </c>
      <c r="K8065" s="58">
        <f t="shared" si="17"/>
        <v>0</v>
      </c>
      <c r="L8065" s="91" t="str">
        <f t="shared" si="8"/>
        <v>Sat</v>
      </c>
      <c r="M8065" s="78" t="str">
        <f>IFERROR(VLOOKUP(A8065, Entries!A:B,2,false),"")</f>
        <v>Bethesda Softworks</v>
      </c>
      <c r="N8065" s="23" t="str">
        <f>IFERROR(VLOOKUP(A8065, Entries!A:K,11,false),"")</f>
        <v/>
      </c>
    </row>
    <row r="8066">
      <c r="A8066" s="78" t="s">
        <v>8865</v>
      </c>
      <c r="B8066" s="78" t="s">
        <v>19</v>
      </c>
      <c r="C8066" s="85">
        <v>45927.0</v>
      </c>
      <c r="D8066" s="85">
        <v>45928.0</v>
      </c>
      <c r="E8066" s="86">
        <v>28.68</v>
      </c>
      <c r="F8066" s="87">
        <v>34.99</v>
      </c>
      <c r="G8066" s="88">
        <f t="shared" si="23"/>
        <v>6.31</v>
      </c>
      <c r="H8066" s="89">
        <f t="shared" si="18"/>
        <v>0.1803372392</v>
      </c>
      <c r="I8066" s="78" t="s">
        <v>9192</v>
      </c>
      <c r="J8066" s="78" t="s">
        <v>69</v>
      </c>
      <c r="K8066" s="58">
        <f t="shared" si="17"/>
        <v>1</v>
      </c>
      <c r="L8066" s="91" t="str">
        <f t="shared" si="8"/>
        <v>Sun</v>
      </c>
      <c r="M8066" s="78" t="str">
        <f>IFERROR(VLOOKUP(A8066, Entries!A:B,2,false),"")</f>
        <v>Bethesda Softworks</v>
      </c>
      <c r="N8066" s="23" t="str">
        <f>IFERROR(VLOOKUP(A8066, Entries!A:K,11,false),"")</f>
        <v/>
      </c>
    </row>
    <row r="8067">
      <c r="A8067" s="78" t="s">
        <v>9193</v>
      </c>
      <c r="B8067" s="78" t="s">
        <v>22</v>
      </c>
      <c r="C8067" s="85">
        <v>45928.0</v>
      </c>
      <c r="D8067" s="85">
        <v>45928.0</v>
      </c>
      <c r="E8067" s="86">
        <v>7.14</v>
      </c>
      <c r="F8067" s="87">
        <v>15.77</v>
      </c>
      <c r="G8067" s="88">
        <f t="shared" si="23"/>
        <v>8.63</v>
      </c>
      <c r="H8067" s="89">
        <f t="shared" si="18"/>
        <v>0.547241598</v>
      </c>
      <c r="I8067" s="78" t="s">
        <v>9194</v>
      </c>
      <c r="J8067" s="78" t="s">
        <v>69</v>
      </c>
      <c r="K8067" s="58">
        <f t="shared" si="17"/>
        <v>0</v>
      </c>
      <c r="L8067" s="91" t="str">
        <f t="shared" si="8"/>
        <v>Sun</v>
      </c>
      <c r="M8067" s="78" t="str">
        <f>IFERROR(VLOOKUP(A8067, Entries!A:B,2,false),"")</f>
        <v/>
      </c>
      <c r="N8067" s="23" t="str">
        <f>IFERROR(VLOOKUP(A8067, Entries!A:K,11,false),"")</f>
        <v/>
      </c>
    </row>
    <row r="8068">
      <c r="A8068" s="78" t="s">
        <v>8865</v>
      </c>
      <c r="B8068" s="78" t="s">
        <v>19</v>
      </c>
      <c r="C8068" s="85">
        <v>45928.0</v>
      </c>
      <c r="D8068" s="85">
        <v>45928.0</v>
      </c>
      <c r="E8068" s="86">
        <v>29.3</v>
      </c>
      <c r="F8068" s="87">
        <v>34.99</v>
      </c>
      <c r="G8068" s="88">
        <f t="shared" si="23"/>
        <v>5.69</v>
      </c>
      <c r="H8068" s="89">
        <f t="shared" si="18"/>
        <v>0.1626178908</v>
      </c>
      <c r="I8068" s="78" t="s">
        <v>9195</v>
      </c>
      <c r="J8068" s="78" t="s">
        <v>69</v>
      </c>
      <c r="K8068" s="58">
        <f t="shared" si="17"/>
        <v>0</v>
      </c>
      <c r="L8068" s="91" t="str">
        <f t="shared" si="8"/>
        <v>Sun</v>
      </c>
      <c r="M8068" s="78" t="str">
        <f>IFERROR(VLOOKUP(A8068, Entries!A:B,2,false),"")</f>
        <v>Bethesda Softworks</v>
      </c>
      <c r="N8068" s="23" t="str">
        <f>IFERROR(VLOOKUP(A8068, Entries!A:K,11,false),"")</f>
        <v/>
      </c>
    </row>
    <row r="8069">
      <c r="A8069" s="95" t="s">
        <v>8865</v>
      </c>
      <c r="B8069" s="95" t="s">
        <v>19</v>
      </c>
      <c r="C8069" s="113">
        <v>45928.0</v>
      </c>
      <c r="D8069" s="85">
        <v>45928.0</v>
      </c>
      <c r="E8069" s="86">
        <v>27.75</v>
      </c>
      <c r="F8069" s="87">
        <v>34.99</v>
      </c>
      <c r="G8069" s="88">
        <f t="shared" si="23"/>
        <v>7.24</v>
      </c>
      <c r="H8069" s="89">
        <f t="shared" si="18"/>
        <v>0.2069162618</v>
      </c>
      <c r="I8069" s="78" t="s">
        <v>9196</v>
      </c>
      <c r="J8069" s="78" t="s">
        <v>69</v>
      </c>
      <c r="K8069" s="58">
        <f t="shared" si="17"/>
        <v>0</v>
      </c>
      <c r="L8069" s="91" t="str">
        <f t="shared" si="8"/>
        <v>Sun</v>
      </c>
      <c r="M8069" s="78" t="str">
        <f>IFERROR(VLOOKUP(A8069, Entries!A:B,2,false),"")</f>
        <v>Bethesda Softworks</v>
      </c>
      <c r="N8069" s="23" t="str">
        <f>IFERROR(VLOOKUP(A8069, Entries!A:K,11,false),"")</f>
        <v/>
      </c>
    </row>
    <row r="8070">
      <c r="A8070" s="78" t="s">
        <v>1765</v>
      </c>
      <c r="B8070" s="78" t="s">
        <v>19</v>
      </c>
      <c r="C8070" s="85">
        <v>45928.0</v>
      </c>
      <c r="D8070" s="85">
        <v>45936.0</v>
      </c>
      <c r="E8070" s="86">
        <v>0.0</v>
      </c>
      <c r="F8070" s="87">
        <v>1.2</v>
      </c>
      <c r="G8070" s="88">
        <f t="shared" si="23"/>
        <v>1.2</v>
      </c>
      <c r="H8070" s="89">
        <f t="shared" si="18"/>
        <v>1</v>
      </c>
      <c r="J8070" s="78" t="s">
        <v>69</v>
      </c>
      <c r="K8070" s="58">
        <f t="shared" si="17"/>
        <v>8</v>
      </c>
      <c r="L8070" s="91" t="str">
        <f t="shared" si="8"/>
        <v>Mon</v>
      </c>
      <c r="M8070" s="78" t="str">
        <f>IFERROR(VLOOKUP(A8070, Entries!A:B,2,false),"")</f>
        <v>Revolution Software</v>
      </c>
      <c r="N8070" s="23" t="str">
        <f>IFERROR(VLOOKUP(A8070, Entries!A:K,11,false),"")</f>
        <v/>
      </c>
    </row>
    <row r="8071">
      <c r="A8071" s="95" t="s">
        <v>8865</v>
      </c>
      <c r="B8071" s="95" t="s">
        <v>19</v>
      </c>
      <c r="C8071" s="113">
        <v>45928.0</v>
      </c>
      <c r="D8071" s="85">
        <v>45928.0</v>
      </c>
      <c r="E8071" s="86">
        <v>29.3</v>
      </c>
      <c r="F8071" s="87">
        <v>34.99</v>
      </c>
      <c r="G8071" s="88">
        <f t="shared" si="23"/>
        <v>5.69</v>
      </c>
      <c r="H8071" s="89">
        <f t="shared" si="18"/>
        <v>0.1626178908</v>
      </c>
      <c r="I8071" s="78" t="s">
        <v>9197</v>
      </c>
      <c r="J8071" s="78" t="s">
        <v>69</v>
      </c>
      <c r="K8071" s="58">
        <f t="shared" si="17"/>
        <v>0</v>
      </c>
      <c r="L8071" s="91" t="str">
        <f t="shared" si="8"/>
        <v>Sun</v>
      </c>
      <c r="M8071" s="78" t="str">
        <f>IFERROR(VLOOKUP(A8071, Entries!A:B,2,false),"")</f>
        <v>Bethesda Softworks</v>
      </c>
      <c r="N8071" s="23" t="str">
        <f>IFERROR(VLOOKUP(A8071, Entries!A:K,11,false),"")</f>
        <v/>
      </c>
    </row>
    <row r="8072">
      <c r="A8072" s="95" t="s">
        <v>8865</v>
      </c>
      <c r="B8072" s="95" t="s">
        <v>19</v>
      </c>
      <c r="C8072" s="113">
        <v>45928.0</v>
      </c>
      <c r="D8072" s="85">
        <v>45928.0</v>
      </c>
      <c r="E8072" s="86">
        <v>29.3</v>
      </c>
      <c r="F8072" s="87">
        <v>34.99</v>
      </c>
      <c r="G8072" s="88">
        <f t="shared" si="23"/>
        <v>5.69</v>
      </c>
      <c r="H8072" s="89">
        <f t="shared" si="18"/>
        <v>0.1626178908</v>
      </c>
      <c r="I8072" s="78" t="s">
        <v>9198</v>
      </c>
      <c r="J8072" s="78" t="s">
        <v>69</v>
      </c>
      <c r="K8072" s="58">
        <f t="shared" si="17"/>
        <v>0</v>
      </c>
      <c r="L8072" s="91" t="str">
        <f t="shared" si="8"/>
        <v>Sun</v>
      </c>
      <c r="M8072" s="78" t="str">
        <f>IFERROR(VLOOKUP(A8072, Entries!A:B,2,false),"")</f>
        <v>Bethesda Softworks</v>
      </c>
      <c r="N8072" s="23" t="str">
        <f>IFERROR(VLOOKUP(A8072, Entries!A:K,11,false),"")</f>
        <v/>
      </c>
    </row>
    <row r="8073">
      <c r="A8073" s="95" t="s">
        <v>8865</v>
      </c>
      <c r="B8073" s="95" t="s">
        <v>19</v>
      </c>
      <c r="C8073" s="113">
        <v>45928.0</v>
      </c>
      <c r="D8073" s="85">
        <v>45933.0</v>
      </c>
      <c r="E8073" s="86">
        <v>29.3</v>
      </c>
      <c r="F8073" s="87">
        <v>33.02</v>
      </c>
      <c r="G8073" s="88">
        <f t="shared" si="23"/>
        <v>3.72</v>
      </c>
      <c r="H8073" s="89">
        <f t="shared" si="18"/>
        <v>0.1126589945</v>
      </c>
      <c r="I8073" s="78" t="s">
        <v>9199</v>
      </c>
      <c r="J8073" s="78" t="s">
        <v>69</v>
      </c>
      <c r="K8073" s="58">
        <f t="shared" si="17"/>
        <v>5</v>
      </c>
      <c r="L8073" s="91" t="str">
        <f t="shared" si="8"/>
        <v>Fri</v>
      </c>
      <c r="M8073" s="78" t="str">
        <f>IFERROR(VLOOKUP(A8073, Entries!A:B,2,false),"")</f>
        <v>Bethesda Softworks</v>
      </c>
      <c r="N8073" s="23" t="str">
        <f>IFERROR(VLOOKUP(A8073, Entries!A:K,11,false),"")</f>
        <v/>
      </c>
    </row>
    <row r="8074">
      <c r="A8074" s="78" t="s">
        <v>9200</v>
      </c>
      <c r="B8074" s="78" t="s">
        <v>19</v>
      </c>
      <c r="C8074" s="85">
        <v>45928.0</v>
      </c>
      <c r="D8074" s="85">
        <v>45932.0</v>
      </c>
      <c r="E8074" s="86">
        <v>0.0</v>
      </c>
      <c r="F8074" s="87">
        <v>0.19</v>
      </c>
      <c r="G8074" s="88">
        <f t="shared" si="23"/>
        <v>0.19</v>
      </c>
      <c r="H8074" s="89">
        <f t="shared" si="18"/>
        <v>1</v>
      </c>
      <c r="I8074" s="78" t="s">
        <v>9201</v>
      </c>
      <c r="J8074" s="78" t="s">
        <v>69</v>
      </c>
      <c r="K8074" s="58">
        <f t="shared" si="17"/>
        <v>4</v>
      </c>
      <c r="L8074" s="91" t="str">
        <f t="shared" si="8"/>
        <v>Thu</v>
      </c>
      <c r="M8074" s="78" t="str">
        <f>IFERROR(VLOOKUP(A8074, Entries!A:B,2,false),"")</f>
        <v/>
      </c>
      <c r="N8074" s="23" t="str">
        <f>IFERROR(VLOOKUP(A8074, Entries!A:K,11,false),"")</f>
        <v/>
      </c>
    </row>
    <row r="8075">
      <c r="A8075" s="78" t="s">
        <v>6710</v>
      </c>
      <c r="B8075" s="78" t="s">
        <v>22</v>
      </c>
      <c r="C8075" s="85">
        <v>45931.0</v>
      </c>
      <c r="D8075" s="85">
        <v>45933.0</v>
      </c>
      <c r="E8075" s="86">
        <v>13.34</v>
      </c>
      <c r="F8075" s="87">
        <v>14.28</v>
      </c>
      <c r="G8075" s="88">
        <f t="shared" si="23"/>
        <v>0.94</v>
      </c>
      <c r="H8075" s="89">
        <f t="shared" si="18"/>
        <v>0.06582633053</v>
      </c>
      <c r="I8075" s="78" t="s">
        <v>9202</v>
      </c>
      <c r="J8075" s="78" t="s">
        <v>69</v>
      </c>
      <c r="K8075" s="58">
        <f t="shared" si="17"/>
        <v>2</v>
      </c>
      <c r="L8075" s="91" t="str">
        <f t="shared" si="8"/>
        <v>Fri</v>
      </c>
      <c r="M8075" s="78" t="str">
        <f>IFERROR(VLOOKUP(A8075, Entries!A:B,2,false),"")</f>
        <v/>
      </c>
      <c r="N8075" s="23" t="str">
        <f>IFERROR(VLOOKUP(A8075, Entries!A:K,11,false),"")</f>
        <v/>
      </c>
    </row>
    <row r="8076">
      <c r="A8076" s="78" t="s">
        <v>9203</v>
      </c>
      <c r="B8076" s="78" t="s">
        <v>22</v>
      </c>
      <c r="C8076" s="85">
        <v>45931.0</v>
      </c>
      <c r="D8076" s="85">
        <v>45931.0</v>
      </c>
      <c r="E8076" s="86">
        <v>42.33</v>
      </c>
      <c r="F8076" s="87">
        <v>59.31</v>
      </c>
      <c r="G8076" s="88">
        <f t="shared" si="23"/>
        <v>16.98</v>
      </c>
      <c r="H8076" s="89">
        <f t="shared" si="18"/>
        <v>0.2862923622</v>
      </c>
      <c r="J8076" s="78" t="s">
        <v>69</v>
      </c>
      <c r="K8076" s="58">
        <f t="shared" si="17"/>
        <v>0</v>
      </c>
      <c r="L8076" s="91" t="str">
        <f t="shared" si="8"/>
        <v>Wed</v>
      </c>
      <c r="M8076" s="78" t="str">
        <f>IFERROR(VLOOKUP(A8076, Entries!A:B,2,false),"")</f>
        <v>Dovetail Games</v>
      </c>
      <c r="N8076" s="23" t="str">
        <f>IFERROR(VLOOKUP(A8076, Entries!A:K,11,false),"")</f>
        <v/>
      </c>
    </row>
    <row r="8077">
      <c r="A8077" s="78" t="s">
        <v>9203</v>
      </c>
      <c r="B8077" s="78" t="s">
        <v>40</v>
      </c>
      <c r="C8077" s="85">
        <v>45932.0</v>
      </c>
      <c r="D8077" s="85">
        <v>45932.0</v>
      </c>
      <c r="E8077" s="86">
        <v>31.6</v>
      </c>
      <c r="F8077" s="87">
        <v>58.86</v>
      </c>
      <c r="G8077" s="88">
        <f t="shared" si="23"/>
        <v>27.26</v>
      </c>
      <c r="H8077" s="89">
        <f t="shared" si="18"/>
        <v>0.4631328576</v>
      </c>
      <c r="I8077" s="78" t="s">
        <v>9204</v>
      </c>
      <c r="J8077" s="78" t="s">
        <v>69</v>
      </c>
      <c r="K8077" s="58">
        <f t="shared" si="17"/>
        <v>0</v>
      </c>
      <c r="L8077" s="91" t="str">
        <f t="shared" si="8"/>
        <v>Thu</v>
      </c>
      <c r="M8077" s="78" t="str">
        <f>IFERROR(VLOOKUP(A8077, Entries!A:B,2,false),"")</f>
        <v>Dovetail Games</v>
      </c>
      <c r="N8077" s="23" t="str">
        <f>IFERROR(VLOOKUP(A8077, Entries!A:K,11,false),"")</f>
        <v/>
      </c>
    </row>
    <row r="8078">
      <c r="A8078" s="78" t="s">
        <v>9205</v>
      </c>
      <c r="B8078" s="78" t="s">
        <v>40</v>
      </c>
      <c r="C8078" s="85">
        <v>45932.0</v>
      </c>
      <c r="D8078" s="85">
        <v>45932.0</v>
      </c>
      <c r="E8078" s="86">
        <v>13.11</v>
      </c>
      <c r="F8078" s="87">
        <v>23.64</v>
      </c>
      <c r="G8078" s="88">
        <f t="shared" si="23"/>
        <v>10.53</v>
      </c>
      <c r="H8078" s="89">
        <f t="shared" si="18"/>
        <v>0.4454314721</v>
      </c>
      <c r="I8078" s="78" t="s">
        <v>9206</v>
      </c>
      <c r="J8078" s="78" t="s">
        <v>69</v>
      </c>
      <c r="K8078" s="58">
        <f t="shared" si="17"/>
        <v>0</v>
      </c>
      <c r="L8078" s="91" t="str">
        <f t="shared" si="8"/>
        <v>Thu</v>
      </c>
      <c r="M8078" s="78" t="str">
        <f>IFERROR(VLOOKUP(A8078, Entries!A:B,2,false),"")</f>
        <v/>
      </c>
      <c r="N8078" s="23" t="str">
        <f>IFERROR(VLOOKUP(A8078, Entries!A:K,11,false),"")</f>
        <v/>
      </c>
    </row>
    <row r="8079">
      <c r="A8079" s="78" t="s">
        <v>9207</v>
      </c>
      <c r="B8079" s="78" t="s">
        <v>40</v>
      </c>
      <c r="C8079" s="85">
        <v>45932.0</v>
      </c>
      <c r="D8079" s="85">
        <v>45933.0</v>
      </c>
      <c r="E8079" s="86">
        <v>21.22</v>
      </c>
      <c r="F8079" s="87">
        <v>35.76</v>
      </c>
      <c r="G8079" s="88">
        <f t="shared" si="23"/>
        <v>14.54</v>
      </c>
      <c r="H8079" s="89">
        <f t="shared" si="18"/>
        <v>0.4065995526</v>
      </c>
      <c r="I8079" s="78" t="s">
        <v>9208</v>
      </c>
      <c r="J8079" s="78" t="s">
        <v>69</v>
      </c>
      <c r="K8079" s="58">
        <f t="shared" si="17"/>
        <v>1</v>
      </c>
      <c r="L8079" s="91" t="str">
        <f t="shared" si="8"/>
        <v>Fri</v>
      </c>
      <c r="M8079" s="78" t="str">
        <f>IFERROR(VLOOKUP(A8079, Entries!A:B,2,false),"")</f>
        <v/>
      </c>
      <c r="N8079" s="23" t="str">
        <f>IFERROR(VLOOKUP(A8079, Entries!A:K,11,false),"")</f>
        <v/>
      </c>
    </row>
    <row r="8080">
      <c r="A8080" s="78" t="s">
        <v>9205</v>
      </c>
      <c r="B8080" s="78" t="s">
        <v>40</v>
      </c>
      <c r="C8080" s="85">
        <v>45932.0</v>
      </c>
      <c r="D8080" s="85">
        <v>45983.0</v>
      </c>
      <c r="E8080" s="86">
        <v>13.88</v>
      </c>
      <c r="F8080" s="87">
        <v>19.22</v>
      </c>
      <c r="G8080" s="88">
        <f t="shared" si="23"/>
        <v>5.34</v>
      </c>
      <c r="H8080" s="89">
        <f t="shared" si="18"/>
        <v>0.2778355879</v>
      </c>
      <c r="I8080" s="78" t="s">
        <v>9209</v>
      </c>
      <c r="J8080" s="78" t="s">
        <v>69</v>
      </c>
      <c r="K8080" s="58">
        <f t="shared" si="17"/>
        <v>51</v>
      </c>
      <c r="L8080" s="91" t="str">
        <f t="shared" si="8"/>
        <v>Sat</v>
      </c>
      <c r="M8080" s="78" t="str">
        <f>IFERROR(VLOOKUP(A8080, Entries!A:B,2,false),"")</f>
        <v/>
      </c>
      <c r="N8080" s="23" t="str">
        <f>IFERROR(VLOOKUP(A8080, Entries!A:K,11,false),"")</f>
        <v/>
      </c>
    </row>
    <row r="8081">
      <c r="A8081" s="78" t="s">
        <v>9205</v>
      </c>
      <c r="B8081" s="78" t="s">
        <v>40</v>
      </c>
      <c r="C8081" s="85">
        <v>45932.0</v>
      </c>
      <c r="D8081" s="25"/>
      <c r="E8081" s="86">
        <v>12.28</v>
      </c>
      <c r="F8081" s="88"/>
      <c r="G8081" s="88">
        <f t="shared" si="23"/>
        <v>-12.28</v>
      </c>
      <c r="H8081" s="89" t="str">
        <f t="shared" si="18"/>
        <v/>
      </c>
      <c r="I8081" s="78" t="s">
        <v>9210</v>
      </c>
      <c r="J8081" s="78" t="s">
        <v>1129</v>
      </c>
      <c r="K8081" s="58" t="str">
        <f t="shared" si="17"/>
        <v/>
      </c>
      <c r="L8081" s="91" t="str">
        <f t="shared" si="8"/>
        <v/>
      </c>
      <c r="M8081" s="78" t="str">
        <f>IFERROR(VLOOKUP(A8081, Entries!A:B,2,false),"")</f>
        <v/>
      </c>
      <c r="N8081" s="23" t="str">
        <f>IFERROR(VLOOKUP(A8081, Entries!A:K,11,false),"")</f>
        <v/>
      </c>
    </row>
    <row r="8082">
      <c r="A8082" s="95" t="s">
        <v>8865</v>
      </c>
      <c r="B8082" s="95" t="s">
        <v>19</v>
      </c>
      <c r="C8082" s="85">
        <v>45933.0</v>
      </c>
      <c r="D8082" s="85">
        <v>45936.0</v>
      </c>
      <c r="E8082" s="86">
        <v>29.22</v>
      </c>
      <c r="F8082" s="87">
        <v>32.65</v>
      </c>
      <c r="G8082" s="88">
        <f t="shared" si="23"/>
        <v>3.43</v>
      </c>
      <c r="H8082" s="89">
        <f t="shared" si="18"/>
        <v>0.1050535988</v>
      </c>
      <c r="I8082" s="78" t="s">
        <v>9211</v>
      </c>
      <c r="J8082" s="78" t="s">
        <v>69</v>
      </c>
      <c r="K8082" s="58">
        <f t="shared" si="17"/>
        <v>3</v>
      </c>
      <c r="L8082" s="91" t="str">
        <f t="shared" si="8"/>
        <v>Mon</v>
      </c>
      <c r="M8082" s="78" t="str">
        <f>IFERROR(VLOOKUP(A8082, Entries!A:B,2,false),"")</f>
        <v>Bethesda Softworks</v>
      </c>
      <c r="N8082" s="23" t="str">
        <f>IFERROR(VLOOKUP(A8082, Entries!A:K,11,false),"")</f>
        <v/>
      </c>
    </row>
    <row r="8083">
      <c r="A8083" s="78" t="s">
        <v>9212</v>
      </c>
      <c r="B8083" s="78" t="s">
        <v>19</v>
      </c>
      <c r="C8083" s="85">
        <v>45933.0</v>
      </c>
      <c r="D8083" s="85">
        <v>45934.0</v>
      </c>
      <c r="E8083" s="86">
        <v>0.0</v>
      </c>
      <c r="F8083" s="87">
        <v>0.09</v>
      </c>
      <c r="G8083" s="88">
        <f t="shared" si="23"/>
        <v>0.09</v>
      </c>
      <c r="H8083" s="89">
        <f t="shared" si="18"/>
        <v>1</v>
      </c>
      <c r="J8083" s="78" t="s">
        <v>69</v>
      </c>
      <c r="K8083" s="58">
        <f t="shared" si="17"/>
        <v>1</v>
      </c>
      <c r="L8083" s="91" t="str">
        <f t="shared" si="8"/>
        <v>Sat</v>
      </c>
      <c r="M8083" s="78" t="str">
        <f>IFERROR(VLOOKUP(A8083, Entries!A:B,2,false),"")</f>
        <v/>
      </c>
      <c r="N8083" s="23" t="str">
        <f>IFERROR(VLOOKUP(A8083, Entries!A:K,11,false),"")</f>
        <v/>
      </c>
    </row>
    <row r="8084">
      <c r="A8084" s="78" t="s">
        <v>9213</v>
      </c>
      <c r="B8084" s="78" t="s">
        <v>22</v>
      </c>
      <c r="C8084" s="85">
        <v>45933.0</v>
      </c>
      <c r="D8084" s="85">
        <v>45934.0</v>
      </c>
      <c r="E8084" s="86">
        <v>4.01</v>
      </c>
      <c r="F8084" s="87">
        <v>6.44</v>
      </c>
      <c r="G8084" s="88">
        <f t="shared" si="23"/>
        <v>2.43</v>
      </c>
      <c r="H8084" s="89">
        <f t="shared" si="18"/>
        <v>0.3773291925</v>
      </c>
      <c r="J8084" s="78" t="s">
        <v>69</v>
      </c>
      <c r="K8084" s="58">
        <f t="shared" si="17"/>
        <v>1</v>
      </c>
      <c r="L8084" s="91" t="str">
        <f t="shared" si="8"/>
        <v>Sat</v>
      </c>
      <c r="M8084" s="78" t="str">
        <f>IFERROR(VLOOKUP(A8084, Entries!A:B,2,false),"")</f>
        <v/>
      </c>
      <c r="N8084" s="23" t="str">
        <f>IFERROR(VLOOKUP(A8084, Entries!A:K,11,false),"")</f>
        <v/>
      </c>
    </row>
    <row r="8085">
      <c r="A8085" s="78" t="s">
        <v>2818</v>
      </c>
      <c r="B8085" s="78" t="s">
        <v>22</v>
      </c>
      <c r="C8085" s="85">
        <v>45934.0</v>
      </c>
      <c r="D8085" s="85">
        <v>45940.0</v>
      </c>
      <c r="E8085" s="86">
        <v>1.87</v>
      </c>
      <c r="F8085" s="87">
        <v>2.9</v>
      </c>
      <c r="G8085" s="88">
        <f t="shared" si="23"/>
        <v>1.03</v>
      </c>
      <c r="H8085" s="89">
        <f t="shared" si="18"/>
        <v>0.3551724138</v>
      </c>
      <c r="I8085" s="78" t="s">
        <v>9214</v>
      </c>
      <c r="J8085" s="78" t="s">
        <v>69</v>
      </c>
      <c r="K8085" s="58">
        <f t="shared" si="17"/>
        <v>6</v>
      </c>
      <c r="L8085" s="91" t="str">
        <f t="shared" si="8"/>
        <v>Fri</v>
      </c>
      <c r="M8085" s="78" t="str">
        <f>IFERROR(VLOOKUP(A8085, Entries!A:B,2,false),"")</f>
        <v>Daedalic Entertainment</v>
      </c>
      <c r="N8085" s="23" t="str">
        <f>IFERROR(VLOOKUP(A8085, Entries!A:K,11,false),"")</f>
        <v/>
      </c>
    </row>
    <row r="8086">
      <c r="A8086" s="78" t="s">
        <v>9207</v>
      </c>
      <c r="B8086" s="78" t="s">
        <v>22</v>
      </c>
      <c r="C8086" s="85">
        <v>45934.0</v>
      </c>
      <c r="D8086" s="85">
        <v>45934.0</v>
      </c>
      <c r="E8086" s="86">
        <v>27.97</v>
      </c>
      <c r="F8086" s="87">
        <v>37.65</v>
      </c>
      <c r="G8086" s="88">
        <f t="shared" si="23"/>
        <v>9.68</v>
      </c>
      <c r="H8086" s="89">
        <f t="shared" si="18"/>
        <v>0.2571049137</v>
      </c>
      <c r="I8086" s="78" t="s">
        <v>9215</v>
      </c>
      <c r="J8086" s="78" t="s">
        <v>69</v>
      </c>
      <c r="K8086" s="58">
        <f t="shared" si="17"/>
        <v>0</v>
      </c>
      <c r="L8086" s="91" t="str">
        <f t="shared" si="8"/>
        <v>Sat</v>
      </c>
      <c r="M8086" s="78" t="str">
        <f>IFERROR(VLOOKUP(A8086, Entries!A:B,2,false),"")</f>
        <v/>
      </c>
      <c r="N8086" s="23" t="str">
        <f>IFERROR(VLOOKUP(A8086, Entries!A:K,11,false),"")</f>
        <v/>
      </c>
    </row>
    <row r="8087">
      <c r="A8087" s="78" t="s">
        <v>9216</v>
      </c>
      <c r="B8087" s="78" t="s">
        <v>22</v>
      </c>
      <c r="C8087" s="85">
        <v>45936.0</v>
      </c>
      <c r="D8087" s="85">
        <v>45938.0</v>
      </c>
      <c r="E8087" s="86">
        <v>7.93</v>
      </c>
      <c r="F8087" s="87">
        <v>14.5</v>
      </c>
      <c r="G8087" s="88">
        <f t="shared" si="23"/>
        <v>6.57</v>
      </c>
      <c r="H8087" s="89">
        <f t="shared" si="18"/>
        <v>0.4531034483</v>
      </c>
      <c r="I8087" s="78" t="s">
        <v>9217</v>
      </c>
      <c r="J8087" s="78" t="s">
        <v>69</v>
      </c>
      <c r="K8087" s="58">
        <f t="shared" si="17"/>
        <v>2</v>
      </c>
      <c r="L8087" s="91" t="str">
        <f t="shared" si="8"/>
        <v>Wed</v>
      </c>
      <c r="M8087" s="78" t="str">
        <f>IFERROR(VLOOKUP(A8087, Entries!A:B,2,false),"")</f>
        <v/>
      </c>
      <c r="N8087" s="23" t="str">
        <f>IFERROR(VLOOKUP(A8087, Entries!A:K,11,false),"")</f>
        <v/>
      </c>
    </row>
    <row r="8088">
      <c r="A8088" s="78" t="s">
        <v>9218</v>
      </c>
      <c r="B8088" s="78" t="s">
        <v>27</v>
      </c>
      <c r="C8088" s="85">
        <v>45936.0</v>
      </c>
      <c r="D8088" s="85">
        <v>45937.0</v>
      </c>
      <c r="E8088" s="86">
        <v>37.89</v>
      </c>
      <c r="F8088" s="87">
        <v>44.82</v>
      </c>
      <c r="G8088" s="88">
        <f t="shared" si="23"/>
        <v>6.93</v>
      </c>
      <c r="H8088" s="89">
        <f t="shared" si="18"/>
        <v>0.1546184739</v>
      </c>
      <c r="I8088" s="78" t="s">
        <v>9219</v>
      </c>
      <c r="J8088" s="78" t="s">
        <v>69</v>
      </c>
      <c r="K8088" s="58">
        <f t="shared" si="17"/>
        <v>1</v>
      </c>
      <c r="L8088" s="91" t="str">
        <f t="shared" si="8"/>
        <v>Tue</v>
      </c>
      <c r="M8088" s="78" t="str">
        <f>IFERROR(VLOOKUP(A8088, Entries!A:B,2,false),"")</f>
        <v/>
      </c>
      <c r="N8088" s="23" t="str">
        <f>IFERROR(VLOOKUP(A8088, Entries!A:K,11,false),"")</f>
        <v/>
      </c>
    </row>
    <row r="8089">
      <c r="A8089" s="78" t="s">
        <v>9182</v>
      </c>
      <c r="B8089" s="78" t="s">
        <v>23</v>
      </c>
      <c r="C8089" s="85">
        <v>45937.0</v>
      </c>
      <c r="D8089" s="85">
        <v>45937.0</v>
      </c>
      <c r="E8089" s="86">
        <v>6.43</v>
      </c>
      <c r="F8089" s="87">
        <v>9.14</v>
      </c>
      <c r="G8089" s="88">
        <f t="shared" si="23"/>
        <v>2.71</v>
      </c>
      <c r="H8089" s="89">
        <f t="shared" si="18"/>
        <v>0.2964989059</v>
      </c>
      <c r="I8089" s="78" t="s">
        <v>9220</v>
      </c>
      <c r="J8089" s="78" t="s">
        <v>69</v>
      </c>
      <c r="K8089" s="58">
        <f t="shared" si="17"/>
        <v>0</v>
      </c>
      <c r="L8089" s="91" t="str">
        <f t="shared" si="8"/>
        <v>Tue</v>
      </c>
      <c r="M8089" s="78" t="str">
        <f>IFERROR(VLOOKUP(A8089, Entries!A:B,2,false),"")</f>
        <v/>
      </c>
      <c r="N8089" s="23" t="str">
        <f>IFERROR(VLOOKUP(A8089, Entries!A:K,11,false),"")</f>
        <v/>
      </c>
    </row>
    <row r="8090">
      <c r="A8090" s="78" t="s">
        <v>9218</v>
      </c>
      <c r="B8090" s="78" t="s">
        <v>27</v>
      </c>
      <c r="C8090" s="85">
        <v>45937.0</v>
      </c>
      <c r="D8090" s="85">
        <v>45942.0</v>
      </c>
      <c r="E8090" s="86">
        <v>37.89</v>
      </c>
      <c r="F8090" s="87">
        <v>41.19</v>
      </c>
      <c r="G8090" s="88">
        <f t="shared" si="23"/>
        <v>3.3</v>
      </c>
      <c r="H8090" s="89">
        <f t="shared" si="18"/>
        <v>0.08011653314</v>
      </c>
      <c r="I8090" s="78" t="s">
        <v>9221</v>
      </c>
      <c r="J8090" s="78" t="s">
        <v>69</v>
      </c>
      <c r="K8090" s="58">
        <f t="shared" si="17"/>
        <v>5</v>
      </c>
      <c r="L8090" s="91" t="str">
        <f t="shared" si="8"/>
        <v>Sun</v>
      </c>
      <c r="M8090" s="78" t="str">
        <f>IFERROR(VLOOKUP(A8090, Entries!A:B,2,false),"")</f>
        <v/>
      </c>
      <c r="N8090" s="23" t="str">
        <f>IFERROR(VLOOKUP(A8090, Entries!A:K,11,false),"")</f>
        <v/>
      </c>
    </row>
    <row r="8091">
      <c r="A8091" s="78" t="s">
        <v>9182</v>
      </c>
      <c r="B8091" s="78" t="s">
        <v>23</v>
      </c>
      <c r="C8091" s="85">
        <v>45937.0</v>
      </c>
      <c r="D8091" s="85">
        <v>45939.0</v>
      </c>
      <c r="E8091" s="86">
        <v>6.43</v>
      </c>
      <c r="F8091" s="87">
        <v>9.0</v>
      </c>
      <c r="G8091" s="88">
        <f t="shared" si="23"/>
        <v>2.57</v>
      </c>
      <c r="H8091" s="89">
        <f t="shared" si="18"/>
        <v>0.2855555556</v>
      </c>
      <c r="I8091" s="78" t="s">
        <v>9222</v>
      </c>
      <c r="J8091" s="78" t="s">
        <v>69</v>
      </c>
      <c r="K8091" s="58">
        <f t="shared" si="17"/>
        <v>2</v>
      </c>
      <c r="L8091" s="91" t="str">
        <f t="shared" si="8"/>
        <v>Thu</v>
      </c>
      <c r="M8091" s="78" t="str">
        <f>IFERROR(VLOOKUP(A8091, Entries!A:B,2,false),"")</f>
        <v/>
      </c>
      <c r="N8091" s="23" t="str">
        <f>IFERROR(VLOOKUP(A8091, Entries!A:K,11,false),"")</f>
        <v/>
      </c>
    </row>
    <row r="8092">
      <c r="A8092" s="78" t="s">
        <v>9223</v>
      </c>
      <c r="B8092" s="78" t="s">
        <v>22</v>
      </c>
      <c r="C8092" s="85">
        <v>45938.0</v>
      </c>
      <c r="D8092" s="85">
        <v>46007.0</v>
      </c>
      <c r="E8092" s="86">
        <v>7.98</v>
      </c>
      <c r="F8092" s="87">
        <v>11.32</v>
      </c>
      <c r="G8092" s="88">
        <f t="shared" si="23"/>
        <v>3.34</v>
      </c>
      <c r="H8092" s="89">
        <f t="shared" si="18"/>
        <v>0.2950530035</v>
      </c>
      <c r="I8092" s="78" t="s">
        <v>9224</v>
      </c>
      <c r="J8092" s="78" t="s">
        <v>69</v>
      </c>
      <c r="K8092" s="58">
        <f t="shared" si="17"/>
        <v>69</v>
      </c>
      <c r="L8092" s="91" t="str">
        <f t="shared" si="8"/>
        <v>Tue</v>
      </c>
      <c r="M8092" s="78" t="str">
        <f>IFERROR(VLOOKUP(A8092, Entries!A:B,2,false),"")</f>
        <v/>
      </c>
      <c r="N8092" s="23" t="str">
        <f>IFERROR(VLOOKUP(A8092, Entries!A:K,11,false),"")</f>
        <v/>
      </c>
    </row>
    <row r="8093">
      <c r="A8093" s="78" t="s">
        <v>7370</v>
      </c>
      <c r="B8093" s="78" t="s">
        <v>21</v>
      </c>
      <c r="C8093" s="85">
        <v>45938.0</v>
      </c>
      <c r="D8093" s="85">
        <v>45943.0</v>
      </c>
      <c r="E8093" s="86">
        <v>20.11</v>
      </c>
      <c r="F8093" s="87">
        <v>25.0</v>
      </c>
      <c r="G8093" s="88">
        <f t="shared" si="23"/>
        <v>4.89</v>
      </c>
      <c r="H8093" s="89">
        <f t="shared" si="18"/>
        <v>0.1956</v>
      </c>
      <c r="I8093" s="78" t="s">
        <v>9225</v>
      </c>
      <c r="J8093" s="78" t="s">
        <v>69</v>
      </c>
      <c r="K8093" s="58">
        <f t="shared" si="17"/>
        <v>5</v>
      </c>
      <c r="L8093" s="91" t="str">
        <f t="shared" si="8"/>
        <v>Mon</v>
      </c>
      <c r="M8093" s="78" t="str">
        <f>IFERROR(VLOOKUP(A8093, Entries!A:B,2,false),"")</f>
        <v/>
      </c>
      <c r="N8093" s="23" t="str">
        <f>IFERROR(VLOOKUP(A8093, Entries!A:K,11,false),"")</f>
        <v/>
      </c>
    </row>
    <row r="8094">
      <c r="A8094" s="78" t="s">
        <v>9207</v>
      </c>
      <c r="B8094" s="78" t="s">
        <v>18</v>
      </c>
      <c r="C8094" s="85">
        <v>45938.0</v>
      </c>
      <c r="D8094" s="85">
        <v>45941.0</v>
      </c>
      <c r="E8094" s="86">
        <v>30.06</v>
      </c>
      <c r="F8094" s="87">
        <v>33.66</v>
      </c>
      <c r="G8094" s="88">
        <f t="shared" si="23"/>
        <v>3.6</v>
      </c>
      <c r="H8094" s="89">
        <f t="shared" si="18"/>
        <v>0.1069518717</v>
      </c>
      <c r="I8094" s="78" t="s">
        <v>9226</v>
      </c>
      <c r="J8094" s="78" t="s">
        <v>69</v>
      </c>
      <c r="K8094" s="58">
        <f t="shared" si="17"/>
        <v>3</v>
      </c>
      <c r="L8094" s="91" t="str">
        <f t="shared" si="8"/>
        <v>Sat</v>
      </c>
      <c r="M8094" s="78" t="str">
        <f>IFERROR(VLOOKUP(A8094, Entries!A:B,2,false),"")</f>
        <v/>
      </c>
      <c r="N8094" s="23" t="str">
        <f>IFERROR(VLOOKUP(A8094, Entries!A:K,11,false),"")</f>
        <v/>
      </c>
    </row>
    <row r="8095">
      <c r="A8095" s="78" t="s">
        <v>9207</v>
      </c>
      <c r="B8095" s="78" t="s">
        <v>18</v>
      </c>
      <c r="C8095" s="85">
        <v>45938.0</v>
      </c>
      <c r="D8095" s="85">
        <v>45941.0</v>
      </c>
      <c r="E8095" s="86">
        <v>30.07</v>
      </c>
      <c r="F8095" s="87">
        <v>33.66</v>
      </c>
      <c r="G8095" s="88">
        <f t="shared" si="23"/>
        <v>3.59</v>
      </c>
      <c r="H8095" s="89">
        <f t="shared" si="18"/>
        <v>0.1066547831</v>
      </c>
      <c r="I8095" s="78" t="s">
        <v>9227</v>
      </c>
      <c r="J8095" s="78" t="s">
        <v>69</v>
      </c>
      <c r="K8095" s="58">
        <f t="shared" si="17"/>
        <v>3</v>
      </c>
      <c r="L8095" s="91" t="str">
        <f t="shared" si="8"/>
        <v>Sat</v>
      </c>
      <c r="M8095" s="78" t="str">
        <f>IFERROR(VLOOKUP(A8095, Entries!A:B,2,false),"")</f>
        <v/>
      </c>
      <c r="N8095" s="23" t="str">
        <f>IFERROR(VLOOKUP(A8095, Entries!A:K,11,false),"")</f>
        <v/>
      </c>
    </row>
    <row r="8096">
      <c r="A8096" s="78" t="s">
        <v>8828</v>
      </c>
      <c r="B8096" s="78" t="s">
        <v>22</v>
      </c>
      <c r="C8096" s="85">
        <v>45939.0</v>
      </c>
      <c r="D8096" s="85">
        <v>45940.0</v>
      </c>
      <c r="E8096" s="86">
        <v>15.23</v>
      </c>
      <c r="F8096" s="87">
        <v>22.57</v>
      </c>
      <c r="G8096" s="88">
        <f t="shared" si="23"/>
        <v>7.34</v>
      </c>
      <c r="H8096" s="89">
        <f t="shared" si="18"/>
        <v>0.3252104564</v>
      </c>
      <c r="I8096" s="78" t="s">
        <v>9228</v>
      </c>
      <c r="J8096" s="78" t="s">
        <v>69</v>
      </c>
      <c r="K8096" s="58">
        <f t="shared" si="17"/>
        <v>1</v>
      </c>
      <c r="L8096" s="91" t="str">
        <f t="shared" si="8"/>
        <v>Fri</v>
      </c>
      <c r="M8096" s="78" t="str">
        <f>IFERROR(VLOOKUP(A8096, Entries!A:B,2,false),"")</f>
        <v/>
      </c>
      <c r="N8096" s="23" t="str">
        <f>IFERROR(VLOOKUP(A8096, Entries!A:K,11,false),"")</f>
        <v/>
      </c>
    </row>
    <row r="8097">
      <c r="A8097" s="78" t="s">
        <v>9182</v>
      </c>
      <c r="B8097" s="78" t="s">
        <v>23</v>
      </c>
      <c r="C8097" s="85">
        <v>45939.0</v>
      </c>
      <c r="D8097" s="85">
        <v>45939.0</v>
      </c>
      <c r="E8097" s="86">
        <v>6.46</v>
      </c>
      <c r="F8097" s="87">
        <v>9.13</v>
      </c>
      <c r="G8097" s="88">
        <f t="shared" si="23"/>
        <v>2.67</v>
      </c>
      <c r="H8097" s="89">
        <f t="shared" si="18"/>
        <v>0.2924424973</v>
      </c>
      <c r="I8097" s="78" t="s">
        <v>9229</v>
      </c>
      <c r="J8097" s="78" t="s">
        <v>69</v>
      </c>
      <c r="K8097" s="58">
        <f t="shared" si="17"/>
        <v>0</v>
      </c>
      <c r="L8097" s="91" t="str">
        <f t="shared" si="8"/>
        <v>Thu</v>
      </c>
      <c r="M8097" s="78" t="str">
        <f>IFERROR(VLOOKUP(A8097, Entries!A:B,2,false),"")</f>
        <v/>
      </c>
      <c r="N8097" s="23" t="str">
        <f>IFERROR(VLOOKUP(A8097, Entries!A:K,11,false),"")</f>
        <v/>
      </c>
    </row>
    <row r="8098">
      <c r="A8098" s="78" t="s">
        <v>9230</v>
      </c>
      <c r="B8098" s="78" t="s">
        <v>22</v>
      </c>
      <c r="C8098" s="85">
        <v>45939.0</v>
      </c>
      <c r="D8098" s="25"/>
      <c r="E8098" s="86">
        <v>6.82</v>
      </c>
      <c r="F8098" s="88"/>
      <c r="G8098" s="88">
        <f t="shared" si="23"/>
        <v>-6.82</v>
      </c>
      <c r="H8098" s="89" t="str">
        <f t="shared" si="18"/>
        <v/>
      </c>
      <c r="I8098" s="78" t="s">
        <v>9231</v>
      </c>
      <c r="J8098" s="78" t="s">
        <v>1129</v>
      </c>
      <c r="K8098" s="58" t="str">
        <f t="shared" si="17"/>
        <v/>
      </c>
      <c r="L8098" s="91" t="str">
        <f t="shared" si="8"/>
        <v/>
      </c>
      <c r="M8098" s="78" t="str">
        <f>IFERROR(VLOOKUP(A8098, Entries!A:B,2,false),"")</f>
        <v/>
      </c>
      <c r="N8098" s="23" t="str">
        <f>IFERROR(VLOOKUP(A8098, Entries!A:K,11,false),"")</f>
        <v/>
      </c>
    </row>
    <row r="8099">
      <c r="A8099" s="78" t="s">
        <v>272</v>
      </c>
      <c r="B8099" s="78" t="s">
        <v>17</v>
      </c>
      <c r="C8099" s="85">
        <v>45939.0</v>
      </c>
      <c r="D8099" s="85">
        <v>45941.0</v>
      </c>
      <c r="E8099" s="86">
        <v>2.38</v>
      </c>
      <c r="F8099" s="87">
        <v>2.81</v>
      </c>
      <c r="G8099" s="88">
        <f t="shared" si="23"/>
        <v>0.43</v>
      </c>
      <c r="H8099" s="89">
        <f t="shared" si="18"/>
        <v>0.153024911</v>
      </c>
      <c r="I8099" s="78" t="s">
        <v>9232</v>
      </c>
      <c r="J8099" s="78" t="s">
        <v>69</v>
      </c>
      <c r="K8099" s="58">
        <f t="shared" si="17"/>
        <v>2</v>
      </c>
      <c r="L8099" s="91" t="str">
        <f t="shared" si="8"/>
        <v>Sat</v>
      </c>
      <c r="M8099" s="78" t="str">
        <f>IFERROR(VLOOKUP(A8099, Entries!A:B,2,false),"")</f>
        <v>Starbreeze Publishing</v>
      </c>
      <c r="N8099" s="23" t="str">
        <f>IFERROR(VLOOKUP(A8099, Entries!A:K,11,false),"")</f>
        <v/>
      </c>
      <c r="P8099" s="78" t="s">
        <v>7796</v>
      </c>
    </row>
    <row r="8100">
      <c r="A8100" s="78" t="s">
        <v>9233</v>
      </c>
      <c r="B8100" s="78" t="s">
        <v>40</v>
      </c>
      <c r="C8100" s="85">
        <v>45939.0</v>
      </c>
      <c r="D8100" s="85">
        <v>45939.0</v>
      </c>
      <c r="E8100" s="86">
        <v>9.31</v>
      </c>
      <c r="F8100" s="87">
        <v>12.94</v>
      </c>
      <c r="G8100" s="88">
        <f t="shared" si="23"/>
        <v>3.63</v>
      </c>
      <c r="H8100" s="89">
        <f t="shared" si="18"/>
        <v>0.2805255023</v>
      </c>
      <c r="I8100" s="78" t="s">
        <v>9234</v>
      </c>
      <c r="J8100" s="78" t="s">
        <v>69</v>
      </c>
      <c r="K8100" s="58">
        <f t="shared" si="17"/>
        <v>0</v>
      </c>
      <c r="L8100" s="91" t="str">
        <f t="shared" si="8"/>
        <v>Thu</v>
      </c>
      <c r="M8100" s="78" t="str">
        <f>IFERROR(VLOOKUP(A8100, Entries!A:B,2,false),"")</f>
        <v>Behaviour Interactive</v>
      </c>
      <c r="N8100" s="23" t="str">
        <f>IFERROR(VLOOKUP(A8100, Entries!A:K,11,false),"")</f>
        <v/>
      </c>
    </row>
    <row r="8101">
      <c r="A8101" s="78" t="s">
        <v>9233</v>
      </c>
      <c r="B8101" s="78" t="s">
        <v>40</v>
      </c>
      <c r="C8101" s="85">
        <v>45939.0</v>
      </c>
      <c r="D8101" s="85">
        <v>45940.0</v>
      </c>
      <c r="E8101" s="86">
        <v>9.31</v>
      </c>
      <c r="F8101" s="87">
        <v>12.94</v>
      </c>
      <c r="G8101" s="88">
        <f t="shared" si="23"/>
        <v>3.63</v>
      </c>
      <c r="H8101" s="89">
        <f t="shared" si="18"/>
        <v>0.2805255023</v>
      </c>
      <c r="I8101" s="78" t="s">
        <v>9235</v>
      </c>
      <c r="J8101" s="78" t="s">
        <v>69</v>
      </c>
      <c r="K8101" s="58">
        <f t="shared" si="17"/>
        <v>1</v>
      </c>
      <c r="L8101" s="91" t="str">
        <f t="shared" si="8"/>
        <v>Fri</v>
      </c>
      <c r="M8101" s="78" t="str">
        <f>IFERROR(VLOOKUP(A8101, Entries!A:B,2,false),"")</f>
        <v>Behaviour Interactive</v>
      </c>
      <c r="N8101" s="23" t="str">
        <f>IFERROR(VLOOKUP(A8101, Entries!A:K,11,false),"")</f>
        <v/>
      </c>
    </row>
    <row r="8102">
      <c r="A8102" s="78" t="s">
        <v>9182</v>
      </c>
      <c r="B8102" s="78" t="s">
        <v>23</v>
      </c>
      <c r="C8102" s="85">
        <v>45939.0</v>
      </c>
      <c r="D8102" s="85">
        <v>45940.0</v>
      </c>
      <c r="E8102" s="86">
        <v>6.46</v>
      </c>
      <c r="F8102" s="87">
        <v>9.13</v>
      </c>
      <c r="G8102" s="88">
        <f t="shared" si="23"/>
        <v>2.67</v>
      </c>
      <c r="H8102" s="89">
        <f t="shared" si="18"/>
        <v>0.2924424973</v>
      </c>
      <c r="I8102" s="78" t="s">
        <v>9236</v>
      </c>
      <c r="J8102" s="78" t="s">
        <v>69</v>
      </c>
      <c r="K8102" s="58">
        <f t="shared" si="17"/>
        <v>1</v>
      </c>
      <c r="L8102" s="91" t="str">
        <f t="shared" si="8"/>
        <v>Fri</v>
      </c>
      <c r="M8102" s="78"/>
      <c r="N8102" s="23" t="str">
        <f>IFERROR(VLOOKUP(A8102, Entries!A:K,11,false),"")</f>
        <v/>
      </c>
    </row>
    <row r="8103">
      <c r="A8103" s="78" t="s">
        <v>9233</v>
      </c>
      <c r="B8103" s="78" t="s">
        <v>40</v>
      </c>
      <c r="C8103" s="85">
        <v>45939.0</v>
      </c>
      <c r="D8103" s="85">
        <v>45940.0</v>
      </c>
      <c r="E8103" s="86">
        <v>9.31</v>
      </c>
      <c r="F8103" s="87">
        <v>12.94</v>
      </c>
      <c r="G8103" s="88">
        <f t="shared" si="23"/>
        <v>3.63</v>
      </c>
      <c r="H8103" s="89">
        <f t="shared" si="18"/>
        <v>0.2805255023</v>
      </c>
      <c r="I8103" s="78" t="s">
        <v>9237</v>
      </c>
      <c r="J8103" s="78" t="s">
        <v>69</v>
      </c>
      <c r="K8103" s="58">
        <f t="shared" si="17"/>
        <v>1</v>
      </c>
      <c r="L8103" s="91" t="str">
        <f t="shared" si="8"/>
        <v>Fri</v>
      </c>
      <c r="M8103" s="78"/>
      <c r="N8103" s="23" t="str">
        <f>IFERROR(VLOOKUP(A8103, Entries!A:K,11,false),"")</f>
        <v/>
      </c>
    </row>
    <row r="8104">
      <c r="A8104" s="78" t="s">
        <v>9233</v>
      </c>
      <c r="B8104" s="78" t="s">
        <v>40</v>
      </c>
      <c r="C8104" s="85">
        <v>45940.0</v>
      </c>
      <c r="D8104" s="85">
        <v>45940.0</v>
      </c>
      <c r="E8104" s="86">
        <v>9.31</v>
      </c>
      <c r="F8104" s="87">
        <v>12.93</v>
      </c>
      <c r="G8104" s="88">
        <f t="shared" si="23"/>
        <v>3.62</v>
      </c>
      <c r="H8104" s="89">
        <f t="shared" si="18"/>
        <v>0.2799690642</v>
      </c>
      <c r="I8104" s="78" t="s">
        <v>9238</v>
      </c>
      <c r="J8104" s="78" t="s">
        <v>69</v>
      </c>
      <c r="K8104" s="58">
        <f t="shared" si="17"/>
        <v>0</v>
      </c>
      <c r="L8104" s="91" t="str">
        <f t="shared" si="8"/>
        <v>Fri</v>
      </c>
      <c r="M8104" s="78"/>
      <c r="N8104" s="23" t="str">
        <f>IFERROR(VLOOKUP(A8104, Entries!A:K,11,false),"")</f>
        <v/>
      </c>
    </row>
    <row r="8105">
      <c r="A8105" s="78" t="s">
        <v>5768</v>
      </c>
      <c r="B8105" s="78" t="s">
        <v>23</v>
      </c>
      <c r="C8105" s="85">
        <v>45940.0</v>
      </c>
      <c r="D8105" s="85">
        <v>45949.0</v>
      </c>
      <c r="E8105" s="86">
        <v>14.78</v>
      </c>
      <c r="F8105" s="87">
        <v>21.49</v>
      </c>
      <c r="G8105" s="88">
        <f t="shared" si="23"/>
        <v>6.71</v>
      </c>
      <c r="H8105" s="89">
        <f t="shared" si="18"/>
        <v>0.3122382503</v>
      </c>
      <c r="I8105" s="78" t="s">
        <v>9239</v>
      </c>
      <c r="J8105" s="78" t="s">
        <v>69</v>
      </c>
      <c r="K8105" s="58">
        <f t="shared" si="17"/>
        <v>9</v>
      </c>
      <c r="L8105" s="91" t="str">
        <f t="shared" si="8"/>
        <v>Sun</v>
      </c>
      <c r="M8105" s="78" t="str">
        <f>IFERROR(VLOOKUP(A8105, Entries!A:B,2,false),"")</f>
        <v>10 Chambers</v>
      </c>
      <c r="N8105" s="23" t="str">
        <f>IFERROR(VLOOKUP(A8105, Entries!A:K,11,false),"")</f>
        <v/>
      </c>
    </row>
    <row r="8106">
      <c r="A8106" s="78" t="s">
        <v>8828</v>
      </c>
      <c r="B8106" s="78" t="s">
        <v>32</v>
      </c>
      <c r="C8106" s="85">
        <v>45940.0</v>
      </c>
      <c r="D8106" s="85">
        <v>45967.0</v>
      </c>
      <c r="E8106" s="86">
        <v>24.53</v>
      </c>
      <c r="F8106" s="87">
        <v>24.55</v>
      </c>
      <c r="G8106" s="88">
        <f t="shared" si="23"/>
        <v>0.02</v>
      </c>
      <c r="H8106" s="89">
        <f t="shared" si="18"/>
        <v>0.0008146639511</v>
      </c>
      <c r="I8106" s="78" t="s">
        <v>9240</v>
      </c>
      <c r="J8106" s="78" t="s">
        <v>69</v>
      </c>
      <c r="K8106" s="58">
        <f t="shared" si="17"/>
        <v>27</v>
      </c>
      <c r="L8106" s="91" t="str">
        <f t="shared" si="8"/>
        <v>Thu</v>
      </c>
      <c r="M8106" s="78" t="str">
        <f>IFERROR(VLOOKUP(A8106, Entries!A:B,2,false),"")</f>
        <v/>
      </c>
      <c r="N8106" s="23" t="str">
        <f>IFERROR(VLOOKUP(A8106, Entries!A:K,11,false),"")</f>
        <v/>
      </c>
    </row>
    <row r="8107">
      <c r="A8107" s="78" t="s">
        <v>9241</v>
      </c>
      <c r="B8107" s="78" t="s">
        <v>32</v>
      </c>
      <c r="C8107" s="85">
        <v>45940.0</v>
      </c>
      <c r="D8107" s="85">
        <v>45967.0</v>
      </c>
      <c r="E8107" s="86">
        <v>24.53</v>
      </c>
      <c r="F8107" s="87">
        <v>23.47</v>
      </c>
      <c r="G8107" s="88">
        <f t="shared" si="23"/>
        <v>-1.06</v>
      </c>
      <c r="H8107" s="89">
        <f t="shared" si="18"/>
        <v>-0.0451640392</v>
      </c>
      <c r="I8107" s="78" t="s">
        <v>9242</v>
      </c>
      <c r="J8107" s="78" t="s">
        <v>69</v>
      </c>
      <c r="K8107" s="58">
        <f t="shared" si="17"/>
        <v>27</v>
      </c>
      <c r="L8107" s="91" t="str">
        <f t="shared" si="8"/>
        <v>Thu</v>
      </c>
      <c r="M8107" s="78" t="str">
        <f>IFERROR(VLOOKUP(A8107, Entries!A:B,2,false),"")</f>
        <v/>
      </c>
      <c r="N8107" s="23" t="str">
        <f>IFERROR(VLOOKUP(A8107, Entries!A:K,11,false),"")</f>
        <v/>
      </c>
    </row>
    <row r="8108">
      <c r="A8108" s="78" t="s">
        <v>9233</v>
      </c>
      <c r="B8108" s="78" t="s">
        <v>40</v>
      </c>
      <c r="C8108" s="85">
        <v>45940.0</v>
      </c>
      <c r="D8108" s="85">
        <v>45940.0</v>
      </c>
      <c r="E8108" s="86">
        <v>9.31</v>
      </c>
      <c r="F8108" s="87">
        <v>12.9</v>
      </c>
      <c r="G8108" s="88">
        <f t="shared" si="23"/>
        <v>3.59</v>
      </c>
      <c r="H8108" s="89">
        <f t="shared" si="18"/>
        <v>0.2782945736</v>
      </c>
      <c r="I8108" s="78" t="s">
        <v>9243</v>
      </c>
      <c r="J8108" s="78" t="s">
        <v>69</v>
      </c>
      <c r="K8108" s="58">
        <f t="shared" si="17"/>
        <v>0</v>
      </c>
      <c r="L8108" s="91" t="str">
        <f t="shared" si="8"/>
        <v>Fri</v>
      </c>
      <c r="M8108" s="78"/>
      <c r="N8108" s="23" t="str">
        <f>IFERROR(VLOOKUP(A8108, Entries!A:K,11,false),"")</f>
        <v/>
      </c>
    </row>
    <row r="8109">
      <c r="A8109" s="78" t="s">
        <v>731</v>
      </c>
      <c r="B8109" s="78" t="s">
        <v>25</v>
      </c>
      <c r="C8109" s="85">
        <v>45940.0</v>
      </c>
      <c r="D8109" s="25"/>
      <c r="E8109" s="86">
        <v>4.22</v>
      </c>
      <c r="F8109" s="88"/>
      <c r="G8109" s="88">
        <f t="shared" si="23"/>
        <v>-4.22</v>
      </c>
      <c r="H8109" s="89" t="str">
        <f t="shared" si="18"/>
        <v/>
      </c>
      <c r="I8109" s="78" t="s">
        <v>9244</v>
      </c>
      <c r="J8109" s="78" t="s">
        <v>1129</v>
      </c>
      <c r="K8109" s="58" t="str">
        <f t="shared" si="17"/>
        <v/>
      </c>
      <c r="L8109" s="91" t="str">
        <f t="shared" si="8"/>
        <v/>
      </c>
      <c r="M8109" s="78" t="str">
        <f>IFERROR(VLOOKUP(A8109, Entries!A:B,2,false),"")</f>
        <v>Square Enix</v>
      </c>
      <c r="N8109" s="23" t="str">
        <f>IFERROR(VLOOKUP(A8109, Entries!A:K,11,false),"")</f>
        <v/>
      </c>
    </row>
    <row r="8110">
      <c r="A8110" s="78" t="s">
        <v>9233</v>
      </c>
      <c r="B8110" s="78" t="s">
        <v>40</v>
      </c>
      <c r="C8110" s="85">
        <v>45940.0</v>
      </c>
      <c r="D8110" s="85">
        <v>45940.0</v>
      </c>
      <c r="E8110" s="86">
        <v>9.31</v>
      </c>
      <c r="F8110" s="87">
        <v>12.87</v>
      </c>
      <c r="G8110" s="88">
        <f t="shared" si="23"/>
        <v>3.56</v>
      </c>
      <c r="H8110" s="89">
        <f t="shared" si="18"/>
        <v>0.2766122766</v>
      </c>
      <c r="I8110" s="78" t="s">
        <v>9245</v>
      </c>
      <c r="J8110" s="78" t="s">
        <v>69</v>
      </c>
      <c r="K8110" s="58">
        <f t="shared" si="17"/>
        <v>0</v>
      </c>
      <c r="L8110" s="91" t="str">
        <f t="shared" si="8"/>
        <v>Fri</v>
      </c>
      <c r="M8110" s="78" t="str">
        <f>IFERROR(VLOOKUP(A8110, Entries!A:B,2,false),"")</f>
        <v>Behaviour Interactive</v>
      </c>
      <c r="N8110" s="23" t="str">
        <f>IFERROR(VLOOKUP(A8110, Entries!A:K,11,false),"")</f>
        <v/>
      </c>
    </row>
    <row r="8111">
      <c r="A8111" s="78" t="s">
        <v>272</v>
      </c>
      <c r="B8111" s="78" t="s">
        <v>27</v>
      </c>
      <c r="C8111" s="85">
        <v>45941.0</v>
      </c>
      <c r="D8111" s="85">
        <v>45942.0</v>
      </c>
      <c r="E8111" s="86">
        <v>2.39</v>
      </c>
      <c r="F8111" s="87">
        <v>2.81</v>
      </c>
      <c r="G8111" s="88">
        <f t="shared" si="23"/>
        <v>0.42</v>
      </c>
      <c r="H8111" s="89">
        <f t="shared" si="18"/>
        <v>0.1494661922</v>
      </c>
      <c r="I8111" s="78" t="s">
        <v>9246</v>
      </c>
      <c r="J8111" s="78" t="s">
        <v>69</v>
      </c>
      <c r="K8111" s="58">
        <f t="shared" si="17"/>
        <v>1</v>
      </c>
      <c r="L8111" s="91" t="str">
        <f t="shared" si="8"/>
        <v>Sun</v>
      </c>
      <c r="M8111" s="78" t="str">
        <f>IFERROR(VLOOKUP(A8111, Entries!A:B,2,false),"")</f>
        <v>Starbreeze Publishing</v>
      </c>
      <c r="N8111" s="23" t="str">
        <f>IFERROR(VLOOKUP(A8111, Entries!A:K,11,false),"")</f>
        <v/>
      </c>
    </row>
    <row r="8112">
      <c r="A8112" s="78" t="s">
        <v>272</v>
      </c>
      <c r="B8112" s="78" t="s">
        <v>27</v>
      </c>
      <c r="C8112" s="85">
        <v>45941.0</v>
      </c>
      <c r="D8112" s="85">
        <v>45942.0</v>
      </c>
      <c r="E8112" s="86">
        <v>2.39</v>
      </c>
      <c r="F8112" s="87">
        <v>2.81</v>
      </c>
      <c r="G8112" s="88">
        <f t="shared" si="23"/>
        <v>0.42</v>
      </c>
      <c r="H8112" s="89">
        <f t="shared" si="18"/>
        <v>0.1494661922</v>
      </c>
      <c r="I8112" s="78" t="s">
        <v>9247</v>
      </c>
      <c r="J8112" s="78" t="s">
        <v>69</v>
      </c>
      <c r="K8112" s="58">
        <f t="shared" si="17"/>
        <v>1</v>
      </c>
      <c r="L8112" s="91" t="str">
        <f t="shared" si="8"/>
        <v>Sun</v>
      </c>
      <c r="M8112" s="78" t="str">
        <f>IFERROR(VLOOKUP(A8112, Entries!A:B,2,false),"")</f>
        <v>Starbreeze Publishing</v>
      </c>
      <c r="N8112" s="23" t="str">
        <f>IFERROR(VLOOKUP(A8112, Entries!A:K,11,false),"")</f>
        <v/>
      </c>
    </row>
    <row r="8113">
      <c r="A8113" s="78" t="s">
        <v>272</v>
      </c>
      <c r="B8113" s="78" t="s">
        <v>27</v>
      </c>
      <c r="C8113" s="85">
        <v>45942.0</v>
      </c>
      <c r="D8113" s="85">
        <v>45942.0</v>
      </c>
      <c r="E8113" s="86">
        <v>2.39</v>
      </c>
      <c r="F8113" s="87">
        <v>2.81</v>
      </c>
      <c r="G8113" s="88">
        <f t="shared" si="23"/>
        <v>0.42</v>
      </c>
      <c r="H8113" s="89">
        <f t="shared" si="18"/>
        <v>0.1494661922</v>
      </c>
      <c r="I8113" s="78" t="s">
        <v>9248</v>
      </c>
      <c r="J8113" s="78" t="s">
        <v>69</v>
      </c>
      <c r="K8113" s="58">
        <f t="shared" si="17"/>
        <v>0</v>
      </c>
      <c r="L8113" s="91" t="str">
        <f t="shared" si="8"/>
        <v>Sun</v>
      </c>
      <c r="M8113" s="78" t="str">
        <f>IFERROR(VLOOKUP(A8113, Entries!A:B,2,false),"")</f>
        <v>Starbreeze Publishing</v>
      </c>
      <c r="N8113" s="23" t="str">
        <f>IFERROR(VLOOKUP(A8113, Entries!A:K,11,false),"")</f>
        <v/>
      </c>
    </row>
    <row r="8114">
      <c r="A8114" s="78" t="s">
        <v>272</v>
      </c>
      <c r="B8114" s="78" t="s">
        <v>27</v>
      </c>
      <c r="C8114" s="85">
        <v>45942.0</v>
      </c>
      <c r="D8114" s="85">
        <v>45942.0</v>
      </c>
      <c r="E8114" s="86">
        <v>2.39</v>
      </c>
      <c r="F8114" s="87">
        <v>2.81</v>
      </c>
      <c r="G8114" s="88">
        <f t="shared" si="23"/>
        <v>0.42</v>
      </c>
      <c r="H8114" s="89">
        <f t="shared" si="18"/>
        <v>0.1494661922</v>
      </c>
      <c r="I8114" s="78" t="s">
        <v>9249</v>
      </c>
      <c r="J8114" s="78" t="s">
        <v>69</v>
      </c>
      <c r="K8114" s="58">
        <f t="shared" si="17"/>
        <v>0</v>
      </c>
      <c r="L8114" s="91" t="str">
        <f t="shared" si="8"/>
        <v>Sun</v>
      </c>
      <c r="M8114" s="78" t="str">
        <f>IFERROR(VLOOKUP(A8114, Entries!A:B,2,false),"")</f>
        <v>Starbreeze Publishing</v>
      </c>
      <c r="N8114" s="23" t="str">
        <f>IFERROR(VLOOKUP(A8114, Entries!A:K,11,false),"")</f>
        <v/>
      </c>
    </row>
    <row r="8115">
      <c r="A8115" s="78" t="s">
        <v>9218</v>
      </c>
      <c r="B8115" s="78" t="s">
        <v>27</v>
      </c>
      <c r="C8115" s="85">
        <v>45942.0</v>
      </c>
      <c r="D8115" s="85">
        <v>45948.0</v>
      </c>
      <c r="E8115" s="86">
        <v>37.89</v>
      </c>
      <c r="F8115" s="87">
        <v>43.1</v>
      </c>
      <c r="G8115" s="88">
        <f t="shared" si="23"/>
        <v>5.21</v>
      </c>
      <c r="H8115" s="89">
        <f t="shared" si="18"/>
        <v>0.1208816705</v>
      </c>
      <c r="I8115" s="78" t="s">
        <v>9250</v>
      </c>
      <c r="J8115" s="78" t="s">
        <v>69</v>
      </c>
      <c r="K8115" s="58">
        <f t="shared" si="17"/>
        <v>6</v>
      </c>
      <c r="L8115" s="91" t="str">
        <f t="shared" si="8"/>
        <v>Sat</v>
      </c>
      <c r="M8115" s="78" t="str">
        <f>IFERROR(VLOOKUP(A8115, Entries!A:B,2,false),"")</f>
        <v/>
      </c>
      <c r="N8115" s="23" t="str">
        <f>IFERROR(VLOOKUP(A8115, Entries!A:K,11,false),"")</f>
        <v/>
      </c>
    </row>
    <row r="8116">
      <c r="A8116" s="78" t="s">
        <v>272</v>
      </c>
      <c r="B8116" s="78" t="s">
        <v>27</v>
      </c>
      <c r="C8116" s="85">
        <v>45942.0</v>
      </c>
      <c r="D8116" s="85">
        <v>45942.0</v>
      </c>
      <c r="E8116" s="86">
        <v>2.39</v>
      </c>
      <c r="F8116" s="87">
        <v>2.81</v>
      </c>
      <c r="G8116" s="88">
        <f t="shared" si="23"/>
        <v>0.42</v>
      </c>
      <c r="H8116" s="89">
        <f t="shared" si="18"/>
        <v>0.1494661922</v>
      </c>
      <c r="I8116" s="78" t="s">
        <v>9251</v>
      </c>
      <c r="J8116" s="78" t="s">
        <v>69</v>
      </c>
      <c r="K8116" s="58">
        <f t="shared" si="17"/>
        <v>0</v>
      </c>
      <c r="L8116" s="91" t="str">
        <f t="shared" si="8"/>
        <v>Sun</v>
      </c>
      <c r="M8116" s="78" t="str">
        <f>IFERROR(VLOOKUP(A8116, Entries!A:B,2,false),"")</f>
        <v>Starbreeze Publishing</v>
      </c>
      <c r="N8116" s="23" t="str">
        <f>IFERROR(VLOOKUP(A8116, Entries!A:K,11,false),"")</f>
        <v/>
      </c>
    </row>
    <row r="8117">
      <c r="A8117" s="78" t="s">
        <v>272</v>
      </c>
      <c r="B8117" s="78" t="s">
        <v>27</v>
      </c>
      <c r="C8117" s="85">
        <v>45942.0</v>
      </c>
      <c r="D8117" s="85">
        <v>45942.0</v>
      </c>
      <c r="E8117" s="86">
        <v>2.39</v>
      </c>
      <c r="F8117" s="87">
        <v>2.81</v>
      </c>
      <c r="G8117" s="88">
        <f t="shared" si="23"/>
        <v>0.42</v>
      </c>
      <c r="H8117" s="89">
        <f t="shared" si="18"/>
        <v>0.1494661922</v>
      </c>
      <c r="I8117" s="78" t="s">
        <v>9252</v>
      </c>
      <c r="J8117" s="78" t="s">
        <v>69</v>
      </c>
      <c r="K8117" s="58">
        <f t="shared" si="17"/>
        <v>0</v>
      </c>
      <c r="L8117" s="91" t="str">
        <f t="shared" si="8"/>
        <v>Sun</v>
      </c>
      <c r="M8117" s="78" t="str">
        <f>IFERROR(VLOOKUP(A8117, Entries!A:B,2,false),"")</f>
        <v>Starbreeze Publishing</v>
      </c>
      <c r="N8117" s="23" t="str">
        <f>IFERROR(VLOOKUP(A8117, Entries!A:K,11,false),"")</f>
        <v/>
      </c>
    </row>
    <row r="8118">
      <c r="A8118" s="78" t="s">
        <v>272</v>
      </c>
      <c r="B8118" s="78" t="s">
        <v>27</v>
      </c>
      <c r="C8118" s="85">
        <v>45943.0</v>
      </c>
      <c r="D8118" s="85">
        <v>45944.0</v>
      </c>
      <c r="E8118" s="86">
        <v>2.39</v>
      </c>
      <c r="F8118" s="87">
        <v>2.62</v>
      </c>
      <c r="G8118" s="88">
        <f t="shared" si="23"/>
        <v>0.23</v>
      </c>
      <c r="H8118" s="89">
        <f t="shared" si="18"/>
        <v>0.08778625954</v>
      </c>
      <c r="I8118" s="78" t="s">
        <v>9253</v>
      </c>
      <c r="J8118" s="78" t="s">
        <v>69</v>
      </c>
      <c r="K8118" s="58">
        <f t="shared" si="17"/>
        <v>1</v>
      </c>
      <c r="L8118" s="91" t="str">
        <f t="shared" si="8"/>
        <v>Tue</v>
      </c>
      <c r="M8118" s="78" t="str">
        <f>IFERROR(VLOOKUP(A8118, Entries!A:B,2,false),"")</f>
        <v>Starbreeze Publishing</v>
      </c>
      <c r="N8118" s="23" t="str">
        <f>IFERROR(VLOOKUP(A8118, Entries!A:K,11,false),"")</f>
        <v/>
      </c>
    </row>
    <row r="8119">
      <c r="A8119" s="78" t="s">
        <v>272</v>
      </c>
      <c r="B8119" s="78" t="s">
        <v>27</v>
      </c>
      <c r="C8119" s="85">
        <v>45943.0</v>
      </c>
      <c r="D8119" s="85">
        <v>45943.0</v>
      </c>
      <c r="E8119" s="86">
        <v>2.39</v>
      </c>
      <c r="F8119" s="87">
        <v>2.81</v>
      </c>
      <c r="G8119" s="88">
        <f t="shared" si="23"/>
        <v>0.42</v>
      </c>
      <c r="H8119" s="89">
        <f t="shared" si="18"/>
        <v>0.1494661922</v>
      </c>
      <c r="I8119" s="78" t="s">
        <v>9254</v>
      </c>
      <c r="J8119" s="78" t="s">
        <v>69</v>
      </c>
      <c r="K8119" s="58">
        <f t="shared" si="17"/>
        <v>0</v>
      </c>
      <c r="L8119" s="91" t="str">
        <f t="shared" si="8"/>
        <v>Mon</v>
      </c>
      <c r="M8119" s="78" t="str">
        <f>IFERROR(VLOOKUP(A8119, Entries!A:B,2,false),"")</f>
        <v>Starbreeze Publishing</v>
      </c>
      <c r="N8119" s="23" t="str">
        <f>IFERROR(VLOOKUP(A8119, Entries!A:K,11,false),"")</f>
        <v/>
      </c>
    </row>
    <row r="8120">
      <c r="A8120" s="78" t="s">
        <v>9233</v>
      </c>
      <c r="B8120" s="78" t="s">
        <v>40</v>
      </c>
      <c r="C8120" s="85">
        <v>45943.0</v>
      </c>
      <c r="D8120" s="85">
        <v>45944.0</v>
      </c>
      <c r="E8120" s="86">
        <v>9.31</v>
      </c>
      <c r="F8120" s="87">
        <v>12.85</v>
      </c>
      <c r="G8120" s="88">
        <f t="shared" si="23"/>
        <v>3.54</v>
      </c>
      <c r="H8120" s="89">
        <f t="shared" si="18"/>
        <v>0.2754863813</v>
      </c>
      <c r="I8120" s="78" t="s">
        <v>9255</v>
      </c>
      <c r="J8120" s="78" t="s">
        <v>69</v>
      </c>
      <c r="K8120" s="58">
        <f t="shared" si="17"/>
        <v>1</v>
      </c>
      <c r="L8120" s="91" t="str">
        <f t="shared" si="8"/>
        <v>Tue</v>
      </c>
      <c r="M8120" s="78" t="str">
        <f>IFERROR(VLOOKUP(A8120, Entries!A:B,2,false),"")</f>
        <v>Behaviour Interactive</v>
      </c>
      <c r="N8120" s="23" t="str">
        <f>IFERROR(VLOOKUP(A8120, Entries!A:K,11,false),"")</f>
        <v/>
      </c>
    </row>
    <row r="8121">
      <c r="A8121" s="78" t="s">
        <v>9233</v>
      </c>
      <c r="B8121" s="78" t="s">
        <v>40</v>
      </c>
      <c r="C8121" s="85">
        <v>45943.0</v>
      </c>
      <c r="D8121" s="85">
        <v>45944.0</v>
      </c>
      <c r="E8121" s="86">
        <v>9.31</v>
      </c>
      <c r="F8121" s="87">
        <v>12.85</v>
      </c>
      <c r="G8121" s="88">
        <f t="shared" si="23"/>
        <v>3.54</v>
      </c>
      <c r="H8121" s="89">
        <f t="shared" si="18"/>
        <v>0.2754863813</v>
      </c>
      <c r="I8121" s="78" t="s">
        <v>9256</v>
      </c>
      <c r="J8121" s="78" t="s">
        <v>69</v>
      </c>
      <c r="K8121" s="58">
        <f t="shared" si="17"/>
        <v>1</v>
      </c>
      <c r="L8121" s="91" t="str">
        <f t="shared" si="8"/>
        <v>Tue</v>
      </c>
      <c r="M8121" s="78" t="str">
        <f>IFERROR(VLOOKUP(A8121, Entries!A:B,2,false),"")</f>
        <v>Behaviour Interactive</v>
      </c>
      <c r="N8121" s="23" t="str">
        <f>IFERROR(VLOOKUP(A8121, Entries!A:K,11,false),"")</f>
        <v/>
      </c>
    </row>
    <row r="8122">
      <c r="A8122" s="78" t="s">
        <v>9087</v>
      </c>
      <c r="B8122" s="78" t="s">
        <v>18</v>
      </c>
      <c r="C8122" s="85">
        <v>45943.0</v>
      </c>
      <c r="D8122" s="85">
        <v>45943.0</v>
      </c>
      <c r="E8122" s="86">
        <v>15.5</v>
      </c>
      <c r="F8122" s="87">
        <v>41.22</v>
      </c>
      <c r="G8122" s="88">
        <f t="shared" si="23"/>
        <v>25.72</v>
      </c>
      <c r="H8122" s="89">
        <f t="shared" si="18"/>
        <v>0.6239689471</v>
      </c>
      <c r="I8122" s="78" t="s">
        <v>9257</v>
      </c>
      <c r="J8122" s="78" t="s">
        <v>69</v>
      </c>
      <c r="K8122" s="58">
        <f t="shared" si="17"/>
        <v>0</v>
      </c>
      <c r="L8122" s="91" t="str">
        <f t="shared" si="8"/>
        <v>Mon</v>
      </c>
      <c r="M8122" s="78" t="str">
        <f>IFERROR(VLOOKUP(A8122, Entries!A:B,2,false),"")</f>
        <v>SEGA</v>
      </c>
      <c r="N8122" s="23" t="str">
        <f>IFERROR(VLOOKUP(A8122, Entries!A:K,11,false),"")</f>
        <v/>
      </c>
    </row>
    <row r="8123">
      <c r="A8123" s="78" t="s">
        <v>9087</v>
      </c>
      <c r="B8123" s="78" t="s">
        <v>18</v>
      </c>
      <c r="C8123" s="85">
        <v>45943.0</v>
      </c>
      <c r="D8123" s="85">
        <v>45961.0</v>
      </c>
      <c r="E8123" s="86">
        <v>15.5</v>
      </c>
      <c r="F8123" s="87">
        <v>43.1</v>
      </c>
      <c r="G8123" s="88">
        <f t="shared" si="23"/>
        <v>27.6</v>
      </c>
      <c r="H8123" s="89">
        <f t="shared" si="18"/>
        <v>0.6403712297</v>
      </c>
      <c r="I8123" s="78" t="s">
        <v>4864</v>
      </c>
      <c r="J8123" s="78" t="s">
        <v>69</v>
      </c>
      <c r="K8123" s="58">
        <f t="shared" si="17"/>
        <v>18</v>
      </c>
      <c r="L8123" s="91" t="str">
        <f t="shared" si="8"/>
        <v>Fri</v>
      </c>
      <c r="M8123" s="78" t="str">
        <f>IFERROR(VLOOKUP(A8123, Entries!A:B,2,false),"")</f>
        <v>SEGA</v>
      </c>
      <c r="N8123" s="23" t="str">
        <f>IFERROR(VLOOKUP(A8123, Entries!A:K,11,false),"")</f>
        <v/>
      </c>
    </row>
    <row r="8124">
      <c r="A8124" s="78" t="s">
        <v>9182</v>
      </c>
      <c r="B8124" s="78" t="s">
        <v>23</v>
      </c>
      <c r="C8124" s="85">
        <v>45943.0</v>
      </c>
      <c r="D8124" s="85">
        <v>45944.0</v>
      </c>
      <c r="E8124" s="86">
        <v>6.49</v>
      </c>
      <c r="F8124" s="87">
        <v>9.31</v>
      </c>
      <c r="G8124" s="88">
        <f t="shared" si="23"/>
        <v>2.82</v>
      </c>
      <c r="H8124" s="89">
        <f t="shared" si="18"/>
        <v>0.3029001074</v>
      </c>
      <c r="I8124" s="78" t="s">
        <v>9258</v>
      </c>
      <c r="J8124" s="78" t="s">
        <v>69</v>
      </c>
      <c r="K8124" s="58">
        <f t="shared" si="17"/>
        <v>1</v>
      </c>
      <c r="L8124" s="91" t="str">
        <f t="shared" si="8"/>
        <v>Tue</v>
      </c>
      <c r="M8124" s="78" t="str">
        <f>IFERROR(VLOOKUP(A8124, Entries!A:B,2,false),"")</f>
        <v/>
      </c>
      <c r="N8124" s="23" t="str">
        <f>IFERROR(VLOOKUP(A8124, Entries!A:K,11,false),"")</f>
        <v/>
      </c>
    </row>
    <row r="8125">
      <c r="A8125" s="78" t="s">
        <v>9233</v>
      </c>
      <c r="B8125" s="78" t="s">
        <v>40</v>
      </c>
      <c r="C8125" s="85">
        <v>45943.0</v>
      </c>
      <c r="D8125" s="85">
        <v>45947.0</v>
      </c>
      <c r="E8125" s="86">
        <v>9.31</v>
      </c>
      <c r="F8125" s="87">
        <v>16.05</v>
      </c>
      <c r="G8125" s="88">
        <f t="shared" si="23"/>
        <v>6.74</v>
      </c>
      <c r="H8125" s="89">
        <f t="shared" si="18"/>
        <v>0.4199376947</v>
      </c>
      <c r="I8125" s="78" t="s">
        <v>9259</v>
      </c>
      <c r="J8125" s="78" t="s">
        <v>69</v>
      </c>
      <c r="K8125" s="58">
        <f t="shared" si="17"/>
        <v>4</v>
      </c>
      <c r="L8125" s="91" t="str">
        <f t="shared" si="8"/>
        <v>Fri</v>
      </c>
      <c r="M8125" s="78" t="str">
        <f>IFERROR(VLOOKUP(A8125, Entries!A:B,2,false),"")</f>
        <v>Behaviour Interactive</v>
      </c>
      <c r="N8125" s="23" t="str">
        <f>IFERROR(VLOOKUP(A8125, Entries!A:K,11,false),"")</f>
        <v/>
      </c>
    </row>
    <row r="8126">
      <c r="A8126" s="78" t="s">
        <v>9233</v>
      </c>
      <c r="B8126" s="78" t="s">
        <v>40</v>
      </c>
      <c r="C8126" s="85">
        <v>45944.0</v>
      </c>
      <c r="D8126" s="85">
        <v>45945.0</v>
      </c>
      <c r="E8126" s="86">
        <v>9.31</v>
      </c>
      <c r="F8126" s="87">
        <v>12.73</v>
      </c>
      <c r="G8126" s="88">
        <f t="shared" si="23"/>
        <v>3.42</v>
      </c>
      <c r="H8126" s="89">
        <f t="shared" si="18"/>
        <v>0.2686567164</v>
      </c>
      <c r="I8126" s="78" t="s">
        <v>9260</v>
      </c>
      <c r="J8126" s="78" t="s">
        <v>69</v>
      </c>
      <c r="K8126" s="58">
        <f t="shared" si="17"/>
        <v>1</v>
      </c>
      <c r="L8126" s="91" t="str">
        <f t="shared" si="8"/>
        <v>Wed</v>
      </c>
      <c r="M8126" s="78" t="str">
        <f>IFERROR(VLOOKUP(A8126, Entries!A:B,2,false),"")</f>
        <v>Behaviour Interactive</v>
      </c>
      <c r="N8126" s="23" t="str">
        <f>IFERROR(VLOOKUP(A8126, Entries!A:K,11,false),"")</f>
        <v/>
      </c>
    </row>
    <row r="8127">
      <c r="A8127" s="78" t="s">
        <v>9233</v>
      </c>
      <c r="B8127" s="78" t="s">
        <v>40</v>
      </c>
      <c r="C8127" s="85">
        <v>45944.0</v>
      </c>
      <c r="D8127" s="85">
        <v>45945.0</v>
      </c>
      <c r="E8127" s="86">
        <v>9.31</v>
      </c>
      <c r="F8127" s="87">
        <v>12.73</v>
      </c>
      <c r="G8127" s="88">
        <f t="shared" si="23"/>
        <v>3.42</v>
      </c>
      <c r="H8127" s="89">
        <f t="shared" si="18"/>
        <v>0.2686567164</v>
      </c>
      <c r="I8127" s="78" t="s">
        <v>9261</v>
      </c>
      <c r="J8127" s="78" t="s">
        <v>69</v>
      </c>
      <c r="K8127" s="58">
        <f t="shared" si="17"/>
        <v>1</v>
      </c>
      <c r="L8127" s="91" t="str">
        <f t="shared" si="8"/>
        <v>Wed</v>
      </c>
      <c r="M8127" s="78" t="str">
        <f>IFERROR(VLOOKUP(A8127, Entries!A:B,2,false),"")</f>
        <v>Behaviour Interactive</v>
      </c>
      <c r="N8127" s="23" t="str">
        <f>IFERROR(VLOOKUP(A8127, Entries!A:K,11,false),"")</f>
        <v/>
      </c>
    </row>
    <row r="8128">
      <c r="A8128" s="78" t="s">
        <v>272</v>
      </c>
      <c r="B8128" s="78" t="s">
        <v>27</v>
      </c>
      <c r="C8128" s="85">
        <v>45944.0</v>
      </c>
      <c r="D8128" s="85">
        <v>45945.0</v>
      </c>
      <c r="E8128" s="86">
        <v>2.39</v>
      </c>
      <c r="F8128" s="87">
        <v>2.77</v>
      </c>
      <c r="G8128" s="88">
        <f t="shared" si="23"/>
        <v>0.38</v>
      </c>
      <c r="H8128" s="89">
        <f t="shared" si="18"/>
        <v>0.1371841155</v>
      </c>
      <c r="I8128" s="78" t="s">
        <v>9262</v>
      </c>
      <c r="J8128" s="78" t="s">
        <v>69</v>
      </c>
      <c r="K8128" s="58">
        <f t="shared" si="17"/>
        <v>1</v>
      </c>
      <c r="L8128" s="91" t="str">
        <f t="shared" si="8"/>
        <v>Wed</v>
      </c>
      <c r="M8128" s="78" t="str">
        <f>IFERROR(VLOOKUP(A8128, Entries!A:B,2,false),"")</f>
        <v>Starbreeze Publishing</v>
      </c>
      <c r="N8128" s="23" t="str">
        <f>IFERROR(VLOOKUP(A8128, Entries!A:K,11,false),"")</f>
        <v/>
      </c>
    </row>
    <row r="8129">
      <c r="A8129" s="78" t="s">
        <v>272</v>
      </c>
      <c r="B8129" s="78" t="s">
        <v>27</v>
      </c>
      <c r="C8129" s="85">
        <v>45944.0</v>
      </c>
      <c r="D8129" s="85">
        <v>45945.0</v>
      </c>
      <c r="E8129" s="86">
        <v>2.39</v>
      </c>
      <c r="F8129" s="87">
        <v>2.73</v>
      </c>
      <c r="G8129" s="88">
        <f t="shared" si="23"/>
        <v>0.34</v>
      </c>
      <c r="H8129" s="89">
        <f t="shared" si="18"/>
        <v>0.1245421245</v>
      </c>
      <c r="I8129" s="78" t="s">
        <v>9263</v>
      </c>
      <c r="J8129" s="78" t="s">
        <v>69</v>
      </c>
      <c r="K8129" s="58">
        <f t="shared" si="17"/>
        <v>1</v>
      </c>
      <c r="L8129" s="91" t="str">
        <f t="shared" si="8"/>
        <v>Wed</v>
      </c>
      <c r="M8129" s="78" t="str">
        <f>IFERROR(VLOOKUP(A8129, Entries!A:B,2,false),"")</f>
        <v>Starbreeze Publishing</v>
      </c>
      <c r="N8129" s="23" t="str">
        <f>IFERROR(VLOOKUP(A8129, Entries!A:K,11,false),"")</f>
        <v/>
      </c>
    </row>
    <row r="8130">
      <c r="A8130" s="78" t="s">
        <v>9233</v>
      </c>
      <c r="B8130" s="78" t="s">
        <v>40</v>
      </c>
      <c r="C8130" s="85">
        <v>45945.0</v>
      </c>
      <c r="D8130" s="85">
        <v>45946.0</v>
      </c>
      <c r="E8130" s="86">
        <v>9.31</v>
      </c>
      <c r="F8130" s="87">
        <v>12.73</v>
      </c>
      <c r="G8130" s="88">
        <f t="shared" si="23"/>
        <v>3.42</v>
      </c>
      <c r="H8130" s="89">
        <f t="shared" si="18"/>
        <v>0.2686567164</v>
      </c>
      <c r="I8130" s="78" t="s">
        <v>9264</v>
      </c>
      <c r="J8130" s="78" t="s">
        <v>69</v>
      </c>
      <c r="K8130" s="58">
        <f t="shared" si="17"/>
        <v>1</v>
      </c>
      <c r="L8130" s="91" t="str">
        <f t="shared" si="8"/>
        <v>Thu</v>
      </c>
      <c r="M8130" s="78" t="str">
        <f>IFERROR(VLOOKUP(A8130, Entries!A:B,2,false),"")</f>
        <v>Behaviour Interactive</v>
      </c>
      <c r="N8130" s="23" t="str">
        <f>IFERROR(VLOOKUP(A8130, Entries!A:K,11,false),"")</f>
        <v/>
      </c>
    </row>
    <row r="8131">
      <c r="A8131" s="78" t="s">
        <v>9233</v>
      </c>
      <c r="B8131" s="78" t="s">
        <v>40</v>
      </c>
      <c r="C8131" s="85">
        <v>45945.0</v>
      </c>
      <c r="D8131" s="85">
        <v>45946.0</v>
      </c>
      <c r="E8131" s="86">
        <v>9.31</v>
      </c>
      <c r="F8131" s="87">
        <v>12.73</v>
      </c>
      <c r="G8131" s="88">
        <f t="shared" si="23"/>
        <v>3.42</v>
      </c>
      <c r="H8131" s="89">
        <f t="shared" si="18"/>
        <v>0.2686567164</v>
      </c>
      <c r="I8131" s="78" t="s">
        <v>9265</v>
      </c>
      <c r="J8131" s="78" t="s">
        <v>69</v>
      </c>
      <c r="K8131" s="58">
        <f t="shared" si="17"/>
        <v>1</v>
      </c>
      <c r="L8131" s="91" t="str">
        <f t="shared" si="8"/>
        <v>Thu</v>
      </c>
      <c r="M8131" s="78" t="str">
        <f>IFERROR(VLOOKUP(A8131, Entries!A:B,2,false),"")</f>
        <v>Behaviour Interactive</v>
      </c>
      <c r="N8131" s="23" t="str">
        <f>IFERROR(VLOOKUP(A8131, Entries!A:K,11,false),"")</f>
        <v/>
      </c>
    </row>
    <row r="8132">
      <c r="A8132" s="78" t="s">
        <v>9182</v>
      </c>
      <c r="B8132" s="78" t="s">
        <v>21</v>
      </c>
      <c r="C8132" s="85">
        <v>45945.0</v>
      </c>
      <c r="D8132" s="85">
        <v>45947.0</v>
      </c>
      <c r="E8132" s="86">
        <v>7.48</v>
      </c>
      <c r="F8132" s="87">
        <v>9.31</v>
      </c>
      <c r="G8132" s="88">
        <f t="shared" si="23"/>
        <v>1.83</v>
      </c>
      <c r="H8132" s="89">
        <f t="shared" si="18"/>
        <v>0.1965628357</v>
      </c>
      <c r="I8132" s="78" t="s">
        <v>9266</v>
      </c>
      <c r="J8132" s="78" t="s">
        <v>69</v>
      </c>
      <c r="K8132" s="58">
        <f t="shared" si="17"/>
        <v>2</v>
      </c>
      <c r="L8132" s="91" t="str">
        <f t="shared" si="8"/>
        <v>Fri</v>
      </c>
      <c r="M8132" s="78" t="str">
        <f>IFERROR(VLOOKUP(A8132, Entries!A:B,2,false),"")</f>
        <v/>
      </c>
      <c r="N8132" s="23" t="str">
        <f>IFERROR(VLOOKUP(A8132, Entries!A:K,11,false),"")</f>
        <v/>
      </c>
    </row>
    <row r="8133">
      <c r="A8133" s="78" t="s">
        <v>9182</v>
      </c>
      <c r="B8133" s="78" t="s">
        <v>21</v>
      </c>
      <c r="C8133" s="85">
        <v>45945.0</v>
      </c>
      <c r="D8133" s="85">
        <v>45949.0</v>
      </c>
      <c r="E8133" s="86">
        <v>7.48</v>
      </c>
      <c r="F8133" s="87">
        <v>9.24</v>
      </c>
      <c r="G8133" s="88">
        <f t="shared" si="23"/>
        <v>1.76</v>
      </c>
      <c r="H8133" s="89">
        <f t="shared" si="18"/>
        <v>0.1904761905</v>
      </c>
      <c r="I8133" s="78" t="s">
        <v>9267</v>
      </c>
      <c r="J8133" s="78" t="s">
        <v>69</v>
      </c>
      <c r="K8133" s="58">
        <f t="shared" si="17"/>
        <v>4</v>
      </c>
      <c r="L8133" s="91" t="str">
        <f t="shared" si="8"/>
        <v>Sun</v>
      </c>
      <c r="M8133" s="78" t="str">
        <f>IFERROR(VLOOKUP(A8133, Entries!A:B,2,false),"")</f>
        <v/>
      </c>
      <c r="N8133" s="23" t="str">
        <f>IFERROR(VLOOKUP(A8133, Entries!A:K,11,false),"")</f>
        <v/>
      </c>
    </row>
    <row r="8134">
      <c r="A8134" s="78" t="s">
        <v>9233</v>
      </c>
      <c r="B8134" s="78" t="s">
        <v>40</v>
      </c>
      <c r="C8134" s="85">
        <v>45945.0</v>
      </c>
      <c r="D8134" s="85">
        <v>45946.0</v>
      </c>
      <c r="E8134" s="86">
        <v>9.31</v>
      </c>
      <c r="F8134" s="87">
        <v>12.73</v>
      </c>
      <c r="G8134" s="88">
        <f t="shared" si="23"/>
        <v>3.42</v>
      </c>
      <c r="H8134" s="89">
        <f t="shared" si="18"/>
        <v>0.2686567164</v>
      </c>
      <c r="I8134" s="78" t="s">
        <v>9268</v>
      </c>
      <c r="J8134" s="78" t="s">
        <v>69</v>
      </c>
      <c r="K8134" s="58">
        <f t="shared" si="17"/>
        <v>1</v>
      </c>
      <c r="L8134" s="91" t="str">
        <f t="shared" si="8"/>
        <v>Thu</v>
      </c>
      <c r="M8134" s="78" t="str">
        <f>IFERROR(VLOOKUP(A8134, Entries!A:B,2,false),"")</f>
        <v>Behaviour Interactive</v>
      </c>
      <c r="N8134" s="23" t="str">
        <f>IFERROR(VLOOKUP(A8134, Entries!A:K,11,false),"")</f>
        <v/>
      </c>
    </row>
    <row r="8135">
      <c r="A8135" s="78" t="s">
        <v>272</v>
      </c>
      <c r="B8135" s="78" t="s">
        <v>27</v>
      </c>
      <c r="C8135" s="85">
        <v>45945.0</v>
      </c>
      <c r="D8135" s="85">
        <v>45945.0</v>
      </c>
      <c r="E8135" s="86">
        <v>2.39</v>
      </c>
      <c r="F8135" s="87">
        <v>2.73</v>
      </c>
      <c r="G8135" s="88">
        <f t="shared" si="23"/>
        <v>0.34</v>
      </c>
      <c r="H8135" s="89">
        <f t="shared" si="18"/>
        <v>0.1245421245</v>
      </c>
      <c r="I8135" s="78" t="s">
        <v>9269</v>
      </c>
      <c r="J8135" s="78" t="s">
        <v>69</v>
      </c>
      <c r="K8135" s="58">
        <f t="shared" si="17"/>
        <v>0</v>
      </c>
      <c r="L8135" s="91" t="str">
        <f t="shared" si="8"/>
        <v>Wed</v>
      </c>
      <c r="M8135" s="78" t="str">
        <f>IFERROR(VLOOKUP(A8135, Entries!A:B,2,false),"")</f>
        <v>Starbreeze Publishing</v>
      </c>
      <c r="N8135" s="23" t="str">
        <f>IFERROR(VLOOKUP(A8135, Entries!A:K,11,false),"")</f>
        <v/>
      </c>
    </row>
    <row r="8136">
      <c r="A8136" s="78" t="s">
        <v>272</v>
      </c>
      <c r="B8136" s="78" t="s">
        <v>27</v>
      </c>
      <c r="C8136" s="85">
        <v>45945.0</v>
      </c>
      <c r="D8136" s="85">
        <v>45945.0</v>
      </c>
      <c r="E8136" s="86">
        <v>2.39</v>
      </c>
      <c r="F8136" s="87">
        <v>2.73</v>
      </c>
      <c r="G8136" s="88">
        <f t="shared" si="23"/>
        <v>0.34</v>
      </c>
      <c r="H8136" s="89">
        <f t="shared" si="18"/>
        <v>0.1245421245</v>
      </c>
      <c r="I8136" s="78" t="s">
        <v>9270</v>
      </c>
      <c r="J8136" s="78" t="s">
        <v>69</v>
      </c>
      <c r="K8136" s="58">
        <f t="shared" si="17"/>
        <v>0</v>
      </c>
      <c r="L8136" s="91" t="str">
        <f t="shared" si="8"/>
        <v>Wed</v>
      </c>
      <c r="M8136" s="78" t="str">
        <f>IFERROR(VLOOKUP(A8136, Entries!A:B,2,false),"")</f>
        <v>Starbreeze Publishing</v>
      </c>
      <c r="N8136" s="23" t="str">
        <f>IFERROR(VLOOKUP(A8136, Entries!A:K,11,false),"")</f>
        <v/>
      </c>
    </row>
    <row r="8137">
      <c r="A8137" s="78" t="s">
        <v>7798</v>
      </c>
      <c r="B8137" s="78" t="s">
        <v>22</v>
      </c>
      <c r="C8137" s="85">
        <v>45947.0</v>
      </c>
      <c r="D8137" s="25"/>
      <c r="E8137" s="86">
        <v>6.5</v>
      </c>
      <c r="F8137" s="88"/>
      <c r="G8137" s="88">
        <f t="shared" si="23"/>
        <v>-6.5</v>
      </c>
      <c r="H8137" s="89" t="str">
        <f t="shared" si="18"/>
        <v/>
      </c>
      <c r="I8137" s="78" t="s">
        <v>9271</v>
      </c>
      <c r="J8137" s="78" t="s">
        <v>1129</v>
      </c>
      <c r="K8137" s="58" t="str">
        <f t="shared" si="17"/>
        <v/>
      </c>
      <c r="L8137" s="91" t="str">
        <f t="shared" si="8"/>
        <v/>
      </c>
      <c r="M8137" s="78" t="str">
        <f>IFERROR(VLOOKUP(A8137, Entries!A:B,2,false),"")</f>
        <v>Konami</v>
      </c>
      <c r="N8137" s="23" t="str">
        <f>IFERROR(VLOOKUP(A8137, Entries!A:K,11,false),"")</f>
        <v/>
      </c>
    </row>
    <row r="8138">
      <c r="A8138" s="78" t="s">
        <v>9272</v>
      </c>
      <c r="B8138" s="78" t="s">
        <v>19</v>
      </c>
      <c r="C8138" s="85">
        <v>45948.0</v>
      </c>
      <c r="D8138" s="85">
        <v>45951.0</v>
      </c>
      <c r="E8138" s="86">
        <v>5.8</v>
      </c>
      <c r="F8138" s="87">
        <v>6.69</v>
      </c>
      <c r="G8138" s="88">
        <f t="shared" si="23"/>
        <v>0.89</v>
      </c>
      <c r="H8138" s="89">
        <f t="shared" si="18"/>
        <v>0.1330343797</v>
      </c>
      <c r="I8138" s="78" t="s">
        <v>9273</v>
      </c>
      <c r="J8138" s="78" t="s">
        <v>69</v>
      </c>
      <c r="K8138" s="58">
        <f t="shared" si="17"/>
        <v>3</v>
      </c>
      <c r="L8138" s="91" t="str">
        <f t="shared" si="8"/>
        <v>Tue</v>
      </c>
      <c r="M8138" s="78" t="str">
        <f>IFERROR(VLOOKUP(A8138, Entries!A:B,2,false),"")</f>
        <v/>
      </c>
      <c r="N8138" s="23" t="str">
        <f>IFERROR(VLOOKUP(A8138, Entries!A:K,11,false),"")</f>
        <v/>
      </c>
    </row>
    <row r="8139">
      <c r="A8139" s="78" t="s">
        <v>9218</v>
      </c>
      <c r="B8139" s="78" t="s">
        <v>27</v>
      </c>
      <c r="C8139" s="85">
        <v>45948.0</v>
      </c>
      <c r="D8139" s="85">
        <v>45949.0</v>
      </c>
      <c r="E8139" s="86">
        <v>37.89</v>
      </c>
      <c r="F8139" s="87">
        <v>43.1</v>
      </c>
      <c r="G8139" s="88">
        <f t="shared" si="23"/>
        <v>5.21</v>
      </c>
      <c r="H8139" s="89">
        <f t="shared" si="18"/>
        <v>0.1208816705</v>
      </c>
      <c r="I8139" s="78" t="s">
        <v>9274</v>
      </c>
      <c r="J8139" s="78" t="s">
        <v>69</v>
      </c>
      <c r="K8139" s="58">
        <f t="shared" si="17"/>
        <v>1</v>
      </c>
      <c r="L8139" s="91" t="str">
        <f t="shared" si="8"/>
        <v>Sun</v>
      </c>
      <c r="M8139" s="78" t="str">
        <f>IFERROR(VLOOKUP(A8139, Entries!A:B,2,false),"")</f>
        <v/>
      </c>
      <c r="N8139" s="23" t="str">
        <f>IFERROR(VLOOKUP(A8139, Entries!A:K,11,false),"")</f>
        <v/>
      </c>
    </row>
    <row r="8140">
      <c r="A8140" s="78" t="s">
        <v>9218</v>
      </c>
      <c r="B8140" s="78" t="s">
        <v>27</v>
      </c>
      <c r="C8140" s="85">
        <v>45949.0</v>
      </c>
      <c r="D8140" s="85">
        <v>45952.0</v>
      </c>
      <c r="E8140" s="86">
        <v>37.89</v>
      </c>
      <c r="F8140" s="87">
        <v>43.1</v>
      </c>
      <c r="G8140" s="88">
        <f t="shared" si="23"/>
        <v>5.21</v>
      </c>
      <c r="H8140" s="89">
        <f t="shared" si="18"/>
        <v>0.1208816705</v>
      </c>
      <c r="I8140" s="78" t="s">
        <v>9275</v>
      </c>
      <c r="J8140" s="78" t="s">
        <v>69</v>
      </c>
      <c r="K8140" s="58">
        <f t="shared" si="17"/>
        <v>3</v>
      </c>
      <c r="L8140" s="91" t="str">
        <f t="shared" si="8"/>
        <v>Wed</v>
      </c>
      <c r="M8140" s="78" t="str">
        <f>IFERROR(VLOOKUP(A8140, Entries!A:B,2,false),"")</f>
        <v/>
      </c>
      <c r="N8140" s="23" t="str">
        <f>IFERROR(VLOOKUP(A8140, Entries!A:K,11,false),"")</f>
        <v/>
      </c>
    </row>
    <row r="8141">
      <c r="A8141" s="78" t="s">
        <v>9233</v>
      </c>
      <c r="B8141" s="78" t="s">
        <v>40</v>
      </c>
      <c r="C8141" s="85">
        <v>45949.0</v>
      </c>
      <c r="D8141" s="85">
        <v>45949.0</v>
      </c>
      <c r="E8141" s="86">
        <v>9.31</v>
      </c>
      <c r="F8141" s="87">
        <v>14.45</v>
      </c>
      <c r="G8141" s="88">
        <f t="shared" si="23"/>
        <v>5.14</v>
      </c>
      <c r="H8141" s="89">
        <f t="shared" si="18"/>
        <v>0.3557093426</v>
      </c>
      <c r="I8141" s="78" t="s">
        <v>9276</v>
      </c>
      <c r="J8141" s="78" t="s">
        <v>69</v>
      </c>
      <c r="K8141" s="58">
        <f t="shared" si="17"/>
        <v>0</v>
      </c>
      <c r="L8141" s="91" t="str">
        <f t="shared" si="8"/>
        <v>Sun</v>
      </c>
      <c r="M8141" s="78" t="str">
        <f>IFERROR(VLOOKUP(A8141, Entries!A:B,2,false),"")</f>
        <v>Behaviour Interactive</v>
      </c>
      <c r="N8141" s="23" t="str">
        <f>IFERROR(VLOOKUP(A8141, Entries!A:K,11,false),"")</f>
        <v/>
      </c>
    </row>
    <row r="8142">
      <c r="A8142" s="78" t="s">
        <v>9233</v>
      </c>
      <c r="B8142" s="78" t="s">
        <v>40</v>
      </c>
      <c r="C8142" s="85">
        <v>45949.0</v>
      </c>
      <c r="D8142" s="85">
        <v>45949.0</v>
      </c>
      <c r="E8142" s="86">
        <v>9.31</v>
      </c>
      <c r="F8142" s="87">
        <v>14.45</v>
      </c>
      <c r="G8142" s="88">
        <f t="shared" si="23"/>
        <v>5.14</v>
      </c>
      <c r="H8142" s="89">
        <f t="shared" si="18"/>
        <v>0.3557093426</v>
      </c>
      <c r="I8142" s="78" t="s">
        <v>9277</v>
      </c>
      <c r="J8142" s="78" t="s">
        <v>69</v>
      </c>
      <c r="K8142" s="58">
        <f t="shared" si="17"/>
        <v>0</v>
      </c>
      <c r="L8142" s="91" t="str">
        <f t="shared" si="8"/>
        <v>Sun</v>
      </c>
      <c r="M8142" s="78" t="str">
        <f>IFERROR(VLOOKUP(A8142, Entries!A:B,2,false),"")</f>
        <v>Behaviour Interactive</v>
      </c>
      <c r="N8142" s="23" t="str">
        <f>IFERROR(VLOOKUP(A8142, Entries!A:K,11,false),"")</f>
        <v/>
      </c>
    </row>
    <row r="8143">
      <c r="A8143" s="78" t="s">
        <v>9233</v>
      </c>
      <c r="B8143" s="78" t="s">
        <v>40</v>
      </c>
      <c r="C8143" s="85">
        <v>45949.0</v>
      </c>
      <c r="D8143" s="85">
        <v>45949.0</v>
      </c>
      <c r="E8143" s="86">
        <v>9.31</v>
      </c>
      <c r="F8143" s="87">
        <v>14.45</v>
      </c>
      <c r="G8143" s="88">
        <f t="shared" si="23"/>
        <v>5.14</v>
      </c>
      <c r="H8143" s="89">
        <f t="shared" si="18"/>
        <v>0.3557093426</v>
      </c>
      <c r="I8143" s="78" t="s">
        <v>9278</v>
      </c>
      <c r="J8143" s="78" t="s">
        <v>69</v>
      </c>
      <c r="K8143" s="58">
        <f t="shared" si="17"/>
        <v>0</v>
      </c>
      <c r="L8143" s="91" t="str">
        <f t="shared" si="8"/>
        <v>Sun</v>
      </c>
      <c r="M8143" s="78" t="str">
        <f>IFERROR(VLOOKUP(A8143, Entries!A:B,2,false),"")</f>
        <v>Behaviour Interactive</v>
      </c>
      <c r="N8143" s="23" t="str">
        <f>IFERROR(VLOOKUP(A8143, Entries!A:K,11,false),"")</f>
        <v/>
      </c>
    </row>
    <row r="8144">
      <c r="A8144" s="78" t="s">
        <v>9182</v>
      </c>
      <c r="B8144" s="78" t="s">
        <v>27</v>
      </c>
      <c r="C8144" s="85">
        <v>45949.0</v>
      </c>
      <c r="D8144" s="25"/>
      <c r="E8144" s="86">
        <v>6.39</v>
      </c>
      <c r="F8144" s="88"/>
      <c r="G8144" s="88">
        <f t="shared" si="23"/>
        <v>-6.39</v>
      </c>
      <c r="H8144" s="89" t="str">
        <f t="shared" si="18"/>
        <v/>
      </c>
      <c r="I8144" s="78" t="s">
        <v>9279</v>
      </c>
      <c r="J8144" s="78" t="s">
        <v>1129</v>
      </c>
      <c r="K8144" s="58" t="str">
        <f t="shared" si="17"/>
        <v/>
      </c>
      <c r="L8144" s="91" t="str">
        <f t="shared" si="8"/>
        <v/>
      </c>
      <c r="M8144" s="78" t="str">
        <f>IFERROR(VLOOKUP(A8144, Entries!A:B,2,false),"")</f>
        <v/>
      </c>
      <c r="N8144" s="23" t="str">
        <f>IFERROR(VLOOKUP(A8144, Entries!A:K,11,false),"")</f>
        <v/>
      </c>
    </row>
    <row r="8145">
      <c r="A8145" s="78" t="s">
        <v>9233</v>
      </c>
      <c r="B8145" s="78" t="s">
        <v>40</v>
      </c>
      <c r="C8145" s="85">
        <v>45950.0</v>
      </c>
      <c r="D8145" s="85">
        <v>45955.0</v>
      </c>
      <c r="E8145" s="86">
        <v>9.31</v>
      </c>
      <c r="F8145" s="87">
        <v>11.58</v>
      </c>
      <c r="G8145" s="88">
        <f t="shared" si="23"/>
        <v>2.27</v>
      </c>
      <c r="H8145" s="89">
        <f t="shared" si="18"/>
        <v>0.1960276339</v>
      </c>
      <c r="I8145" s="78" t="s">
        <v>9280</v>
      </c>
      <c r="J8145" s="78" t="s">
        <v>69</v>
      </c>
      <c r="K8145" s="58">
        <f t="shared" si="17"/>
        <v>5</v>
      </c>
      <c r="L8145" s="91" t="str">
        <f t="shared" si="8"/>
        <v>Sat</v>
      </c>
      <c r="M8145" s="78" t="str">
        <f>IFERROR(VLOOKUP(A8145, Entries!A:B,2,false),"")</f>
        <v>Behaviour Interactive</v>
      </c>
      <c r="N8145" s="23" t="str">
        <f>IFERROR(VLOOKUP(A8145, Entries!A:K,11,false),"")</f>
        <v/>
      </c>
    </row>
    <row r="8146">
      <c r="A8146" s="78" t="s">
        <v>9233</v>
      </c>
      <c r="B8146" s="78" t="s">
        <v>40</v>
      </c>
      <c r="C8146" s="85">
        <v>45950.0</v>
      </c>
      <c r="D8146" s="85">
        <v>45955.0</v>
      </c>
      <c r="E8146" s="86">
        <v>9.31</v>
      </c>
      <c r="F8146" s="87">
        <v>11.58</v>
      </c>
      <c r="G8146" s="88">
        <f t="shared" si="23"/>
        <v>2.27</v>
      </c>
      <c r="H8146" s="89">
        <f t="shared" si="18"/>
        <v>0.1960276339</v>
      </c>
      <c r="I8146" s="78" t="s">
        <v>9281</v>
      </c>
      <c r="J8146" s="78" t="s">
        <v>69</v>
      </c>
      <c r="K8146" s="58">
        <f t="shared" si="17"/>
        <v>5</v>
      </c>
      <c r="L8146" s="91" t="str">
        <f t="shared" si="8"/>
        <v>Sat</v>
      </c>
      <c r="M8146" s="78" t="str">
        <f>IFERROR(VLOOKUP(A8146, Entries!A:B,2,false),"")</f>
        <v>Behaviour Interactive</v>
      </c>
      <c r="N8146" s="23" t="str">
        <f>IFERROR(VLOOKUP(A8146, Entries!A:K,11,false),"")</f>
        <v/>
      </c>
    </row>
    <row r="8147">
      <c r="A8147" s="78" t="s">
        <v>9233</v>
      </c>
      <c r="B8147" s="78" t="s">
        <v>40</v>
      </c>
      <c r="C8147" s="85">
        <v>45950.0</v>
      </c>
      <c r="D8147" s="85">
        <v>45955.0</v>
      </c>
      <c r="E8147" s="86">
        <v>9.31</v>
      </c>
      <c r="F8147" s="87">
        <v>11.58</v>
      </c>
      <c r="G8147" s="88">
        <f t="shared" si="23"/>
        <v>2.27</v>
      </c>
      <c r="H8147" s="89">
        <f t="shared" si="18"/>
        <v>0.1960276339</v>
      </c>
      <c r="I8147" s="78" t="s">
        <v>9282</v>
      </c>
      <c r="J8147" s="78" t="s">
        <v>69</v>
      </c>
      <c r="K8147" s="58">
        <f t="shared" si="17"/>
        <v>5</v>
      </c>
      <c r="L8147" s="91" t="str">
        <f t="shared" si="8"/>
        <v>Sat</v>
      </c>
      <c r="M8147" s="78" t="str">
        <f>IFERROR(VLOOKUP(A8147, Entries!A:B,2,false),"")</f>
        <v>Behaviour Interactive</v>
      </c>
      <c r="N8147" s="23" t="str">
        <f>IFERROR(VLOOKUP(A8147, Entries!A:K,11,false),"")</f>
        <v/>
      </c>
    </row>
    <row r="8148">
      <c r="A8148" s="78" t="s">
        <v>9233</v>
      </c>
      <c r="B8148" s="78" t="s">
        <v>40</v>
      </c>
      <c r="C8148" s="85">
        <v>45951.0</v>
      </c>
      <c r="D8148" s="85">
        <v>45956.0</v>
      </c>
      <c r="E8148" s="86">
        <v>9.31</v>
      </c>
      <c r="F8148" s="87">
        <v>11.76</v>
      </c>
      <c r="G8148" s="88">
        <f t="shared" si="23"/>
        <v>2.45</v>
      </c>
      <c r="H8148" s="89">
        <f t="shared" si="18"/>
        <v>0.2083333333</v>
      </c>
      <c r="I8148" s="78" t="s">
        <v>9283</v>
      </c>
      <c r="J8148" s="78" t="s">
        <v>69</v>
      </c>
      <c r="K8148" s="58">
        <f t="shared" si="17"/>
        <v>5</v>
      </c>
      <c r="L8148" s="91" t="str">
        <f t="shared" si="8"/>
        <v>Sun</v>
      </c>
      <c r="M8148" s="78" t="str">
        <f>IFERROR(VLOOKUP(A8148, Entries!A:B,2,false),"")</f>
        <v>Behaviour Interactive</v>
      </c>
      <c r="N8148" s="23" t="str">
        <f>IFERROR(VLOOKUP(A8148, Entries!A:K,11,false),"")</f>
        <v/>
      </c>
    </row>
    <row r="8149">
      <c r="A8149" s="78" t="s">
        <v>9218</v>
      </c>
      <c r="B8149" s="78" t="s">
        <v>27</v>
      </c>
      <c r="C8149" s="85">
        <v>45952.0</v>
      </c>
      <c r="D8149" s="85">
        <v>45954.0</v>
      </c>
      <c r="E8149" s="86">
        <v>37.89</v>
      </c>
      <c r="F8149" s="87">
        <v>41.03</v>
      </c>
      <c r="G8149" s="88">
        <f t="shared" si="23"/>
        <v>3.14</v>
      </c>
      <c r="H8149" s="89">
        <f t="shared" si="18"/>
        <v>0.07652936875</v>
      </c>
      <c r="I8149" s="78" t="s">
        <v>9284</v>
      </c>
      <c r="J8149" s="78" t="s">
        <v>69</v>
      </c>
      <c r="K8149" s="58">
        <f t="shared" si="17"/>
        <v>2</v>
      </c>
      <c r="L8149" s="91" t="str">
        <f t="shared" si="8"/>
        <v>Fri</v>
      </c>
      <c r="M8149" s="78" t="str">
        <f>IFERROR(VLOOKUP(A8149, Entries!A:B,2,false),"")</f>
        <v/>
      </c>
      <c r="N8149" s="23" t="str">
        <f>IFERROR(VLOOKUP(A8149, Entries!A:K,11,false),"")</f>
        <v/>
      </c>
    </row>
    <row r="8150">
      <c r="A8150" s="78" t="s">
        <v>9233</v>
      </c>
      <c r="B8150" s="78" t="s">
        <v>40</v>
      </c>
      <c r="C8150" s="85">
        <v>45952.0</v>
      </c>
      <c r="D8150" s="85">
        <v>45957.0</v>
      </c>
      <c r="E8150" s="86">
        <v>9.31</v>
      </c>
      <c r="F8150" s="87">
        <v>10.86</v>
      </c>
      <c r="G8150" s="88">
        <f t="shared" si="23"/>
        <v>1.55</v>
      </c>
      <c r="H8150" s="89">
        <f t="shared" si="18"/>
        <v>0.1427255985</v>
      </c>
      <c r="I8150" s="78" t="s">
        <v>9285</v>
      </c>
      <c r="J8150" s="78" t="s">
        <v>69</v>
      </c>
      <c r="K8150" s="58">
        <f t="shared" si="17"/>
        <v>5</v>
      </c>
      <c r="L8150" s="91" t="str">
        <f t="shared" si="8"/>
        <v>Mon</v>
      </c>
      <c r="M8150" s="78" t="str">
        <f>IFERROR(VLOOKUP(A8150, Entries!A:B,2,false),"")</f>
        <v>Behaviour Interactive</v>
      </c>
      <c r="N8150" s="23" t="str">
        <f>IFERROR(VLOOKUP(A8150, Entries!A:K,11,false),"")</f>
        <v/>
      </c>
    </row>
    <row r="8151">
      <c r="A8151" s="78" t="s">
        <v>9233</v>
      </c>
      <c r="B8151" s="78" t="s">
        <v>40</v>
      </c>
      <c r="C8151" s="85">
        <v>45952.0</v>
      </c>
      <c r="D8151" s="85">
        <v>45957.0</v>
      </c>
      <c r="E8151" s="86">
        <v>9.31</v>
      </c>
      <c r="F8151" s="87">
        <v>10.86</v>
      </c>
      <c r="G8151" s="88">
        <f t="shared" si="23"/>
        <v>1.55</v>
      </c>
      <c r="H8151" s="89">
        <f t="shared" si="18"/>
        <v>0.1427255985</v>
      </c>
      <c r="I8151" s="78" t="s">
        <v>9286</v>
      </c>
      <c r="J8151" s="78" t="s">
        <v>69</v>
      </c>
      <c r="K8151" s="58">
        <f t="shared" si="17"/>
        <v>5</v>
      </c>
      <c r="L8151" s="91" t="str">
        <f t="shared" si="8"/>
        <v>Mon</v>
      </c>
      <c r="M8151" s="78" t="str">
        <f>IFERROR(VLOOKUP(A8151, Entries!A:B,2,false),"")</f>
        <v>Behaviour Interactive</v>
      </c>
      <c r="N8151" s="23" t="str">
        <f>IFERROR(VLOOKUP(A8151, Entries!A:K,11,false),"")</f>
        <v/>
      </c>
    </row>
    <row r="8152">
      <c r="A8152" s="78" t="s">
        <v>9047</v>
      </c>
      <c r="B8152" s="78" t="s">
        <v>18</v>
      </c>
      <c r="C8152" s="85">
        <v>45953.0</v>
      </c>
      <c r="D8152" s="85">
        <v>46182.0</v>
      </c>
      <c r="E8152" s="86">
        <v>32.81</v>
      </c>
      <c r="F8152" s="87">
        <v>52.5</v>
      </c>
      <c r="G8152" s="88">
        <f t="shared" si="23"/>
        <v>19.69</v>
      </c>
      <c r="H8152" s="89">
        <f t="shared" si="18"/>
        <v>0.375047619</v>
      </c>
      <c r="I8152" s="78" t="s">
        <v>9287</v>
      </c>
      <c r="J8152" s="78" t="s">
        <v>69</v>
      </c>
      <c r="K8152" s="58">
        <f t="shared" si="17"/>
        <v>229</v>
      </c>
      <c r="L8152" s="91" t="str">
        <f t="shared" si="8"/>
        <v>Tue</v>
      </c>
      <c r="M8152" s="78" t="str">
        <f>IFERROR(VLOOKUP(A8152, Entries!A:B,2,false),"")</f>
        <v/>
      </c>
      <c r="N8152" s="23" t="str">
        <f>IFERROR(VLOOKUP(A8152, Entries!A:K,11,false),"")</f>
        <v/>
      </c>
    </row>
    <row r="8153">
      <c r="A8153" s="78" t="s">
        <v>9047</v>
      </c>
      <c r="B8153" s="78" t="s">
        <v>18</v>
      </c>
      <c r="C8153" s="85">
        <v>45953.0</v>
      </c>
      <c r="D8153" s="25"/>
      <c r="E8153" s="86">
        <v>39.42</v>
      </c>
      <c r="F8153" s="88"/>
      <c r="G8153" s="88">
        <f t="shared" si="23"/>
        <v>-39.42</v>
      </c>
      <c r="H8153" s="89" t="str">
        <f t="shared" si="18"/>
        <v/>
      </c>
      <c r="I8153" s="78" t="s">
        <v>9288</v>
      </c>
      <c r="J8153" s="78" t="s">
        <v>1129</v>
      </c>
      <c r="K8153" s="58" t="str">
        <f t="shared" si="17"/>
        <v/>
      </c>
      <c r="L8153" s="91" t="str">
        <f t="shared" si="8"/>
        <v/>
      </c>
      <c r="M8153" s="78" t="str">
        <f>IFERROR(VLOOKUP(A8153, Entries!A:B,2,false),"")</f>
        <v/>
      </c>
      <c r="N8153" s="23" t="str">
        <f>IFERROR(VLOOKUP(A8153, Entries!A:K,11,false),"")</f>
        <v/>
      </c>
    </row>
    <row r="8154">
      <c r="A8154" s="78" t="s">
        <v>9289</v>
      </c>
      <c r="B8154" s="78" t="s">
        <v>22</v>
      </c>
      <c r="C8154" s="85">
        <v>45954.0</v>
      </c>
      <c r="D8154" s="85">
        <v>45954.0</v>
      </c>
      <c r="E8154" s="86">
        <v>11.46</v>
      </c>
      <c r="F8154" s="87">
        <v>12.46</v>
      </c>
      <c r="G8154" s="88">
        <f t="shared" si="23"/>
        <v>1</v>
      </c>
      <c r="H8154" s="89">
        <f t="shared" si="18"/>
        <v>0.08025682183</v>
      </c>
      <c r="I8154" s="78" t="s">
        <v>9290</v>
      </c>
      <c r="J8154" s="78" t="s">
        <v>69</v>
      </c>
      <c r="K8154" s="58">
        <f t="shared" si="17"/>
        <v>0</v>
      </c>
      <c r="L8154" s="91" t="str">
        <f t="shared" si="8"/>
        <v>Fri</v>
      </c>
      <c r="M8154" s="78" t="str">
        <f>IFERROR(VLOOKUP(A8154, Entries!A:B,2,false),"")</f>
        <v/>
      </c>
      <c r="N8154" s="23" t="str">
        <f>IFERROR(VLOOKUP(A8154, Entries!A:K,11,false),"")</f>
        <v/>
      </c>
    </row>
    <row r="8155">
      <c r="A8155" s="78" t="s">
        <v>7814</v>
      </c>
      <c r="B8155" s="78" t="s">
        <v>17</v>
      </c>
      <c r="C8155" s="85">
        <v>45954.0</v>
      </c>
      <c r="D8155" s="85">
        <v>45985.0</v>
      </c>
      <c r="E8155" s="86">
        <v>29.34</v>
      </c>
      <c r="F8155" s="87">
        <v>33.01</v>
      </c>
      <c r="G8155" s="88">
        <f t="shared" si="23"/>
        <v>3.67</v>
      </c>
      <c r="H8155" s="89">
        <f t="shared" si="18"/>
        <v>0.1111784308</v>
      </c>
      <c r="I8155" s="78" t="s">
        <v>9257</v>
      </c>
      <c r="J8155" s="78" t="s">
        <v>69</v>
      </c>
      <c r="K8155" s="58">
        <f t="shared" si="17"/>
        <v>31</v>
      </c>
      <c r="L8155" s="91" t="str">
        <f t="shared" si="8"/>
        <v>Mon</v>
      </c>
      <c r="M8155" s="78" t="str">
        <f>IFERROR(VLOOKUP(A8155, Entries!A:B,2,false),"")</f>
        <v>Electronic Arts</v>
      </c>
      <c r="N8155" s="23" t="str">
        <f>IFERROR(VLOOKUP(A8155, Entries!A:K,11,false),"")</f>
        <v/>
      </c>
      <c r="P8155" s="78" t="s">
        <v>7796</v>
      </c>
    </row>
    <row r="8156">
      <c r="A8156" s="78" t="s">
        <v>7814</v>
      </c>
      <c r="B8156" s="78" t="s">
        <v>17</v>
      </c>
      <c r="C8156" s="85">
        <v>45954.0</v>
      </c>
      <c r="D8156" s="85">
        <v>45985.0</v>
      </c>
      <c r="E8156" s="86">
        <v>29.34</v>
      </c>
      <c r="F8156" s="87">
        <v>33.01</v>
      </c>
      <c r="G8156" s="88">
        <f t="shared" si="23"/>
        <v>3.67</v>
      </c>
      <c r="H8156" s="89">
        <f t="shared" si="18"/>
        <v>0.1111784308</v>
      </c>
      <c r="I8156" s="78" t="s">
        <v>4864</v>
      </c>
      <c r="J8156" s="78" t="s">
        <v>69</v>
      </c>
      <c r="K8156" s="58">
        <f t="shared" si="17"/>
        <v>31</v>
      </c>
      <c r="L8156" s="91" t="str">
        <f t="shared" si="8"/>
        <v>Mon</v>
      </c>
      <c r="M8156" s="78" t="str">
        <f>IFERROR(VLOOKUP(A8156, Entries!A:B,2,false),"")</f>
        <v>Electronic Arts</v>
      </c>
      <c r="N8156" s="23" t="str">
        <f>IFERROR(VLOOKUP(A8156, Entries!A:K,11,false),"")</f>
        <v/>
      </c>
      <c r="P8156" s="78" t="s">
        <v>7796</v>
      </c>
    </row>
    <row r="8157">
      <c r="A8157" s="78" t="s">
        <v>9291</v>
      </c>
      <c r="B8157" s="78" t="s">
        <v>21</v>
      </c>
      <c r="C8157" s="85">
        <v>45955.0</v>
      </c>
      <c r="D8157" s="85">
        <v>45957.0</v>
      </c>
      <c r="E8157" s="86">
        <v>8.13</v>
      </c>
      <c r="F8157" s="87">
        <v>9.3</v>
      </c>
      <c r="G8157" s="88">
        <f t="shared" si="23"/>
        <v>1.17</v>
      </c>
      <c r="H8157" s="89">
        <f t="shared" si="18"/>
        <v>0.1258064516</v>
      </c>
      <c r="I8157" s="78" t="s">
        <v>9292</v>
      </c>
      <c r="J8157" s="78" t="s">
        <v>69</v>
      </c>
      <c r="K8157" s="58">
        <f t="shared" si="17"/>
        <v>2</v>
      </c>
      <c r="L8157" s="91" t="str">
        <f t="shared" si="8"/>
        <v>Mon</v>
      </c>
      <c r="M8157" s="78" t="str">
        <f>IFERROR(VLOOKUP(A8157, Entries!A:B,2,false),"")</f>
        <v/>
      </c>
      <c r="N8157" s="23" t="str">
        <f>IFERROR(VLOOKUP(A8157, Entries!A:K,11,false),"")</f>
        <v/>
      </c>
    </row>
    <row r="8158">
      <c r="A8158" s="78" t="s">
        <v>9291</v>
      </c>
      <c r="B8158" s="78" t="s">
        <v>21</v>
      </c>
      <c r="C8158" s="85">
        <v>45955.0</v>
      </c>
      <c r="D8158" s="85">
        <v>45968.0</v>
      </c>
      <c r="E8158" s="86">
        <v>8.13</v>
      </c>
      <c r="F8158" s="87">
        <v>9.29</v>
      </c>
      <c r="G8158" s="88">
        <f t="shared" si="23"/>
        <v>1.16</v>
      </c>
      <c r="H8158" s="89">
        <f t="shared" si="18"/>
        <v>0.1248654467</v>
      </c>
      <c r="I8158" s="78" t="s">
        <v>9293</v>
      </c>
      <c r="J8158" s="78" t="s">
        <v>69</v>
      </c>
      <c r="K8158" s="58">
        <f t="shared" si="17"/>
        <v>13</v>
      </c>
      <c r="L8158" s="91" t="str">
        <f t="shared" si="8"/>
        <v>Fri</v>
      </c>
      <c r="M8158" s="78" t="str">
        <f>IFERROR(VLOOKUP(A8158, Entries!A:B,2,false),"")</f>
        <v/>
      </c>
      <c r="N8158" s="23" t="str">
        <f>IFERROR(VLOOKUP(A8158, Entries!A:K,11,false),"")</f>
        <v/>
      </c>
    </row>
    <row r="8159">
      <c r="A8159" s="78" t="s">
        <v>9233</v>
      </c>
      <c r="B8159" s="78" t="s">
        <v>40</v>
      </c>
      <c r="C8159" s="85">
        <v>45955.0</v>
      </c>
      <c r="D8159" s="85">
        <v>45959.0</v>
      </c>
      <c r="E8159" s="86">
        <v>9.31</v>
      </c>
      <c r="F8159" s="87">
        <v>10.73</v>
      </c>
      <c r="G8159" s="88">
        <f t="shared" si="23"/>
        <v>1.42</v>
      </c>
      <c r="H8159" s="89">
        <f t="shared" si="18"/>
        <v>0.1323392358</v>
      </c>
      <c r="I8159" s="78" t="s">
        <v>9294</v>
      </c>
      <c r="J8159" s="78" t="s">
        <v>69</v>
      </c>
      <c r="K8159" s="58">
        <f t="shared" si="17"/>
        <v>4</v>
      </c>
      <c r="L8159" s="91" t="str">
        <f t="shared" si="8"/>
        <v>Wed</v>
      </c>
      <c r="M8159" s="78" t="str">
        <f>IFERROR(VLOOKUP(A8159, Entries!A:B,2,false),"")</f>
        <v>Behaviour Interactive</v>
      </c>
      <c r="N8159" s="23" t="str">
        <f>IFERROR(VLOOKUP(A8159, Entries!A:K,11,false),"")</f>
        <v/>
      </c>
    </row>
    <row r="8160">
      <c r="A8160" s="78" t="s">
        <v>9233</v>
      </c>
      <c r="B8160" s="78" t="s">
        <v>40</v>
      </c>
      <c r="C8160" s="85">
        <v>45955.0</v>
      </c>
      <c r="D8160" s="85">
        <v>45961.0</v>
      </c>
      <c r="E8160" s="86">
        <v>9.31</v>
      </c>
      <c r="F8160" s="87">
        <v>10.72</v>
      </c>
      <c r="G8160" s="88">
        <f t="shared" si="23"/>
        <v>1.41</v>
      </c>
      <c r="H8160" s="89">
        <f t="shared" si="18"/>
        <v>0.1315298507</v>
      </c>
      <c r="I8160" s="78" t="s">
        <v>9295</v>
      </c>
      <c r="J8160" s="78" t="s">
        <v>69</v>
      </c>
      <c r="K8160" s="58">
        <f t="shared" si="17"/>
        <v>6</v>
      </c>
      <c r="L8160" s="91" t="str">
        <f t="shared" si="8"/>
        <v>Fri</v>
      </c>
      <c r="M8160" s="78" t="str">
        <f>IFERROR(VLOOKUP(A8160, Entries!A:B,2,false),"")</f>
        <v>Behaviour Interactive</v>
      </c>
      <c r="N8160" s="23" t="str">
        <f>IFERROR(VLOOKUP(A8160, Entries!A:K,11,false),"")</f>
        <v/>
      </c>
    </row>
    <row r="8161">
      <c r="A8161" s="78" t="s">
        <v>9162</v>
      </c>
      <c r="B8161" s="78" t="s">
        <v>40</v>
      </c>
      <c r="C8161" s="85">
        <v>45956.0</v>
      </c>
      <c r="D8161" s="85">
        <v>45956.0</v>
      </c>
      <c r="E8161" s="86">
        <v>8.08</v>
      </c>
      <c r="F8161" s="87">
        <v>10.3</v>
      </c>
      <c r="G8161" s="88">
        <f t="shared" si="23"/>
        <v>2.22</v>
      </c>
      <c r="H8161" s="89">
        <f t="shared" si="18"/>
        <v>0.2155339806</v>
      </c>
      <c r="I8161" s="78" t="s">
        <v>9296</v>
      </c>
      <c r="J8161" s="78" t="s">
        <v>69</v>
      </c>
      <c r="K8161" s="58">
        <f t="shared" si="17"/>
        <v>0</v>
      </c>
      <c r="L8161" s="91" t="str">
        <f t="shared" si="8"/>
        <v>Sun</v>
      </c>
      <c r="M8161" s="78" t="str">
        <f>IFERROR(VLOOKUP(A8161, Entries!A:B,2,false),"")</f>
        <v/>
      </c>
      <c r="N8161" s="23" t="str">
        <f>IFERROR(VLOOKUP(A8161, Entries!A:K,11,false),"")</f>
        <v/>
      </c>
    </row>
    <row r="8162">
      <c r="A8162" s="78" t="s">
        <v>9291</v>
      </c>
      <c r="B8162" s="78" t="s">
        <v>29</v>
      </c>
      <c r="C8162" s="85">
        <v>45956.0</v>
      </c>
      <c r="D8162" s="85">
        <v>45968.0</v>
      </c>
      <c r="E8162" s="86">
        <v>7.99</v>
      </c>
      <c r="F8162" s="87">
        <v>9.29</v>
      </c>
      <c r="G8162" s="88">
        <f t="shared" si="23"/>
        <v>1.3</v>
      </c>
      <c r="H8162" s="89">
        <f t="shared" si="18"/>
        <v>0.1399354144</v>
      </c>
      <c r="I8162" s="78" t="s">
        <v>9297</v>
      </c>
      <c r="J8162" s="78" t="s">
        <v>69</v>
      </c>
      <c r="K8162" s="58">
        <f t="shared" si="17"/>
        <v>12</v>
      </c>
      <c r="L8162" s="91" t="str">
        <f t="shared" si="8"/>
        <v>Fri</v>
      </c>
      <c r="M8162" s="78" t="str">
        <f>IFERROR(VLOOKUP(A8162, Entries!A:B,2,false),"")</f>
        <v/>
      </c>
      <c r="N8162" s="23" t="str">
        <f>IFERROR(VLOOKUP(A8162, Entries!A:K,11,false),"")</f>
        <v/>
      </c>
    </row>
    <row r="8163">
      <c r="A8163" s="78" t="s">
        <v>9291</v>
      </c>
      <c r="B8163" s="78" t="s">
        <v>29</v>
      </c>
      <c r="C8163" s="85">
        <v>45956.0</v>
      </c>
      <c r="D8163" s="85">
        <v>45968.0</v>
      </c>
      <c r="E8163" s="86">
        <v>7.99</v>
      </c>
      <c r="F8163" s="87">
        <v>9.76</v>
      </c>
      <c r="G8163" s="88">
        <f t="shared" si="23"/>
        <v>1.77</v>
      </c>
      <c r="H8163" s="89">
        <f t="shared" si="18"/>
        <v>0.181352459</v>
      </c>
      <c r="I8163" s="78" t="s">
        <v>9298</v>
      </c>
      <c r="J8163" s="78" t="s">
        <v>69</v>
      </c>
      <c r="K8163" s="58">
        <f t="shared" si="17"/>
        <v>12</v>
      </c>
      <c r="L8163" s="91" t="str">
        <f t="shared" si="8"/>
        <v>Fri</v>
      </c>
      <c r="M8163" s="78" t="str">
        <f>IFERROR(VLOOKUP(A8163, Entries!A:B,2,false),"")</f>
        <v/>
      </c>
      <c r="N8163" s="23" t="str">
        <f>IFERROR(VLOOKUP(A8163, Entries!A:K,11,false),"")</f>
        <v/>
      </c>
    </row>
    <row r="8164">
      <c r="A8164" s="78" t="s">
        <v>9162</v>
      </c>
      <c r="B8164" s="78" t="s">
        <v>40</v>
      </c>
      <c r="C8164" s="85">
        <v>45956.0</v>
      </c>
      <c r="D8164" s="85">
        <v>45956.0</v>
      </c>
      <c r="E8164" s="86">
        <v>8.08</v>
      </c>
      <c r="F8164" s="87">
        <v>10.5</v>
      </c>
      <c r="G8164" s="88">
        <f t="shared" si="23"/>
        <v>2.42</v>
      </c>
      <c r="H8164" s="89">
        <f t="shared" si="18"/>
        <v>0.2304761905</v>
      </c>
      <c r="I8164" s="78" t="s">
        <v>9299</v>
      </c>
      <c r="J8164" s="78" t="s">
        <v>69</v>
      </c>
      <c r="K8164" s="58">
        <f t="shared" si="17"/>
        <v>0</v>
      </c>
      <c r="L8164" s="91" t="str">
        <f t="shared" si="8"/>
        <v>Sun</v>
      </c>
      <c r="M8164" s="78" t="str">
        <f>IFERROR(VLOOKUP(A8164, Entries!A:B,2,false),"")</f>
        <v/>
      </c>
      <c r="N8164" s="23" t="str">
        <f>IFERROR(VLOOKUP(A8164, Entries!A:K,11,false),"")</f>
        <v/>
      </c>
    </row>
    <row r="8165">
      <c r="A8165" s="78" t="s">
        <v>5676</v>
      </c>
      <c r="B8165" s="78" t="s">
        <v>25</v>
      </c>
      <c r="C8165" s="85">
        <v>45956.0</v>
      </c>
      <c r="D8165" s="85">
        <v>45956.0</v>
      </c>
      <c r="E8165" s="86">
        <v>29.19</v>
      </c>
      <c r="F8165" s="87">
        <v>43.99</v>
      </c>
      <c r="G8165" s="88">
        <f t="shared" si="23"/>
        <v>14.8</v>
      </c>
      <c r="H8165" s="89">
        <f t="shared" si="18"/>
        <v>0.3364401</v>
      </c>
      <c r="I8165" s="78" t="s">
        <v>9300</v>
      </c>
      <c r="J8165" s="78" t="s">
        <v>69</v>
      </c>
      <c r="K8165" s="58">
        <f t="shared" si="17"/>
        <v>0</v>
      </c>
      <c r="L8165" s="91" t="str">
        <f t="shared" si="8"/>
        <v>Sun</v>
      </c>
      <c r="M8165" s="78" t="str">
        <f>IFERROR(VLOOKUP(A8165, Entries!A:B,2,false),"")</f>
        <v>Bethesda Softworks</v>
      </c>
      <c r="N8165" s="23" t="str">
        <f>IFERROR(VLOOKUP(A8165, Entries!A:K,11,false),"")</f>
        <v/>
      </c>
    </row>
    <row r="8166">
      <c r="A8166" s="78" t="s">
        <v>5676</v>
      </c>
      <c r="B8166" s="78" t="s">
        <v>25</v>
      </c>
      <c r="C8166" s="85">
        <v>45956.0</v>
      </c>
      <c r="D8166" s="85">
        <v>45959.0</v>
      </c>
      <c r="E8166" s="86">
        <v>29.19</v>
      </c>
      <c r="F8166" s="87">
        <v>33.49</v>
      </c>
      <c r="G8166" s="88">
        <f t="shared" si="23"/>
        <v>4.3</v>
      </c>
      <c r="H8166" s="89">
        <f t="shared" si="18"/>
        <v>0.1283965363</v>
      </c>
      <c r="I8166" s="78" t="s">
        <v>9301</v>
      </c>
      <c r="J8166" s="78" t="s">
        <v>69</v>
      </c>
      <c r="K8166" s="58">
        <f t="shared" si="17"/>
        <v>3</v>
      </c>
      <c r="L8166" s="91" t="str">
        <f t="shared" si="8"/>
        <v>Wed</v>
      </c>
      <c r="M8166" s="78" t="str">
        <f>IFERROR(VLOOKUP(A8166, Entries!A:B,2,false),"")</f>
        <v>Bethesda Softworks</v>
      </c>
      <c r="N8166" s="23" t="str">
        <f>IFERROR(VLOOKUP(A8166, Entries!A:K,11,false),"")</f>
        <v/>
      </c>
    </row>
    <row r="8167">
      <c r="A8167" s="78" t="s">
        <v>5676</v>
      </c>
      <c r="B8167" s="78" t="s">
        <v>25</v>
      </c>
      <c r="C8167" s="85">
        <v>45956.0</v>
      </c>
      <c r="D8167" s="85">
        <v>45971.0</v>
      </c>
      <c r="E8167" s="86">
        <v>29.19</v>
      </c>
      <c r="F8167" s="87">
        <v>33.49</v>
      </c>
      <c r="G8167" s="88">
        <f t="shared" si="23"/>
        <v>4.3</v>
      </c>
      <c r="H8167" s="89">
        <f t="shared" si="18"/>
        <v>0.1283965363</v>
      </c>
      <c r="I8167" s="78" t="s">
        <v>9302</v>
      </c>
      <c r="J8167" s="78" t="s">
        <v>69</v>
      </c>
      <c r="K8167" s="58">
        <f t="shared" si="17"/>
        <v>15</v>
      </c>
      <c r="L8167" s="91" t="str">
        <f t="shared" si="8"/>
        <v>Mon</v>
      </c>
      <c r="M8167" s="78" t="str">
        <f>IFERROR(VLOOKUP(A8167, Entries!A:B,2,false),"")</f>
        <v>Bethesda Softworks</v>
      </c>
      <c r="N8167" s="23" t="str">
        <f>IFERROR(VLOOKUP(A8167, Entries!A:K,11,false),"")</f>
        <v/>
      </c>
    </row>
    <row r="8168">
      <c r="A8168" s="78" t="s">
        <v>9303</v>
      </c>
      <c r="B8168" s="78" t="s">
        <v>22</v>
      </c>
      <c r="C8168" s="85">
        <v>45957.0</v>
      </c>
      <c r="D8168" s="85">
        <v>45974.0</v>
      </c>
      <c r="E8168" s="86">
        <v>5.03</v>
      </c>
      <c r="F8168" s="87">
        <v>8.12</v>
      </c>
      <c r="G8168" s="88">
        <f t="shared" si="23"/>
        <v>3.09</v>
      </c>
      <c r="H8168" s="89">
        <f t="shared" si="18"/>
        <v>0.3805418719</v>
      </c>
      <c r="I8168" s="78" t="s">
        <v>9304</v>
      </c>
      <c r="J8168" s="78" t="s">
        <v>69</v>
      </c>
      <c r="K8168" s="58">
        <f t="shared" si="17"/>
        <v>17</v>
      </c>
      <c r="L8168" s="91" t="str">
        <f t="shared" si="8"/>
        <v>Thu</v>
      </c>
      <c r="M8168" s="78" t="str">
        <f>IFERROR(VLOOKUP(A8168, Entries!A:B,2,false),"")</f>
        <v/>
      </c>
      <c r="N8168" s="23" t="str">
        <f>IFERROR(VLOOKUP(A8168, Entries!A:K,11,false),"")</f>
        <v/>
      </c>
    </row>
    <row r="8169">
      <c r="A8169" s="78" t="s">
        <v>9018</v>
      </c>
      <c r="B8169" s="78" t="s">
        <v>27</v>
      </c>
      <c r="C8169" s="85">
        <v>45957.0</v>
      </c>
      <c r="D8169" s="85">
        <v>46018.0</v>
      </c>
      <c r="E8169" s="86">
        <v>41.89</v>
      </c>
      <c r="F8169" s="87">
        <v>60.22</v>
      </c>
      <c r="G8169" s="88">
        <f t="shared" si="23"/>
        <v>18.33</v>
      </c>
      <c r="H8169" s="89">
        <f t="shared" si="18"/>
        <v>0.3043839256</v>
      </c>
      <c r="I8169" s="78" t="s">
        <v>9305</v>
      </c>
      <c r="J8169" s="78" t="s">
        <v>69</v>
      </c>
      <c r="K8169" s="58">
        <f t="shared" si="17"/>
        <v>61</v>
      </c>
      <c r="L8169" s="91" t="str">
        <f t="shared" si="8"/>
        <v>Sat</v>
      </c>
      <c r="M8169" s="78" t="str">
        <f>IFERROR(VLOOKUP(A8169, Entries!A:B,2,false),"")</f>
        <v>Game Science</v>
      </c>
      <c r="N8169" s="23" t="str">
        <f>IFERROR(VLOOKUP(A8169, Entries!A:K,11,false),"")</f>
        <v/>
      </c>
    </row>
    <row r="8170">
      <c r="A8170" s="78" t="s">
        <v>9289</v>
      </c>
      <c r="B8170" s="78" t="s">
        <v>27</v>
      </c>
      <c r="C8170" s="85">
        <v>45957.0</v>
      </c>
      <c r="D8170" s="25"/>
      <c r="E8170" s="86">
        <v>15.09</v>
      </c>
      <c r="F8170" s="88"/>
      <c r="G8170" s="88">
        <f t="shared" si="23"/>
        <v>-15.09</v>
      </c>
      <c r="H8170" s="89" t="str">
        <f t="shared" si="18"/>
        <v/>
      </c>
      <c r="I8170" s="78" t="s">
        <v>9306</v>
      </c>
      <c r="J8170" s="78" t="s">
        <v>1129</v>
      </c>
      <c r="K8170" s="58" t="str">
        <f t="shared" si="17"/>
        <v/>
      </c>
      <c r="L8170" s="91" t="str">
        <f t="shared" si="8"/>
        <v/>
      </c>
      <c r="M8170" s="78" t="str">
        <f>IFERROR(VLOOKUP(A8170, Entries!A:B,2,false),"")</f>
        <v/>
      </c>
      <c r="N8170" s="23" t="str">
        <f>IFERROR(VLOOKUP(A8170, Entries!A:K,11,false),"")</f>
        <v/>
      </c>
    </row>
    <row r="8171">
      <c r="A8171" s="78" t="s">
        <v>7370</v>
      </c>
      <c r="B8171" s="78" t="s">
        <v>21</v>
      </c>
      <c r="C8171" s="85">
        <v>45957.0</v>
      </c>
      <c r="D8171" s="25"/>
      <c r="E8171" s="86">
        <v>22.2</v>
      </c>
      <c r="F8171" s="88"/>
      <c r="G8171" s="88">
        <f t="shared" si="23"/>
        <v>-22.2</v>
      </c>
      <c r="H8171" s="89" t="str">
        <f t="shared" si="18"/>
        <v/>
      </c>
      <c r="I8171" s="78" t="s">
        <v>9307</v>
      </c>
      <c r="J8171" s="78" t="s">
        <v>1129</v>
      </c>
      <c r="K8171" s="58" t="str">
        <f t="shared" si="17"/>
        <v/>
      </c>
      <c r="L8171" s="91" t="str">
        <f t="shared" si="8"/>
        <v/>
      </c>
      <c r="M8171" s="78" t="str">
        <f>IFERROR(VLOOKUP(A8171, Entries!A:B,2,false),"")</f>
        <v/>
      </c>
      <c r="N8171" s="23" t="str">
        <f>IFERROR(VLOOKUP(A8171, Entries!A:K,11,false),"")</f>
        <v/>
      </c>
    </row>
    <row r="8172">
      <c r="A8172" s="78" t="s">
        <v>7370</v>
      </c>
      <c r="B8172" s="78" t="s">
        <v>21</v>
      </c>
      <c r="C8172" s="85">
        <v>45957.0</v>
      </c>
      <c r="D8172" s="25"/>
      <c r="E8172" s="86">
        <v>22.2</v>
      </c>
      <c r="F8172" s="88"/>
      <c r="G8172" s="88">
        <f t="shared" si="23"/>
        <v>-22.2</v>
      </c>
      <c r="H8172" s="89" t="str">
        <f t="shared" si="18"/>
        <v/>
      </c>
      <c r="I8172" s="78" t="s">
        <v>9308</v>
      </c>
      <c r="J8172" s="78" t="s">
        <v>1129</v>
      </c>
      <c r="K8172" s="58" t="str">
        <f t="shared" si="17"/>
        <v/>
      </c>
      <c r="L8172" s="91" t="str">
        <f t="shared" si="8"/>
        <v/>
      </c>
      <c r="M8172" s="78" t="str">
        <f>IFERROR(VLOOKUP(A8172, Entries!A:B,2,false),"")</f>
        <v/>
      </c>
      <c r="N8172" s="23" t="str">
        <f>IFERROR(VLOOKUP(A8172, Entries!A:K,11,false),"")</f>
        <v/>
      </c>
    </row>
    <row r="8173">
      <c r="A8173" s="78" t="s">
        <v>7370</v>
      </c>
      <c r="B8173" s="78" t="s">
        <v>21</v>
      </c>
      <c r="C8173" s="85">
        <v>45957.0</v>
      </c>
      <c r="D8173" s="25"/>
      <c r="E8173" s="86">
        <v>22.2</v>
      </c>
      <c r="F8173" s="88"/>
      <c r="G8173" s="88">
        <f t="shared" si="23"/>
        <v>-22.2</v>
      </c>
      <c r="H8173" s="89" t="str">
        <f t="shared" si="18"/>
        <v/>
      </c>
      <c r="I8173" s="78" t="s">
        <v>9309</v>
      </c>
      <c r="J8173" s="78" t="s">
        <v>1129</v>
      </c>
      <c r="K8173" s="58" t="str">
        <f t="shared" si="17"/>
        <v/>
      </c>
      <c r="L8173" s="91" t="str">
        <f t="shared" si="8"/>
        <v/>
      </c>
      <c r="M8173" s="78" t="str">
        <f>IFERROR(VLOOKUP(A8173, Entries!A:B,2,false),"")</f>
        <v/>
      </c>
      <c r="N8173" s="23" t="str">
        <f>IFERROR(VLOOKUP(A8173, Entries!A:K,11,false),"")</f>
        <v/>
      </c>
    </row>
    <row r="8174">
      <c r="A8174" s="78" t="s">
        <v>9310</v>
      </c>
      <c r="B8174" s="78" t="s">
        <v>22</v>
      </c>
      <c r="C8174" s="85">
        <v>45958.0</v>
      </c>
      <c r="D8174" s="85">
        <v>45958.0</v>
      </c>
      <c r="E8174" s="86">
        <v>9.52</v>
      </c>
      <c r="F8174" s="87">
        <v>13.73</v>
      </c>
      <c r="G8174" s="88">
        <f t="shared" si="23"/>
        <v>4.21</v>
      </c>
      <c r="H8174" s="89">
        <f t="shared" si="18"/>
        <v>0.3066278223</v>
      </c>
      <c r="I8174" s="78" t="s">
        <v>9311</v>
      </c>
      <c r="J8174" s="78" t="s">
        <v>69</v>
      </c>
      <c r="K8174" s="58">
        <f t="shared" si="17"/>
        <v>0</v>
      </c>
      <c r="L8174" s="91" t="str">
        <f t="shared" si="8"/>
        <v>Tue</v>
      </c>
      <c r="M8174" s="78" t="str">
        <f>IFERROR(VLOOKUP(A8174, Entries!A:B,2,false),"")</f>
        <v/>
      </c>
      <c r="N8174" s="23" t="str">
        <f>IFERROR(VLOOKUP(A8174, Entries!A:K,11,false),"")</f>
        <v/>
      </c>
    </row>
    <row r="8175">
      <c r="A8175" s="78" t="s">
        <v>8048</v>
      </c>
      <c r="B8175" s="78" t="s">
        <v>22</v>
      </c>
      <c r="C8175" s="85">
        <v>45959.0</v>
      </c>
      <c r="D8175" s="85">
        <v>45959.0</v>
      </c>
      <c r="E8175" s="86">
        <v>5.73</v>
      </c>
      <c r="F8175" s="87">
        <v>8.98</v>
      </c>
      <c r="G8175" s="88">
        <f t="shared" si="23"/>
        <v>3.25</v>
      </c>
      <c r="H8175" s="89">
        <f t="shared" si="18"/>
        <v>0.3619153675</v>
      </c>
      <c r="I8175" s="78" t="s">
        <v>9312</v>
      </c>
      <c r="J8175" s="78" t="s">
        <v>69</v>
      </c>
      <c r="K8175" s="58">
        <f t="shared" si="17"/>
        <v>0</v>
      </c>
      <c r="L8175" s="91" t="str">
        <f t="shared" si="8"/>
        <v>Wed</v>
      </c>
      <c r="M8175" s="78" t="str">
        <f>IFERROR(VLOOKUP(A8175, Entries!A:B,2,false),"")</f>
        <v/>
      </c>
      <c r="N8175" s="23" t="str">
        <f>IFERROR(VLOOKUP(A8175, Entries!A:K,11,false),"")</f>
        <v/>
      </c>
    </row>
    <row r="8176">
      <c r="A8176" s="78" t="s">
        <v>5106</v>
      </c>
      <c r="B8176" s="78" t="s">
        <v>18</v>
      </c>
      <c r="C8176" s="85">
        <v>45959.0</v>
      </c>
      <c r="D8176" s="85">
        <v>45960.0</v>
      </c>
      <c r="E8176" s="86">
        <v>2.65</v>
      </c>
      <c r="F8176" s="87">
        <v>3.82</v>
      </c>
      <c r="G8176" s="88">
        <f t="shared" si="23"/>
        <v>1.17</v>
      </c>
      <c r="H8176" s="89">
        <f t="shared" si="18"/>
        <v>0.3062827225</v>
      </c>
      <c r="I8176" s="78" t="s">
        <v>9313</v>
      </c>
      <c r="J8176" s="78" t="s">
        <v>69</v>
      </c>
      <c r="K8176" s="58">
        <f t="shared" si="17"/>
        <v>1</v>
      </c>
      <c r="L8176" s="91" t="str">
        <f t="shared" si="8"/>
        <v>Thu</v>
      </c>
      <c r="M8176" s="78" t="str">
        <f>IFERROR(VLOOKUP(A8176, Entries!A:B,2,false),"")</f>
        <v>Triternion</v>
      </c>
      <c r="N8176" s="23" t="str">
        <f>IFERROR(VLOOKUP(A8176, Entries!A:K,11,false),"")</f>
        <v/>
      </c>
    </row>
    <row r="8177">
      <c r="A8177" s="78" t="s">
        <v>9314</v>
      </c>
      <c r="B8177" s="78" t="s">
        <v>27</v>
      </c>
      <c r="C8177" s="85">
        <v>45959.0</v>
      </c>
      <c r="D8177" s="85">
        <v>45985.0</v>
      </c>
      <c r="E8177" s="86">
        <v>13.99</v>
      </c>
      <c r="F8177" s="87">
        <v>14.66</v>
      </c>
      <c r="G8177" s="88">
        <f t="shared" si="23"/>
        <v>0.67</v>
      </c>
      <c r="H8177" s="89">
        <f t="shared" si="18"/>
        <v>0.04570259209</v>
      </c>
      <c r="I8177" s="78" t="s">
        <v>9315</v>
      </c>
      <c r="J8177" s="78" t="s">
        <v>69</v>
      </c>
      <c r="K8177" s="58">
        <f t="shared" si="17"/>
        <v>26</v>
      </c>
      <c r="L8177" s="91" t="str">
        <f t="shared" si="8"/>
        <v>Mon</v>
      </c>
      <c r="M8177" s="78" t="str">
        <f>IFERROR(VLOOKUP(A8177, Entries!A:B,2,false),"")</f>
        <v/>
      </c>
      <c r="N8177" s="23" t="str">
        <f>IFERROR(VLOOKUP(A8177, Entries!A:K,11,false),"")</f>
        <v/>
      </c>
    </row>
    <row r="8178">
      <c r="A8178" s="78" t="s">
        <v>9316</v>
      </c>
      <c r="B8178" s="78" t="s">
        <v>40</v>
      </c>
      <c r="C8178" s="85">
        <v>45959.0</v>
      </c>
      <c r="D8178" s="25"/>
      <c r="E8178" s="86">
        <v>21.28</v>
      </c>
      <c r="F8178" s="88"/>
      <c r="G8178" s="88">
        <f t="shared" si="23"/>
        <v>-21.28</v>
      </c>
      <c r="H8178" s="89" t="str">
        <f t="shared" si="18"/>
        <v/>
      </c>
      <c r="I8178" s="78" t="s">
        <v>9317</v>
      </c>
      <c r="J8178" s="78" t="s">
        <v>1129</v>
      </c>
      <c r="K8178" s="58" t="str">
        <f t="shared" si="17"/>
        <v/>
      </c>
      <c r="L8178" s="91" t="str">
        <f t="shared" si="8"/>
        <v/>
      </c>
      <c r="M8178" s="78" t="str">
        <f>IFERROR(VLOOKUP(A8178, Entries!A:B,2,false),"")</f>
        <v/>
      </c>
      <c r="N8178" s="23" t="str">
        <f>IFERROR(VLOOKUP(A8178, Entries!A:K,11,false),"")</f>
        <v/>
      </c>
    </row>
    <row r="8179">
      <c r="A8179" s="78" t="s">
        <v>8529</v>
      </c>
      <c r="B8179" s="78" t="s">
        <v>29</v>
      </c>
      <c r="C8179" s="85">
        <v>45959.0</v>
      </c>
      <c r="D8179" s="85">
        <v>45965.0</v>
      </c>
      <c r="E8179" s="86">
        <v>8.42</v>
      </c>
      <c r="F8179" s="87">
        <v>39.8</v>
      </c>
      <c r="G8179" s="88">
        <f t="shared" si="23"/>
        <v>31.38</v>
      </c>
      <c r="H8179" s="89">
        <f t="shared" si="18"/>
        <v>0.7884422111</v>
      </c>
      <c r="I8179" s="78" t="s">
        <v>9318</v>
      </c>
      <c r="J8179" s="78" t="s">
        <v>69</v>
      </c>
      <c r="K8179" s="58">
        <f t="shared" si="17"/>
        <v>6</v>
      </c>
      <c r="L8179" s="91" t="str">
        <f t="shared" si="8"/>
        <v>Tue</v>
      </c>
      <c r="M8179" s="78" t="str">
        <f>IFERROR(VLOOKUP(A8179, Entries!A:B,2,false),"")</f>
        <v>SEGA</v>
      </c>
      <c r="N8179" s="23" t="str">
        <f>IFERROR(VLOOKUP(A8179, Entries!A:K,11,false),"")</f>
        <v/>
      </c>
    </row>
    <row r="8180">
      <c r="A8180" s="78" t="s">
        <v>8529</v>
      </c>
      <c r="B8180" s="78" t="s">
        <v>29</v>
      </c>
      <c r="C8180" s="85">
        <v>45959.0</v>
      </c>
      <c r="D8180" s="85">
        <v>45965.0</v>
      </c>
      <c r="E8180" s="86">
        <v>8.42</v>
      </c>
      <c r="F8180" s="87">
        <v>39.83</v>
      </c>
      <c r="G8180" s="88">
        <f t="shared" si="23"/>
        <v>31.41</v>
      </c>
      <c r="H8180" s="89">
        <f t="shared" si="18"/>
        <v>0.7886015566</v>
      </c>
      <c r="I8180" s="78" t="s">
        <v>9319</v>
      </c>
      <c r="J8180" s="78" t="s">
        <v>69</v>
      </c>
      <c r="K8180" s="58">
        <f t="shared" si="17"/>
        <v>6</v>
      </c>
      <c r="L8180" s="91" t="str">
        <f t="shared" si="8"/>
        <v>Tue</v>
      </c>
      <c r="M8180" s="78" t="str">
        <f>IFERROR(VLOOKUP(A8180, Entries!A:B,2,false),"")</f>
        <v>SEGA</v>
      </c>
      <c r="N8180" s="23" t="str">
        <f>IFERROR(VLOOKUP(A8180, Entries!A:K,11,false),"")</f>
        <v/>
      </c>
    </row>
    <row r="8181">
      <c r="A8181" s="78" t="s">
        <v>8529</v>
      </c>
      <c r="B8181" s="78" t="s">
        <v>29</v>
      </c>
      <c r="C8181" s="85">
        <v>45959.0</v>
      </c>
      <c r="D8181" s="85">
        <v>45966.0</v>
      </c>
      <c r="E8181" s="86">
        <v>8.42</v>
      </c>
      <c r="F8181" s="87">
        <v>39.83</v>
      </c>
      <c r="G8181" s="88">
        <f t="shared" si="23"/>
        <v>31.41</v>
      </c>
      <c r="H8181" s="89">
        <f t="shared" si="18"/>
        <v>0.7886015566</v>
      </c>
      <c r="I8181" s="78" t="s">
        <v>9320</v>
      </c>
      <c r="J8181" s="78" t="s">
        <v>69</v>
      </c>
      <c r="K8181" s="58">
        <f t="shared" si="17"/>
        <v>7</v>
      </c>
      <c r="L8181" s="91" t="str">
        <f t="shared" si="8"/>
        <v>Wed</v>
      </c>
      <c r="M8181" s="78" t="str">
        <f>IFERROR(VLOOKUP(A8181, Entries!A:B,2,false),"")</f>
        <v>SEGA</v>
      </c>
      <c r="N8181" s="23" t="str">
        <f>IFERROR(VLOOKUP(A8181, Entries!A:K,11,false),"")</f>
        <v/>
      </c>
    </row>
    <row r="8182">
      <c r="A8182" s="78" t="s">
        <v>272</v>
      </c>
      <c r="B8182" s="78" t="s">
        <v>17</v>
      </c>
      <c r="C8182" s="85">
        <v>45960.0</v>
      </c>
      <c r="D8182" s="85">
        <v>45960.0</v>
      </c>
      <c r="E8182" s="86">
        <v>2.04</v>
      </c>
      <c r="F8182" s="87">
        <v>2.98</v>
      </c>
      <c r="G8182" s="88">
        <f t="shared" si="23"/>
        <v>0.94</v>
      </c>
      <c r="H8182" s="89">
        <f t="shared" si="18"/>
        <v>0.3154362416</v>
      </c>
      <c r="I8182" s="78" t="s">
        <v>9321</v>
      </c>
      <c r="J8182" s="78" t="s">
        <v>69</v>
      </c>
      <c r="K8182" s="58">
        <f t="shared" si="17"/>
        <v>0</v>
      </c>
      <c r="L8182" s="91" t="str">
        <f t="shared" si="8"/>
        <v>Thu</v>
      </c>
      <c r="M8182" s="78" t="str">
        <f>IFERROR(VLOOKUP(A8182, Entries!A:B,2,false),"")</f>
        <v>Starbreeze Publishing</v>
      </c>
      <c r="N8182" s="23" t="str">
        <f>IFERROR(VLOOKUP(A8182, Entries!A:K,11,false),"")</f>
        <v/>
      </c>
      <c r="P8182" s="78" t="s">
        <v>7796</v>
      </c>
    </row>
    <row r="8183">
      <c r="A8183" s="78" t="s">
        <v>272</v>
      </c>
      <c r="B8183" s="78" t="s">
        <v>17</v>
      </c>
      <c r="C8183" s="85">
        <v>45960.0</v>
      </c>
      <c r="D8183" s="85">
        <v>45960.0</v>
      </c>
      <c r="E8183" s="86">
        <v>2.04</v>
      </c>
      <c r="F8183" s="87">
        <v>2.98</v>
      </c>
      <c r="G8183" s="88">
        <f t="shared" si="23"/>
        <v>0.94</v>
      </c>
      <c r="H8183" s="89">
        <f t="shared" si="18"/>
        <v>0.3154362416</v>
      </c>
      <c r="I8183" s="78" t="s">
        <v>9322</v>
      </c>
      <c r="J8183" s="78" t="s">
        <v>69</v>
      </c>
      <c r="K8183" s="58">
        <f t="shared" si="17"/>
        <v>0</v>
      </c>
      <c r="L8183" s="91" t="str">
        <f t="shared" si="8"/>
        <v>Thu</v>
      </c>
      <c r="M8183" s="78" t="str">
        <f>IFERROR(VLOOKUP(A8183, Entries!A:B,2,false),"")</f>
        <v>Starbreeze Publishing</v>
      </c>
      <c r="N8183" s="23" t="str">
        <f>IFERROR(VLOOKUP(A8183, Entries!A:K,11,false),"")</f>
        <v/>
      </c>
      <c r="P8183" s="78" t="s">
        <v>7796</v>
      </c>
    </row>
    <row r="8184">
      <c r="A8184" s="78" t="s">
        <v>272</v>
      </c>
      <c r="B8184" s="78" t="s">
        <v>17</v>
      </c>
      <c r="C8184" s="85">
        <v>45960.0</v>
      </c>
      <c r="D8184" s="85">
        <v>45960.0</v>
      </c>
      <c r="E8184" s="86">
        <v>2.04</v>
      </c>
      <c r="F8184" s="87">
        <v>2.98</v>
      </c>
      <c r="G8184" s="88">
        <f t="shared" si="23"/>
        <v>0.94</v>
      </c>
      <c r="H8184" s="89">
        <f t="shared" si="18"/>
        <v>0.3154362416</v>
      </c>
      <c r="I8184" s="78" t="s">
        <v>9323</v>
      </c>
      <c r="J8184" s="78" t="s">
        <v>69</v>
      </c>
      <c r="K8184" s="58">
        <f t="shared" si="17"/>
        <v>0</v>
      </c>
      <c r="L8184" s="91" t="str">
        <f t="shared" si="8"/>
        <v>Thu</v>
      </c>
      <c r="M8184" s="78" t="str">
        <f>IFERROR(VLOOKUP(A8184, Entries!A:B,2,false),"")</f>
        <v>Starbreeze Publishing</v>
      </c>
      <c r="N8184" s="23" t="str">
        <f>IFERROR(VLOOKUP(A8184, Entries!A:K,11,false),"")</f>
        <v/>
      </c>
      <c r="P8184" s="78" t="s">
        <v>7796</v>
      </c>
    </row>
    <row r="8185">
      <c r="A8185" s="78" t="s">
        <v>272</v>
      </c>
      <c r="B8185" s="78" t="s">
        <v>17</v>
      </c>
      <c r="C8185" s="85">
        <v>45960.0</v>
      </c>
      <c r="D8185" s="85">
        <v>45963.0</v>
      </c>
      <c r="E8185" s="86">
        <v>2.04</v>
      </c>
      <c r="F8185" s="87">
        <v>2.98</v>
      </c>
      <c r="G8185" s="88">
        <f t="shared" si="23"/>
        <v>0.94</v>
      </c>
      <c r="H8185" s="89">
        <f t="shared" si="18"/>
        <v>0.3154362416</v>
      </c>
      <c r="I8185" s="78" t="s">
        <v>9324</v>
      </c>
      <c r="J8185" s="78" t="s">
        <v>69</v>
      </c>
      <c r="K8185" s="58">
        <f t="shared" si="17"/>
        <v>3</v>
      </c>
      <c r="L8185" s="91" t="str">
        <f t="shared" si="8"/>
        <v>Sun</v>
      </c>
      <c r="M8185" s="78" t="str">
        <f>IFERROR(VLOOKUP(A8185, Entries!A:B,2,false),"")</f>
        <v>Starbreeze Publishing</v>
      </c>
      <c r="N8185" s="23" t="str">
        <f>IFERROR(VLOOKUP(A8185, Entries!A:K,11,false),"")</f>
        <v/>
      </c>
      <c r="P8185" s="78" t="s">
        <v>7796</v>
      </c>
    </row>
    <row r="8186">
      <c r="A8186" s="78" t="s">
        <v>9233</v>
      </c>
      <c r="B8186" s="78" t="s">
        <v>17</v>
      </c>
      <c r="C8186" s="85">
        <v>45961.0</v>
      </c>
      <c r="D8186" s="85">
        <v>45961.0</v>
      </c>
      <c r="E8186" s="86">
        <v>8.41</v>
      </c>
      <c r="F8186" s="87">
        <v>10.72</v>
      </c>
      <c r="G8186" s="88">
        <f t="shared" si="23"/>
        <v>2.31</v>
      </c>
      <c r="H8186" s="89">
        <f t="shared" si="18"/>
        <v>0.2154850746</v>
      </c>
      <c r="I8186" s="78" t="s">
        <v>9325</v>
      </c>
      <c r="J8186" s="78" t="s">
        <v>69</v>
      </c>
      <c r="K8186" s="58">
        <f t="shared" si="17"/>
        <v>0</v>
      </c>
      <c r="L8186" s="91" t="str">
        <f t="shared" si="8"/>
        <v>Fri</v>
      </c>
      <c r="M8186" s="78" t="str">
        <f>IFERROR(VLOOKUP(A8186, Entries!A:B,2,false),"")</f>
        <v>Behaviour Interactive</v>
      </c>
      <c r="N8186" s="23" t="str">
        <f>IFERROR(VLOOKUP(A8186, Entries!A:K,11,false),"")</f>
        <v/>
      </c>
      <c r="P8186" s="78" t="s">
        <v>7796</v>
      </c>
    </row>
    <row r="8187">
      <c r="A8187" s="78" t="s">
        <v>9233</v>
      </c>
      <c r="B8187" s="78" t="s">
        <v>17</v>
      </c>
      <c r="C8187" s="85">
        <v>45961.0</v>
      </c>
      <c r="D8187" s="85">
        <v>45961.0</v>
      </c>
      <c r="E8187" s="86">
        <v>8.41</v>
      </c>
      <c r="F8187" s="87">
        <v>10.72</v>
      </c>
      <c r="G8187" s="88">
        <f t="shared" si="23"/>
        <v>2.31</v>
      </c>
      <c r="H8187" s="89">
        <f t="shared" si="18"/>
        <v>0.2154850746</v>
      </c>
      <c r="I8187" s="78" t="s">
        <v>9326</v>
      </c>
      <c r="J8187" s="78" t="s">
        <v>69</v>
      </c>
      <c r="K8187" s="58">
        <f t="shared" si="17"/>
        <v>0</v>
      </c>
      <c r="L8187" s="91" t="str">
        <f t="shared" si="8"/>
        <v>Fri</v>
      </c>
      <c r="M8187" s="78" t="str">
        <f>IFERROR(VLOOKUP(A8187, Entries!A:B,2,false),"")</f>
        <v>Behaviour Interactive</v>
      </c>
      <c r="N8187" s="23" t="str">
        <f>IFERROR(VLOOKUP(A8187, Entries!A:K,11,false),"")</f>
        <v/>
      </c>
      <c r="P8187" s="78" t="s">
        <v>7796</v>
      </c>
    </row>
    <row r="8188">
      <c r="A8188" s="78" t="s">
        <v>9233</v>
      </c>
      <c r="B8188" s="78" t="s">
        <v>17</v>
      </c>
      <c r="C8188" s="85">
        <v>45961.0</v>
      </c>
      <c r="D8188" s="85">
        <v>45961.0</v>
      </c>
      <c r="E8188" s="86">
        <v>8.41</v>
      </c>
      <c r="F8188" s="87">
        <v>10.72</v>
      </c>
      <c r="G8188" s="88">
        <f t="shared" si="23"/>
        <v>2.31</v>
      </c>
      <c r="H8188" s="89">
        <f t="shared" si="18"/>
        <v>0.2154850746</v>
      </c>
      <c r="I8188" s="78" t="s">
        <v>9327</v>
      </c>
      <c r="J8188" s="78" t="s">
        <v>69</v>
      </c>
      <c r="K8188" s="58">
        <f t="shared" si="17"/>
        <v>0</v>
      </c>
      <c r="L8188" s="91" t="str">
        <f t="shared" si="8"/>
        <v>Fri</v>
      </c>
      <c r="M8188" s="78" t="str">
        <f>IFERROR(VLOOKUP(A8188, Entries!A:B,2,false),"")</f>
        <v>Behaviour Interactive</v>
      </c>
      <c r="N8188" s="23" t="str">
        <f>IFERROR(VLOOKUP(A8188, Entries!A:K,11,false),"")</f>
        <v/>
      </c>
      <c r="P8188" s="78" t="s">
        <v>7796</v>
      </c>
    </row>
    <row r="8189">
      <c r="A8189" s="78" t="s">
        <v>9233</v>
      </c>
      <c r="B8189" s="78" t="s">
        <v>40</v>
      </c>
      <c r="C8189" s="85">
        <v>45962.0</v>
      </c>
      <c r="D8189" s="85">
        <v>45963.0</v>
      </c>
      <c r="E8189" s="86">
        <v>9.31</v>
      </c>
      <c r="F8189" s="87">
        <v>12.04</v>
      </c>
      <c r="G8189" s="88">
        <f t="shared" si="23"/>
        <v>2.73</v>
      </c>
      <c r="H8189" s="89">
        <f t="shared" si="18"/>
        <v>0.226744186</v>
      </c>
      <c r="I8189" s="78" t="s">
        <v>9328</v>
      </c>
      <c r="J8189" s="78" t="s">
        <v>69</v>
      </c>
      <c r="K8189" s="58">
        <f t="shared" si="17"/>
        <v>1</v>
      </c>
      <c r="L8189" s="91" t="str">
        <f t="shared" si="8"/>
        <v>Sun</v>
      </c>
      <c r="M8189" s="78" t="str">
        <f>IFERROR(VLOOKUP(A8189, Entries!A:B,2,false),"")</f>
        <v>Behaviour Interactive</v>
      </c>
      <c r="N8189" s="23" t="str">
        <f>IFERROR(VLOOKUP(A8189, Entries!A:K,11,false),"")</f>
        <v/>
      </c>
    </row>
    <row r="8190">
      <c r="A8190" s="78" t="s">
        <v>8316</v>
      </c>
      <c r="B8190" s="78" t="s">
        <v>17</v>
      </c>
      <c r="C8190" s="85">
        <v>45962.0</v>
      </c>
      <c r="D8190" s="85">
        <v>45963.0</v>
      </c>
      <c r="E8190" s="86">
        <v>17.32</v>
      </c>
      <c r="F8190" s="87">
        <v>25.06</v>
      </c>
      <c r="G8190" s="88">
        <f t="shared" si="23"/>
        <v>7.74</v>
      </c>
      <c r="H8190" s="89">
        <f t="shared" si="18"/>
        <v>0.308858739</v>
      </c>
      <c r="I8190" s="78" t="s">
        <v>9329</v>
      </c>
      <c r="J8190" s="78" t="s">
        <v>69</v>
      </c>
      <c r="K8190" s="58">
        <f t="shared" si="17"/>
        <v>1</v>
      </c>
      <c r="L8190" s="91" t="str">
        <f t="shared" si="8"/>
        <v>Sun</v>
      </c>
      <c r="M8190" s="78" t="str">
        <f>IFERROR(VLOOKUP(A8190, Entries!A:B,2,false),"")</f>
        <v/>
      </c>
      <c r="N8190" s="23" t="str">
        <f>IFERROR(VLOOKUP(A8190, Entries!A:K,11,false),"")</f>
        <v/>
      </c>
      <c r="P8190" s="78" t="s">
        <v>7796</v>
      </c>
    </row>
    <row r="8191">
      <c r="A8191" s="78" t="s">
        <v>8316</v>
      </c>
      <c r="B8191" s="78" t="s">
        <v>17</v>
      </c>
      <c r="C8191" s="85">
        <v>45962.0</v>
      </c>
      <c r="D8191" s="85">
        <v>45963.0</v>
      </c>
      <c r="E8191" s="86">
        <v>17.32</v>
      </c>
      <c r="F8191" s="87">
        <v>26.88</v>
      </c>
      <c r="G8191" s="88">
        <f t="shared" si="23"/>
        <v>9.56</v>
      </c>
      <c r="H8191" s="89">
        <f t="shared" si="18"/>
        <v>0.3556547619</v>
      </c>
      <c r="I8191" s="78" t="s">
        <v>9330</v>
      </c>
      <c r="J8191" s="78" t="s">
        <v>69</v>
      </c>
      <c r="K8191" s="58">
        <f t="shared" si="17"/>
        <v>1</v>
      </c>
      <c r="L8191" s="91" t="str">
        <f t="shared" si="8"/>
        <v>Sun</v>
      </c>
      <c r="M8191" s="78" t="str">
        <f>IFERROR(VLOOKUP(A8191, Entries!A:B,2,false),"")</f>
        <v/>
      </c>
      <c r="N8191" s="23" t="str">
        <f>IFERROR(VLOOKUP(A8191, Entries!A:K,11,false),"")</f>
        <v/>
      </c>
      <c r="P8191" s="78" t="s">
        <v>7796</v>
      </c>
    </row>
    <row r="8192">
      <c r="A8192" s="78" t="s">
        <v>9233</v>
      </c>
      <c r="B8192" s="78" t="s">
        <v>40</v>
      </c>
      <c r="C8192" s="85">
        <v>45962.0</v>
      </c>
      <c r="D8192" s="85">
        <v>45964.0</v>
      </c>
      <c r="E8192" s="86">
        <v>9.31</v>
      </c>
      <c r="F8192" s="87">
        <v>11.89</v>
      </c>
      <c r="G8192" s="88">
        <f t="shared" si="23"/>
        <v>2.58</v>
      </c>
      <c r="H8192" s="89">
        <f t="shared" si="18"/>
        <v>0.2169890664</v>
      </c>
      <c r="I8192" s="78" t="s">
        <v>9331</v>
      </c>
      <c r="J8192" s="78" t="s">
        <v>69</v>
      </c>
      <c r="K8192" s="58">
        <f t="shared" si="17"/>
        <v>2</v>
      </c>
      <c r="L8192" s="91" t="str">
        <f t="shared" si="8"/>
        <v>Mon</v>
      </c>
      <c r="M8192" s="78" t="str">
        <f>IFERROR(VLOOKUP(A8192, Entries!A:B,2,false),"")</f>
        <v>Behaviour Interactive</v>
      </c>
      <c r="N8192" s="23" t="str">
        <f>IFERROR(VLOOKUP(A8192, Entries!A:K,11,false),"")</f>
        <v/>
      </c>
    </row>
    <row r="8193">
      <c r="A8193" s="78" t="s">
        <v>1273</v>
      </c>
      <c r="B8193" s="78" t="s">
        <v>22</v>
      </c>
      <c r="C8193" s="85">
        <v>45963.0</v>
      </c>
      <c r="D8193" s="85">
        <v>46046.0</v>
      </c>
      <c r="E8193" s="86">
        <v>11.14</v>
      </c>
      <c r="F8193" s="87">
        <v>16.99</v>
      </c>
      <c r="G8193" s="88">
        <f t="shared" si="23"/>
        <v>5.85</v>
      </c>
      <c r="H8193" s="89">
        <f t="shared" si="18"/>
        <v>0.3443201883</v>
      </c>
      <c r="I8193" s="78" t="s">
        <v>9332</v>
      </c>
      <c r="J8193" s="78" t="s">
        <v>69</v>
      </c>
      <c r="K8193" s="58">
        <f t="shared" si="17"/>
        <v>83</v>
      </c>
      <c r="L8193" s="91" t="str">
        <f t="shared" si="8"/>
        <v>Sat</v>
      </c>
      <c r="M8193" s="78" t="str">
        <f>IFERROR(VLOOKUP(A8193, Entries!A:B,2,false),"")</f>
        <v>Konami</v>
      </c>
      <c r="N8193" s="23" t="str">
        <f>IFERROR(VLOOKUP(A8193, Entries!A:K,11,false),"")</f>
        <v/>
      </c>
    </row>
    <row r="8194">
      <c r="A8194" s="78" t="s">
        <v>9233</v>
      </c>
      <c r="B8194" s="78" t="s">
        <v>40</v>
      </c>
      <c r="C8194" s="85">
        <v>45964.0</v>
      </c>
      <c r="D8194" s="85">
        <v>45965.0</v>
      </c>
      <c r="E8194" s="86">
        <v>9.31</v>
      </c>
      <c r="F8194" s="87">
        <v>12.24</v>
      </c>
      <c r="G8194" s="88">
        <f t="shared" si="23"/>
        <v>2.93</v>
      </c>
      <c r="H8194" s="89">
        <f t="shared" si="18"/>
        <v>0.239379085</v>
      </c>
      <c r="I8194" s="78" t="s">
        <v>9333</v>
      </c>
      <c r="J8194" s="78" t="s">
        <v>69</v>
      </c>
      <c r="K8194" s="58">
        <f t="shared" si="17"/>
        <v>1</v>
      </c>
      <c r="L8194" s="91" t="str">
        <f t="shared" si="8"/>
        <v>Tue</v>
      </c>
      <c r="M8194" s="78" t="str">
        <f>IFERROR(VLOOKUP(A8194, Entries!A:B,2,false),"")</f>
        <v>Behaviour Interactive</v>
      </c>
      <c r="N8194" s="23" t="str">
        <f>IFERROR(VLOOKUP(A8194, Entries!A:K,11,false),"")</f>
        <v/>
      </c>
    </row>
    <row r="8195">
      <c r="A8195" s="78" t="s">
        <v>8865</v>
      </c>
      <c r="B8195" s="78" t="s">
        <v>19</v>
      </c>
      <c r="C8195" s="85">
        <v>45964.0</v>
      </c>
      <c r="D8195" s="85">
        <v>45965.0</v>
      </c>
      <c r="E8195" s="86">
        <v>28.98</v>
      </c>
      <c r="F8195" s="87">
        <v>32.74</v>
      </c>
      <c r="G8195" s="88">
        <f t="shared" si="23"/>
        <v>3.76</v>
      </c>
      <c r="H8195" s="89">
        <f t="shared" si="18"/>
        <v>0.1148442272</v>
      </c>
      <c r="I8195" s="78" t="s">
        <v>9334</v>
      </c>
      <c r="J8195" s="78" t="s">
        <v>69</v>
      </c>
      <c r="K8195" s="58">
        <f t="shared" si="17"/>
        <v>1</v>
      </c>
      <c r="L8195" s="91" t="str">
        <f t="shared" si="8"/>
        <v>Tue</v>
      </c>
      <c r="M8195" s="78" t="str">
        <f>IFERROR(VLOOKUP(A8195, Entries!A:B,2,false),"")</f>
        <v>Bethesda Softworks</v>
      </c>
      <c r="N8195" s="23" t="str">
        <f>IFERROR(VLOOKUP(A8195, Entries!A:K,11,false),"")</f>
        <v/>
      </c>
    </row>
    <row r="8196">
      <c r="A8196" s="78" t="s">
        <v>8316</v>
      </c>
      <c r="B8196" s="78" t="s">
        <v>18</v>
      </c>
      <c r="C8196" s="85">
        <v>45964.0</v>
      </c>
      <c r="D8196" s="85">
        <v>45965.0</v>
      </c>
      <c r="E8196" s="86">
        <v>27.24</v>
      </c>
      <c r="F8196" s="87">
        <v>35.5</v>
      </c>
      <c r="G8196" s="88">
        <f t="shared" si="23"/>
        <v>8.26</v>
      </c>
      <c r="H8196" s="89">
        <f t="shared" si="18"/>
        <v>0.2326760563</v>
      </c>
      <c r="I8196" s="78" t="s">
        <v>9335</v>
      </c>
      <c r="J8196" s="78" t="s">
        <v>69</v>
      </c>
      <c r="K8196" s="58">
        <f t="shared" si="17"/>
        <v>1</v>
      </c>
      <c r="L8196" s="91" t="str">
        <f t="shared" si="8"/>
        <v>Tue</v>
      </c>
      <c r="M8196" s="78" t="str">
        <f>IFERROR(VLOOKUP(A8196, Entries!A:B,2,false),"")</f>
        <v/>
      </c>
      <c r="N8196" s="23" t="str">
        <f>IFERROR(VLOOKUP(A8196, Entries!A:K,11,false),"")</f>
        <v/>
      </c>
    </row>
    <row r="8197">
      <c r="A8197" s="78" t="s">
        <v>5768</v>
      </c>
      <c r="B8197" s="78" t="s">
        <v>18</v>
      </c>
      <c r="C8197" s="85">
        <v>45964.0</v>
      </c>
      <c r="D8197" s="85">
        <v>46096.0</v>
      </c>
      <c r="E8197" s="86">
        <v>19.24</v>
      </c>
      <c r="F8197" s="87">
        <v>19.69</v>
      </c>
      <c r="G8197" s="88">
        <f t="shared" si="23"/>
        <v>0.45</v>
      </c>
      <c r="H8197" s="89">
        <f t="shared" si="18"/>
        <v>0.02285424073</v>
      </c>
      <c r="I8197" s="78" t="s">
        <v>9336</v>
      </c>
      <c r="J8197" s="78" t="s">
        <v>69</v>
      </c>
      <c r="K8197" s="58">
        <f t="shared" si="17"/>
        <v>132</v>
      </c>
      <c r="L8197" s="91" t="str">
        <f t="shared" si="8"/>
        <v>Sun</v>
      </c>
      <c r="M8197" s="78" t="str">
        <f>IFERROR(VLOOKUP(A8197, Entries!A:B,2,false),"")</f>
        <v>10 Chambers</v>
      </c>
      <c r="N8197" s="23" t="str">
        <f>IFERROR(VLOOKUP(A8197, Entries!A:K,11,false),"")</f>
        <v/>
      </c>
    </row>
    <row r="8198">
      <c r="A8198" s="78" t="s">
        <v>9337</v>
      </c>
      <c r="B8198" s="78" t="s">
        <v>19</v>
      </c>
      <c r="C8198" s="85">
        <v>45964.0</v>
      </c>
      <c r="D8198" s="25"/>
      <c r="E8198" s="86">
        <v>33.49</v>
      </c>
      <c r="F8198" s="88"/>
      <c r="G8198" s="88">
        <f t="shared" si="23"/>
        <v>-33.49</v>
      </c>
      <c r="H8198" s="89" t="str">
        <f t="shared" si="18"/>
        <v/>
      </c>
      <c r="I8198" s="78" t="s">
        <v>9338</v>
      </c>
      <c r="J8198" s="78" t="s">
        <v>1129</v>
      </c>
      <c r="K8198" s="58" t="str">
        <f t="shared" si="17"/>
        <v/>
      </c>
      <c r="L8198" s="91" t="str">
        <f t="shared" si="8"/>
        <v/>
      </c>
      <c r="M8198" s="78" t="str">
        <f>IFERROR(VLOOKUP(A8198, Entries!A:B,2,false),"")</f>
        <v/>
      </c>
      <c r="N8198" s="23" t="str">
        <f>IFERROR(VLOOKUP(A8198, Entries!A:K,11,false),"")</f>
        <v/>
      </c>
    </row>
    <row r="8199">
      <c r="A8199" s="78" t="s">
        <v>8617</v>
      </c>
      <c r="B8199" s="78" t="s">
        <v>19</v>
      </c>
      <c r="C8199" s="85">
        <v>45964.0</v>
      </c>
      <c r="D8199" s="85">
        <v>45984.0</v>
      </c>
      <c r="E8199" s="86">
        <v>0.0</v>
      </c>
      <c r="F8199" s="87">
        <v>0.29</v>
      </c>
      <c r="G8199" s="88">
        <f t="shared" si="23"/>
        <v>0.29</v>
      </c>
      <c r="H8199" s="89">
        <f t="shared" si="18"/>
        <v>1</v>
      </c>
      <c r="I8199" s="78" t="s">
        <v>9339</v>
      </c>
      <c r="J8199" s="78" t="s">
        <v>69</v>
      </c>
      <c r="K8199" s="58">
        <f t="shared" si="17"/>
        <v>20</v>
      </c>
      <c r="L8199" s="91" t="str">
        <f t="shared" si="8"/>
        <v>Sun</v>
      </c>
      <c r="M8199" s="78" t="str">
        <f>IFERROR(VLOOKUP(A8199, Entries!A:B,2,false),"")</f>
        <v/>
      </c>
      <c r="N8199" s="23" t="str">
        <f>IFERROR(VLOOKUP(A8199, Entries!A:K,11,false),"")</f>
        <v/>
      </c>
    </row>
    <row r="8200">
      <c r="A8200" s="78" t="s">
        <v>9233</v>
      </c>
      <c r="B8200" s="78" t="s">
        <v>40</v>
      </c>
      <c r="C8200" s="85">
        <v>45964.0</v>
      </c>
      <c r="D8200" s="85">
        <v>45965.0</v>
      </c>
      <c r="E8200" s="86">
        <v>9.31</v>
      </c>
      <c r="F8200" s="87">
        <v>12.24</v>
      </c>
      <c r="G8200" s="88">
        <f t="shared" si="23"/>
        <v>2.93</v>
      </c>
      <c r="H8200" s="89">
        <f t="shared" si="18"/>
        <v>0.239379085</v>
      </c>
      <c r="I8200" s="78" t="s">
        <v>9340</v>
      </c>
      <c r="J8200" s="78" t="s">
        <v>69</v>
      </c>
      <c r="K8200" s="58">
        <f t="shared" si="17"/>
        <v>1</v>
      </c>
      <c r="L8200" s="91" t="str">
        <f t="shared" si="8"/>
        <v>Tue</v>
      </c>
      <c r="M8200" s="78" t="str">
        <f>IFERROR(VLOOKUP(A8200, Entries!A:B,2,false),"")</f>
        <v>Behaviour Interactive</v>
      </c>
      <c r="N8200" s="23" t="str">
        <f>IFERROR(VLOOKUP(A8200, Entries!A:K,11,false),"")</f>
        <v/>
      </c>
    </row>
    <row r="8201">
      <c r="A8201" s="78" t="s">
        <v>9233</v>
      </c>
      <c r="B8201" s="78" t="s">
        <v>40</v>
      </c>
      <c r="C8201" s="85">
        <v>45964.0</v>
      </c>
      <c r="D8201" s="85">
        <v>45966.0</v>
      </c>
      <c r="E8201" s="86">
        <v>9.31</v>
      </c>
      <c r="F8201" s="87">
        <v>12.22</v>
      </c>
      <c r="G8201" s="88">
        <f t="shared" si="23"/>
        <v>2.91</v>
      </c>
      <c r="H8201" s="89">
        <f t="shared" si="18"/>
        <v>0.2381342062</v>
      </c>
      <c r="I8201" s="78" t="s">
        <v>9341</v>
      </c>
      <c r="J8201" s="78" t="s">
        <v>69</v>
      </c>
      <c r="K8201" s="58">
        <f t="shared" si="17"/>
        <v>2</v>
      </c>
      <c r="L8201" s="91" t="str">
        <f t="shared" si="8"/>
        <v>Wed</v>
      </c>
      <c r="M8201" s="78" t="str">
        <f>IFERROR(VLOOKUP(A8201, Entries!A:B,2,false),"")</f>
        <v>Behaviour Interactive</v>
      </c>
      <c r="N8201" s="23" t="str">
        <f>IFERROR(VLOOKUP(A8201, Entries!A:K,11,false),"")</f>
        <v/>
      </c>
    </row>
    <row r="8202">
      <c r="A8202" s="78" t="s">
        <v>8056</v>
      </c>
      <c r="B8202" s="78" t="s">
        <v>22</v>
      </c>
      <c r="C8202" s="85">
        <v>45965.0</v>
      </c>
      <c r="D8202" s="85">
        <v>45974.0</v>
      </c>
      <c r="E8202" s="86">
        <v>14.61</v>
      </c>
      <c r="F8202" s="87">
        <v>24.09</v>
      </c>
      <c r="G8202" s="88">
        <f t="shared" si="23"/>
        <v>9.48</v>
      </c>
      <c r="H8202" s="89">
        <f t="shared" si="18"/>
        <v>0.3935242839</v>
      </c>
      <c r="I8202" s="78" t="s">
        <v>9342</v>
      </c>
      <c r="J8202" s="78" t="s">
        <v>69</v>
      </c>
      <c r="K8202" s="58">
        <f t="shared" si="17"/>
        <v>9</v>
      </c>
      <c r="L8202" s="91" t="str">
        <f t="shared" si="8"/>
        <v>Thu</v>
      </c>
      <c r="M8202" s="78" t="str">
        <f>IFERROR(VLOOKUP(A8202, Entries!A:B,2,false),"")</f>
        <v>Survios</v>
      </c>
      <c r="N8202" s="23" t="str">
        <f>IFERROR(VLOOKUP(A8202, Entries!A:K,11,false),"")</f>
        <v/>
      </c>
    </row>
    <row r="8203">
      <c r="A8203" s="78" t="s">
        <v>9291</v>
      </c>
      <c r="B8203" s="78" t="s">
        <v>21</v>
      </c>
      <c r="C8203" s="85">
        <v>45965.0</v>
      </c>
      <c r="D8203" s="85">
        <v>45968.0</v>
      </c>
      <c r="E8203" s="86">
        <v>7.46</v>
      </c>
      <c r="F8203" s="87">
        <v>9.76</v>
      </c>
      <c r="G8203" s="88">
        <f t="shared" si="23"/>
        <v>2.3</v>
      </c>
      <c r="H8203" s="89">
        <f t="shared" si="18"/>
        <v>0.2356557377</v>
      </c>
      <c r="I8203" s="78" t="s">
        <v>9343</v>
      </c>
      <c r="J8203" s="78" t="s">
        <v>69</v>
      </c>
      <c r="K8203" s="58">
        <f t="shared" si="17"/>
        <v>3</v>
      </c>
      <c r="L8203" s="91" t="str">
        <f t="shared" si="8"/>
        <v>Fri</v>
      </c>
      <c r="M8203" s="78" t="str">
        <f>IFERROR(VLOOKUP(A8203, Entries!A:B,2,false),"")</f>
        <v/>
      </c>
      <c r="N8203" s="23" t="str">
        <f>IFERROR(VLOOKUP(A8203, Entries!A:K,11,false),"")</f>
        <v/>
      </c>
    </row>
    <row r="8204">
      <c r="A8204" s="78" t="s">
        <v>9344</v>
      </c>
      <c r="B8204" s="78" t="s">
        <v>27</v>
      </c>
      <c r="C8204" s="85">
        <v>45965.0</v>
      </c>
      <c r="D8204" s="85">
        <v>45965.0</v>
      </c>
      <c r="E8204" s="86">
        <v>6.79</v>
      </c>
      <c r="F8204" s="87">
        <v>7.98</v>
      </c>
      <c r="G8204" s="88">
        <f t="shared" si="23"/>
        <v>1.19</v>
      </c>
      <c r="H8204" s="89">
        <f t="shared" si="18"/>
        <v>0.149122807</v>
      </c>
      <c r="I8204" s="78" t="s">
        <v>9345</v>
      </c>
      <c r="J8204" s="78" t="s">
        <v>69</v>
      </c>
      <c r="K8204" s="58">
        <f t="shared" si="17"/>
        <v>0</v>
      </c>
      <c r="L8204" s="91" t="str">
        <f t="shared" si="8"/>
        <v>Tue</v>
      </c>
      <c r="M8204" s="78" t="str">
        <f>IFERROR(VLOOKUP(A8204, Entries!A:B,2,false),"")</f>
        <v/>
      </c>
      <c r="N8204" s="23" t="str">
        <f>IFERROR(VLOOKUP(A8204, Entries!A:K,11,false),"")</f>
        <v/>
      </c>
    </row>
    <row r="8205">
      <c r="A8205" s="78" t="s">
        <v>9344</v>
      </c>
      <c r="B8205" s="78" t="s">
        <v>27</v>
      </c>
      <c r="C8205" s="85">
        <v>45965.0</v>
      </c>
      <c r="D8205" s="85">
        <v>45966.0</v>
      </c>
      <c r="E8205" s="86">
        <v>6.59</v>
      </c>
      <c r="F8205" s="87">
        <v>7.87</v>
      </c>
      <c r="G8205" s="88">
        <f t="shared" si="23"/>
        <v>1.28</v>
      </c>
      <c r="H8205" s="89">
        <f t="shared" si="18"/>
        <v>0.1626429479</v>
      </c>
      <c r="I8205" s="78" t="s">
        <v>9346</v>
      </c>
      <c r="J8205" s="78" t="s">
        <v>69</v>
      </c>
      <c r="K8205" s="58">
        <f t="shared" si="17"/>
        <v>1</v>
      </c>
      <c r="L8205" s="91" t="str">
        <f t="shared" si="8"/>
        <v>Wed</v>
      </c>
      <c r="M8205" s="78" t="str">
        <f>IFERROR(VLOOKUP(A8205, Entries!A:B,2,false),"")</f>
        <v/>
      </c>
      <c r="N8205" s="23" t="str">
        <f>IFERROR(VLOOKUP(A8205, Entries!A:K,11,false),"")</f>
        <v/>
      </c>
    </row>
    <row r="8206">
      <c r="A8206" s="78" t="s">
        <v>9344</v>
      </c>
      <c r="B8206" s="78" t="s">
        <v>27</v>
      </c>
      <c r="C8206" s="85">
        <v>45965.0</v>
      </c>
      <c r="D8206" s="85">
        <v>45966.0</v>
      </c>
      <c r="E8206" s="86">
        <v>6.59</v>
      </c>
      <c r="F8206" s="87">
        <v>7.87</v>
      </c>
      <c r="G8206" s="88">
        <f t="shared" si="23"/>
        <v>1.28</v>
      </c>
      <c r="H8206" s="89">
        <f t="shared" si="18"/>
        <v>0.1626429479</v>
      </c>
      <c r="I8206" s="78" t="s">
        <v>9347</v>
      </c>
      <c r="J8206" s="78" t="s">
        <v>69</v>
      </c>
      <c r="K8206" s="58">
        <f t="shared" si="17"/>
        <v>1</v>
      </c>
      <c r="L8206" s="91" t="str">
        <f t="shared" si="8"/>
        <v>Wed</v>
      </c>
      <c r="M8206" s="78" t="str">
        <f>IFERROR(VLOOKUP(A8206, Entries!A:B,2,false),"")</f>
        <v/>
      </c>
      <c r="N8206" s="23" t="str">
        <f>IFERROR(VLOOKUP(A8206, Entries!A:K,11,false),"")</f>
        <v/>
      </c>
    </row>
    <row r="8207">
      <c r="A8207" s="78" t="s">
        <v>9344</v>
      </c>
      <c r="B8207" s="78" t="s">
        <v>27</v>
      </c>
      <c r="C8207" s="85">
        <v>45965.0</v>
      </c>
      <c r="D8207" s="85">
        <v>45966.0</v>
      </c>
      <c r="E8207" s="86">
        <v>6.59</v>
      </c>
      <c r="F8207" s="87">
        <v>7.87</v>
      </c>
      <c r="G8207" s="88">
        <f t="shared" si="23"/>
        <v>1.28</v>
      </c>
      <c r="H8207" s="89">
        <f t="shared" si="18"/>
        <v>0.1626429479</v>
      </c>
      <c r="I8207" s="78" t="s">
        <v>9348</v>
      </c>
      <c r="J8207" s="78" t="s">
        <v>69</v>
      </c>
      <c r="K8207" s="58">
        <f t="shared" si="17"/>
        <v>1</v>
      </c>
      <c r="L8207" s="91" t="str">
        <f t="shared" si="8"/>
        <v>Wed</v>
      </c>
      <c r="M8207" s="78" t="str">
        <f>IFERROR(VLOOKUP(A8207, Entries!A:B,2,false),"")</f>
        <v/>
      </c>
      <c r="N8207" s="23" t="str">
        <f>IFERROR(VLOOKUP(A8207, Entries!A:K,11,false),"")</f>
        <v/>
      </c>
    </row>
    <row r="8208">
      <c r="A8208" s="78" t="s">
        <v>9233</v>
      </c>
      <c r="B8208" s="78" t="s">
        <v>40</v>
      </c>
      <c r="C8208" s="85">
        <v>45966.0</v>
      </c>
      <c r="D8208" s="85">
        <v>45968.0</v>
      </c>
      <c r="E8208" s="86">
        <v>9.31</v>
      </c>
      <c r="F8208" s="87">
        <v>12.09</v>
      </c>
      <c r="G8208" s="88">
        <f t="shared" si="23"/>
        <v>2.78</v>
      </c>
      <c r="H8208" s="89">
        <f t="shared" si="18"/>
        <v>0.2299421009</v>
      </c>
      <c r="I8208" s="78" t="s">
        <v>9349</v>
      </c>
      <c r="J8208" s="78" t="s">
        <v>69</v>
      </c>
      <c r="K8208" s="58">
        <f t="shared" si="17"/>
        <v>2</v>
      </c>
      <c r="L8208" s="91" t="str">
        <f t="shared" si="8"/>
        <v>Fri</v>
      </c>
      <c r="M8208" s="78" t="str">
        <f>IFERROR(VLOOKUP(A8208, Entries!A:B,2,false),"")</f>
        <v>Behaviour Interactive</v>
      </c>
      <c r="N8208" s="23" t="str">
        <f>IFERROR(VLOOKUP(A8208, Entries!A:K,11,false),"")</f>
        <v/>
      </c>
    </row>
    <row r="8209">
      <c r="A8209" s="78" t="s">
        <v>9350</v>
      </c>
      <c r="B8209" s="78" t="s">
        <v>22</v>
      </c>
      <c r="C8209" s="85">
        <v>45966.0</v>
      </c>
      <c r="D8209" s="85">
        <v>45966.0</v>
      </c>
      <c r="E8209" s="86">
        <v>4.24</v>
      </c>
      <c r="F8209" s="87">
        <v>5.8</v>
      </c>
      <c r="G8209" s="88">
        <f t="shared" si="23"/>
        <v>1.56</v>
      </c>
      <c r="H8209" s="89">
        <f t="shared" si="18"/>
        <v>0.2689655172</v>
      </c>
      <c r="I8209" s="78" t="s">
        <v>9351</v>
      </c>
      <c r="J8209" s="78" t="s">
        <v>69</v>
      </c>
      <c r="K8209" s="58">
        <f t="shared" si="17"/>
        <v>0</v>
      </c>
      <c r="L8209" s="91" t="str">
        <f t="shared" si="8"/>
        <v>Wed</v>
      </c>
      <c r="M8209" s="78" t="str">
        <f>IFERROR(VLOOKUP(A8209, Entries!A:B,2,false),"")</f>
        <v/>
      </c>
      <c r="N8209" s="23" t="str">
        <f>IFERROR(VLOOKUP(A8209, Entries!A:K,11,false),"")</f>
        <v/>
      </c>
    </row>
    <row r="8210">
      <c r="A8210" s="78" t="s">
        <v>9352</v>
      </c>
      <c r="B8210" s="78" t="s">
        <v>25</v>
      </c>
      <c r="C8210" s="85">
        <v>45966.0</v>
      </c>
      <c r="D8210" s="85">
        <v>45967.0</v>
      </c>
      <c r="E8210" s="86">
        <v>0.0</v>
      </c>
      <c r="F8210" s="87">
        <v>2.13</v>
      </c>
      <c r="G8210" s="88">
        <f t="shared" si="23"/>
        <v>2.13</v>
      </c>
      <c r="H8210" s="89">
        <f t="shared" si="18"/>
        <v>1</v>
      </c>
      <c r="I8210" s="78" t="s">
        <v>9353</v>
      </c>
      <c r="J8210" s="78" t="s">
        <v>69</v>
      </c>
      <c r="K8210" s="58">
        <f t="shared" si="17"/>
        <v>1</v>
      </c>
      <c r="L8210" s="91" t="str">
        <f t="shared" si="8"/>
        <v>Thu</v>
      </c>
      <c r="M8210" s="78" t="str">
        <f>IFERROR(VLOOKUP(A8210, Entries!A:B,2,false),"")</f>
        <v/>
      </c>
      <c r="N8210" s="23" t="str">
        <f>IFERROR(VLOOKUP(A8210, Entries!A:K,11,false),"")</f>
        <v/>
      </c>
    </row>
    <row r="8211">
      <c r="A8211" s="78" t="s">
        <v>8696</v>
      </c>
      <c r="B8211" s="78" t="s">
        <v>19</v>
      </c>
      <c r="C8211" s="85">
        <v>45966.0</v>
      </c>
      <c r="D8211" s="85">
        <v>45968.0</v>
      </c>
      <c r="E8211" s="86">
        <v>40.75</v>
      </c>
      <c r="F8211" s="87">
        <v>44.89</v>
      </c>
      <c r="G8211" s="88">
        <f t="shared" si="23"/>
        <v>4.14</v>
      </c>
      <c r="H8211" s="89">
        <f t="shared" si="18"/>
        <v>0.09222543996</v>
      </c>
      <c r="I8211" s="78" t="s">
        <v>9354</v>
      </c>
      <c r="J8211" s="78" t="s">
        <v>69</v>
      </c>
      <c r="K8211" s="58">
        <f t="shared" si="17"/>
        <v>2</v>
      </c>
      <c r="L8211" s="91" t="str">
        <f t="shared" si="8"/>
        <v>Fri</v>
      </c>
      <c r="M8211" s="78" t="str">
        <f>IFERROR(VLOOKUP(A8211, Entries!A:B,2,false),"")</f>
        <v/>
      </c>
      <c r="N8211" s="23" t="str">
        <f>IFERROR(VLOOKUP(A8211, Entries!A:K,11,false),"")</f>
        <v/>
      </c>
    </row>
    <row r="8212">
      <c r="A8212" s="78" t="s">
        <v>9355</v>
      </c>
      <c r="B8212" s="78" t="s">
        <v>19</v>
      </c>
      <c r="C8212" s="85">
        <v>45966.0</v>
      </c>
      <c r="D8212" s="85">
        <v>45968.0</v>
      </c>
      <c r="E8212" s="86">
        <v>0.0</v>
      </c>
      <c r="F8212" s="87">
        <v>0.41</v>
      </c>
      <c r="G8212" s="88">
        <f t="shared" si="23"/>
        <v>0.41</v>
      </c>
      <c r="H8212" s="89">
        <f t="shared" si="18"/>
        <v>1</v>
      </c>
      <c r="I8212" s="78" t="s">
        <v>9356</v>
      </c>
      <c r="J8212" s="78" t="s">
        <v>69</v>
      </c>
      <c r="K8212" s="58">
        <f t="shared" si="17"/>
        <v>2</v>
      </c>
      <c r="L8212" s="91" t="str">
        <f t="shared" si="8"/>
        <v>Fri</v>
      </c>
      <c r="M8212" s="78" t="str">
        <f>IFERROR(VLOOKUP(A8212, Entries!A:B,2,false),"")</f>
        <v/>
      </c>
      <c r="N8212" s="23" t="str">
        <f>IFERROR(VLOOKUP(A8212, Entries!A:K,11,false),"")</f>
        <v/>
      </c>
    </row>
    <row r="8213">
      <c r="A8213" s="78" t="s">
        <v>9357</v>
      </c>
      <c r="B8213" s="78" t="s">
        <v>27</v>
      </c>
      <c r="C8213" s="85">
        <v>45968.0</v>
      </c>
      <c r="D8213" s="25"/>
      <c r="E8213" s="86">
        <v>9.09</v>
      </c>
      <c r="F8213" s="88"/>
      <c r="G8213" s="88">
        <f t="shared" si="23"/>
        <v>-9.09</v>
      </c>
      <c r="H8213" s="89" t="str">
        <f t="shared" si="18"/>
        <v/>
      </c>
      <c r="I8213" s="78" t="s">
        <v>9358</v>
      </c>
      <c r="J8213" s="78" t="s">
        <v>1129</v>
      </c>
      <c r="K8213" s="58" t="str">
        <f t="shared" si="17"/>
        <v/>
      </c>
      <c r="L8213" s="91" t="str">
        <f t="shared" si="8"/>
        <v/>
      </c>
      <c r="M8213" s="78" t="str">
        <f>IFERROR(VLOOKUP(A8213, Entries!A:B,2,false),"")</f>
        <v/>
      </c>
      <c r="N8213" s="23" t="str">
        <f>IFERROR(VLOOKUP(A8213, Entries!A:K,11,false),"")</f>
        <v/>
      </c>
    </row>
    <row r="8214">
      <c r="A8214" s="78" t="s">
        <v>9359</v>
      </c>
      <c r="B8214" s="78" t="s">
        <v>27</v>
      </c>
      <c r="C8214" s="85">
        <v>45968.0</v>
      </c>
      <c r="D8214" s="25"/>
      <c r="E8214" s="86">
        <v>23.89</v>
      </c>
      <c r="F8214" s="88"/>
      <c r="G8214" s="88">
        <f t="shared" si="23"/>
        <v>-23.89</v>
      </c>
      <c r="H8214" s="89" t="str">
        <f t="shared" si="18"/>
        <v/>
      </c>
      <c r="I8214" s="78" t="s">
        <v>9360</v>
      </c>
      <c r="J8214" s="78" t="s">
        <v>1129</v>
      </c>
      <c r="K8214" s="58" t="str">
        <f t="shared" si="17"/>
        <v/>
      </c>
      <c r="L8214" s="91" t="str">
        <f t="shared" si="8"/>
        <v/>
      </c>
      <c r="M8214" s="78" t="str">
        <f>IFERROR(VLOOKUP(A8214, Entries!A:B,2,false),"")</f>
        <v/>
      </c>
      <c r="N8214" s="23" t="str">
        <f>IFERROR(VLOOKUP(A8214, Entries!A:K,11,false),"")</f>
        <v/>
      </c>
    </row>
    <row r="8215">
      <c r="A8215" s="78" t="s">
        <v>9361</v>
      </c>
      <c r="B8215" s="78" t="s">
        <v>27</v>
      </c>
      <c r="C8215" s="85">
        <v>45968.0</v>
      </c>
      <c r="D8215" s="85">
        <v>45970.0</v>
      </c>
      <c r="E8215" s="86">
        <v>15.99</v>
      </c>
      <c r="F8215" s="87">
        <v>21.4</v>
      </c>
      <c r="G8215" s="88">
        <f t="shared" si="23"/>
        <v>5.41</v>
      </c>
      <c r="H8215" s="89">
        <f t="shared" si="18"/>
        <v>0.2528037383</v>
      </c>
      <c r="I8215" s="78" t="s">
        <v>9362</v>
      </c>
      <c r="J8215" s="78" t="s">
        <v>69</v>
      </c>
      <c r="K8215" s="58">
        <f t="shared" si="17"/>
        <v>2</v>
      </c>
      <c r="L8215" s="91" t="str">
        <f t="shared" si="8"/>
        <v>Sun</v>
      </c>
      <c r="M8215" s="78" t="str">
        <f>IFERROR(VLOOKUP(A8215, Entries!A:B,2,false),"")</f>
        <v/>
      </c>
      <c r="N8215" s="23" t="str">
        <f>IFERROR(VLOOKUP(A8215, Entries!A:K,11,false),"")</f>
        <v/>
      </c>
    </row>
    <row r="8216">
      <c r="A8216" s="78" t="s">
        <v>9233</v>
      </c>
      <c r="B8216" s="78" t="s">
        <v>40</v>
      </c>
      <c r="C8216" s="85">
        <v>45968.0</v>
      </c>
      <c r="D8216" s="85">
        <v>45968.0</v>
      </c>
      <c r="E8216" s="86">
        <v>9.31</v>
      </c>
      <c r="F8216" s="87">
        <v>12.09</v>
      </c>
      <c r="G8216" s="88">
        <f t="shared" si="23"/>
        <v>2.78</v>
      </c>
      <c r="H8216" s="89">
        <f t="shared" si="18"/>
        <v>0.2299421009</v>
      </c>
      <c r="I8216" s="78" t="s">
        <v>9363</v>
      </c>
      <c r="J8216" s="78" t="s">
        <v>69</v>
      </c>
      <c r="K8216" s="58">
        <f t="shared" si="17"/>
        <v>0</v>
      </c>
      <c r="L8216" s="91" t="str">
        <f t="shared" si="8"/>
        <v>Fri</v>
      </c>
      <c r="M8216" s="78" t="str">
        <f>IFERROR(VLOOKUP(A8216, Entries!A:B,2,false),"")</f>
        <v>Behaviour Interactive</v>
      </c>
      <c r="N8216" s="23" t="str">
        <f>IFERROR(VLOOKUP(A8216, Entries!A:K,11,false),"")</f>
        <v/>
      </c>
    </row>
    <row r="8217">
      <c r="A8217" s="78" t="s">
        <v>9291</v>
      </c>
      <c r="B8217" s="78" t="s">
        <v>21</v>
      </c>
      <c r="C8217" s="85">
        <v>45968.0</v>
      </c>
      <c r="D8217" s="85">
        <v>45968.0</v>
      </c>
      <c r="E8217" s="86">
        <v>6.5</v>
      </c>
      <c r="F8217" s="87">
        <v>9.76</v>
      </c>
      <c r="G8217" s="88">
        <f t="shared" si="23"/>
        <v>3.26</v>
      </c>
      <c r="H8217" s="89">
        <f t="shared" si="18"/>
        <v>0.3340163934</v>
      </c>
      <c r="I8217" s="78" t="s">
        <v>9364</v>
      </c>
      <c r="J8217" s="78" t="s">
        <v>69</v>
      </c>
      <c r="K8217" s="58">
        <f t="shared" si="17"/>
        <v>0</v>
      </c>
      <c r="L8217" s="91" t="str">
        <f t="shared" si="8"/>
        <v>Fri</v>
      </c>
      <c r="M8217" s="78" t="str">
        <f>IFERROR(VLOOKUP(A8217, Entries!A:B,2,false),"")</f>
        <v/>
      </c>
      <c r="N8217" s="23" t="str">
        <f>IFERROR(VLOOKUP(A8217, Entries!A:K,11,false),"")</f>
        <v/>
      </c>
    </row>
    <row r="8218">
      <c r="A8218" s="78" t="s">
        <v>9365</v>
      </c>
      <c r="B8218" s="78" t="s">
        <v>21</v>
      </c>
      <c r="C8218" s="85">
        <v>45969.0</v>
      </c>
      <c r="D8218" s="85">
        <v>45976.0</v>
      </c>
      <c r="E8218" s="86">
        <v>35.76</v>
      </c>
      <c r="F8218" s="87">
        <v>47.5</v>
      </c>
      <c r="G8218" s="88">
        <f t="shared" si="23"/>
        <v>11.74</v>
      </c>
      <c r="H8218" s="89">
        <f t="shared" si="18"/>
        <v>0.2471578947</v>
      </c>
      <c r="I8218" s="78" t="s">
        <v>9366</v>
      </c>
      <c r="J8218" s="78" t="s">
        <v>69</v>
      </c>
      <c r="K8218" s="58">
        <f t="shared" si="17"/>
        <v>7</v>
      </c>
      <c r="L8218" s="91" t="str">
        <f t="shared" si="8"/>
        <v>Sat</v>
      </c>
      <c r="M8218" s="78" t="str">
        <f>IFERROR(VLOOKUP(A8218, Entries!A:B,2,false),"")</f>
        <v/>
      </c>
      <c r="N8218" s="23" t="str">
        <f>IFERROR(VLOOKUP(A8218, Entries!A:K,11,false),"")</f>
        <v/>
      </c>
    </row>
    <row r="8219">
      <c r="A8219" s="78" t="s">
        <v>9367</v>
      </c>
      <c r="B8219" s="78" t="s">
        <v>27</v>
      </c>
      <c r="C8219" s="85">
        <v>45969.0</v>
      </c>
      <c r="D8219" s="85">
        <v>45969.0</v>
      </c>
      <c r="E8219" s="86">
        <v>14.79</v>
      </c>
      <c r="F8219" s="87">
        <v>19.0</v>
      </c>
      <c r="G8219" s="88">
        <f t="shared" si="23"/>
        <v>4.21</v>
      </c>
      <c r="H8219" s="89">
        <f t="shared" si="18"/>
        <v>0.2215789474</v>
      </c>
      <c r="I8219" s="78" t="s">
        <v>9368</v>
      </c>
      <c r="J8219" s="78" t="s">
        <v>69</v>
      </c>
      <c r="K8219" s="58">
        <f t="shared" si="17"/>
        <v>0</v>
      </c>
      <c r="L8219" s="91" t="str">
        <f t="shared" si="8"/>
        <v>Sat</v>
      </c>
      <c r="M8219" s="78" t="str">
        <f>IFERROR(VLOOKUP(A8219, Entries!A:B,2,false),"")</f>
        <v/>
      </c>
      <c r="N8219" s="23" t="str">
        <f>IFERROR(VLOOKUP(A8219, Entries!A:K,11,false),"")</f>
        <v/>
      </c>
    </row>
    <row r="8220">
      <c r="A8220" s="78" t="s">
        <v>1289</v>
      </c>
      <c r="B8220" s="78" t="s">
        <v>27</v>
      </c>
      <c r="C8220" s="85">
        <v>45969.0</v>
      </c>
      <c r="D8220" s="85">
        <v>45969.0</v>
      </c>
      <c r="E8220" s="86">
        <v>1.09</v>
      </c>
      <c r="F8220" s="87">
        <v>1.95</v>
      </c>
      <c r="G8220" s="88">
        <f t="shared" si="23"/>
        <v>0.86</v>
      </c>
      <c r="H8220" s="89">
        <f t="shared" si="18"/>
        <v>0.441025641</v>
      </c>
      <c r="J8220" s="78" t="s">
        <v>69</v>
      </c>
      <c r="K8220" s="58">
        <f t="shared" si="17"/>
        <v>0</v>
      </c>
      <c r="L8220" s="91" t="str">
        <f t="shared" si="8"/>
        <v>Sat</v>
      </c>
      <c r="M8220" s="78" t="str">
        <f>IFERROR(VLOOKUP(A8220, Entries!A:B,2,false),"")</f>
        <v>Expansive Worlds</v>
      </c>
      <c r="N8220" s="23" t="str">
        <f>IFERROR(VLOOKUP(A8220, Entries!A:K,11,false),"")</f>
        <v/>
      </c>
    </row>
    <row r="8221">
      <c r="A8221" s="78" t="s">
        <v>1289</v>
      </c>
      <c r="B8221" s="78" t="s">
        <v>27</v>
      </c>
      <c r="C8221" s="85">
        <v>45969.0</v>
      </c>
      <c r="D8221" s="85">
        <v>45969.0</v>
      </c>
      <c r="E8221" s="86">
        <v>1.09</v>
      </c>
      <c r="F8221" s="87">
        <v>1.95</v>
      </c>
      <c r="G8221" s="88">
        <f t="shared" si="23"/>
        <v>0.86</v>
      </c>
      <c r="H8221" s="89">
        <f t="shared" si="18"/>
        <v>0.441025641</v>
      </c>
      <c r="J8221" s="78" t="s">
        <v>69</v>
      </c>
      <c r="K8221" s="58">
        <f t="shared" si="17"/>
        <v>0</v>
      </c>
      <c r="L8221" s="91" t="str">
        <f t="shared" si="8"/>
        <v>Sat</v>
      </c>
      <c r="M8221" s="78" t="str">
        <f>IFERROR(VLOOKUP(A8221, Entries!A:B,2,false),"")</f>
        <v>Expansive Worlds</v>
      </c>
      <c r="N8221" s="23" t="str">
        <f>IFERROR(VLOOKUP(A8221, Entries!A:K,11,false),"")</f>
        <v/>
      </c>
    </row>
    <row r="8222">
      <c r="A8222" s="78" t="s">
        <v>1289</v>
      </c>
      <c r="B8222" s="78" t="s">
        <v>27</v>
      </c>
      <c r="C8222" s="85">
        <v>45969.0</v>
      </c>
      <c r="D8222" s="85">
        <v>45970.0</v>
      </c>
      <c r="E8222" s="86">
        <v>1.09</v>
      </c>
      <c r="F8222" s="87">
        <v>1.93</v>
      </c>
      <c r="G8222" s="88">
        <f t="shared" si="23"/>
        <v>0.84</v>
      </c>
      <c r="H8222" s="89">
        <f t="shared" si="18"/>
        <v>0.4352331606</v>
      </c>
      <c r="J8222" s="78" t="s">
        <v>69</v>
      </c>
      <c r="K8222" s="58">
        <f t="shared" si="17"/>
        <v>1</v>
      </c>
      <c r="L8222" s="91" t="str">
        <f t="shared" si="8"/>
        <v>Sun</v>
      </c>
      <c r="M8222" s="78" t="str">
        <f>IFERROR(VLOOKUP(A8222, Entries!A:B,2,false),"")</f>
        <v>Expansive Worlds</v>
      </c>
      <c r="N8222" s="23" t="str">
        <f>IFERROR(VLOOKUP(A8222, Entries!A:K,11,false),"")</f>
        <v/>
      </c>
    </row>
    <row r="8223">
      <c r="A8223" s="78" t="s">
        <v>9361</v>
      </c>
      <c r="B8223" s="78" t="s">
        <v>27</v>
      </c>
      <c r="C8223" s="85">
        <v>45970.0</v>
      </c>
      <c r="D8223" s="85">
        <v>45971.0</v>
      </c>
      <c r="E8223" s="86">
        <v>19.39</v>
      </c>
      <c r="F8223" s="87">
        <v>22.75</v>
      </c>
      <c r="G8223" s="88">
        <f t="shared" si="23"/>
        <v>3.36</v>
      </c>
      <c r="H8223" s="89">
        <f t="shared" si="18"/>
        <v>0.1476923077</v>
      </c>
      <c r="I8223" s="78" t="s">
        <v>9369</v>
      </c>
      <c r="J8223" s="78" t="s">
        <v>69</v>
      </c>
      <c r="K8223" s="58">
        <f t="shared" si="17"/>
        <v>1</v>
      </c>
      <c r="L8223" s="91" t="str">
        <f t="shared" si="8"/>
        <v>Mon</v>
      </c>
      <c r="M8223" s="78" t="str">
        <f>IFERROR(VLOOKUP(A8223, Entries!A:B,2,false),"")</f>
        <v/>
      </c>
      <c r="N8223" s="23" t="str">
        <f>IFERROR(VLOOKUP(A8223, Entries!A:K,11,false),"")</f>
        <v/>
      </c>
    </row>
    <row r="8224">
      <c r="A8224" s="78" t="s">
        <v>9370</v>
      </c>
      <c r="B8224" s="78" t="s">
        <v>27</v>
      </c>
      <c r="C8224" s="85">
        <v>45970.0</v>
      </c>
      <c r="D8224" s="85">
        <v>45971.0</v>
      </c>
      <c r="E8224" s="86">
        <v>10.29</v>
      </c>
      <c r="F8224" s="87">
        <v>14.9</v>
      </c>
      <c r="G8224" s="88">
        <f t="shared" si="23"/>
        <v>4.61</v>
      </c>
      <c r="H8224" s="89">
        <f t="shared" si="18"/>
        <v>0.3093959732</v>
      </c>
      <c r="I8224" s="78" t="s">
        <v>9371</v>
      </c>
      <c r="J8224" s="78" t="s">
        <v>69</v>
      </c>
      <c r="K8224" s="58">
        <f t="shared" si="17"/>
        <v>1</v>
      </c>
      <c r="L8224" s="91" t="str">
        <f t="shared" si="8"/>
        <v>Mon</v>
      </c>
      <c r="M8224" s="78" t="str">
        <f>IFERROR(VLOOKUP(A8224, Entries!A:B,2,false),"")</f>
        <v/>
      </c>
      <c r="N8224" s="23" t="str">
        <f>IFERROR(VLOOKUP(A8224, Entries!A:K,11,false),"")</f>
        <v/>
      </c>
    </row>
    <row r="8225">
      <c r="A8225" s="78" t="s">
        <v>9367</v>
      </c>
      <c r="B8225" s="78" t="s">
        <v>27</v>
      </c>
      <c r="C8225" s="85">
        <v>45970.0</v>
      </c>
      <c r="D8225" s="85">
        <v>46031.0</v>
      </c>
      <c r="E8225" s="86">
        <v>18.19</v>
      </c>
      <c r="F8225" s="87">
        <v>23.02</v>
      </c>
      <c r="G8225" s="88">
        <f t="shared" si="23"/>
        <v>4.83</v>
      </c>
      <c r="H8225" s="89">
        <f t="shared" si="18"/>
        <v>0.20981755</v>
      </c>
      <c r="I8225" s="78" t="s">
        <v>9372</v>
      </c>
      <c r="J8225" s="78" t="s">
        <v>69</v>
      </c>
      <c r="K8225" s="58">
        <f t="shared" si="17"/>
        <v>61</v>
      </c>
      <c r="L8225" s="91" t="str">
        <f t="shared" si="8"/>
        <v>Fri</v>
      </c>
      <c r="M8225" s="78" t="str">
        <f>IFERROR(VLOOKUP(A8225, Entries!A:B,2,false),"")</f>
        <v/>
      </c>
      <c r="N8225" s="23" t="str">
        <f>IFERROR(VLOOKUP(A8225, Entries!A:K,11,false),"")</f>
        <v/>
      </c>
    </row>
    <row r="8226">
      <c r="A8226" s="78" t="s">
        <v>9373</v>
      </c>
      <c r="B8226" s="78" t="s">
        <v>27</v>
      </c>
      <c r="C8226" s="85">
        <v>45970.0</v>
      </c>
      <c r="D8226" s="85">
        <v>46001.0</v>
      </c>
      <c r="E8226" s="86">
        <v>14.19</v>
      </c>
      <c r="F8226" s="87">
        <v>14.47</v>
      </c>
      <c r="G8226" s="88">
        <f t="shared" si="23"/>
        <v>0.28</v>
      </c>
      <c r="H8226" s="89">
        <f t="shared" si="18"/>
        <v>0.0193503801</v>
      </c>
      <c r="I8226" s="78" t="s">
        <v>9374</v>
      </c>
      <c r="J8226" s="78" t="s">
        <v>69</v>
      </c>
      <c r="K8226" s="58">
        <f t="shared" si="17"/>
        <v>31</v>
      </c>
      <c r="L8226" s="91" t="str">
        <f t="shared" si="8"/>
        <v>Wed</v>
      </c>
      <c r="M8226" s="78" t="str">
        <f>IFERROR(VLOOKUP(A8226, Entries!A:B,2,false),"")</f>
        <v/>
      </c>
      <c r="N8226" s="23" t="str">
        <f>IFERROR(VLOOKUP(A8226, Entries!A:K,11,false),"")</f>
        <v/>
      </c>
    </row>
    <row r="8227">
      <c r="A8227" s="78" t="s">
        <v>9361</v>
      </c>
      <c r="B8227" s="78" t="s">
        <v>27</v>
      </c>
      <c r="C8227" s="85">
        <v>45971.0</v>
      </c>
      <c r="D8227" s="85">
        <v>45971.0</v>
      </c>
      <c r="E8227" s="86">
        <v>19.39</v>
      </c>
      <c r="F8227" s="87">
        <v>22.75</v>
      </c>
      <c r="G8227" s="88">
        <f t="shared" si="23"/>
        <v>3.36</v>
      </c>
      <c r="H8227" s="89">
        <f t="shared" si="18"/>
        <v>0.1476923077</v>
      </c>
      <c r="I8227" s="78" t="s">
        <v>9375</v>
      </c>
      <c r="J8227" s="78" t="s">
        <v>69</v>
      </c>
      <c r="K8227" s="58">
        <f t="shared" si="17"/>
        <v>0</v>
      </c>
      <c r="L8227" s="91" t="str">
        <f t="shared" si="8"/>
        <v>Mon</v>
      </c>
      <c r="M8227" s="78" t="str">
        <f>IFERROR(VLOOKUP(A8227, Entries!A:B,2,false),"")</f>
        <v/>
      </c>
      <c r="N8227" s="23" t="str">
        <f>IFERROR(VLOOKUP(A8227, Entries!A:K,11,false),"")</f>
        <v/>
      </c>
    </row>
    <row r="8228">
      <c r="A8228" s="78" t="s">
        <v>9361</v>
      </c>
      <c r="B8228" s="78" t="s">
        <v>27</v>
      </c>
      <c r="C8228" s="85">
        <v>45971.0</v>
      </c>
      <c r="D8228" s="85">
        <v>45972.0</v>
      </c>
      <c r="E8228" s="86">
        <v>19.39</v>
      </c>
      <c r="F8228" s="87">
        <v>22.9</v>
      </c>
      <c r="G8228" s="88">
        <f t="shared" si="23"/>
        <v>3.51</v>
      </c>
      <c r="H8228" s="89">
        <f t="shared" si="18"/>
        <v>0.1532751092</v>
      </c>
      <c r="I8228" s="78" t="s">
        <v>9376</v>
      </c>
      <c r="J8228" s="78" t="s">
        <v>69</v>
      </c>
      <c r="K8228" s="58">
        <f t="shared" si="17"/>
        <v>1</v>
      </c>
      <c r="L8228" s="91" t="str">
        <f t="shared" si="8"/>
        <v>Tue</v>
      </c>
      <c r="M8228" s="78" t="str">
        <f>IFERROR(VLOOKUP(A8228, Entries!A:B,2,false),"")</f>
        <v/>
      </c>
      <c r="N8228" s="23" t="str">
        <f>IFERROR(VLOOKUP(A8228, Entries!A:K,11,false),"")</f>
        <v/>
      </c>
    </row>
    <row r="8229">
      <c r="A8229" s="78" t="s">
        <v>9370</v>
      </c>
      <c r="B8229" s="78" t="s">
        <v>27</v>
      </c>
      <c r="C8229" s="85">
        <v>45972.0</v>
      </c>
      <c r="D8229" s="85">
        <v>45972.0</v>
      </c>
      <c r="E8229" s="86">
        <v>10.29</v>
      </c>
      <c r="F8229" s="87">
        <v>14.98</v>
      </c>
      <c r="G8229" s="88">
        <f t="shared" si="23"/>
        <v>4.69</v>
      </c>
      <c r="H8229" s="89">
        <f t="shared" si="18"/>
        <v>0.3130841121</v>
      </c>
      <c r="I8229" s="78" t="s">
        <v>9377</v>
      </c>
      <c r="J8229" s="78" t="s">
        <v>69</v>
      </c>
      <c r="K8229" s="58">
        <f t="shared" si="17"/>
        <v>0</v>
      </c>
      <c r="L8229" s="91" t="str">
        <f t="shared" si="8"/>
        <v>Tue</v>
      </c>
      <c r="M8229" s="78" t="str">
        <f>IFERROR(VLOOKUP(A8229, Entries!A:B,2,false),"")</f>
        <v/>
      </c>
      <c r="N8229" s="23" t="str">
        <f>IFERROR(VLOOKUP(A8229, Entries!A:K,11,false),"")</f>
        <v/>
      </c>
    </row>
    <row r="8230">
      <c r="A8230" s="78" t="s">
        <v>9361</v>
      </c>
      <c r="B8230" s="78" t="s">
        <v>27</v>
      </c>
      <c r="C8230" s="85">
        <v>45972.0</v>
      </c>
      <c r="D8230" s="85">
        <v>46010.0</v>
      </c>
      <c r="E8230" s="86">
        <v>19.39</v>
      </c>
      <c r="F8230" s="87">
        <v>21.24</v>
      </c>
      <c r="G8230" s="88">
        <f t="shared" si="23"/>
        <v>1.85</v>
      </c>
      <c r="H8230" s="89">
        <f t="shared" si="18"/>
        <v>0.08709981168</v>
      </c>
      <c r="I8230" s="78" t="s">
        <v>9378</v>
      </c>
      <c r="J8230" s="78" t="s">
        <v>69</v>
      </c>
      <c r="K8230" s="58">
        <f t="shared" si="17"/>
        <v>38</v>
      </c>
      <c r="L8230" s="91" t="str">
        <f t="shared" si="8"/>
        <v>Fri</v>
      </c>
      <c r="M8230" s="78" t="str">
        <f>IFERROR(VLOOKUP(A8230, Entries!A:B,2,false),"")</f>
        <v/>
      </c>
      <c r="N8230" s="23" t="str">
        <f>IFERROR(VLOOKUP(A8230, Entries!A:K,11,false),"")</f>
        <v/>
      </c>
    </row>
    <row r="8231">
      <c r="A8231" s="78" t="s">
        <v>9370</v>
      </c>
      <c r="B8231" s="78" t="s">
        <v>27</v>
      </c>
      <c r="C8231" s="85">
        <v>45972.0</v>
      </c>
      <c r="D8231" s="85">
        <v>45975.0</v>
      </c>
      <c r="E8231" s="86">
        <v>10.29</v>
      </c>
      <c r="F8231" s="87">
        <v>14.97</v>
      </c>
      <c r="G8231" s="88">
        <f t="shared" si="23"/>
        <v>4.68</v>
      </c>
      <c r="H8231" s="89">
        <f t="shared" si="18"/>
        <v>0.3126252505</v>
      </c>
      <c r="I8231" s="78" t="s">
        <v>9379</v>
      </c>
      <c r="J8231" s="78" t="s">
        <v>69</v>
      </c>
      <c r="K8231" s="58">
        <f t="shared" si="17"/>
        <v>3</v>
      </c>
      <c r="L8231" s="91" t="str">
        <f t="shared" si="8"/>
        <v>Fri</v>
      </c>
      <c r="M8231" s="78" t="str">
        <f>IFERROR(VLOOKUP(A8231, Entries!A:B,2,false),"")</f>
        <v/>
      </c>
      <c r="N8231" s="23" t="str">
        <f>IFERROR(VLOOKUP(A8231, Entries!A:K,11,false),"")</f>
        <v/>
      </c>
    </row>
    <row r="8232">
      <c r="A8232" s="78" t="s">
        <v>9233</v>
      </c>
      <c r="B8232" s="78" t="s">
        <v>40</v>
      </c>
      <c r="C8232" s="85">
        <v>45972.0</v>
      </c>
      <c r="D8232" s="85">
        <v>45972.0</v>
      </c>
      <c r="E8232" s="86">
        <v>9.31</v>
      </c>
      <c r="F8232" s="87">
        <v>12.25</v>
      </c>
      <c r="G8232" s="88">
        <f t="shared" si="23"/>
        <v>2.94</v>
      </c>
      <c r="H8232" s="89">
        <f t="shared" si="18"/>
        <v>0.24</v>
      </c>
      <c r="I8232" s="78" t="s">
        <v>9380</v>
      </c>
      <c r="J8232" s="78" t="s">
        <v>69</v>
      </c>
      <c r="K8232" s="58">
        <f t="shared" si="17"/>
        <v>0</v>
      </c>
      <c r="L8232" s="91" t="str">
        <f t="shared" si="8"/>
        <v>Tue</v>
      </c>
      <c r="M8232" s="78" t="str">
        <f>IFERROR(VLOOKUP(A8232, Entries!A:B,2,false),"")</f>
        <v>Behaviour Interactive</v>
      </c>
      <c r="N8232" s="23" t="str">
        <f>IFERROR(VLOOKUP(A8232, Entries!A:K,11,false),"")</f>
        <v/>
      </c>
    </row>
    <row r="8233">
      <c r="A8233" s="78" t="s">
        <v>9233</v>
      </c>
      <c r="B8233" s="78" t="s">
        <v>40</v>
      </c>
      <c r="C8233" s="85">
        <v>45972.0</v>
      </c>
      <c r="D8233" s="85">
        <v>45973.0</v>
      </c>
      <c r="E8233" s="86">
        <v>9.31</v>
      </c>
      <c r="F8233" s="87">
        <v>12.25</v>
      </c>
      <c r="G8233" s="88">
        <f t="shared" si="23"/>
        <v>2.94</v>
      </c>
      <c r="H8233" s="89">
        <f t="shared" si="18"/>
        <v>0.24</v>
      </c>
      <c r="I8233" s="78" t="s">
        <v>9381</v>
      </c>
      <c r="J8233" s="78" t="s">
        <v>69</v>
      </c>
      <c r="K8233" s="58">
        <f t="shared" si="17"/>
        <v>1</v>
      </c>
      <c r="L8233" s="91" t="str">
        <f t="shared" si="8"/>
        <v>Wed</v>
      </c>
      <c r="M8233" s="78" t="str">
        <f>IFERROR(VLOOKUP(A8233, Entries!A:B,2,false),"")</f>
        <v>Behaviour Interactive</v>
      </c>
      <c r="N8233" s="23" t="str">
        <f>IFERROR(VLOOKUP(A8233, Entries!A:K,11,false),"")</f>
        <v/>
      </c>
    </row>
    <row r="8234">
      <c r="A8234" s="78" t="s">
        <v>9233</v>
      </c>
      <c r="B8234" s="78" t="s">
        <v>40</v>
      </c>
      <c r="C8234" s="85">
        <v>45972.0</v>
      </c>
      <c r="D8234" s="85">
        <v>45973.0</v>
      </c>
      <c r="E8234" s="86">
        <v>9.31</v>
      </c>
      <c r="F8234" s="87">
        <v>12.25</v>
      </c>
      <c r="G8234" s="88">
        <f t="shared" si="23"/>
        <v>2.94</v>
      </c>
      <c r="H8234" s="89">
        <f t="shared" si="18"/>
        <v>0.24</v>
      </c>
      <c r="I8234" s="78" t="s">
        <v>9382</v>
      </c>
      <c r="J8234" s="78" t="s">
        <v>69</v>
      </c>
      <c r="K8234" s="58">
        <f t="shared" si="17"/>
        <v>1</v>
      </c>
      <c r="L8234" s="91" t="str">
        <f t="shared" si="8"/>
        <v>Wed</v>
      </c>
      <c r="M8234" s="78" t="str">
        <f>IFERROR(VLOOKUP(A8234, Entries!A:B,2,false),"")</f>
        <v>Behaviour Interactive</v>
      </c>
      <c r="N8234" s="23" t="str">
        <f>IFERROR(VLOOKUP(A8234, Entries!A:K,11,false),"")</f>
        <v/>
      </c>
    </row>
    <row r="8235">
      <c r="A8235" s="78" t="s">
        <v>9233</v>
      </c>
      <c r="B8235" s="78" t="s">
        <v>40</v>
      </c>
      <c r="C8235" s="85">
        <v>45973.0</v>
      </c>
      <c r="D8235" s="85">
        <v>45973.0</v>
      </c>
      <c r="E8235" s="86">
        <v>9.31</v>
      </c>
      <c r="F8235" s="87">
        <v>12.25</v>
      </c>
      <c r="G8235" s="88">
        <f t="shared" si="23"/>
        <v>2.94</v>
      </c>
      <c r="H8235" s="89">
        <f t="shared" si="18"/>
        <v>0.24</v>
      </c>
      <c r="I8235" s="78" t="s">
        <v>9383</v>
      </c>
      <c r="J8235" s="78" t="s">
        <v>69</v>
      </c>
      <c r="K8235" s="58">
        <f t="shared" si="17"/>
        <v>0</v>
      </c>
      <c r="L8235" s="91" t="str">
        <f t="shared" si="8"/>
        <v>Wed</v>
      </c>
      <c r="M8235" s="78" t="str">
        <f>IFERROR(VLOOKUP(A8235, Entries!A:B,2,false),"")</f>
        <v>Behaviour Interactive</v>
      </c>
      <c r="N8235" s="23" t="str">
        <f>IFERROR(VLOOKUP(A8235, Entries!A:K,11,false),"")</f>
        <v/>
      </c>
    </row>
    <row r="8236">
      <c r="A8236" s="78" t="s">
        <v>9233</v>
      </c>
      <c r="B8236" s="78" t="s">
        <v>40</v>
      </c>
      <c r="C8236" s="85">
        <v>45973.0</v>
      </c>
      <c r="D8236" s="85">
        <v>45975.0</v>
      </c>
      <c r="E8236" s="86">
        <v>9.31</v>
      </c>
      <c r="F8236" s="87">
        <v>11.92</v>
      </c>
      <c r="G8236" s="88">
        <f t="shared" si="23"/>
        <v>2.61</v>
      </c>
      <c r="H8236" s="89">
        <f t="shared" si="18"/>
        <v>0.2189597315</v>
      </c>
      <c r="I8236" s="78" t="s">
        <v>9384</v>
      </c>
      <c r="J8236" s="78" t="s">
        <v>69</v>
      </c>
      <c r="K8236" s="58">
        <f t="shared" si="17"/>
        <v>2</v>
      </c>
      <c r="L8236" s="91" t="str">
        <f t="shared" si="8"/>
        <v>Fri</v>
      </c>
      <c r="M8236" s="78" t="str">
        <f>IFERROR(VLOOKUP(A8236, Entries!A:B,2,false),"")</f>
        <v>Behaviour Interactive</v>
      </c>
      <c r="N8236" s="23" t="str">
        <f>IFERROR(VLOOKUP(A8236, Entries!A:K,11,false),"")</f>
        <v/>
      </c>
    </row>
    <row r="8237">
      <c r="A8237" s="78" t="s">
        <v>9233</v>
      </c>
      <c r="B8237" s="78" t="s">
        <v>40</v>
      </c>
      <c r="C8237" s="85">
        <v>45973.0</v>
      </c>
      <c r="D8237" s="85">
        <v>45975.0</v>
      </c>
      <c r="E8237" s="86">
        <v>9.31</v>
      </c>
      <c r="F8237" s="87">
        <v>11.92</v>
      </c>
      <c r="G8237" s="88">
        <f t="shared" si="23"/>
        <v>2.61</v>
      </c>
      <c r="H8237" s="89">
        <f t="shared" si="18"/>
        <v>0.2189597315</v>
      </c>
      <c r="J8237" s="78" t="s">
        <v>69</v>
      </c>
      <c r="K8237" s="58">
        <f t="shared" si="17"/>
        <v>2</v>
      </c>
      <c r="L8237" s="91" t="str">
        <f t="shared" si="8"/>
        <v>Fri</v>
      </c>
      <c r="M8237" s="78" t="str">
        <f>IFERROR(VLOOKUP(A8237, Entries!A:B,2,false),"")</f>
        <v>Behaviour Interactive</v>
      </c>
      <c r="N8237" s="23" t="str">
        <f>IFERROR(VLOOKUP(A8237, Entries!A:K,11,false),"")</f>
        <v/>
      </c>
    </row>
    <row r="8238">
      <c r="A8238" s="78" t="s">
        <v>9385</v>
      </c>
      <c r="B8238" s="78" t="s">
        <v>22</v>
      </c>
      <c r="C8238" s="85">
        <v>45973.0</v>
      </c>
      <c r="D8238" s="85">
        <v>45974.0</v>
      </c>
      <c r="E8238" s="86">
        <v>8.05</v>
      </c>
      <c r="F8238" s="87">
        <v>10.22</v>
      </c>
      <c r="G8238" s="88">
        <f t="shared" si="23"/>
        <v>2.17</v>
      </c>
      <c r="H8238" s="89">
        <f t="shared" si="18"/>
        <v>0.2123287671</v>
      </c>
      <c r="I8238" s="78" t="s">
        <v>9386</v>
      </c>
      <c r="J8238" s="78" t="s">
        <v>69</v>
      </c>
      <c r="K8238" s="58">
        <f t="shared" si="17"/>
        <v>1</v>
      </c>
      <c r="L8238" s="91" t="str">
        <f t="shared" si="8"/>
        <v>Thu</v>
      </c>
      <c r="M8238" s="78" t="str">
        <f>IFERROR(VLOOKUP(A8238, Entries!A:B,2,false),"")</f>
        <v/>
      </c>
      <c r="N8238" s="23" t="str">
        <f>IFERROR(VLOOKUP(A8238, Entries!A:K,11,false),"")</f>
        <v/>
      </c>
    </row>
    <row r="8239">
      <c r="A8239" s="78" t="s">
        <v>9387</v>
      </c>
      <c r="B8239" s="78" t="s">
        <v>22</v>
      </c>
      <c r="C8239" s="85">
        <v>45973.0</v>
      </c>
      <c r="D8239" s="85">
        <v>45975.0</v>
      </c>
      <c r="E8239" s="86">
        <v>7.66</v>
      </c>
      <c r="F8239" s="87">
        <v>10.94</v>
      </c>
      <c r="G8239" s="88">
        <f t="shared" si="23"/>
        <v>3.28</v>
      </c>
      <c r="H8239" s="89">
        <f t="shared" si="18"/>
        <v>0.2998171846</v>
      </c>
      <c r="I8239" s="78" t="s">
        <v>9388</v>
      </c>
      <c r="J8239" s="78" t="s">
        <v>69</v>
      </c>
      <c r="K8239" s="58">
        <f t="shared" si="17"/>
        <v>2</v>
      </c>
      <c r="L8239" s="91" t="str">
        <f t="shared" si="8"/>
        <v>Fri</v>
      </c>
      <c r="M8239" s="78" t="str">
        <f>IFERROR(VLOOKUP(A8239, Entries!A:B,2,false),"")</f>
        <v/>
      </c>
      <c r="N8239" s="23" t="str">
        <f>IFERROR(VLOOKUP(A8239, Entries!A:K,11,false),"")</f>
        <v/>
      </c>
    </row>
    <row r="8240">
      <c r="A8240" s="78" t="s">
        <v>4085</v>
      </c>
      <c r="B8240" s="78" t="s">
        <v>27</v>
      </c>
      <c r="C8240" s="85">
        <v>45975.0</v>
      </c>
      <c r="D8240" s="85">
        <v>45975.0</v>
      </c>
      <c r="E8240" s="86">
        <v>5.89</v>
      </c>
      <c r="F8240" s="87">
        <v>7.44</v>
      </c>
      <c r="G8240" s="88">
        <f t="shared" si="23"/>
        <v>1.55</v>
      </c>
      <c r="H8240" s="89">
        <f t="shared" si="18"/>
        <v>0.2083333333</v>
      </c>
      <c r="I8240" s="78" t="s">
        <v>9389</v>
      </c>
      <c r="J8240" s="78" t="s">
        <v>69</v>
      </c>
      <c r="K8240" s="58">
        <f t="shared" si="17"/>
        <v>0</v>
      </c>
      <c r="L8240" s="91" t="str">
        <f t="shared" si="8"/>
        <v>Fri</v>
      </c>
      <c r="M8240" s="78" t="str">
        <f>IFERROR(VLOOKUP(A8240, Entries!A:B,2,false),"")</f>
        <v>Bethesda Softworks</v>
      </c>
      <c r="N8240" s="23" t="str">
        <f>IFERROR(VLOOKUP(A8240, Entries!A:K,11,false),"")</f>
        <v/>
      </c>
    </row>
    <row r="8241">
      <c r="A8241" s="78" t="s">
        <v>9390</v>
      </c>
      <c r="B8241" s="78" t="s">
        <v>27</v>
      </c>
      <c r="C8241" s="85">
        <v>45975.0</v>
      </c>
      <c r="D8241" s="85">
        <v>45975.0</v>
      </c>
      <c r="E8241" s="86">
        <v>1.99</v>
      </c>
      <c r="F8241" s="87">
        <v>2.72</v>
      </c>
      <c r="G8241" s="88">
        <f t="shared" si="23"/>
        <v>0.73</v>
      </c>
      <c r="H8241" s="89">
        <f t="shared" si="18"/>
        <v>0.2683823529</v>
      </c>
      <c r="I8241" s="78" t="s">
        <v>9391</v>
      </c>
      <c r="J8241" s="78" t="s">
        <v>69</v>
      </c>
      <c r="K8241" s="58">
        <f t="shared" si="17"/>
        <v>0</v>
      </c>
      <c r="L8241" s="91" t="str">
        <f t="shared" si="8"/>
        <v>Fri</v>
      </c>
      <c r="M8241" s="78" t="str">
        <f>IFERROR(VLOOKUP(A8241, Entries!A:B,2,false),"")</f>
        <v/>
      </c>
      <c r="N8241" s="23" t="str">
        <f>IFERROR(VLOOKUP(A8241, Entries!A:K,11,false),"")</f>
        <v/>
      </c>
    </row>
    <row r="8242">
      <c r="A8242" s="78" t="s">
        <v>4085</v>
      </c>
      <c r="B8242" s="78" t="s">
        <v>27</v>
      </c>
      <c r="C8242" s="85">
        <v>45975.0</v>
      </c>
      <c r="D8242" s="85">
        <v>45977.0</v>
      </c>
      <c r="E8242" s="86">
        <v>5.89</v>
      </c>
      <c r="F8242" s="87">
        <v>7.29</v>
      </c>
      <c r="G8242" s="88">
        <f t="shared" si="23"/>
        <v>1.4</v>
      </c>
      <c r="H8242" s="89">
        <f t="shared" si="18"/>
        <v>0.1920438957</v>
      </c>
      <c r="I8242" s="78" t="s">
        <v>9392</v>
      </c>
      <c r="J8242" s="78" t="s">
        <v>69</v>
      </c>
      <c r="K8242" s="58">
        <f t="shared" si="17"/>
        <v>2</v>
      </c>
      <c r="L8242" s="91" t="str">
        <f t="shared" si="8"/>
        <v>Sun</v>
      </c>
      <c r="M8242" s="78" t="str">
        <f>IFERROR(VLOOKUP(A8242, Entries!A:B,2,false),"")</f>
        <v>Bethesda Softworks</v>
      </c>
      <c r="N8242" s="23" t="str">
        <f>IFERROR(VLOOKUP(A8242, Entries!A:K,11,false),"")</f>
        <v/>
      </c>
    </row>
    <row r="8243">
      <c r="A8243" s="78" t="s">
        <v>9370</v>
      </c>
      <c r="B8243" s="78" t="s">
        <v>27</v>
      </c>
      <c r="C8243" s="85">
        <v>45975.0</v>
      </c>
      <c r="D8243" s="85">
        <v>45977.0</v>
      </c>
      <c r="E8243" s="86">
        <v>10.29</v>
      </c>
      <c r="F8243" s="87">
        <v>14.97</v>
      </c>
      <c r="G8243" s="88">
        <f t="shared" si="23"/>
        <v>4.68</v>
      </c>
      <c r="H8243" s="89">
        <f t="shared" si="18"/>
        <v>0.3126252505</v>
      </c>
      <c r="I8243" s="78" t="s">
        <v>9393</v>
      </c>
      <c r="J8243" s="78" t="s">
        <v>69</v>
      </c>
      <c r="K8243" s="58">
        <f t="shared" si="17"/>
        <v>2</v>
      </c>
      <c r="L8243" s="91" t="str">
        <f t="shared" si="8"/>
        <v>Sun</v>
      </c>
      <c r="M8243" s="78" t="str">
        <f>IFERROR(VLOOKUP(A8243, Entries!A:B,2,false),"")</f>
        <v/>
      </c>
      <c r="N8243" s="23" t="str">
        <f>IFERROR(VLOOKUP(A8243, Entries!A:K,11,false),"")</f>
        <v/>
      </c>
    </row>
    <row r="8244">
      <c r="A8244" s="78" t="s">
        <v>9233</v>
      </c>
      <c r="B8244" s="78" t="s">
        <v>40</v>
      </c>
      <c r="C8244" s="85">
        <v>45975.0</v>
      </c>
      <c r="D8244" s="85">
        <v>45975.0</v>
      </c>
      <c r="E8244" s="86">
        <v>9.31</v>
      </c>
      <c r="F8244" s="87">
        <v>11.91</v>
      </c>
      <c r="G8244" s="88">
        <f t="shared" si="23"/>
        <v>2.6</v>
      </c>
      <c r="H8244" s="89">
        <f t="shared" si="18"/>
        <v>0.2183039463</v>
      </c>
      <c r="I8244" s="78" t="s">
        <v>9394</v>
      </c>
      <c r="J8244" s="78" t="s">
        <v>69</v>
      </c>
      <c r="K8244" s="58">
        <f t="shared" si="17"/>
        <v>0</v>
      </c>
      <c r="L8244" s="91" t="str">
        <f t="shared" si="8"/>
        <v>Fri</v>
      </c>
      <c r="M8244" s="78" t="str">
        <f>IFERROR(VLOOKUP(A8244, Entries!A:B,2,false),"")</f>
        <v>Behaviour Interactive</v>
      </c>
      <c r="N8244" s="23" t="str">
        <f>IFERROR(VLOOKUP(A8244, Entries!A:K,11,false),"")</f>
        <v/>
      </c>
    </row>
    <row r="8245">
      <c r="A8245" s="78" t="s">
        <v>9233</v>
      </c>
      <c r="B8245" s="78" t="s">
        <v>40</v>
      </c>
      <c r="C8245" s="85">
        <v>45975.0</v>
      </c>
      <c r="D8245" s="85">
        <v>45976.0</v>
      </c>
      <c r="E8245" s="86">
        <v>9.31</v>
      </c>
      <c r="F8245" s="87">
        <v>11.92</v>
      </c>
      <c r="G8245" s="88">
        <f t="shared" si="23"/>
        <v>2.61</v>
      </c>
      <c r="H8245" s="89">
        <f t="shared" si="18"/>
        <v>0.2189597315</v>
      </c>
      <c r="I8245" s="78" t="s">
        <v>9395</v>
      </c>
      <c r="J8245" s="78" t="s">
        <v>69</v>
      </c>
      <c r="K8245" s="58">
        <f t="shared" si="17"/>
        <v>1</v>
      </c>
      <c r="L8245" s="91" t="str">
        <f t="shared" si="8"/>
        <v>Sat</v>
      </c>
      <c r="M8245" s="78" t="str">
        <f>IFERROR(VLOOKUP(A8245, Entries!A:B,2,false),"")</f>
        <v>Behaviour Interactive</v>
      </c>
      <c r="N8245" s="23" t="str">
        <f>IFERROR(VLOOKUP(A8245, Entries!A:K,11,false),"")</f>
        <v/>
      </c>
    </row>
    <row r="8246">
      <c r="A8246" s="78" t="s">
        <v>9233</v>
      </c>
      <c r="B8246" s="78" t="s">
        <v>40</v>
      </c>
      <c r="C8246" s="85">
        <v>45975.0</v>
      </c>
      <c r="D8246" s="85">
        <v>45976.0</v>
      </c>
      <c r="E8246" s="86">
        <v>9.31</v>
      </c>
      <c r="F8246" s="87">
        <v>11.92</v>
      </c>
      <c r="G8246" s="88">
        <f t="shared" si="23"/>
        <v>2.61</v>
      </c>
      <c r="H8246" s="89">
        <f t="shared" si="18"/>
        <v>0.2189597315</v>
      </c>
      <c r="I8246" s="78" t="s">
        <v>9396</v>
      </c>
      <c r="J8246" s="78" t="s">
        <v>69</v>
      </c>
      <c r="K8246" s="58">
        <f t="shared" si="17"/>
        <v>1</v>
      </c>
      <c r="L8246" s="91" t="str">
        <f t="shared" si="8"/>
        <v>Sat</v>
      </c>
      <c r="M8246" s="78" t="str">
        <f>IFERROR(VLOOKUP(A8246, Entries!A:B,2,false),"")</f>
        <v>Behaviour Interactive</v>
      </c>
      <c r="N8246" s="23" t="str">
        <f>IFERROR(VLOOKUP(A8246, Entries!A:K,11,false),"")</f>
        <v/>
      </c>
    </row>
    <row r="8247">
      <c r="A8247" s="78" t="s">
        <v>9390</v>
      </c>
      <c r="B8247" s="78" t="s">
        <v>27</v>
      </c>
      <c r="C8247" s="85">
        <v>45976.0</v>
      </c>
      <c r="D8247" s="85">
        <v>45976.0</v>
      </c>
      <c r="E8247" s="86">
        <v>1.99</v>
      </c>
      <c r="F8247" s="87">
        <v>2.72</v>
      </c>
      <c r="G8247" s="88">
        <f t="shared" si="23"/>
        <v>0.73</v>
      </c>
      <c r="H8247" s="89">
        <f t="shared" si="18"/>
        <v>0.2683823529</v>
      </c>
      <c r="I8247" s="78" t="s">
        <v>9397</v>
      </c>
      <c r="J8247" s="78" t="s">
        <v>69</v>
      </c>
      <c r="K8247" s="58">
        <f t="shared" si="17"/>
        <v>0</v>
      </c>
      <c r="L8247" s="91" t="str">
        <f t="shared" si="8"/>
        <v>Sat</v>
      </c>
      <c r="M8247" s="78" t="str">
        <f>IFERROR(VLOOKUP(A8247, Entries!A:B,2,false),"")</f>
        <v/>
      </c>
      <c r="N8247" s="23" t="str">
        <f>IFERROR(VLOOKUP(A8247, Entries!A:K,11,false),"")</f>
        <v/>
      </c>
    </row>
    <row r="8248">
      <c r="A8248" s="78" t="s">
        <v>9233</v>
      </c>
      <c r="B8248" s="78" t="s">
        <v>40</v>
      </c>
      <c r="C8248" s="85">
        <v>45976.0</v>
      </c>
      <c r="D8248" s="85">
        <v>45976.0</v>
      </c>
      <c r="E8248" s="86">
        <v>9.31</v>
      </c>
      <c r="F8248" s="87">
        <v>11.92</v>
      </c>
      <c r="G8248" s="88">
        <f t="shared" si="23"/>
        <v>2.61</v>
      </c>
      <c r="H8248" s="89">
        <f t="shared" si="18"/>
        <v>0.2189597315</v>
      </c>
      <c r="I8248" s="78" t="s">
        <v>9398</v>
      </c>
      <c r="J8248" s="78" t="s">
        <v>69</v>
      </c>
      <c r="K8248" s="58">
        <f t="shared" si="17"/>
        <v>0</v>
      </c>
      <c r="L8248" s="91" t="str">
        <f t="shared" si="8"/>
        <v>Sat</v>
      </c>
      <c r="M8248" s="78" t="str">
        <f>IFERROR(VLOOKUP(A8248, Entries!A:B,2,false),"")</f>
        <v>Behaviour Interactive</v>
      </c>
      <c r="N8248" s="23" t="str">
        <f>IFERROR(VLOOKUP(A8248, Entries!A:K,11,false),"")</f>
        <v/>
      </c>
    </row>
    <row r="8249">
      <c r="A8249" s="78" t="s">
        <v>9233</v>
      </c>
      <c r="B8249" s="78" t="s">
        <v>40</v>
      </c>
      <c r="C8249" s="85">
        <v>45976.0</v>
      </c>
      <c r="D8249" s="85">
        <v>45976.0</v>
      </c>
      <c r="E8249" s="86">
        <v>9.31</v>
      </c>
      <c r="F8249" s="87">
        <v>11.9</v>
      </c>
      <c r="G8249" s="88">
        <f t="shared" si="23"/>
        <v>2.59</v>
      </c>
      <c r="H8249" s="89">
        <f t="shared" si="18"/>
        <v>0.2176470588</v>
      </c>
      <c r="I8249" s="78" t="s">
        <v>9399</v>
      </c>
      <c r="J8249" s="78" t="s">
        <v>69</v>
      </c>
      <c r="K8249" s="58">
        <f t="shared" si="17"/>
        <v>0</v>
      </c>
      <c r="L8249" s="91" t="str">
        <f t="shared" si="8"/>
        <v>Sat</v>
      </c>
      <c r="M8249" s="78" t="str">
        <f>IFERROR(VLOOKUP(A8249, Entries!A:B,2,false),"")</f>
        <v>Behaviour Interactive</v>
      </c>
      <c r="N8249" s="23" t="str">
        <f>IFERROR(VLOOKUP(A8249, Entries!A:K,11,false),"")</f>
        <v/>
      </c>
    </row>
    <row r="8250">
      <c r="A8250" s="78" t="s">
        <v>9233</v>
      </c>
      <c r="B8250" s="78" t="s">
        <v>40</v>
      </c>
      <c r="C8250" s="85">
        <v>45976.0</v>
      </c>
      <c r="D8250" s="85">
        <v>45977.0</v>
      </c>
      <c r="E8250" s="86">
        <v>9.31</v>
      </c>
      <c r="F8250" s="87">
        <v>11.9</v>
      </c>
      <c r="G8250" s="88">
        <f t="shared" si="23"/>
        <v>2.59</v>
      </c>
      <c r="H8250" s="89">
        <f t="shared" si="18"/>
        <v>0.2176470588</v>
      </c>
      <c r="I8250" s="78" t="s">
        <v>9400</v>
      </c>
      <c r="J8250" s="78" t="s">
        <v>69</v>
      </c>
      <c r="K8250" s="58">
        <f t="shared" si="17"/>
        <v>1</v>
      </c>
      <c r="L8250" s="91" t="str">
        <f t="shared" si="8"/>
        <v>Sun</v>
      </c>
      <c r="M8250" s="78" t="str">
        <f>IFERROR(VLOOKUP(A8250, Entries!A:B,2,false),"")</f>
        <v>Behaviour Interactive</v>
      </c>
      <c r="N8250" s="23" t="str">
        <f>IFERROR(VLOOKUP(A8250, Entries!A:K,11,false),"")</f>
        <v/>
      </c>
    </row>
    <row r="8251">
      <c r="A8251" s="78" t="s">
        <v>9401</v>
      </c>
      <c r="B8251" s="78" t="s">
        <v>25</v>
      </c>
      <c r="C8251" s="85">
        <v>45977.0</v>
      </c>
      <c r="D8251" s="85">
        <v>45978.0</v>
      </c>
      <c r="E8251" s="86">
        <v>30.47</v>
      </c>
      <c r="F8251" s="87">
        <v>39.48</v>
      </c>
      <c r="G8251" s="88">
        <f t="shared" si="23"/>
        <v>9.01</v>
      </c>
      <c r="H8251" s="89">
        <f t="shared" si="18"/>
        <v>0.2282168186</v>
      </c>
      <c r="I8251" s="78" t="s">
        <v>9402</v>
      </c>
      <c r="J8251" s="78" t="s">
        <v>69</v>
      </c>
      <c r="K8251" s="58">
        <f t="shared" si="17"/>
        <v>1</v>
      </c>
      <c r="L8251" s="91" t="str">
        <f t="shared" si="8"/>
        <v>Mon</v>
      </c>
      <c r="M8251" s="78" t="str">
        <f>IFERROR(VLOOKUP(A8251, Entries!A:B,2,false),"")</f>
        <v/>
      </c>
      <c r="N8251" s="23" t="str">
        <f>IFERROR(VLOOKUP(A8251, Entries!A:K,11,false),"")</f>
        <v/>
      </c>
    </row>
    <row r="8252">
      <c r="A8252" s="78" t="s">
        <v>9401</v>
      </c>
      <c r="B8252" s="78" t="s">
        <v>25</v>
      </c>
      <c r="C8252" s="85">
        <v>45977.0</v>
      </c>
      <c r="D8252" s="85">
        <v>45978.0</v>
      </c>
      <c r="E8252" s="86">
        <v>30.48</v>
      </c>
      <c r="F8252" s="87">
        <v>39.48</v>
      </c>
      <c r="G8252" s="88">
        <f t="shared" si="23"/>
        <v>9</v>
      </c>
      <c r="H8252" s="89">
        <f t="shared" si="18"/>
        <v>0.2279635258</v>
      </c>
      <c r="I8252" s="78" t="s">
        <v>9403</v>
      </c>
      <c r="J8252" s="78" t="s">
        <v>69</v>
      </c>
      <c r="K8252" s="58">
        <f t="shared" si="17"/>
        <v>1</v>
      </c>
      <c r="L8252" s="91" t="str">
        <f t="shared" si="8"/>
        <v>Mon</v>
      </c>
      <c r="M8252" s="78" t="str">
        <f>IFERROR(VLOOKUP(A8252, Entries!A:B,2,false),"")</f>
        <v/>
      </c>
      <c r="N8252" s="23" t="str">
        <f>IFERROR(VLOOKUP(A8252, Entries!A:K,11,false),"")</f>
        <v/>
      </c>
    </row>
    <row r="8253">
      <c r="A8253" s="78" t="s">
        <v>9404</v>
      </c>
      <c r="B8253" s="78" t="s">
        <v>18</v>
      </c>
      <c r="C8253" s="85">
        <v>45977.0</v>
      </c>
      <c r="D8253" s="85">
        <v>45981.0</v>
      </c>
      <c r="E8253" s="86">
        <v>44.01</v>
      </c>
      <c r="F8253" s="87">
        <v>47.68</v>
      </c>
      <c r="G8253" s="88">
        <f t="shared" si="23"/>
        <v>3.67</v>
      </c>
      <c r="H8253" s="89">
        <f t="shared" si="18"/>
        <v>0.07697147651</v>
      </c>
      <c r="I8253" s="78" t="s">
        <v>9405</v>
      </c>
      <c r="J8253" s="78" t="s">
        <v>69</v>
      </c>
      <c r="K8253" s="58">
        <f t="shared" si="17"/>
        <v>4</v>
      </c>
      <c r="L8253" s="91" t="str">
        <f t="shared" si="8"/>
        <v>Thu</v>
      </c>
      <c r="M8253" s="78" t="str">
        <f>IFERROR(VLOOKUP(A8253, Entries!A:B,2,false),"")</f>
        <v/>
      </c>
      <c r="N8253" s="23" t="str">
        <f>IFERROR(VLOOKUP(A8253, Entries!A:K,11,false),"")</f>
        <v/>
      </c>
    </row>
    <row r="8254">
      <c r="A8254" s="78" t="s">
        <v>9404</v>
      </c>
      <c r="B8254" s="78" t="s">
        <v>18</v>
      </c>
      <c r="C8254" s="85">
        <v>45977.0</v>
      </c>
      <c r="D8254" s="85">
        <v>45983.0</v>
      </c>
      <c r="E8254" s="86">
        <v>44.02</v>
      </c>
      <c r="F8254" s="87">
        <v>47.17</v>
      </c>
      <c r="G8254" s="88">
        <f t="shared" si="23"/>
        <v>3.15</v>
      </c>
      <c r="H8254" s="89">
        <f t="shared" si="18"/>
        <v>0.06677973288</v>
      </c>
      <c r="I8254" s="78" t="s">
        <v>9406</v>
      </c>
      <c r="J8254" s="78" t="s">
        <v>69</v>
      </c>
      <c r="K8254" s="58">
        <f t="shared" si="17"/>
        <v>6</v>
      </c>
      <c r="L8254" s="91" t="str">
        <f t="shared" si="8"/>
        <v>Sat</v>
      </c>
      <c r="M8254" s="78" t="str">
        <f>IFERROR(VLOOKUP(A8254, Entries!A:B,2,false),"")</f>
        <v/>
      </c>
      <c r="N8254" s="23" t="str">
        <f>IFERROR(VLOOKUP(A8254, Entries!A:K,11,false),"")</f>
        <v/>
      </c>
    </row>
    <row r="8255">
      <c r="A8255" s="78" t="s">
        <v>9370</v>
      </c>
      <c r="B8255" s="78" t="s">
        <v>27</v>
      </c>
      <c r="C8255" s="85">
        <v>45977.0</v>
      </c>
      <c r="D8255" s="85">
        <v>45980.0</v>
      </c>
      <c r="E8255" s="86">
        <v>10.29</v>
      </c>
      <c r="F8255" s="87">
        <v>14.91</v>
      </c>
      <c r="G8255" s="88">
        <f t="shared" si="23"/>
        <v>4.62</v>
      </c>
      <c r="H8255" s="89">
        <f t="shared" si="18"/>
        <v>0.3098591549</v>
      </c>
      <c r="I8255" s="78" t="s">
        <v>9407</v>
      </c>
      <c r="J8255" s="78" t="s">
        <v>69</v>
      </c>
      <c r="K8255" s="58">
        <f t="shared" si="17"/>
        <v>3</v>
      </c>
      <c r="L8255" s="91" t="str">
        <f t="shared" si="8"/>
        <v>Wed</v>
      </c>
      <c r="M8255" s="78" t="str">
        <f>IFERROR(VLOOKUP(A8255, Entries!A:B,2,false),"")</f>
        <v/>
      </c>
      <c r="N8255" s="23" t="str">
        <f>IFERROR(VLOOKUP(A8255, Entries!A:K,11,false),"")</f>
        <v/>
      </c>
    </row>
    <row r="8256">
      <c r="A8256" s="78" t="s">
        <v>9233</v>
      </c>
      <c r="B8256" s="78" t="s">
        <v>40</v>
      </c>
      <c r="C8256" s="85">
        <v>45977.0</v>
      </c>
      <c r="D8256" s="85">
        <v>45985.0</v>
      </c>
      <c r="E8256" s="86">
        <v>9.31</v>
      </c>
      <c r="F8256" s="87">
        <v>11.97</v>
      </c>
      <c r="G8256" s="88">
        <f t="shared" si="23"/>
        <v>2.66</v>
      </c>
      <c r="H8256" s="89">
        <f t="shared" si="18"/>
        <v>0.2222222222</v>
      </c>
      <c r="I8256" s="78" t="s">
        <v>9408</v>
      </c>
      <c r="J8256" s="78" t="s">
        <v>69</v>
      </c>
      <c r="K8256" s="58">
        <f t="shared" si="17"/>
        <v>8</v>
      </c>
      <c r="L8256" s="91" t="str">
        <f t="shared" si="8"/>
        <v>Mon</v>
      </c>
      <c r="M8256" s="78" t="str">
        <f>IFERROR(VLOOKUP(A8256, Entries!A:B,2,false),"")</f>
        <v>Behaviour Interactive</v>
      </c>
      <c r="N8256" s="23" t="str">
        <f>IFERROR(VLOOKUP(A8256, Entries!A:K,11,false),"")</f>
        <v/>
      </c>
    </row>
    <row r="8257">
      <c r="A8257" s="78" t="s">
        <v>9409</v>
      </c>
      <c r="B8257" s="78" t="s">
        <v>19</v>
      </c>
      <c r="C8257" s="85">
        <v>45978.0</v>
      </c>
      <c r="D8257" s="85">
        <v>45979.0</v>
      </c>
      <c r="E8257" s="86">
        <v>33.65</v>
      </c>
      <c r="F8257" s="87">
        <v>38.24</v>
      </c>
      <c r="G8257" s="88">
        <f t="shared" si="23"/>
        <v>4.59</v>
      </c>
      <c r="H8257" s="89">
        <f t="shared" si="18"/>
        <v>0.1200313808</v>
      </c>
      <c r="I8257" s="78" t="s">
        <v>9410</v>
      </c>
      <c r="J8257" s="78" t="s">
        <v>69</v>
      </c>
      <c r="K8257" s="58">
        <f t="shared" si="17"/>
        <v>1</v>
      </c>
      <c r="L8257" s="91" t="str">
        <f t="shared" si="8"/>
        <v>Tue</v>
      </c>
      <c r="M8257" s="78" t="str">
        <f>IFERROR(VLOOKUP(A8257, Entries!A:B,2,false),"")</f>
        <v/>
      </c>
      <c r="N8257" s="23" t="str">
        <f>IFERROR(VLOOKUP(A8257, Entries!A:K,11,false),"")</f>
        <v/>
      </c>
    </row>
    <row r="8258">
      <c r="A8258" s="78" t="s">
        <v>8056</v>
      </c>
      <c r="B8258" s="78" t="s">
        <v>18</v>
      </c>
      <c r="C8258" s="85">
        <v>45978.0</v>
      </c>
      <c r="D8258" s="85">
        <v>45981.0</v>
      </c>
      <c r="E8258" s="86">
        <v>24.46</v>
      </c>
      <c r="F8258" s="87">
        <v>27.65</v>
      </c>
      <c r="G8258" s="88">
        <f t="shared" si="23"/>
        <v>3.19</v>
      </c>
      <c r="H8258" s="89">
        <f t="shared" si="18"/>
        <v>0.1153707052</v>
      </c>
      <c r="I8258" s="78" t="s">
        <v>9411</v>
      </c>
      <c r="J8258" s="78" t="s">
        <v>69</v>
      </c>
      <c r="K8258" s="58">
        <f t="shared" si="17"/>
        <v>3</v>
      </c>
      <c r="L8258" s="91" t="str">
        <f t="shared" si="8"/>
        <v>Thu</v>
      </c>
      <c r="M8258" s="78" t="str">
        <f>IFERROR(VLOOKUP(A8258, Entries!A:B,2,false),"")</f>
        <v>Survios</v>
      </c>
      <c r="N8258" s="23" t="str">
        <f>IFERROR(VLOOKUP(A8258, Entries!A:K,11,false),"")</f>
        <v/>
      </c>
    </row>
    <row r="8259">
      <c r="A8259" s="78" t="s">
        <v>9412</v>
      </c>
      <c r="B8259" s="78" t="s">
        <v>22</v>
      </c>
      <c r="C8259" s="85">
        <v>45978.0</v>
      </c>
      <c r="D8259" s="85">
        <v>46029.0</v>
      </c>
      <c r="E8259" s="86">
        <v>5.57</v>
      </c>
      <c r="F8259" s="87">
        <v>6.47</v>
      </c>
      <c r="G8259" s="88">
        <f t="shared" si="23"/>
        <v>0.9</v>
      </c>
      <c r="H8259" s="89">
        <f t="shared" si="18"/>
        <v>0.1391035549</v>
      </c>
      <c r="I8259" s="78" t="s">
        <v>9413</v>
      </c>
      <c r="J8259" s="78" t="s">
        <v>69</v>
      </c>
      <c r="K8259" s="58">
        <f t="shared" si="17"/>
        <v>51</v>
      </c>
      <c r="L8259" s="91" t="str">
        <f t="shared" si="8"/>
        <v>Wed</v>
      </c>
      <c r="M8259" s="78" t="str">
        <f>IFERROR(VLOOKUP(A8259, Entries!A:B,2,false),"")</f>
        <v/>
      </c>
      <c r="N8259" s="23" t="str">
        <f>IFERROR(VLOOKUP(A8259, Entries!A:K,11,false),"")</f>
        <v/>
      </c>
    </row>
    <row r="8260">
      <c r="A8260" s="78" t="s">
        <v>4604</v>
      </c>
      <c r="B8260" s="78" t="s">
        <v>27</v>
      </c>
      <c r="C8260" s="85">
        <v>45979.0</v>
      </c>
      <c r="D8260" s="85">
        <v>45979.0</v>
      </c>
      <c r="E8260" s="86">
        <v>5.69</v>
      </c>
      <c r="F8260" s="87">
        <v>6.52</v>
      </c>
      <c r="G8260" s="88">
        <f t="shared" si="23"/>
        <v>0.83</v>
      </c>
      <c r="H8260" s="89">
        <f t="shared" si="18"/>
        <v>0.1273006135</v>
      </c>
      <c r="I8260" s="78" t="s">
        <v>9414</v>
      </c>
      <c r="J8260" s="78" t="s">
        <v>69</v>
      </c>
      <c r="K8260" s="58">
        <f t="shared" si="17"/>
        <v>0</v>
      </c>
      <c r="L8260" s="91" t="str">
        <f t="shared" si="8"/>
        <v>Tue</v>
      </c>
      <c r="M8260" s="78" t="str">
        <f>IFERROR(VLOOKUP(A8260, Entries!A:B,2,false),"")</f>
        <v>Warner Bros</v>
      </c>
      <c r="N8260" s="23" t="str">
        <f>IFERROR(VLOOKUP(A8260, Entries!A:K,11,false),"")</f>
        <v/>
      </c>
    </row>
    <row r="8261">
      <c r="A8261" s="78" t="s">
        <v>9365</v>
      </c>
      <c r="B8261" s="78" t="s">
        <v>21</v>
      </c>
      <c r="C8261" s="85">
        <v>45979.0</v>
      </c>
      <c r="D8261" s="85">
        <v>45980.0</v>
      </c>
      <c r="E8261" s="86">
        <v>38.45</v>
      </c>
      <c r="F8261" s="87">
        <v>49.35</v>
      </c>
      <c r="G8261" s="88">
        <f t="shared" si="23"/>
        <v>10.9</v>
      </c>
      <c r="H8261" s="89">
        <f t="shared" si="18"/>
        <v>0.2208713273</v>
      </c>
      <c r="I8261" s="78" t="s">
        <v>9415</v>
      </c>
      <c r="J8261" s="78" t="s">
        <v>69</v>
      </c>
      <c r="K8261" s="58">
        <f t="shared" si="17"/>
        <v>1</v>
      </c>
      <c r="L8261" s="91" t="str">
        <f t="shared" si="8"/>
        <v>Wed</v>
      </c>
      <c r="M8261" s="78" t="str">
        <f>IFERROR(VLOOKUP(A8261, Entries!A:B,2,false),"")</f>
        <v/>
      </c>
      <c r="N8261" s="23" t="str">
        <f>IFERROR(VLOOKUP(A8261, Entries!A:K,11,false),"")</f>
        <v/>
      </c>
    </row>
    <row r="8262">
      <c r="A8262" s="78" t="s">
        <v>4604</v>
      </c>
      <c r="B8262" s="78" t="s">
        <v>27</v>
      </c>
      <c r="C8262" s="85">
        <v>45979.0</v>
      </c>
      <c r="D8262" s="85">
        <v>45979.0</v>
      </c>
      <c r="E8262" s="86">
        <v>5.69</v>
      </c>
      <c r="F8262" s="87">
        <v>6.52</v>
      </c>
      <c r="G8262" s="88">
        <f t="shared" si="23"/>
        <v>0.83</v>
      </c>
      <c r="H8262" s="89">
        <f t="shared" si="18"/>
        <v>0.1273006135</v>
      </c>
      <c r="I8262" s="78" t="s">
        <v>9416</v>
      </c>
      <c r="J8262" s="78" t="s">
        <v>69</v>
      </c>
      <c r="K8262" s="58">
        <f t="shared" si="17"/>
        <v>0</v>
      </c>
      <c r="L8262" s="91" t="str">
        <f t="shared" si="8"/>
        <v>Tue</v>
      </c>
      <c r="M8262" s="78" t="str">
        <f>IFERROR(VLOOKUP(A8262, Entries!A:B,2,false),"")</f>
        <v>Warner Bros</v>
      </c>
      <c r="N8262" s="23" t="str">
        <f>IFERROR(VLOOKUP(A8262, Entries!A:K,11,false),"")</f>
        <v/>
      </c>
    </row>
    <row r="8263">
      <c r="A8263" s="78" t="s">
        <v>4604</v>
      </c>
      <c r="B8263" s="78" t="s">
        <v>27</v>
      </c>
      <c r="C8263" s="85">
        <v>45979.0</v>
      </c>
      <c r="D8263" s="85">
        <v>45979.0</v>
      </c>
      <c r="E8263" s="86">
        <v>5.69</v>
      </c>
      <c r="F8263" s="87">
        <v>6.52</v>
      </c>
      <c r="G8263" s="88">
        <f t="shared" si="23"/>
        <v>0.83</v>
      </c>
      <c r="H8263" s="89">
        <f t="shared" si="18"/>
        <v>0.1273006135</v>
      </c>
      <c r="I8263" s="78" t="s">
        <v>9417</v>
      </c>
      <c r="J8263" s="78" t="s">
        <v>69</v>
      </c>
      <c r="K8263" s="58">
        <f t="shared" si="17"/>
        <v>0</v>
      </c>
      <c r="L8263" s="91" t="str">
        <f t="shared" si="8"/>
        <v>Tue</v>
      </c>
      <c r="M8263" s="78" t="str">
        <f>IFERROR(VLOOKUP(A8263, Entries!A:B,2,false),"")</f>
        <v>Warner Bros</v>
      </c>
      <c r="N8263" s="23" t="str">
        <f>IFERROR(VLOOKUP(A8263, Entries!A:K,11,false),"")</f>
        <v/>
      </c>
    </row>
    <row r="8264">
      <c r="A8264" s="78" t="s">
        <v>9409</v>
      </c>
      <c r="B8264" s="78" t="s">
        <v>19</v>
      </c>
      <c r="C8264" s="85">
        <v>45979.0</v>
      </c>
      <c r="D8264" s="85">
        <v>45982.0</v>
      </c>
      <c r="E8264" s="86">
        <v>33.72</v>
      </c>
      <c r="F8264" s="87">
        <v>37.95</v>
      </c>
      <c r="G8264" s="88">
        <f t="shared" si="23"/>
        <v>4.23</v>
      </c>
      <c r="H8264" s="89">
        <f t="shared" si="18"/>
        <v>0.1114624506</v>
      </c>
      <c r="I8264" s="78" t="s">
        <v>9418</v>
      </c>
      <c r="J8264" s="78" t="s">
        <v>69</v>
      </c>
      <c r="K8264" s="58">
        <f t="shared" si="17"/>
        <v>3</v>
      </c>
      <c r="L8264" s="91" t="str">
        <f t="shared" si="8"/>
        <v>Fri</v>
      </c>
      <c r="M8264" s="78" t="str">
        <f>IFERROR(VLOOKUP(A8264, Entries!A:B,2,false),"")</f>
        <v/>
      </c>
      <c r="N8264" s="23" t="str">
        <f>IFERROR(VLOOKUP(A8264, Entries!A:K,11,false),"")</f>
        <v/>
      </c>
    </row>
    <row r="8265">
      <c r="A8265" s="78" t="s">
        <v>4604</v>
      </c>
      <c r="B8265" s="78" t="s">
        <v>27</v>
      </c>
      <c r="C8265" s="85">
        <v>45979.0</v>
      </c>
      <c r="D8265" s="85">
        <v>45980.0</v>
      </c>
      <c r="E8265" s="86">
        <v>5.69</v>
      </c>
      <c r="F8265" s="87">
        <v>6.52</v>
      </c>
      <c r="G8265" s="88">
        <f t="shared" si="23"/>
        <v>0.83</v>
      </c>
      <c r="H8265" s="89">
        <f t="shared" si="18"/>
        <v>0.1273006135</v>
      </c>
      <c r="I8265" s="78" t="s">
        <v>9419</v>
      </c>
      <c r="J8265" s="78" t="s">
        <v>69</v>
      </c>
      <c r="K8265" s="58">
        <f t="shared" si="17"/>
        <v>1</v>
      </c>
      <c r="L8265" s="91" t="str">
        <f t="shared" si="8"/>
        <v>Wed</v>
      </c>
      <c r="M8265" s="78" t="str">
        <f>IFERROR(VLOOKUP(A8265, Entries!A:B,2,false),"")</f>
        <v>Warner Bros</v>
      </c>
      <c r="N8265" s="23" t="str">
        <f>IFERROR(VLOOKUP(A8265, Entries!A:K,11,false),"")</f>
        <v/>
      </c>
    </row>
    <row r="8266">
      <c r="A8266" s="78" t="s">
        <v>4604</v>
      </c>
      <c r="B8266" s="78" t="s">
        <v>27</v>
      </c>
      <c r="C8266" s="85">
        <v>45980.0</v>
      </c>
      <c r="D8266" s="85">
        <v>45980.0</v>
      </c>
      <c r="E8266" s="86">
        <v>5.69</v>
      </c>
      <c r="F8266" s="87">
        <v>6.52</v>
      </c>
      <c r="G8266" s="88">
        <f t="shared" si="23"/>
        <v>0.83</v>
      </c>
      <c r="H8266" s="89">
        <f t="shared" si="18"/>
        <v>0.1273006135</v>
      </c>
      <c r="I8266" s="78" t="s">
        <v>9420</v>
      </c>
      <c r="J8266" s="78" t="s">
        <v>69</v>
      </c>
      <c r="K8266" s="58">
        <f t="shared" si="17"/>
        <v>0</v>
      </c>
      <c r="L8266" s="91" t="str">
        <f t="shared" si="8"/>
        <v>Wed</v>
      </c>
      <c r="M8266" s="78" t="str">
        <f>IFERROR(VLOOKUP(A8266, Entries!A:B,2,false),"")</f>
        <v>Warner Bros</v>
      </c>
      <c r="N8266" s="23" t="str">
        <f>IFERROR(VLOOKUP(A8266, Entries!A:K,11,false),"")</f>
        <v/>
      </c>
    </row>
    <row r="8267">
      <c r="A8267" s="78" t="s">
        <v>4604</v>
      </c>
      <c r="B8267" s="78" t="s">
        <v>27</v>
      </c>
      <c r="C8267" s="85">
        <v>45980.0</v>
      </c>
      <c r="D8267" s="85">
        <v>45980.0</v>
      </c>
      <c r="E8267" s="86">
        <v>5.69</v>
      </c>
      <c r="F8267" s="87">
        <v>6.52</v>
      </c>
      <c r="G8267" s="88">
        <f t="shared" si="23"/>
        <v>0.83</v>
      </c>
      <c r="H8267" s="89">
        <f t="shared" si="18"/>
        <v>0.1273006135</v>
      </c>
      <c r="I8267" s="78" t="s">
        <v>9421</v>
      </c>
      <c r="J8267" s="78" t="s">
        <v>69</v>
      </c>
      <c r="K8267" s="58">
        <f t="shared" si="17"/>
        <v>0</v>
      </c>
      <c r="L8267" s="91" t="str">
        <f t="shared" si="8"/>
        <v>Wed</v>
      </c>
      <c r="M8267" s="78" t="str">
        <f>IFERROR(VLOOKUP(A8267, Entries!A:B,2,false),"")</f>
        <v>Warner Bros</v>
      </c>
      <c r="N8267" s="23" t="str">
        <f>IFERROR(VLOOKUP(A8267, Entries!A:K,11,false),"")</f>
        <v/>
      </c>
    </row>
    <row r="8268">
      <c r="A8268" s="78" t="s">
        <v>4604</v>
      </c>
      <c r="B8268" s="78" t="s">
        <v>27</v>
      </c>
      <c r="C8268" s="85">
        <v>45980.0</v>
      </c>
      <c r="D8268" s="85">
        <v>45980.0</v>
      </c>
      <c r="E8268" s="86">
        <v>5.69</v>
      </c>
      <c r="F8268" s="87">
        <v>6.52</v>
      </c>
      <c r="G8268" s="88">
        <f t="shared" si="23"/>
        <v>0.83</v>
      </c>
      <c r="H8268" s="89">
        <f t="shared" si="18"/>
        <v>0.1273006135</v>
      </c>
      <c r="I8268" s="78" t="s">
        <v>9422</v>
      </c>
      <c r="J8268" s="78" t="s">
        <v>69</v>
      </c>
      <c r="K8268" s="58">
        <f t="shared" si="17"/>
        <v>0</v>
      </c>
      <c r="L8268" s="91" t="str">
        <f t="shared" si="8"/>
        <v>Wed</v>
      </c>
      <c r="M8268" s="78" t="str">
        <f>IFERROR(VLOOKUP(A8268, Entries!A:B,2,false),"")</f>
        <v>Warner Bros</v>
      </c>
      <c r="N8268" s="23" t="str">
        <f>IFERROR(VLOOKUP(A8268, Entries!A:K,11,false),"")</f>
        <v/>
      </c>
    </row>
    <row r="8269">
      <c r="A8269" s="78" t="s">
        <v>4604</v>
      </c>
      <c r="B8269" s="78" t="s">
        <v>27</v>
      </c>
      <c r="C8269" s="85">
        <v>45980.0</v>
      </c>
      <c r="D8269" s="85">
        <v>45980.0</v>
      </c>
      <c r="E8269" s="86">
        <v>5.69</v>
      </c>
      <c r="F8269" s="87">
        <v>6.52</v>
      </c>
      <c r="G8269" s="88">
        <f t="shared" si="23"/>
        <v>0.83</v>
      </c>
      <c r="H8269" s="89">
        <f t="shared" si="18"/>
        <v>0.1273006135</v>
      </c>
      <c r="I8269" s="78" t="s">
        <v>9423</v>
      </c>
      <c r="J8269" s="78" t="s">
        <v>69</v>
      </c>
      <c r="K8269" s="58">
        <f t="shared" si="17"/>
        <v>0</v>
      </c>
      <c r="L8269" s="91" t="str">
        <f t="shared" si="8"/>
        <v>Wed</v>
      </c>
      <c r="M8269" s="78" t="str">
        <f>IFERROR(VLOOKUP(A8269, Entries!A:B,2,false),"")</f>
        <v>Warner Bros</v>
      </c>
      <c r="N8269" s="23" t="str">
        <f>IFERROR(VLOOKUP(A8269, Entries!A:K,11,false),"")</f>
        <v/>
      </c>
    </row>
    <row r="8270">
      <c r="A8270" s="78" t="s">
        <v>9424</v>
      </c>
      <c r="B8270" s="78" t="s">
        <v>21</v>
      </c>
      <c r="C8270" s="85">
        <v>45980.0</v>
      </c>
      <c r="D8270" s="85">
        <v>45981.0</v>
      </c>
      <c r="E8270" s="86">
        <v>11.03</v>
      </c>
      <c r="F8270" s="87">
        <v>15.16</v>
      </c>
      <c r="G8270" s="88">
        <f t="shared" si="23"/>
        <v>4.13</v>
      </c>
      <c r="H8270" s="89">
        <f t="shared" si="18"/>
        <v>0.2724274406</v>
      </c>
      <c r="I8270" s="78" t="s">
        <v>9425</v>
      </c>
      <c r="J8270" s="78" t="s">
        <v>69</v>
      </c>
      <c r="K8270" s="58">
        <f t="shared" si="17"/>
        <v>1</v>
      </c>
      <c r="L8270" s="91" t="str">
        <f t="shared" si="8"/>
        <v>Thu</v>
      </c>
      <c r="M8270" s="78" t="str">
        <f>IFERROR(VLOOKUP(A8270, Entries!A:B,2,false),"")</f>
        <v/>
      </c>
      <c r="N8270" s="23" t="str">
        <f>IFERROR(VLOOKUP(A8270, Entries!A:K,11,false),"")</f>
        <v/>
      </c>
    </row>
    <row r="8271">
      <c r="A8271" s="78" t="s">
        <v>9424</v>
      </c>
      <c r="B8271" s="78" t="s">
        <v>21</v>
      </c>
      <c r="C8271" s="85">
        <v>45980.0</v>
      </c>
      <c r="D8271" s="85">
        <v>46003.0</v>
      </c>
      <c r="E8271" s="86">
        <v>11.03</v>
      </c>
      <c r="F8271" s="87">
        <v>14.65</v>
      </c>
      <c r="G8271" s="88">
        <f t="shared" si="23"/>
        <v>3.62</v>
      </c>
      <c r="H8271" s="89">
        <f t="shared" si="18"/>
        <v>0.2470989761</v>
      </c>
      <c r="I8271" s="78" t="s">
        <v>9426</v>
      </c>
      <c r="J8271" s="78" t="s">
        <v>69</v>
      </c>
      <c r="K8271" s="58">
        <f t="shared" si="17"/>
        <v>23</v>
      </c>
      <c r="L8271" s="91" t="str">
        <f t="shared" si="8"/>
        <v>Fri</v>
      </c>
      <c r="M8271" s="78" t="str">
        <f>IFERROR(VLOOKUP(A8271, Entries!A:B,2,false),"")</f>
        <v/>
      </c>
      <c r="N8271" s="23" t="str">
        <f>IFERROR(VLOOKUP(A8271, Entries!A:K,11,false),"")</f>
        <v/>
      </c>
    </row>
    <row r="8272">
      <c r="A8272" s="78" t="s">
        <v>9424</v>
      </c>
      <c r="B8272" s="78" t="s">
        <v>21</v>
      </c>
      <c r="C8272" s="85">
        <v>45980.0</v>
      </c>
      <c r="D8272" s="85">
        <v>46004.0</v>
      </c>
      <c r="E8272" s="86">
        <v>11.03</v>
      </c>
      <c r="F8272" s="87">
        <v>14.65</v>
      </c>
      <c r="G8272" s="88">
        <f t="shared" si="23"/>
        <v>3.62</v>
      </c>
      <c r="H8272" s="89">
        <f t="shared" si="18"/>
        <v>0.2470989761</v>
      </c>
      <c r="I8272" s="78" t="s">
        <v>9427</v>
      </c>
      <c r="J8272" s="78" t="s">
        <v>69</v>
      </c>
      <c r="K8272" s="58">
        <f t="shared" si="17"/>
        <v>24</v>
      </c>
      <c r="L8272" s="91" t="str">
        <f t="shared" si="8"/>
        <v>Sat</v>
      </c>
      <c r="M8272" s="78" t="str">
        <f>IFERROR(VLOOKUP(A8272, Entries!A:B,2,false),"")</f>
        <v/>
      </c>
      <c r="N8272" s="23" t="str">
        <f>IFERROR(VLOOKUP(A8272, Entries!A:K,11,false),"")</f>
        <v/>
      </c>
    </row>
    <row r="8273">
      <c r="A8273" s="78" t="s">
        <v>9428</v>
      </c>
      <c r="B8273" s="78" t="s">
        <v>17</v>
      </c>
      <c r="C8273" s="85">
        <v>45981.0</v>
      </c>
      <c r="D8273" s="85">
        <v>46030.0</v>
      </c>
      <c r="E8273" s="86">
        <v>30.68</v>
      </c>
      <c r="F8273" s="87">
        <v>52.73</v>
      </c>
      <c r="G8273" s="88">
        <f t="shared" si="23"/>
        <v>22.05</v>
      </c>
      <c r="H8273" s="89">
        <f t="shared" si="18"/>
        <v>0.4181680258</v>
      </c>
      <c r="I8273" s="78" t="s">
        <v>561</v>
      </c>
      <c r="J8273" s="78" t="s">
        <v>69</v>
      </c>
      <c r="K8273" s="58">
        <f t="shared" si="17"/>
        <v>49</v>
      </c>
      <c r="L8273" s="91" t="str">
        <f t="shared" si="8"/>
        <v>Thu</v>
      </c>
      <c r="M8273" s="78" t="str">
        <f>IFERROR(VLOOKUP(A8273, Entries!A:B,2,false),"")</f>
        <v/>
      </c>
      <c r="N8273" s="23" t="str">
        <f>IFERROR(VLOOKUP(A8273, Entries!A:K,11,false),"")</f>
        <v/>
      </c>
      <c r="P8273" s="78" t="s">
        <v>7796</v>
      </c>
    </row>
    <row r="8274">
      <c r="A8274" s="78" t="s">
        <v>9429</v>
      </c>
      <c r="B8274" s="78" t="s">
        <v>40</v>
      </c>
      <c r="C8274" s="85">
        <v>45981.0</v>
      </c>
      <c r="D8274" s="85">
        <v>45982.0</v>
      </c>
      <c r="E8274" s="86">
        <v>16.23</v>
      </c>
      <c r="F8274" s="87">
        <v>19.0</v>
      </c>
      <c r="G8274" s="88">
        <f t="shared" si="23"/>
        <v>2.77</v>
      </c>
      <c r="H8274" s="89">
        <f t="shared" si="18"/>
        <v>0.1457894737</v>
      </c>
      <c r="I8274" s="78" t="s">
        <v>9430</v>
      </c>
      <c r="J8274" s="78" t="s">
        <v>69</v>
      </c>
      <c r="K8274" s="58">
        <f t="shared" si="17"/>
        <v>1</v>
      </c>
      <c r="L8274" s="91" t="str">
        <f t="shared" si="8"/>
        <v>Fri</v>
      </c>
      <c r="M8274" s="78" t="str">
        <f>IFERROR(VLOOKUP(A8274, Entries!A:B,2,false),"")</f>
        <v/>
      </c>
      <c r="N8274" s="23" t="str">
        <f>IFERROR(VLOOKUP(A8274, Entries!A:K,11,false),"")</f>
        <v/>
      </c>
    </row>
    <row r="8275">
      <c r="A8275" s="78" t="s">
        <v>9365</v>
      </c>
      <c r="B8275" s="78" t="s">
        <v>21</v>
      </c>
      <c r="C8275" s="85">
        <v>45981.0</v>
      </c>
      <c r="D8275" s="85">
        <v>45981.0</v>
      </c>
      <c r="E8275" s="86">
        <v>35.84</v>
      </c>
      <c r="F8275" s="87">
        <v>44.51</v>
      </c>
      <c r="G8275" s="88">
        <f t="shared" si="23"/>
        <v>8.67</v>
      </c>
      <c r="H8275" s="89">
        <f t="shared" si="18"/>
        <v>0.1947876882</v>
      </c>
      <c r="I8275" s="78" t="s">
        <v>9431</v>
      </c>
      <c r="J8275" s="78" t="s">
        <v>69</v>
      </c>
      <c r="K8275" s="58">
        <f t="shared" si="17"/>
        <v>0</v>
      </c>
      <c r="L8275" s="91" t="str">
        <f t="shared" si="8"/>
        <v>Thu</v>
      </c>
      <c r="M8275" s="78" t="str">
        <f>IFERROR(VLOOKUP(A8275, Entries!A:B,2,false),"")</f>
        <v/>
      </c>
      <c r="N8275" s="23" t="str">
        <f>IFERROR(VLOOKUP(A8275, Entries!A:K,11,false),"")</f>
        <v/>
      </c>
    </row>
    <row r="8276">
      <c r="A8276" s="78" t="s">
        <v>9291</v>
      </c>
      <c r="B8276" s="78" t="s">
        <v>21</v>
      </c>
      <c r="C8276" s="85">
        <v>45981.0</v>
      </c>
      <c r="D8276" s="85">
        <v>45983.0</v>
      </c>
      <c r="E8276" s="86">
        <v>7.21</v>
      </c>
      <c r="F8276" s="87">
        <v>14.27</v>
      </c>
      <c r="G8276" s="88">
        <f t="shared" si="23"/>
        <v>7.06</v>
      </c>
      <c r="H8276" s="89">
        <f t="shared" si="18"/>
        <v>0.4947442186</v>
      </c>
      <c r="I8276" s="78" t="s">
        <v>9432</v>
      </c>
      <c r="J8276" s="78" t="s">
        <v>69</v>
      </c>
      <c r="K8276" s="58">
        <f t="shared" si="17"/>
        <v>2</v>
      </c>
      <c r="L8276" s="91" t="str">
        <f t="shared" si="8"/>
        <v>Sat</v>
      </c>
      <c r="M8276" s="78" t="str">
        <f>IFERROR(VLOOKUP(A8276, Entries!A:B,2,false),"")</f>
        <v/>
      </c>
      <c r="N8276" s="23" t="str">
        <f>IFERROR(VLOOKUP(A8276, Entries!A:K,11,false),"")</f>
        <v/>
      </c>
    </row>
    <row r="8277">
      <c r="A8277" s="78" t="s">
        <v>9291</v>
      </c>
      <c r="B8277" s="78" t="s">
        <v>21</v>
      </c>
      <c r="C8277" s="85">
        <v>45981.0</v>
      </c>
      <c r="D8277" s="85">
        <v>45984.0</v>
      </c>
      <c r="E8277" s="86">
        <v>7.21</v>
      </c>
      <c r="F8277" s="87">
        <v>14.27</v>
      </c>
      <c r="G8277" s="88">
        <f t="shared" si="23"/>
        <v>7.06</v>
      </c>
      <c r="H8277" s="89">
        <f t="shared" si="18"/>
        <v>0.4947442186</v>
      </c>
      <c r="I8277" s="78" t="s">
        <v>9433</v>
      </c>
      <c r="J8277" s="78" t="s">
        <v>69</v>
      </c>
      <c r="K8277" s="58">
        <f t="shared" si="17"/>
        <v>3</v>
      </c>
      <c r="L8277" s="91" t="str">
        <f t="shared" si="8"/>
        <v>Sun</v>
      </c>
      <c r="M8277" s="78" t="str">
        <f>IFERROR(VLOOKUP(A8277, Entries!A:B,2,false),"")</f>
        <v/>
      </c>
      <c r="N8277" s="23" t="str">
        <f>IFERROR(VLOOKUP(A8277, Entries!A:K,11,false),"")</f>
        <v/>
      </c>
    </row>
    <row r="8278">
      <c r="A8278" s="78" t="s">
        <v>9087</v>
      </c>
      <c r="B8278" s="78" t="s">
        <v>19</v>
      </c>
      <c r="C8278" s="85">
        <v>45982.0</v>
      </c>
      <c r="D8278" s="25"/>
      <c r="E8278" s="86">
        <v>17.54</v>
      </c>
      <c r="F8278" s="88"/>
      <c r="G8278" s="88">
        <f t="shared" si="23"/>
        <v>-17.54</v>
      </c>
      <c r="H8278" s="89" t="str">
        <f t="shared" si="18"/>
        <v/>
      </c>
      <c r="I8278" s="78" t="s">
        <v>9434</v>
      </c>
      <c r="J8278" s="78" t="s">
        <v>1129</v>
      </c>
      <c r="K8278" s="58" t="str">
        <f t="shared" si="17"/>
        <v/>
      </c>
      <c r="L8278" s="91" t="str">
        <f t="shared" si="8"/>
        <v/>
      </c>
      <c r="M8278" s="78" t="str">
        <f>IFERROR(VLOOKUP(A8278, Entries!A:B,2,false),"")</f>
        <v>SEGA</v>
      </c>
      <c r="N8278" s="23" t="str">
        <f>IFERROR(VLOOKUP(A8278, Entries!A:K,11,false),"")</f>
        <v/>
      </c>
    </row>
    <row r="8279">
      <c r="A8279" s="78" t="s">
        <v>9409</v>
      </c>
      <c r="B8279" s="78" t="s">
        <v>19</v>
      </c>
      <c r="C8279" s="85">
        <v>45982.0</v>
      </c>
      <c r="D8279" s="85">
        <v>45982.0</v>
      </c>
      <c r="E8279" s="86">
        <v>33.96</v>
      </c>
      <c r="F8279" s="87">
        <v>38.0</v>
      </c>
      <c r="G8279" s="88">
        <f t="shared" si="23"/>
        <v>4.04</v>
      </c>
      <c r="H8279" s="89">
        <f t="shared" si="18"/>
        <v>0.1063157895</v>
      </c>
      <c r="I8279" s="78" t="s">
        <v>9435</v>
      </c>
      <c r="J8279" s="78" t="s">
        <v>69</v>
      </c>
      <c r="K8279" s="58">
        <f t="shared" si="17"/>
        <v>0</v>
      </c>
      <c r="L8279" s="91" t="str">
        <f t="shared" si="8"/>
        <v>Fri</v>
      </c>
      <c r="M8279" s="78" t="str">
        <f>IFERROR(VLOOKUP(A8279, Entries!A:B,2,false),"")</f>
        <v/>
      </c>
      <c r="N8279" s="23" t="str">
        <f>IFERROR(VLOOKUP(A8279, Entries!A:K,11,false),"")</f>
        <v/>
      </c>
    </row>
    <row r="8280">
      <c r="A8280" s="78" t="s">
        <v>9409</v>
      </c>
      <c r="B8280" s="78" t="s">
        <v>19</v>
      </c>
      <c r="C8280" s="85">
        <v>45982.0</v>
      </c>
      <c r="D8280" s="85">
        <v>45982.0</v>
      </c>
      <c r="E8280" s="86">
        <v>33.96</v>
      </c>
      <c r="F8280" s="87">
        <v>38.0</v>
      </c>
      <c r="G8280" s="88">
        <f t="shared" si="23"/>
        <v>4.04</v>
      </c>
      <c r="H8280" s="89">
        <f t="shared" si="18"/>
        <v>0.1063157895</v>
      </c>
      <c r="I8280" s="78" t="s">
        <v>9436</v>
      </c>
      <c r="J8280" s="78" t="s">
        <v>69</v>
      </c>
      <c r="K8280" s="58">
        <f t="shared" si="17"/>
        <v>0</v>
      </c>
      <c r="L8280" s="91" t="str">
        <f t="shared" si="8"/>
        <v>Fri</v>
      </c>
      <c r="M8280" s="78" t="str">
        <f>IFERROR(VLOOKUP(A8280, Entries!A:B,2,false),"")</f>
        <v/>
      </c>
      <c r="N8280" s="23" t="str">
        <f>IFERROR(VLOOKUP(A8280, Entries!A:K,11,false),"")</f>
        <v/>
      </c>
    </row>
    <row r="8281">
      <c r="A8281" s="78" t="s">
        <v>9409</v>
      </c>
      <c r="B8281" s="78" t="s">
        <v>19</v>
      </c>
      <c r="C8281" s="85">
        <v>45982.0</v>
      </c>
      <c r="D8281" s="85">
        <v>45987.0</v>
      </c>
      <c r="E8281" s="86">
        <v>33.96</v>
      </c>
      <c r="F8281" s="87">
        <v>38.85</v>
      </c>
      <c r="G8281" s="88">
        <f t="shared" si="23"/>
        <v>4.89</v>
      </c>
      <c r="H8281" s="89">
        <f t="shared" si="18"/>
        <v>0.1258687259</v>
      </c>
      <c r="I8281" s="78" t="s">
        <v>9437</v>
      </c>
      <c r="J8281" s="78" t="s">
        <v>69</v>
      </c>
      <c r="K8281" s="58">
        <f t="shared" si="17"/>
        <v>5</v>
      </c>
      <c r="L8281" s="91" t="str">
        <f t="shared" si="8"/>
        <v>Wed</v>
      </c>
      <c r="M8281" s="78" t="str">
        <f>IFERROR(VLOOKUP(A8281, Entries!A:B,2,false),"")</f>
        <v/>
      </c>
      <c r="N8281" s="23" t="str">
        <f>IFERROR(VLOOKUP(A8281, Entries!A:K,11,false),"")</f>
        <v/>
      </c>
    </row>
    <row r="8282">
      <c r="A8282" s="78" t="s">
        <v>6533</v>
      </c>
      <c r="B8282" s="78" t="s">
        <v>22</v>
      </c>
      <c r="C8282" s="85">
        <v>45982.0</v>
      </c>
      <c r="D8282" s="85">
        <v>45982.0</v>
      </c>
      <c r="E8282" s="86">
        <v>13.86</v>
      </c>
      <c r="F8282" s="87">
        <v>18.37</v>
      </c>
      <c r="G8282" s="88">
        <f t="shared" si="23"/>
        <v>4.51</v>
      </c>
      <c r="H8282" s="89">
        <f t="shared" si="18"/>
        <v>0.245508982</v>
      </c>
      <c r="I8282" s="78" t="s">
        <v>9438</v>
      </c>
      <c r="J8282" s="78" t="s">
        <v>69</v>
      </c>
      <c r="K8282" s="58">
        <f t="shared" si="17"/>
        <v>0</v>
      </c>
      <c r="L8282" s="91" t="str">
        <f t="shared" si="8"/>
        <v>Fri</v>
      </c>
      <c r="M8282" s="78" t="str">
        <f>IFERROR(VLOOKUP(A8282, Entries!A:B,2,false),"")</f>
        <v>VOID Interactive</v>
      </c>
      <c r="N8282" s="23" t="str">
        <f>IFERROR(VLOOKUP(A8282, Entries!A:K,11,false),"")</f>
        <v/>
      </c>
    </row>
    <row r="8283">
      <c r="A8283" s="78" t="s">
        <v>9429</v>
      </c>
      <c r="B8283" s="78" t="s">
        <v>40</v>
      </c>
      <c r="C8283" s="85">
        <v>45983.0</v>
      </c>
      <c r="D8283" s="85">
        <v>45983.0</v>
      </c>
      <c r="E8283" s="86">
        <v>17.27</v>
      </c>
      <c r="F8283" s="87">
        <v>19.67</v>
      </c>
      <c r="G8283" s="88">
        <f t="shared" si="23"/>
        <v>2.4</v>
      </c>
      <c r="H8283" s="89">
        <f t="shared" si="18"/>
        <v>0.1220132181</v>
      </c>
      <c r="J8283" s="78" t="s">
        <v>69</v>
      </c>
      <c r="K8283" s="58">
        <f t="shared" si="17"/>
        <v>0</v>
      </c>
      <c r="L8283" s="91" t="str">
        <f t="shared" si="8"/>
        <v>Sat</v>
      </c>
      <c r="M8283" s="78" t="str">
        <f>IFERROR(VLOOKUP(A8283, Entries!A:B,2,false),"")</f>
        <v/>
      </c>
      <c r="N8283" s="23" t="str">
        <f>IFERROR(VLOOKUP(A8283, Entries!A:K,11,false),"")</f>
        <v/>
      </c>
    </row>
    <row r="8284">
      <c r="A8284" s="78" t="s">
        <v>8865</v>
      </c>
      <c r="B8284" s="78" t="s">
        <v>25</v>
      </c>
      <c r="C8284" s="85">
        <v>45983.0</v>
      </c>
      <c r="D8284" s="85">
        <v>45983.0</v>
      </c>
      <c r="E8284" s="86">
        <v>34.94</v>
      </c>
      <c r="F8284" s="87">
        <v>39.58</v>
      </c>
      <c r="G8284" s="88">
        <f t="shared" si="23"/>
        <v>4.64</v>
      </c>
      <c r="H8284" s="89">
        <f t="shared" si="18"/>
        <v>0.1172309247</v>
      </c>
      <c r="I8284" s="78" t="s">
        <v>9439</v>
      </c>
      <c r="J8284" s="78" t="s">
        <v>69</v>
      </c>
      <c r="K8284" s="58">
        <f t="shared" si="17"/>
        <v>0</v>
      </c>
      <c r="L8284" s="91" t="str">
        <f t="shared" si="8"/>
        <v>Sat</v>
      </c>
      <c r="M8284" s="78" t="str">
        <f>IFERROR(VLOOKUP(A8284, Entries!A:B,2,false),"")</f>
        <v>Bethesda Softworks</v>
      </c>
      <c r="N8284" s="23" t="str">
        <f>IFERROR(VLOOKUP(A8284, Entries!A:K,11,false),"")</f>
        <v/>
      </c>
    </row>
    <row r="8285">
      <c r="A8285" s="78" t="s">
        <v>892</v>
      </c>
      <c r="B8285" s="78" t="s">
        <v>22</v>
      </c>
      <c r="C8285" s="85">
        <v>45984.0</v>
      </c>
      <c r="D8285" s="85">
        <v>45987.0</v>
      </c>
      <c r="E8285" s="86">
        <v>5.0</v>
      </c>
      <c r="F8285" s="87">
        <v>12.46</v>
      </c>
      <c r="G8285" s="88">
        <f t="shared" si="23"/>
        <v>7.46</v>
      </c>
      <c r="H8285" s="89">
        <f t="shared" si="18"/>
        <v>0.5987158909</v>
      </c>
      <c r="I8285" s="78" t="s">
        <v>9440</v>
      </c>
      <c r="J8285" s="78" t="s">
        <v>69</v>
      </c>
      <c r="K8285" s="58">
        <f t="shared" si="17"/>
        <v>3</v>
      </c>
      <c r="L8285" s="91" t="str">
        <f t="shared" si="8"/>
        <v>Wed</v>
      </c>
      <c r="M8285" s="78" t="str">
        <f>IFERROR(VLOOKUP(A8285, Entries!A:B,2,false),"")</f>
        <v>Square Enix</v>
      </c>
      <c r="N8285" s="23" t="str">
        <f>IFERROR(VLOOKUP(A8285, Entries!A:K,11,false),"")</f>
        <v/>
      </c>
    </row>
    <row r="8286">
      <c r="A8286" s="78" t="s">
        <v>7814</v>
      </c>
      <c r="B8286" s="78" t="s">
        <v>21</v>
      </c>
      <c r="C8286" s="85">
        <v>45985.0</v>
      </c>
      <c r="D8286" s="85">
        <v>45997.0</v>
      </c>
      <c r="E8286" s="86">
        <v>23.78</v>
      </c>
      <c r="F8286" s="87">
        <v>38.89</v>
      </c>
      <c r="G8286" s="88">
        <f t="shared" si="23"/>
        <v>15.11</v>
      </c>
      <c r="H8286" s="89">
        <f t="shared" si="18"/>
        <v>0.3885317562</v>
      </c>
      <c r="I8286" s="78" t="s">
        <v>9441</v>
      </c>
      <c r="J8286" s="78" t="s">
        <v>69</v>
      </c>
      <c r="K8286" s="58">
        <f t="shared" si="17"/>
        <v>12</v>
      </c>
      <c r="L8286" s="91" t="str">
        <f t="shared" si="8"/>
        <v>Sat</v>
      </c>
      <c r="M8286" s="78" t="str">
        <f>IFERROR(VLOOKUP(A8286, Entries!A:B,2,false),"")</f>
        <v>Electronic Arts</v>
      </c>
      <c r="N8286" s="23" t="str">
        <f>IFERROR(VLOOKUP(A8286, Entries!A:K,11,false),"")</f>
        <v/>
      </c>
    </row>
    <row r="8287">
      <c r="A8287" s="78" t="s">
        <v>7814</v>
      </c>
      <c r="B8287" s="78" t="s">
        <v>21</v>
      </c>
      <c r="C8287" s="85">
        <v>45985.0</v>
      </c>
      <c r="D8287" s="85">
        <v>46002.0</v>
      </c>
      <c r="E8287" s="86">
        <v>23.79</v>
      </c>
      <c r="F8287" s="87">
        <v>33.91</v>
      </c>
      <c r="G8287" s="88">
        <f t="shared" si="23"/>
        <v>10.12</v>
      </c>
      <c r="H8287" s="89">
        <f t="shared" si="18"/>
        <v>0.2984370392</v>
      </c>
      <c r="I8287" s="78" t="s">
        <v>9442</v>
      </c>
      <c r="J8287" s="78" t="s">
        <v>69</v>
      </c>
      <c r="K8287" s="58">
        <f t="shared" si="17"/>
        <v>17</v>
      </c>
      <c r="L8287" s="91" t="str">
        <f t="shared" si="8"/>
        <v>Thu</v>
      </c>
      <c r="M8287" s="78" t="str">
        <f>IFERROR(VLOOKUP(A8287, Entries!A:B,2,false),"")</f>
        <v>Electronic Arts</v>
      </c>
      <c r="N8287" s="23" t="str">
        <f>IFERROR(VLOOKUP(A8287, Entries!A:K,11,false),"")</f>
        <v/>
      </c>
    </row>
    <row r="8288">
      <c r="A8288" s="78" t="s">
        <v>9233</v>
      </c>
      <c r="B8288" s="78" t="s">
        <v>40</v>
      </c>
      <c r="C8288" s="85">
        <v>45985.0</v>
      </c>
      <c r="D8288" s="85">
        <v>45985.0</v>
      </c>
      <c r="E8288" s="86">
        <v>9.31</v>
      </c>
      <c r="F8288" s="87">
        <v>11.97</v>
      </c>
      <c r="G8288" s="88">
        <f t="shared" si="23"/>
        <v>2.66</v>
      </c>
      <c r="H8288" s="89">
        <f t="shared" si="18"/>
        <v>0.2222222222</v>
      </c>
      <c r="I8288" s="78" t="s">
        <v>9443</v>
      </c>
      <c r="J8288" s="78" t="s">
        <v>69</v>
      </c>
      <c r="K8288" s="58">
        <f t="shared" si="17"/>
        <v>0</v>
      </c>
      <c r="L8288" s="91" t="str">
        <f t="shared" si="8"/>
        <v>Mon</v>
      </c>
      <c r="M8288" s="78" t="str">
        <f>IFERROR(VLOOKUP(A8288, Entries!A:B,2,false),"")</f>
        <v>Behaviour Interactive</v>
      </c>
      <c r="N8288" s="23" t="str">
        <f>IFERROR(VLOOKUP(A8288, Entries!A:K,11,false),"")</f>
        <v/>
      </c>
    </row>
    <row r="8289">
      <c r="A8289" s="78" t="s">
        <v>8696</v>
      </c>
      <c r="B8289" s="78" t="s">
        <v>23</v>
      </c>
      <c r="C8289" s="85">
        <v>45985.0</v>
      </c>
      <c r="D8289" s="85">
        <v>45985.0</v>
      </c>
      <c r="E8289" s="86">
        <v>40.79</v>
      </c>
      <c r="F8289" s="87">
        <v>50.3</v>
      </c>
      <c r="G8289" s="88">
        <f t="shared" si="23"/>
        <v>9.51</v>
      </c>
      <c r="H8289" s="89">
        <f t="shared" si="18"/>
        <v>0.1890656064</v>
      </c>
      <c r="I8289" s="78" t="s">
        <v>9444</v>
      </c>
      <c r="J8289" s="78" t="s">
        <v>69</v>
      </c>
      <c r="K8289" s="58">
        <f t="shared" si="17"/>
        <v>0</v>
      </c>
      <c r="L8289" s="91" t="str">
        <f t="shared" si="8"/>
        <v>Mon</v>
      </c>
      <c r="M8289" s="78" t="str">
        <f>IFERROR(VLOOKUP(A8289, Entries!A:B,2,false),"")</f>
        <v/>
      </c>
      <c r="N8289" s="23" t="str">
        <f>IFERROR(VLOOKUP(A8289, Entries!A:K,11,false),"")</f>
        <v/>
      </c>
    </row>
    <row r="8290">
      <c r="A8290" s="78" t="s">
        <v>8865</v>
      </c>
      <c r="B8290" s="78" t="s">
        <v>23</v>
      </c>
      <c r="C8290" s="85">
        <v>45985.0</v>
      </c>
      <c r="D8290" s="85">
        <v>46131.0</v>
      </c>
      <c r="E8290" s="86">
        <v>28.02</v>
      </c>
      <c r="F8290" s="87">
        <v>34.83</v>
      </c>
      <c r="G8290" s="88">
        <f t="shared" si="23"/>
        <v>6.81</v>
      </c>
      <c r="H8290" s="89">
        <f t="shared" si="18"/>
        <v>0.1955211025</v>
      </c>
      <c r="I8290" s="78" t="s">
        <v>9445</v>
      </c>
      <c r="J8290" s="78" t="s">
        <v>69</v>
      </c>
      <c r="K8290" s="58">
        <f t="shared" si="17"/>
        <v>146</v>
      </c>
      <c r="L8290" s="91" t="str">
        <f t="shared" si="8"/>
        <v>Sun</v>
      </c>
      <c r="M8290" s="78" t="str">
        <f>IFERROR(VLOOKUP(A8290, Entries!A:B,2,false),"")</f>
        <v>Bethesda Softworks</v>
      </c>
      <c r="N8290" s="23" t="str">
        <f>IFERROR(VLOOKUP(A8290, Entries!A:K,11,false),"")</f>
        <v/>
      </c>
    </row>
    <row r="8291">
      <c r="A8291" s="78" t="s">
        <v>9233</v>
      </c>
      <c r="B8291" s="78" t="s">
        <v>40</v>
      </c>
      <c r="C8291" s="85">
        <v>45985.0</v>
      </c>
      <c r="D8291" s="85">
        <v>45986.0</v>
      </c>
      <c r="E8291" s="86">
        <v>9.31</v>
      </c>
      <c r="F8291" s="87">
        <v>11.97</v>
      </c>
      <c r="G8291" s="88">
        <f t="shared" si="23"/>
        <v>2.66</v>
      </c>
      <c r="H8291" s="89">
        <f t="shared" si="18"/>
        <v>0.2222222222</v>
      </c>
      <c r="I8291" s="78" t="s">
        <v>9446</v>
      </c>
      <c r="J8291" s="78" t="s">
        <v>69</v>
      </c>
      <c r="K8291" s="58">
        <f t="shared" si="17"/>
        <v>1</v>
      </c>
      <c r="L8291" s="91" t="str">
        <f t="shared" si="8"/>
        <v>Tue</v>
      </c>
      <c r="M8291" s="78" t="str">
        <f>IFERROR(VLOOKUP(A8291, Entries!A:B,2,false),"")</f>
        <v>Behaviour Interactive</v>
      </c>
      <c r="N8291" s="23" t="str">
        <f>IFERROR(VLOOKUP(A8291, Entries!A:K,11,false),"")</f>
        <v/>
      </c>
    </row>
    <row r="8292">
      <c r="A8292" s="78" t="s">
        <v>9233</v>
      </c>
      <c r="B8292" s="78" t="s">
        <v>40</v>
      </c>
      <c r="C8292" s="85">
        <v>45986.0</v>
      </c>
      <c r="D8292" s="85">
        <v>45991.0</v>
      </c>
      <c r="E8292" s="86">
        <v>9.31</v>
      </c>
      <c r="F8292" s="87">
        <v>12.19</v>
      </c>
      <c r="G8292" s="88">
        <f t="shared" si="23"/>
        <v>2.88</v>
      </c>
      <c r="H8292" s="89">
        <f t="shared" si="18"/>
        <v>0.2362592289</v>
      </c>
      <c r="I8292" s="78" t="s">
        <v>9447</v>
      </c>
      <c r="J8292" s="78" t="s">
        <v>69</v>
      </c>
      <c r="K8292" s="58">
        <f t="shared" si="17"/>
        <v>5</v>
      </c>
      <c r="L8292" s="91" t="str">
        <f t="shared" si="8"/>
        <v>Sun</v>
      </c>
      <c r="M8292" s="78" t="str">
        <f>IFERROR(VLOOKUP(A8292, Entries!A:B,2,false),"")</f>
        <v>Behaviour Interactive</v>
      </c>
      <c r="N8292" s="23" t="str">
        <f>IFERROR(VLOOKUP(A8292, Entries!A:K,11,false),"")</f>
        <v/>
      </c>
    </row>
    <row r="8293">
      <c r="A8293" s="78" t="s">
        <v>9291</v>
      </c>
      <c r="B8293" s="78" t="s">
        <v>32</v>
      </c>
      <c r="C8293" s="85">
        <v>45986.0</v>
      </c>
      <c r="D8293" s="85">
        <v>45986.0</v>
      </c>
      <c r="E8293" s="86">
        <v>4.4</v>
      </c>
      <c r="F8293" s="87">
        <v>6.97</v>
      </c>
      <c r="G8293" s="88">
        <f t="shared" si="23"/>
        <v>2.57</v>
      </c>
      <c r="H8293" s="89">
        <f t="shared" si="18"/>
        <v>0.368723099</v>
      </c>
      <c r="I8293" s="78" t="s">
        <v>9448</v>
      </c>
      <c r="J8293" s="78" t="s">
        <v>69</v>
      </c>
      <c r="K8293" s="58">
        <f t="shared" si="17"/>
        <v>0</v>
      </c>
      <c r="L8293" s="91" t="str">
        <f t="shared" si="8"/>
        <v>Tue</v>
      </c>
      <c r="M8293" s="78" t="str">
        <f>IFERROR(VLOOKUP(A8293, Entries!A:B,2,false),"")</f>
        <v/>
      </c>
      <c r="N8293" s="23" t="str">
        <f>IFERROR(VLOOKUP(A8293, Entries!A:K,11,false),"")</f>
        <v/>
      </c>
    </row>
    <row r="8294">
      <c r="A8294" s="78" t="s">
        <v>9291</v>
      </c>
      <c r="B8294" s="78" t="s">
        <v>32</v>
      </c>
      <c r="C8294" s="85">
        <v>45986.0</v>
      </c>
      <c r="D8294" s="85">
        <v>45986.0</v>
      </c>
      <c r="E8294" s="86">
        <v>4.4</v>
      </c>
      <c r="F8294" s="87">
        <v>13.38</v>
      </c>
      <c r="G8294" s="88">
        <f t="shared" si="23"/>
        <v>8.98</v>
      </c>
      <c r="H8294" s="89">
        <f t="shared" si="18"/>
        <v>0.6711509716</v>
      </c>
      <c r="I8294" s="78" t="s">
        <v>9449</v>
      </c>
      <c r="J8294" s="78" t="s">
        <v>69</v>
      </c>
      <c r="K8294" s="58">
        <f t="shared" si="17"/>
        <v>0</v>
      </c>
      <c r="L8294" s="91" t="str">
        <f t="shared" si="8"/>
        <v>Tue</v>
      </c>
      <c r="M8294" s="78" t="str">
        <f>IFERROR(VLOOKUP(A8294, Entries!A:B,2,false),"")</f>
        <v/>
      </c>
      <c r="N8294" s="23" t="str">
        <f>IFERROR(VLOOKUP(A8294, Entries!A:K,11,false),"")</f>
        <v/>
      </c>
    </row>
    <row r="8295">
      <c r="A8295" s="78" t="s">
        <v>9291</v>
      </c>
      <c r="B8295" s="78" t="s">
        <v>32</v>
      </c>
      <c r="C8295" s="85">
        <v>45986.0</v>
      </c>
      <c r="D8295" s="85">
        <v>45988.0</v>
      </c>
      <c r="E8295" s="86">
        <v>7.37</v>
      </c>
      <c r="F8295" s="87">
        <v>14.27</v>
      </c>
      <c r="G8295" s="88">
        <f t="shared" si="23"/>
        <v>6.9</v>
      </c>
      <c r="H8295" s="89">
        <f t="shared" si="18"/>
        <v>0.4835318851</v>
      </c>
      <c r="I8295" s="78" t="s">
        <v>9450</v>
      </c>
      <c r="J8295" s="78" t="s">
        <v>69</v>
      </c>
      <c r="K8295" s="58">
        <f t="shared" si="17"/>
        <v>2</v>
      </c>
      <c r="L8295" s="91" t="str">
        <f t="shared" si="8"/>
        <v>Thu</v>
      </c>
      <c r="M8295" s="78" t="str">
        <f>IFERROR(VLOOKUP(A8295, Entries!A:B,2,false),"")</f>
        <v/>
      </c>
      <c r="N8295" s="23" t="str">
        <f>IFERROR(VLOOKUP(A8295, Entries!A:K,11,false),"")</f>
        <v/>
      </c>
    </row>
    <row r="8296">
      <c r="A8296" s="78" t="s">
        <v>9409</v>
      </c>
      <c r="B8296" s="78" t="s">
        <v>19</v>
      </c>
      <c r="C8296" s="85">
        <v>45987.0</v>
      </c>
      <c r="D8296" s="85">
        <v>45987.0</v>
      </c>
      <c r="E8296" s="86">
        <v>33.96</v>
      </c>
      <c r="F8296" s="87">
        <v>41.49</v>
      </c>
      <c r="G8296" s="88">
        <f t="shared" si="23"/>
        <v>7.53</v>
      </c>
      <c r="H8296" s="89">
        <f t="shared" si="18"/>
        <v>0.1814895155</v>
      </c>
      <c r="I8296" s="78" t="s">
        <v>9451</v>
      </c>
      <c r="J8296" s="78" t="s">
        <v>69</v>
      </c>
      <c r="K8296" s="58">
        <f t="shared" si="17"/>
        <v>0</v>
      </c>
      <c r="L8296" s="91" t="str">
        <f t="shared" si="8"/>
        <v>Wed</v>
      </c>
      <c r="M8296" s="78" t="str">
        <f>IFERROR(VLOOKUP(A8296, Entries!A:B,2,false),"")</f>
        <v/>
      </c>
      <c r="N8296" s="23" t="str">
        <f>IFERROR(VLOOKUP(A8296, Entries!A:K,11,false),"")</f>
        <v/>
      </c>
    </row>
    <row r="8297">
      <c r="A8297" s="78" t="s">
        <v>9452</v>
      </c>
      <c r="B8297" s="78" t="s">
        <v>22</v>
      </c>
      <c r="C8297" s="85">
        <v>45987.0</v>
      </c>
      <c r="D8297" s="85">
        <v>45990.0</v>
      </c>
      <c r="E8297" s="86">
        <v>10.85</v>
      </c>
      <c r="F8297" s="87">
        <v>13.24</v>
      </c>
      <c r="G8297" s="88">
        <f t="shared" si="23"/>
        <v>2.39</v>
      </c>
      <c r="H8297" s="89">
        <f t="shared" si="18"/>
        <v>0.1805135952</v>
      </c>
      <c r="I8297" s="78" t="s">
        <v>9453</v>
      </c>
      <c r="J8297" s="78" t="s">
        <v>69</v>
      </c>
      <c r="K8297" s="58">
        <f t="shared" si="17"/>
        <v>3</v>
      </c>
      <c r="L8297" s="91" t="str">
        <f t="shared" si="8"/>
        <v>Sat</v>
      </c>
      <c r="M8297" s="78" t="str">
        <f>IFERROR(VLOOKUP(A8297, Entries!A:B,2,false),"")</f>
        <v/>
      </c>
      <c r="N8297" s="23" t="str">
        <f>IFERROR(VLOOKUP(A8297, Entries!A:K,11,false),"")</f>
        <v/>
      </c>
    </row>
    <row r="8298">
      <c r="A8298" s="78" t="s">
        <v>9291</v>
      </c>
      <c r="B8298" s="78" t="s">
        <v>21</v>
      </c>
      <c r="C8298" s="85">
        <v>45987.0</v>
      </c>
      <c r="D8298" s="85">
        <v>45988.0</v>
      </c>
      <c r="E8298" s="86">
        <v>6.96</v>
      </c>
      <c r="F8298" s="87">
        <v>14.27</v>
      </c>
      <c r="G8298" s="88">
        <f t="shared" si="23"/>
        <v>7.31</v>
      </c>
      <c r="H8298" s="89">
        <f t="shared" si="18"/>
        <v>0.5122634898</v>
      </c>
      <c r="I8298" s="78" t="s">
        <v>9454</v>
      </c>
      <c r="J8298" s="78" t="s">
        <v>69</v>
      </c>
      <c r="K8298" s="58">
        <f t="shared" si="17"/>
        <v>1</v>
      </c>
      <c r="L8298" s="91" t="str">
        <f t="shared" si="8"/>
        <v>Thu</v>
      </c>
      <c r="M8298" s="78" t="str">
        <f>IFERROR(VLOOKUP(A8298, Entries!A:B,2,false),"")</f>
        <v/>
      </c>
      <c r="N8298" s="23" t="str">
        <f>IFERROR(VLOOKUP(A8298, Entries!A:K,11,false),"")</f>
        <v/>
      </c>
    </row>
    <row r="8299">
      <c r="A8299" s="78" t="s">
        <v>9455</v>
      </c>
      <c r="B8299" s="78" t="s">
        <v>19</v>
      </c>
      <c r="C8299" s="85">
        <v>45988.0</v>
      </c>
      <c r="D8299" s="85">
        <v>45988.0</v>
      </c>
      <c r="E8299" s="86">
        <v>33.82</v>
      </c>
      <c r="F8299" s="87">
        <v>36.65</v>
      </c>
      <c r="G8299" s="88">
        <f t="shared" si="23"/>
        <v>2.83</v>
      </c>
      <c r="H8299" s="89">
        <f t="shared" si="18"/>
        <v>0.07721691678</v>
      </c>
      <c r="I8299" s="78" t="s">
        <v>9456</v>
      </c>
      <c r="J8299" s="78" t="s">
        <v>69</v>
      </c>
      <c r="K8299" s="58">
        <f t="shared" si="17"/>
        <v>0</v>
      </c>
      <c r="L8299" s="91" t="str">
        <f t="shared" si="8"/>
        <v>Thu</v>
      </c>
      <c r="M8299" s="78" t="str">
        <f>IFERROR(VLOOKUP(A8299, Entries!A:B,2,false),"")</f>
        <v/>
      </c>
      <c r="N8299" s="23" t="str">
        <f>IFERROR(VLOOKUP(A8299, Entries!A:K,11,false),"")</f>
        <v/>
      </c>
    </row>
    <row r="8300">
      <c r="A8300" s="78" t="s">
        <v>9457</v>
      </c>
      <c r="B8300" s="78" t="s">
        <v>22</v>
      </c>
      <c r="C8300" s="85">
        <v>45988.0</v>
      </c>
      <c r="D8300" s="85">
        <v>45990.0</v>
      </c>
      <c r="E8300" s="86">
        <v>7.14</v>
      </c>
      <c r="F8300" s="87">
        <v>9.7</v>
      </c>
      <c r="G8300" s="88">
        <f t="shared" si="23"/>
        <v>2.56</v>
      </c>
      <c r="H8300" s="89">
        <f t="shared" si="18"/>
        <v>0.2639175258</v>
      </c>
      <c r="I8300" s="78" t="s">
        <v>9458</v>
      </c>
      <c r="J8300" s="78" t="s">
        <v>69</v>
      </c>
      <c r="K8300" s="58">
        <f t="shared" si="17"/>
        <v>2</v>
      </c>
      <c r="L8300" s="91" t="str">
        <f t="shared" si="8"/>
        <v>Sat</v>
      </c>
      <c r="M8300" s="78" t="str">
        <f>IFERROR(VLOOKUP(A8300, Entries!A:B,2,false),"")</f>
        <v/>
      </c>
      <c r="N8300" s="23" t="str">
        <f>IFERROR(VLOOKUP(A8300, Entries!A:K,11,false),"")</f>
        <v/>
      </c>
    </row>
    <row r="8301">
      <c r="A8301" s="78" t="s">
        <v>9459</v>
      </c>
      <c r="B8301" s="78" t="s">
        <v>22</v>
      </c>
      <c r="C8301" s="85">
        <v>45988.0</v>
      </c>
      <c r="D8301" s="85">
        <v>45988.0</v>
      </c>
      <c r="E8301" s="86">
        <v>9.58</v>
      </c>
      <c r="F8301" s="87">
        <v>14.97</v>
      </c>
      <c r="G8301" s="88">
        <f t="shared" si="23"/>
        <v>5.39</v>
      </c>
      <c r="H8301" s="89">
        <f t="shared" si="18"/>
        <v>0.3600534402</v>
      </c>
      <c r="J8301" s="78" t="s">
        <v>69</v>
      </c>
      <c r="K8301" s="58">
        <f t="shared" si="17"/>
        <v>0</v>
      </c>
      <c r="L8301" s="91" t="str">
        <f t="shared" si="8"/>
        <v>Thu</v>
      </c>
      <c r="M8301" s="78" t="str">
        <f>IFERROR(VLOOKUP(A8301, Entries!A:B,2,false),"")</f>
        <v/>
      </c>
      <c r="N8301" s="23" t="str">
        <f>IFERROR(VLOOKUP(A8301, Entries!A:K,11,false),"")</f>
        <v/>
      </c>
    </row>
    <row r="8302">
      <c r="A8302" s="78" t="s">
        <v>9291</v>
      </c>
      <c r="B8302" s="78" t="s">
        <v>21</v>
      </c>
      <c r="C8302" s="85">
        <v>45989.0</v>
      </c>
      <c r="D8302" s="85">
        <v>46006.0</v>
      </c>
      <c r="E8302" s="86">
        <v>7.21</v>
      </c>
      <c r="F8302" s="87">
        <v>14.27</v>
      </c>
      <c r="G8302" s="88">
        <f t="shared" si="23"/>
        <v>7.06</v>
      </c>
      <c r="H8302" s="89">
        <f t="shared" si="18"/>
        <v>0.4947442186</v>
      </c>
      <c r="I8302" s="78" t="s">
        <v>9460</v>
      </c>
      <c r="J8302" s="78" t="s">
        <v>69</v>
      </c>
      <c r="K8302" s="58">
        <f t="shared" si="17"/>
        <v>17</v>
      </c>
      <c r="L8302" s="91" t="str">
        <f t="shared" si="8"/>
        <v>Mon</v>
      </c>
      <c r="M8302" s="78" t="str">
        <f>IFERROR(VLOOKUP(A8302, Entries!A:B,2,false),"")</f>
        <v/>
      </c>
      <c r="N8302" s="23" t="str">
        <f>IFERROR(VLOOKUP(A8302, Entries!A:K,11,false),"")</f>
        <v/>
      </c>
    </row>
    <row r="8303">
      <c r="A8303" s="78" t="s">
        <v>9291</v>
      </c>
      <c r="B8303" s="78" t="s">
        <v>21</v>
      </c>
      <c r="C8303" s="85">
        <v>45989.0</v>
      </c>
      <c r="D8303" s="85">
        <v>46014.0</v>
      </c>
      <c r="E8303" s="86">
        <v>7.37</v>
      </c>
      <c r="F8303" s="87">
        <v>14.27</v>
      </c>
      <c r="G8303" s="88">
        <f t="shared" si="23"/>
        <v>6.9</v>
      </c>
      <c r="H8303" s="89">
        <f t="shared" si="18"/>
        <v>0.4835318851</v>
      </c>
      <c r="I8303" s="78" t="s">
        <v>9461</v>
      </c>
      <c r="J8303" s="78" t="s">
        <v>69</v>
      </c>
      <c r="K8303" s="58">
        <f t="shared" si="17"/>
        <v>25</v>
      </c>
      <c r="L8303" s="91" t="str">
        <f t="shared" si="8"/>
        <v>Tue</v>
      </c>
      <c r="M8303" s="78" t="str">
        <f>IFERROR(VLOOKUP(A8303, Entries!A:B,2,false),"")</f>
        <v/>
      </c>
      <c r="N8303" s="23" t="str">
        <f>IFERROR(VLOOKUP(A8303, Entries!A:K,11,false),"")</f>
        <v/>
      </c>
    </row>
    <row r="8304">
      <c r="A8304" s="78" t="s">
        <v>9291</v>
      </c>
      <c r="B8304" s="78" t="s">
        <v>21</v>
      </c>
      <c r="C8304" s="85">
        <v>45989.0</v>
      </c>
      <c r="D8304" s="85">
        <v>46016.0</v>
      </c>
      <c r="E8304" s="86">
        <v>7.45</v>
      </c>
      <c r="F8304" s="87">
        <v>14.27</v>
      </c>
      <c r="G8304" s="88">
        <f t="shared" si="23"/>
        <v>6.82</v>
      </c>
      <c r="H8304" s="89">
        <f t="shared" si="18"/>
        <v>0.4779257183</v>
      </c>
      <c r="I8304" s="78" t="s">
        <v>9462</v>
      </c>
      <c r="J8304" s="78" t="s">
        <v>69</v>
      </c>
      <c r="K8304" s="58">
        <f t="shared" si="17"/>
        <v>27</v>
      </c>
      <c r="L8304" s="91" t="str">
        <f t="shared" si="8"/>
        <v>Thu</v>
      </c>
      <c r="M8304" s="78" t="str">
        <f>IFERROR(VLOOKUP(A8304, Entries!A:B,2,false),"")</f>
        <v/>
      </c>
      <c r="N8304" s="23" t="str">
        <f>IFERROR(VLOOKUP(A8304, Entries!A:K,11,false),"")</f>
        <v/>
      </c>
    </row>
    <row r="8305">
      <c r="A8305" s="78" t="s">
        <v>9233</v>
      </c>
      <c r="B8305" s="78" t="s">
        <v>40</v>
      </c>
      <c r="C8305" s="85">
        <v>45991.0</v>
      </c>
      <c r="D8305" s="85">
        <v>45991.0</v>
      </c>
      <c r="E8305" s="86">
        <v>9.31</v>
      </c>
      <c r="F8305" s="87">
        <v>12.19</v>
      </c>
      <c r="G8305" s="88">
        <f t="shared" si="23"/>
        <v>2.88</v>
      </c>
      <c r="H8305" s="89">
        <f t="shared" si="18"/>
        <v>0.2362592289</v>
      </c>
      <c r="I8305" s="78" t="s">
        <v>9463</v>
      </c>
      <c r="J8305" s="78" t="s">
        <v>69</v>
      </c>
      <c r="K8305" s="58">
        <f t="shared" si="17"/>
        <v>0</v>
      </c>
      <c r="L8305" s="91" t="str">
        <f t="shared" si="8"/>
        <v>Sun</v>
      </c>
      <c r="M8305" s="78" t="str">
        <f>IFERROR(VLOOKUP(A8305, Entries!A:B,2,false),"")</f>
        <v>Behaviour Interactive</v>
      </c>
      <c r="N8305" s="23" t="str">
        <f>IFERROR(VLOOKUP(A8305, Entries!A:K,11,false),"")</f>
        <v/>
      </c>
    </row>
    <row r="8306">
      <c r="A8306" s="78" t="s">
        <v>9365</v>
      </c>
      <c r="B8306" s="78" t="s">
        <v>27</v>
      </c>
      <c r="C8306" s="85">
        <v>45991.0</v>
      </c>
      <c r="D8306" s="85">
        <v>45993.0</v>
      </c>
      <c r="E8306" s="86">
        <v>37.59</v>
      </c>
      <c r="F8306" s="87">
        <v>51.21</v>
      </c>
      <c r="G8306" s="88">
        <f t="shared" si="23"/>
        <v>13.62</v>
      </c>
      <c r="H8306" s="89">
        <f t="shared" si="18"/>
        <v>0.265963679</v>
      </c>
      <c r="I8306" s="78" t="s">
        <v>9464</v>
      </c>
      <c r="J8306" s="78" t="s">
        <v>69</v>
      </c>
      <c r="K8306" s="58">
        <f t="shared" si="17"/>
        <v>2</v>
      </c>
      <c r="L8306" s="91" t="str">
        <f t="shared" si="8"/>
        <v>Tue</v>
      </c>
      <c r="M8306" s="78" t="str">
        <f>IFERROR(VLOOKUP(A8306, Entries!A:B,2,false),"")</f>
        <v/>
      </c>
      <c r="N8306" s="23" t="str">
        <f>IFERROR(VLOOKUP(A8306, Entries!A:K,11,false),"")</f>
        <v/>
      </c>
    </row>
    <row r="8307">
      <c r="A8307" s="78" t="s">
        <v>9233</v>
      </c>
      <c r="B8307" s="78" t="s">
        <v>40</v>
      </c>
      <c r="C8307" s="85">
        <v>45991.0</v>
      </c>
      <c r="D8307" s="85">
        <v>45991.0</v>
      </c>
      <c r="E8307" s="86">
        <v>9.31</v>
      </c>
      <c r="F8307" s="87">
        <v>12.19</v>
      </c>
      <c r="G8307" s="88">
        <f t="shared" si="23"/>
        <v>2.88</v>
      </c>
      <c r="H8307" s="89">
        <f t="shared" si="18"/>
        <v>0.2362592289</v>
      </c>
      <c r="I8307" s="78" t="s">
        <v>9465</v>
      </c>
      <c r="J8307" s="78" t="s">
        <v>69</v>
      </c>
      <c r="K8307" s="58">
        <f t="shared" si="17"/>
        <v>0</v>
      </c>
      <c r="L8307" s="91" t="str">
        <f t="shared" si="8"/>
        <v>Sun</v>
      </c>
      <c r="M8307" s="78" t="str">
        <f>IFERROR(VLOOKUP(A8307, Entries!A:B,2,false),"")</f>
        <v>Behaviour Interactive</v>
      </c>
      <c r="N8307" s="23" t="str">
        <f>IFERROR(VLOOKUP(A8307, Entries!A:K,11,false),"")</f>
        <v/>
      </c>
    </row>
    <row r="8308">
      <c r="A8308" s="78" t="s">
        <v>9233</v>
      </c>
      <c r="B8308" s="78" t="s">
        <v>40</v>
      </c>
      <c r="C8308" s="85">
        <v>45991.0</v>
      </c>
      <c r="D8308" s="85">
        <v>45991.0</v>
      </c>
      <c r="E8308" s="86">
        <v>9.31</v>
      </c>
      <c r="F8308" s="87">
        <v>12.19</v>
      </c>
      <c r="G8308" s="88">
        <f t="shared" si="23"/>
        <v>2.88</v>
      </c>
      <c r="H8308" s="89">
        <f t="shared" si="18"/>
        <v>0.2362592289</v>
      </c>
      <c r="I8308" s="78" t="s">
        <v>9466</v>
      </c>
      <c r="J8308" s="78" t="s">
        <v>69</v>
      </c>
      <c r="K8308" s="58">
        <f t="shared" si="17"/>
        <v>0</v>
      </c>
      <c r="L8308" s="91" t="str">
        <f t="shared" si="8"/>
        <v>Sun</v>
      </c>
      <c r="M8308" s="78" t="str">
        <f>IFERROR(VLOOKUP(A8308, Entries!A:B,2,false),"")</f>
        <v>Behaviour Interactive</v>
      </c>
      <c r="N8308" s="23" t="str">
        <f>IFERROR(VLOOKUP(A8308, Entries!A:K,11,false),"")</f>
        <v/>
      </c>
    </row>
    <row r="8309">
      <c r="A8309" s="78" t="s">
        <v>9233</v>
      </c>
      <c r="B8309" s="78" t="s">
        <v>40</v>
      </c>
      <c r="C8309" s="85">
        <v>45992.0</v>
      </c>
      <c r="D8309" s="85">
        <v>45992.0</v>
      </c>
      <c r="E8309" s="86">
        <v>9.31</v>
      </c>
      <c r="F8309" s="87">
        <v>12.14</v>
      </c>
      <c r="G8309" s="88">
        <f t="shared" si="23"/>
        <v>2.83</v>
      </c>
      <c r="H8309" s="89">
        <f t="shared" si="18"/>
        <v>0.2331136738</v>
      </c>
      <c r="I8309" s="78" t="s">
        <v>9467</v>
      </c>
      <c r="J8309" s="78" t="s">
        <v>69</v>
      </c>
      <c r="K8309" s="58">
        <f t="shared" si="17"/>
        <v>0</v>
      </c>
      <c r="L8309" s="91" t="str">
        <f t="shared" si="8"/>
        <v>Mon</v>
      </c>
      <c r="M8309" s="78" t="str">
        <f>IFERROR(VLOOKUP(A8309, Entries!A:B,2,false),"")</f>
        <v>Behaviour Interactive</v>
      </c>
      <c r="N8309" s="23" t="str">
        <f>IFERROR(VLOOKUP(A8309, Entries!A:K,11,false),"")</f>
        <v/>
      </c>
    </row>
    <row r="8310">
      <c r="A8310" s="78" t="s">
        <v>9233</v>
      </c>
      <c r="B8310" s="78" t="s">
        <v>40</v>
      </c>
      <c r="C8310" s="85">
        <v>45992.0</v>
      </c>
      <c r="D8310" s="85">
        <v>45992.0</v>
      </c>
      <c r="E8310" s="86">
        <v>9.31</v>
      </c>
      <c r="F8310" s="87">
        <v>12.14</v>
      </c>
      <c r="G8310" s="88">
        <f t="shared" si="23"/>
        <v>2.83</v>
      </c>
      <c r="H8310" s="89">
        <f t="shared" si="18"/>
        <v>0.2331136738</v>
      </c>
      <c r="I8310" s="78" t="s">
        <v>9468</v>
      </c>
      <c r="J8310" s="78" t="s">
        <v>69</v>
      </c>
      <c r="K8310" s="58">
        <f t="shared" si="17"/>
        <v>0</v>
      </c>
      <c r="L8310" s="91" t="str">
        <f t="shared" si="8"/>
        <v>Mon</v>
      </c>
      <c r="M8310" s="78" t="str">
        <f>IFERROR(VLOOKUP(A8310, Entries!A:B,2,false),"")</f>
        <v>Behaviour Interactive</v>
      </c>
      <c r="N8310" s="23" t="str">
        <f>IFERROR(VLOOKUP(A8310, Entries!A:K,11,false),"")</f>
        <v/>
      </c>
    </row>
    <row r="8311">
      <c r="A8311" s="78" t="s">
        <v>9233</v>
      </c>
      <c r="B8311" s="78" t="s">
        <v>40</v>
      </c>
      <c r="C8311" s="85">
        <v>45992.0</v>
      </c>
      <c r="D8311" s="85">
        <v>45993.0</v>
      </c>
      <c r="E8311" s="86">
        <v>9.31</v>
      </c>
      <c r="F8311" s="87">
        <v>12.12</v>
      </c>
      <c r="G8311" s="88">
        <f t="shared" si="23"/>
        <v>2.81</v>
      </c>
      <c r="H8311" s="89">
        <f t="shared" si="18"/>
        <v>0.2318481848</v>
      </c>
      <c r="I8311" s="78" t="s">
        <v>9469</v>
      </c>
      <c r="J8311" s="78" t="s">
        <v>69</v>
      </c>
      <c r="K8311" s="58">
        <f t="shared" si="17"/>
        <v>1</v>
      </c>
      <c r="L8311" s="91" t="str">
        <f t="shared" si="8"/>
        <v>Tue</v>
      </c>
      <c r="M8311" s="78" t="str">
        <f>IFERROR(VLOOKUP(A8311, Entries!A:B,2,false),"")</f>
        <v>Behaviour Interactive</v>
      </c>
      <c r="N8311" s="23" t="str">
        <f>IFERROR(VLOOKUP(A8311, Entries!A:K,11,false),"")</f>
        <v/>
      </c>
    </row>
    <row r="8312">
      <c r="A8312" s="78" t="s">
        <v>9233</v>
      </c>
      <c r="B8312" s="78" t="s">
        <v>40</v>
      </c>
      <c r="C8312" s="85">
        <v>45995.0</v>
      </c>
      <c r="D8312" s="85">
        <v>45996.0</v>
      </c>
      <c r="E8312" s="86">
        <v>9.31</v>
      </c>
      <c r="F8312" s="87">
        <v>12.2</v>
      </c>
      <c r="G8312" s="88">
        <f t="shared" si="23"/>
        <v>2.89</v>
      </c>
      <c r="H8312" s="89">
        <f t="shared" si="18"/>
        <v>0.2368852459</v>
      </c>
      <c r="I8312" s="78" t="s">
        <v>9470</v>
      </c>
      <c r="J8312" s="78" t="s">
        <v>69</v>
      </c>
      <c r="K8312" s="58">
        <f t="shared" si="17"/>
        <v>1</v>
      </c>
      <c r="L8312" s="91" t="str">
        <f t="shared" si="8"/>
        <v>Fri</v>
      </c>
      <c r="M8312" s="78" t="str">
        <f>IFERROR(VLOOKUP(A8312, Entries!A:B,2,false),"")</f>
        <v>Behaviour Interactive</v>
      </c>
      <c r="N8312" s="23" t="str">
        <f>IFERROR(VLOOKUP(A8312, Entries!A:K,11,false),"")</f>
        <v/>
      </c>
    </row>
    <row r="8313">
      <c r="A8313" s="78" t="s">
        <v>1978</v>
      </c>
      <c r="B8313" s="78" t="s">
        <v>25</v>
      </c>
      <c r="C8313" s="85">
        <v>45995.0</v>
      </c>
      <c r="D8313" s="85">
        <v>45995.0</v>
      </c>
      <c r="E8313" s="86">
        <v>0.0</v>
      </c>
      <c r="F8313" s="87">
        <v>1.47</v>
      </c>
      <c r="G8313" s="88">
        <f t="shared" si="23"/>
        <v>1.47</v>
      </c>
      <c r="H8313" s="89">
        <f t="shared" si="18"/>
        <v>1</v>
      </c>
      <c r="I8313" s="78" t="s">
        <v>9471</v>
      </c>
      <c r="J8313" s="78" t="s">
        <v>69</v>
      </c>
      <c r="K8313" s="58">
        <f t="shared" si="17"/>
        <v>0</v>
      </c>
      <c r="L8313" s="91" t="str">
        <f t="shared" si="8"/>
        <v>Thu</v>
      </c>
      <c r="M8313" s="78" t="str">
        <f>IFERROR(VLOOKUP(A8313, Entries!A:B,2,false),"")</f>
        <v>Fatshark</v>
      </c>
      <c r="N8313" s="23" t="str">
        <f>IFERROR(VLOOKUP(A8313, Entries!A:K,11,false),"")</f>
        <v/>
      </c>
    </row>
    <row r="8314">
      <c r="A8314" s="78" t="s">
        <v>9233</v>
      </c>
      <c r="B8314" s="78" t="s">
        <v>40</v>
      </c>
      <c r="C8314" s="85">
        <v>45996.0</v>
      </c>
      <c r="D8314" s="85">
        <v>45996.0</v>
      </c>
      <c r="E8314" s="86">
        <v>9.31</v>
      </c>
      <c r="F8314" s="87">
        <v>12.22</v>
      </c>
      <c r="G8314" s="88">
        <f t="shared" si="23"/>
        <v>2.91</v>
      </c>
      <c r="H8314" s="89">
        <f t="shared" si="18"/>
        <v>0.2381342062</v>
      </c>
      <c r="I8314" s="78" t="s">
        <v>9472</v>
      </c>
      <c r="J8314" s="78" t="s">
        <v>69</v>
      </c>
      <c r="K8314" s="58">
        <f t="shared" si="17"/>
        <v>0</v>
      </c>
      <c r="L8314" s="91" t="str">
        <f t="shared" si="8"/>
        <v>Fri</v>
      </c>
      <c r="M8314" s="78" t="str">
        <f>IFERROR(VLOOKUP(A8314, Entries!A:B,2,false),"")</f>
        <v>Behaviour Interactive</v>
      </c>
      <c r="N8314" s="23" t="str">
        <f>IFERROR(VLOOKUP(A8314, Entries!A:K,11,false),"")</f>
        <v/>
      </c>
    </row>
    <row r="8315">
      <c r="A8315" s="78" t="s">
        <v>9233</v>
      </c>
      <c r="B8315" s="78" t="s">
        <v>40</v>
      </c>
      <c r="C8315" s="85">
        <v>45996.0</v>
      </c>
      <c r="D8315" s="85">
        <v>45997.0</v>
      </c>
      <c r="E8315" s="86">
        <v>9.31</v>
      </c>
      <c r="F8315" s="87">
        <v>12.25</v>
      </c>
      <c r="G8315" s="88">
        <f t="shared" si="23"/>
        <v>2.94</v>
      </c>
      <c r="H8315" s="89">
        <f t="shared" si="18"/>
        <v>0.24</v>
      </c>
      <c r="I8315" s="78" t="s">
        <v>9473</v>
      </c>
      <c r="J8315" s="78" t="s">
        <v>69</v>
      </c>
      <c r="K8315" s="58">
        <f t="shared" si="17"/>
        <v>1</v>
      </c>
      <c r="L8315" s="91" t="str">
        <f t="shared" si="8"/>
        <v>Sat</v>
      </c>
      <c r="M8315" s="78" t="str">
        <f>IFERROR(VLOOKUP(A8315, Entries!A:B,2,false),"")</f>
        <v>Behaviour Interactive</v>
      </c>
      <c r="N8315" s="23" t="str">
        <f>IFERROR(VLOOKUP(A8315, Entries!A:K,11,false),"")</f>
        <v/>
      </c>
    </row>
    <row r="8316">
      <c r="A8316" s="78" t="s">
        <v>9365</v>
      </c>
      <c r="B8316" s="78" t="s">
        <v>27</v>
      </c>
      <c r="C8316" s="85">
        <v>45999.0</v>
      </c>
      <c r="D8316" s="85">
        <v>46011.0</v>
      </c>
      <c r="E8316" s="86">
        <v>33.09</v>
      </c>
      <c r="F8316" s="87">
        <v>40.7</v>
      </c>
      <c r="G8316" s="88">
        <f t="shared" si="23"/>
        <v>7.61</v>
      </c>
      <c r="H8316" s="89">
        <f t="shared" si="18"/>
        <v>0.186977887</v>
      </c>
      <c r="I8316" s="78" t="s">
        <v>9474</v>
      </c>
      <c r="J8316" s="78" t="s">
        <v>69</v>
      </c>
      <c r="K8316" s="58">
        <f t="shared" si="17"/>
        <v>12</v>
      </c>
      <c r="L8316" s="91" t="str">
        <f t="shared" si="8"/>
        <v>Sat</v>
      </c>
      <c r="M8316" s="78" t="str">
        <f>IFERROR(VLOOKUP(A8316, Entries!A:B,2,false),"")</f>
        <v/>
      </c>
      <c r="N8316" s="23" t="str">
        <f>IFERROR(VLOOKUP(A8316, Entries!A:K,11,false),"")</f>
        <v/>
      </c>
    </row>
    <row r="8317">
      <c r="A8317" s="78" t="s">
        <v>9475</v>
      </c>
      <c r="B8317" s="78" t="s">
        <v>27</v>
      </c>
      <c r="C8317" s="85">
        <v>45999.0</v>
      </c>
      <c r="D8317" s="85">
        <v>45999.0</v>
      </c>
      <c r="E8317" s="86">
        <v>14.19</v>
      </c>
      <c r="F8317" s="87">
        <v>17.33</v>
      </c>
      <c r="G8317" s="88">
        <f t="shared" si="23"/>
        <v>3.14</v>
      </c>
      <c r="H8317" s="89">
        <f t="shared" si="18"/>
        <v>0.1811886901</v>
      </c>
      <c r="I8317" s="78" t="s">
        <v>9476</v>
      </c>
      <c r="J8317" s="78" t="s">
        <v>69</v>
      </c>
      <c r="K8317" s="58">
        <f t="shared" si="17"/>
        <v>0</v>
      </c>
      <c r="L8317" s="91" t="str">
        <f t="shared" si="8"/>
        <v>Mon</v>
      </c>
      <c r="M8317" s="78" t="str">
        <f>IFERROR(VLOOKUP(A8317, Entries!A:B,2,false),"")</f>
        <v/>
      </c>
      <c r="N8317" s="23" t="str">
        <f>IFERROR(VLOOKUP(A8317, Entries!A:K,11,false),"")</f>
        <v/>
      </c>
    </row>
    <row r="8318">
      <c r="A8318" s="78" t="s">
        <v>9475</v>
      </c>
      <c r="B8318" s="78" t="s">
        <v>27</v>
      </c>
      <c r="C8318" s="85">
        <v>45999.0</v>
      </c>
      <c r="D8318" s="85">
        <v>45999.0</v>
      </c>
      <c r="E8318" s="86">
        <v>14.19</v>
      </c>
      <c r="F8318" s="87">
        <v>17.35</v>
      </c>
      <c r="G8318" s="88">
        <f t="shared" si="23"/>
        <v>3.16</v>
      </c>
      <c r="H8318" s="89">
        <f t="shared" si="18"/>
        <v>0.1821325648</v>
      </c>
      <c r="I8318" s="78" t="s">
        <v>9477</v>
      </c>
      <c r="J8318" s="78" t="s">
        <v>69</v>
      </c>
      <c r="K8318" s="58">
        <f t="shared" si="17"/>
        <v>0</v>
      </c>
      <c r="L8318" s="91" t="str">
        <f t="shared" si="8"/>
        <v>Mon</v>
      </c>
      <c r="M8318" s="78" t="str">
        <f>IFERROR(VLOOKUP(A8318, Entries!A:B,2,false),"")</f>
        <v/>
      </c>
      <c r="N8318" s="23" t="str">
        <f>IFERROR(VLOOKUP(A8318, Entries!A:K,11,false),"")</f>
        <v/>
      </c>
    </row>
    <row r="8319">
      <c r="A8319" s="78" t="s">
        <v>9475</v>
      </c>
      <c r="B8319" s="78" t="s">
        <v>27</v>
      </c>
      <c r="C8319" s="85">
        <v>45999.0</v>
      </c>
      <c r="D8319" s="85">
        <v>45999.0</v>
      </c>
      <c r="E8319" s="86">
        <v>14.19</v>
      </c>
      <c r="F8319" s="87">
        <v>17.16</v>
      </c>
      <c r="G8319" s="88">
        <f t="shared" si="23"/>
        <v>2.97</v>
      </c>
      <c r="H8319" s="89">
        <f t="shared" si="18"/>
        <v>0.1730769231</v>
      </c>
      <c r="I8319" s="78" t="s">
        <v>9478</v>
      </c>
      <c r="J8319" s="78" t="s">
        <v>69</v>
      </c>
      <c r="K8319" s="58">
        <f t="shared" si="17"/>
        <v>0</v>
      </c>
      <c r="L8319" s="91" t="str">
        <f t="shared" si="8"/>
        <v>Mon</v>
      </c>
      <c r="M8319" s="78" t="str">
        <f>IFERROR(VLOOKUP(A8319, Entries!A:B,2,false),"")</f>
        <v/>
      </c>
      <c r="N8319" s="23" t="str">
        <f>IFERROR(VLOOKUP(A8319, Entries!A:K,11,false),"")</f>
        <v/>
      </c>
    </row>
    <row r="8320">
      <c r="A8320" s="78" t="s">
        <v>9475</v>
      </c>
      <c r="B8320" s="78" t="s">
        <v>27</v>
      </c>
      <c r="C8320" s="85">
        <v>46000.0</v>
      </c>
      <c r="D8320" s="85">
        <v>46000.0</v>
      </c>
      <c r="E8320" s="86">
        <v>14.19</v>
      </c>
      <c r="F8320" s="87">
        <v>16.98</v>
      </c>
      <c r="G8320" s="88">
        <f t="shared" si="23"/>
        <v>2.79</v>
      </c>
      <c r="H8320" s="89">
        <f t="shared" si="18"/>
        <v>0.1643109541</v>
      </c>
      <c r="I8320" s="78" t="s">
        <v>9479</v>
      </c>
      <c r="J8320" s="78" t="s">
        <v>69</v>
      </c>
      <c r="K8320" s="58">
        <f t="shared" si="17"/>
        <v>0</v>
      </c>
      <c r="L8320" s="91" t="str">
        <f t="shared" si="8"/>
        <v>Tue</v>
      </c>
      <c r="M8320" s="78" t="str">
        <f>IFERROR(VLOOKUP(A8320, Entries!A:B,2,false),"")</f>
        <v/>
      </c>
      <c r="N8320" s="23" t="str">
        <f>IFERROR(VLOOKUP(A8320, Entries!A:K,11,false),"")</f>
        <v/>
      </c>
    </row>
    <row r="8321">
      <c r="A8321" s="78" t="s">
        <v>9475</v>
      </c>
      <c r="B8321" s="78" t="s">
        <v>27</v>
      </c>
      <c r="C8321" s="85">
        <v>46000.0</v>
      </c>
      <c r="D8321" s="85">
        <v>46002.0</v>
      </c>
      <c r="E8321" s="86">
        <v>14.19</v>
      </c>
      <c r="F8321" s="87">
        <v>15.16</v>
      </c>
      <c r="G8321" s="88">
        <f t="shared" si="23"/>
        <v>0.97</v>
      </c>
      <c r="H8321" s="89">
        <f t="shared" si="18"/>
        <v>0.06398416887</v>
      </c>
      <c r="I8321" s="78" t="s">
        <v>9480</v>
      </c>
      <c r="J8321" s="78" t="s">
        <v>69</v>
      </c>
      <c r="K8321" s="58">
        <f t="shared" si="17"/>
        <v>2</v>
      </c>
      <c r="L8321" s="91" t="str">
        <f t="shared" si="8"/>
        <v>Thu</v>
      </c>
      <c r="M8321" s="78" t="str">
        <f>IFERROR(VLOOKUP(A8321, Entries!A:B,2,false),"")</f>
        <v/>
      </c>
      <c r="N8321" s="23" t="str">
        <f>IFERROR(VLOOKUP(A8321, Entries!A:K,11,false),"")</f>
        <v/>
      </c>
    </row>
    <row r="8322">
      <c r="A8322" s="78" t="s">
        <v>9233</v>
      </c>
      <c r="B8322" s="78" t="s">
        <v>40</v>
      </c>
      <c r="C8322" s="85">
        <v>46000.0</v>
      </c>
      <c r="D8322" s="85">
        <v>46001.0</v>
      </c>
      <c r="E8322" s="86">
        <v>9.31</v>
      </c>
      <c r="F8322" s="87">
        <v>12.25</v>
      </c>
      <c r="G8322" s="88">
        <f t="shared" si="23"/>
        <v>2.94</v>
      </c>
      <c r="H8322" s="89">
        <f t="shared" si="18"/>
        <v>0.24</v>
      </c>
      <c r="I8322" s="78" t="s">
        <v>9481</v>
      </c>
      <c r="J8322" s="78" t="s">
        <v>69</v>
      </c>
      <c r="K8322" s="58">
        <f t="shared" si="17"/>
        <v>1</v>
      </c>
      <c r="L8322" s="91" t="str">
        <f t="shared" si="8"/>
        <v>Wed</v>
      </c>
      <c r="M8322" s="78" t="str">
        <f>IFERROR(VLOOKUP(A8322, Entries!A:B,2,false),"")</f>
        <v>Behaviour Interactive</v>
      </c>
      <c r="N8322" s="23" t="str">
        <f>IFERROR(VLOOKUP(A8322, Entries!A:K,11,false),"")</f>
        <v/>
      </c>
    </row>
    <row r="8323">
      <c r="A8323" s="78" t="s">
        <v>9233</v>
      </c>
      <c r="B8323" s="78" t="s">
        <v>40</v>
      </c>
      <c r="C8323" s="85">
        <v>46000.0</v>
      </c>
      <c r="D8323" s="85">
        <v>46002.0</v>
      </c>
      <c r="E8323" s="86">
        <v>9.31</v>
      </c>
      <c r="F8323" s="87">
        <v>12.11</v>
      </c>
      <c r="G8323" s="88">
        <f t="shared" si="23"/>
        <v>2.8</v>
      </c>
      <c r="H8323" s="89">
        <f t="shared" si="18"/>
        <v>0.2312138728</v>
      </c>
      <c r="I8323" s="78" t="s">
        <v>9482</v>
      </c>
      <c r="J8323" s="78" t="s">
        <v>69</v>
      </c>
      <c r="K8323" s="58">
        <f t="shared" si="17"/>
        <v>2</v>
      </c>
      <c r="L8323" s="91" t="str">
        <f t="shared" si="8"/>
        <v>Thu</v>
      </c>
      <c r="M8323" s="78" t="str">
        <f>IFERROR(VLOOKUP(A8323, Entries!A:B,2,false),"")</f>
        <v>Behaviour Interactive</v>
      </c>
      <c r="N8323" s="23" t="str">
        <f>IFERROR(VLOOKUP(A8323, Entries!A:K,11,false),"")</f>
        <v/>
      </c>
    </row>
    <row r="8324">
      <c r="A8324" s="78" t="s">
        <v>9233</v>
      </c>
      <c r="B8324" s="78" t="s">
        <v>40</v>
      </c>
      <c r="C8324" s="85">
        <v>46000.0</v>
      </c>
      <c r="D8324" s="85">
        <v>46004.0</v>
      </c>
      <c r="E8324" s="86">
        <v>9.31</v>
      </c>
      <c r="F8324" s="87">
        <v>12.13</v>
      </c>
      <c r="G8324" s="88">
        <f t="shared" si="23"/>
        <v>2.82</v>
      </c>
      <c r="H8324" s="89">
        <f t="shared" si="18"/>
        <v>0.2324814509</v>
      </c>
      <c r="I8324" s="78" t="s">
        <v>9483</v>
      </c>
      <c r="J8324" s="78" t="s">
        <v>69</v>
      </c>
      <c r="K8324" s="58">
        <f t="shared" si="17"/>
        <v>4</v>
      </c>
      <c r="L8324" s="91" t="str">
        <f t="shared" si="8"/>
        <v>Sat</v>
      </c>
      <c r="M8324" s="78" t="str">
        <f>IFERROR(VLOOKUP(A8324, Entries!A:B,2,false),"")</f>
        <v>Behaviour Interactive</v>
      </c>
      <c r="N8324" s="23" t="str">
        <f>IFERROR(VLOOKUP(A8324, Entries!A:K,11,false),"")</f>
        <v/>
      </c>
    </row>
    <row r="8325">
      <c r="A8325" s="78" t="s">
        <v>9233</v>
      </c>
      <c r="B8325" s="78" t="s">
        <v>40</v>
      </c>
      <c r="C8325" s="85">
        <v>46001.0</v>
      </c>
      <c r="D8325" s="85">
        <v>46004.0</v>
      </c>
      <c r="E8325" s="86">
        <v>9.31</v>
      </c>
      <c r="F8325" s="87">
        <v>12.13</v>
      </c>
      <c r="G8325" s="88">
        <f t="shared" si="23"/>
        <v>2.82</v>
      </c>
      <c r="H8325" s="89">
        <f t="shared" si="18"/>
        <v>0.2324814509</v>
      </c>
      <c r="I8325" s="78" t="s">
        <v>9484</v>
      </c>
      <c r="J8325" s="78" t="s">
        <v>69</v>
      </c>
      <c r="K8325" s="58">
        <f t="shared" si="17"/>
        <v>3</v>
      </c>
      <c r="L8325" s="91" t="str">
        <f t="shared" si="8"/>
        <v>Sat</v>
      </c>
      <c r="M8325" s="78" t="str">
        <f>IFERROR(VLOOKUP(A8325, Entries!A:B,2,false),"")</f>
        <v>Behaviour Interactive</v>
      </c>
      <c r="N8325" s="23" t="str">
        <f>IFERROR(VLOOKUP(A8325, Entries!A:K,11,false),"")</f>
        <v/>
      </c>
    </row>
    <row r="8326">
      <c r="A8326" s="78" t="s">
        <v>9233</v>
      </c>
      <c r="B8326" s="78" t="s">
        <v>40</v>
      </c>
      <c r="C8326" s="85">
        <v>46001.0</v>
      </c>
      <c r="D8326" s="85">
        <v>46004.0</v>
      </c>
      <c r="E8326" s="86">
        <v>9.31</v>
      </c>
      <c r="F8326" s="87">
        <v>12.13</v>
      </c>
      <c r="G8326" s="88">
        <f t="shared" si="23"/>
        <v>2.82</v>
      </c>
      <c r="H8326" s="89">
        <f t="shared" si="18"/>
        <v>0.2324814509</v>
      </c>
      <c r="I8326" s="78" t="s">
        <v>9485</v>
      </c>
      <c r="J8326" s="78" t="s">
        <v>69</v>
      </c>
      <c r="K8326" s="58">
        <f t="shared" si="17"/>
        <v>3</v>
      </c>
      <c r="L8326" s="91" t="str">
        <f t="shared" si="8"/>
        <v>Sat</v>
      </c>
      <c r="M8326" s="78" t="str">
        <f>IFERROR(VLOOKUP(A8326, Entries!A:B,2,false),"")</f>
        <v>Behaviour Interactive</v>
      </c>
      <c r="N8326" s="23" t="str">
        <f>IFERROR(VLOOKUP(A8326, Entries!A:K,11,false),"")</f>
        <v/>
      </c>
    </row>
    <row r="8327">
      <c r="A8327" s="78" t="s">
        <v>9233</v>
      </c>
      <c r="B8327" s="78" t="s">
        <v>40</v>
      </c>
      <c r="C8327" s="85">
        <v>46001.0</v>
      </c>
      <c r="D8327" s="85">
        <v>46004.0</v>
      </c>
      <c r="E8327" s="86">
        <v>9.31</v>
      </c>
      <c r="F8327" s="87">
        <v>12.1</v>
      </c>
      <c r="G8327" s="88">
        <f t="shared" si="23"/>
        <v>2.79</v>
      </c>
      <c r="H8327" s="89">
        <f t="shared" si="18"/>
        <v>0.2305785124</v>
      </c>
      <c r="I8327" s="78" t="s">
        <v>9486</v>
      </c>
      <c r="J8327" s="78" t="s">
        <v>69</v>
      </c>
      <c r="K8327" s="58">
        <f t="shared" si="17"/>
        <v>3</v>
      </c>
      <c r="L8327" s="91" t="str">
        <f t="shared" si="8"/>
        <v>Sat</v>
      </c>
      <c r="M8327" s="78" t="str">
        <f>IFERROR(VLOOKUP(A8327, Entries!A:B,2,false),"")</f>
        <v>Behaviour Interactive</v>
      </c>
      <c r="N8327" s="23" t="str">
        <f>IFERROR(VLOOKUP(A8327, Entries!A:K,11,false),"")</f>
        <v/>
      </c>
    </row>
    <row r="8328">
      <c r="A8328" s="78" t="s">
        <v>7814</v>
      </c>
      <c r="B8328" s="78" t="s">
        <v>21</v>
      </c>
      <c r="C8328" s="85">
        <v>46002.0</v>
      </c>
      <c r="D8328" s="85">
        <v>46004.0</v>
      </c>
      <c r="E8328" s="86">
        <v>27.44</v>
      </c>
      <c r="F8328" s="87">
        <v>36.99</v>
      </c>
      <c r="G8328" s="88">
        <f t="shared" si="23"/>
        <v>9.55</v>
      </c>
      <c r="H8328" s="89">
        <f t="shared" si="18"/>
        <v>0.2581778859</v>
      </c>
      <c r="I8328" s="78" t="s">
        <v>9487</v>
      </c>
      <c r="J8328" s="78" t="s">
        <v>69</v>
      </c>
      <c r="K8328" s="58">
        <f t="shared" si="17"/>
        <v>2</v>
      </c>
      <c r="L8328" s="91" t="str">
        <f t="shared" si="8"/>
        <v>Sat</v>
      </c>
      <c r="M8328" s="78" t="str">
        <f>IFERROR(VLOOKUP(A8328, Entries!A:B,2,false),"")</f>
        <v>Electronic Arts</v>
      </c>
      <c r="N8328" s="23" t="str">
        <f>IFERROR(VLOOKUP(A8328, Entries!A:K,11,false),"")</f>
        <v/>
      </c>
    </row>
    <row r="8329">
      <c r="A8329" s="78" t="s">
        <v>9488</v>
      </c>
      <c r="B8329" s="78" t="s">
        <v>22</v>
      </c>
      <c r="C8329" s="85">
        <v>46002.0</v>
      </c>
      <c r="D8329" s="85">
        <v>46002.0</v>
      </c>
      <c r="E8329" s="86">
        <v>10.66</v>
      </c>
      <c r="F8329" s="87">
        <v>13.37</v>
      </c>
      <c r="G8329" s="88">
        <f t="shared" si="23"/>
        <v>2.71</v>
      </c>
      <c r="H8329" s="89">
        <f t="shared" si="18"/>
        <v>0.2026925954</v>
      </c>
      <c r="I8329" s="78" t="s">
        <v>9489</v>
      </c>
      <c r="J8329" s="78" t="s">
        <v>69</v>
      </c>
      <c r="K8329" s="58">
        <f t="shared" si="17"/>
        <v>0</v>
      </c>
      <c r="L8329" s="91" t="str">
        <f t="shared" si="8"/>
        <v>Thu</v>
      </c>
      <c r="M8329" s="78" t="str">
        <f>IFERROR(VLOOKUP(A8329, Entries!A:B,2,false),"")</f>
        <v/>
      </c>
      <c r="N8329" s="23" t="str">
        <f>IFERROR(VLOOKUP(A8329, Entries!A:K,11,false),"")</f>
        <v/>
      </c>
    </row>
    <row r="8330">
      <c r="A8330" s="78" t="s">
        <v>9233</v>
      </c>
      <c r="B8330" s="78" t="s">
        <v>40</v>
      </c>
      <c r="C8330" s="85">
        <v>46004.0</v>
      </c>
      <c r="D8330" s="85">
        <v>46004.0</v>
      </c>
      <c r="E8330" s="86">
        <v>9.31</v>
      </c>
      <c r="F8330" s="87">
        <v>12.1</v>
      </c>
      <c r="G8330" s="88">
        <f t="shared" si="23"/>
        <v>2.79</v>
      </c>
      <c r="H8330" s="89">
        <f t="shared" si="18"/>
        <v>0.2305785124</v>
      </c>
      <c r="J8330" s="78" t="s">
        <v>69</v>
      </c>
      <c r="K8330" s="58">
        <f t="shared" si="17"/>
        <v>0</v>
      </c>
      <c r="L8330" s="91" t="str">
        <f t="shared" si="8"/>
        <v>Sat</v>
      </c>
      <c r="M8330" s="78" t="str">
        <f>IFERROR(VLOOKUP(A8330, Entries!A:B,2,false),"")</f>
        <v>Behaviour Interactive</v>
      </c>
      <c r="N8330" s="23" t="str">
        <f>IFERROR(VLOOKUP(A8330, Entries!A:K,11,false),"")</f>
        <v/>
      </c>
    </row>
    <row r="8331">
      <c r="A8331" s="78" t="s">
        <v>7816</v>
      </c>
      <c r="B8331" s="78" t="s">
        <v>21</v>
      </c>
      <c r="C8331" s="85">
        <v>46004.0</v>
      </c>
      <c r="D8331" s="85">
        <v>46027.0</v>
      </c>
      <c r="E8331" s="86">
        <v>25.39</v>
      </c>
      <c r="F8331" s="87">
        <v>29.48</v>
      </c>
      <c r="G8331" s="88">
        <f t="shared" si="23"/>
        <v>4.09</v>
      </c>
      <c r="H8331" s="89">
        <f t="shared" si="18"/>
        <v>0.1387381275</v>
      </c>
      <c r="I8331" s="78" t="s">
        <v>9490</v>
      </c>
      <c r="J8331" s="78" t="s">
        <v>69</v>
      </c>
      <c r="K8331" s="58">
        <f t="shared" si="17"/>
        <v>23</v>
      </c>
      <c r="L8331" s="91" t="str">
        <f t="shared" si="8"/>
        <v>Mon</v>
      </c>
      <c r="M8331" s="78" t="str">
        <f>IFERROR(VLOOKUP(A8331, Entries!A:B,2,false),"")</f>
        <v/>
      </c>
      <c r="N8331" s="23" t="str">
        <f>IFERROR(VLOOKUP(A8331, Entries!A:K,11,false),"")</f>
        <v/>
      </c>
    </row>
    <row r="8332">
      <c r="A8332" s="78" t="s">
        <v>7814</v>
      </c>
      <c r="B8332" s="78" t="s">
        <v>21</v>
      </c>
      <c r="C8332" s="85">
        <v>46004.0</v>
      </c>
      <c r="D8332" s="85">
        <v>46005.0</v>
      </c>
      <c r="E8332" s="86">
        <v>27.98</v>
      </c>
      <c r="F8332" s="87">
        <v>38.07</v>
      </c>
      <c r="G8332" s="88">
        <f t="shared" si="23"/>
        <v>10.09</v>
      </c>
      <c r="H8332" s="89">
        <f t="shared" si="18"/>
        <v>0.2650380877</v>
      </c>
      <c r="I8332" s="78" t="s">
        <v>9491</v>
      </c>
      <c r="J8332" s="78" t="s">
        <v>69</v>
      </c>
      <c r="K8332" s="58">
        <f t="shared" si="17"/>
        <v>1</v>
      </c>
      <c r="L8332" s="91" t="str">
        <f t="shared" si="8"/>
        <v>Sun</v>
      </c>
      <c r="M8332" s="78" t="str">
        <f>IFERROR(VLOOKUP(A8332, Entries!A:B,2,false),"")</f>
        <v>Electronic Arts</v>
      </c>
      <c r="N8332" s="23" t="str">
        <f>IFERROR(VLOOKUP(A8332, Entries!A:K,11,false),"")</f>
        <v/>
      </c>
    </row>
    <row r="8333">
      <c r="A8333" s="78" t="s">
        <v>7814</v>
      </c>
      <c r="B8333" s="78" t="s">
        <v>25</v>
      </c>
      <c r="C8333" s="85">
        <v>46005.0</v>
      </c>
      <c r="D8333" s="85">
        <v>46005.0</v>
      </c>
      <c r="E8333" s="86">
        <v>25.19</v>
      </c>
      <c r="F8333" s="87">
        <v>38.52</v>
      </c>
      <c r="G8333" s="88">
        <f t="shared" si="23"/>
        <v>13.33</v>
      </c>
      <c r="H8333" s="89">
        <f t="shared" si="18"/>
        <v>0.3460539979</v>
      </c>
      <c r="I8333" s="78" t="s">
        <v>9492</v>
      </c>
      <c r="J8333" s="78" t="s">
        <v>69</v>
      </c>
      <c r="K8333" s="58">
        <f t="shared" si="17"/>
        <v>0</v>
      </c>
      <c r="L8333" s="91" t="str">
        <f t="shared" si="8"/>
        <v>Sun</v>
      </c>
      <c r="M8333" s="78" t="str">
        <f>IFERROR(VLOOKUP(A8333, Entries!A:B,2,false),"")</f>
        <v>Electronic Arts</v>
      </c>
      <c r="N8333" s="23" t="str">
        <f>IFERROR(VLOOKUP(A8333, Entries!A:K,11,false),"")</f>
        <v/>
      </c>
    </row>
    <row r="8334">
      <c r="A8334" s="78" t="s">
        <v>7814</v>
      </c>
      <c r="B8334" s="78" t="s">
        <v>25</v>
      </c>
      <c r="C8334" s="85">
        <v>46005.0</v>
      </c>
      <c r="D8334" s="85">
        <v>46005.0</v>
      </c>
      <c r="E8334" s="86">
        <v>25.19</v>
      </c>
      <c r="F8334" s="87">
        <v>38.6</v>
      </c>
      <c r="G8334" s="88">
        <f t="shared" si="23"/>
        <v>13.41</v>
      </c>
      <c r="H8334" s="89">
        <f t="shared" si="18"/>
        <v>0.3474093264</v>
      </c>
      <c r="I8334" s="78" t="s">
        <v>9493</v>
      </c>
      <c r="J8334" s="78" t="s">
        <v>69</v>
      </c>
      <c r="K8334" s="58">
        <f t="shared" si="17"/>
        <v>0</v>
      </c>
      <c r="L8334" s="91" t="str">
        <f t="shared" si="8"/>
        <v>Sun</v>
      </c>
      <c r="M8334" s="78" t="str">
        <f>IFERROR(VLOOKUP(A8334, Entries!A:B,2,false),"")</f>
        <v>Electronic Arts</v>
      </c>
      <c r="N8334" s="23" t="str">
        <f>IFERROR(VLOOKUP(A8334, Entries!A:K,11,false),"")</f>
        <v/>
      </c>
    </row>
    <row r="8335">
      <c r="A8335" s="78" t="s">
        <v>7814</v>
      </c>
      <c r="B8335" s="78" t="s">
        <v>25</v>
      </c>
      <c r="C8335" s="85">
        <v>46005.0</v>
      </c>
      <c r="D8335" s="85">
        <v>46005.0</v>
      </c>
      <c r="E8335" s="86">
        <v>25.2</v>
      </c>
      <c r="F8335" s="87">
        <v>38.6</v>
      </c>
      <c r="G8335" s="88">
        <f t="shared" si="23"/>
        <v>13.4</v>
      </c>
      <c r="H8335" s="89">
        <f t="shared" si="18"/>
        <v>0.3471502591</v>
      </c>
      <c r="I8335" s="78" t="s">
        <v>9494</v>
      </c>
      <c r="J8335" s="78" t="s">
        <v>69</v>
      </c>
      <c r="K8335" s="58">
        <f t="shared" si="17"/>
        <v>0</v>
      </c>
      <c r="L8335" s="91" t="str">
        <f t="shared" si="8"/>
        <v>Sun</v>
      </c>
      <c r="M8335" s="78" t="str">
        <f>IFERROR(VLOOKUP(A8335, Entries!A:B,2,false),"")</f>
        <v>Electronic Arts</v>
      </c>
      <c r="N8335" s="23" t="str">
        <f>IFERROR(VLOOKUP(A8335, Entries!A:K,11,false),"")</f>
        <v/>
      </c>
    </row>
    <row r="8336">
      <c r="A8336" s="78" t="s">
        <v>7814</v>
      </c>
      <c r="B8336" s="78" t="s">
        <v>25</v>
      </c>
      <c r="C8336" s="85">
        <v>46005.0</v>
      </c>
      <c r="D8336" s="85">
        <v>46006.0</v>
      </c>
      <c r="E8336" s="86">
        <v>24.52</v>
      </c>
      <c r="F8336" s="87">
        <v>38.7</v>
      </c>
      <c r="G8336" s="88">
        <f t="shared" si="23"/>
        <v>14.18</v>
      </c>
      <c r="H8336" s="89">
        <f t="shared" si="18"/>
        <v>0.3664082687</v>
      </c>
      <c r="I8336" s="78" t="s">
        <v>9495</v>
      </c>
      <c r="J8336" s="78" t="s">
        <v>69</v>
      </c>
      <c r="K8336" s="58">
        <f t="shared" si="17"/>
        <v>1</v>
      </c>
      <c r="L8336" s="91" t="str">
        <f t="shared" si="8"/>
        <v>Mon</v>
      </c>
      <c r="M8336" s="78" t="str">
        <f>IFERROR(VLOOKUP(A8336, Entries!A:B,2,false),"")</f>
        <v>Electronic Arts</v>
      </c>
      <c r="N8336" s="23" t="str">
        <f>IFERROR(VLOOKUP(A8336, Entries!A:K,11,false),"")</f>
        <v/>
      </c>
    </row>
    <row r="8337">
      <c r="A8337" s="78" t="s">
        <v>7814</v>
      </c>
      <c r="B8337" s="78" t="s">
        <v>25</v>
      </c>
      <c r="C8337" s="85">
        <v>46005.0</v>
      </c>
      <c r="D8337" s="85">
        <v>46006.0</v>
      </c>
      <c r="E8337" s="86">
        <v>24.52</v>
      </c>
      <c r="F8337" s="87">
        <v>38.84</v>
      </c>
      <c r="G8337" s="88">
        <f t="shared" si="23"/>
        <v>14.32</v>
      </c>
      <c r="H8337" s="89">
        <f t="shared" si="18"/>
        <v>0.36869207</v>
      </c>
      <c r="I8337" s="78" t="s">
        <v>9496</v>
      </c>
      <c r="J8337" s="78" t="s">
        <v>69</v>
      </c>
      <c r="K8337" s="58">
        <f t="shared" si="17"/>
        <v>1</v>
      </c>
      <c r="L8337" s="91" t="str">
        <f t="shared" si="8"/>
        <v>Mon</v>
      </c>
      <c r="M8337" s="78" t="str">
        <f>IFERROR(VLOOKUP(A8337, Entries!A:B,2,false),"")</f>
        <v>Electronic Arts</v>
      </c>
      <c r="N8337" s="23" t="str">
        <f>IFERROR(VLOOKUP(A8337, Entries!A:K,11,false),"")</f>
        <v/>
      </c>
    </row>
    <row r="8338">
      <c r="A8338" s="78" t="s">
        <v>7814</v>
      </c>
      <c r="B8338" s="78" t="s">
        <v>25</v>
      </c>
      <c r="C8338" s="85">
        <v>46005.0</v>
      </c>
      <c r="D8338" s="85">
        <v>46016.0</v>
      </c>
      <c r="E8338" s="86">
        <v>24.54</v>
      </c>
      <c r="F8338" s="87">
        <v>28.22</v>
      </c>
      <c r="G8338" s="88">
        <f t="shared" si="23"/>
        <v>3.68</v>
      </c>
      <c r="H8338" s="89">
        <f t="shared" si="18"/>
        <v>0.1304039688</v>
      </c>
      <c r="I8338" s="78" t="s">
        <v>9497</v>
      </c>
      <c r="J8338" s="78" t="s">
        <v>69</v>
      </c>
      <c r="K8338" s="58">
        <f t="shared" si="17"/>
        <v>11</v>
      </c>
      <c r="L8338" s="91" t="str">
        <f t="shared" si="8"/>
        <v>Thu</v>
      </c>
      <c r="M8338" s="78" t="str">
        <f>IFERROR(VLOOKUP(A8338, Entries!A:B,2,false),"")</f>
        <v>Electronic Arts</v>
      </c>
      <c r="N8338" s="23" t="str">
        <f>IFERROR(VLOOKUP(A8338, Entries!A:K,11,false),"")</f>
        <v/>
      </c>
    </row>
    <row r="8339">
      <c r="A8339" s="78" t="s">
        <v>9233</v>
      </c>
      <c r="B8339" s="78" t="s">
        <v>40</v>
      </c>
      <c r="C8339" s="85">
        <v>46006.0</v>
      </c>
      <c r="D8339" s="85">
        <v>46006.0</v>
      </c>
      <c r="E8339" s="86">
        <v>9.31</v>
      </c>
      <c r="F8339" s="87">
        <v>12.1</v>
      </c>
      <c r="G8339" s="88">
        <f t="shared" si="23"/>
        <v>2.79</v>
      </c>
      <c r="H8339" s="89">
        <f t="shared" si="18"/>
        <v>0.2305785124</v>
      </c>
      <c r="I8339" s="78" t="s">
        <v>9498</v>
      </c>
      <c r="J8339" s="78" t="s">
        <v>69</v>
      </c>
      <c r="K8339" s="58">
        <f t="shared" si="17"/>
        <v>0</v>
      </c>
      <c r="L8339" s="91" t="str">
        <f t="shared" si="8"/>
        <v>Mon</v>
      </c>
      <c r="M8339" s="78" t="str">
        <f>IFERROR(VLOOKUP(A8339, Entries!A:B,2,false),"")</f>
        <v>Behaviour Interactive</v>
      </c>
      <c r="N8339" s="23" t="str">
        <f>IFERROR(VLOOKUP(A8339, Entries!A:K,11,false),"")</f>
        <v/>
      </c>
    </row>
    <row r="8340">
      <c r="A8340" s="78" t="s">
        <v>9233</v>
      </c>
      <c r="B8340" s="78" t="s">
        <v>40</v>
      </c>
      <c r="C8340" s="85">
        <v>46006.0</v>
      </c>
      <c r="D8340" s="85">
        <v>46006.0</v>
      </c>
      <c r="E8340" s="86">
        <v>9.31</v>
      </c>
      <c r="F8340" s="87">
        <v>12.1</v>
      </c>
      <c r="G8340" s="88">
        <f t="shared" si="23"/>
        <v>2.79</v>
      </c>
      <c r="H8340" s="89">
        <f t="shared" si="18"/>
        <v>0.2305785124</v>
      </c>
      <c r="I8340" s="78" t="s">
        <v>9499</v>
      </c>
      <c r="J8340" s="78" t="s">
        <v>69</v>
      </c>
      <c r="K8340" s="58">
        <f t="shared" si="17"/>
        <v>0</v>
      </c>
      <c r="L8340" s="91" t="str">
        <f t="shared" si="8"/>
        <v>Mon</v>
      </c>
      <c r="M8340" s="78" t="str">
        <f>IFERROR(VLOOKUP(A8340, Entries!A:B,2,false),"")</f>
        <v>Behaviour Interactive</v>
      </c>
      <c r="N8340" s="23" t="str">
        <f>IFERROR(VLOOKUP(A8340, Entries!A:K,11,false),"")</f>
        <v/>
      </c>
    </row>
    <row r="8341">
      <c r="A8341" s="78" t="s">
        <v>9233</v>
      </c>
      <c r="B8341" s="78" t="s">
        <v>40</v>
      </c>
      <c r="C8341" s="85">
        <v>46006.0</v>
      </c>
      <c r="D8341" s="85">
        <v>46007.0</v>
      </c>
      <c r="E8341" s="86">
        <v>9.31</v>
      </c>
      <c r="F8341" s="87">
        <v>12.2</v>
      </c>
      <c r="G8341" s="88">
        <f t="shared" si="23"/>
        <v>2.89</v>
      </c>
      <c r="H8341" s="89">
        <f t="shared" si="18"/>
        <v>0.2368852459</v>
      </c>
      <c r="I8341" s="78" t="s">
        <v>9500</v>
      </c>
      <c r="J8341" s="78" t="s">
        <v>69</v>
      </c>
      <c r="K8341" s="58">
        <f t="shared" si="17"/>
        <v>1</v>
      </c>
      <c r="L8341" s="91" t="str">
        <f t="shared" si="8"/>
        <v>Tue</v>
      </c>
      <c r="M8341" s="78" t="str">
        <f>IFERROR(VLOOKUP(A8341, Entries!A:B,2,false),"")</f>
        <v>Behaviour Interactive</v>
      </c>
      <c r="N8341" s="23" t="str">
        <f>IFERROR(VLOOKUP(A8341, Entries!A:K,11,false),"")</f>
        <v/>
      </c>
    </row>
    <row r="8342">
      <c r="A8342" s="78" t="s">
        <v>7814</v>
      </c>
      <c r="B8342" s="78" t="s">
        <v>25</v>
      </c>
      <c r="C8342" s="85">
        <v>46006.0</v>
      </c>
      <c r="D8342" s="85">
        <v>46020.0</v>
      </c>
      <c r="E8342" s="86">
        <v>24.52</v>
      </c>
      <c r="F8342" s="87">
        <v>39.49</v>
      </c>
      <c r="G8342" s="88">
        <f t="shared" si="23"/>
        <v>14.97</v>
      </c>
      <c r="H8342" s="89">
        <f t="shared" si="18"/>
        <v>0.3790833122</v>
      </c>
      <c r="I8342" s="78" t="s">
        <v>9501</v>
      </c>
      <c r="J8342" s="78" t="s">
        <v>69</v>
      </c>
      <c r="K8342" s="58">
        <f t="shared" si="17"/>
        <v>14</v>
      </c>
      <c r="L8342" s="91" t="str">
        <f t="shared" si="8"/>
        <v>Mon</v>
      </c>
      <c r="M8342" s="78" t="str">
        <f>IFERROR(VLOOKUP(A8342, Entries!A:B,2,false),"")</f>
        <v>Electronic Arts</v>
      </c>
      <c r="N8342" s="23" t="str">
        <f>IFERROR(VLOOKUP(A8342, Entries!A:K,11,false),"")</f>
        <v/>
      </c>
    </row>
    <row r="8343">
      <c r="A8343" s="78" t="s">
        <v>7814</v>
      </c>
      <c r="B8343" s="78" t="s">
        <v>25</v>
      </c>
      <c r="C8343" s="85">
        <v>46006.0</v>
      </c>
      <c r="D8343" s="85">
        <v>46023.0</v>
      </c>
      <c r="E8343" s="86">
        <v>24.52</v>
      </c>
      <c r="F8343" s="87">
        <v>39.49</v>
      </c>
      <c r="G8343" s="88">
        <f t="shared" si="23"/>
        <v>14.97</v>
      </c>
      <c r="H8343" s="89">
        <f t="shared" si="18"/>
        <v>0.3790833122</v>
      </c>
      <c r="I8343" s="78" t="s">
        <v>9502</v>
      </c>
      <c r="J8343" s="78" t="s">
        <v>69</v>
      </c>
      <c r="K8343" s="58">
        <f t="shared" si="17"/>
        <v>17</v>
      </c>
      <c r="L8343" s="91" t="str">
        <f t="shared" si="8"/>
        <v>Thu</v>
      </c>
      <c r="M8343" s="78" t="str">
        <f>IFERROR(VLOOKUP(A8343, Entries!A:B,2,false),"")</f>
        <v>Electronic Arts</v>
      </c>
      <c r="N8343" s="23" t="str">
        <f>IFERROR(VLOOKUP(A8343, Entries!A:K,11,false),"")</f>
        <v/>
      </c>
    </row>
    <row r="8344">
      <c r="A8344" s="78" t="s">
        <v>7814</v>
      </c>
      <c r="B8344" s="78" t="s">
        <v>25</v>
      </c>
      <c r="C8344" s="85">
        <v>46006.0</v>
      </c>
      <c r="D8344" s="85">
        <v>46023.0</v>
      </c>
      <c r="E8344" s="86">
        <v>24.54</v>
      </c>
      <c r="F8344" s="87">
        <v>39.49</v>
      </c>
      <c r="G8344" s="88">
        <f t="shared" si="23"/>
        <v>14.95</v>
      </c>
      <c r="H8344" s="89">
        <f t="shared" si="18"/>
        <v>0.3785768549</v>
      </c>
      <c r="I8344" s="78" t="s">
        <v>9503</v>
      </c>
      <c r="J8344" s="78" t="s">
        <v>69</v>
      </c>
      <c r="K8344" s="58">
        <f t="shared" si="17"/>
        <v>17</v>
      </c>
      <c r="L8344" s="91" t="str">
        <f t="shared" si="8"/>
        <v>Thu</v>
      </c>
      <c r="M8344" s="78" t="str">
        <f>IFERROR(VLOOKUP(A8344, Entries!A:B,2,false),"")</f>
        <v>Electronic Arts</v>
      </c>
      <c r="N8344" s="23" t="str">
        <f>IFERROR(VLOOKUP(A8344, Entries!A:K,11,false),"")</f>
        <v/>
      </c>
    </row>
    <row r="8345">
      <c r="A8345" s="78" t="s">
        <v>7814</v>
      </c>
      <c r="B8345" s="78" t="s">
        <v>25</v>
      </c>
      <c r="C8345" s="85">
        <v>46006.0</v>
      </c>
      <c r="D8345" s="85">
        <v>46028.0</v>
      </c>
      <c r="E8345" s="86">
        <v>24.66</v>
      </c>
      <c r="F8345" s="87">
        <v>39.49</v>
      </c>
      <c r="G8345" s="88">
        <f t="shared" si="23"/>
        <v>14.83</v>
      </c>
      <c r="H8345" s="89">
        <f t="shared" si="18"/>
        <v>0.3755381109</v>
      </c>
      <c r="I8345" s="78" t="s">
        <v>9504</v>
      </c>
      <c r="J8345" s="78" t="s">
        <v>69</v>
      </c>
      <c r="K8345" s="58">
        <f t="shared" si="17"/>
        <v>22</v>
      </c>
      <c r="L8345" s="91" t="str">
        <f t="shared" si="8"/>
        <v>Tue</v>
      </c>
      <c r="M8345" s="78" t="str">
        <f>IFERROR(VLOOKUP(A8345, Entries!A:B,2,false),"")</f>
        <v>Electronic Arts</v>
      </c>
      <c r="N8345" s="23" t="str">
        <f>IFERROR(VLOOKUP(A8345, Entries!A:K,11,false),"")</f>
        <v/>
      </c>
    </row>
    <row r="8346">
      <c r="A8346" s="78" t="s">
        <v>9233</v>
      </c>
      <c r="B8346" s="78" t="s">
        <v>40</v>
      </c>
      <c r="C8346" s="85">
        <v>46015.0</v>
      </c>
      <c r="D8346" s="85">
        <v>46016.0</v>
      </c>
      <c r="E8346" s="86">
        <v>9.31</v>
      </c>
      <c r="F8346" s="87">
        <v>10.56</v>
      </c>
      <c r="G8346" s="88">
        <f t="shared" si="23"/>
        <v>1.25</v>
      </c>
      <c r="H8346" s="89">
        <f t="shared" si="18"/>
        <v>0.1183712121</v>
      </c>
      <c r="I8346" s="78" t="s">
        <v>9505</v>
      </c>
      <c r="J8346" s="78" t="s">
        <v>69</v>
      </c>
      <c r="K8346" s="58">
        <f t="shared" si="17"/>
        <v>1</v>
      </c>
      <c r="L8346" s="91" t="str">
        <f t="shared" si="8"/>
        <v>Thu</v>
      </c>
      <c r="M8346" s="78" t="str">
        <f>IFERROR(VLOOKUP(A8346, Entries!A:B,2,false),"")</f>
        <v>Behaviour Interactive</v>
      </c>
      <c r="N8346" s="23" t="str">
        <f>IFERROR(VLOOKUP(A8346, Entries!A:K,11,false),"")</f>
        <v/>
      </c>
    </row>
    <row r="8347">
      <c r="A8347" s="78" t="s">
        <v>9365</v>
      </c>
      <c r="B8347" s="78" t="s">
        <v>27</v>
      </c>
      <c r="C8347" s="85">
        <v>46015.0</v>
      </c>
      <c r="D8347" s="85">
        <v>46015.0</v>
      </c>
      <c r="E8347" s="86">
        <v>33.29</v>
      </c>
      <c r="F8347" s="87">
        <v>46.3</v>
      </c>
      <c r="G8347" s="88">
        <f t="shared" si="23"/>
        <v>13.01</v>
      </c>
      <c r="H8347" s="89">
        <f t="shared" si="18"/>
        <v>0.2809935205</v>
      </c>
      <c r="I8347" s="78" t="s">
        <v>9506</v>
      </c>
      <c r="J8347" s="78" t="s">
        <v>69</v>
      </c>
      <c r="K8347" s="58">
        <f t="shared" si="17"/>
        <v>0</v>
      </c>
      <c r="L8347" s="91" t="str">
        <f t="shared" si="8"/>
        <v>Wed</v>
      </c>
      <c r="M8347" s="78" t="str">
        <f>IFERROR(VLOOKUP(A8347, Entries!A:B,2,false),"")</f>
        <v/>
      </c>
      <c r="N8347" s="23" t="str">
        <f>IFERROR(VLOOKUP(A8347, Entries!A:K,11,false),"")</f>
        <v/>
      </c>
    </row>
    <row r="8348">
      <c r="A8348" s="78" t="s">
        <v>9365</v>
      </c>
      <c r="B8348" s="78" t="s">
        <v>27</v>
      </c>
      <c r="C8348" s="85">
        <v>46015.0</v>
      </c>
      <c r="D8348" s="85">
        <v>46018.0</v>
      </c>
      <c r="E8348" s="86">
        <v>33.29</v>
      </c>
      <c r="F8348" s="87">
        <v>30.99</v>
      </c>
      <c r="G8348" s="88">
        <f t="shared" si="23"/>
        <v>-2.3</v>
      </c>
      <c r="H8348" s="89">
        <f t="shared" si="18"/>
        <v>-0.07421748951</v>
      </c>
      <c r="I8348" s="78" t="s">
        <v>9507</v>
      </c>
      <c r="J8348" s="78" t="s">
        <v>69</v>
      </c>
      <c r="K8348" s="58">
        <f t="shared" si="17"/>
        <v>3</v>
      </c>
      <c r="L8348" s="91" t="str">
        <f t="shared" si="8"/>
        <v>Sat</v>
      </c>
      <c r="M8348" s="78" t="str">
        <f>IFERROR(VLOOKUP(A8348, Entries!A:B,2,false),"")</f>
        <v/>
      </c>
      <c r="N8348" s="23" t="str">
        <f>IFERROR(VLOOKUP(A8348, Entries!A:K,11,false),"")</f>
        <v/>
      </c>
    </row>
    <row r="8349">
      <c r="A8349" s="78" t="s">
        <v>9233</v>
      </c>
      <c r="B8349" s="78" t="s">
        <v>40</v>
      </c>
      <c r="C8349" s="85">
        <v>46016.0</v>
      </c>
      <c r="D8349" s="85">
        <v>46016.0</v>
      </c>
      <c r="E8349" s="86">
        <v>9.31</v>
      </c>
      <c r="F8349" s="87">
        <v>10.56</v>
      </c>
      <c r="G8349" s="88">
        <f t="shared" si="23"/>
        <v>1.25</v>
      </c>
      <c r="H8349" s="89">
        <f t="shared" si="18"/>
        <v>0.1183712121</v>
      </c>
      <c r="I8349" s="78" t="s">
        <v>9508</v>
      </c>
      <c r="J8349" s="78" t="s">
        <v>69</v>
      </c>
      <c r="K8349" s="58">
        <f t="shared" si="17"/>
        <v>0</v>
      </c>
      <c r="L8349" s="91" t="str">
        <f t="shared" si="8"/>
        <v>Thu</v>
      </c>
      <c r="M8349" s="78" t="str">
        <f>IFERROR(VLOOKUP(A8349, Entries!A:B,2,false),"")</f>
        <v>Behaviour Interactive</v>
      </c>
      <c r="N8349" s="23" t="str">
        <f>IFERROR(VLOOKUP(A8349, Entries!A:K,11,false),"")</f>
        <v/>
      </c>
    </row>
    <row r="8350">
      <c r="A8350" s="78" t="s">
        <v>9233</v>
      </c>
      <c r="B8350" s="78" t="s">
        <v>40</v>
      </c>
      <c r="C8350" s="85">
        <v>46016.0</v>
      </c>
      <c r="D8350" s="85">
        <v>46018.0</v>
      </c>
      <c r="E8350" s="86">
        <v>9.31</v>
      </c>
      <c r="F8350" s="87">
        <v>11.91</v>
      </c>
      <c r="G8350" s="88">
        <f t="shared" si="23"/>
        <v>2.6</v>
      </c>
      <c r="H8350" s="89">
        <f t="shared" si="18"/>
        <v>0.2183039463</v>
      </c>
      <c r="I8350" s="78" t="s">
        <v>9509</v>
      </c>
      <c r="J8350" s="78" t="s">
        <v>69</v>
      </c>
      <c r="K8350" s="58">
        <f t="shared" si="17"/>
        <v>2</v>
      </c>
      <c r="L8350" s="91" t="str">
        <f t="shared" si="8"/>
        <v>Sat</v>
      </c>
      <c r="M8350" s="78" t="str">
        <f>IFERROR(VLOOKUP(A8350, Entries!A:B,2,false),"")</f>
        <v>Behaviour Interactive</v>
      </c>
      <c r="N8350" s="23" t="str">
        <f>IFERROR(VLOOKUP(A8350, Entries!A:K,11,false),"")</f>
        <v/>
      </c>
    </row>
    <row r="8351">
      <c r="A8351" s="78" t="s">
        <v>9361</v>
      </c>
      <c r="B8351" s="78" t="s">
        <v>27</v>
      </c>
      <c r="C8351" s="85">
        <v>46017.0</v>
      </c>
      <c r="D8351" s="85">
        <v>46019.0</v>
      </c>
      <c r="E8351" s="86">
        <v>16.09</v>
      </c>
      <c r="F8351" s="87">
        <v>19.48</v>
      </c>
      <c r="G8351" s="88">
        <f t="shared" si="23"/>
        <v>3.39</v>
      </c>
      <c r="H8351" s="89">
        <f t="shared" si="18"/>
        <v>0.1740246407</v>
      </c>
      <c r="I8351" s="78" t="s">
        <v>9510</v>
      </c>
      <c r="J8351" s="78" t="s">
        <v>69</v>
      </c>
      <c r="K8351" s="58">
        <f t="shared" si="17"/>
        <v>2</v>
      </c>
      <c r="L8351" s="91" t="str">
        <f t="shared" si="8"/>
        <v>Sun</v>
      </c>
      <c r="M8351" s="78" t="str">
        <f>IFERROR(VLOOKUP(A8351, Entries!A:B,2,false),"")</f>
        <v/>
      </c>
      <c r="N8351" s="23" t="str">
        <f>IFERROR(VLOOKUP(A8351, Entries!A:K,11,false),"")</f>
        <v/>
      </c>
    </row>
    <row r="8352">
      <c r="A8352" s="78" t="s">
        <v>9365</v>
      </c>
      <c r="B8352" s="78" t="s">
        <v>27</v>
      </c>
      <c r="C8352" s="85">
        <v>46018.0</v>
      </c>
      <c r="D8352" s="85">
        <v>46018.0</v>
      </c>
      <c r="E8352" s="86">
        <v>33.29</v>
      </c>
      <c r="F8352" s="87">
        <v>30.99</v>
      </c>
      <c r="G8352" s="88">
        <f t="shared" si="23"/>
        <v>-2.3</v>
      </c>
      <c r="H8352" s="89">
        <f t="shared" si="18"/>
        <v>-0.07421748951</v>
      </c>
      <c r="I8352" s="78" t="s">
        <v>9511</v>
      </c>
      <c r="J8352" s="78" t="s">
        <v>69</v>
      </c>
      <c r="K8352" s="58">
        <f t="shared" si="17"/>
        <v>0</v>
      </c>
      <c r="L8352" s="91" t="str">
        <f t="shared" si="8"/>
        <v>Sat</v>
      </c>
      <c r="M8352" s="78" t="str">
        <f>IFERROR(VLOOKUP(A8352, Entries!A:B,2,false),"")</f>
        <v/>
      </c>
      <c r="N8352" s="23" t="str">
        <f>IFERROR(VLOOKUP(A8352, Entries!A:K,11,false),"")</f>
        <v/>
      </c>
    </row>
    <row r="8353">
      <c r="A8353" s="78" t="s">
        <v>9365</v>
      </c>
      <c r="B8353" s="78" t="s">
        <v>27</v>
      </c>
      <c r="C8353" s="85">
        <v>46018.0</v>
      </c>
      <c r="D8353" s="85">
        <v>46018.0</v>
      </c>
      <c r="E8353" s="86">
        <v>33.29</v>
      </c>
      <c r="F8353" s="87">
        <v>44.9</v>
      </c>
      <c r="G8353" s="88">
        <f t="shared" si="23"/>
        <v>11.61</v>
      </c>
      <c r="H8353" s="89">
        <f t="shared" si="18"/>
        <v>0.2585746102</v>
      </c>
      <c r="I8353" s="78" t="s">
        <v>9512</v>
      </c>
      <c r="J8353" s="78" t="s">
        <v>69</v>
      </c>
      <c r="K8353" s="58">
        <f t="shared" si="17"/>
        <v>0</v>
      </c>
      <c r="L8353" s="91" t="str">
        <f t="shared" si="8"/>
        <v>Sat</v>
      </c>
      <c r="M8353" s="78" t="str">
        <f>IFERROR(VLOOKUP(A8353, Entries!A:B,2,false),"")</f>
        <v/>
      </c>
      <c r="N8353" s="23" t="str">
        <f>IFERROR(VLOOKUP(A8353, Entries!A:K,11,false),"")</f>
        <v/>
      </c>
    </row>
    <row r="8354">
      <c r="A8354" s="78" t="s">
        <v>9365</v>
      </c>
      <c r="B8354" s="78" t="s">
        <v>27</v>
      </c>
      <c r="C8354" s="85">
        <v>46018.0</v>
      </c>
      <c r="D8354" s="85">
        <v>46020.0</v>
      </c>
      <c r="E8354" s="86">
        <v>33.29</v>
      </c>
      <c r="F8354" s="87">
        <v>47.6</v>
      </c>
      <c r="G8354" s="88">
        <f t="shared" si="23"/>
        <v>14.31</v>
      </c>
      <c r="H8354" s="89">
        <f t="shared" si="18"/>
        <v>0.3006302521</v>
      </c>
      <c r="I8354" s="78" t="s">
        <v>9513</v>
      </c>
      <c r="J8354" s="78" t="s">
        <v>69</v>
      </c>
      <c r="K8354" s="58">
        <f t="shared" si="17"/>
        <v>2</v>
      </c>
      <c r="L8354" s="91" t="str">
        <f t="shared" si="8"/>
        <v>Mon</v>
      </c>
      <c r="M8354" s="78" t="str">
        <f>IFERROR(VLOOKUP(A8354, Entries!A:B,2,false),"")</f>
        <v/>
      </c>
      <c r="N8354" s="23" t="str">
        <f>IFERROR(VLOOKUP(A8354, Entries!A:K,11,false),"")</f>
        <v/>
      </c>
    </row>
    <row r="8355">
      <c r="A8355" s="78" t="s">
        <v>9233</v>
      </c>
      <c r="B8355" s="78" t="s">
        <v>40</v>
      </c>
      <c r="C8355" s="85">
        <v>46019.0</v>
      </c>
      <c r="D8355" s="85">
        <v>46024.0</v>
      </c>
      <c r="E8355" s="86">
        <v>9.31</v>
      </c>
      <c r="F8355" s="87">
        <v>10.68</v>
      </c>
      <c r="G8355" s="88">
        <f t="shared" si="23"/>
        <v>1.37</v>
      </c>
      <c r="H8355" s="89">
        <f t="shared" si="18"/>
        <v>0.1282771536</v>
      </c>
      <c r="I8355" s="78" t="s">
        <v>9514</v>
      </c>
      <c r="J8355" s="78" t="s">
        <v>69</v>
      </c>
      <c r="K8355" s="58">
        <f t="shared" si="17"/>
        <v>5</v>
      </c>
      <c r="L8355" s="91" t="str">
        <f t="shared" si="8"/>
        <v>Fri</v>
      </c>
      <c r="M8355" s="78" t="str">
        <f>IFERROR(VLOOKUP(A8355, Entries!A:B,2,false),"")</f>
        <v>Behaviour Interactive</v>
      </c>
      <c r="N8355" s="23" t="str">
        <f>IFERROR(VLOOKUP(A8355, Entries!A:K,11,false),"")</f>
        <v/>
      </c>
    </row>
    <row r="8356">
      <c r="A8356" s="78" t="s">
        <v>9361</v>
      </c>
      <c r="B8356" s="78" t="s">
        <v>27</v>
      </c>
      <c r="C8356" s="85">
        <v>46019.0</v>
      </c>
      <c r="D8356" s="85">
        <v>46022.0</v>
      </c>
      <c r="E8356" s="86">
        <v>16.09</v>
      </c>
      <c r="F8356" s="87">
        <v>19.43</v>
      </c>
      <c r="G8356" s="88">
        <f t="shared" si="23"/>
        <v>3.34</v>
      </c>
      <c r="H8356" s="89">
        <f t="shared" si="18"/>
        <v>0.1718991251</v>
      </c>
      <c r="I8356" s="78" t="s">
        <v>9515</v>
      </c>
      <c r="J8356" s="78" t="s">
        <v>69</v>
      </c>
      <c r="K8356" s="58">
        <f t="shared" si="17"/>
        <v>3</v>
      </c>
      <c r="L8356" s="91" t="str">
        <f t="shared" si="8"/>
        <v>Wed</v>
      </c>
      <c r="M8356" s="78" t="str">
        <f>IFERROR(VLOOKUP(A8356, Entries!A:B,2,false),"")</f>
        <v/>
      </c>
      <c r="N8356" s="23" t="str">
        <f>IFERROR(VLOOKUP(A8356, Entries!A:K,11,false),"")</f>
        <v/>
      </c>
    </row>
    <row r="8357">
      <c r="A8357" s="78" t="s">
        <v>9365</v>
      </c>
      <c r="B8357" s="78" t="s">
        <v>27</v>
      </c>
      <c r="C8357" s="85">
        <v>46020.0</v>
      </c>
      <c r="D8357" s="85">
        <v>46022.0</v>
      </c>
      <c r="E8357" s="86">
        <v>34.49</v>
      </c>
      <c r="F8357" s="87">
        <v>47.6</v>
      </c>
      <c r="G8357" s="88">
        <f t="shared" si="23"/>
        <v>13.11</v>
      </c>
      <c r="H8357" s="89">
        <f t="shared" si="18"/>
        <v>0.2754201681</v>
      </c>
      <c r="I8357" s="78" t="s">
        <v>9516</v>
      </c>
      <c r="J8357" s="78" t="s">
        <v>69</v>
      </c>
      <c r="K8357" s="58">
        <f t="shared" si="17"/>
        <v>2</v>
      </c>
      <c r="L8357" s="91" t="str">
        <f t="shared" si="8"/>
        <v>Wed</v>
      </c>
      <c r="M8357" s="78" t="str">
        <f>IFERROR(VLOOKUP(A8357, Entries!A:B,2,false),"")</f>
        <v/>
      </c>
      <c r="N8357" s="23" t="str">
        <f>IFERROR(VLOOKUP(A8357, Entries!A:K,11,false),"")</f>
        <v/>
      </c>
    </row>
    <row r="8358">
      <c r="A8358" s="78" t="s">
        <v>9517</v>
      </c>
      <c r="B8358" s="78" t="s">
        <v>18</v>
      </c>
      <c r="C8358" s="85">
        <v>46021.0</v>
      </c>
      <c r="D8358" s="85">
        <v>46021.0</v>
      </c>
      <c r="E8358" s="86">
        <v>12.57</v>
      </c>
      <c r="F8358" s="87">
        <v>19.32</v>
      </c>
      <c r="G8358" s="88">
        <f t="shared" si="23"/>
        <v>6.75</v>
      </c>
      <c r="H8358" s="89">
        <f t="shared" si="18"/>
        <v>0.349378882</v>
      </c>
      <c r="I8358" s="78" t="s">
        <v>9518</v>
      </c>
      <c r="J8358" s="78" t="s">
        <v>69</v>
      </c>
      <c r="K8358" s="58">
        <f t="shared" si="17"/>
        <v>0</v>
      </c>
      <c r="L8358" s="91" t="str">
        <f t="shared" si="8"/>
        <v>Tue</v>
      </c>
      <c r="M8358" s="78" t="str">
        <f>IFERROR(VLOOKUP(A8358, Entries!A:B,2,false),"")</f>
        <v/>
      </c>
      <c r="N8358" s="23" t="str">
        <f>IFERROR(VLOOKUP(A8358, Entries!A:K,11,false),"")</f>
        <v/>
      </c>
    </row>
    <row r="8359">
      <c r="A8359" s="78" t="s">
        <v>9517</v>
      </c>
      <c r="B8359" s="78" t="s">
        <v>18</v>
      </c>
      <c r="C8359" s="85">
        <v>46021.0</v>
      </c>
      <c r="D8359" s="85">
        <v>46040.0</v>
      </c>
      <c r="E8359" s="86">
        <v>12.57</v>
      </c>
      <c r="F8359" s="87">
        <v>18.16</v>
      </c>
      <c r="G8359" s="88">
        <f t="shared" si="23"/>
        <v>5.59</v>
      </c>
      <c r="H8359" s="89">
        <f t="shared" si="18"/>
        <v>0.3078193833</v>
      </c>
      <c r="I8359" s="78" t="s">
        <v>9519</v>
      </c>
      <c r="J8359" s="78" t="s">
        <v>69</v>
      </c>
      <c r="K8359" s="58">
        <f t="shared" si="17"/>
        <v>19</v>
      </c>
      <c r="L8359" s="91" t="str">
        <f t="shared" si="8"/>
        <v>Sun</v>
      </c>
      <c r="M8359" s="78" t="str">
        <f>IFERROR(VLOOKUP(A8359, Entries!A:B,2,false),"")</f>
        <v/>
      </c>
      <c r="N8359" s="23" t="str">
        <f>IFERROR(VLOOKUP(A8359, Entries!A:K,11,false),"")</f>
        <v/>
      </c>
    </row>
    <row r="8360">
      <c r="A8360" s="78" t="s">
        <v>9517</v>
      </c>
      <c r="B8360" s="78" t="s">
        <v>18</v>
      </c>
      <c r="C8360" s="85">
        <v>46021.0</v>
      </c>
      <c r="D8360" s="85">
        <v>46043.0</v>
      </c>
      <c r="E8360" s="86">
        <v>12.56</v>
      </c>
      <c r="F8360" s="87">
        <v>15.17</v>
      </c>
      <c r="G8360" s="88">
        <f t="shared" si="23"/>
        <v>2.61</v>
      </c>
      <c r="H8360" s="89">
        <f t="shared" si="18"/>
        <v>0.1720500989</v>
      </c>
      <c r="I8360" s="78" t="s">
        <v>9520</v>
      </c>
      <c r="J8360" s="78" t="s">
        <v>69</v>
      </c>
      <c r="K8360" s="58">
        <f t="shared" si="17"/>
        <v>22</v>
      </c>
      <c r="L8360" s="91" t="str">
        <f t="shared" si="8"/>
        <v>Wed</v>
      </c>
      <c r="M8360" s="78" t="str">
        <f>IFERROR(VLOOKUP(A8360, Entries!A:B,2,false),"")</f>
        <v/>
      </c>
      <c r="N8360" s="23" t="str">
        <f>IFERROR(VLOOKUP(A8360, Entries!A:K,11,false),"")</f>
        <v/>
      </c>
    </row>
    <row r="8361">
      <c r="A8361" s="78" t="s">
        <v>9361</v>
      </c>
      <c r="B8361" s="78" t="s">
        <v>27</v>
      </c>
      <c r="C8361" s="85">
        <v>46022.0</v>
      </c>
      <c r="D8361" s="85">
        <v>46023.0</v>
      </c>
      <c r="E8361" s="86">
        <v>16.09</v>
      </c>
      <c r="F8361" s="87">
        <v>19.48</v>
      </c>
      <c r="G8361" s="88">
        <f t="shared" si="23"/>
        <v>3.39</v>
      </c>
      <c r="H8361" s="89">
        <f t="shared" si="18"/>
        <v>0.1740246407</v>
      </c>
      <c r="I8361" s="78" t="s">
        <v>9521</v>
      </c>
      <c r="J8361" s="78" t="s">
        <v>69</v>
      </c>
      <c r="K8361" s="58">
        <f t="shared" si="17"/>
        <v>1</v>
      </c>
      <c r="L8361" s="91" t="str">
        <f t="shared" si="8"/>
        <v>Thu</v>
      </c>
      <c r="M8361" s="78" t="str">
        <f>IFERROR(VLOOKUP(A8361, Entries!A:B,2,false),"")</f>
        <v/>
      </c>
      <c r="N8361" s="23" t="str">
        <f>IFERROR(VLOOKUP(A8361, Entries!A:K,11,false),"")</f>
        <v/>
      </c>
    </row>
    <row r="8362">
      <c r="A8362" s="78" t="s">
        <v>9233</v>
      </c>
      <c r="B8362" s="78" t="s">
        <v>25</v>
      </c>
      <c r="C8362" s="85">
        <v>46022.0</v>
      </c>
      <c r="D8362" s="85">
        <v>46024.0</v>
      </c>
      <c r="E8362" s="86">
        <v>7.53</v>
      </c>
      <c r="F8362" s="87">
        <v>10.68</v>
      </c>
      <c r="G8362" s="88">
        <f t="shared" si="23"/>
        <v>3.15</v>
      </c>
      <c r="H8362" s="89">
        <f t="shared" si="18"/>
        <v>0.2949438202</v>
      </c>
      <c r="I8362" s="78" t="s">
        <v>9522</v>
      </c>
      <c r="J8362" s="78" t="s">
        <v>69</v>
      </c>
      <c r="K8362" s="58">
        <f t="shared" si="17"/>
        <v>2</v>
      </c>
      <c r="L8362" s="91" t="str">
        <f t="shared" si="8"/>
        <v>Fri</v>
      </c>
      <c r="M8362" s="78" t="str">
        <f>IFERROR(VLOOKUP(A8362, Entries!A:B,2,false),"")</f>
        <v>Behaviour Interactive</v>
      </c>
      <c r="N8362" s="23" t="str">
        <f>IFERROR(VLOOKUP(A8362, Entries!A:K,11,false),"")</f>
        <v/>
      </c>
    </row>
    <row r="8363">
      <c r="A8363" s="78" t="s">
        <v>9365</v>
      </c>
      <c r="B8363" s="78" t="s">
        <v>27</v>
      </c>
      <c r="C8363" s="85">
        <v>46022.0</v>
      </c>
      <c r="D8363" s="85">
        <v>46027.0</v>
      </c>
      <c r="E8363" s="86">
        <v>34.49</v>
      </c>
      <c r="F8363" s="87">
        <v>48.2</v>
      </c>
      <c r="G8363" s="88">
        <f t="shared" si="23"/>
        <v>13.71</v>
      </c>
      <c r="H8363" s="89">
        <f t="shared" si="18"/>
        <v>0.284439834</v>
      </c>
      <c r="I8363" s="78" t="s">
        <v>9523</v>
      </c>
      <c r="J8363" s="78" t="s">
        <v>69</v>
      </c>
      <c r="K8363" s="58">
        <f t="shared" si="17"/>
        <v>5</v>
      </c>
      <c r="L8363" s="91" t="str">
        <f t="shared" si="8"/>
        <v>Mon</v>
      </c>
      <c r="M8363" s="78" t="str">
        <f>IFERROR(VLOOKUP(A8363, Entries!A:B,2,false),"")</f>
        <v/>
      </c>
      <c r="N8363" s="23" t="str">
        <f>IFERROR(VLOOKUP(A8363, Entries!A:K,11,false),"")</f>
        <v/>
      </c>
    </row>
    <row r="8364">
      <c r="A8364" s="78" t="s">
        <v>9361</v>
      </c>
      <c r="B8364" s="78" t="s">
        <v>27</v>
      </c>
      <c r="C8364" s="85">
        <v>46023.0</v>
      </c>
      <c r="D8364" s="85">
        <v>46027.0</v>
      </c>
      <c r="E8364" s="86">
        <v>16.09</v>
      </c>
      <c r="F8364" s="87">
        <v>19.22</v>
      </c>
      <c r="G8364" s="88">
        <f t="shared" si="23"/>
        <v>3.13</v>
      </c>
      <c r="H8364" s="89">
        <f t="shared" si="18"/>
        <v>0.1628511967</v>
      </c>
      <c r="I8364" s="78" t="s">
        <v>9524</v>
      </c>
      <c r="J8364" s="78" t="s">
        <v>69</v>
      </c>
      <c r="K8364" s="58">
        <f t="shared" si="17"/>
        <v>4</v>
      </c>
      <c r="L8364" s="91" t="str">
        <f t="shared" si="8"/>
        <v>Mon</v>
      </c>
      <c r="M8364" s="78" t="str">
        <f>IFERROR(VLOOKUP(A8364, Entries!A:B,2,false),"")</f>
        <v/>
      </c>
      <c r="N8364" s="23" t="str">
        <f>IFERROR(VLOOKUP(A8364, Entries!A:K,11,false),"")</f>
        <v/>
      </c>
    </row>
    <row r="8365">
      <c r="A8365" s="78" t="s">
        <v>9233</v>
      </c>
      <c r="B8365" s="78" t="s">
        <v>40</v>
      </c>
      <c r="C8365" s="85">
        <v>46024.0</v>
      </c>
      <c r="D8365" s="85">
        <v>46025.0</v>
      </c>
      <c r="E8365" s="86">
        <v>9.31</v>
      </c>
      <c r="F8365" s="87">
        <v>12.12</v>
      </c>
      <c r="G8365" s="88">
        <f t="shared" si="23"/>
        <v>2.81</v>
      </c>
      <c r="H8365" s="89">
        <f t="shared" si="18"/>
        <v>0.2318481848</v>
      </c>
      <c r="I8365" s="78" t="s">
        <v>9525</v>
      </c>
      <c r="J8365" s="78" t="s">
        <v>69</v>
      </c>
      <c r="K8365" s="58">
        <f t="shared" si="17"/>
        <v>1</v>
      </c>
      <c r="L8365" s="91" t="str">
        <f t="shared" si="8"/>
        <v>Sat</v>
      </c>
      <c r="M8365" s="78" t="str">
        <f>IFERROR(VLOOKUP(A8365, Entries!A:B,2,false),"")</f>
        <v>Behaviour Interactive</v>
      </c>
      <c r="N8365" s="23" t="str">
        <f>IFERROR(VLOOKUP(A8365, Entries!A:K,11,false),"")</f>
        <v/>
      </c>
    </row>
    <row r="8366">
      <c r="A8366" s="78" t="s">
        <v>9233</v>
      </c>
      <c r="B8366" s="78" t="s">
        <v>40</v>
      </c>
      <c r="C8366" s="85">
        <v>46024.0</v>
      </c>
      <c r="D8366" s="85">
        <v>46025.0</v>
      </c>
      <c r="E8366" s="86">
        <v>9.31</v>
      </c>
      <c r="F8366" s="87">
        <v>12.12</v>
      </c>
      <c r="G8366" s="88">
        <f t="shared" si="23"/>
        <v>2.81</v>
      </c>
      <c r="H8366" s="89">
        <f t="shared" si="18"/>
        <v>0.2318481848</v>
      </c>
      <c r="I8366" s="78" t="s">
        <v>9526</v>
      </c>
      <c r="J8366" s="78" t="s">
        <v>69</v>
      </c>
      <c r="K8366" s="58">
        <f t="shared" si="17"/>
        <v>1</v>
      </c>
      <c r="L8366" s="91" t="str">
        <f t="shared" si="8"/>
        <v>Sat</v>
      </c>
      <c r="M8366" s="78" t="str">
        <f>IFERROR(VLOOKUP(A8366, Entries!A:B,2,false),"")</f>
        <v>Behaviour Interactive</v>
      </c>
      <c r="N8366" s="23" t="str">
        <f>IFERROR(VLOOKUP(A8366, Entries!A:K,11,false),"")</f>
        <v/>
      </c>
    </row>
    <row r="8367">
      <c r="A8367" s="78" t="s">
        <v>9233</v>
      </c>
      <c r="B8367" s="78" t="s">
        <v>40</v>
      </c>
      <c r="C8367" s="85">
        <v>46024.0</v>
      </c>
      <c r="D8367" s="85">
        <v>46027.0</v>
      </c>
      <c r="E8367" s="86">
        <v>9.31</v>
      </c>
      <c r="F8367" s="87">
        <v>11.77</v>
      </c>
      <c r="G8367" s="88">
        <f t="shared" si="23"/>
        <v>2.46</v>
      </c>
      <c r="H8367" s="89">
        <f t="shared" si="18"/>
        <v>0.2090059473</v>
      </c>
      <c r="I8367" s="78" t="s">
        <v>9527</v>
      </c>
      <c r="J8367" s="78" t="s">
        <v>69</v>
      </c>
      <c r="K8367" s="58">
        <f t="shared" si="17"/>
        <v>3</v>
      </c>
      <c r="L8367" s="91" t="str">
        <f t="shared" si="8"/>
        <v>Mon</v>
      </c>
      <c r="M8367" s="78" t="str">
        <f>IFERROR(VLOOKUP(A8367, Entries!A:B,2,false),"")</f>
        <v>Behaviour Interactive</v>
      </c>
      <c r="N8367" s="23" t="str">
        <f>IFERROR(VLOOKUP(A8367, Entries!A:K,11,false),"")</f>
        <v/>
      </c>
    </row>
    <row r="8368">
      <c r="A8368" s="78" t="s">
        <v>9233</v>
      </c>
      <c r="B8368" s="78" t="s">
        <v>40</v>
      </c>
      <c r="C8368" s="85">
        <v>46025.0</v>
      </c>
      <c r="D8368" s="85">
        <v>46027.0</v>
      </c>
      <c r="E8368" s="86">
        <v>9.31</v>
      </c>
      <c r="F8368" s="87">
        <v>11.77</v>
      </c>
      <c r="G8368" s="88">
        <f t="shared" si="23"/>
        <v>2.46</v>
      </c>
      <c r="H8368" s="89">
        <f t="shared" si="18"/>
        <v>0.2090059473</v>
      </c>
      <c r="I8368" s="78" t="s">
        <v>9528</v>
      </c>
      <c r="J8368" s="78" t="s">
        <v>69</v>
      </c>
      <c r="K8368" s="58">
        <f t="shared" si="17"/>
        <v>2</v>
      </c>
      <c r="L8368" s="91" t="str">
        <f t="shared" si="8"/>
        <v>Mon</v>
      </c>
      <c r="M8368" s="78" t="str">
        <f>IFERROR(VLOOKUP(A8368, Entries!A:B,2,false),"")</f>
        <v>Behaviour Interactive</v>
      </c>
      <c r="N8368" s="23" t="str">
        <f>IFERROR(VLOOKUP(A8368, Entries!A:K,11,false),"")</f>
        <v/>
      </c>
    </row>
    <row r="8369">
      <c r="A8369" s="78" t="s">
        <v>9233</v>
      </c>
      <c r="B8369" s="78" t="s">
        <v>40</v>
      </c>
      <c r="C8369" s="85">
        <v>46025.0</v>
      </c>
      <c r="D8369" s="85">
        <v>46027.0</v>
      </c>
      <c r="E8369" s="86">
        <v>9.31</v>
      </c>
      <c r="F8369" s="87">
        <v>11.77</v>
      </c>
      <c r="G8369" s="88">
        <f t="shared" si="23"/>
        <v>2.46</v>
      </c>
      <c r="H8369" s="89">
        <f t="shared" si="18"/>
        <v>0.2090059473</v>
      </c>
      <c r="I8369" s="78" t="s">
        <v>9529</v>
      </c>
      <c r="J8369" s="78" t="s">
        <v>69</v>
      </c>
      <c r="K8369" s="58">
        <f t="shared" si="17"/>
        <v>2</v>
      </c>
      <c r="L8369" s="91" t="str">
        <f t="shared" si="8"/>
        <v>Mon</v>
      </c>
      <c r="M8369" s="78" t="str">
        <f>IFERROR(VLOOKUP(A8369, Entries!A:B,2,false),"")</f>
        <v>Behaviour Interactive</v>
      </c>
      <c r="N8369" s="23" t="str">
        <f>IFERROR(VLOOKUP(A8369, Entries!A:K,11,false),"")</f>
        <v/>
      </c>
    </row>
    <row r="8370">
      <c r="A8370" s="78" t="s">
        <v>9233</v>
      </c>
      <c r="B8370" s="78" t="s">
        <v>40</v>
      </c>
      <c r="C8370" s="85">
        <v>46025.0</v>
      </c>
      <c r="D8370" s="85">
        <v>46027.0</v>
      </c>
      <c r="E8370" s="86">
        <v>9.31</v>
      </c>
      <c r="F8370" s="87">
        <v>11.84</v>
      </c>
      <c r="G8370" s="88">
        <f t="shared" si="23"/>
        <v>2.53</v>
      </c>
      <c r="H8370" s="89">
        <f t="shared" si="18"/>
        <v>0.2136824324</v>
      </c>
      <c r="I8370" s="78" t="s">
        <v>9530</v>
      </c>
      <c r="J8370" s="78" t="s">
        <v>69</v>
      </c>
      <c r="K8370" s="58">
        <f t="shared" si="17"/>
        <v>2</v>
      </c>
      <c r="L8370" s="91" t="str">
        <f t="shared" si="8"/>
        <v>Mon</v>
      </c>
      <c r="M8370" s="78" t="str">
        <f>IFERROR(VLOOKUP(A8370, Entries!A:B,2,false),"")</f>
        <v>Behaviour Interactive</v>
      </c>
      <c r="N8370" s="23" t="str">
        <f>IFERROR(VLOOKUP(A8370, Entries!A:K,11,false),"")</f>
        <v/>
      </c>
    </row>
    <row r="8371">
      <c r="A8371" s="78" t="s">
        <v>9233</v>
      </c>
      <c r="B8371" s="78" t="s">
        <v>40</v>
      </c>
      <c r="C8371" s="85">
        <v>46027.0</v>
      </c>
      <c r="D8371" s="85">
        <v>46027.0</v>
      </c>
      <c r="E8371" s="86">
        <v>9.31</v>
      </c>
      <c r="F8371" s="87">
        <v>11.98</v>
      </c>
      <c r="G8371" s="88">
        <f t="shared" si="23"/>
        <v>2.67</v>
      </c>
      <c r="H8371" s="89">
        <f t="shared" si="18"/>
        <v>0.2228714524</v>
      </c>
      <c r="I8371" s="78" t="s">
        <v>9531</v>
      </c>
      <c r="J8371" s="78" t="s">
        <v>69</v>
      </c>
      <c r="K8371" s="58">
        <f t="shared" si="17"/>
        <v>0</v>
      </c>
      <c r="L8371" s="91" t="str">
        <f t="shared" si="8"/>
        <v>Mon</v>
      </c>
      <c r="M8371" s="78" t="str">
        <f>IFERROR(VLOOKUP(A8371, Entries!A:B,2,false),"")</f>
        <v>Behaviour Interactive</v>
      </c>
      <c r="N8371" s="23" t="str">
        <f>IFERROR(VLOOKUP(A8371, Entries!A:K,11,false),"")</f>
        <v/>
      </c>
    </row>
    <row r="8372">
      <c r="A8372" s="78" t="s">
        <v>9233</v>
      </c>
      <c r="B8372" s="78" t="s">
        <v>40</v>
      </c>
      <c r="C8372" s="85">
        <v>46027.0</v>
      </c>
      <c r="D8372" s="85">
        <v>46027.0</v>
      </c>
      <c r="E8372" s="86">
        <v>9.31</v>
      </c>
      <c r="F8372" s="87">
        <v>12.11</v>
      </c>
      <c r="G8372" s="88">
        <f t="shared" si="23"/>
        <v>2.8</v>
      </c>
      <c r="H8372" s="89">
        <f t="shared" si="18"/>
        <v>0.2312138728</v>
      </c>
      <c r="I8372" s="78" t="s">
        <v>9532</v>
      </c>
      <c r="J8372" s="78" t="s">
        <v>69</v>
      </c>
      <c r="K8372" s="58">
        <f t="shared" si="17"/>
        <v>0</v>
      </c>
      <c r="L8372" s="91" t="str">
        <f t="shared" si="8"/>
        <v>Mon</v>
      </c>
      <c r="M8372" s="78" t="str">
        <f>IFERROR(VLOOKUP(A8372, Entries!A:B,2,false),"")</f>
        <v>Behaviour Interactive</v>
      </c>
      <c r="N8372" s="23" t="str">
        <f>IFERROR(VLOOKUP(A8372, Entries!A:K,11,false),"")</f>
        <v/>
      </c>
    </row>
    <row r="8373">
      <c r="A8373" s="78" t="s">
        <v>9233</v>
      </c>
      <c r="B8373" s="78" t="s">
        <v>40</v>
      </c>
      <c r="C8373" s="85">
        <v>46027.0</v>
      </c>
      <c r="D8373" s="85">
        <v>46028.0</v>
      </c>
      <c r="E8373" s="86">
        <v>9.31</v>
      </c>
      <c r="F8373" s="87">
        <v>12.2</v>
      </c>
      <c r="G8373" s="88">
        <f t="shared" si="23"/>
        <v>2.89</v>
      </c>
      <c r="H8373" s="89">
        <f t="shared" si="18"/>
        <v>0.2368852459</v>
      </c>
      <c r="I8373" s="78" t="s">
        <v>9533</v>
      </c>
      <c r="J8373" s="78" t="s">
        <v>69</v>
      </c>
      <c r="K8373" s="58">
        <f t="shared" si="17"/>
        <v>1</v>
      </c>
      <c r="L8373" s="91" t="str">
        <f t="shared" si="8"/>
        <v>Tue</v>
      </c>
      <c r="M8373" s="78" t="str">
        <f>IFERROR(VLOOKUP(A8373, Entries!A:B,2,false),"")</f>
        <v>Behaviour Interactive</v>
      </c>
      <c r="N8373" s="23" t="str">
        <f>IFERROR(VLOOKUP(A8373, Entries!A:K,11,false),"")</f>
        <v/>
      </c>
    </row>
    <row r="8374">
      <c r="A8374" s="78" t="s">
        <v>9365</v>
      </c>
      <c r="B8374" s="78" t="s">
        <v>27</v>
      </c>
      <c r="C8374" s="85">
        <v>46027.0</v>
      </c>
      <c r="D8374" s="85">
        <v>46032.0</v>
      </c>
      <c r="E8374" s="86">
        <v>34.49</v>
      </c>
      <c r="F8374" s="87">
        <v>45.74</v>
      </c>
      <c r="G8374" s="88">
        <f t="shared" si="23"/>
        <v>11.25</v>
      </c>
      <c r="H8374" s="89">
        <f t="shared" si="18"/>
        <v>0.2459554001</v>
      </c>
      <c r="I8374" s="78" t="s">
        <v>9534</v>
      </c>
      <c r="J8374" s="78" t="s">
        <v>69</v>
      </c>
      <c r="K8374" s="58">
        <f t="shared" si="17"/>
        <v>5</v>
      </c>
      <c r="L8374" s="91" t="str">
        <f t="shared" si="8"/>
        <v>Sat</v>
      </c>
      <c r="M8374" s="78" t="str">
        <f>IFERROR(VLOOKUP(A8374, Entries!A:B,2,false),"")</f>
        <v/>
      </c>
      <c r="N8374" s="23" t="str">
        <f>IFERROR(VLOOKUP(A8374, Entries!A:K,11,false),"")</f>
        <v/>
      </c>
    </row>
    <row r="8375">
      <c r="A8375" s="78" t="s">
        <v>9361</v>
      </c>
      <c r="B8375" s="78" t="s">
        <v>29</v>
      </c>
      <c r="C8375" s="85">
        <v>46027.0</v>
      </c>
      <c r="D8375" s="85">
        <v>46030.0</v>
      </c>
      <c r="E8375" s="86">
        <v>16.0</v>
      </c>
      <c r="F8375" s="87">
        <v>19.43</v>
      </c>
      <c r="G8375" s="88">
        <f t="shared" si="23"/>
        <v>3.43</v>
      </c>
      <c r="H8375" s="89">
        <f t="shared" si="18"/>
        <v>0.1765311374</v>
      </c>
      <c r="I8375" s="78" t="s">
        <v>9535</v>
      </c>
      <c r="J8375" s="78" t="s">
        <v>69</v>
      </c>
      <c r="K8375" s="58">
        <f t="shared" si="17"/>
        <v>3</v>
      </c>
      <c r="L8375" s="91" t="str">
        <f t="shared" si="8"/>
        <v>Thu</v>
      </c>
      <c r="M8375" s="78" t="str">
        <f>IFERROR(VLOOKUP(A8375, Entries!A:B,2,false),"")</f>
        <v/>
      </c>
      <c r="N8375" s="23" t="str">
        <f>IFERROR(VLOOKUP(A8375, Entries!A:K,11,false),"")</f>
        <v/>
      </c>
    </row>
    <row r="8376">
      <c r="A8376" s="78" t="s">
        <v>7816</v>
      </c>
      <c r="B8376" s="78" t="s">
        <v>25</v>
      </c>
      <c r="C8376" s="85">
        <v>46028.0</v>
      </c>
      <c r="D8376" s="85">
        <v>46028.0</v>
      </c>
      <c r="E8376" s="86">
        <v>25.62</v>
      </c>
      <c r="F8376" s="87">
        <v>29.59</v>
      </c>
      <c r="G8376" s="88">
        <f t="shared" si="23"/>
        <v>3.97</v>
      </c>
      <c r="H8376" s="89">
        <f t="shared" si="18"/>
        <v>0.1341669483</v>
      </c>
      <c r="I8376" s="78" t="s">
        <v>9536</v>
      </c>
      <c r="J8376" s="78" t="s">
        <v>69</v>
      </c>
      <c r="K8376" s="58">
        <f t="shared" si="17"/>
        <v>0</v>
      </c>
      <c r="L8376" s="91" t="str">
        <f t="shared" si="8"/>
        <v>Tue</v>
      </c>
      <c r="M8376" s="78" t="str">
        <f>IFERROR(VLOOKUP(A8376, Entries!A:B,2,false),"")</f>
        <v/>
      </c>
      <c r="N8376" s="23" t="str">
        <f>IFERROR(VLOOKUP(A8376, Entries!A:K,11,false),"")</f>
        <v/>
      </c>
    </row>
    <row r="8377">
      <c r="A8377" s="78" t="s">
        <v>7816</v>
      </c>
      <c r="B8377" s="78" t="s">
        <v>25</v>
      </c>
      <c r="C8377" s="85">
        <v>46028.0</v>
      </c>
      <c r="D8377" s="85">
        <v>46028.0</v>
      </c>
      <c r="E8377" s="86">
        <v>25.62</v>
      </c>
      <c r="F8377" s="87">
        <v>29.59</v>
      </c>
      <c r="G8377" s="88">
        <f t="shared" si="23"/>
        <v>3.97</v>
      </c>
      <c r="H8377" s="89">
        <f t="shared" si="18"/>
        <v>0.1341669483</v>
      </c>
      <c r="I8377" s="78" t="s">
        <v>9537</v>
      </c>
      <c r="J8377" s="78" t="s">
        <v>69</v>
      </c>
      <c r="K8377" s="58">
        <f t="shared" si="17"/>
        <v>0</v>
      </c>
      <c r="L8377" s="91" t="str">
        <f t="shared" si="8"/>
        <v>Tue</v>
      </c>
      <c r="M8377" s="78" t="str">
        <f>IFERROR(VLOOKUP(A8377, Entries!A:B,2,false),"")</f>
        <v/>
      </c>
      <c r="N8377" s="23" t="str">
        <f>IFERROR(VLOOKUP(A8377, Entries!A:K,11,false),"")</f>
        <v/>
      </c>
    </row>
    <row r="8378">
      <c r="A8378" s="78" t="s">
        <v>9538</v>
      </c>
      <c r="B8378" s="78" t="s">
        <v>22</v>
      </c>
      <c r="C8378" s="85">
        <v>46028.0</v>
      </c>
      <c r="D8378" s="85">
        <v>46030.0</v>
      </c>
      <c r="E8378" s="86">
        <v>8.93</v>
      </c>
      <c r="F8378" s="87">
        <v>13.22</v>
      </c>
      <c r="G8378" s="88">
        <f t="shared" si="23"/>
        <v>4.29</v>
      </c>
      <c r="H8378" s="89">
        <f t="shared" si="18"/>
        <v>0.3245083207</v>
      </c>
      <c r="I8378" s="78" t="s">
        <v>9539</v>
      </c>
      <c r="J8378" s="78" t="s">
        <v>69</v>
      </c>
      <c r="K8378" s="58">
        <f t="shared" si="17"/>
        <v>2</v>
      </c>
      <c r="L8378" s="91" t="str">
        <f t="shared" si="8"/>
        <v>Thu</v>
      </c>
      <c r="M8378" s="78" t="str">
        <f>IFERROR(VLOOKUP(A8378, Entries!A:B,2,false),"")</f>
        <v/>
      </c>
      <c r="N8378" s="23" t="str">
        <f>IFERROR(VLOOKUP(A8378, Entries!A:K,11,false),"")</f>
        <v/>
      </c>
    </row>
    <row r="8379">
      <c r="A8379" s="78" t="s">
        <v>7536</v>
      </c>
      <c r="B8379" s="78" t="s">
        <v>22</v>
      </c>
      <c r="C8379" s="85">
        <v>46028.0</v>
      </c>
      <c r="D8379" s="85">
        <v>46028.0</v>
      </c>
      <c r="E8379" s="86">
        <v>4.91</v>
      </c>
      <c r="F8379" s="87">
        <v>5.53</v>
      </c>
      <c r="G8379" s="88">
        <f t="shared" si="23"/>
        <v>0.62</v>
      </c>
      <c r="H8379" s="89">
        <f t="shared" si="18"/>
        <v>0.1121157324</v>
      </c>
      <c r="I8379" s="78" t="s">
        <v>9540</v>
      </c>
      <c r="J8379" s="78" t="s">
        <v>69</v>
      </c>
      <c r="K8379" s="58">
        <f t="shared" si="17"/>
        <v>0</v>
      </c>
      <c r="L8379" s="91" t="str">
        <f t="shared" si="8"/>
        <v>Tue</v>
      </c>
      <c r="M8379" s="78" t="str">
        <f>IFERROR(VLOOKUP(A8379, Entries!A:B,2,false),"")</f>
        <v/>
      </c>
      <c r="N8379" s="23" t="str">
        <f>IFERROR(VLOOKUP(A8379, Entries!A:K,11,false),"")</f>
        <v/>
      </c>
    </row>
    <row r="8380">
      <c r="A8380" s="78" t="s">
        <v>9541</v>
      </c>
      <c r="B8380" s="78" t="s">
        <v>21</v>
      </c>
      <c r="C8380" s="85">
        <v>46028.0</v>
      </c>
      <c r="D8380" s="85">
        <v>46036.0</v>
      </c>
      <c r="E8380" s="86">
        <v>4.82</v>
      </c>
      <c r="F8380" s="87">
        <v>5.44</v>
      </c>
      <c r="G8380" s="88">
        <f t="shared" si="23"/>
        <v>0.62</v>
      </c>
      <c r="H8380" s="89">
        <f t="shared" si="18"/>
        <v>0.1139705882</v>
      </c>
      <c r="I8380" s="78" t="s">
        <v>9542</v>
      </c>
      <c r="J8380" s="78" t="s">
        <v>69</v>
      </c>
      <c r="K8380" s="58">
        <f t="shared" si="17"/>
        <v>8</v>
      </c>
      <c r="L8380" s="91" t="str">
        <f t="shared" si="8"/>
        <v>Wed</v>
      </c>
      <c r="M8380" s="78" t="str">
        <f>IFERROR(VLOOKUP(A8380, Entries!A:B,2,false),"")</f>
        <v/>
      </c>
      <c r="N8380" s="23" t="str">
        <f>IFERROR(VLOOKUP(A8380, Entries!A:K,11,false),"")</f>
        <v/>
      </c>
    </row>
    <row r="8381">
      <c r="A8381" s="78" t="s">
        <v>9541</v>
      </c>
      <c r="B8381" s="78" t="s">
        <v>21</v>
      </c>
      <c r="C8381" s="85">
        <v>46028.0</v>
      </c>
      <c r="D8381" s="85">
        <v>46040.0</v>
      </c>
      <c r="E8381" s="86">
        <v>4.83</v>
      </c>
      <c r="F8381" s="87">
        <v>5.33</v>
      </c>
      <c r="G8381" s="88">
        <f t="shared" si="23"/>
        <v>0.5</v>
      </c>
      <c r="H8381" s="89">
        <f t="shared" si="18"/>
        <v>0.09380863039</v>
      </c>
      <c r="I8381" s="78" t="s">
        <v>9543</v>
      </c>
      <c r="J8381" s="78" t="s">
        <v>69</v>
      </c>
      <c r="K8381" s="58">
        <f t="shared" si="17"/>
        <v>12</v>
      </c>
      <c r="L8381" s="91" t="str">
        <f t="shared" si="8"/>
        <v>Sun</v>
      </c>
      <c r="M8381" s="78" t="str">
        <f>IFERROR(VLOOKUP(A8381, Entries!A:B,2,false),"")</f>
        <v/>
      </c>
      <c r="N8381" s="23" t="str">
        <f>IFERROR(VLOOKUP(A8381, Entries!A:K,11,false),"")</f>
        <v/>
      </c>
    </row>
    <row r="8382">
      <c r="A8382" s="78" t="s">
        <v>9541</v>
      </c>
      <c r="B8382" s="78" t="s">
        <v>21</v>
      </c>
      <c r="C8382" s="85">
        <v>46036.0</v>
      </c>
      <c r="D8382" s="85">
        <v>46040.0</v>
      </c>
      <c r="E8382" s="86">
        <v>4.83</v>
      </c>
      <c r="F8382" s="87">
        <v>5.33</v>
      </c>
      <c r="G8382" s="88">
        <f t="shared" si="23"/>
        <v>0.5</v>
      </c>
      <c r="H8382" s="89">
        <f t="shared" si="18"/>
        <v>0.09380863039</v>
      </c>
      <c r="I8382" s="78" t="s">
        <v>9544</v>
      </c>
      <c r="J8382" s="78" t="s">
        <v>69</v>
      </c>
      <c r="K8382" s="58">
        <f t="shared" si="17"/>
        <v>4</v>
      </c>
      <c r="L8382" s="91" t="str">
        <f t="shared" si="8"/>
        <v>Sun</v>
      </c>
      <c r="M8382" s="78" t="str">
        <f>IFERROR(VLOOKUP(A8382, Entries!A:B,2,false),"")</f>
        <v/>
      </c>
      <c r="N8382" s="23" t="str">
        <f>IFERROR(VLOOKUP(A8382, Entries!A:K,11,false),"")</f>
        <v/>
      </c>
    </row>
    <row r="8383">
      <c r="A8383" s="78" t="s">
        <v>9233</v>
      </c>
      <c r="B8383" s="78" t="s">
        <v>40</v>
      </c>
      <c r="C8383" s="85">
        <v>46028.0</v>
      </c>
      <c r="D8383" s="85">
        <v>46028.0</v>
      </c>
      <c r="E8383" s="86">
        <v>9.31</v>
      </c>
      <c r="F8383" s="87">
        <v>12.23</v>
      </c>
      <c r="G8383" s="88">
        <f t="shared" si="23"/>
        <v>2.92</v>
      </c>
      <c r="H8383" s="89">
        <f t="shared" si="18"/>
        <v>0.2387571545</v>
      </c>
      <c r="I8383" s="78" t="s">
        <v>9545</v>
      </c>
      <c r="J8383" s="78" t="s">
        <v>69</v>
      </c>
      <c r="K8383" s="58">
        <f t="shared" si="17"/>
        <v>0</v>
      </c>
      <c r="L8383" s="91" t="str">
        <f t="shared" si="8"/>
        <v>Tue</v>
      </c>
      <c r="M8383" s="78" t="str">
        <f>IFERROR(VLOOKUP(A8383, Entries!A:B,2,false),"")</f>
        <v>Behaviour Interactive</v>
      </c>
      <c r="N8383" s="23" t="str">
        <f>IFERROR(VLOOKUP(A8383, Entries!A:K,11,false),"")</f>
        <v/>
      </c>
    </row>
    <row r="8384">
      <c r="A8384" s="78" t="s">
        <v>9233</v>
      </c>
      <c r="B8384" s="78" t="s">
        <v>40</v>
      </c>
      <c r="C8384" s="85">
        <v>46028.0</v>
      </c>
      <c r="D8384" s="85">
        <v>46029.0</v>
      </c>
      <c r="E8384" s="86">
        <v>9.31</v>
      </c>
      <c r="F8384" s="87">
        <v>11.57</v>
      </c>
      <c r="G8384" s="88">
        <f t="shared" si="23"/>
        <v>2.26</v>
      </c>
      <c r="H8384" s="89">
        <f t="shared" si="18"/>
        <v>0.1953327571</v>
      </c>
      <c r="I8384" s="78" t="s">
        <v>9546</v>
      </c>
      <c r="J8384" s="78" t="s">
        <v>69</v>
      </c>
      <c r="K8384" s="58">
        <f t="shared" si="17"/>
        <v>1</v>
      </c>
      <c r="L8384" s="91" t="str">
        <f t="shared" si="8"/>
        <v>Wed</v>
      </c>
      <c r="M8384" s="78" t="str">
        <f>IFERROR(VLOOKUP(A8384, Entries!A:B,2,false),"")</f>
        <v>Behaviour Interactive</v>
      </c>
      <c r="N8384" s="23" t="str">
        <f>IFERROR(VLOOKUP(A8384, Entries!A:K,11,false),"")</f>
        <v/>
      </c>
    </row>
    <row r="8385">
      <c r="A8385" s="78" t="s">
        <v>9233</v>
      </c>
      <c r="B8385" s="78" t="s">
        <v>40</v>
      </c>
      <c r="C8385" s="85">
        <v>46028.0</v>
      </c>
      <c r="D8385" s="85">
        <v>46030.0</v>
      </c>
      <c r="E8385" s="86">
        <v>9.31</v>
      </c>
      <c r="F8385" s="87">
        <v>11.57</v>
      </c>
      <c r="G8385" s="88">
        <f t="shared" si="23"/>
        <v>2.26</v>
      </c>
      <c r="H8385" s="89">
        <f t="shared" si="18"/>
        <v>0.1953327571</v>
      </c>
      <c r="I8385" s="78" t="s">
        <v>9547</v>
      </c>
      <c r="J8385" s="78" t="s">
        <v>69</v>
      </c>
      <c r="K8385" s="58">
        <f t="shared" si="17"/>
        <v>2</v>
      </c>
      <c r="L8385" s="91" t="str">
        <f t="shared" si="8"/>
        <v>Thu</v>
      </c>
      <c r="M8385" s="78" t="str">
        <f>IFERROR(VLOOKUP(A8385, Entries!A:B,2,false),"")</f>
        <v>Behaviour Interactive</v>
      </c>
      <c r="N8385" s="23" t="str">
        <f>IFERROR(VLOOKUP(A8385, Entries!A:K,11,false),"")</f>
        <v/>
      </c>
    </row>
    <row r="8386">
      <c r="A8386" s="78" t="s">
        <v>7814</v>
      </c>
      <c r="B8386" s="78" t="s">
        <v>25</v>
      </c>
      <c r="C8386" s="85">
        <v>46028.0</v>
      </c>
      <c r="D8386" s="85">
        <v>46031.0</v>
      </c>
      <c r="E8386" s="86">
        <v>28.72</v>
      </c>
      <c r="F8386" s="87">
        <v>39.49</v>
      </c>
      <c r="G8386" s="88">
        <f t="shared" si="23"/>
        <v>10.77</v>
      </c>
      <c r="H8386" s="89">
        <f t="shared" si="18"/>
        <v>0.2727272727</v>
      </c>
      <c r="I8386" s="78" t="s">
        <v>9548</v>
      </c>
      <c r="J8386" s="78" t="s">
        <v>69</v>
      </c>
      <c r="K8386" s="58">
        <f t="shared" si="17"/>
        <v>3</v>
      </c>
      <c r="L8386" s="91" t="str">
        <f t="shared" si="8"/>
        <v>Fri</v>
      </c>
      <c r="M8386" s="78" t="str">
        <f>IFERROR(VLOOKUP(A8386, Entries!A:B,2,false),"")</f>
        <v>Electronic Arts</v>
      </c>
      <c r="N8386" s="23" t="str">
        <f>IFERROR(VLOOKUP(A8386, Entries!A:K,11,false),"")</f>
        <v/>
      </c>
    </row>
    <row r="8387">
      <c r="A8387" s="78" t="s">
        <v>9233</v>
      </c>
      <c r="B8387" s="78" t="s">
        <v>40</v>
      </c>
      <c r="C8387" s="85">
        <v>46030.0</v>
      </c>
      <c r="D8387" s="85">
        <v>46030.0</v>
      </c>
      <c r="E8387" s="86">
        <v>9.31</v>
      </c>
      <c r="F8387" s="87">
        <v>11.57</v>
      </c>
      <c r="G8387" s="88">
        <f t="shared" si="23"/>
        <v>2.26</v>
      </c>
      <c r="H8387" s="89">
        <f t="shared" si="18"/>
        <v>0.1953327571</v>
      </c>
      <c r="I8387" s="78" t="s">
        <v>9549</v>
      </c>
      <c r="J8387" s="78" t="s">
        <v>69</v>
      </c>
      <c r="K8387" s="58">
        <f t="shared" si="17"/>
        <v>0</v>
      </c>
      <c r="L8387" s="91" t="str">
        <f t="shared" si="8"/>
        <v>Thu</v>
      </c>
      <c r="M8387" s="78" t="str">
        <f>IFERROR(VLOOKUP(A8387, Entries!A:B,2,false),"")</f>
        <v>Behaviour Interactive</v>
      </c>
      <c r="N8387" s="23" t="str">
        <f>IFERROR(VLOOKUP(A8387, Entries!A:K,11,false),"")</f>
        <v/>
      </c>
    </row>
    <row r="8388">
      <c r="A8388" s="78" t="s">
        <v>9365</v>
      </c>
      <c r="B8388" s="78" t="s">
        <v>27</v>
      </c>
      <c r="C8388" s="85">
        <v>46034.0</v>
      </c>
      <c r="D8388" s="85">
        <v>46041.0</v>
      </c>
      <c r="E8388" s="86">
        <v>33.29</v>
      </c>
      <c r="F8388" s="87">
        <v>53.0</v>
      </c>
      <c r="G8388" s="88">
        <f t="shared" si="23"/>
        <v>19.71</v>
      </c>
      <c r="H8388" s="89">
        <f t="shared" si="18"/>
        <v>0.3718867925</v>
      </c>
      <c r="I8388" s="78" t="s">
        <v>9550</v>
      </c>
      <c r="J8388" s="78" t="s">
        <v>69</v>
      </c>
      <c r="K8388" s="58">
        <f t="shared" si="17"/>
        <v>7</v>
      </c>
      <c r="L8388" s="91" t="str">
        <f t="shared" si="8"/>
        <v>Mon</v>
      </c>
      <c r="M8388" s="78" t="str">
        <f>IFERROR(VLOOKUP(A8388, Entries!A:B,2,false),"")</f>
        <v/>
      </c>
      <c r="N8388" s="23" t="str">
        <f>IFERROR(VLOOKUP(A8388, Entries!A:K,11,false),"")</f>
        <v/>
      </c>
    </row>
    <row r="8389">
      <c r="A8389" s="78" t="s">
        <v>9361</v>
      </c>
      <c r="B8389" s="78" t="s">
        <v>27</v>
      </c>
      <c r="C8389" s="85">
        <v>46034.0</v>
      </c>
      <c r="D8389" s="85">
        <v>46076.0</v>
      </c>
      <c r="E8389" s="86">
        <v>16.09</v>
      </c>
      <c r="F8389" s="87">
        <v>16.13</v>
      </c>
      <c r="G8389" s="88">
        <f t="shared" si="23"/>
        <v>0.04</v>
      </c>
      <c r="H8389" s="89">
        <f t="shared" si="18"/>
        <v>0.002479851209</v>
      </c>
      <c r="I8389" s="78" t="s">
        <v>9551</v>
      </c>
      <c r="J8389" s="78" t="s">
        <v>69</v>
      </c>
      <c r="K8389" s="58">
        <f t="shared" si="17"/>
        <v>42</v>
      </c>
      <c r="L8389" s="91" t="str">
        <f t="shared" si="8"/>
        <v>Mon</v>
      </c>
      <c r="M8389" s="78" t="str">
        <f>IFERROR(VLOOKUP(A8389, Entries!A:B,2,false),"")</f>
        <v/>
      </c>
      <c r="N8389" s="23" t="str">
        <f>IFERROR(VLOOKUP(A8389, Entries!A:K,11,false),"")</f>
        <v/>
      </c>
    </row>
    <row r="8390">
      <c r="A8390" s="78" t="s">
        <v>9233</v>
      </c>
      <c r="B8390" s="78" t="s">
        <v>40</v>
      </c>
      <c r="C8390" s="85">
        <v>46034.0</v>
      </c>
      <c r="D8390" s="85">
        <v>46034.0</v>
      </c>
      <c r="E8390" s="86">
        <v>9.31</v>
      </c>
      <c r="F8390" s="87">
        <v>12.2</v>
      </c>
      <c r="G8390" s="88">
        <f t="shared" si="23"/>
        <v>2.89</v>
      </c>
      <c r="H8390" s="89">
        <f t="shared" si="18"/>
        <v>0.2368852459</v>
      </c>
      <c r="I8390" s="78" t="s">
        <v>9552</v>
      </c>
      <c r="J8390" s="78" t="s">
        <v>69</v>
      </c>
      <c r="K8390" s="58">
        <f t="shared" si="17"/>
        <v>0</v>
      </c>
      <c r="L8390" s="91" t="str">
        <f t="shared" si="8"/>
        <v>Mon</v>
      </c>
      <c r="M8390" s="78" t="str">
        <f>IFERROR(VLOOKUP(A8390, Entries!A:B,2,false),"")</f>
        <v>Behaviour Interactive</v>
      </c>
      <c r="N8390" s="23" t="str">
        <f>IFERROR(VLOOKUP(A8390, Entries!A:K,11,false),"")</f>
        <v/>
      </c>
    </row>
    <row r="8391">
      <c r="A8391" s="78" t="s">
        <v>9233</v>
      </c>
      <c r="B8391" s="78" t="s">
        <v>40</v>
      </c>
      <c r="C8391" s="85">
        <v>46034.0</v>
      </c>
      <c r="D8391" s="85">
        <v>46034.0</v>
      </c>
      <c r="E8391" s="86">
        <v>9.31</v>
      </c>
      <c r="F8391" s="87">
        <v>12.2</v>
      </c>
      <c r="G8391" s="88">
        <f t="shared" si="23"/>
        <v>2.89</v>
      </c>
      <c r="H8391" s="89">
        <f t="shared" si="18"/>
        <v>0.2368852459</v>
      </c>
      <c r="I8391" s="78" t="s">
        <v>9553</v>
      </c>
      <c r="J8391" s="78" t="s">
        <v>69</v>
      </c>
      <c r="K8391" s="58">
        <f t="shared" si="17"/>
        <v>0</v>
      </c>
      <c r="L8391" s="91" t="str">
        <f t="shared" si="8"/>
        <v>Mon</v>
      </c>
      <c r="M8391" s="78" t="str">
        <f>IFERROR(VLOOKUP(A8391, Entries!A:B,2,false),"")</f>
        <v>Behaviour Interactive</v>
      </c>
      <c r="N8391" s="23" t="str">
        <f>IFERROR(VLOOKUP(A8391, Entries!A:K,11,false),"")</f>
        <v/>
      </c>
    </row>
    <row r="8392">
      <c r="A8392" s="78" t="s">
        <v>9233</v>
      </c>
      <c r="B8392" s="78" t="s">
        <v>40</v>
      </c>
      <c r="C8392" s="85">
        <v>46034.0</v>
      </c>
      <c r="D8392" s="85">
        <v>46035.0</v>
      </c>
      <c r="E8392" s="86">
        <v>9.31</v>
      </c>
      <c r="F8392" s="87">
        <v>12.2</v>
      </c>
      <c r="G8392" s="88">
        <f t="shared" si="23"/>
        <v>2.89</v>
      </c>
      <c r="H8392" s="89">
        <f t="shared" si="18"/>
        <v>0.2368852459</v>
      </c>
      <c r="I8392" s="78" t="s">
        <v>9554</v>
      </c>
      <c r="J8392" s="78" t="s">
        <v>69</v>
      </c>
      <c r="K8392" s="58">
        <f t="shared" si="17"/>
        <v>1</v>
      </c>
      <c r="L8392" s="91" t="str">
        <f t="shared" si="8"/>
        <v>Tue</v>
      </c>
      <c r="M8392" s="78" t="str">
        <f>IFERROR(VLOOKUP(A8392, Entries!A:B,2,false),"")</f>
        <v>Behaviour Interactive</v>
      </c>
      <c r="N8392" s="23" t="str">
        <f>IFERROR(VLOOKUP(A8392, Entries!A:K,11,false),"")</f>
        <v/>
      </c>
    </row>
    <row r="8393">
      <c r="A8393" s="78" t="s">
        <v>7816</v>
      </c>
      <c r="B8393" s="78" t="s">
        <v>25</v>
      </c>
      <c r="C8393" s="85">
        <v>46034.0</v>
      </c>
      <c r="D8393" s="85">
        <v>46035.0</v>
      </c>
      <c r="E8393" s="86">
        <v>25.42</v>
      </c>
      <c r="F8393" s="87">
        <v>29.79</v>
      </c>
      <c r="G8393" s="88">
        <f t="shared" si="23"/>
        <v>4.37</v>
      </c>
      <c r="H8393" s="89">
        <f t="shared" si="18"/>
        <v>0.1466935213</v>
      </c>
      <c r="I8393" s="78" t="s">
        <v>9555</v>
      </c>
      <c r="J8393" s="78" t="s">
        <v>69</v>
      </c>
      <c r="K8393" s="58">
        <f t="shared" si="17"/>
        <v>1</v>
      </c>
      <c r="L8393" s="91" t="str">
        <f t="shared" si="8"/>
        <v>Tue</v>
      </c>
      <c r="M8393" s="78" t="str">
        <f>IFERROR(VLOOKUP(A8393, Entries!A:B,2,false),"")</f>
        <v/>
      </c>
      <c r="N8393" s="23" t="str">
        <f>IFERROR(VLOOKUP(A8393, Entries!A:K,11,false),"")</f>
        <v/>
      </c>
    </row>
    <row r="8394">
      <c r="A8394" s="78" t="s">
        <v>7816</v>
      </c>
      <c r="B8394" s="78" t="s">
        <v>25</v>
      </c>
      <c r="C8394" s="85">
        <v>46034.0</v>
      </c>
      <c r="D8394" s="85">
        <v>46037.0</v>
      </c>
      <c r="E8394" s="86">
        <v>25.42</v>
      </c>
      <c r="F8394" s="87">
        <v>29.79</v>
      </c>
      <c r="G8394" s="88">
        <f t="shared" si="23"/>
        <v>4.37</v>
      </c>
      <c r="H8394" s="89">
        <f t="shared" si="18"/>
        <v>0.1466935213</v>
      </c>
      <c r="I8394" s="78" t="s">
        <v>9556</v>
      </c>
      <c r="J8394" s="78" t="s">
        <v>69</v>
      </c>
      <c r="K8394" s="58">
        <f t="shared" si="17"/>
        <v>3</v>
      </c>
      <c r="L8394" s="91" t="str">
        <f t="shared" si="8"/>
        <v>Thu</v>
      </c>
      <c r="M8394" s="78" t="str">
        <f>IFERROR(VLOOKUP(A8394, Entries!A:B,2,false),"")</f>
        <v/>
      </c>
      <c r="N8394" s="23" t="str">
        <f>IFERROR(VLOOKUP(A8394, Entries!A:K,11,false),"")</f>
        <v/>
      </c>
    </row>
    <row r="8395">
      <c r="A8395" s="78" t="s">
        <v>7814</v>
      </c>
      <c r="B8395" s="78" t="s">
        <v>17</v>
      </c>
      <c r="C8395" s="85">
        <v>46034.0</v>
      </c>
      <c r="D8395" s="85">
        <v>46034.0</v>
      </c>
      <c r="E8395" s="86">
        <v>29.47</v>
      </c>
      <c r="F8395" s="87">
        <v>41.29</v>
      </c>
      <c r="G8395" s="88">
        <f t="shared" si="23"/>
        <v>11.82</v>
      </c>
      <c r="H8395" s="89">
        <f t="shared" si="18"/>
        <v>0.2862678615</v>
      </c>
      <c r="I8395" s="78" t="s">
        <v>9257</v>
      </c>
      <c r="J8395" s="78" t="s">
        <v>69</v>
      </c>
      <c r="K8395" s="58">
        <f t="shared" si="17"/>
        <v>0</v>
      </c>
      <c r="L8395" s="91" t="str">
        <f t="shared" si="8"/>
        <v>Mon</v>
      </c>
      <c r="M8395" s="78" t="str">
        <f>IFERROR(VLOOKUP(A8395, Entries!A:B,2,false),"")</f>
        <v>Electronic Arts</v>
      </c>
      <c r="N8395" s="23" t="str">
        <f>IFERROR(VLOOKUP(A8395, Entries!A:K,11,false),"")</f>
        <v/>
      </c>
      <c r="P8395" s="78" t="s">
        <v>7796</v>
      </c>
    </row>
    <row r="8396">
      <c r="A8396" s="78" t="s">
        <v>7814</v>
      </c>
      <c r="B8396" s="78" t="s">
        <v>17</v>
      </c>
      <c r="C8396" s="85">
        <v>46034.0</v>
      </c>
      <c r="D8396" s="85">
        <v>46039.0</v>
      </c>
      <c r="E8396" s="86">
        <v>29.47</v>
      </c>
      <c r="F8396" s="87">
        <v>41.29</v>
      </c>
      <c r="G8396" s="88">
        <f t="shared" si="23"/>
        <v>11.82</v>
      </c>
      <c r="H8396" s="89">
        <f t="shared" si="18"/>
        <v>0.2862678615</v>
      </c>
      <c r="I8396" s="78" t="s">
        <v>4864</v>
      </c>
      <c r="J8396" s="78" t="s">
        <v>69</v>
      </c>
      <c r="K8396" s="58">
        <f t="shared" si="17"/>
        <v>5</v>
      </c>
      <c r="L8396" s="91" t="str">
        <f t="shared" si="8"/>
        <v>Sat</v>
      </c>
      <c r="M8396" s="78" t="str">
        <f>IFERROR(VLOOKUP(A8396, Entries!A:B,2,false),"")</f>
        <v>Electronic Arts</v>
      </c>
      <c r="N8396" s="23" t="str">
        <f>IFERROR(VLOOKUP(A8396, Entries!A:K,11,false),"")</f>
        <v/>
      </c>
      <c r="P8396" s="78" t="s">
        <v>7796</v>
      </c>
    </row>
    <row r="8397">
      <c r="A8397" s="78" t="s">
        <v>5676</v>
      </c>
      <c r="B8397" s="78" t="s">
        <v>25</v>
      </c>
      <c r="C8397" s="85">
        <v>46034.0</v>
      </c>
      <c r="D8397" s="85">
        <v>46035.0</v>
      </c>
      <c r="E8397" s="86">
        <v>39.78</v>
      </c>
      <c r="F8397" s="87">
        <v>43.98</v>
      </c>
      <c r="G8397" s="88">
        <f t="shared" si="23"/>
        <v>4.2</v>
      </c>
      <c r="H8397" s="89">
        <f t="shared" si="18"/>
        <v>0.09549795362</v>
      </c>
      <c r="I8397" s="78" t="s">
        <v>9557</v>
      </c>
      <c r="J8397" s="78" t="s">
        <v>69</v>
      </c>
      <c r="K8397" s="58">
        <f t="shared" si="17"/>
        <v>1</v>
      </c>
      <c r="L8397" s="91" t="str">
        <f t="shared" si="8"/>
        <v>Tue</v>
      </c>
      <c r="M8397" s="78" t="str">
        <f>IFERROR(VLOOKUP(A8397, Entries!A:B,2,false),"")</f>
        <v>Bethesda Softworks</v>
      </c>
      <c r="N8397" s="23" t="str">
        <f>IFERROR(VLOOKUP(A8397, Entries!A:K,11,false),"")</f>
        <v/>
      </c>
    </row>
    <row r="8398">
      <c r="A8398" s="78" t="s">
        <v>9558</v>
      </c>
      <c r="B8398" s="78" t="s">
        <v>27</v>
      </c>
      <c r="C8398" s="85">
        <v>46034.0</v>
      </c>
      <c r="D8398" s="85">
        <v>46053.0</v>
      </c>
      <c r="E8398" s="86">
        <v>13.79</v>
      </c>
      <c r="F8398" s="87">
        <v>15.63</v>
      </c>
      <c r="G8398" s="88">
        <f t="shared" si="23"/>
        <v>1.84</v>
      </c>
      <c r="H8398" s="89">
        <f t="shared" si="18"/>
        <v>0.1177223289</v>
      </c>
      <c r="I8398" s="78" t="s">
        <v>9559</v>
      </c>
      <c r="J8398" s="78" t="s">
        <v>69</v>
      </c>
      <c r="K8398" s="58">
        <f t="shared" si="17"/>
        <v>19</v>
      </c>
      <c r="L8398" s="91" t="str">
        <f t="shared" si="8"/>
        <v>Sat</v>
      </c>
      <c r="M8398" s="78" t="str">
        <f>IFERROR(VLOOKUP(A8398, Entries!A:B,2,false),"")</f>
        <v/>
      </c>
      <c r="N8398" s="23" t="str">
        <f>IFERROR(VLOOKUP(A8398, Entries!A:K,11,false),"")</f>
        <v/>
      </c>
    </row>
    <row r="8399">
      <c r="A8399" s="78" t="s">
        <v>9560</v>
      </c>
      <c r="B8399" s="78" t="s">
        <v>25</v>
      </c>
      <c r="C8399" s="85">
        <v>46034.0</v>
      </c>
      <c r="D8399" s="85">
        <v>46036.0</v>
      </c>
      <c r="E8399" s="86">
        <v>0.0</v>
      </c>
      <c r="F8399" s="87">
        <v>1.0</v>
      </c>
      <c r="G8399" s="88">
        <f t="shared" si="23"/>
        <v>1</v>
      </c>
      <c r="H8399" s="89">
        <f t="shared" si="18"/>
        <v>1</v>
      </c>
      <c r="I8399" s="78" t="s">
        <v>9561</v>
      </c>
      <c r="J8399" s="78" t="s">
        <v>69</v>
      </c>
      <c r="K8399" s="58">
        <f t="shared" si="17"/>
        <v>2</v>
      </c>
      <c r="L8399" s="91" t="str">
        <f t="shared" si="8"/>
        <v>Wed</v>
      </c>
      <c r="M8399" s="78" t="str">
        <f>IFERROR(VLOOKUP(A8399, Entries!A:B,2,false),"")</f>
        <v/>
      </c>
      <c r="N8399" s="23" t="str">
        <f>IFERROR(VLOOKUP(A8399, Entries!A:K,11,false),"")</f>
        <v/>
      </c>
    </row>
    <row r="8400">
      <c r="A8400" s="78" t="s">
        <v>9233</v>
      </c>
      <c r="B8400" s="78" t="s">
        <v>40</v>
      </c>
      <c r="C8400" s="85">
        <v>46035.0</v>
      </c>
      <c r="D8400" s="85">
        <v>46035.0</v>
      </c>
      <c r="E8400" s="86">
        <v>9.31</v>
      </c>
      <c r="F8400" s="87">
        <v>12.2</v>
      </c>
      <c r="G8400" s="88">
        <f t="shared" si="23"/>
        <v>2.89</v>
      </c>
      <c r="H8400" s="89">
        <f t="shared" si="18"/>
        <v>0.2368852459</v>
      </c>
      <c r="I8400" s="78" t="s">
        <v>9562</v>
      </c>
      <c r="J8400" s="78" t="s">
        <v>69</v>
      </c>
      <c r="K8400" s="58">
        <f t="shared" si="17"/>
        <v>0</v>
      </c>
      <c r="L8400" s="91" t="str">
        <f t="shared" si="8"/>
        <v>Tue</v>
      </c>
      <c r="M8400" s="78" t="str">
        <f>IFERROR(VLOOKUP(A8400, Entries!A:B,2,false),"")</f>
        <v>Behaviour Interactive</v>
      </c>
      <c r="N8400" s="23" t="str">
        <f>IFERROR(VLOOKUP(A8400, Entries!A:K,11,false),"")</f>
        <v/>
      </c>
    </row>
    <row r="8401">
      <c r="A8401" s="78" t="s">
        <v>9233</v>
      </c>
      <c r="B8401" s="78" t="s">
        <v>40</v>
      </c>
      <c r="C8401" s="85">
        <v>46035.0</v>
      </c>
      <c r="D8401" s="85">
        <v>46035.0</v>
      </c>
      <c r="E8401" s="86">
        <v>9.31</v>
      </c>
      <c r="F8401" s="87">
        <v>12.11</v>
      </c>
      <c r="G8401" s="88">
        <f t="shared" si="23"/>
        <v>2.8</v>
      </c>
      <c r="H8401" s="89">
        <f t="shared" si="18"/>
        <v>0.2312138728</v>
      </c>
      <c r="I8401" s="78" t="s">
        <v>9563</v>
      </c>
      <c r="J8401" s="78" t="s">
        <v>69</v>
      </c>
      <c r="K8401" s="58">
        <f t="shared" si="17"/>
        <v>0</v>
      </c>
      <c r="L8401" s="91" t="str">
        <f t="shared" si="8"/>
        <v>Tue</v>
      </c>
      <c r="M8401" s="78" t="str">
        <f>IFERROR(VLOOKUP(A8401, Entries!A:B,2,false),"")</f>
        <v>Behaviour Interactive</v>
      </c>
      <c r="N8401" s="23" t="str">
        <f>IFERROR(VLOOKUP(A8401, Entries!A:K,11,false),"")</f>
        <v/>
      </c>
    </row>
    <row r="8402">
      <c r="A8402" s="78" t="s">
        <v>9233</v>
      </c>
      <c r="B8402" s="78" t="s">
        <v>40</v>
      </c>
      <c r="C8402" s="85">
        <v>46035.0</v>
      </c>
      <c r="D8402" s="85">
        <v>46035.0</v>
      </c>
      <c r="E8402" s="86">
        <v>9.31</v>
      </c>
      <c r="F8402" s="87">
        <v>12.11</v>
      </c>
      <c r="G8402" s="88">
        <f t="shared" si="23"/>
        <v>2.8</v>
      </c>
      <c r="H8402" s="89">
        <f t="shared" si="18"/>
        <v>0.2312138728</v>
      </c>
      <c r="I8402" s="78" t="s">
        <v>9564</v>
      </c>
      <c r="J8402" s="78" t="s">
        <v>69</v>
      </c>
      <c r="K8402" s="58">
        <f t="shared" si="17"/>
        <v>0</v>
      </c>
      <c r="L8402" s="91" t="str">
        <f t="shared" si="8"/>
        <v>Tue</v>
      </c>
      <c r="M8402" s="78" t="str">
        <f>IFERROR(VLOOKUP(A8402, Entries!A:B,2,false),"")</f>
        <v>Behaviour Interactive</v>
      </c>
      <c r="N8402" s="23" t="str">
        <f>IFERROR(VLOOKUP(A8402, Entries!A:K,11,false),"")</f>
        <v/>
      </c>
    </row>
    <row r="8403">
      <c r="A8403" s="78" t="s">
        <v>9291</v>
      </c>
      <c r="B8403" s="78" t="s">
        <v>29</v>
      </c>
      <c r="C8403" s="85">
        <v>46035.0</v>
      </c>
      <c r="D8403" s="85">
        <v>46083.0</v>
      </c>
      <c r="E8403" s="86">
        <v>7.77</v>
      </c>
      <c r="F8403" s="87">
        <v>9.14</v>
      </c>
      <c r="G8403" s="88">
        <f t="shared" si="23"/>
        <v>1.37</v>
      </c>
      <c r="H8403" s="89">
        <f t="shared" si="18"/>
        <v>0.1498905908</v>
      </c>
      <c r="I8403" s="78" t="s">
        <v>9565</v>
      </c>
      <c r="J8403" s="78" t="s">
        <v>69</v>
      </c>
      <c r="K8403" s="58">
        <f t="shared" si="17"/>
        <v>48</v>
      </c>
      <c r="L8403" s="91" t="str">
        <f t="shared" si="8"/>
        <v>Mon</v>
      </c>
      <c r="M8403" s="78" t="str">
        <f>IFERROR(VLOOKUP(A8403, Entries!A:B,2,false),"")</f>
        <v/>
      </c>
      <c r="N8403" s="23" t="str">
        <f>IFERROR(VLOOKUP(A8403, Entries!A:K,11,false),"")</f>
        <v/>
      </c>
    </row>
    <row r="8404">
      <c r="A8404" s="78" t="s">
        <v>9291</v>
      </c>
      <c r="B8404" s="78" t="s">
        <v>29</v>
      </c>
      <c r="C8404" s="85">
        <v>46035.0</v>
      </c>
      <c r="D8404" s="85">
        <v>46086.0</v>
      </c>
      <c r="E8404" s="86">
        <v>7.77</v>
      </c>
      <c r="F8404" s="87">
        <v>9.15</v>
      </c>
      <c r="G8404" s="88">
        <f t="shared" si="23"/>
        <v>1.38</v>
      </c>
      <c r="H8404" s="89">
        <f t="shared" si="18"/>
        <v>0.1508196721</v>
      </c>
      <c r="I8404" s="78" t="s">
        <v>9566</v>
      </c>
      <c r="J8404" s="78" t="s">
        <v>69</v>
      </c>
      <c r="K8404" s="58">
        <f t="shared" si="17"/>
        <v>51</v>
      </c>
      <c r="L8404" s="91" t="str">
        <f t="shared" si="8"/>
        <v>Thu</v>
      </c>
      <c r="M8404" s="78" t="str">
        <f>IFERROR(VLOOKUP(A8404, Entries!A:B,2,false),"")</f>
        <v/>
      </c>
      <c r="N8404" s="23" t="str">
        <f>IFERROR(VLOOKUP(A8404, Entries!A:K,11,false),"")</f>
        <v/>
      </c>
    </row>
    <row r="8405">
      <c r="A8405" s="78" t="s">
        <v>9291</v>
      </c>
      <c r="B8405" s="78" t="s">
        <v>29</v>
      </c>
      <c r="C8405" s="85">
        <v>46035.0</v>
      </c>
      <c r="D8405" s="85">
        <v>46088.0</v>
      </c>
      <c r="E8405" s="86">
        <v>7.77</v>
      </c>
      <c r="F8405" s="87">
        <v>9.15</v>
      </c>
      <c r="G8405" s="88">
        <f t="shared" si="23"/>
        <v>1.38</v>
      </c>
      <c r="H8405" s="89">
        <f t="shared" si="18"/>
        <v>0.1508196721</v>
      </c>
      <c r="I8405" s="78" t="s">
        <v>9567</v>
      </c>
      <c r="J8405" s="78" t="s">
        <v>69</v>
      </c>
      <c r="K8405" s="58">
        <f t="shared" si="17"/>
        <v>53</v>
      </c>
      <c r="L8405" s="91" t="str">
        <f t="shared" si="8"/>
        <v>Sat</v>
      </c>
      <c r="M8405" s="78" t="str">
        <f>IFERROR(VLOOKUP(A8405, Entries!A:B,2,false),"")</f>
        <v/>
      </c>
      <c r="N8405" s="23" t="str">
        <f>IFERROR(VLOOKUP(A8405, Entries!A:K,11,false),"")</f>
        <v/>
      </c>
    </row>
    <row r="8406">
      <c r="A8406" s="78" t="s">
        <v>9291</v>
      </c>
      <c r="B8406" s="78" t="s">
        <v>29</v>
      </c>
      <c r="C8406" s="85">
        <v>46035.0</v>
      </c>
      <c r="D8406" s="85">
        <v>46089.0</v>
      </c>
      <c r="E8406" s="86">
        <v>7.91</v>
      </c>
      <c r="F8406" s="87">
        <v>9.15</v>
      </c>
      <c r="G8406" s="88">
        <f t="shared" si="23"/>
        <v>1.24</v>
      </c>
      <c r="H8406" s="89">
        <f t="shared" si="18"/>
        <v>0.1355191257</v>
      </c>
      <c r="I8406" s="78" t="s">
        <v>9568</v>
      </c>
      <c r="J8406" s="78" t="s">
        <v>69</v>
      </c>
      <c r="K8406" s="58">
        <f t="shared" si="17"/>
        <v>54</v>
      </c>
      <c r="L8406" s="91" t="str">
        <f t="shared" si="8"/>
        <v>Sun</v>
      </c>
      <c r="M8406" s="78" t="str">
        <f>IFERROR(VLOOKUP(A8406, Entries!A:B,2,false),"")</f>
        <v/>
      </c>
      <c r="N8406" s="23" t="str">
        <f>IFERROR(VLOOKUP(A8406, Entries!A:K,11,false),"")</f>
        <v/>
      </c>
    </row>
    <row r="8407">
      <c r="A8407" s="78" t="s">
        <v>9291</v>
      </c>
      <c r="B8407" s="78" t="s">
        <v>29</v>
      </c>
      <c r="C8407" s="85">
        <v>46035.0</v>
      </c>
      <c r="D8407" s="85">
        <v>46091.0</v>
      </c>
      <c r="E8407" s="86">
        <v>7.91</v>
      </c>
      <c r="F8407" s="87">
        <v>9.15</v>
      </c>
      <c r="G8407" s="88">
        <f t="shared" si="23"/>
        <v>1.24</v>
      </c>
      <c r="H8407" s="89">
        <f t="shared" si="18"/>
        <v>0.1355191257</v>
      </c>
      <c r="I8407" s="78" t="s">
        <v>9569</v>
      </c>
      <c r="J8407" s="78" t="s">
        <v>69</v>
      </c>
      <c r="K8407" s="58">
        <f t="shared" si="17"/>
        <v>56</v>
      </c>
      <c r="L8407" s="91" t="str">
        <f t="shared" si="8"/>
        <v>Tue</v>
      </c>
      <c r="M8407" s="78" t="str">
        <f>IFERROR(VLOOKUP(A8407, Entries!A:B,2,false),"")</f>
        <v/>
      </c>
      <c r="N8407" s="23" t="str">
        <f>IFERROR(VLOOKUP(A8407, Entries!A:K,11,false),"")</f>
        <v/>
      </c>
    </row>
    <row r="8408">
      <c r="A8408" s="78" t="s">
        <v>9291</v>
      </c>
      <c r="B8408" s="78" t="s">
        <v>29</v>
      </c>
      <c r="C8408" s="85">
        <v>46035.0</v>
      </c>
      <c r="D8408" s="85">
        <v>46092.0</v>
      </c>
      <c r="E8408" s="86">
        <v>7.91</v>
      </c>
      <c r="F8408" s="87">
        <v>9.15</v>
      </c>
      <c r="G8408" s="88">
        <f t="shared" si="23"/>
        <v>1.24</v>
      </c>
      <c r="H8408" s="89">
        <f t="shared" si="18"/>
        <v>0.1355191257</v>
      </c>
      <c r="I8408" s="78" t="s">
        <v>9570</v>
      </c>
      <c r="J8408" s="78" t="s">
        <v>69</v>
      </c>
      <c r="K8408" s="58">
        <f t="shared" si="17"/>
        <v>57</v>
      </c>
      <c r="L8408" s="91" t="str">
        <f t="shared" si="8"/>
        <v>Wed</v>
      </c>
      <c r="M8408" s="78" t="str">
        <f>IFERROR(VLOOKUP(A8408, Entries!A:B,2,false),"")</f>
        <v/>
      </c>
      <c r="N8408" s="23" t="str">
        <f>IFERROR(VLOOKUP(A8408, Entries!A:K,11,false),"")</f>
        <v/>
      </c>
    </row>
    <row r="8409">
      <c r="A8409" s="78" t="s">
        <v>9291</v>
      </c>
      <c r="B8409" s="78" t="s">
        <v>29</v>
      </c>
      <c r="C8409" s="85">
        <v>46035.0</v>
      </c>
      <c r="D8409" s="85">
        <v>46092.0</v>
      </c>
      <c r="E8409" s="86">
        <v>7.91</v>
      </c>
      <c r="F8409" s="87">
        <v>9.15</v>
      </c>
      <c r="G8409" s="88">
        <f t="shared" si="23"/>
        <v>1.24</v>
      </c>
      <c r="H8409" s="89">
        <f t="shared" si="18"/>
        <v>0.1355191257</v>
      </c>
      <c r="I8409" s="78" t="s">
        <v>9571</v>
      </c>
      <c r="J8409" s="78" t="s">
        <v>69</v>
      </c>
      <c r="K8409" s="58">
        <f t="shared" si="17"/>
        <v>57</v>
      </c>
      <c r="L8409" s="91" t="str">
        <f t="shared" si="8"/>
        <v>Wed</v>
      </c>
      <c r="M8409" s="78" t="str">
        <f>IFERROR(VLOOKUP(A8409, Entries!A:B,2,false),"")</f>
        <v/>
      </c>
      <c r="N8409" s="23" t="str">
        <f>IFERROR(VLOOKUP(A8409, Entries!A:K,11,false),"")</f>
        <v/>
      </c>
    </row>
    <row r="8410">
      <c r="A8410" s="78" t="s">
        <v>9291</v>
      </c>
      <c r="B8410" s="78" t="s">
        <v>29</v>
      </c>
      <c r="C8410" s="85">
        <v>46035.0</v>
      </c>
      <c r="D8410" s="85">
        <v>46095.0</v>
      </c>
      <c r="E8410" s="86">
        <v>7.91</v>
      </c>
      <c r="F8410" s="87">
        <v>10.14</v>
      </c>
      <c r="G8410" s="88">
        <f t="shared" si="23"/>
        <v>2.23</v>
      </c>
      <c r="H8410" s="89">
        <f t="shared" si="18"/>
        <v>0.2199211045</v>
      </c>
      <c r="I8410" s="78" t="s">
        <v>9572</v>
      </c>
      <c r="J8410" s="78" t="s">
        <v>69</v>
      </c>
      <c r="K8410" s="58">
        <f t="shared" si="17"/>
        <v>60</v>
      </c>
      <c r="L8410" s="91" t="str">
        <f t="shared" si="8"/>
        <v>Sat</v>
      </c>
      <c r="M8410" s="78" t="str">
        <f>IFERROR(VLOOKUP(A8410, Entries!A:B,2,false),"")</f>
        <v/>
      </c>
      <c r="N8410" s="23" t="str">
        <f>IFERROR(VLOOKUP(A8410, Entries!A:K,11,false),"")</f>
        <v/>
      </c>
    </row>
    <row r="8411">
      <c r="A8411" s="78" t="s">
        <v>9291</v>
      </c>
      <c r="B8411" s="78" t="s">
        <v>29</v>
      </c>
      <c r="C8411" s="85">
        <v>46035.0</v>
      </c>
      <c r="D8411" s="85">
        <v>46095.0</v>
      </c>
      <c r="E8411" s="86">
        <v>7.92</v>
      </c>
      <c r="F8411" s="87">
        <v>10.14</v>
      </c>
      <c r="G8411" s="88">
        <f t="shared" si="23"/>
        <v>2.22</v>
      </c>
      <c r="H8411" s="89">
        <f t="shared" si="18"/>
        <v>0.2189349112</v>
      </c>
      <c r="I8411" s="78" t="s">
        <v>9573</v>
      </c>
      <c r="J8411" s="78" t="s">
        <v>69</v>
      </c>
      <c r="K8411" s="58">
        <f t="shared" si="17"/>
        <v>60</v>
      </c>
      <c r="L8411" s="91" t="str">
        <f t="shared" si="8"/>
        <v>Sat</v>
      </c>
      <c r="M8411" s="78" t="str">
        <f>IFERROR(VLOOKUP(A8411, Entries!A:B,2,false),"")</f>
        <v/>
      </c>
      <c r="N8411" s="23" t="str">
        <f>IFERROR(VLOOKUP(A8411, Entries!A:K,11,false),"")</f>
        <v/>
      </c>
    </row>
    <row r="8412">
      <c r="A8412" s="78" t="s">
        <v>9574</v>
      </c>
      <c r="B8412" s="78" t="s">
        <v>22</v>
      </c>
      <c r="C8412" s="85">
        <v>46036.0</v>
      </c>
      <c r="D8412" s="85">
        <v>46036.0</v>
      </c>
      <c r="E8412" s="86">
        <v>9.77</v>
      </c>
      <c r="F8412" s="87">
        <v>14.14</v>
      </c>
      <c r="G8412" s="88">
        <f t="shared" si="23"/>
        <v>4.37</v>
      </c>
      <c r="H8412" s="89">
        <f t="shared" si="18"/>
        <v>0.3090523338</v>
      </c>
      <c r="I8412" s="78" t="s">
        <v>9575</v>
      </c>
      <c r="J8412" s="78" t="s">
        <v>69</v>
      </c>
      <c r="K8412" s="58">
        <f t="shared" si="17"/>
        <v>0</v>
      </c>
      <c r="L8412" s="91" t="str">
        <f t="shared" si="8"/>
        <v>Wed</v>
      </c>
      <c r="M8412" s="78" t="str">
        <f>IFERROR(VLOOKUP(A8412, Entries!A:B,2,false),"")</f>
        <v/>
      </c>
      <c r="N8412" s="23" t="str">
        <f>IFERROR(VLOOKUP(A8412, Entries!A:K,11,false),"")</f>
        <v/>
      </c>
    </row>
    <row r="8413">
      <c r="A8413" s="78" t="s">
        <v>9576</v>
      </c>
      <c r="B8413" s="78" t="s">
        <v>22</v>
      </c>
      <c r="C8413" s="85">
        <v>46036.0</v>
      </c>
      <c r="D8413" s="85">
        <v>46036.0</v>
      </c>
      <c r="E8413" s="86">
        <v>6.57</v>
      </c>
      <c r="F8413" s="87">
        <v>7.73</v>
      </c>
      <c r="G8413" s="88">
        <f t="shared" si="23"/>
        <v>1.16</v>
      </c>
      <c r="H8413" s="89">
        <f t="shared" si="18"/>
        <v>0.1500646831</v>
      </c>
      <c r="J8413" s="78" t="s">
        <v>69</v>
      </c>
      <c r="K8413" s="58">
        <f t="shared" si="17"/>
        <v>0</v>
      </c>
      <c r="L8413" s="91" t="str">
        <f t="shared" si="8"/>
        <v>Wed</v>
      </c>
      <c r="M8413" s="78" t="str">
        <f>IFERROR(VLOOKUP(A8413, Entries!A:B,2,false),"")</f>
        <v/>
      </c>
      <c r="N8413" s="23" t="str">
        <f>IFERROR(VLOOKUP(A8413, Entries!A:K,11,false),"")</f>
        <v/>
      </c>
    </row>
    <row r="8414">
      <c r="A8414" s="78" t="s">
        <v>9233</v>
      </c>
      <c r="B8414" s="78" t="s">
        <v>40</v>
      </c>
      <c r="C8414" s="85">
        <v>46036.0</v>
      </c>
      <c r="D8414" s="85">
        <v>46036.0</v>
      </c>
      <c r="E8414" s="86">
        <v>9.31</v>
      </c>
      <c r="F8414" s="87">
        <v>12.28</v>
      </c>
      <c r="G8414" s="88">
        <f t="shared" si="23"/>
        <v>2.97</v>
      </c>
      <c r="H8414" s="89">
        <f t="shared" si="18"/>
        <v>0.2418566775</v>
      </c>
      <c r="I8414" s="78" t="s">
        <v>9577</v>
      </c>
      <c r="J8414" s="78" t="s">
        <v>69</v>
      </c>
      <c r="K8414" s="58">
        <f t="shared" si="17"/>
        <v>0</v>
      </c>
      <c r="L8414" s="91" t="str">
        <f t="shared" si="8"/>
        <v>Wed</v>
      </c>
      <c r="M8414" s="78" t="str">
        <f>IFERROR(VLOOKUP(A8414, Entries!A:B,2,false),"")</f>
        <v>Behaviour Interactive</v>
      </c>
      <c r="N8414" s="23" t="str">
        <f>IFERROR(VLOOKUP(A8414, Entries!A:K,11,false),"")</f>
        <v/>
      </c>
    </row>
    <row r="8415">
      <c r="A8415" s="78" t="s">
        <v>9233</v>
      </c>
      <c r="B8415" s="78" t="s">
        <v>40</v>
      </c>
      <c r="C8415" s="85">
        <v>46036.0</v>
      </c>
      <c r="D8415" s="85">
        <v>46037.0</v>
      </c>
      <c r="E8415" s="86">
        <v>9.31</v>
      </c>
      <c r="F8415" s="87">
        <v>12.28</v>
      </c>
      <c r="G8415" s="88">
        <f t="shared" si="23"/>
        <v>2.97</v>
      </c>
      <c r="H8415" s="89">
        <f t="shared" si="18"/>
        <v>0.2418566775</v>
      </c>
      <c r="I8415" s="78" t="s">
        <v>9578</v>
      </c>
      <c r="J8415" s="78" t="s">
        <v>69</v>
      </c>
      <c r="K8415" s="58">
        <f t="shared" si="17"/>
        <v>1</v>
      </c>
      <c r="L8415" s="91" t="str">
        <f t="shared" si="8"/>
        <v>Thu</v>
      </c>
      <c r="M8415" s="78" t="str">
        <f>IFERROR(VLOOKUP(A8415, Entries!A:B,2,false),"")</f>
        <v>Behaviour Interactive</v>
      </c>
      <c r="N8415" s="23" t="str">
        <f>IFERROR(VLOOKUP(A8415, Entries!A:K,11,false),"")</f>
        <v/>
      </c>
    </row>
    <row r="8416">
      <c r="A8416" s="78" t="s">
        <v>9233</v>
      </c>
      <c r="B8416" s="78" t="s">
        <v>40</v>
      </c>
      <c r="C8416" s="85">
        <v>46036.0</v>
      </c>
      <c r="D8416" s="85">
        <v>46037.0</v>
      </c>
      <c r="E8416" s="86">
        <v>9.31</v>
      </c>
      <c r="F8416" s="87">
        <v>12.25</v>
      </c>
      <c r="G8416" s="88">
        <f t="shared" si="23"/>
        <v>2.94</v>
      </c>
      <c r="H8416" s="89">
        <f t="shared" si="18"/>
        <v>0.24</v>
      </c>
      <c r="I8416" s="78" t="s">
        <v>9579</v>
      </c>
      <c r="J8416" s="78" t="s">
        <v>69</v>
      </c>
      <c r="K8416" s="58">
        <f t="shared" si="17"/>
        <v>1</v>
      </c>
      <c r="L8416" s="91" t="str">
        <f t="shared" si="8"/>
        <v>Thu</v>
      </c>
      <c r="M8416" s="78" t="str">
        <f>IFERROR(VLOOKUP(A8416, Entries!A:B,2,false),"")</f>
        <v>Behaviour Interactive</v>
      </c>
      <c r="N8416" s="23" t="str">
        <f>IFERROR(VLOOKUP(A8416, Entries!A:K,11,false),"")</f>
        <v/>
      </c>
    </row>
    <row r="8417">
      <c r="A8417" s="78" t="s">
        <v>9233</v>
      </c>
      <c r="B8417" s="78" t="s">
        <v>40</v>
      </c>
      <c r="C8417" s="85">
        <v>46037.0</v>
      </c>
      <c r="D8417" s="85">
        <v>46037.0</v>
      </c>
      <c r="E8417" s="86">
        <v>9.31</v>
      </c>
      <c r="F8417" s="87">
        <v>12.25</v>
      </c>
      <c r="G8417" s="88">
        <f t="shared" si="23"/>
        <v>2.94</v>
      </c>
      <c r="H8417" s="89">
        <f t="shared" si="18"/>
        <v>0.24</v>
      </c>
      <c r="I8417" s="78" t="s">
        <v>9580</v>
      </c>
      <c r="J8417" s="78" t="s">
        <v>69</v>
      </c>
      <c r="K8417" s="58">
        <f t="shared" si="17"/>
        <v>0</v>
      </c>
      <c r="L8417" s="91" t="str">
        <f t="shared" si="8"/>
        <v>Thu</v>
      </c>
      <c r="M8417" s="78" t="str">
        <f>IFERROR(VLOOKUP(A8417, Entries!A:B,2,false),"")</f>
        <v>Behaviour Interactive</v>
      </c>
      <c r="N8417" s="23" t="str">
        <f>IFERROR(VLOOKUP(A8417, Entries!A:K,11,false),"")</f>
        <v/>
      </c>
    </row>
    <row r="8418">
      <c r="A8418" s="78" t="s">
        <v>9233</v>
      </c>
      <c r="B8418" s="78" t="s">
        <v>40</v>
      </c>
      <c r="C8418" s="85">
        <v>46037.0</v>
      </c>
      <c r="D8418" s="85">
        <v>46037.0</v>
      </c>
      <c r="E8418" s="86">
        <v>9.31</v>
      </c>
      <c r="F8418" s="87">
        <v>12.25</v>
      </c>
      <c r="G8418" s="88">
        <f t="shared" si="23"/>
        <v>2.94</v>
      </c>
      <c r="H8418" s="89">
        <f t="shared" si="18"/>
        <v>0.24</v>
      </c>
      <c r="I8418" s="78" t="s">
        <v>9581</v>
      </c>
      <c r="J8418" s="78" t="s">
        <v>69</v>
      </c>
      <c r="K8418" s="58">
        <f t="shared" si="17"/>
        <v>0</v>
      </c>
      <c r="L8418" s="91" t="str">
        <f t="shared" si="8"/>
        <v>Thu</v>
      </c>
      <c r="M8418" s="78" t="str">
        <f>IFERROR(VLOOKUP(A8418, Entries!A:B,2,false),"")</f>
        <v>Behaviour Interactive</v>
      </c>
      <c r="N8418" s="23" t="str">
        <f>IFERROR(VLOOKUP(A8418, Entries!A:K,11,false),"")</f>
        <v/>
      </c>
    </row>
    <row r="8419">
      <c r="A8419" s="78" t="s">
        <v>9233</v>
      </c>
      <c r="B8419" s="78" t="s">
        <v>40</v>
      </c>
      <c r="C8419" s="85">
        <v>46037.0</v>
      </c>
      <c r="D8419" s="85">
        <v>46037.0</v>
      </c>
      <c r="E8419" s="86">
        <v>9.31</v>
      </c>
      <c r="F8419" s="87">
        <v>12.25</v>
      </c>
      <c r="G8419" s="88">
        <f t="shared" si="23"/>
        <v>2.94</v>
      </c>
      <c r="H8419" s="89">
        <f t="shared" si="18"/>
        <v>0.24</v>
      </c>
      <c r="I8419" s="78" t="s">
        <v>9582</v>
      </c>
      <c r="J8419" s="78" t="s">
        <v>69</v>
      </c>
      <c r="K8419" s="58">
        <f t="shared" si="17"/>
        <v>0</v>
      </c>
      <c r="L8419" s="91" t="str">
        <f t="shared" si="8"/>
        <v>Thu</v>
      </c>
      <c r="M8419" s="78" t="str">
        <f>IFERROR(VLOOKUP(A8419, Entries!A:B,2,false),"")</f>
        <v>Behaviour Interactive</v>
      </c>
      <c r="N8419" s="23" t="str">
        <f>IFERROR(VLOOKUP(A8419, Entries!A:K,11,false),"")</f>
        <v/>
      </c>
    </row>
    <row r="8420">
      <c r="A8420" s="78" t="s">
        <v>9455</v>
      </c>
      <c r="B8420" s="78" t="s">
        <v>19</v>
      </c>
      <c r="C8420" s="85">
        <v>46037.0</v>
      </c>
      <c r="D8420" s="85">
        <v>46038.0</v>
      </c>
      <c r="E8420" s="86">
        <v>31.89</v>
      </c>
      <c r="F8420" s="87">
        <v>35.07</v>
      </c>
      <c r="G8420" s="88">
        <f t="shared" si="23"/>
        <v>3.18</v>
      </c>
      <c r="H8420" s="89">
        <f t="shared" si="18"/>
        <v>0.09067579127</v>
      </c>
      <c r="I8420" s="78" t="s">
        <v>9583</v>
      </c>
      <c r="J8420" s="78" t="s">
        <v>69</v>
      </c>
      <c r="K8420" s="58">
        <f t="shared" si="17"/>
        <v>1</v>
      </c>
      <c r="L8420" s="91" t="str">
        <f t="shared" si="8"/>
        <v>Fri</v>
      </c>
      <c r="M8420" s="78" t="str">
        <f>IFERROR(VLOOKUP(A8420, Entries!A:B,2,false),"")</f>
        <v/>
      </c>
      <c r="N8420" s="23" t="str">
        <f>IFERROR(VLOOKUP(A8420, Entries!A:K,11,false),"")</f>
        <v/>
      </c>
    </row>
    <row r="8421">
      <c r="A8421" s="78" t="s">
        <v>7816</v>
      </c>
      <c r="B8421" s="78" t="s">
        <v>25</v>
      </c>
      <c r="C8421" s="85">
        <v>46037.0</v>
      </c>
      <c r="D8421" s="85">
        <v>46038.0</v>
      </c>
      <c r="E8421" s="86">
        <v>25.31</v>
      </c>
      <c r="F8421" s="87">
        <v>29.86</v>
      </c>
      <c r="G8421" s="88">
        <f t="shared" si="23"/>
        <v>4.55</v>
      </c>
      <c r="H8421" s="89">
        <f t="shared" si="18"/>
        <v>0.1523777629</v>
      </c>
      <c r="I8421" s="78" t="s">
        <v>9584</v>
      </c>
      <c r="J8421" s="78" t="s">
        <v>69</v>
      </c>
      <c r="K8421" s="58">
        <f t="shared" si="17"/>
        <v>1</v>
      </c>
      <c r="L8421" s="91" t="str">
        <f t="shared" si="8"/>
        <v>Fri</v>
      </c>
      <c r="M8421" s="78" t="str">
        <f>IFERROR(VLOOKUP(A8421, Entries!A:B,2,false),"")</f>
        <v/>
      </c>
      <c r="N8421" s="23" t="str">
        <f>IFERROR(VLOOKUP(A8421, Entries!A:K,11,false),"")</f>
        <v/>
      </c>
    </row>
    <row r="8422">
      <c r="A8422" s="78" t="s">
        <v>7816</v>
      </c>
      <c r="B8422" s="78" t="s">
        <v>25</v>
      </c>
      <c r="C8422" s="85">
        <v>46037.0</v>
      </c>
      <c r="D8422" s="85">
        <v>46040.0</v>
      </c>
      <c r="E8422" s="86">
        <v>25.32</v>
      </c>
      <c r="F8422" s="87">
        <v>29.86</v>
      </c>
      <c r="G8422" s="88">
        <f t="shared" si="23"/>
        <v>4.54</v>
      </c>
      <c r="H8422" s="89">
        <f t="shared" si="18"/>
        <v>0.1520428667</v>
      </c>
      <c r="I8422" s="78" t="s">
        <v>9585</v>
      </c>
      <c r="J8422" s="78" t="s">
        <v>69</v>
      </c>
      <c r="K8422" s="58">
        <f t="shared" si="17"/>
        <v>3</v>
      </c>
      <c r="L8422" s="91" t="str">
        <f t="shared" si="8"/>
        <v>Sun</v>
      </c>
      <c r="M8422" s="78" t="str">
        <f>IFERROR(VLOOKUP(A8422, Entries!A:B,2,false),"")</f>
        <v/>
      </c>
      <c r="N8422" s="23" t="str">
        <f>IFERROR(VLOOKUP(A8422, Entries!A:K,11,false),"")</f>
        <v/>
      </c>
    </row>
    <row r="8423">
      <c r="A8423" s="78" t="s">
        <v>9233</v>
      </c>
      <c r="B8423" s="78" t="s">
        <v>40</v>
      </c>
      <c r="C8423" s="85">
        <v>46038.0</v>
      </c>
      <c r="D8423" s="85">
        <v>46038.0</v>
      </c>
      <c r="E8423" s="86">
        <v>9.31</v>
      </c>
      <c r="F8423" s="87">
        <v>12.26</v>
      </c>
      <c r="G8423" s="88">
        <f t="shared" si="23"/>
        <v>2.95</v>
      </c>
      <c r="H8423" s="89">
        <f t="shared" si="18"/>
        <v>0.2406199021</v>
      </c>
      <c r="I8423" s="78" t="s">
        <v>9586</v>
      </c>
      <c r="J8423" s="78" t="s">
        <v>69</v>
      </c>
      <c r="K8423" s="58">
        <f t="shared" si="17"/>
        <v>0</v>
      </c>
      <c r="L8423" s="91" t="str">
        <f t="shared" si="8"/>
        <v>Fri</v>
      </c>
      <c r="M8423" s="78" t="str">
        <f>IFERROR(VLOOKUP(A8423, Entries!A:B,2,false),"")</f>
        <v>Behaviour Interactive</v>
      </c>
      <c r="N8423" s="23" t="str">
        <f>IFERROR(VLOOKUP(A8423, Entries!A:K,11,false),"")</f>
        <v/>
      </c>
    </row>
    <row r="8424">
      <c r="A8424" s="78" t="s">
        <v>9233</v>
      </c>
      <c r="B8424" s="78" t="s">
        <v>40</v>
      </c>
      <c r="C8424" s="85">
        <v>46038.0</v>
      </c>
      <c r="D8424" s="85">
        <v>46038.0</v>
      </c>
      <c r="E8424" s="86">
        <v>9.31</v>
      </c>
      <c r="F8424" s="87">
        <v>12.26</v>
      </c>
      <c r="G8424" s="88">
        <f t="shared" si="23"/>
        <v>2.95</v>
      </c>
      <c r="H8424" s="89">
        <f t="shared" si="18"/>
        <v>0.2406199021</v>
      </c>
      <c r="I8424" s="78" t="s">
        <v>9587</v>
      </c>
      <c r="J8424" s="78" t="s">
        <v>69</v>
      </c>
      <c r="K8424" s="58">
        <f t="shared" si="17"/>
        <v>0</v>
      </c>
      <c r="L8424" s="91" t="str">
        <f t="shared" si="8"/>
        <v>Fri</v>
      </c>
      <c r="M8424" s="78" t="str">
        <f>IFERROR(VLOOKUP(A8424, Entries!A:B,2,false),"")</f>
        <v>Behaviour Interactive</v>
      </c>
      <c r="N8424" s="23" t="str">
        <f>IFERROR(VLOOKUP(A8424, Entries!A:K,11,false),"")</f>
        <v/>
      </c>
    </row>
    <row r="8425">
      <c r="A8425" s="78" t="s">
        <v>9233</v>
      </c>
      <c r="B8425" s="78" t="s">
        <v>40</v>
      </c>
      <c r="C8425" s="85">
        <v>46038.0</v>
      </c>
      <c r="D8425" s="85">
        <v>46038.0</v>
      </c>
      <c r="E8425" s="86">
        <v>9.31</v>
      </c>
      <c r="F8425" s="87">
        <v>12.26</v>
      </c>
      <c r="G8425" s="88">
        <f t="shared" si="23"/>
        <v>2.95</v>
      </c>
      <c r="H8425" s="89">
        <f t="shared" si="18"/>
        <v>0.2406199021</v>
      </c>
      <c r="I8425" s="78" t="s">
        <v>9588</v>
      </c>
      <c r="J8425" s="78" t="s">
        <v>69</v>
      </c>
      <c r="K8425" s="58">
        <f t="shared" si="17"/>
        <v>0</v>
      </c>
      <c r="L8425" s="91" t="str">
        <f t="shared" si="8"/>
        <v>Fri</v>
      </c>
      <c r="M8425" s="78" t="str">
        <f>IFERROR(VLOOKUP(A8425, Entries!A:B,2,false),"")</f>
        <v>Behaviour Interactive</v>
      </c>
      <c r="N8425" s="23" t="str">
        <f>IFERROR(VLOOKUP(A8425, Entries!A:K,11,false),"")</f>
        <v/>
      </c>
    </row>
    <row r="8426">
      <c r="A8426" s="78" t="s">
        <v>5676</v>
      </c>
      <c r="B8426" s="78" t="s">
        <v>25</v>
      </c>
      <c r="C8426" s="85">
        <v>46038.0</v>
      </c>
      <c r="D8426" s="85">
        <v>46043.0</v>
      </c>
      <c r="E8426" s="86">
        <v>37.84</v>
      </c>
      <c r="F8426" s="87">
        <v>43.89</v>
      </c>
      <c r="G8426" s="88">
        <f t="shared" si="23"/>
        <v>6.05</v>
      </c>
      <c r="H8426" s="89">
        <f t="shared" si="18"/>
        <v>0.1378446115</v>
      </c>
      <c r="I8426" s="78" t="s">
        <v>9589</v>
      </c>
      <c r="J8426" s="78" t="s">
        <v>69</v>
      </c>
      <c r="K8426" s="58">
        <f t="shared" si="17"/>
        <v>5</v>
      </c>
      <c r="L8426" s="91" t="str">
        <f t="shared" si="8"/>
        <v>Wed</v>
      </c>
      <c r="M8426" s="78" t="str">
        <f>IFERROR(VLOOKUP(A8426, Entries!A:B,2,false),"")</f>
        <v>Bethesda Softworks</v>
      </c>
      <c r="N8426" s="23" t="str">
        <f>IFERROR(VLOOKUP(A8426, Entries!A:K,11,false),"")</f>
        <v/>
      </c>
    </row>
    <row r="8427">
      <c r="A8427" s="78" t="s">
        <v>5676</v>
      </c>
      <c r="B8427" s="78" t="s">
        <v>25</v>
      </c>
      <c r="C8427" s="85">
        <v>46038.0</v>
      </c>
      <c r="D8427" s="85">
        <v>46044.0</v>
      </c>
      <c r="E8427" s="86">
        <v>37.85</v>
      </c>
      <c r="F8427" s="87">
        <v>43.66</v>
      </c>
      <c r="G8427" s="88">
        <f t="shared" si="23"/>
        <v>5.81</v>
      </c>
      <c r="H8427" s="89">
        <f t="shared" si="18"/>
        <v>0.1330737517</v>
      </c>
      <c r="I8427" s="78" t="s">
        <v>9590</v>
      </c>
      <c r="J8427" s="78" t="s">
        <v>69</v>
      </c>
      <c r="K8427" s="58">
        <f t="shared" si="17"/>
        <v>6</v>
      </c>
      <c r="L8427" s="91" t="str">
        <f t="shared" si="8"/>
        <v>Thu</v>
      </c>
      <c r="M8427" s="78" t="str">
        <f>IFERROR(VLOOKUP(A8427, Entries!A:B,2,false),"")</f>
        <v>Bethesda Softworks</v>
      </c>
      <c r="N8427" s="23" t="str">
        <f>IFERROR(VLOOKUP(A8427, Entries!A:K,11,false),"")</f>
        <v/>
      </c>
    </row>
    <row r="8428">
      <c r="A8428" s="78" t="s">
        <v>9455</v>
      </c>
      <c r="B8428" s="78" t="s">
        <v>19</v>
      </c>
      <c r="C8428" s="85">
        <v>46038.0</v>
      </c>
      <c r="D8428" s="85">
        <v>46038.0</v>
      </c>
      <c r="E8428" s="86">
        <v>32.01</v>
      </c>
      <c r="F8428" s="87">
        <v>35.07</v>
      </c>
      <c r="G8428" s="88">
        <f t="shared" si="23"/>
        <v>3.06</v>
      </c>
      <c r="H8428" s="89">
        <f t="shared" si="18"/>
        <v>0.0872540633</v>
      </c>
      <c r="I8428" s="78" t="s">
        <v>9591</v>
      </c>
      <c r="J8428" s="78" t="s">
        <v>69</v>
      </c>
      <c r="K8428" s="58">
        <f t="shared" si="17"/>
        <v>0</v>
      </c>
      <c r="L8428" s="91" t="str">
        <f t="shared" si="8"/>
        <v>Fri</v>
      </c>
      <c r="M8428" s="78" t="str">
        <f>IFERROR(VLOOKUP(A8428, Entries!A:B,2,false),"")</f>
        <v/>
      </c>
      <c r="N8428" s="23" t="str">
        <f>IFERROR(VLOOKUP(A8428, Entries!A:K,11,false),"")</f>
        <v/>
      </c>
    </row>
    <row r="8429">
      <c r="A8429" s="78" t="s">
        <v>9455</v>
      </c>
      <c r="B8429" s="78" t="s">
        <v>19</v>
      </c>
      <c r="C8429" s="85">
        <v>46039.0</v>
      </c>
      <c r="D8429" s="85">
        <v>46039.0</v>
      </c>
      <c r="E8429" s="86">
        <v>32.03</v>
      </c>
      <c r="F8429" s="87">
        <v>37.0</v>
      </c>
      <c r="G8429" s="88">
        <f t="shared" si="23"/>
        <v>4.97</v>
      </c>
      <c r="H8429" s="89">
        <f t="shared" si="18"/>
        <v>0.1343243243</v>
      </c>
      <c r="I8429" s="78" t="s">
        <v>9592</v>
      </c>
      <c r="J8429" s="78" t="s">
        <v>69</v>
      </c>
      <c r="K8429" s="58">
        <f t="shared" si="17"/>
        <v>0</v>
      </c>
      <c r="L8429" s="91" t="str">
        <f t="shared" si="8"/>
        <v>Sat</v>
      </c>
      <c r="M8429" s="78" t="str">
        <f>IFERROR(VLOOKUP(A8429, Entries!A:B,2,false),"")</f>
        <v/>
      </c>
      <c r="N8429" s="23" t="str">
        <f>IFERROR(VLOOKUP(A8429, Entries!A:K,11,false),"")</f>
        <v/>
      </c>
    </row>
    <row r="8430">
      <c r="A8430" s="78" t="s">
        <v>9233</v>
      </c>
      <c r="B8430" s="78" t="s">
        <v>40</v>
      </c>
      <c r="C8430" s="85">
        <v>46039.0</v>
      </c>
      <c r="D8430" s="85">
        <v>46039.0</v>
      </c>
      <c r="E8430" s="86">
        <v>9.31</v>
      </c>
      <c r="F8430" s="87">
        <v>12.27</v>
      </c>
      <c r="G8430" s="88">
        <f t="shared" si="23"/>
        <v>2.96</v>
      </c>
      <c r="H8430" s="89">
        <f t="shared" si="18"/>
        <v>0.2412387938</v>
      </c>
      <c r="I8430" s="78" t="s">
        <v>9593</v>
      </c>
      <c r="J8430" s="78" t="s">
        <v>69</v>
      </c>
      <c r="K8430" s="58">
        <f t="shared" si="17"/>
        <v>0</v>
      </c>
      <c r="L8430" s="91" t="str">
        <f t="shared" si="8"/>
        <v>Sat</v>
      </c>
      <c r="M8430" s="78" t="str">
        <f>IFERROR(VLOOKUP(A8430, Entries!A:B,2,false),"")</f>
        <v>Behaviour Interactive</v>
      </c>
      <c r="N8430" s="23" t="str">
        <f>IFERROR(VLOOKUP(A8430, Entries!A:K,11,false),"")</f>
        <v/>
      </c>
    </row>
    <row r="8431">
      <c r="A8431" s="78" t="s">
        <v>9233</v>
      </c>
      <c r="B8431" s="78" t="s">
        <v>40</v>
      </c>
      <c r="C8431" s="85">
        <v>46039.0</v>
      </c>
      <c r="D8431" s="85">
        <v>46039.0</v>
      </c>
      <c r="E8431" s="86">
        <v>9.31</v>
      </c>
      <c r="F8431" s="87">
        <v>12.27</v>
      </c>
      <c r="G8431" s="88">
        <f t="shared" si="23"/>
        <v>2.96</v>
      </c>
      <c r="H8431" s="89">
        <f t="shared" si="18"/>
        <v>0.2412387938</v>
      </c>
      <c r="I8431" s="78" t="s">
        <v>9594</v>
      </c>
      <c r="J8431" s="78" t="s">
        <v>69</v>
      </c>
      <c r="K8431" s="58">
        <f t="shared" si="17"/>
        <v>0</v>
      </c>
      <c r="L8431" s="91" t="str">
        <f t="shared" si="8"/>
        <v>Sat</v>
      </c>
      <c r="M8431" s="78" t="str">
        <f>IFERROR(VLOOKUP(A8431, Entries!A:B,2,false),"")</f>
        <v>Behaviour Interactive</v>
      </c>
      <c r="N8431" s="23" t="str">
        <f>IFERROR(VLOOKUP(A8431, Entries!A:K,11,false),"")</f>
        <v/>
      </c>
    </row>
    <row r="8432">
      <c r="A8432" s="78" t="s">
        <v>9233</v>
      </c>
      <c r="B8432" s="78" t="s">
        <v>40</v>
      </c>
      <c r="C8432" s="85">
        <v>46039.0</v>
      </c>
      <c r="D8432" s="85">
        <v>46039.0</v>
      </c>
      <c r="E8432" s="86">
        <v>9.31</v>
      </c>
      <c r="F8432" s="87">
        <v>13.17</v>
      </c>
      <c r="G8432" s="88">
        <f t="shared" si="23"/>
        <v>3.86</v>
      </c>
      <c r="H8432" s="89">
        <f t="shared" si="18"/>
        <v>0.2930903569</v>
      </c>
      <c r="I8432" s="78" t="s">
        <v>9595</v>
      </c>
      <c r="J8432" s="78" t="s">
        <v>69</v>
      </c>
      <c r="K8432" s="58">
        <f t="shared" si="17"/>
        <v>0</v>
      </c>
      <c r="L8432" s="91" t="str">
        <f t="shared" si="8"/>
        <v>Sat</v>
      </c>
      <c r="M8432" s="78" t="str">
        <f>IFERROR(VLOOKUP(A8432, Entries!A:B,2,false),"")</f>
        <v>Behaviour Interactive</v>
      </c>
      <c r="N8432" s="23" t="str">
        <f>IFERROR(VLOOKUP(A8432, Entries!A:K,11,false),"")</f>
        <v/>
      </c>
    </row>
    <row r="8433">
      <c r="A8433" s="78" t="s">
        <v>9291</v>
      </c>
      <c r="B8433" s="78" t="s">
        <v>29</v>
      </c>
      <c r="C8433" s="85">
        <v>46039.0</v>
      </c>
      <c r="D8433" s="85">
        <v>46102.0</v>
      </c>
      <c r="E8433" s="86">
        <v>6.71</v>
      </c>
      <c r="F8433" s="87">
        <v>10.05</v>
      </c>
      <c r="G8433" s="88">
        <f t="shared" si="23"/>
        <v>3.34</v>
      </c>
      <c r="H8433" s="89">
        <f t="shared" si="18"/>
        <v>0.3323383085</v>
      </c>
      <c r="I8433" s="78" t="s">
        <v>9596</v>
      </c>
      <c r="J8433" s="78" t="s">
        <v>69</v>
      </c>
      <c r="K8433" s="58">
        <f t="shared" si="17"/>
        <v>63</v>
      </c>
      <c r="L8433" s="91" t="str">
        <f t="shared" si="8"/>
        <v>Sat</v>
      </c>
      <c r="M8433" s="78" t="str">
        <f>IFERROR(VLOOKUP(A8433, Entries!A:B,2,false),"")</f>
        <v/>
      </c>
      <c r="N8433" s="23" t="str">
        <f>IFERROR(VLOOKUP(A8433, Entries!A:K,11,false),"")</f>
        <v/>
      </c>
    </row>
    <row r="8434">
      <c r="A8434" s="78" t="s">
        <v>9291</v>
      </c>
      <c r="B8434" s="78" t="s">
        <v>29</v>
      </c>
      <c r="C8434" s="85">
        <v>46039.0</v>
      </c>
      <c r="D8434" s="85">
        <v>46108.0</v>
      </c>
      <c r="E8434" s="86">
        <v>6.71</v>
      </c>
      <c r="F8434" s="87">
        <v>10.05</v>
      </c>
      <c r="G8434" s="88">
        <f t="shared" si="23"/>
        <v>3.34</v>
      </c>
      <c r="H8434" s="89">
        <f t="shared" si="18"/>
        <v>0.3323383085</v>
      </c>
      <c r="I8434" s="78" t="s">
        <v>9597</v>
      </c>
      <c r="J8434" s="78" t="s">
        <v>69</v>
      </c>
      <c r="K8434" s="58">
        <f t="shared" si="17"/>
        <v>69</v>
      </c>
      <c r="L8434" s="91" t="str">
        <f t="shared" si="8"/>
        <v>Fri</v>
      </c>
      <c r="M8434" s="78" t="str">
        <f>IFERROR(VLOOKUP(A8434, Entries!A:B,2,false),"")</f>
        <v/>
      </c>
      <c r="N8434" s="23" t="str">
        <f>IFERROR(VLOOKUP(A8434, Entries!A:K,11,false),"")</f>
        <v/>
      </c>
    </row>
    <row r="8435">
      <c r="A8435" s="78" t="s">
        <v>9291</v>
      </c>
      <c r="B8435" s="78" t="s">
        <v>29</v>
      </c>
      <c r="C8435" s="85">
        <v>46039.0</v>
      </c>
      <c r="D8435" s="85">
        <v>46114.0</v>
      </c>
      <c r="E8435" s="86">
        <v>6.71</v>
      </c>
      <c r="F8435" s="87">
        <v>9.6</v>
      </c>
      <c r="G8435" s="88">
        <f t="shared" si="23"/>
        <v>2.89</v>
      </c>
      <c r="H8435" s="89">
        <f t="shared" si="18"/>
        <v>0.3010416667</v>
      </c>
      <c r="I8435" s="78" t="s">
        <v>9598</v>
      </c>
      <c r="J8435" s="78" t="s">
        <v>69</v>
      </c>
      <c r="K8435" s="58">
        <f t="shared" si="17"/>
        <v>75</v>
      </c>
      <c r="L8435" s="91" t="str">
        <f t="shared" si="8"/>
        <v>Thu</v>
      </c>
      <c r="M8435" s="78" t="str">
        <f>IFERROR(VLOOKUP(A8435, Entries!A:B,2,false),"")</f>
        <v/>
      </c>
      <c r="N8435" s="23" t="str">
        <f>IFERROR(VLOOKUP(A8435, Entries!A:K,11,false),"")</f>
        <v/>
      </c>
    </row>
    <row r="8436">
      <c r="A8436" s="78" t="s">
        <v>9291</v>
      </c>
      <c r="B8436" s="78" t="s">
        <v>29</v>
      </c>
      <c r="C8436" s="85">
        <v>46039.0</v>
      </c>
      <c r="D8436" s="85">
        <v>46117.0</v>
      </c>
      <c r="E8436" s="86">
        <v>6.71</v>
      </c>
      <c r="F8436" s="87">
        <v>12.75</v>
      </c>
      <c r="G8436" s="88">
        <f t="shared" si="23"/>
        <v>6.04</v>
      </c>
      <c r="H8436" s="89">
        <f t="shared" si="18"/>
        <v>0.4737254902</v>
      </c>
      <c r="I8436" s="78" t="s">
        <v>9599</v>
      </c>
      <c r="J8436" s="78" t="s">
        <v>69</v>
      </c>
      <c r="K8436" s="58">
        <f t="shared" si="17"/>
        <v>78</v>
      </c>
      <c r="L8436" s="91" t="str">
        <f t="shared" si="8"/>
        <v>Sun</v>
      </c>
      <c r="M8436" s="78" t="str">
        <f>IFERROR(VLOOKUP(A8436, Entries!A:B,2,false),"")</f>
        <v/>
      </c>
      <c r="N8436" s="23" t="str">
        <f>IFERROR(VLOOKUP(A8436, Entries!A:K,11,false),"")</f>
        <v/>
      </c>
    </row>
    <row r="8437">
      <c r="A8437" s="78" t="s">
        <v>7814</v>
      </c>
      <c r="B8437" s="78" t="s">
        <v>17</v>
      </c>
      <c r="C8437" s="85">
        <v>46039.0</v>
      </c>
      <c r="D8437" s="85">
        <v>46039.0</v>
      </c>
      <c r="E8437" s="86">
        <v>29.47</v>
      </c>
      <c r="F8437" s="87">
        <v>41.29</v>
      </c>
      <c r="G8437" s="88">
        <f t="shared" si="23"/>
        <v>11.82</v>
      </c>
      <c r="H8437" s="89">
        <f t="shared" si="18"/>
        <v>0.2862678615</v>
      </c>
      <c r="I8437" s="78" t="s">
        <v>9600</v>
      </c>
      <c r="J8437" s="78" t="s">
        <v>69</v>
      </c>
      <c r="K8437" s="58">
        <f t="shared" si="17"/>
        <v>0</v>
      </c>
      <c r="L8437" s="91" t="str">
        <f t="shared" si="8"/>
        <v>Sat</v>
      </c>
      <c r="M8437" s="78" t="str">
        <f>IFERROR(VLOOKUP(A8437, Entries!A:B,2,false),"")</f>
        <v>Electronic Arts</v>
      </c>
      <c r="N8437" s="23" t="str">
        <f>IFERROR(VLOOKUP(A8437, Entries!A:K,11,false),"")</f>
        <v/>
      </c>
      <c r="P8437" s="78" t="s">
        <v>7796</v>
      </c>
    </row>
    <row r="8438">
      <c r="A8438" s="78" t="s">
        <v>7814</v>
      </c>
      <c r="B8438" s="78" t="s">
        <v>17</v>
      </c>
      <c r="C8438" s="85">
        <v>46039.0</v>
      </c>
      <c r="D8438" s="85">
        <v>46040.0</v>
      </c>
      <c r="E8438" s="86">
        <v>29.47</v>
      </c>
      <c r="F8438" s="87">
        <v>41.29</v>
      </c>
      <c r="G8438" s="88">
        <f t="shared" si="23"/>
        <v>11.82</v>
      </c>
      <c r="H8438" s="89">
        <f t="shared" si="18"/>
        <v>0.2862678615</v>
      </c>
      <c r="I8438" s="78" t="s">
        <v>9601</v>
      </c>
      <c r="J8438" s="78" t="s">
        <v>69</v>
      </c>
      <c r="K8438" s="58">
        <f t="shared" si="17"/>
        <v>1</v>
      </c>
      <c r="L8438" s="91" t="str">
        <f t="shared" si="8"/>
        <v>Sun</v>
      </c>
      <c r="M8438" s="78" t="str">
        <f>IFERROR(VLOOKUP(A8438, Entries!A:B,2,false),"")</f>
        <v>Electronic Arts</v>
      </c>
      <c r="N8438" s="23" t="str">
        <f>IFERROR(VLOOKUP(A8438, Entries!A:K,11,false),"")</f>
        <v/>
      </c>
      <c r="P8438" s="78" t="s">
        <v>7796</v>
      </c>
    </row>
    <row r="8439">
      <c r="A8439" s="78" t="s">
        <v>9455</v>
      </c>
      <c r="B8439" s="78" t="s">
        <v>19</v>
      </c>
      <c r="C8439" s="85">
        <v>46039.0</v>
      </c>
      <c r="D8439" s="85">
        <v>46049.0</v>
      </c>
      <c r="E8439" s="86">
        <v>32.03</v>
      </c>
      <c r="F8439" s="87">
        <v>36.79</v>
      </c>
      <c r="G8439" s="88">
        <f t="shared" si="23"/>
        <v>4.76</v>
      </c>
      <c r="H8439" s="89">
        <f t="shared" si="18"/>
        <v>0.1293829845</v>
      </c>
      <c r="I8439" s="78" t="s">
        <v>9602</v>
      </c>
      <c r="J8439" s="78" t="s">
        <v>69</v>
      </c>
      <c r="K8439" s="58">
        <f t="shared" si="17"/>
        <v>10</v>
      </c>
      <c r="L8439" s="91" t="str">
        <f t="shared" si="8"/>
        <v>Tue</v>
      </c>
      <c r="M8439" s="78" t="str">
        <f>IFERROR(VLOOKUP(A8439, Entries!A:B,2,false),"")</f>
        <v/>
      </c>
      <c r="N8439" s="23" t="str">
        <f>IFERROR(VLOOKUP(A8439, Entries!A:K,11,false),"")</f>
        <v/>
      </c>
    </row>
    <row r="8440">
      <c r="A8440" s="78" t="s">
        <v>7816</v>
      </c>
      <c r="B8440" s="78" t="s">
        <v>25</v>
      </c>
      <c r="C8440" s="85">
        <v>46040.0</v>
      </c>
      <c r="D8440" s="85">
        <v>46040.0</v>
      </c>
      <c r="E8440" s="86">
        <v>26.23</v>
      </c>
      <c r="F8440" s="87">
        <v>29.86</v>
      </c>
      <c r="G8440" s="88">
        <f t="shared" si="23"/>
        <v>3.63</v>
      </c>
      <c r="H8440" s="89">
        <f t="shared" si="18"/>
        <v>0.1215673141</v>
      </c>
      <c r="I8440" s="78" t="s">
        <v>9603</v>
      </c>
      <c r="J8440" s="78" t="s">
        <v>69</v>
      </c>
      <c r="K8440" s="58">
        <f t="shared" si="17"/>
        <v>0</v>
      </c>
      <c r="L8440" s="91" t="str">
        <f t="shared" si="8"/>
        <v>Sun</v>
      </c>
      <c r="M8440" s="78" t="str">
        <f>IFERROR(VLOOKUP(A8440, Entries!A:B,2,false),"")</f>
        <v/>
      </c>
      <c r="N8440" s="23" t="str">
        <f>IFERROR(VLOOKUP(A8440, Entries!A:K,11,false),"")</f>
        <v/>
      </c>
    </row>
    <row r="8441">
      <c r="A8441" s="78" t="s">
        <v>7816</v>
      </c>
      <c r="B8441" s="78" t="s">
        <v>25</v>
      </c>
      <c r="C8441" s="85">
        <v>46040.0</v>
      </c>
      <c r="D8441" s="85">
        <v>46041.0</v>
      </c>
      <c r="E8441" s="86">
        <v>26.24</v>
      </c>
      <c r="F8441" s="87">
        <v>29.86</v>
      </c>
      <c r="G8441" s="88">
        <f t="shared" si="23"/>
        <v>3.62</v>
      </c>
      <c r="H8441" s="89">
        <f t="shared" si="18"/>
        <v>0.121232418</v>
      </c>
      <c r="I8441" s="78" t="s">
        <v>9604</v>
      </c>
      <c r="J8441" s="78" t="s">
        <v>69</v>
      </c>
      <c r="K8441" s="58">
        <f t="shared" si="17"/>
        <v>1</v>
      </c>
      <c r="L8441" s="91" t="str">
        <f t="shared" si="8"/>
        <v>Mon</v>
      </c>
      <c r="M8441" s="78" t="str">
        <f>IFERROR(VLOOKUP(A8441, Entries!A:B,2,false),"")</f>
        <v/>
      </c>
      <c r="N8441" s="23" t="str">
        <f>IFERROR(VLOOKUP(A8441, Entries!A:K,11,false),"")</f>
        <v/>
      </c>
    </row>
    <row r="8442">
      <c r="A8442" s="78" t="s">
        <v>7814</v>
      </c>
      <c r="B8442" s="78" t="s">
        <v>17</v>
      </c>
      <c r="C8442" s="85">
        <v>46040.0</v>
      </c>
      <c r="D8442" s="85">
        <v>46042.0</v>
      </c>
      <c r="E8442" s="86">
        <v>29.47</v>
      </c>
      <c r="F8442" s="87">
        <v>41.29</v>
      </c>
      <c r="G8442" s="88">
        <f t="shared" si="23"/>
        <v>11.82</v>
      </c>
      <c r="H8442" s="89">
        <f t="shared" si="18"/>
        <v>0.2862678615</v>
      </c>
      <c r="I8442" s="78" t="s">
        <v>9257</v>
      </c>
      <c r="J8442" s="78" t="s">
        <v>69</v>
      </c>
      <c r="K8442" s="58">
        <f t="shared" si="17"/>
        <v>2</v>
      </c>
      <c r="L8442" s="91" t="str">
        <f t="shared" si="8"/>
        <v>Tue</v>
      </c>
      <c r="M8442" s="78" t="str">
        <f>IFERROR(VLOOKUP(A8442, Entries!A:B,2,false),"")</f>
        <v>Electronic Arts</v>
      </c>
      <c r="N8442" s="23" t="str">
        <f>IFERROR(VLOOKUP(A8442, Entries!A:K,11,false),"")</f>
        <v/>
      </c>
    </row>
    <row r="8443">
      <c r="A8443" s="78" t="s">
        <v>7814</v>
      </c>
      <c r="B8443" s="78" t="s">
        <v>17</v>
      </c>
      <c r="C8443" s="85">
        <v>46040.0</v>
      </c>
      <c r="D8443" s="85">
        <v>46051.0</v>
      </c>
      <c r="E8443" s="86">
        <v>29.47</v>
      </c>
      <c r="F8443" s="87">
        <v>41.29</v>
      </c>
      <c r="G8443" s="88">
        <f t="shared" si="23"/>
        <v>11.82</v>
      </c>
      <c r="H8443" s="89">
        <f t="shared" si="18"/>
        <v>0.2862678615</v>
      </c>
      <c r="I8443" s="78" t="s">
        <v>4864</v>
      </c>
      <c r="J8443" s="78" t="s">
        <v>69</v>
      </c>
      <c r="K8443" s="58">
        <f t="shared" si="17"/>
        <v>11</v>
      </c>
      <c r="L8443" s="91" t="str">
        <f t="shared" si="8"/>
        <v>Thu</v>
      </c>
      <c r="M8443" s="78" t="str">
        <f>IFERROR(VLOOKUP(A8443, Entries!A:B,2,false),"")</f>
        <v>Electronic Arts</v>
      </c>
      <c r="N8443" s="23" t="str">
        <f>IFERROR(VLOOKUP(A8443, Entries!A:K,11,false),"")</f>
        <v/>
      </c>
      <c r="P8443" s="78" t="s">
        <v>7796</v>
      </c>
    </row>
    <row r="8444">
      <c r="A8444" s="78" t="s">
        <v>9517</v>
      </c>
      <c r="B8444" s="78" t="s">
        <v>18</v>
      </c>
      <c r="C8444" s="85">
        <v>46040.0</v>
      </c>
      <c r="D8444" s="85">
        <v>46040.0</v>
      </c>
      <c r="E8444" s="86">
        <v>12.57</v>
      </c>
      <c r="F8444" s="87">
        <v>18.19</v>
      </c>
      <c r="G8444" s="88">
        <f t="shared" si="23"/>
        <v>5.62</v>
      </c>
      <c r="H8444" s="89">
        <f t="shared" si="18"/>
        <v>0.3089609676</v>
      </c>
      <c r="I8444" s="78" t="s">
        <v>9605</v>
      </c>
      <c r="J8444" s="78" t="s">
        <v>69</v>
      </c>
      <c r="K8444" s="58">
        <f t="shared" si="17"/>
        <v>0</v>
      </c>
      <c r="L8444" s="91" t="str">
        <f t="shared" si="8"/>
        <v>Sun</v>
      </c>
      <c r="M8444" s="78" t="str">
        <f>IFERROR(VLOOKUP(A8444, Entries!A:B,2,false),"")</f>
        <v/>
      </c>
      <c r="N8444" s="23" t="str">
        <f>IFERROR(VLOOKUP(A8444, Entries!A:K,11,false),"")</f>
        <v/>
      </c>
    </row>
    <row r="8445">
      <c r="A8445" s="78" t="s">
        <v>9517</v>
      </c>
      <c r="B8445" s="78" t="s">
        <v>18</v>
      </c>
      <c r="C8445" s="85">
        <v>46040.0</v>
      </c>
      <c r="D8445" s="85">
        <v>46041.0</v>
      </c>
      <c r="E8445" s="86">
        <v>12.56</v>
      </c>
      <c r="F8445" s="87">
        <v>15.17</v>
      </c>
      <c r="G8445" s="88">
        <f t="shared" si="23"/>
        <v>2.61</v>
      </c>
      <c r="H8445" s="89">
        <f t="shared" si="18"/>
        <v>0.1720500989</v>
      </c>
      <c r="I8445" s="78" t="s">
        <v>9606</v>
      </c>
      <c r="J8445" s="78" t="s">
        <v>69</v>
      </c>
      <c r="K8445" s="58">
        <f t="shared" si="17"/>
        <v>1</v>
      </c>
      <c r="L8445" s="91" t="str">
        <f t="shared" si="8"/>
        <v>Mon</v>
      </c>
      <c r="M8445" s="78" t="str">
        <f>IFERROR(VLOOKUP(A8445, Entries!A:B,2,false),"")</f>
        <v/>
      </c>
      <c r="N8445" s="23" t="str">
        <f>IFERROR(VLOOKUP(A8445, Entries!A:K,11,false),"")</f>
        <v/>
      </c>
    </row>
    <row r="8446">
      <c r="A8446" s="78" t="s">
        <v>9517</v>
      </c>
      <c r="B8446" s="78" t="s">
        <v>18</v>
      </c>
      <c r="C8446" s="85">
        <v>46040.0</v>
      </c>
      <c r="D8446" s="85">
        <v>46043.0</v>
      </c>
      <c r="E8446" s="86">
        <v>12.57</v>
      </c>
      <c r="F8446" s="87">
        <v>15.17</v>
      </c>
      <c r="G8446" s="88">
        <f t="shared" si="23"/>
        <v>2.6</v>
      </c>
      <c r="H8446" s="89">
        <f t="shared" si="18"/>
        <v>0.1713909031</v>
      </c>
      <c r="I8446" s="78" t="s">
        <v>9607</v>
      </c>
      <c r="J8446" s="78" t="s">
        <v>69</v>
      </c>
      <c r="K8446" s="58">
        <f t="shared" si="17"/>
        <v>3</v>
      </c>
      <c r="L8446" s="91" t="str">
        <f t="shared" si="8"/>
        <v>Wed</v>
      </c>
      <c r="M8446" s="78" t="str">
        <f>IFERROR(VLOOKUP(A8446, Entries!A:B,2,false),"")</f>
        <v/>
      </c>
      <c r="N8446" s="23" t="str">
        <f>IFERROR(VLOOKUP(A8446, Entries!A:K,11,false),"")</f>
        <v/>
      </c>
    </row>
    <row r="8447">
      <c r="A8447" s="78" t="s">
        <v>9365</v>
      </c>
      <c r="B8447" s="78" t="s">
        <v>27</v>
      </c>
      <c r="C8447" s="85">
        <v>46041.0</v>
      </c>
      <c r="D8447" s="85">
        <v>46045.0</v>
      </c>
      <c r="E8447" s="86">
        <v>34.49</v>
      </c>
      <c r="F8447" s="87">
        <v>43.99</v>
      </c>
      <c r="G8447" s="88">
        <f t="shared" si="23"/>
        <v>9.5</v>
      </c>
      <c r="H8447" s="89">
        <f t="shared" si="18"/>
        <v>0.2159581723</v>
      </c>
      <c r="I8447" s="78" t="s">
        <v>9608</v>
      </c>
      <c r="J8447" s="78" t="s">
        <v>69</v>
      </c>
      <c r="K8447" s="58">
        <f t="shared" si="17"/>
        <v>4</v>
      </c>
      <c r="L8447" s="91" t="str">
        <f t="shared" si="8"/>
        <v>Fri</v>
      </c>
      <c r="M8447" s="78" t="str">
        <f>IFERROR(VLOOKUP(A8447, Entries!A:B,2,false),"")</f>
        <v/>
      </c>
      <c r="N8447" s="23" t="str">
        <f>IFERROR(VLOOKUP(A8447, Entries!A:K,11,false),"")</f>
        <v/>
      </c>
    </row>
    <row r="8448">
      <c r="A8448" s="78" t="s">
        <v>7816</v>
      </c>
      <c r="B8448" s="78" t="s">
        <v>25</v>
      </c>
      <c r="C8448" s="85">
        <v>46041.0</v>
      </c>
      <c r="D8448" s="85">
        <v>46041.0</v>
      </c>
      <c r="E8448" s="86">
        <v>26.2</v>
      </c>
      <c r="F8448" s="87">
        <v>29.86</v>
      </c>
      <c r="G8448" s="88">
        <f t="shared" si="23"/>
        <v>3.66</v>
      </c>
      <c r="H8448" s="89">
        <f t="shared" si="18"/>
        <v>0.1225720027</v>
      </c>
      <c r="I8448" s="78" t="s">
        <v>9609</v>
      </c>
      <c r="J8448" s="78" t="s">
        <v>69</v>
      </c>
      <c r="K8448" s="58">
        <f t="shared" si="17"/>
        <v>0</v>
      </c>
      <c r="L8448" s="91" t="str">
        <f t="shared" si="8"/>
        <v>Mon</v>
      </c>
      <c r="M8448" s="78" t="str">
        <f>IFERROR(VLOOKUP(A8448, Entries!A:B,2,false),"")</f>
        <v/>
      </c>
      <c r="N8448" s="23" t="str">
        <f>IFERROR(VLOOKUP(A8448, Entries!A:K,11,false),"")</f>
        <v/>
      </c>
    </row>
    <row r="8449">
      <c r="A8449" s="78" t="s">
        <v>7816</v>
      </c>
      <c r="B8449" s="78" t="s">
        <v>25</v>
      </c>
      <c r="C8449" s="85">
        <v>46041.0</v>
      </c>
      <c r="D8449" s="85">
        <v>46042.0</v>
      </c>
      <c r="E8449" s="86">
        <v>26.2</v>
      </c>
      <c r="F8449" s="87">
        <v>29.86</v>
      </c>
      <c r="G8449" s="88">
        <f t="shared" si="23"/>
        <v>3.66</v>
      </c>
      <c r="H8449" s="89">
        <f t="shared" si="18"/>
        <v>0.1225720027</v>
      </c>
      <c r="I8449" s="78" t="s">
        <v>9610</v>
      </c>
      <c r="J8449" s="78" t="s">
        <v>69</v>
      </c>
      <c r="K8449" s="58">
        <f t="shared" si="17"/>
        <v>1</v>
      </c>
      <c r="L8449" s="91" t="str">
        <f t="shared" si="8"/>
        <v>Tue</v>
      </c>
      <c r="M8449" s="78" t="str">
        <f>IFERROR(VLOOKUP(A8449, Entries!A:B,2,false),"")</f>
        <v/>
      </c>
      <c r="N8449" s="23" t="str">
        <f>IFERROR(VLOOKUP(A8449, Entries!A:K,11,false),"")</f>
        <v/>
      </c>
    </row>
    <row r="8450">
      <c r="A8450" s="78" t="s">
        <v>7816</v>
      </c>
      <c r="B8450" s="78" t="s">
        <v>25</v>
      </c>
      <c r="C8450" s="85">
        <v>46041.0</v>
      </c>
      <c r="D8450" s="85">
        <v>46044.0</v>
      </c>
      <c r="E8450" s="86">
        <v>26.2</v>
      </c>
      <c r="F8450" s="87">
        <v>29.86</v>
      </c>
      <c r="G8450" s="88">
        <f t="shared" si="23"/>
        <v>3.66</v>
      </c>
      <c r="H8450" s="89">
        <f t="shared" si="18"/>
        <v>0.1225720027</v>
      </c>
      <c r="I8450" s="78" t="s">
        <v>9611</v>
      </c>
      <c r="J8450" s="78" t="s">
        <v>69</v>
      </c>
      <c r="K8450" s="58">
        <f t="shared" si="17"/>
        <v>3</v>
      </c>
      <c r="L8450" s="91" t="str">
        <f t="shared" si="8"/>
        <v>Thu</v>
      </c>
      <c r="M8450" s="78" t="str">
        <f>IFERROR(VLOOKUP(A8450, Entries!A:B,2,false),"")</f>
        <v/>
      </c>
      <c r="N8450" s="23" t="str">
        <f>IFERROR(VLOOKUP(A8450, Entries!A:K,11,false),"")</f>
        <v/>
      </c>
    </row>
    <row r="8451">
      <c r="A8451" s="78" t="s">
        <v>9233</v>
      </c>
      <c r="B8451" s="78" t="s">
        <v>40</v>
      </c>
      <c r="C8451" s="85">
        <v>46041.0</v>
      </c>
      <c r="D8451" s="85">
        <v>46042.0</v>
      </c>
      <c r="E8451" s="86">
        <v>9.31</v>
      </c>
      <c r="F8451" s="87">
        <v>15.37</v>
      </c>
      <c r="G8451" s="88">
        <f t="shared" si="23"/>
        <v>6.06</v>
      </c>
      <c r="H8451" s="89">
        <f t="shared" si="18"/>
        <v>0.3942745608</v>
      </c>
      <c r="I8451" s="78" t="s">
        <v>9612</v>
      </c>
      <c r="J8451" s="78" t="s">
        <v>69</v>
      </c>
      <c r="K8451" s="58">
        <f t="shared" si="17"/>
        <v>1</v>
      </c>
      <c r="L8451" s="91" t="str">
        <f t="shared" si="8"/>
        <v>Tue</v>
      </c>
      <c r="M8451" s="78" t="str">
        <f>IFERROR(VLOOKUP(A8451, Entries!A:B,2,false),"")</f>
        <v>Behaviour Interactive</v>
      </c>
      <c r="N8451" s="23" t="str">
        <f>IFERROR(VLOOKUP(A8451, Entries!A:K,11,false),"")</f>
        <v/>
      </c>
    </row>
    <row r="8452">
      <c r="A8452" s="78" t="s">
        <v>9233</v>
      </c>
      <c r="B8452" s="78" t="s">
        <v>40</v>
      </c>
      <c r="C8452" s="85">
        <v>46041.0</v>
      </c>
      <c r="D8452" s="85">
        <v>46042.0</v>
      </c>
      <c r="E8452" s="86">
        <v>9.31</v>
      </c>
      <c r="F8452" s="87">
        <v>13.27</v>
      </c>
      <c r="G8452" s="88">
        <f t="shared" si="23"/>
        <v>3.96</v>
      </c>
      <c r="H8452" s="89">
        <f t="shared" si="18"/>
        <v>0.298417483</v>
      </c>
      <c r="I8452" s="78" t="s">
        <v>9613</v>
      </c>
      <c r="J8452" s="78" t="s">
        <v>69</v>
      </c>
      <c r="K8452" s="58">
        <f t="shared" si="17"/>
        <v>1</v>
      </c>
      <c r="L8452" s="91" t="str">
        <f t="shared" si="8"/>
        <v>Tue</v>
      </c>
      <c r="M8452" s="78" t="str">
        <f>IFERROR(VLOOKUP(A8452, Entries!A:B,2,false),"")</f>
        <v>Behaviour Interactive</v>
      </c>
      <c r="N8452" s="23" t="str">
        <f>IFERROR(VLOOKUP(A8452, Entries!A:K,11,false),"")</f>
        <v/>
      </c>
    </row>
    <row r="8453">
      <c r="A8453" s="78" t="s">
        <v>9517</v>
      </c>
      <c r="B8453" s="78" t="s">
        <v>18</v>
      </c>
      <c r="C8453" s="85">
        <v>46043.0</v>
      </c>
      <c r="D8453" s="85">
        <v>46045.0</v>
      </c>
      <c r="E8453" s="86">
        <v>12.56</v>
      </c>
      <c r="F8453" s="87">
        <v>14.56</v>
      </c>
      <c r="G8453" s="88">
        <f t="shared" si="23"/>
        <v>2</v>
      </c>
      <c r="H8453" s="89">
        <f t="shared" si="18"/>
        <v>0.1373626374</v>
      </c>
      <c r="I8453" s="78" t="s">
        <v>9614</v>
      </c>
      <c r="J8453" s="78" t="s">
        <v>69</v>
      </c>
      <c r="K8453" s="58">
        <f t="shared" si="17"/>
        <v>2</v>
      </c>
      <c r="L8453" s="91" t="str">
        <f t="shared" si="8"/>
        <v>Fri</v>
      </c>
      <c r="M8453" s="78" t="str">
        <f>IFERROR(VLOOKUP(A8453, Entries!A:B,2,false),"")</f>
        <v/>
      </c>
      <c r="N8453" s="23" t="str">
        <f>IFERROR(VLOOKUP(A8453, Entries!A:K,11,false),"")</f>
        <v/>
      </c>
    </row>
    <row r="8454">
      <c r="A8454" s="78" t="s">
        <v>9517</v>
      </c>
      <c r="B8454" s="78" t="s">
        <v>18</v>
      </c>
      <c r="C8454" s="85">
        <v>46043.0</v>
      </c>
      <c r="D8454" s="85">
        <v>46047.0</v>
      </c>
      <c r="E8454" s="86">
        <v>12.57</v>
      </c>
      <c r="F8454" s="87">
        <v>14.36</v>
      </c>
      <c r="G8454" s="88">
        <f t="shared" si="23"/>
        <v>1.79</v>
      </c>
      <c r="H8454" s="89">
        <f t="shared" si="18"/>
        <v>0.1246518106</v>
      </c>
      <c r="I8454" s="78" t="s">
        <v>9615</v>
      </c>
      <c r="J8454" s="78" t="s">
        <v>69</v>
      </c>
      <c r="K8454" s="58">
        <f t="shared" si="17"/>
        <v>4</v>
      </c>
      <c r="L8454" s="91" t="str">
        <f t="shared" si="8"/>
        <v>Sun</v>
      </c>
      <c r="M8454" s="78" t="str">
        <f>IFERROR(VLOOKUP(A8454, Entries!A:B,2,false),"")</f>
        <v/>
      </c>
      <c r="N8454" s="23" t="str">
        <f>IFERROR(VLOOKUP(A8454, Entries!A:K,11,false),"")</f>
        <v/>
      </c>
    </row>
    <row r="8455">
      <c r="A8455" s="78" t="s">
        <v>9517</v>
      </c>
      <c r="B8455" s="78" t="s">
        <v>18</v>
      </c>
      <c r="C8455" s="85">
        <v>46043.0</v>
      </c>
      <c r="D8455" s="85">
        <v>46047.0</v>
      </c>
      <c r="E8455" s="86">
        <v>12.57</v>
      </c>
      <c r="F8455" s="87">
        <v>14.36</v>
      </c>
      <c r="G8455" s="88">
        <f t="shared" si="23"/>
        <v>1.79</v>
      </c>
      <c r="H8455" s="89">
        <f t="shared" si="18"/>
        <v>0.1246518106</v>
      </c>
      <c r="I8455" s="78" t="s">
        <v>9616</v>
      </c>
      <c r="J8455" s="78" t="s">
        <v>69</v>
      </c>
      <c r="K8455" s="58">
        <f t="shared" si="17"/>
        <v>4</v>
      </c>
      <c r="L8455" s="91" t="str">
        <f t="shared" si="8"/>
        <v>Sun</v>
      </c>
      <c r="M8455" s="78" t="str">
        <f>IFERROR(VLOOKUP(A8455, Entries!A:B,2,false),"")</f>
        <v/>
      </c>
      <c r="N8455" s="23" t="str">
        <f>IFERROR(VLOOKUP(A8455, Entries!A:K,11,false),"")</f>
        <v/>
      </c>
    </row>
    <row r="8456">
      <c r="A8456" s="78" t="s">
        <v>8598</v>
      </c>
      <c r="B8456" s="78" t="s">
        <v>19</v>
      </c>
      <c r="C8456" s="85">
        <v>46043.0</v>
      </c>
      <c r="D8456" s="85">
        <v>46044.0</v>
      </c>
      <c r="E8456" s="86">
        <v>10.63</v>
      </c>
      <c r="F8456" s="87">
        <v>16.55</v>
      </c>
      <c r="G8456" s="88">
        <f t="shared" si="23"/>
        <v>5.92</v>
      </c>
      <c r="H8456" s="89">
        <f t="shared" si="18"/>
        <v>0.3577039275</v>
      </c>
      <c r="I8456" s="78" t="s">
        <v>9617</v>
      </c>
      <c r="J8456" s="78" t="s">
        <v>69</v>
      </c>
      <c r="K8456" s="58">
        <f t="shared" si="17"/>
        <v>1</v>
      </c>
      <c r="L8456" s="91" t="str">
        <f t="shared" si="8"/>
        <v>Thu</v>
      </c>
      <c r="M8456" s="78" t="str">
        <f>IFERROR(VLOOKUP(A8456, Entries!A:B,2,false),"")</f>
        <v/>
      </c>
      <c r="N8456" s="23" t="str">
        <f>IFERROR(VLOOKUP(A8456, Entries!A:K,11,false),"")</f>
        <v/>
      </c>
    </row>
    <row r="8457">
      <c r="A8457" s="78" t="s">
        <v>9233</v>
      </c>
      <c r="B8457" s="78" t="s">
        <v>40</v>
      </c>
      <c r="C8457" s="85">
        <v>46043.0</v>
      </c>
      <c r="D8457" s="85">
        <v>46043.0</v>
      </c>
      <c r="E8457" s="86">
        <v>9.31</v>
      </c>
      <c r="F8457" s="87">
        <v>14.45</v>
      </c>
      <c r="G8457" s="88">
        <f t="shared" si="23"/>
        <v>5.14</v>
      </c>
      <c r="H8457" s="89">
        <f t="shared" si="18"/>
        <v>0.3557093426</v>
      </c>
      <c r="I8457" s="78" t="s">
        <v>9618</v>
      </c>
      <c r="J8457" s="78" t="s">
        <v>69</v>
      </c>
      <c r="K8457" s="58">
        <f t="shared" si="17"/>
        <v>0</v>
      </c>
      <c r="L8457" s="91" t="str">
        <f t="shared" si="8"/>
        <v>Wed</v>
      </c>
      <c r="M8457" s="78" t="str">
        <f>IFERROR(VLOOKUP(A8457, Entries!A:B,2,false),"")</f>
        <v>Behaviour Interactive</v>
      </c>
      <c r="N8457" s="23" t="str">
        <f>IFERROR(VLOOKUP(A8457, Entries!A:K,11,false),"")</f>
        <v/>
      </c>
    </row>
    <row r="8458">
      <c r="A8458" s="78" t="s">
        <v>9233</v>
      </c>
      <c r="B8458" s="78" t="s">
        <v>40</v>
      </c>
      <c r="C8458" s="85">
        <v>46043.0</v>
      </c>
      <c r="D8458" s="85">
        <v>46043.0</v>
      </c>
      <c r="E8458" s="86">
        <v>9.31</v>
      </c>
      <c r="F8458" s="87">
        <v>14.45</v>
      </c>
      <c r="G8458" s="88">
        <f t="shared" si="23"/>
        <v>5.14</v>
      </c>
      <c r="H8458" s="89">
        <f t="shared" si="18"/>
        <v>0.3557093426</v>
      </c>
      <c r="I8458" s="78" t="s">
        <v>9619</v>
      </c>
      <c r="J8458" s="78" t="s">
        <v>69</v>
      </c>
      <c r="K8458" s="58">
        <f t="shared" si="17"/>
        <v>0</v>
      </c>
      <c r="L8458" s="91" t="str">
        <f t="shared" si="8"/>
        <v>Wed</v>
      </c>
      <c r="M8458" s="78" t="str">
        <f>IFERROR(VLOOKUP(A8458, Entries!A:B,2,false),"")</f>
        <v>Behaviour Interactive</v>
      </c>
      <c r="N8458" s="23" t="str">
        <f>IFERROR(VLOOKUP(A8458, Entries!A:K,11,false),"")</f>
        <v/>
      </c>
    </row>
    <row r="8459">
      <c r="A8459" s="78" t="s">
        <v>9233</v>
      </c>
      <c r="B8459" s="78" t="s">
        <v>40</v>
      </c>
      <c r="C8459" s="85">
        <v>46043.0</v>
      </c>
      <c r="D8459" s="85">
        <v>46046.0</v>
      </c>
      <c r="E8459" s="86">
        <v>9.31</v>
      </c>
      <c r="F8459" s="87">
        <v>14.83</v>
      </c>
      <c r="G8459" s="88">
        <f t="shared" si="23"/>
        <v>5.52</v>
      </c>
      <c r="H8459" s="89">
        <f t="shared" si="18"/>
        <v>0.3722184761</v>
      </c>
      <c r="I8459" s="78" t="s">
        <v>9620</v>
      </c>
      <c r="J8459" s="78" t="s">
        <v>69</v>
      </c>
      <c r="K8459" s="58">
        <f t="shared" si="17"/>
        <v>3</v>
      </c>
      <c r="L8459" s="91" t="str">
        <f t="shared" si="8"/>
        <v>Sat</v>
      </c>
      <c r="M8459" s="78" t="str">
        <f>IFERROR(VLOOKUP(A8459, Entries!A:B,2,false),"")</f>
        <v>Behaviour Interactive</v>
      </c>
      <c r="N8459" s="23" t="str">
        <f>IFERROR(VLOOKUP(A8459, Entries!A:K,11,false),"")</f>
        <v/>
      </c>
    </row>
    <row r="8460">
      <c r="A8460" s="78" t="s">
        <v>9233</v>
      </c>
      <c r="B8460" s="78" t="s">
        <v>40</v>
      </c>
      <c r="C8460" s="85">
        <v>46044.0</v>
      </c>
      <c r="D8460" s="85">
        <v>46047.0</v>
      </c>
      <c r="E8460" s="86">
        <v>9.31</v>
      </c>
      <c r="F8460" s="87">
        <v>14.83</v>
      </c>
      <c r="G8460" s="88">
        <f t="shared" si="23"/>
        <v>5.52</v>
      </c>
      <c r="H8460" s="89">
        <f t="shared" si="18"/>
        <v>0.3722184761</v>
      </c>
      <c r="J8460" s="78" t="s">
        <v>69</v>
      </c>
      <c r="K8460" s="58">
        <f t="shared" si="17"/>
        <v>3</v>
      </c>
      <c r="L8460" s="91" t="str">
        <f t="shared" si="8"/>
        <v>Sun</v>
      </c>
      <c r="M8460" s="78" t="str">
        <f>IFERROR(VLOOKUP(A8460, Entries!A:B,2,false),"")</f>
        <v>Behaviour Interactive</v>
      </c>
      <c r="N8460" s="23" t="str">
        <f>IFERROR(VLOOKUP(A8460, Entries!A:K,11,false),"")</f>
        <v/>
      </c>
    </row>
    <row r="8461">
      <c r="A8461" s="78" t="s">
        <v>9233</v>
      </c>
      <c r="B8461" s="78" t="s">
        <v>40</v>
      </c>
      <c r="C8461" s="85">
        <v>46044.0</v>
      </c>
      <c r="D8461" s="85">
        <v>46052.0</v>
      </c>
      <c r="E8461" s="86">
        <v>9.31</v>
      </c>
      <c r="F8461" s="87">
        <v>12.26</v>
      </c>
      <c r="G8461" s="88">
        <f t="shared" si="23"/>
        <v>2.95</v>
      </c>
      <c r="H8461" s="89">
        <f t="shared" si="18"/>
        <v>0.2406199021</v>
      </c>
      <c r="I8461" s="78" t="s">
        <v>9621</v>
      </c>
      <c r="J8461" s="78" t="s">
        <v>69</v>
      </c>
      <c r="K8461" s="58">
        <f t="shared" si="17"/>
        <v>8</v>
      </c>
      <c r="L8461" s="91" t="str">
        <f t="shared" si="8"/>
        <v>Fri</v>
      </c>
      <c r="M8461" s="78" t="str">
        <f>IFERROR(VLOOKUP(A8461, Entries!A:B,2,false),"")</f>
        <v>Behaviour Interactive</v>
      </c>
      <c r="N8461" s="23" t="str">
        <f>IFERROR(VLOOKUP(A8461, Entries!A:K,11,false),"")</f>
        <v/>
      </c>
    </row>
    <row r="8462">
      <c r="A8462" s="78" t="s">
        <v>9233</v>
      </c>
      <c r="B8462" s="78" t="s">
        <v>40</v>
      </c>
      <c r="C8462" s="85">
        <v>46044.0</v>
      </c>
      <c r="D8462" s="85">
        <v>46054.0</v>
      </c>
      <c r="E8462" s="86">
        <v>9.31</v>
      </c>
      <c r="F8462" s="87">
        <v>12.26</v>
      </c>
      <c r="G8462" s="88">
        <f t="shared" si="23"/>
        <v>2.95</v>
      </c>
      <c r="H8462" s="89">
        <f t="shared" si="18"/>
        <v>0.2406199021</v>
      </c>
      <c r="J8462" s="78" t="s">
        <v>69</v>
      </c>
      <c r="K8462" s="58">
        <f t="shared" si="17"/>
        <v>10</v>
      </c>
      <c r="L8462" s="91" t="str">
        <f t="shared" si="8"/>
        <v>Sun</v>
      </c>
      <c r="M8462" s="78" t="str">
        <f>IFERROR(VLOOKUP(A8462, Entries!A:B,2,false),"")</f>
        <v>Behaviour Interactive</v>
      </c>
      <c r="N8462" s="23" t="str">
        <f>IFERROR(VLOOKUP(A8462, Entries!A:K,11,false),"")</f>
        <v/>
      </c>
    </row>
    <row r="8463">
      <c r="A8463" s="78" t="s">
        <v>7816</v>
      </c>
      <c r="B8463" s="78" t="s">
        <v>21</v>
      </c>
      <c r="C8463" s="85">
        <v>46044.0</v>
      </c>
      <c r="D8463" s="85">
        <v>46046.0</v>
      </c>
      <c r="E8463" s="86">
        <v>26.56</v>
      </c>
      <c r="F8463" s="87">
        <v>30.38</v>
      </c>
      <c r="G8463" s="88">
        <f t="shared" si="23"/>
        <v>3.82</v>
      </c>
      <c r="H8463" s="89">
        <f t="shared" si="18"/>
        <v>0.1257406188</v>
      </c>
      <c r="I8463" s="78" t="s">
        <v>9622</v>
      </c>
      <c r="J8463" s="78" t="s">
        <v>69</v>
      </c>
      <c r="K8463" s="58">
        <f t="shared" si="17"/>
        <v>2</v>
      </c>
      <c r="L8463" s="91" t="str">
        <f t="shared" si="8"/>
        <v>Sat</v>
      </c>
      <c r="M8463" s="78" t="str">
        <f>IFERROR(VLOOKUP(A8463, Entries!A:B,2,false),"")</f>
        <v/>
      </c>
      <c r="N8463" s="23" t="str">
        <f>IFERROR(VLOOKUP(A8465, Entries!A:K,11,false),"")</f>
        <v/>
      </c>
    </row>
    <row r="8464">
      <c r="A8464" s="78" t="s">
        <v>8598</v>
      </c>
      <c r="B8464" s="78" t="s">
        <v>19</v>
      </c>
      <c r="C8464" s="85">
        <v>46044.0</v>
      </c>
      <c r="D8464" s="85">
        <v>46055.0</v>
      </c>
      <c r="E8464" s="86">
        <v>10.59</v>
      </c>
      <c r="F8464" s="87">
        <v>11.4</v>
      </c>
      <c r="G8464" s="88">
        <f t="shared" si="23"/>
        <v>0.81</v>
      </c>
      <c r="H8464" s="89">
        <f t="shared" si="18"/>
        <v>0.07105263158</v>
      </c>
      <c r="I8464" s="78" t="s">
        <v>9623</v>
      </c>
      <c r="J8464" s="78" t="s">
        <v>69</v>
      </c>
      <c r="K8464" s="58">
        <f t="shared" si="17"/>
        <v>11</v>
      </c>
      <c r="L8464" s="91" t="str">
        <f t="shared" si="8"/>
        <v>Mon</v>
      </c>
      <c r="M8464" s="78" t="str">
        <f>IFERROR(VLOOKUP(A8464, Entries!A:B,2,false),"")</f>
        <v/>
      </c>
      <c r="N8464" s="23" t="str">
        <f>IFERROR(VLOOKUP(A8464, Entries!A:K,11,false),"")</f>
        <v/>
      </c>
    </row>
    <row r="8465">
      <c r="A8465" s="78" t="s">
        <v>9624</v>
      </c>
      <c r="B8465" s="78" t="s">
        <v>22</v>
      </c>
      <c r="C8465" s="85">
        <v>46044.0</v>
      </c>
      <c r="D8465" s="85">
        <v>46044.0</v>
      </c>
      <c r="E8465" s="86">
        <v>7.96</v>
      </c>
      <c r="F8465" s="87">
        <v>13.1</v>
      </c>
      <c r="G8465" s="88">
        <f t="shared" si="23"/>
        <v>5.14</v>
      </c>
      <c r="H8465" s="89">
        <f t="shared" si="18"/>
        <v>0.3923664122</v>
      </c>
      <c r="I8465" s="78" t="s">
        <v>9625</v>
      </c>
      <c r="J8465" s="78" t="s">
        <v>69</v>
      </c>
      <c r="K8465" s="58">
        <f t="shared" si="17"/>
        <v>0</v>
      </c>
      <c r="L8465" s="91" t="str">
        <f t="shared" si="8"/>
        <v>Thu</v>
      </c>
      <c r="M8465" s="78" t="str">
        <f>IFERROR(VLOOKUP(A8465, Entries!A:B,2,false),"")</f>
        <v/>
      </c>
    </row>
    <row r="8466">
      <c r="A8466" s="78" t="s">
        <v>9233</v>
      </c>
      <c r="B8466" s="78" t="s">
        <v>40</v>
      </c>
      <c r="C8466" s="85">
        <v>46045.0</v>
      </c>
      <c r="D8466" s="85">
        <v>46054.0</v>
      </c>
      <c r="E8466" s="86">
        <v>9.31</v>
      </c>
      <c r="F8466" s="87">
        <v>12.26</v>
      </c>
      <c r="G8466" s="88">
        <f t="shared" si="23"/>
        <v>2.95</v>
      </c>
      <c r="H8466" s="89">
        <f t="shared" si="18"/>
        <v>0.2406199021</v>
      </c>
      <c r="I8466" s="78" t="s">
        <v>9626</v>
      </c>
      <c r="J8466" s="78" t="s">
        <v>69</v>
      </c>
      <c r="K8466" s="58">
        <f t="shared" si="17"/>
        <v>9</v>
      </c>
      <c r="L8466" s="91" t="str">
        <f t="shared" si="8"/>
        <v>Sun</v>
      </c>
      <c r="M8466" s="78" t="str">
        <f>IFERROR(VLOOKUP(A8466, Entries!A:B,2,false),"")</f>
        <v>Behaviour Interactive</v>
      </c>
      <c r="N8466" s="23" t="str">
        <f>IFERROR(VLOOKUP(A8466, Entries!A:K,11,false),"")</f>
        <v/>
      </c>
    </row>
    <row r="8467">
      <c r="A8467" s="78" t="s">
        <v>9233</v>
      </c>
      <c r="B8467" s="78" t="s">
        <v>40</v>
      </c>
      <c r="C8467" s="85">
        <v>46045.0</v>
      </c>
      <c r="D8467" s="85">
        <v>46058.0</v>
      </c>
      <c r="E8467" s="86">
        <v>9.31</v>
      </c>
      <c r="F8467" s="87">
        <v>13.12</v>
      </c>
      <c r="G8467" s="88">
        <f t="shared" si="23"/>
        <v>3.81</v>
      </c>
      <c r="H8467" s="89">
        <f t="shared" si="18"/>
        <v>0.2903963415</v>
      </c>
      <c r="I8467" s="78" t="s">
        <v>9627</v>
      </c>
      <c r="J8467" s="78" t="s">
        <v>69</v>
      </c>
      <c r="K8467" s="58">
        <f t="shared" si="17"/>
        <v>13</v>
      </c>
      <c r="L8467" s="91" t="str">
        <f t="shared" si="8"/>
        <v>Thu</v>
      </c>
      <c r="M8467" s="78" t="str">
        <f>IFERROR(VLOOKUP(A8467, Entries!A:B,2,false),"")</f>
        <v>Behaviour Interactive</v>
      </c>
      <c r="N8467" s="23" t="str">
        <f>IFERROR(VLOOKUP(A8467, Entries!A:K,11,false),"")</f>
        <v/>
      </c>
    </row>
    <row r="8468">
      <c r="A8468" s="78" t="s">
        <v>9233</v>
      </c>
      <c r="B8468" s="78" t="s">
        <v>40</v>
      </c>
      <c r="C8468" s="85">
        <v>46045.0</v>
      </c>
      <c r="D8468" s="85">
        <v>46064.0</v>
      </c>
      <c r="E8468" s="86">
        <v>9.31</v>
      </c>
      <c r="F8468" s="87">
        <v>14.04</v>
      </c>
      <c r="G8468" s="88">
        <f t="shared" si="23"/>
        <v>4.73</v>
      </c>
      <c r="H8468" s="89">
        <f t="shared" si="18"/>
        <v>0.3368945869</v>
      </c>
      <c r="I8468" s="78" t="s">
        <v>9628</v>
      </c>
      <c r="J8468" s="78" t="s">
        <v>69</v>
      </c>
      <c r="K8468" s="58">
        <f t="shared" si="17"/>
        <v>19</v>
      </c>
      <c r="L8468" s="91" t="str">
        <f t="shared" si="8"/>
        <v>Wed</v>
      </c>
      <c r="M8468" s="78" t="str">
        <f>IFERROR(VLOOKUP(A8468, Entries!A:B,2,false),"")</f>
        <v>Behaviour Interactive</v>
      </c>
      <c r="N8468" s="23" t="str">
        <f>IFERROR(VLOOKUP(A8468, Entries!A:K,11,false),"")</f>
        <v/>
      </c>
    </row>
    <row r="8469">
      <c r="A8469" s="78" t="s">
        <v>9365</v>
      </c>
      <c r="B8469" s="78" t="s">
        <v>27</v>
      </c>
      <c r="C8469" s="85">
        <v>46045.0</v>
      </c>
      <c r="D8469" s="85">
        <v>46045.0</v>
      </c>
      <c r="E8469" s="86">
        <v>39.09</v>
      </c>
      <c r="F8469" s="87">
        <v>43.99</v>
      </c>
      <c r="G8469" s="88">
        <f t="shared" si="23"/>
        <v>4.9</v>
      </c>
      <c r="H8469" s="89">
        <f t="shared" si="18"/>
        <v>0.111388952</v>
      </c>
      <c r="I8469" s="78" t="s">
        <v>9629</v>
      </c>
      <c r="J8469" s="78" t="s">
        <v>69</v>
      </c>
      <c r="K8469" s="58">
        <f t="shared" si="17"/>
        <v>0</v>
      </c>
      <c r="L8469" s="91" t="str">
        <f t="shared" si="8"/>
        <v>Fri</v>
      </c>
      <c r="M8469" s="78" t="str">
        <f>IFERROR(VLOOKUP(A8469, Entries!A:B,2,false),"")</f>
        <v/>
      </c>
      <c r="N8469" s="23" t="str">
        <f>IFERROR(VLOOKUP(A8469, Entries!A:K,11,false),"")</f>
        <v/>
      </c>
    </row>
    <row r="8470">
      <c r="A8470" s="78" t="s">
        <v>1849</v>
      </c>
      <c r="B8470" s="78" t="s">
        <v>22</v>
      </c>
      <c r="C8470" s="85">
        <v>46045.0</v>
      </c>
      <c r="D8470" s="85">
        <v>46046.0</v>
      </c>
      <c r="E8470" s="86">
        <v>2.01</v>
      </c>
      <c r="F8470" s="87">
        <v>3.12</v>
      </c>
      <c r="G8470" s="88">
        <f t="shared" si="23"/>
        <v>1.11</v>
      </c>
      <c r="H8470" s="89">
        <f t="shared" si="18"/>
        <v>0.3557692308</v>
      </c>
      <c r="I8470" s="78" t="s">
        <v>9630</v>
      </c>
      <c r="J8470" s="78" t="s">
        <v>69</v>
      </c>
      <c r="K8470" s="58">
        <f t="shared" si="17"/>
        <v>1</v>
      </c>
      <c r="L8470" s="91" t="str">
        <f t="shared" si="8"/>
        <v>Sat</v>
      </c>
      <c r="M8470" s="78" t="str">
        <f>IFERROR(VLOOKUP(A8470, Entries!A:B,2,false),"")</f>
        <v>Marmalade Game Studio</v>
      </c>
      <c r="N8470" s="23" t="str">
        <f>IFERROR(VLOOKUP(A8470, Entries!A:K,11,false),"")</f>
        <v/>
      </c>
    </row>
    <row r="8471">
      <c r="A8471" s="78" t="s">
        <v>9365</v>
      </c>
      <c r="B8471" s="78" t="s">
        <v>27</v>
      </c>
      <c r="C8471" s="85">
        <v>46045.0</v>
      </c>
      <c r="D8471" s="85">
        <v>46048.0</v>
      </c>
      <c r="E8471" s="86">
        <v>39.09</v>
      </c>
      <c r="F8471" s="87">
        <v>50.0</v>
      </c>
      <c r="G8471" s="88">
        <f t="shared" si="23"/>
        <v>10.91</v>
      </c>
      <c r="H8471" s="89">
        <f t="shared" si="18"/>
        <v>0.2182</v>
      </c>
      <c r="I8471" s="78" t="s">
        <v>9631</v>
      </c>
      <c r="J8471" s="78" t="s">
        <v>69</v>
      </c>
      <c r="K8471" s="58">
        <f t="shared" si="17"/>
        <v>3</v>
      </c>
      <c r="L8471" s="91" t="str">
        <f t="shared" si="8"/>
        <v>Mon</v>
      </c>
      <c r="M8471" s="78" t="str">
        <f>IFERROR(VLOOKUP(A8471, Entries!A:B,2,false),"")</f>
        <v/>
      </c>
      <c r="N8471" s="23" t="str">
        <f>IFERROR(VLOOKUP(A8471, Entries!A:K,11,false),"")</f>
        <v/>
      </c>
    </row>
    <row r="8472">
      <c r="A8472" s="78" t="s">
        <v>9632</v>
      </c>
      <c r="B8472" s="78" t="s">
        <v>29</v>
      </c>
      <c r="C8472" s="85">
        <v>46046.0</v>
      </c>
      <c r="D8472" s="85">
        <v>46048.0</v>
      </c>
      <c r="E8472" s="86">
        <v>21.99</v>
      </c>
      <c r="F8472" s="87">
        <v>30.0</v>
      </c>
      <c r="G8472" s="88">
        <f t="shared" si="23"/>
        <v>8.01</v>
      </c>
      <c r="H8472" s="89">
        <f t="shared" si="18"/>
        <v>0.267</v>
      </c>
      <c r="I8472" s="78" t="s">
        <v>9633</v>
      </c>
      <c r="J8472" s="78" t="s">
        <v>69</v>
      </c>
      <c r="K8472" s="58">
        <f t="shared" si="17"/>
        <v>2</v>
      </c>
      <c r="L8472" s="91" t="str">
        <f t="shared" si="8"/>
        <v>Mon</v>
      </c>
      <c r="M8472" s="78" t="str">
        <f>IFERROR(VLOOKUP(A8472, Entries!A:B,2,false),"")</f>
        <v/>
      </c>
      <c r="N8472" s="23" t="str">
        <f>IFERROR(VLOOKUP(A8472, Entries!A:K,11,false),"")</f>
        <v/>
      </c>
    </row>
    <row r="8473">
      <c r="A8473" s="78" t="s">
        <v>7816</v>
      </c>
      <c r="B8473" s="78" t="s">
        <v>25</v>
      </c>
      <c r="C8473" s="85">
        <v>46046.0</v>
      </c>
      <c r="D8473" s="85">
        <v>46048.0</v>
      </c>
      <c r="E8473" s="86">
        <v>27.1</v>
      </c>
      <c r="F8473" s="87">
        <v>30.49</v>
      </c>
      <c r="G8473" s="88">
        <f t="shared" si="23"/>
        <v>3.39</v>
      </c>
      <c r="H8473" s="89">
        <f t="shared" si="18"/>
        <v>0.1111839948</v>
      </c>
      <c r="I8473" s="78" t="s">
        <v>9634</v>
      </c>
      <c r="J8473" s="78" t="s">
        <v>69</v>
      </c>
      <c r="K8473" s="58">
        <f t="shared" si="17"/>
        <v>2</v>
      </c>
      <c r="L8473" s="91" t="str">
        <f t="shared" si="8"/>
        <v>Mon</v>
      </c>
      <c r="M8473" s="78" t="str">
        <f>IFERROR(VLOOKUP(A8473, Entries!A:B,2,false),"")</f>
        <v/>
      </c>
      <c r="N8473" s="23" t="str">
        <f>IFERROR(VLOOKUP(A8473, Entries!A:K,11,false),"")</f>
        <v/>
      </c>
    </row>
    <row r="8474">
      <c r="A8474" s="78" t="s">
        <v>7816</v>
      </c>
      <c r="B8474" s="78" t="s">
        <v>25</v>
      </c>
      <c r="C8474" s="85">
        <v>46046.0</v>
      </c>
      <c r="D8474" s="85">
        <v>46064.0</v>
      </c>
      <c r="E8474" s="86">
        <v>27.1</v>
      </c>
      <c r="F8474" s="87">
        <v>30.95</v>
      </c>
      <c r="G8474" s="88">
        <f t="shared" si="23"/>
        <v>3.85</v>
      </c>
      <c r="H8474" s="89">
        <f t="shared" si="18"/>
        <v>0.1243941842</v>
      </c>
      <c r="I8474" s="78" t="s">
        <v>9635</v>
      </c>
      <c r="J8474" s="78" t="s">
        <v>69</v>
      </c>
      <c r="K8474" s="58">
        <f t="shared" si="17"/>
        <v>18</v>
      </c>
      <c r="L8474" s="91" t="str">
        <f t="shared" si="8"/>
        <v>Wed</v>
      </c>
      <c r="M8474" s="78" t="str">
        <f>IFERROR(VLOOKUP(A8474, Entries!A:B,2,false),"")</f>
        <v/>
      </c>
      <c r="N8474" s="23" t="str">
        <f>IFERROR(VLOOKUP(A8474, Entries!A:K,11,false),"")</f>
        <v/>
      </c>
    </row>
    <row r="8475">
      <c r="A8475" s="78" t="s">
        <v>4349</v>
      </c>
      <c r="B8475" s="78" t="s">
        <v>25</v>
      </c>
      <c r="C8475" s="85">
        <v>46047.0</v>
      </c>
      <c r="D8475" s="85">
        <v>46197.0</v>
      </c>
      <c r="E8475" s="86">
        <v>17.97</v>
      </c>
      <c r="F8475" s="87">
        <v>22.25</v>
      </c>
      <c r="G8475" s="88">
        <f t="shared" si="23"/>
        <v>4.28</v>
      </c>
      <c r="H8475" s="89">
        <f t="shared" si="18"/>
        <v>0.1923595506</v>
      </c>
      <c r="I8475" s="78" t="s">
        <v>9636</v>
      </c>
      <c r="J8475" s="78" t="s">
        <v>69</v>
      </c>
      <c r="K8475" s="58">
        <f t="shared" si="17"/>
        <v>150</v>
      </c>
      <c r="L8475" s="91" t="str">
        <f t="shared" si="8"/>
        <v>Wed</v>
      </c>
      <c r="M8475" s="78" t="str">
        <f>IFERROR(VLOOKUP(A8475, Entries!A:B,2,false),"")</f>
        <v>Konami</v>
      </c>
      <c r="N8475" s="23" t="str">
        <f>IFERROR(VLOOKUP(A8475, Entries!A:K,11,false),"")</f>
        <v/>
      </c>
    </row>
    <row r="8476">
      <c r="A8476" s="78" t="s">
        <v>7894</v>
      </c>
      <c r="B8476" s="78" t="s">
        <v>19</v>
      </c>
      <c r="C8476" s="85">
        <v>46047.0</v>
      </c>
      <c r="D8476" s="85">
        <v>46057.0</v>
      </c>
      <c r="E8476" s="86">
        <v>10.12</v>
      </c>
      <c r="F8476" s="87">
        <v>14.55</v>
      </c>
      <c r="G8476" s="88">
        <f t="shared" si="23"/>
        <v>4.43</v>
      </c>
      <c r="H8476" s="89">
        <f t="shared" si="18"/>
        <v>0.304467354</v>
      </c>
      <c r="I8476" s="78" t="s">
        <v>9637</v>
      </c>
      <c r="J8476" s="78" t="s">
        <v>69</v>
      </c>
      <c r="K8476" s="58">
        <f t="shared" si="17"/>
        <v>10</v>
      </c>
      <c r="L8476" s="91" t="str">
        <f t="shared" si="8"/>
        <v>Wed</v>
      </c>
      <c r="M8476" s="78" t="str">
        <f>IFERROR(VLOOKUP(A8476, Entries!A:B,2,false),"")</f>
        <v/>
      </c>
      <c r="N8476" s="23" t="str">
        <f>IFERROR(VLOOKUP(A8476, Entries!A:K,11,false),"")</f>
        <v/>
      </c>
    </row>
    <row r="8477">
      <c r="A8477" s="78" t="s">
        <v>9632</v>
      </c>
      <c r="B8477" s="78" t="s">
        <v>29</v>
      </c>
      <c r="C8477" s="85">
        <v>46047.0</v>
      </c>
      <c r="D8477" s="85">
        <v>46049.0</v>
      </c>
      <c r="E8477" s="86">
        <v>23.0</v>
      </c>
      <c r="F8477" s="87">
        <v>30.0</v>
      </c>
      <c r="G8477" s="88">
        <f t="shared" si="23"/>
        <v>7</v>
      </c>
      <c r="H8477" s="89">
        <f t="shared" si="18"/>
        <v>0.2333333333</v>
      </c>
      <c r="I8477" s="78" t="s">
        <v>9638</v>
      </c>
      <c r="J8477" s="78" t="s">
        <v>69</v>
      </c>
      <c r="K8477" s="58">
        <f t="shared" si="17"/>
        <v>2</v>
      </c>
      <c r="L8477" s="91" t="str">
        <f t="shared" si="8"/>
        <v>Tue</v>
      </c>
      <c r="M8477" s="78" t="str">
        <f>IFERROR(VLOOKUP(A8477, Entries!A:B,2,false),"")</f>
        <v/>
      </c>
      <c r="N8477" s="23" t="str">
        <f>IFERROR(VLOOKUP(A8477, Entries!A:K,11,false),"")</f>
        <v/>
      </c>
    </row>
    <row r="8478">
      <c r="A8478" s="78" t="s">
        <v>9632</v>
      </c>
      <c r="B8478" s="78" t="s">
        <v>29</v>
      </c>
      <c r="C8478" s="85">
        <v>46047.0</v>
      </c>
      <c r="D8478" s="85">
        <v>46049.0</v>
      </c>
      <c r="E8478" s="86">
        <v>23.0</v>
      </c>
      <c r="F8478" s="87">
        <v>34.8</v>
      </c>
      <c r="G8478" s="88">
        <f t="shared" si="23"/>
        <v>11.8</v>
      </c>
      <c r="H8478" s="89">
        <f t="shared" si="18"/>
        <v>0.3390804598</v>
      </c>
      <c r="I8478" s="78" t="s">
        <v>9639</v>
      </c>
      <c r="J8478" s="78" t="s">
        <v>69</v>
      </c>
      <c r="K8478" s="58">
        <f t="shared" si="17"/>
        <v>2</v>
      </c>
      <c r="L8478" s="91" t="str">
        <f t="shared" si="8"/>
        <v>Tue</v>
      </c>
      <c r="M8478" s="78" t="str">
        <f>IFERROR(VLOOKUP(A8478, Entries!A:B,2,false),"")</f>
        <v/>
      </c>
      <c r="N8478" s="23" t="str">
        <f>IFERROR(VLOOKUP(A8478, Entries!A:K,11,false),"")</f>
        <v/>
      </c>
    </row>
    <row r="8479">
      <c r="A8479" s="78" t="s">
        <v>9517</v>
      </c>
      <c r="B8479" s="78" t="s">
        <v>18</v>
      </c>
      <c r="C8479" s="85">
        <v>46048.0</v>
      </c>
      <c r="D8479" s="85">
        <v>46048.0</v>
      </c>
      <c r="E8479" s="86">
        <v>12.56</v>
      </c>
      <c r="F8479" s="87">
        <v>14.36</v>
      </c>
      <c r="G8479" s="88">
        <f t="shared" si="23"/>
        <v>1.8</v>
      </c>
      <c r="H8479" s="89">
        <f t="shared" si="18"/>
        <v>0.1253481894</v>
      </c>
      <c r="I8479" s="78" t="s">
        <v>9640</v>
      </c>
      <c r="J8479" s="78" t="s">
        <v>69</v>
      </c>
      <c r="K8479" s="58">
        <f t="shared" si="17"/>
        <v>0</v>
      </c>
      <c r="L8479" s="91" t="str">
        <f t="shared" si="8"/>
        <v>Mon</v>
      </c>
      <c r="M8479" s="78" t="str">
        <f>IFERROR(VLOOKUP(A8479, Entries!A:B,2,false),"")</f>
        <v/>
      </c>
      <c r="N8479" s="23" t="str">
        <f>IFERROR(VLOOKUP(A8479, Entries!A:K,11,false),"")</f>
        <v/>
      </c>
    </row>
    <row r="8480">
      <c r="A8480" s="78" t="s">
        <v>9517</v>
      </c>
      <c r="B8480" s="78" t="s">
        <v>18</v>
      </c>
      <c r="C8480" s="85">
        <v>46048.0</v>
      </c>
      <c r="D8480" s="85">
        <v>46050.0</v>
      </c>
      <c r="E8480" s="86">
        <v>12.57</v>
      </c>
      <c r="F8480" s="87">
        <v>13.66</v>
      </c>
      <c r="G8480" s="88">
        <f t="shared" si="23"/>
        <v>1.09</v>
      </c>
      <c r="H8480" s="89">
        <f t="shared" si="18"/>
        <v>0.07979502196</v>
      </c>
      <c r="I8480" s="78" t="s">
        <v>9641</v>
      </c>
      <c r="J8480" s="78" t="s">
        <v>69</v>
      </c>
      <c r="K8480" s="58">
        <f t="shared" si="17"/>
        <v>2</v>
      </c>
      <c r="L8480" s="91" t="str">
        <f t="shared" si="8"/>
        <v>Wed</v>
      </c>
      <c r="M8480" s="78" t="str">
        <f>IFERROR(VLOOKUP(A8480, Entries!A:B,2,false),"")</f>
        <v/>
      </c>
      <c r="N8480" s="23" t="str">
        <f>IFERROR(VLOOKUP(A8480, Entries!A:K,11,false),"")</f>
        <v/>
      </c>
    </row>
    <row r="8481">
      <c r="A8481" s="78" t="s">
        <v>9517</v>
      </c>
      <c r="B8481" s="78" t="s">
        <v>18</v>
      </c>
      <c r="C8481" s="85">
        <v>46048.0</v>
      </c>
      <c r="D8481" s="85">
        <v>46052.0</v>
      </c>
      <c r="E8481" s="86">
        <v>12.57</v>
      </c>
      <c r="F8481" s="87">
        <v>13.47</v>
      </c>
      <c r="G8481" s="88">
        <f t="shared" si="23"/>
        <v>0.9</v>
      </c>
      <c r="H8481" s="89">
        <f t="shared" si="18"/>
        <v>0.06681514477</v>
      </c>
      <c r="I8481" s="78" t="s">
        <v>9642</v>
      </c>
      <c r="J8481" s="78" t="s">
        <v>69</v>
      </c>
      <c r="K8481" s="58">
        <f t="shared" si="17"/>
        <v>4</v>
      </c>
      <c r="L8481" s="91" t="str">
        <f t="shared" si="8"/>
        <v>Fri</v>
      </c>
      <c r="M8481" s="78" t="str">
        <f>IFERROR(VLOOKUP(A8481, Entries!A:B,2,false),"")</f>
        <v/>
      </c>
      <c r="N8481" s="23" t="str">
        <f>IFERROR(VLOOKUP(A8481, Entries!A:K,11,false),"")</f>
        <v/>
      </c>
    </row>
    <row r="8482">
      <c r="A8482" s="78" t="s">
        <v>9365</v>
      </c>
      <c r="B8482" s="78" t="s">
        <v>27</v>
      </c>
      <c r="C8482" s="85">
        <v>46048.0</v>
      </c>
      <c r="D8482" s="85">
        <v>46052.0</v>
      </c>
      <c r="E8482" s="86">
        <v>39.09</v>
      </c>
      <c r="F8482" s="87">
        <v>51.7</v>
      </c>
      <c r="G8482" s="88">
        <f t="shared" si="23"/>
        <v>12.61</v>
      </c>
      <c r="H8482" s="89">
        <f t="shared" si="18"/>
        <v>0.2439071567</v>
      </c>
      <c r="I8482" s="78" t="s">
        <v>9643</v>
      </c>
      <c r="J8482" s="78" t="s">
        <v>69</v>
      </c>
      <c r="K8482" s="58">
        <f t="shared" si="17"/>
        <v>4</v>
      </c>
      <c r="L8482" s="91" t="str">
        <f t="shared" si="8"/>
        <v>Fri</v>
      </c>
      <c r="M8482" s="78" t="str">
        <f>IFERROR(VLOOKUP(A8482, Entries!A:B,2,false),"")</f>
        <v/>
      </c>
      <c r="N8482" s="23" t="str">
        <f>IFERROR(VLOOKUP(A8482, Entries!A:K,11,false),"")</f>
        <v/>
      </c>
    </row>
    <row r="8483">
      <c r="A8483" s="78" t="s">
        <v>9644</v>
      </c>
      <c r="B8483" s="78" t="s">
        <v>22</v>
      </c>
      <c r="C8483" s="85">
        <v>46049.0</v>
      </c>
      <c r="D8483" s="25"/>
      <c r="E8483" s="86">
        <v>6.68</v>
      </c>
      <c r="F8483" s="88"/>
      <c r="G8483" s="88">
        <f t="shared" si="23"/>
        <v>-6.68</v>
      </c>
      <c r="H8483" s="89" t="str">
        <f t="shared" si="18"/>
        <v/>
      </c>
      <c r="I8483" s="78" t="s">
        <v>9645</v>
      </c>
      <c r="J8483" s="78" t="s">
        <v>1129</v>
      </c>
      <c r="K8483" s="58" t="str">
        <f t="shared" si="17"/>
        <v/>
      </c>
      <c r="L8483" s="91" t="str">
        <f t="shared" si="8"/>
        <v/>
      </c>
      <c r="M8483" s="78" t="str">
        <f>IFERROR(VLOOKUP(A8483, Entries!A:B,2,false),"")</f>
        <v/>
      </c>
      <c r="N8483" s="23" t="str">
        <f>IFERROR(VLOOKUP(A8483, Entries!A:K,11,false),"")</f>
        <v/>
      </c>
    </row>
    <row r="8484">
      <c r="A8484" s="78" t="s">
        <v>8696</v>
      </c>
      <c r="B8484" s="78" t="s">
        <v>19</v>
      </c>
      <c r="C8484" s="85">
        <v>46049.0</v>
      </c>
      <c r="D8484" s="85">
        <v>46053.0</v>
      </c>
      <c r="E8484" s="86">
        <v>35.41</v>
      </c>
      <c r="F8484" s="87">
        <v>40.41</v>
      </c>
      <c r="G8484" s="88">
        <f t="shared" si="23"/>
        <v>5</v>
      </c>
      <c r="H8484" s="89">
        <f t="shared" si="18"/>
        <v>0.1237317496</v>
      </c>
      <c r="I8484" s="78" t="s">
        <v>9646</v>
      </c>
      <c r="J8484" s="78" t="s">
        <v>69</v>
      </c>
      <c r="K8484" s="58">
        <f t="shared" si="17"/>
        <v>4</v>
      </c>
      <c r="L8484" s="91" t="str">
        <f t="shared" si="8"/>
        <v>Sat</v>
      </c>
      <c r="M8484" s="78" t="str">
        <f>IFERROR(VLOOKUP(A8484, Entries!A:B,2,false),"")</f>
        <v/>
      </c>
      <c r="N8484" s="23" t="str">
        <f>IFERROR(VLOOKUP(A8484, Entries!A:K,11,false),"")</f>
        <v/>
      </c>
    </row>
    <row r="8485">
      <c r="A8485" s="78" t="s">
        <v>9455</v>
      </c>
      <c r="B8485" s="78" t="s">
        <v>19</v>
      </c>
      <c r="C8485" s="85">
        <v>46049.0</v>
      </c>
      <c r="D8485" s="85">
        <v>46113.0</v>
      </c>
      <c r="E8485" s="86">
        <v>31.36</v>
      </c>
      <c r="F8485" s="87">
        <v>36.26</v>
      </c>
      <c r="G8485" s="88">
        <f t="shared" si="23"/>
        <v>4.9</v>
      </c>
      <c r="H8485" s="89">
        <f t="shared" si="18"/>
        <v>0.1351351351</v>
      </c>
      <c r="I8485" s="78" t="s">
        <v>9647</v>
      </c>
      <c r="J8485" s="78" t="s">
        <v>69</v>
      </c>
      <c r="K8485" s="58">
        <f t="shared" si="17"/>
        <v>64</v>
      </c>
      <c r="L8485" s="91" t="str">
        <f t="shared" si="8"/>
        <v>Wed</v>
      </c>
      <c r="M8485" s="78" t="str">
        <f>IFERROR(VLOOKUP(A8485, Entries!A:B,2,false),"")</f>
        <v/>
      </c>
      <c r="N8485" s="23" t="str">
        <f>IFERROR(VLOOKUP(A8485, Entries!A:K,11,false),"")</f>
        <v/>
      </c>
    </row>
    <row r="8486">
      <c r="A8486" s="78" t="s">
        <v>9632</v>
      </c>
      <c r="B8486" s="78" t="s">
        <v>21</v>
      </c>
      <c r="C8486" s="85">
        <v>46050.0</v>
      </c>
      <c r="D8486" s="85">
        <v>46051.0</v>
      </c>
      <c r="E8486" s="86">
        <v>32.31</v>
      </c>
      <c r="F8486" s="87">
        <v>39.69</v>
      </c>
      <c r="G8486" s="88">
        <f t="shared" si="23"/>
        <v>7.38</v>
      </c>
      <c r="H8486" s="89">
        <f t="shared" si="18"/>
        <v>0.1859410431</v>
      </c>
      <c r="I8486" s="78" t="s">
        <v>9648</v>
      </c>
      <c r="J8486" s="78" t="s">
        <v>69</v>
      </c>
      <c r="K8486" s="58">
        <f t="shared" si="17"/>
        <v>1</v>
      </c>
      <c r="L8486" s="91" t="str">
        <f t="shared" si="8"/>
        <v>Thu</v>
      </c>
      <c r="M8486" s="78" t="str">
        <f>IFERROR(VLOOKUP(A8486, Entries!A:B,2,false),"")</f>
        <v/>
      </c>
      <c r="N8486" s="23" t="str">
        <f>IFERROR(VLOOKUP(A8486, Entries!A:K,11,false),"")</f>
        <v/>
      </c>
    </row>
    <row r="8487">
      <c r="A8487" s="78" t="s">
        <v>9649</v>
      </c>
      <c r="B8487" s="78" t="s">
        <v>25</v>
      </c>
      <c r="C8487" s="85">
        <v>46050.0</v>
      </c>
      <c r="D8487" s="85">
        <v>46050.0</v>
      </c>
      <c r="E8487" s="86">
        <v>0.0</v>
      </c>
      <c r="F8487" s="87">
        <v>1.71</v>
      </c>
      <c r="G8487" s="88">
        <f t="shared" si="23"/>
        <v>1.71</v>
      </c>
      <c r="H8487" s="89">
        <f t="shared" si="18"/>
        <v>1</v>
      </c>
      <c r="I8487" s="78" t="s">
        <v>9650</v>
      </c>
      <c r="J8487" s="78" t="s">
        <v>69</v>
      </c>
      <c r="K8487" s="58">
        <f t="shared" si="17"/>
        <v>0</v>
      </c>
      <c r="L8487" s="91" t="str">
        <f t="shared" si="8"/>
        <v>Wed</v>
      </c>
      <c r="M8487" s="78" t="str">
        <f>IFERROR(VLOOKUP(A8487, Entries!A:B,2,false),"")</f>
        <v/>
      </c>
      <c r="N8487" s="23" t="str">
        <f>IFERROR(VLOOKUP(A8487, Entries!A:K,11,false),"")</f>
        <v/>
      </c>
    </row>
    <row r="8488">
      <c r="A8488" s="78" t="s">
        <v>9651</v>
      </c>
      <c r="B8488" s="78" t="s">
        <v>32</v>
      </c>
      <c r="C8488" s="85">
        <v>46050.0</v>
      </c>
      <c r="D8488" s="85">
        <v>46057.0</v>
      </c>
      <c r="E8488" s="86">
        <v>22.92</v>
      </c>
      <c r="F8488" s="87">
        <v>25.0</v>
      </c>
      <c r="G8488" s="88">
        <f t="shared" si="23"/>
        <v>2.08</v>
      </c>
      <c r="H8488" s="89">
        <f t="shared" si="18"/>
        <v>0.0832</v>
      </c>
      <c r="I8488" s="78" t="s">
        <v>9652</v>
      </c>
      <c r="J8488" s="78" t="s">
        <v>69</v>
      </c>
      <c r="K8488" s="58">
        <f t="shared" si="17"/>
        <v>7</v>
      </c>
      <c r="L8488" s="91" t="str">
        <f t="shared" si="8"/>
        <v>Wed</v>
      </c>
      <c r="M8488" s="78" t="str">
        <f>IFERROR(VLOOKUP(A8488, Entries!A:B,2,false),"")</f>
        <v/>
      </c>
      <c r="N8488" s="23" t="str">
        <f>IFERROR(VLOOKUP(A8488, Entries!A:K,11,false),"")</f>
        <v/>
      </c>
    </row>
    <row r="8489">
      <c r="A8489" s="78" t="s">
        <v>9651</v>
      </c>
      <c r="B8489" s="78" t="s">
        <v>32</v>
      </c>
      <c r="C8489" s="85">
        <v>46050.0</v>
      </c>
      <c r="D8489" s="85">
        <v>46124.0</v>
      </c>
      <c r="E8489" s="86">
        <v>22.42</v>
      </c>
      <c r="F8489" s="87">
        <v>16.24</v>
      </c>
      <c r="G8489" s="88">
        <f t="shared" si="23"/>
        <v>-6.18</v>
      </c>
      <c r="H8489" s="89">
        <f t="shared" si="18"/>
        <v>-0.3805418719</v>
      </c>
      <c r="I8489" s="78" t="s">
        <v>9653</v>
      </c>
      <c r="J8489" s="78" t="s">
        <v>69</v>
      </c>
      <c r="K8489" s="58">
        <f t="shared" si="17"/>
        <v>74</v>
      </c>
      <c r="L8489" s="91" t="str">
        <f t="shared" si="8"/>
        <v>Sun</v>
      </c>
      <c r="M8489" s="78" t="str">
        <f>IFERROR(VLOOKUP(A8489, Entries!A:B,2,false),"")</f>
        <v/>
      </c>
      <c r="N8489" s="23" t="str">
        <f>IFERROR(VLOOKUP(A8489, Entries!A:K,11,false),"")</f>
        <v/>
      </c>
    </row>
    <row r="8490">
      <c r="A8490" s="78" t="s">
        <v>7814</v>
      </c>
      <c r="B8490" s="78" t="s">
        <v>17</v>
      </c>
      <c r="C8490" s="85">
        <v>46051.0</v>
      </c>
      <c r="D8490" s="85">
        <v>46053.0</v>
      </c>
      <c r="E8490" s="86">
        <v>29.47</v>
      </c>
      <c r="F8490" s="87">
        <v>41.29</v>
      </c>
      <c r="G8490" s="88">
        <f t="shared" si="23"/>
        <v>11.82</v>
      </c>
      <c r="H8490" s="89">
        <f t="shared" si="18"/>
        <v>0.2862678615</v>
      </c>
      <c r="I8490" s="78" t="s">
        <v>9257</v>
      </c>
      <c r="J8490" s="78" t="s">
        <v>69</v>
      </c>
      <c r="K8490" s="58">
        <f t="shared" si="17"/>
        <v>2</v>
      </c>
      <c r="L8490" s="91" t="str">
        <f t="shared" si="8"/>
        <v>Sat</v>
      </c>
      <c r="M8490" s="78" t="str">
        <f>IFERROR(VLOOKUP(A8490, Entries!A:B,2,false),"")</f>
        <v>Electronic Arts</v>
      </c>
    </row>
    <row r="8491">
      <c r="A8491" s="78" t="s">
        <v>7814</v>
      </c>
      <c r="B8491" s="78" t="s">
        <v>17</v>
      </c>
      <c r="C8491" s="85">
        <v>46051.0</v>
      </c>
      <c r="D8491" s="85">
        <v>46059.0</v>
      </c>
      <c r="E8491" s="86">
        <v>29.47</v>
      </c>
      <c r="F8491" s="87">
        <v>44.0</v>
      </c>
      <c r="G8491" s="88">
        <f t="shared" si="23"/>
        <v>14.53</v>
      </c>
      <c r="H8491" s="89">
        <f t="shared" si="18"/>
        <v>0.3302272727</v>
      </c>
      <c r="I8491" s="78" t="s">
        <v>4864</v>
      </c>
      <c r="J8491" s="78" t="s">
        <v>69</v>
      </c>
      <c r="K8491" s="58">
        <f t="shared" si="17"/>
        <v>8</v>
      </c>
      <c r="L8491" s="91" t="str">
        <f t="shared" si="8"/>
        <v>Fri</v>
      </c>
      <c r="M8491" s="78" t="str">
        <f>IFERROR(VLOOKUP(A8491, Entries!A:B,2,false),"")</f>
        <v>Electronic Arts</v>
      </c>
      <c r="N8491" s="23" t="str">
        <f>IFERROR(VLOOKUP(A8491, Entries!A:K,11,false),"")</f>
        <v/>
      </c>
    </row>
    <row r="8492">
      <c r="A8492" s="78" t="s">
        <v>9018</v>
      </c>
      <c r="B8492" s="78" t="s">
        <v>18</v>
      </c>
      <c r="C8492" s="85">
        <v>46052.0</v>
      </c>
      <c r="D8492" s="85">
        <v>46053.0</v>
      </c>
      <c r="E8492" s="86">
        <v>43.28</v>
      </c>
      <c r="F8492" s="87">
        <v>54.98</v>
      </c>
      <c r="G8492" s="88">
        <f t="shared" si="23"/>
        <v>11.7</v>
      </c>
      <c r="H8492" s="89">
        <f t="shared" si="18"/>
        <v>0.2128046562</v>
      </c>
      <c r="I8492" s="78" t="s">
        <v>9654</v>
      </c>
      <c r="J8492" s="78" t="s">
        <v>69</v>
      </c>
      <c r="K8492" s="58">
        <f t="shared" si="17"/>
        <v>1</v>
      </c>
      <c r="L8492" s="91" t="str">
        <f t="shared" si="8"/>
        <v>Sat</v>
      </c>
      <c r="M8492" s="78" t="str">
        <f>IFERROR(VLOOKUP(A8492, Entries!A:B,2,false),"")</f>
        <v>Game Science</v>
      </c>
      <c r="N8492" s="23" t="str">
        <f>IFERROR(VLOOKUP(A8492, Entries!A:K,11,false),"")</f>
        <v/>
      </c>
    </row>
    <row r="8493">
      <c r="A8493" s="78" t="s">
        <v>9632</v>
      </c>
      <c r="B8493" s="78" t="s">
        <v>29</v>
      </c>
      <c r="C8493" s="85">
        <v>46053.0</v>
      </c>
      <c r="D8493" s="85">
        <v>46057.0</v>
      </c>
      <c r="E8493" s="86">
        <v>23.67</v>
      </c>
      <c r="F8493" s="87">
        <v>33.19</v>
      </c>
      <c r="G8493" s="88">
        <f t="shared" si="23"/>
        <v>9.52</v>
      </c>
      <c r="H8493" s="89">
        <f t="shared" si="18"/>
        <v>0.2868333835</v>
      </c>
      <c r="I8493" s="78" t="s">
        <v>9655</v>
      </c>
      <c r="J8493" s="78" t="s">
        <v>69</v>
      </c>
      <c r="K8493" s="58">
        <f t="shared" si="17"/>
        <v>4</v>
      </c>
      <c r="L8493" s="91" t="str">
        <f t="shared" si="8"/>
        <v>Wed</v>
      </c>
      <c r="M8493" s="78" t="str">
        <f>IFERROR(VLOOKUP(A8493, Entries!A:B,2,false),"")</f>
        <v/>
      </c>
      <c r="N8493" s="23" t="str">
        <f>IFERROR(VLOOKUP(A8493, Entries!A:K,11,false),"")</f>
        <v/>
      </c>
    </row>
    <row r="8494">
      <c r="A8494" s="78" t="s">
        <v>9656</v>
      </c>
      <c r="B8494" s="78" t="s">
        <v>17</v>
      </c>
      <c r="C8494" s="85">
        <v>46055.0</v>
      </c>
      <c r="D8494" s="85">
        <v>46057.0</v>
      </c>
      <c r="E8494" s="86">
        <v>13.39</v>
      </c>
      <c r="F8494" s="87">
        <v>20.5</v>
      </c>
      <c r="G8494" s="88">
        <f t="shared" si="23"/>
        <v>7.11</v>
      </c>
      <c r="H8494" s="89">
        <f t="shared" si="18"/>
        <v>0.3468292683</v>
      </c>
      <c r="I8494" s="78" t="s">
        <v>9657</v>
      </c>
      <c r="J8494" s="78" t="s">
        <v>69</v>
      </c>
      <c r="K8494" s="58">
        <f t="shared" si="17"/>
        <v>2</v>
      </c>
      <c r="L8494" s="91" t="str">
        <f t="shared" si="8"/>
        <v>Wed</v>
      </c>
      <c r="M8494" s="78" t="str">
        <f>IFERROR(VLOOKUP(A8494, Entries!A:B,2,false),"")</f>
        <v/>
      </c>
      <c r="N8494" s="23" t="str">
        <f>IFERROR(VLOOKUP(A8494, Entries!A:K,11,false),"")</f>
        <v/>
      </c>
      <c r="Q8494" s="78" t="s">
        <v>7796</v>
      </c>
    </row>
    <row r="8495">
      <c r="A8495" s="78" t="s">
        <v>9656</v>
      </c>
      <c r="B8495" s="78" t="s">
        <v>17</v>
      </c>
      <c r="C8495" s="85">
        <v>46055.0</v>
      </c>
      <c r="D8495" s="85">
        <v>46068.0</v>
      </c>
      <c r="E8495" s="86">
        <v>13.39</v>
      </c>
      <c r="F8495" s="87">
        <v>20.04</v>
      </c>
      <c r="G8495" s="88">
        <f t="shared" si="23"/>
        <v>6.65</v>
      </c>
      <c r="H8495" s="89">
        <f t="shared" si="18"/>
        <v>0.3318363273</v>
      </c>
      <c r="I8495" s="78" t="s">
        <v>9658</v>
      </c>
      <c r="J8495" s="78" t="s">
        <v>69</v>
      </c>
      <c r="K8495" s="58">
        <f t="shared" si="17"/>
        <v>13</v>
      </c>
      <c r="L8495" s="91" t="str">
        <f t="shared" si="8"/>
        <v>Sun</v>
      </c>
      <c r="M8495" s="78" t="str">
        <f>IFERROR(VLOOKUP(A8495, Entries!A:B,2,false),"")</f>
        <v/>
      </c>
      <c r="N8495" s="23" t="str">
        <f>IFERROR(VLOOKUP(A8495, Entries!A:K,11,false),"")</f>
        <v/>
      </c>
      <c r="Q8495" s="78" t="s">
        <v>7796</v>
      </c>
    </row>
    <row r="8496">
      <c r="A8496" s="78" t="s">
        <v>9659</v>
      </c>
      <c r="B8496" s="78" t="s">
        <v>21</v>
      </c>
      <c r="C8496" s="85">
        <v>46055.0</v>
      </c>
      <c r="D8496" s="85">
        <v>46066.0</v>
      </c>
      <c r="E8496" s="86">
        <v>19.5</v>
      </c>
      <c r="F8496" s="87">
        <v>25.1</v>
      </c>
      <c r="G8496" s="88">
        <f t="shared" si="23"/>
        <v>5.6</v>
      </c>
      <c r="H8496" s="89">
        <f t="shared" si="18"/>
        <v>0.2231075697</v>
      </c>
      <c r="I8496" s="78" t="s">
        <v>9660</v>
      </c>
      <c r="J8496" s="78" t="s">
        <v>69</v>
      </c>
      <c r="K8496" s="58">
        <f t="shared" si="17"/>
        <v>11</v>
      </c>
      <c r="L8496" s="91" t="str">
        <f t="shared" si="8"/>
        <v>Fri</v>
      </c>
      <c r="M8496" s="78" t="str">
        <f>IFERROR(VLOOKUP(A8496, Entries!A:B,2,false),"")</f>
        <v/>
      </c>
      <c r="N8496" s="23" t="str">
        <f>IFERROR(VLOOKUP(A8496, Entries!A:K,11,false),"")</f>
        <v/>
      </c>
    </row>
    <row r="8497">
      <c r="A8497" s="78" t="s">
        <v>9018</v>
      </c>
      <c r="B8497" s="78" t="s">
        <v>18</v>
      </c>
      <c r="C8497" s="85">
        <v>46055.0</v>
      </c>
      <c r="D8497" s="85">
        <v>46056.0</v>
      </c>
      <c r="E8497" s="86">
        <v>45.54</v>
      </c>
      <c r="F8497" s="87">
        <v>54.98</v>
      </c>
      <c r="G8497" s="88">
        <f t="shared" si="23"/>
        <v>9.44</v>
      </c>
      <c r="H8497" s="89">
        <f t="shared" si="18"/>
        <v>0.1716987996</v>
      </c>
      <c r="I8497" s="78" t="s">
        <v>9661</v>
      </c>
      <c r="J8497" s="78" t="s">
        <v>69</v>
      </c>
      <c r="K8497" s="58">
        <f t="shared" si="17"/>
        <v>1</v>
      </c>
      <c r="L8497" s="91" t="str">
        <f t="shared" si="8"/>
        <v>Tue</v>
      </c>
      <c r="M8497" s="78" t="str">
        <f>IFERROR(VLOOKUP(A8497, Entries!A:B,2,false),"")</f>
        <v>Game Science</v>
      </c>
      <c r="N8497" s="23" t="str">
        <f>IFERROR(VLOOKUP(A8497, Entries!A:K,11,false),"")</f>
        <v/>
      </c>
    </row>
    <row r="8498">
      <c r="A8498" s="78" t="s">
        <v>9662</v>
      </c>
      <c r="B8498" s="78" t="s">
        <v>22</v>
      </c>
      <c r="C8498" s="85">
        <v>46056.0</v>
      </c>
      <c r="D8498" s="85">
        <v>46056.0</v>
      </c>
      <c r="E8498" s="86">
        <v>4.1</v>
      </c>
      <c r="F8498" s="87">
        <v>6.57</v>
      </c>
      <c r="G8498" s="88">
        <f t="shared" si="23"/>
        <v>2.47</v>
      </c>
      <c r="H8498" s="89">
        <f t="shared" si="18"/>
        <v>0.3759512938</v>
      </c>
      <c r="I8498" s="78" t="s">
        <v>9663</v>
      </c>
      <c r="J8498" s="78" t="s">
        <v>69</v>
      </c>
      <c r="K8498" s="58">
        <f t="shared" si="17"/>
        <v>0</v>
      </c>
      <c r="L8498" s="91" t="str">
        <f t="shared" si="8"/>
        <v>Tue</v>
      </c>
      <c r="M8498" s="78" t="str">
        <f>IFERROR(VLOOKUP(A8498, Entries!A:B,2,false),"")</f>
        <v/>
      </c>
      <c r="N8498" s="23" t="str">
        <f>IFERROR(VLOOKUP(A8498, Entries!A:K,11,false),"")</f>
        <v/>
      </c>
    </row>
    <row r="8499">
      <c r="A8499" s="78" t="s">
        <v>9018</v>
      </c>
      <c r="B8499" s="78" t="s">
        <v>18</v>
      </c>
      <c r="C8499" s="85">
        <v>46056.0</v>
      </c>
      <c r="D8499" s="85">
        <v>46057.0</v>
      </c>
      <c r="E8499" s="86">
        <v>44.68</v>
      </c>
      <c r="F8499" s="87">
        <v>54.98</v>
      </c>
      <c r="G8499" s="88">
        <f t="shared" si="23"/>
        <v>10.3</v>
      </c>
      <c r="H8499" s="89">
        <f t="shared" si="18"/>
        <v>0.1873408512</v>
      </c>
      <c r="I8499" s="78" t="s">
        <v>9664</v>
      </c>
      <c r="J8499" s="78" t="s">
        <v>69</v>
      </c>
      <c r="K8499" s="58">
        <f t="shared" si="17"/>
        <v>1</v>
      </c>
      <c r="L8499" s="91" t="str">
        <f t="shared" si="8"/>
        <v>Wed</v>
      </c>
      <c r="M8499" s="78" t="str">
        <f>IFERROR(VLOOKUP(A8499, Entries!A:B,2,false),"")</f>
        <v>Game Science</v>
      </c>
      <c r="N8499" s="23" t="str">
        <f>IFERROR(VLOOKUP(A8499, Entries!A:K,11,false),"")</f>
        <v/>
      </c>
    </row>
    <row r="8500">
      <c r="A8500" s="78" t="s">
        <v>9662</v>
      </c>
      <c r="B8500" s="78" t="s">
        <v>22</v>
      </c>
      <c r="C8500" s="85">
        <v>46056.0</v>
      </c>
      <c r="D8500" s="85">
        <v>46057.0</v>
      </c>
      <c r="E8500" s="86">
        <v>3.89</v>
      </c>
      <c r="F8500" s="87">
        <v>6.38</v>
      </c>
      <c r="G8500" s="88">
        <f t="shared" si="23"/>
        <v>2.49</v>
      </c>
      <c r="H8500" s="89">
        <f t="shared" si="18"/>
        <v>0.3902821317</v>
      </c>
      <c r="I8500" s="78" t="s">
        <v>9665</v>
      </c>
      <c r="J8500" s="78" t="s">
        <v>69</v>
      </c>
      <c r="K8500" s="58">
        <f t="shared" si="17"/>
        <v>1</v>
      </c>
      <c r="L8500" s="91" t="str">
        <f t="shared" si="8"/>
        <v>Wed</v>
      </c>
      <c r="M8500" s="78" t="str">
        <f>IFERROR(VLOOKUP(A8500, Entries!A:B,2,false),"")</f>
        <v/>
      </c>
      <c r="N8500" s="23" t="str">
        <f>IFERROR(VLOOKUP(A8500, Entries!A:K,11,false),"")</f>
        <v/>
      </c>
    </row>
    <row r="8501">
      <c r="A8501" s="78" t="s">
        <v>9662</v>
      </c>
      <c r="B8501" s="78" t="s">
        <v>22</v>
      </c>
      <c r="C8501" s="85">
        <v>46056.0</v>
      </c>
      <c r="D8501" s="85">
        <v>46059.0</v>
      </c>
      <c r="E8501" s="86">
        <v>3.9</v>
      </c>
      <c r="F8501" s="87">
        <v>5.98</v>
      </c>
      <c r="G8501" s="88">
        <f t="shared" si="23"/>
        <v>2.08</v>
      </c>
      <c r="H8501" s="89">
        <f t="shared" si="18"/>
        <v>0.347826087</v>
      </c>
      <c r="I8501" s="78" t="s">
        <v>9666</v>
      </c>
      <c r="J8501" s="78" t="s">
        <v>69</v>
      </c>
      <c r="K8501" s="58">
        <f t="shared" si="17"/>
        <v>3</v>
      </c>
      <c r="L8501" s="91" t="str">
        <f t="shared" si="8"/>
        <v>Fri</v>
      </c>
      <c r="M8501" s="78" t="str">
        <f>IFERROR(VLOOKUP(A8501, Entries!A:B,2,false),"")</f>
        <v/>
      </c>
      <c r="N8501" s="23" t="str">
        <f>IFERROR(VLOOKUP(A8501, Entries!A:K,11,false),"")</f>
        <v/>
      </c>
    </row>
    <row r="8502">
      <c r="A8502" s="78" t="s">
        <v>9018</v>
      </c>
      <c r="B8502" s="78" t="s">
        <v>18</v>
      </c>
      <c r="C8502" s="85">
        <v>46057.0</v>
      </c>
      <c r="D8502" s="85">
        <v>46058.0</v>
      </c>
      <c r="E8502" s="86">
        <v>44.13</v>
      </c>
      <c r="F8502" s="87">
        <v>54.99</v>
      </c>
      <c r="G8502" s="88">
        <f t="shared" si="23"/>
        <v>10.86</v>
      </c>
      <c r="H8502" s="89">
        <f t="shared" si="18"/>
        <v>0.1974904528</v>
      </c>
      <c r="I8502" s="78" t="s">
        <v>9667</v>
      </c>
      <c r="J8502" s="78" t="s">
        <v>69</v>
      </c>
      <c r="K8502" s="58">
        <f t="shared" si="17"/>
        <v>1</v>
      </c>
      <c r="L8502" s="91" t="str">
        <f t="shared" si="8"/>
        <v>Thu</v>
      </c>
      <c r="M8502" s="78" t="str">
        <f>IFERROR(VLOOKUP(A8502, Entries!A:B,2,false),"")</f>
        <v>Game Science</v>
      </c>
      <c r="N8502" s="23" t="str">
        <f>IFERROR(VLOOKUP(A8502, Entries!A:K,11,false),"")</f>
        <v/>
      </c>
    </row>
    <row r="8503">
      <c r="A8503" s="78" t="s">
        <v>9365</v>
      </c>
      <c r="B8503" s="78" t="s">
        <v>27</v>
      </c>
      <c r="C8503" s="85">
        <v>46064.0</v>
      </c>
      <c r="D8503" s="85">
        <v>46068.0</v>
      </c>
      <c r="E8503" s="86">
        <v>34.79</v>
      </c>
      <c r="F8503" s="87">
        <v>52.61</v>
      </c>
      <c r="G8503" s="88">
        <f t="shared" si="23"/>
        <v>17.82</v>
      </c>
      <c r="H8503" s="89">
        <f t="shared" si="18"/>
        <v>0.3387188747</v>
      </c>
      <c r="I8503" s="78" t="s">
        <v>9668</v>
      </c>
      <c r="J8503" s="78" t="s">
        <v>69</v>
      </c>
      <c r="K8503" s="58">
        <f t="shared" si="17"/>
        <v>4</v>
      </c>
      <c r="L8503" s="91" t="str">
        <f t="shared" si="8"/>
        <v>Sun</v>
      </c>
      <c r="M8503" s="78" t="str">
        <f>IFERROR(VLOOKUP(A8503, Entries!A:B,2,false),"")</f>
        <v/>
      </c>
      <c r="N8503" s="23" t="str">
        <f>IFERROR(VLOOKUP(A8503, Entries!A:K,11,false),"")</f>
        <v/>
      </c>
    </row>
    <row r="8504">
      <c r="A8504" s="78" t="s">
        <v>9662</v>
      </c>
      <c r="B8504" s="78" t="s">
        <v>22</v>
      </c>
      <c r="C8504" s="85">
        <v>46064.0</v>
      </c>
      <c r="D8504" s="85">
        <v>46064.0</v>
      </c>
      <c r="E8504" s="86">
        <v>3.96</v>
      </c>
      <c r="F8504" s="87">
        <v>5.76</v>
      </c>
      <c r="G8504" s="88">
        <f t="shared" si="23"/>
        <v>1.8</v>
      </c>
      <c r="H8504" s="89">
        <f t="shared" si="18"/>
        <v>0.3125</v>
      </c>
      <c r="I8504" s="78" t="s">
        <v>9669</v>
      </c>
      <c r="J8504" s="78" t="s">
        <v>69</v>
      </c>
      <c r="K8504" s="58">
        <f t="shared" si="17"/>
        <v>0</v>
      </c>
      <c r="L8504" s="91" t="str">
        <f t="shared" si="8"/>
        <v>Wed</v>
      </c>
      <c r="M8504" s="78" t="str">
        <f>IFERROR(VLOOKUP(A8504, Entries!A:B,2,false),"")</f>
        <v/>
      </c>
      <c r="N8504" s="23" t="str">
        <f>IFERROR(VLOOKUP(A8504, Entries!A:K,11,false),"")</f>
        <v/>
      </c>
    </row>
    <row r="8505">
      <c r="A8505" s="78" t="s">
        <v>9662</v>
      </c>
      <c r="B8505" s="78" t="s">
        <v>22</v>
      </c>
      <c r="C8505" s="85">
        <v>46064.0</v>
      </c>
      <c r="D8505" s="85">
        <v>46064.0</v>
      </c>
      <c r="E8505" s="86">
        <v>3.97</v>
      </c>
      <c r="F8505" s="87">
        <v>5.71</v>
      </c>
      <c r="G8505" s="88">
        <f t="shared" si="23"/>
        <v>1.74</v>
      </c>
      <c r="H8505" s="89">
        <f t="shared" si="18"/>
        <v>0.3047285464</v>
      </c>
      <c r="I8505" s="78" t="s">
        <v>9670</v>
      </c>
      <c r="J8505" s="78" t="s">
        <v>69</v>
      </c>
      <c r="K8505" s="58">
        <f t="shared" si="17"/>
        <v>0</v>
      </c>
      <c r="L8505" s="91" t="str">
        <f t="shared" si="8"/>
        <v>Wed</v>
      </c>
      <c r="M8505" s="78" t="str">
        <f>IFERROR(VLOOKUP(A8505, Entries!A:B,2,false),"")</f>
        <v/>
      </c>
      <c r="N8505" s="23" t="str">
        <f>IFERROR(VLOOKUP(A8505, Entries!A:K,11,false),"")</f>
        <v/>
      </c>
    </row>
    <row r="8506">
      <c r="A8506" s="78" t="s">
        <v>9662</v>
      </c>
      <c r="B8506" s="78" t="s">
        <v>22</v>
      </c>
      <c r="C8506" s="85">
        <v>46064.0</v>
      </c>
      <c r="D8506" s="85">
        <v>46064.0</v>
      </c>
      <c r="E8506" s="86">
        <v>3.97</v>
      </c>
      <c r="F8506" s="87">
        <v>5.71</v>
      </c>
      <c r="G8506" s="88">
        <f t="shared" si="23"/>
        <v>1.74</v>
      </c>
      <c r="H8506" s="89">
        <f t="shared" si="18"/>
        <v>0.3047285464</v>
      </c>
      <c r="I8506" s="78" t="s">
        <v>9671</v>
      </c>
      <c r="J8506" s="78" t="s">
        <v>69</v>
      </c>
      <c r="K8506" s="58">
        <f t="shared" si="17"/>
        <v>0</v>
      </c>
      <c r="L8506" s="91" t="str">
        <f t="shared" si="8"/>
        <v>Wed</v>
      </c>
      <c r="M8506" s="78" t="str">
        <f>IFERROR(VLOOKUP(A8506, Entries!A:B,2,false),"")</f>
        <v/>
      </c>
      <c r="N8506" s="23" t="str">
        <f>IFERROR(VLOOKUP(A8506, Entries!A:K,11,false),"")</f>
        <v/>
      </c>
    </row>
    <row r="8507">
      <c r="A8507" s="78" t="s">
        <v>8696</v>
      </c>
      <c r="B8507" s="78" t="s">
        <v>19</v>
      </c>
      <c r="C8507" s="85">
        <v>46064.0</v>
      </c>
      <c r="D8507" s="85">
        <v>46067.0</v>
      </c>
      <c r="E8507" s="86">
        <v>35.36</v>
      </c>
      <c r="F8507" s="87">
        <v>38.31</v>
      </c>
      <c r="G8507" s="88">
        <f t="shared" si="23"/>
        <v>2.95</v>
      </c>
      <c r="H8507" s="89">
        <f t="shared" si="18"/>
        <v>0.07700339337</v>
      </c>
      <c r="I8507" s="78" t="s">
        <v>9672</v>
      </c>
      <c r="J8507" s="78" t="s">
        <v>69</v>
      </c>
      <c r="K8507" s="58">
        <f t="shared" si="17"/>
        <v>3</v>
      </c>
      <c r="L8507" s="91" t="str">
        <f t="shared" si="8"/>
        <v>Sat</v>
      </c>
      <c r="M8507" s="78" t="str">
        <f>IFERROR(VLOOKUP(A8507, Entries!A:B,2,false),"")</f>
        <v/>
      </c>
      <c r="N8507" s="23" t="str">
        <f>IFERROR(VLOOKUP(A8507, Entries!A:K,11,false),"")</f>
        <v/>
      </c>
    </row>
    <row r="8508">
      <c r="A8508" s="78" t="s">
        <v>5676</v>
      </c>
      <c r="B8508" s="78" t="s">
        <v>27</v>
      </c>
      <c r="C8508" s="85">
        <v>46064.0</v>
      </c>
      <c r="D8508" s="85">
        <v>46105.0</v>
      </c>
      <c r="E8508" s="86">
        <v>32.39</v>
      </c>
      <c r="F8508" s="87">
        <v>39.96</v>
      </c>
      <c r="G8508" s="88">
        <f t="shared" si="23"/>
        <v>7.57</v>
      </c>
      <c r="H8508" s="89">
        <f t="shared" si="18"/>
        <v>0.1894394394</v>
      </c>
      <c r="I8508" s="78" t="s">
        <v>9673</v>
      </c>
      <c r="J8508" s="78" t="s">
        <v>69</v>
      </c>
      <c r="K8508" s="58">
        <f t="shared" si="17"/>
        <v>41</v>
      </c>
      <c r="L8508" s="91" t="str">
        <f t="shared" si="8"/>
        <v>Tue</v>
      </c>
      <c r="M8508" s="78" t="str">
        <f>IFERROR(VLOOKUP(A8508, Entries!A:B,2,false),"")</f>
        <v>Bethesda Softworks</v>
      </c>
      <c r="N8508" s="23" t="str">
        <f>IFERROR(VLOOKUP(A8508, Entries!A:K,11,false),"")</f>
        <v/>
      </c>
    </row>
    <row r="8509">
      <c r="A8509" s="78" t="s">
        <v>7814</v>
      </c>
      <c r="B8509" s="78" t="s">
        <v>17</v>
      </c>
      <c r="C8509" s="85">
        <v>46064.0</v>
      </c>
      <c r="D8509" s="85">
        <v>46067.0</v>
      </c>
      <c r="E8509" s="86">
        <v>40.58</v>
      </c>
      <c r="F8509" s="87">
        <v>54.81</v>
      </c>
      <c r="G8509" s="88">
        <f t="shared" si="23"/>
        <v>14.23</v>
      </c>
      <c r="H8509" s="89">
        <f t="shared" si="18"/>
        <v>0.2596241562</v>
      </c>
      <c r="I8509" s="78" t="s">
        <v>9257</v>
      </c>
      <c r="J8509" s="78" t="s">
        <v>69</v>
      </c>
      <c r="K8509" s="58">
        <f t="shared" si="17"/>
        <v>3</v>
      </c>
      <c r="L8509" s="91" t="str">
        <f t="shared" si="8"/>
        <v>Sat</v>
      </c>
      <c r="M8509" s="78" t="str">
        <f>IFERROR(VLOOKUP(A8509, Entries!A:B,2,false),"")</f>
        <v>Electronic Arts</v>
      </c>
      <c r="N8509" s="23" t="str">
        <f>IFERROR(VLOOKUP(A8509, Entries!A:K,11,false),"")</f>
        <v/>
      </c>
    </row>
    <row r="8510">
      <c r="A8510" s="78" t="s">
        <v>7814</v>
      </c>
      <c r="B8510" s="78" t="s">
        <v>17</v>
      </c>
      <c r="C8510" s="85">
        <v>46064.0</v>
      </c>
      <c r="D8510" s="85">
        <v>46069.0</v>
      </c>
      <c r="E8510" s="86">
        <v>40.58</v>
      </c>
      <c r="F8510" s="87">
        <v>57.51</v>
      </c>
      <c r="G8510" s="88">
        <f t="shared" si="23"/>
        <v>16.93</v>
      </c>
      <c r="H8510" s="89">
        <f t="shared" si="18"/>
        <v>0.2943835855</v>
      </c>
      <c r="I8510" s="78" t="s">
        <v>4864</v>
      </c>
      <c r="J8510" s="78" t="s">
        <v>69</v>
      </c>
      <c r="K8510" s="58">
        <f t="shared" si="17"/>
        <v>5</v>
      </c>
      <c r="L8510" s="91" t="str">
        <f t="shared" si="8"/>
        <v>Mon</v>
      </c>
      <c r="M8510" s="78" t="str">
        <f>IFERROR(VLOOKUP(A8510, Entries!A:B,2,false),"")</f>
        <v>Electronic Arts</v>
      </c>
      <c r="N8510" s="23" t="str">
        <f>IFERROR(VLOOKUP(A8510, Entries!A:K,11,false),"")</f>
        <v/>
      </c>
    </row>
    <row r="8511">
      <c r="A8511" s="78" t="s">
        <v>9517</v>
      </c>
      <c r="B8511" s="78" t="s">
        <v>22</v>
      </c>
      <c r="C8511" s="85">
        <v>46064.0</v>
      </c>
      <c r="D8511" s="85">
        <v>46064.0</v>
      </c>
      <c r="E8511" s="86">
        <v>11.17</v>
      </c>
      <c r="F8511" s="87">
        <v>12.08</v>
      </c>
      <c r="G8511" s="88">
        <f t="shared" si="23"/>
        <v>0.91</v>
      </c>
      <c r="H8511" s="89">
        <f t="shared" si="18"/>
        <v>0.07533112583</v>
      </c>
      <c r="I8511" s="78" t="s">
        <v>9674</v>
      </c>
      <c r="J8511" s="78" t="s">
        <v>69</v>
      </c>
      <c r="K8511" s="58">
        <f t="shared" si="17"/>
        <v>0</v>
      </c>
      <c r="L8511" s="91" t="str">
        <f t="shared" si="8"/>
        <v>Wed</v>
      </c>
      <c r="M8511" s="78" t="str">
        <f>IFERROR(VLOOKUP(A8511, Entries!A:B,2,false),"")</f>
        <v/>
      </c>
      <c r="N8511" s="23" t="str">
        <f>IFERROR(VLOOKUP(A8511, Entries!A:K,11,false),"")</f>
        <v/>
      </c>
    </row>
    <row r="8512">
      <c r="A8512" s="78" t="s">
        <v>9632</v>
      </c>
      <c r="B8512" s="78" t="s">
        <v>21</v>
      </c>
      <c r="C8512" s="85">
        <v>46064.0</v>
      </c>
      <c r="D8512" s="85">
        <v>46065.0</v>
      </c>
      <c r="E8512" s="86">
        <v>33.45</v>
      </c>
      <c r="F8512" s="87">
        <v>50.0</v>
      </c>
      <c r="G8512" s="88">
        <f t="shared" si="23"/>
        <v>16.55</v>
      </c>
      <c r="H8512" s="89">
        <f t="shared" si="18"/>
        <v>0.331</v>
      </c>
      <c r="I8512" s="78" t="s">
        <v>9675</v>
      </c>
      <c r="J8512" s="78" t="s">
        <v>69</v>
      </c>
      <c r="K8512" s="58">
        <f t="shared" si="17"/>
        <v>1</v>
      </c>
      <c r="L8512" s="91" t="str">
        <f t="shared" si="8"/>
        <v>Thu</v>
      </c>
      <c r="M8512" s="78" t="str">
        <f>IFERROR(VLOOKUP(A8512, Entries!A:B,2,false),"")</f>
        <v/>
      </c>
      <c r="N8512" s="23" t="str">
        <f>IFERROR(VLOOKUP(A8512, Entries!A:K,11,false),"")</f>
        <v/>
      </c>
    </row>
    <row r="8513">
      <c r="A8513" s="78" t="s">
        <v>9676</v>
      </c>
      <c r="B8513" s="78" t="s">
        <v>22</v>
      </c>
      <c r="C8513" s="85">
        <v>46067.0</v>
      </c>
      <c r="D8513" s="85">
        <v>46067.0</v>
      </c>
      <c r="E8513" s="86">
        <v>11.2</v>
      </c>
      <c r="F8513" s="87">
        <v>17.39</v>
      </c>
      <c r="G8513" s="88">
        <f t="shared" si="23"/>
        <v>6.19</v>
      </c>
      <c r="H8513" s="89">
        <f t="shared" si="18"/>
        <v>0.3559516964</v>
      </c>
      <c r="I8513" s="78" t="s">
        <v>9677</v>
      </c>
      <c r="J8513" s="78" t="s">
        <v>69</v>
      </c>
      <c r="K8513" s="58">
        <f t="shared" si="17"/>
        <v>0</v>
      </c>
      <c r="L8513" s="91" t="str">
        <f t="shared" si="8"/>
        <v>Sat</v>
      </c>
      <c r="M8513" s="78" t="str">
        <f>IFERROR(VLOOKUP(A8513, Entries!A:B,2,false),"")</f>
        <v/>
      </c>
      <c r="N8513" s="23" t="str">
        <f>IFERROR(VLOOKUP(A8513, Entries!A:K,11,false),"")</f>
        <v/>
      </c>
    </row>
    <row r="8514">
      <c r="A8514" s="78" t="s">
        <v>9678</v>
      </c>
      <c r="B8514" s="78" t="s">
        <v>40</v>
      </c>
      <c r="C8514" s="85">
        <v>46067.0</v>
      </c>
      <c r="D8514" s="85">
        <v>46067.0</v>
      </c>
      <c r="E8514" s="86">
        <v>32.29</v>
      </c>
      <c r="F8514" s="87">
        <v>37.52</v>
      </c>
      <c r="G8514" s="88">
        <f t="shared" si="23"/>
        <v>5.23</v>
      </c>
      <c r="H8514" s="89">
        <f t="shared" si="18"/>
        <v>0.1393923241</v>
      </c>
      <c r="I8514" s="78" t="s">
        <v>9679</v>
      </c>
      <c r="J8514" s="78" t="s">
        <v>69</v>
      </c>
      <c r="K8514" s="58">
        <f t="shared" si="17"/>
        <v>0</v>
      </c>
      <c r="L8514" s="91" t="str">
        <f t="shared" si="8"/>
        <v>Sat</v>
      </c>
      <c r="M8514" s="78" t="str">
        <f>IFERROR(VLOOKUP(A8514, Entries!A:B,2,false),"")</f>
        <v/>
      </c>
      <c r="N8514" s="23" t="str">
        <f>IFERROR(VLOOKUP(A8514, Entries!A:K,11,false),"")</f>
        <v/>
      </c>
    </row>
    <row r="8515">
      <c r="A8515" s="78" t="s">
        <v>9678</v>
      </c>
      <c r="B8515" s="78" t="s">
        <v>40</v>
      </c>
      <c r="C8515" s="85">
        <v>46068.0</v>
      </c>
      <c r="D8515" s="85">
        <v>46068.0</v>
      </c>
      <c r="E8515" s="86">
        <v>32.06</v>
      </c>
      <c r="F8515" s="87">
        <v>37.32</v>
      </c>
      <c r="G8515" s="88">
        <f t="shared" si="23"/>
        <v>5.26</v>
      </c>
      <c r="H8515" s="89">
        <f t="shared" si="18"/>
        <v>0.140943194</v>
      </c>
      <c r="I8515" s="78" t="s">
        <v>9680</v>
      </c>
      <c r="J8515" s="78" t="s">
        <v>69</v>
      </c>
      <c r="K8515" s="58">
        <f t="shared" si="17"/>
        <v>0</v>
      </c>
      <c r="L8515" s="91" t="str">
        <f t="shared" si="8"/>
        <v>Sun</v>
      </c>
      <c r="M8515" s="78" t="str">
        <f>IFERROR(VLOOKUP(A8515, Entries!A:B,2,false),"")</f>
        <v/>
      </c>
      <c r="N8515" s="23" t="str">
        <f>IFERROR(VLOOKUP(A8515, Entries!A:K,11,false),"")</f>
        <v/>
      </c>
    </row>
    <row r="8516">
      <c r="A8516" s="78" t="s">
        <v>9365</v>
      </c>
      <c r="B8516" s="78" t="s">
        <v>27</v>
      </c>
      <c r="C8516" s="85">
        <v>46068.0</v>
      </c>
      <c r="D8516" s="85">
        <v>46103.0</v>
      </c>
      <c r="E8516" s="86">
        <v>31.79</v>
      </c>
      <c r="F8516" s="87">
        <v>32.27</v>
      </c>
      <c r="G8516" s="88">
        <f t="shared" si="23"/>
        <v>0.48</v>
      </c>
      <c r="H8516" s="89">
        <f t="shared" si="18"/>
        <v>0.01487449644</v>
      </c>
      <c r="I8516" s="78" t="s">
        <v>9681</v>
      </c>
      <c r="J8516" s="78" t="s">
        <v>69</v>
      </c>
      <c r="K8516" s="58">
        <f t="shared" si="17"/>
        <v>35</v>
      </c>
      <c r="L8516" s="91" t="str">
        <f t="shared" si="8"/>
        <v>Sun</v>
      </c>
      <c r="M8516" s="78" t="str">
        <f>IFERROR(VLOOKUP(A8516, Entries!A:B,2,false),"")</f>
        <v/>
      </c>
      <c r="N8516" s="23" t="str">
        <f>IFERROR(VLOOKUP(A8516, Entries!A:K,11,false),"")</f>
        <v/>
      </c>
    </row>
    <row r="8517">
      <c r="A8517" s="78" t="s">
        <v>9656</v>
      </c>
      <c r="B8517" s="78" t="s">
        <v>17</v>
      </c>
      <c r="C8517" s="85">
        <v>46068.0</v>
      </c>
      <c r="D8517" s="85">
        <v>46074.0</v>
      </c>
      <c r="E8517" s="86">
        <v>13.34</v>
      </c>
      <c r="F8517" s="87">
        <v>19.41</v>
      </c>
      <c r="G8517" s="88">
        <f t="shared" si="23"/>
        <v>6.07</v>
      </c>
      <c r="H8517" s="89">
        <f t="shared" si="18"/>
        <v>0.3127253993</v>
      </c>
      <c r="I8517" s="78" t="s">
        <v>9682</v>
      </c>
      <c r="J8517" s="78" t="s">
        <v>69</v>
      </c>
      <c r="K8517" s="58">
        <f t="shared" si="17"/>
        <v>6</v>
      </c>
      <c r="L8517" s="91" t="str">
        <f t="shared" si="8"/>
        <v>Sat</v>
      </c>
      <c r="M8517" s="78" t="str">
        <f>IFERROR(VLOOKUP(A8517, Entries!A:B,2,false),"")</f>
        <v/>
      </c>
      <c r="N8517" s="23" t="str">
        <f>IFERROR(VLOOKUP(A8517, Entries!A:K,11,false),"")</f>
        <v/>
      </c>
    </row>
    <row r="8518">
      <c r="A8518" s="78" t="s">
        <v>9683</v>
      </c>
      <c r="B8518" s="78" t="s">
        <v>22</v>
      </c>
      <c r="C8518" s="85">
        <v>46069.0</v>
      </c>
      <c r="D8518" s="85">
        <v>46069.0</v>
      </c>
      <c r="E8518" s="86">
        <v>14.19</v>
      </c>
      <c r="F8518" s="87">
        <v>21.9</v>
      </c>
      <c r="G8518" s="88">
        <f t="shared" si="23"/>
        <v>7.71</v>
      </c>
      <c r="H8518" s="89">
        <f t="shared" si="18"/>
        <v>0.3520547945</v>
      </c>
      <c r="I8518" s="78" t="s">
        <v>9684</v>
      </c>
      <c r="J8518" s="78" t="s">
        <v>69</v>
      </c>
      <c r="K8518" s="58">
        <f t="shared" si="17"/>
        <v>0</v>
      </c>
      <c r="L8518" s="91" t="str">
        <f t="shared" si="8"/>
        <v>Mon</v>
      </c>
      <c r="M8518" s="78" t="str">
        <f>IFERROR(VLOOKUP(A8518, Entries!A:B,2,false),"")</f>
        <v/>
      </c>
      <c r="N8518" s="23" t="str">
        <f>IFERROR(VLOOKUP(A8518, Entries!A:K,11,false),"")</f>
        <v/>
      </c>
    </row>
    <row r="8519">
      <c r="A8519" s="78" t="s">
        <v>9685</v>
      </c>
      <c r="B8519" s="78" t="s">
        <v>22</v>
      </c>
      <c r="C8519" s="85">
        <v>46069.0</v>
      </c>
      <c r="D8519" s="85">
        <v>46082.0</v>
      </c>
      <c r="E8519" s="86">
        <v>15.16</v>
      </c>
      <c r="F8519" s="87">
        <v>18.77</v>
      </c>
      <c r="G8519" s="88">
        <f t="shared" si="23"/>
        <v>3.61</v>
      </c>
      <c r="H8519" s="89">
        <f t="shared" si="18"/>
        <v>0.1923281833</v>
      </c>
      <c r="I8519" s="78" t="s">
        <v>561</v>
      </c>
      <c r="J8519" s="78" t="s">
        <v>69</v>
      </c>
      <c r="K8519" s="58">
        <f t="shared" si="17"/>
        <v>13</v>
      </c>
      <c r="L8519" s="91" t="str">
        <f t="shared" si="8"/>
        <v>Sun</v>
      </c>
      <c r="M8519" s="78" t="str">
        <f>IFERROR(VLOOKUP(A8519, Entries!A:B,2,false),"")</f>
        <v/>
      </c>
      <c r="N8519" s="23" t="str">
        <f>IFERROR(VLOOKUP(A8519, Entries!A:K,11,false),"")</f>
        <v/>
      </c>
    </row>
    <row r="8520">
      <c r="A8520" s="78" t="s">
        <v>9686</v>
      </c>
      <c r="B8520" s="78" t="s">
        <v>22</v>
      </c>
      <c r="C8520" s="85">
        <v>46069.0</v>
      </c>
      <c r="D8520" s="85">
        <v>46070.0</v>
      </c>
      <c r="E8520" s="86">
        <v>10.54</v>
      </c>
      <c r="F8520" s="87">
        <v>12.48</v>
      </c>
      <c r="G8520" s="88">
        <f t="shared" si="23"/>
        <v>1.94</v>
      </c>
      <c r="H8520" s="89">
        <f t="shared" si="18"/>
        <v>0.1554487179</v>
      </c>
      <c r="I8520" s="78" t="s">
        <v>9687</v>
      </c>
      <c r="J8520" s="78" t="s">
        <v>69</v>
      </c>
      <c r="K8520" s="58">
        <f t="shared" si="17"/>
        <v>1</v>
      </c>
      <c r="L8520" s="91" t="str">
        <f t="shared" si="8"/>
        <v>Tue</v>
      </c>
      <c r="M8520" s="78" t="str">
        <f>IFERROR(VLOOKUP(A8520, Entries!A:B,2,false),"")</f>
        <v/>
      </c>
      <c r="N8520" s="23" t="str">
        <f>IFERROR(VLOOKUP(A8520, Entries!A:K,11,false),"")</f>
        <v/>
      </c>
    </row>
    <row r="8521">
      <c r="A8521" s="78" t="s">
        <v>7814</v>
      </c>
      <c r="B8521" s="78" t="s">
        <v>17</v>
      </c>
      <c r="C8521" s="85">
        <v>46069.0</v>
      </c>
      <c r="D8521" s="85">
        <v>46075.0</v>
      </c>
      <c r="E8521" s="86">
        <v>41.46</v>
      </c>
      <c r="F8521" s="87">
        <v>54.81</v>
      </c>
      <c r="G8521" s="88">
        <f t="shared" si="23"/>
        <v>13.35</v>
      </c>
      <c r="H8521" s="89">
        <f t="shared" si="18"/>
        <v>0.2435686918</v>
      </c>
      <c r="I8521" s="78" t="s">
        <v>561</v>
      </c>
      <c r="J8521" s="78" t="s">
        <v>69</v>
      </c>
      <c r="K8521" s="58">
        <f t="shared" si="17"/>
        <v>6</v>
      </c>
      <c r="L8521" s="91" t="str">
        <f t="shared" si="8"/>
        <v>Sun</v>
      </c>
      <c r="M8521" s="78" t="str">
        <f>IFERROR(VLOOKUP(A8521, Entries!A:B,2,false),"")</f>
        <v>Electronic Arts</v>
      </c>
      <c r="N8521" s="23" t="str">
        <f>IFERROR(VLOOKUP(A8521, Entries!A:K,11,false),"")</f>
        <v/>
      </c>
    </row>
    <row r="8522">
      <c r="A8522" s="78" t="s">
        <v>7814</v>
      </c>
      <c r="B8522" s="78" t="s">
        <v>17</v>
      </c>
      <c r="C8522" s="85">
        <v>46069.0</v>
      </c>
      <c r="D8522" s="85">
        <v>46075.0</v>
      </c>
      <c r="E8522" s="86">
        <v>41.46</v>
      </c>
      <c r="F8522" s="87">
        <v>54.81</v>
      </c>
      <c r="G8522" s="88">
        <f t="shared" si="23"/>
        <v>13.35</v>
      </c>
      <c r="H8522" s="89">
        <f t="shared" si="18"/>
        <v>0.2435686918</v>
      </c>
      <c r="I8522" s="78" t="s">
        <v>561</v>
      </c>
      <c r="J8522" s="78" t="s">
        <v>69</v>
      </c>
      <c r="K8522" s="58">
        <f t="shared" si="17"/>
        <v>6</v>
      </c>
      <c r="L8522" s="91" t="str">
        <f t="shared" si="8"/>
        <v>Sun</v>
      </c>
      <c r="M8522" s="78" t="str">
        <f>IFERROR(VLOOKUP(A8522, Entries!A:B,2,false),"")</f>
        <v>Electronic Arts</v>
      </c>
      <c r="N8522" s="23" t="str">
        <f>IFERROR(VLOOKUP(A8522, Entries!A:K,11,false),"")</f>
        <v/>
      </c>
    </row>
    <row r="8523">
      <c r="A8523" s="78" t="s">
        <v>9688</v>
      </c>
      <c r="B8523" s="78" t="s">
        <v>21</v>
      </c>
      <c r="C8523" s="85">
        <v>46070.0</v>
      </c>
      <c r="D8523" s="25"/>
      <c r="E8523" s="86">
        <v>5.45</v>
      </c>
      <c r="F8523" s="88"/>
      <c r="G8523" s="88">
        <f t="shared" si="23"/>
        <v>-5.45</v>
      </c>
      <c r="H8523" s="89" t="str">
        <f t="shared" si="18"/>
        <v/>
      </c>
      <c r="I8523" s="78" t="s">
        <v>9689</v>
      </c>
      <c r="J8523" s="78" t="s">
        <v>1129</v>
      </c>
      <c r="K8523" s="58" t="str">
        <f t="shared" si="17"/>
        <v/>
      </c>
      <c r="L8523" s="91" t="str">
        <f t="shared" si="8"/>
        <v/>
      </c>
      <c r="M8523" s="78" t="str">
        <f>IFERROR(VLOOKUP(A8523, Entries!A:B,2,false),"")</f>
        <v/>
      </c>
      <c r="N8523" s="23" t="str">
        <f>IFERROR(VLOOKUP(A8523, Entries!A:K,11,false),"")</f>
        <v/>
      </c>
    </row>
    <row r="8524">
      <c r="A8524" s="78" t="s">
        <v>9688</v>
      </c>
      <c r="B8524" s="78" t="s">
        <v>21</v>
      </c>
      <c r="C8524" s="85">
        <v>46070.0</v>
      </c>
      <c r="D8524" s="25"/>
      <c r="E8524" s="86">
        <v>5.45</v>
      </c>
      <c r="F8524" s="88"/>
      <c r="G8524" s="88">
        <f t="shared" si="23"/>
        <v>-5.45</v>
      </c>
      <c r="H8524" s="89" t="str">
        <f t="shared" si="18"/>
        <v/>
      </c>
      <c r="I8524" s="78" t="s">
        <v>9690</v>
      </c>
      <c r="J8524" s="78" t="s">
        <v>1129</v>
      </c>
      <c r="K8524" s="58" t="str">
        <f t="shared" si="17"/>
        <v/>
      </c>
      <c r="L8524" s="91" t="str">
        <f t="shared" si="8"/>
        <v/>
      </c>
      <c r="M8524" s="78" t="str">
        <f>IFERROR(VLOOKUP(A8524, Entries!A:B,2,false),"")</f>
        <v/>
      </c>
      <c r="N8524" s="23" t="str">
        <f>IFERROR(VLOOKUP(A8524, Entries!A:K,11,false),"")</f>
        <v/>
      </c>
    </row>
    <row r="8525">
      <c r="A8525" s="78" t="s">
        <v>9678</v>
      </c>
      <c r="B8525" s="78" t="s">
        <v>29</v>
      </c>
      <c r="C8525" s="85">
        <v>46071.0</v>
      </c>
      <c r="D8525" s="85">
        <v>46096.0</v>
      </c>
      <c r="E8525" s="86">
        <v>31.99</v>
      </c>
      <c r="F8525" s="87">
        <v>37.7</v>
      </c>
      <c r="G8525" s="88">
        <f t="shared" si="23"/>
        <v>5.71</v>
      </c>
      <c r="H8525" s="89">
        <f t="shared" si="18"/>
        <v>0.1514588859</v>
      </c>
      <c r="I8525" s="78" t="s">
        <v>9691</v>
      </c>
      <c r="J8525" s="78" t="s">
        <v>69</v>
      </c>
      <c r="K8525" s="58">
        <f t="shared" si="17"/>
        <v>25</v>
      </c>
      <c r="L8525" s="91" t="str">
        <f t="shared" si="8"/>
        <v>Sun</v>
      </c>
      <c r="M8525" s="78" t="str">
        <f>IFERROR(VLOOKUP(A8525, Entries!A:B,2,false),"")</f>
        <v/>
      </c>
      <c r="N8525" s="23" t="str">
        <f>IFERROR(VLOOKUP(A8525, Entries!A:K,11,false),"")</f>
        <v/>
      </c>
    </row>
    <row r="8526">
      <c r="A8526" s="78" t="s">
        <v>9692</v>
      </c>
      <c r="B8526" s="78" t="s">
        <v>22</v>
      </c>
      <c r="C8526" s="85">
        <v>46071.0</v>
      </c>
      <c r="D8526" s="85">
        <v>46074.0</v>
      </c>
      <c r="E8526" s="86">
        <v>20.24</v>
      </c>
      <c r="F8526" s="87">
        <v>31.82</v>
      </c>
      <c r="G8526" s="88">
        <f t="shared" si="23"/>
        <v>11.58</v>
      </c>
      <c r="H8526" s="89">
        <f t="shared" si="18"/>
        <v>0.3639220616</v>
      </c>
      <c r="I8526" s="78" t="s">
        <v>9693</v>
      </c>
      <c r="J8526" s="78" t="s">
        <v>69</v>
      </c>
      <c r="K8526" s="58">
        <f t="shared" si="17"/>
        <v>3</v>
      </c>
      <c r="L8526" s="91" t="str">
        <f t="shared" si="8"/>
        <v>Sat</v>
      </c>
      <c r="M8526" s="78" t="str">
        <f>IFERROR(VLOOKUP(A8526, Entries!A:B,2,false),"")</f>
        <v/>
      </c>
      <c r="N8526" s="23" t="str">
        <f>IFERROR(VLOOKUP(A8526, Entries!A:K,11,false),"")</f>
        <v/>
      </c>
    </row>
    <row r="8527">
      <c r="A8527" s="78" t="s">
        <v>8316</v>
      </c>
      <c r="B8527" s="78" t="s">
        <v>17</v>
      </c>
      <c r="C8527" s="85">
        <v>46072.0</v>
      </c>
      <c r="D8527" s="85">
        <v>46096.0</v>
      </c>
      <c r="E8527" s="86">
        <v>16.96</v>
      </c>
      <c r="F8527" s="87">
        <v>25.99</v>
      </c>
      <c r="G8527" s="88">
        <f t="shared" si="23"/>
        <v>9.03</v>
      </c>
      <c r="H8527" s="89">
        <f t="shared" si="18"/>
        <v>0.3474413236</v>
      </c>
      <c r="I8527" s="78" t="s">
        <v>9694</v>
      </c>
      <c r="J8527" s="78" t="s">
        <v>69</v>
      </c>
      <c r="K8527" s="58">
        <f t="shared" si="17"/>
        <v>24</v>
      </c>
      <c r="L8527" s="91" t="str">
        <f t="shared" si="8"/>
        <v>Sun</v>
      </c>
      <c r="M8527" s="78" t="str">
        <f>IFERROR(VLOOKUP(A8527, Entries!A:B,2,false),"")</f>
        <v/>
      </c>
      <c r="N8527" s="23" t="str">
        <f>IFERROR(VLOOKUP(A8527, Entries!A:K,11,false),"")</f>
        <v/>
      </c>
      <c r="P8527" s="78" t="s">
        <v>9695</v>
      </c>
    </row>
    <row r="8528">
      <c r="A8528" s="78" t="s">
        <v>9696</v>
      </c>
      <c r="B8528" s="78" t="s">
        <v>25</v>
      </c>
      <c r="C8528" s="85">
        <v>46073.0</v>
      </c>
      <c r="D8528" s="85">
        <v>46073.0</v>
      </c>
      <c r="E8528" s="86">
        <v>45.55</v>
      </c>
      <c r="F8528" s="87">
        <v>49.4</v>
      </c>
      <c r="G8528" s="88">
        <f t="shared" si="23"/>
        <v>3.85</v>
      </c>
      <c r="H8528" s="89">
        <f t="shared" si="18"/>
        <v>0.07793522267</v>
      </c>
      <c r="I8528" s="78" t="s">
        <v>9697</v>
      </c>
      <c r="J8528" s="78" t="s">
        <v>69</v>
      </c>
      <c r="K8528" s="58">
        <f t="shared" si="17"/>
        <v>0</v>
      </c>
      <c r="L8528" s="91" t="str">
        <f t="shared" si="8"/>
        <v>Fri</v>
      </c>
      <c r="M8528" s="78" t="str">
        <f>IFERROR(VLOOKUP(A8528, Entries!A:B,2,false),"")</f>
        <v/>
      </c>
      <c r="N8528" s="23" t="str">
        <f>IFERROR(VLOOKUP(A8528, Entries!A:K,11,false),"")</f>
        <v/>
      </c>
    </row>
    <row r="8529">
      <c r="A8529" s="78" t="s">
        <v>9698</v>
      </c>
      <c r="B8529" s="78" t="s">
        <v>21</v>
      </c>
      <c r="C8529" s="85">
        <v>46073.0</v>
      </c>
      <c r="D8529" s="85">
        <v>46074.0</v>
      </c>
      <c r="E8529" s="86">
        <v>3.85</v>
      </c>
      <c r="F8529" s="87">
        <v>4.36</v>
      </c>
      <c r="G8529" s="88">
        <f t="shared" si="23"/>
        <v>0.51</v>
      </c>
      <c r="H8529" s="89">
        <f t="shared" si="18"/>
        <v>0.1169724771</v>
      </c>
      <c r="J8529" s="78" t="s">
        <v>69</v>
      </c>
      <c r="K8529" s="58">
        <f t="shared" si="17"/>
        <v>1</v>
      </c>
      <c r="L8529" s="91" t="str">
        <f t="shared" si="8"/>
        <v>Sat</v>
      </c>
      <c r="M8529" s="78" t="str">
        <f>IFERROR(VLOOKUP(A8529, Entries!A:B,2,false),"")</f>
        <v/>
      </c>
      <c r="N8529" s="23" t="str">
        <f>IFERROR(VLOOKUP(A8529, Entries!A:K,11,false),"")</f>
        <v/>
      </c>
    </row>
    <row r="8530">
      <c r="A8530" s="78" t="s">
        <v>9699</v>
      </c>
      <c r="B8530" s="78" t="s">
        <v>22</v>
      </c>
      <c r="C8530" s="85">
        <v>46073.0</v>
      </c>
      <c r="D8530" s="85">
        <v>46146.0</v>
      </c>
      <c r="E8530" s="86">
        <v>7.91</v>
      </c>
      <c r="F8530" s="87">
        <v>9.75</v>
      </c>
      <c r="G8530" s="88">
        <f t="shared" si="23"/>
        <v>1.84</v>
      </c>
      <c r="H8530" s="89">
        <f t="shared" si="18"/>
        <v>0.1887179487</v>
      </c>
      <c r="I8530" s="78" t="s">
        <v>9700</v>
      </c>
      <c r="J8530" s="78" t="s">
        <v>69</v>
      </c>
      <c r="K8530" s="58">
        <f t="shared" si="17"/>
        <v>73</v>
      </c>
      <c r="L8530" s="91" t="str">
        <f t="shared" si="8"/>
        <v>Mon</v>
      </c>
      <c r="M8530" s="78" t="str">
        <f>IFERROR(VLOOKUP(A8530, Entries!A:B,2,false),"")</f>
        <v/>
      </c>
      <c r="N8530" s="23" t="str">
        <f>IFERROR(VLOOKUP(A8530, Entries!A:K,11,false),"")</f>
        <v/>
      </c>
    </row>
    <row r="8531">
      <c r="A8531" s="78" t="s">
        <v>3738</v>
      </c>
      <c r="B8531" s="78" t="s">
        <v>22</v>
      </c>
      <c r="C8531" s="85">
        <v>46073.0</v>
      </c>
      <c r="D8531" s="85">
        <v>46089.0</v>
      </c>
      <c r="E8531" s="86">
        <v>15.28</v>
      </c>
      <c r="F8531" s="87">
        <v>16.78</v>
      </c>
      <c r="G8531" s="88">
        <f t="shared" si="23"/>
        <v>1.5</v>
      </c>
      <c r="H8531" s="89">
        <f t="shared" si="18"/>
        <v>0.08939213349</v>
      </c>
      <c r="I8531" s="78" t="s">
        <v>9701</v>
      </c>
      <c r="J8531" s="78" t="s">
        <v>69</v>
      </c>
      <c r="K8531" s="58">
        <f t="shared" si="17"/>
        <v>16</v>
      </c>
      <c r="L8531" s="91" t="str">
        <f t="shared" si="8"/>
        <v>Sun</v>
      </c>
      <c r="M8531" s="78" t="str">
        <f>IFERROR(VLOOKUP(A8531, Entries!A:B,2,false),"")</f>
        <v>Square Enix</v>
      </c>
      <c r="N8531" s="23" t="str">
        <f>IFERROR(VLOOKUP(A8531, Entries!A:K,11,false),"")</f>
        <v/>
      </c>
    </row>
    <row r="8532">
      <c r="A8532" s="78" t="s">
        <v>9702</v>
      </c>
      <c r="B8532" s="78" t="s">
        <v>40</v>
      </c>
      <c r="C8532" s="85">
        <v>46074.0</v>
      </c>
      <c r="D8532" s="85">
        <v>46146.0</v>
      </c>
      <c r="E8532" s="86">
        <v>45.62</v>
      </c>
      <c r="F8532" s="87">
        <v>36.89</v>
      </c>
      <c r="G8532" s="88">
        <f t="shared" si="23"/>
        <v>-8.73</v>
      </c>
      <c r="H8532" s="89">
        <f t="shared" si="18"/>
        <v>-0.2366494985</v>
      </c>
      <c r="I8532" s="78" t="s">
        <v>9703</v>
      </c>
      <c r="J8532" s="78" t="s">
        <v>69</v>
      </c>
      <c r="K8532" s="58">
        <f t="shared" si="17"/>
        <v>72</v>
      </c>
      <c r="L8532" s="91" t="str">
        <f t="shared" si="8"/>
        <v>Mon</v>
      </c>
      <c r="M8532" s="78" t="str">
        <f>IFERROR(VLOOKUP(A8532, Entries!A:B,2,false),"")</f>
        <v/>
      </c>
      <c r="N8532" s="23" t="str">
        <f>IFERROR(VLOOKUP(A8532, Entries!A:K,11,false),"")</f>
        <v/>
      </c>
    </row>
    <row r="8533">
      <c r="A8533" s="78" t="s">
        <v>9696</v>
      </c>
      <c r="B8533" s="78" t="s">
        <v>27</v>
      </c>
      <c r="C8533" s="85">
        <v>46075.0</v>
      </c>
      <c r="D8533" s="25"/>
      <c r="E8533" s="86">
        <v>46.39</v>
      </c>
      <c r="F8533" s="88"/>
      <c r="G8533" s="88">
        <f t="shared" si="23"/>
        <v>-46.39</v>
      </c>
      <c r="H8533" s="89" t="str">
        <f t="shared" si="18"/>
        <v/>
      </c>
      <c r="I8533" s="78" t="s">
        <v>9704</v>
      </c>
      <c r="J8533" s="78" t="s">
        <v>1129</v>
      </c>
      <c r="K8533" s="58" t="str">
        <f t="shared" si="17"/>
        <v/>
      </c>
      <c r="L8533" s="91" t="str">
        <f t="shared" si="8"/>
        <v/>
      </c>
      <c r="M8533" s="78" t="str">
        <f>IFERROR(VLOOKUP(A8533, Entries!A:B,2,false),"")</f>
        <v/>
      </c>
      <c r="N8533" s="23" t="str">
        <f>IFERROR(VLOOKUP(A8533, Entries!A:K,11,false),"")</f>
        <v/>
      </c>
    </row>
    <row r="8534">
      <c r="A8534" s="78" t="s">
        <v>9475</v>
      </c>
      <c r="B8534" s="78" t="s">
        <v>27</v>
      </c>
      <c r="C8534" s="85">
        <v>46076.0</v>
      </c>
      <c r="D8534" s="85">
        <v>46076.0</v>
      </c>
      <c r="E8534" s="86">
        <v>12.59</v>
      </c>
      <c r="F8534" s="87">
        <v>17.12</v>
      </c>
      <c r="G8534" s="88">
        <f t="shared" si="23"/>
        <v>4.53</v>
      </c>
      <c r="H8534" s="89">
        <f t="shared" si="18"/>
        <v>0.2646028037</v>
      </c>
      <c r="I8534" s="78" t="s">
        <v>9705</v>
      </c>
      <c r="J8534" s="78" t="s">
        <v>69</v>
      </c>
      <c r="K8534" s="58">
        <f t="shared" si="17"/>
        <v>0</v>
      </c>
      <c r="L8534" s="91" t="str">
        <f t="shared" si="8"/>
        <v>Mon</v>
      </c>
      <c r="M8534" s="78" t="str">
        <f>IFERROR(VLOOKUP(A8534, Entries!A:B,2,false),"")</f>
        <v/>
      </c>
      <c r="N8534" s="23" t="str">
        <f>IFERROR(VLOOKUP(A8534, Entries!A:K,11,false),"")</f>
        <v/>
      </c>
    </row>
    <row r="8535">
      <c r="A8535" s="78" t="s">
        <v>9475</v>
      </c>
      <c r="B8535" s="78" t="s">
        <v>27</v>
      </c>
      <c r="C8535" s="85">
        <v>46077.0</v>
      </c>
      <c r="D8535" s="85">
        <v>46080.0</v>
      </c>
      <c r="E8535" s="86">
        <v>12.59</v>
      </c>
      <c r="F8535" s="87">
        <v>13.76</v>
      </c>
      <c r="G8535" s="88">
        <f t="shared" si="23"/>
        <v>1.17</v>
      </c>
      <c r="H8535" s="89">
        <f t="shared" si="18"/>
        <v>0.08502906977</v>
      </c>
      <c r="I8535" s="78" t="s">
        <v>9706</v>
      </c>
      <c r="J8535" s="78" t="s">
        <v>69</v>
      </c>
      <c r="K8535" s="58">
        <f t="shared" si="17"/>
        <v>3</v>
      </c>
      <c r="L8535" s="91" t="str">
        <f t="shared" si="8"/>
        <v>Fri</v>
      </c>
      <c r="M8535" s="78" t="str">
        <f>IFERROR(VLOOKUP(A8535, Entries!A:B,2,false),"")</f>
        <v/>
      </c>
      <c r="N8535" s="23" t="str">
        <f>IFERROR(VLOOKUP(A8535, Entries!A:K,11,false),"")</f>
        <v/>
      </c>
    </row>
    <row r="8536">
      <c r="A8536" s="78" t="s">
        <v>9707</v>
      </c>
      <c r="B8536" s="78" t="s">
        <v>25</v>
      </c>
      <c r="C8536" s="85">
        <v>46077.0</v>
      </c>
      <c r="D8536" s="25"/>
      <c r="E8536" s="86">
        <v>19.61</v>
      </c>
      <c r="F8536" s="88"/>
      <c r="G8536" s="88">
        <f t="shared" si="23"/>
        <v>-19.61</v>
      </c>
      <c r="H8536" s="89" t="str">
        <f t="shared" si="18"/>
        <v/>
      </c>
      <c r="I8536" s="78" t="s">
        <v>9708</v>
      </c>
      <c r="J8536" s="78" t="s">
        <v>1129</v>
      </c>
      <c r="K8536" s="58" t="str">
        <f t="shared" si="17"/>
        <v/>
      </c>
      <c r="L8536" s="91" t="str">
        <f t="shared" si="8"/>
        <v/>
      </c>
      <c r="M8536" s="78" t="str">
        <f>IFERROR(VLOOKUP(A8536, Entries!A:B,2,false),"")</f>
        <v/>
      </c>
      <c r="N8536" s="23" t="str">
        <f>IFERROR(VLOOKUP(A8536, Entries!A:K,11,false),"")</f>
        <v/>
      </c>
    </row>
    <row r="8537">
      <c r="A8537" s="78" t="s">
        <v>9709</v>
      </c>
      <c r="B8537" s="78" t="s">
        <v>32</v>
      </c>
      <c r="C8537" s="85">
        <v>46077.0</v>
      </c>
      <c r="D8537" s="85">
        <v>46078.0</v>
      </c>
      <c r="E8537" s="86">
        <v>28.83</v>
      </c>
      <c r="F8537" s="87">
        <v>31.37</v>
      </c>
      <c r="G8537" s="88">
        <f t="shared" si="23"/>
        <v>2.54</v>
      </c>
      <c r="H8537" s="89">
        <f t="shared" si="18"/>
        <v>0.08096907874</v>
      </c>
      <c r="I8537" s="78" t="s">
        <v>9257</v>
      </c>
      <c r="J8537" s="78" t="s">
        <v>69</v>
      </c>
      <c r="K8537" s="58">
        <f t="shared" si="17"/>
        <v>1</v>
      </c>
      <c r="L8537" s="91" t="str">
        <f t="shared" si="8"/>
        <v>Wed</v>
      </c>
      <c r="M8537" s="78" t="str">
        <f>IFERROR(VLOOKUP(A8537, Entries!A:B,2,false),"")</f>
        <v/>
      </c>
      <c r="N8537" s="23" t="str">
        <f>IFERROR(VLOOKUP(A8537, Entries!A:K,11,false),"")</f>
        <v/>
      </c>
    </row>
    <row r="8538">
      <c r="A8538" s="78" t="s">
        <v>9709</v>
      </c>
      <c r="B8538" s="78" t="s">
        <v>32</v>
      </c>
      <c r="C8538" s="85">
        <v>46077.0</v>
      </c>
      <c r="D8538" s="85">
        <v>46081.0</v>
      </c>
      <c r="E8538" s="86">
        <v>28.83</v>
      </c>
      <c r="F8538" s="87">
        <v>31.4</v>
      </c>
      <c r="G8538" s="88">
        <f t="shared" si="23"/>
        <v>2.57</v>
      </c>
      <c r="H8538" s="89">
        <f t="shared" si="18"/>
        <v>0.08184713376</v>
      </c>
      <c r="I8538" s="78" t="s">
        <v>4864</v>
      </c>
      <c r="J8538" s="78" t="s">
        <v>69</v>
      </c>
      <c r="K8538" s="58">
        <f t="shared" si="17"/>
        <v>4</v>
      </c>
      <c r="L8538" s="91" t="str">
        <f t="shared" si="8"/>
        <v>Sat</v>
      </c>
      <c r="M8538" s="78" t="str">
        <f>IFERROR(VLOOKUP(A8538, Entries!A:B,2,false),"")</f>
        <v/>
      </c>
      <c r="N8538" s="23" t="str">
        <f>IFERROR(VLOOKUP(A8538, Entries!A:K,11,false),"")</f>
        <v/>
      </c>
    </row>
    <row r="8539">
      <c r="A8539" s="78" t="s">
        <v>9698</v>
      </c>
      <c r="B8539" s="78" t="s">
        <v>18</v>
      </c>
      <c r="C8539" s="85">
        <v>46077.0</v>
      </c>
      <c r="D8539" s="85">
        <v>46088.0</v>
      </c>
      <c r="E8539" s="86">
        <v>3.79</v>
      </c>
      <c r="F8539" s="87">
        <v>4.5</v>
      </c>
      <c r="G8539" s="88">
        <f t="shared" si="23"/>
        <v>0.71</v>
      </c>
      <c r="H8539" s="89">
        <f t="shared" si="18"/>
        <v>0.1577777778</v>
      </c>
      <c r="I8539" s="78" t="s">
        <v>9710</v>
      </c>
      <c r="J8539" s="78" t="s">
        <v>69</v>
      </c>
      <c r="K8539" s="58">
        <f t="shared" si="17"/>
        <v>11</v>
      </c>
      <c r="L8539" s="91" t="str">
        <f t="shared" si="8"/>
        <v>Sat</v>
      </c>
      <c r="M8539" s="78" t="str">
        <f>IFERROR(VLOOKUP(A8539, Entries!A:B,2,false),"")</f>
        <v/>
      </c>
      <c r="N8539" s="23" t="str">
        <f>IFERROR(VLOOKUP(A8539, Entries!A:K,11,false),"")</f>
        <v/>
      </c>
    </row>
    <row r="8540">
      <c r="A8540" s="78" t="s">
        <v>9698</v>
      </c>
      <c r="B8540" s="78" t="s">
        <v>18</v>
      </c>
      <c r="C8540" s="85">
        <v>46077.0</v>
      </c>
      <c r="D8540" s="85">
        <v>46093.0</v>
      </c>
      <c r="E8540" s="86">
        <v>3.79</v>
      </c>
      <c r="F8540" s="87">
        <v>4.52</v>
      </c>
      <c r="G8540" s="88">
        <f t="shared" si="23"/>
        <v>0.73</v>
      </c>
      <c r="H8540" s="89">
        <f t="shared" si="18"/>
        <v>0.1615044248</v>
      </c>
      <c r="I8540" s="78" t="s">
        <v>9711</v>
      </c>
      <c r="J8540" s="78" t="s">
        <v>69</v>
      </c>
      <c r="K8540" s="58">
        <f t="shared" si="17"/>
        <v>16</v>
      </c>
      <c r="L8540" s="91" t="str">
        <f t="shared" si="8"/>
        <v>Thu</v>
      </c>
      <c r="M8540" s="78" t="str">
        <f>IFERROR(VLOOKUP(A8540, Entries!A:B,2,false),"")</f>
        <v/>
      </c>
      <c r="N8540" s="23" t="str">
        <f>IFERROR(VLOOKUP(A8540, Entries!A:K,11,false),"")</f>
        <v/>
      </c>
    </row>
    <row r="8541">
      <c r="A8541" s="78" t="s">
        <v>9698</v>
      </c>
      <c r="B8541" s="78" t="s">
        <v>18</v>
      </c>
      <c r="C8541" s="85">
        <v>46077.0</v>
      </c>
      <c r="D8541" s="25"/>
      <c r="E8541" s="86">
        <v>3.79</v>
      </c>
      <c r="F8541" s="88"/>
      <c r="G8541" s="88">
        <f t="shared" si="23"/>
        <v>-3.79</v>
      </c>
      <c r="H8541" s="89" t="str">
        <f t="shared" si="18"/>
        <v/>
      </c>
      <c r="I8541" s="78" t="s">
        <v>9712</v>
      </c>
      <c r="J8541" s="78" t="s">
        <v>1129</v>
      </c>
      <c r="K8541" s="58" t="str">
        <f t="shared" si="17"/>
        <v/>
      </c>
      <c r="L8541" s="91" t="str">
        <f t="shared" si="8"/>
        <v/>
      </c>
      <c r="M8541" s="78" t="str">
        <f>IFERROR(VLOOKUP(A8541, Entries!A:B,2,false),"")</f>
        <v/>
      </c>
      <c r="N8541" s="23" t="str">
        <f>IFERROR(VLOOKUP(A8541, Entries!A:K,11,false),"")</f>
        <v/>
      </c>
    </row>
    <row r="8542">
      <c r="A8542" s="78" t="s">
        <v>9713</v>
      </c>
      <c r="B8542" s="78" t="s">
        <v>27</v>
      </c>
      <c r="C8542" s="85">
        <v>46080.0</v>
      </c>
      <c r="D8542" s="25"/>
      <c r="E8542" s="86">
        <v>7.49</v>
      </c>
      <c r="F8542" s="88"/>
      <c r="G8542" s="88">
        <f t="shared" si="23"/>
        <v>-7.49</v>
      </c>
      <c r="H8542" s="89" t="str">
        <f t="shared" si="18"/>
        <v/>
      </c>
      <c r="I8542" s="78" t="s">
        <v>9714</v>
      </c>
      <c r="J8542" s="78" t="s">
        <v>1129</v>
      </c>
      <c r="K8542" s="58" t="str">
        <f t="shared" si="17"/>
        <v/>
      </c>
      <c r="L8542" s="91" t="str">
        <f t="shared" si="8"/>
        <v/>
      </c>
      <c r="M8542" s="78" t="str">
        <f>IFERROR(VLOOKUP(A8542, Entries!A:B,2,false),"")</f>
        <v/>
      </c>
      <c r="N8542" s="23" t="str">
        <f>IFERROR(VLOOKUP(A8542, Entries!A:K,11,false),"")</f>
        <v/>
      </c>
    </row>
    <row r="8543">
      <c r="A8543" s="78" t="s">
        <v>9475</v>
      </c>
      <c r="B8543" s="78" t="s">
        <v>27</v>
      </c>
      <c r="C8543" s="85">
        <v>46080.0</v>
      </c>
      <c r="D8543" s="85">
        <v>46080.0</v>
      </c>
      <c r="E8543" s="86">
        <v>12.59</v>
      </c>
      <c r="F8543" s="87">
        <v>13.77</v>
      </c>
      <c r="G8543" s="88">
        <f t="shared" si="23"/>
        <v>1.18</v>
      </c>
      <c r="H8543" s="89">
        <f t="shared" si="18"/>
        <v>0.08569353667</v>
      </c>
      <c r="I8543" s="78" t="s">
        <v>9715</v>
      </c>
      <c r="J8543" s="78" t="s">
        <v>69</v>
      </c>
      <c r="K8543" s="58">
        <f t="shared" si="17"/>
        <v>0</v>
      </c>
      <c r="L8543" s="91" t="str">
        <f t="shared" si="8"/>
        <v>Fri</v>
      </c>
      <c r="M8543" s="78" t="str">
        <f>IFERROR(VLOOKUP(A8543, Entries!A:B,2,false),"")</f>
        <v/>
      </c>
      <c r="N8543" s="23" t="str">
        <f>IFERROR(VLOOKUP(A8543, Entries!A:K,11,false),"")</f>
        <v/>
      </c>
    </row>
    <row r="8544">
      <c r="A8544" s="78" t="s">
        <v>9475</v>
      </c>
      <c r="B8544" s="78" t="s">
        <v>27</v>
      </c>
      <c r="C8544" s="85">
        <v>46080.0</v>
      </c>
      <c r="D8544" s="85">
        <v>46080.0</v>
      </c>
      <c r="E8544" s="86">
        <v>12.59</v>
      </c>
      <c r="F8544" s="87">
        <v>13.77</v>
      </c>
      <c r="G8544" s="88">
        <f t="shared" si="23"/>
        <v>1.18</v>
      </c>
      <c r="H8544" s="89">
        <f t="shared" si="18"/>
        <v>0.08569353667</v>
      </c>
      <c r="I8544" s="78" t="s">
        <v>9716</v>
      </c>
      <c r="J8544" s="78" t="s">
        <v>69</v>
      </c>
      <c r="K8544" s="58">
        <f t="shared" si="17"/>
        <v>0</v>
      </c>
      <c r="L8544" s="91" t="str">
        <f t="shared" si="8"/>
        <v>Fri</v>
      </c>
      <c r="M8544" s="78" t="str">
        <f>IFERROR(VLOOKUP(A8544, Entries!A:B,2,false),"")</f>
        <v/>
      </c>
      <c r="N8544" s="23" t="str">
        <f>IFERROR(VLOOKUP(A8544, Entries!A:K,11,false),"")</f>
        <v/>
      </c>
    </row>
    <row r="8545">
      <c r="A8545" s="78" t="s">
        <v>9475</v>
      </c>
      <c r="B8545" s="78" t="s">
        <v>27</v>
      </c>
      <c r="C8545" s="85">
        <v>46080.0</v>
      </c>
      <c r="D8545" s="85">
        <v>46081.0</v>
      </c>
      <c r="E8545" s="86">
        <v>12.59</v>
      </c>
      <c r="F8545" s="87">
        <v>13.77</v>
      </c>
      <c r="G8545" s="88">
        <f t="shared" si="23"/>
        <v>1.18</v>
      </c>
      <c r="H8545" s="89">
        <f t="shared" si="18"/>
        <v>0.08569353667</v>
      </c>
      <c r="I8545" s="78" t="s">
        <v>9717</v>
      </c>
      <c r="J8545" s="78" t="s">
        <v>69</v>
      </c>
      <c r="K8545" s="58">
        <f t="shared" si="17"/>
        <v>1</v>
      </c>
      <c r="L8545" s="91" t="str">
        <f t="shared" si="8"/>
        <v>Sat</v>
      </c>
      <c r="M8545" s="78" t="str">
        <f>IFERROR(VLOOKUP(A8545, Entries!A:B,2,false),"")</f>
        <v/>
      </c>
      <c r="N8545" s="23" t="str">
        <f>IFERROR(VLOOKUP(A8545, Entries!A:K,11,false),"")</f>
        <v/>
      </c>
    </row>
    <row r="8546">
      <c r="A8546" s="78" t="s">
        <v>9475</v>
      </c>
      <c r="B8546" s="78" t="s">
        <v>27</v>
      </c>
      <c r="C8546" s="85">
        <v>46081.0</v>
      </c>
      <c r="D8546" s="85">
        <v>46084.0</v>
      </c>
      <c r="E8546" s="86">
        <v>12.59</v>
      </c>
      <c r="F8546" s="87">
        <v>13.66</v>
      </c>
      <c r="G8546" s="88">
        <f t="shared" si="23"/>
        <v>1.07</v>
      </c>
      <c r="H8546" s="89">
        <f t="shared" si="18"/>
        <v>0.07833089312</v>
      </c>
      <c r="I8546" s="78" t="s">
        <v>9718</v>
      </c>
      <c r="J8546" s="78" t="s">
        <v>69</v>
      </c>
      <c r="K8546" s="58">
        <f t="shared" si="17"/>
        <v>3</v>
      </c>
      <c r="L8546" s="91" t="str">
        <f t="shared" si="8"/>
        <v>Tue</v>
      </c>
      <c r="M8546" s="78" t="str">
        <f>IFERROR(VLOOKUP(A8546, Entries!A:B,2,false),"")</f>
        <v/>
      </c>
      <c r="N8546" s="23" t="str">
        <f>IFERROR(VLOOKUP(A8546, Entries!A:K,11,false),"")</f>
        <v/>
      </c>
    </row>
    <row r="8547">
      <c r="A8547" s="78" t="s">
        <v>9047</v>
      </c>
      <c r="B8547" s="78" t="s">
        <v>21</v>
      </c>
      <c r="C8547" s="85">
        <v>46081.0</v>
      </c>
      <c r="D8547" s="25"/>
      <c r="E8547" s="86">
        <v>27.07</v>
      </c>
      <c r="F8547" s="88"/>
      <c r="G8547" s="88">
        <f t="shared" si="23"/>
        <v>-27.07</v>
      </c>
      <c r="H8547" s="89" t="str">
        <f t="shared" si="18"/>
        <v/>
      </c>
      <c r="I8547" s="78" t="s">
        <v>9719</v>
      </c>
      <c r="J8547" s="78" t="s">
        <v>1129</v>
      </c>
      <c r="K8547" s="58" t="str">
        <f t="shared" si="17"/>
        <v/>
      </c>
      <c r="L8547" s="91" t="str">
        <f t="shared" si="8"/>
        <v/>
      </c>
      <c r="M8547" s="78" t="str">
        <f>IFERROR(VLOOKUP(A8547, Entries!A:B,2,false),"")</f>
        <v/>
      </c>
      <c r="N8547" s="23" t="str">
        <f>IFERROR(VLOOKUP(A8547, Entries!A:K,11,false),"")</f>
        <v/>
      </c>
    </row>
    <row r="8548">
      <c r="A8548" s="78" t="s">
        <v>9047</v>
      </c>
      <c r="B8548" s="78" t="s">
        <v>21</v>
      </c>
      <c r="C8548" s="85">
        <v>46081.0</v>
      </c>
      <c r="D8548" s="25"/>
      <c r="E8548" s="86">
        <v>27.08</v>
      </c>
      <c r="F8548" s="88"/>
      <c r="G8548" s="88">
        <f t="shared" si="23"/>
        <v>-27.08</v>
      </c>
      <c r="H8548" s="89" t="str">
        <f t="shared" si="18"/>
        <v/>
      </c>
      <c r="I8548" s="78" t="s">
        <v>9720</v>
      </c>
      <c r="J8548" s="78" t="s">
        <v>1129</v>
      </c>
      <c r="K8548" s="58" t="str">
        <f t="shared" si="17"/>
        <v/>
      </c>
      <c r="L8548" s="91" t="str">
        <f t="shared" si="8"/>
        <v/>
      </c>
      <c r="M8548" s="78" t="str">
        <f>IFERROR(VLOOKUP(A8548, Entries!A:B,2,false),"")</f>
        <v/>
      </c>
      <c r="N8548" s="23" t="str">
        <f>IFERROR(VLOOKUP(A8548, Entries!A:K,11,false),"")</f>
        <v/>
      </c>
    </row>
    <row r="8549">
      <c r="A8549" s="78" t="s">
        <v>9475</v>
      </c>
      <c r="B8549" s="78" t="s">
        <v>27</v>
      </c>
      <c r="C8549" s="85">
        <v>46084.0</v>
      </c>
      <c r="D8549" s="85">
        <v>46086.0</v>
      </c>
      <c r="E8549" s="86">
        <v>12.59</v>
      </c>
      <c r="F8549" s="87">
        <v>15.04</v>
      </c>
      <c r="G8549" s="88">
        <f t="shared" si="23"/>
        <v>2.45</v>
      </c>
      <c r="H8549" s="89">
        <f t="shared" si="18"/>
        <v>0.1628989362</v>
      </c>
      <c r="J8549" s="78" t="s">
        <v>69</v>
      </c>
      <c r="K8549" s="58">
        <f t="shared" si="17"/>
        <v>2</v>
      </c>
      <c r="L8549" s="91" t="str">
        <f t="shared" si="8"/>
        <v>Thu</v>
      </c>
      <c r="M8549" s="78" t="str">
        <f>IFERROR(VLOOKUP(A8549, Entries!A:B,2,false),"")</f>
        <v/>
      </c>
      <c r="N8549" s="23" t="str">
        <f>IFERROR(VLOOKUP(A8549, Entries!A:K,11,false),"")</f>
        <v/>
      </c>
    </row>
    <row r="8550">
      <c r="A8550" s="78" t="s">
        <v>9632</v>
      </c>
      <c r="B8550" s="78" t="s">
        <v>21</v>
      </c>
      <c r="C8550" s="85">
        <v>46085.0</v>
      </c>
      <c r="D8550" s="85">
        <v>46111.0</v>
      </c>
      <c r="E8550" s="86">
        <v>30.69</v>
      </c>
      <c r="F8550" s="87">
        <v>50.1</v>
      </c>
      <c r="G8550" s="88">
        <f t="shared" si="23"/>
        <v>19.41</v>
      </c>
      <c r="H8550" s="89">
        <f t="shared" si="18"/>
        <v>0.3874251497</v>
      </c>
      <c r="I8550" s="78" t="s">
        <v>9721</v>
      </c>
      <c r="J8550" s="78" t="s">
        <v>69</v>
      </c>
      <c r="K8550" s="58">
        <f t="shared" si="17"/>
        <v>26</v>
      </c>
      <c r="L8550" s="91" t="str">
        <f t="shared" si="8"/>
        <v>Mon</v>
      </c>
      <c r="M8550" s="78" t="str">
        <f>IFERROR(VLOOKUP(A8550, Entries!A:B,2,false),"")</f>
        <v/>
      </c>
      <c r="N8550" s="23" t="str">
        <f>IFERROR(VLOOKUP(A8550, Entries!A:K,11,false),"")</f>
        <v/>
      </c>
    </row>
    <row r="8551">
      <c r="A8551" s="78" t="s">
        <v>9632</v>
      </c>
      <c r="B8551" s="78" t="s">
        <v>21</v>
      </c>
      <c r="C8551" s="85">
        <v>46085.0</v>
      </c>
      <c r="D8551" s="85">
        <v>46118.0</v>
      </c>
      <c r="E8551" s="86">
        <v>33.12</v>
      </c>
      <c r="F8551" s="87">
        <v>49.6</v>
      </c>
      <c r="G8551" s="88">
        <f t="shared" si="23"/>
        <v>16.48</v>
      </c>
      <c r="H8551" s="89">
        <f t="shared" si="18"/>
        <v>0.3322580645</v>
      </c>
      <c r="I8551" s="78" t="s">
        <v>9722</v>
      </c>
      <c r="J8551" s="78" t="s">
        <v>69</v>
      </c>
      <c r="K8551" s="58">
        <f t="shared" si="17"/>
        <v>33</v>
      </c>
      <c r="L8551" s="91" t="str">
        <f t="shared" si="8"/>
        <v>Mon</v>
      </c>
      <c r="M8551" s="78" t="str">
        <f>IFERROR(VLOOKUP(A8551, Entries!A:B,2,false),"")</f>
        <v/>
      </c>
      <c r="N8551" s="23" t="str">
        <f>IFERROR(VLOOKUP(A8551, Entries!A:K,11,false),"")</f>
        <v/>
      </c>
    </row>
    <row r="8552">
      <c r="A8552" s="78" t="s">
        <v>9632</v>
      </c>
      <c r="B8552" s="78" t="s">
        <v>25</v>
      </c>
      <c r="C8552" s="85">
        <v>46085.0</v>
      </c>
      <c r="D8552" s="85">
        <v>46158.0</v>
      </c>
      <c r="E8552" s="86">
        <v>33.46</v>
      </c>
      <c r="F8552" s="87">
        <v>47.24</v>
      </c>
      <c r="G8552" s="88">
        <f t="shared" si="23"/>
        <v>13.78</v>
      </c>
      <c r="H8552" s="89">
        <f t="shared" si="18"/>
        <v>0.2917019475</v>
      </c>
      <c r="I8552" s="78" t="s">
        <v>9723</v>
      </c>
      <c r="J8552" s="78" t="s">
        <v>69</v>
      </c>
      <c r="K8552" s="58">
        <f t="shared" si="17"/>
        <v>73</v>
      </c>
      <c r="L8552" s="91" t="str">
        <f t="shared" si="8"/>
        <v>Sat</v>
      </c>
      <c r="M8552" s="78" t="str">
        <f>IFERROR(VLOOKUP(A8552, Entries!A:B,2,false),"")</f>
        <v/>
      </c>
      <c r="N8552" s="23" t="str">
        <f>IFERROR(VLOOKUP(A8552, Entries!A:K,11,false),"")</f>
        <v/>
      </c>
    </row>
    <row r="8553">
      <c r="A8553" s="78" t="s">
        <v>9153</v>
      </c>
      <c r="B8553" s="78" t="s">
        <v>27</v>
      </c>
      <c r="C8553" s="85">
        <v>46086.0</v>
      </c>
      <c r="D8553" s="85">
        <v>46096.0</v>
      </c>
      <c r="E8553" s="86">
        <v>24.09</v>
      </c>
      <c r="F8553" s="87">
        <v>26.08</v>
      </c>
      <c r="G8553" s="88">
        <f t="shared" si="23"/>
        <v>1.99</v>
      </c>
      <c r="H8553" s="89">
        <f t="shared" si="18"/>
        <v>0.07630368098</v>
      </c>
      <c r="J8553" s="78" t="s">
        <v>69</v>
      </c>
      <c r="K8553" s="58">
        <f t="shared" si="17"/>
        <v>10</v>
      </c>
      <c r="L8553" s="91" t="str">
        <f t="shared" si="8"/>
        <v>Sun</v>
      </c>
      <c r="M8553" s="78" t="str">
        <f>IFERROR(VLOOKUP(A8553, Entries!A:B,2,false),"")</f>
        <v/>
      </c>
      <c r="N8553" s="23" t="str">
        <f>IFERROR(VLOOKUP(A8553, Entries!A:K,11,false),"")</f>
        <v/>
      </c>
    </row>
    <row r="8554">
      <c r="A8554" s="78" t="s">
        <v>9475</v>
      </c>
      <c r="B8554" s="78" t="s">
        <v>27</v>
      </c>
      <c r="C8554" s="85">
        <v>46086.0</v>
      </c>
      <c r="D8554" s="85">
        <v>46091.0</v>
      </c>
      <c r="E8554" s="86">
        <v>12.59</v>
      </c>
      <c r="F8554" s="87">
        <v>14.92</v>
      </c>
      <c r="G8554" s="88">
        <f t="shared" si="23"/>
        <v>2.33</v>
      </c>
      <c r="H8554" s="89">
        <f t="shared" si="18"/>
        <v>0.1561662198</v>
      </c>
      <c r="I8554" s="78" t="s">
        <v>9724</v>
      </c>
      <c r="J8554" s="78" t="s">
        <v>69</v>
      </c>
      <c r="K8554" s="58">
        <f t="shared" si="17"/>
        <v>5</v>
      </c>
      <c r="L8554" s="91" t="str">
        <f t="shared" si="8"/>
        <v>Tue</v>
      </c>
      <c r="M8554" s="78" t="str">
        <f>IFERROR(VLOOKUP(A8554, Entries!A:B,2,false),"")</f>
        <v/>
      </c>
      <c r="N8554" s="23" t="str">
        <f>IFERROR(VLOOKUP(A8554, Entries!A:K,11,false),"")</f>
        <v/>
      </c>
    </row>
    <row r="8555">
      <c r="A8555" s="78" t="s">
        <v>4966</v>
      </c>
      <c r="B8555" s="78" t="s">
        <v>21</v>
      </c>
      <c r="C8555" s="85">
        <v>46086.0</v>
      </c>
      <c r="D8555" s="85">
        <v>46089.0</v>
      </c>
      <c r="E8555" s="86">
        <v>13.11</v>
      </c>
      <c r="F8555" s="87">
        <v>14.2</v>
      </c>
      <c r="G8555" s="88">
        <f t="shared" si="23"/>
        <v>1.09</v>
      </c>
      <c r="H8555" s="89">
        <f t="shared" si="18"/>
        <v>0.07676056338</v>
      </c>
      <c r="I8555" s="78" t="s">
        <v>9725</v>
      </c>
      <c r="J8555" s="78" t="s">
        <v>69</v>
      </c>
      <c r="K8555" s="58">
        <f t="shared" si="17"/>
        <v>3</v>
      </c>
      <c r="L8555" s="91" t="str">
        <f t="shared" si="8"/>
        <v>Sun</v>
      </c>
      <c r="M8555" s="78" t="str">
        <f>IFERROR(VLOOKUP(A8555, Entries!A:B,2,false),"")</f>
        <v>Hello Games</v>
      </c>
      <c r="N8555" s="23" t="str">
        <f>IFERROR(VLOOKUP(A8555, Entries!A:K,11,false),"")</f>
        <v/>
      </c>
    </row>
    <row r="8556">
      <c r="A8556" s="78" t="s">
        <v>4966</v>
      </c>
      <c r="B8556" s="78" t="s">
        <v>21</v>
      </c>
      <c r="C8556" s="85">
        <v>46086.0</v>
      </c>
      <c r="D8556" s="85">
        <v>46089.0</v>
      </c>
      <c r="E8556" s="86">
        <v>13.11</v>
      </c>
      <c r="F8556" s="87">
        <v>14.2</v>
      </c>
      <c r="G8556" s="88">
        <f t="shared" si="23"/>
        <v>1.09</v>
      </c>
      <c r="H8556" s="89">
        <f t="shared" si="18"/>
        <v>0.07676056338</v>
      </c>
      <c r="I8556" s="78" t="s">
        <v>9726</v>
      </c>
      <c r="J8556" s="78" t="s">
        <v>69</v>
      </c>
      <c r="K8556" s="58">
        <f t="shared" si="17"/>
        <v>3</v>
      </c>
      <c r="L8556" s="91" t="str">
        <f t="shared" si="8"/>
        <v>Sun</v>
      </c>
      <c r="M8556" s="78" t="str">
        <f>IFERROR(VLOOKUP(A8556, Entries!A:B,2,false),"")</f>
        <v>Hello Games</v>
      </c>
      <c r="N8556" s="23" t="str">
        <f>IFERROR(VLOOKUP(A8556, Entries!A:K,11,false),"")</f>
        <v/>
      </c>
    </row>
    <row r="8557">
      <c r="A8557" s="78" t="s">
        <v>4966</v>
      </c>
      <c r="B8557" s="78" t="s">
        <v>21</v>
      </c>
      <c r="C8557" s="85">
        <v>46086.0</v>
      </c>
      <c r="D8557" s="85">
        <v>46091.0</v>
      </c>
      <c r="E8557" s="86">
        <v>13.11</v>
      </c>
      <c r="F8557" s="87">
        <v>14.4</v>
      </c>
      <c r="G8557" s="88">
        <f t="shared" si="23"/>
        <v>1.29</v>
      </c>
      <c r="H8557" s="89">
        <f t="shared" si="18"/>
        <v>0.08958333333</v>
      </c>
      <c r="I8557" s="78" t="s">
        <v>9727</v>
      </c>
      <c r="J8557" s="78" t="s">
        <v>69</v>
      </c>
      <c r="K8557" s="58">
        <f t="shared" si="17"/>
        <v>5</v>
      </c>
      <c r="L8557" s="91" t="str">
        <f t="shared" si="8"/>
        <v>Tue</v>
      </c>
      <c r="M8557" s="78" t="str">
        <f>IFERROR(VLOOKUP(A8557, Entries!A:B,2,false),"")</f>
        <v>Hello Games</v>
      </c>
      <c r="N8557" s="23" t="str">
        <f>IFERROR(VLOOKUP(A8557, Entries!A:K,11,false),"")</f>
        <v/>
      </c>
    </row>
    <row r="8558">
      <c r="A8558" s="78" t="s">
        <v>9728</v>
      </c>
      <c r="B8558" s="78" t="s">
        <v>32</v>
      </c>
      <c r="C8558" s="85">
        <v>46087.0</v>
      </c>
      <c r="D8558" s="85">
        <v>46087.0</v>
      </c>
      <c r="E8558" s="86">
        <v>27.82</v>
      </c>
      <c r="F8558" s="87">
        <v>32.3</v>
      </c>
      <c r="G8558" s="88">
        <f t="shared" si="23"/>
        <v>4.48</v>
      </c>
      <c r="H8558" s="89">
        <f t="shared" si="18"/>
        <v>0.1386996904</v>
      </c>
      <c r="I8558" s="78" t="s">
        <v>9729</v>
      </c>
      <c r="J8558" s="78" t="s">
        <v>69</v>
      </c>
      <c r="K8558" s="58">
        <f t="shared" si="17"/>
        <v>0</v>
      </c>
      <c r="L8558" s="91" t="str">
        <f t="shared" si="8"/>
        <v>Fri</v>
      </c>
      <c r="M8558" s="78" t="str">
        <f>IFERROR(VLOOKUP(A8558, Entries!A:B,2,false),"")</f>
        <v/>
      </c>
      <c r="N8558" s="23" t="str">
        <f>IFERROR(VLOOKUP(A8558, Entries!A:K,11,false),"")</f>
        <v/>
      </c>
    </row>
    <row r="8559">
      <c r="A8559" s="78" t="s">
        <v>8598</v>
      </c>
      <c r="B8559" s="78" t="s">
        <v>40</v>
      </c>
      <c r="C8559" s="85">
        <v>46090.0</v>
      </c>
      <c r="D8559" s="85">
        <v>46096.0</v>
      </c>
      <c r="E8559" s="86">
        <v>6.96</v>
      </c>
      <c r="F8559" s="87">
        <v>7.23</v>
      </c>
      <c r="G8559" s="88">
        <f t="shared" si="23"/>
        <v>0.27</v>
      </c>
      <c r="H8559" s="89">
        <f t="shared" si="18"/>
        <v>0.03734439834</v>
      </c>
      <c r="I8559" s="78" t="s">
        <v>9730</v>
      </c>
      <c r="J8559" s="78" t="s">
        <v>69</v>
      </c>
      <c r="K8559" s="58">
        <f t="shared" si="17"/>
        <v>6</v>
      </c>
      <c r="L8559" s="91" t="str">
        <f t="shared" si="8"/>
        <v>Sun</v>
      </c>
      <c r="M8559" s="78" t="str">
        <f>IFERROR(VLOOKUP(A8559, Entries!A:B,2,false),"")</f>
        <v/>
      </c>
      <c r="N8559" s="23" t="str">
        <f>IFERROR(VLOOKUP(A8559, Entries!A:K,11,false),"")</f>
        <v/>
      </c>
    </row>
    <row r="8560">
      <c r="A8560" s="78" t="s">
        <v>9651</v>
      </c>
      <c r="B8560" s="78" t="s">
        <v>27</v>
      </c>
      <c r="C8560" s="85">
        <v>46090.0</v>
      </c>
      <c r="D8560" s="85">
        <v>46124.0</v>
      </c>
      <c r="E8560" s="86">
        <v>15.39</v>
      </c>
      <c r="F8560" s="87">
        <v>16.34</v>
      </c>
      <c r="G8560" s="88">
        <f t="shared" si="23"/>
        <v>0.95</v>
      </c>
      <c r="H8560" s="89">
        <f t="shared" si="18"/>
        <v>0.05813953488</v>
      </c>
      <c r="I8560" s="78" t="s">
        <v>9731</v>
      </c>
      <c r="J8560" s="78" t="s">
        <v>69</v>
      </c>
      <c r="K8560" s="58">
        <f t="shared" si="17"/>
        <v>34</v>
      </c>
      <c r="L8560" s="91" t="str">
        <f t="shared" si="8"/>
        <v>Sun</v>
      </c>
      <c r="M8560" s="78" t="str">
        <f>IFERROR(VLOOKUP(A8560, Entries!A:B,2,false),"")</f>
        <v/>
      </c>
      <c r="N8560" s="23" t="str">
        <f>IFERROR(VLOOKUP(A8560, Entries!A:K,11,false),"")</f>
        <v/>
      </c>
    </row>
    <row r="8561">
      <c r="A8561" s="78" t="s">
        <v>9475</v>
      </c>
      <c r="B8561" s="78" t="s">
        <v>27</v>
      </c>
      <c r="C8561" s="85">
        <v>46091.0</v>
      </c>
      <c r="D8561" s="85">
        <v>46095.0</v>
      </c>
      <c r="E8561" s="86">
        <v>12.59</v>
      </c>
      <c r="F8561" s="87">
        <v>13.77</v>
      </c>
      <c r="G8561" s="88">
        <f t="shared" si="23"/>
        <v>1.18</v>
      </c>
      <c r="H8561" s="89">
        <f t="shared" si="18"/>
        <v>0.08569353667</v>
      </c>
      <c r="I8561" s="78" t="s">
        <v>9732</v>
      </c>
      <c r="J8561" s="78" t="s">
        <v>69</v>
      </c>
      <c r="K8561" s="58">
        <f t="shared" si="17"/>
        <v>4</v>
      </c>
      <c r="L8561" s="91" t="str">
        <f t="shared" si="8"/>
        <v>Sat</v>
      </c>
      <c r="M8561" s="78" t="str">
        <f>IFERROR(VLOOKUP(A8561, Entries!A:B,2,false),"")</f>
        <v/>
      </c>
      <c r="N8561" s="23" t="str">
        <f>IFERROR(VLOOKUP(A8561, Entries!A:K,11,false),"")</f>
        <v/>
      </c>
    </row>
    <row r="8562">
      <c r="A8562" s="78" t="s">
        <v>5768</v>
      </c>
      <c r="B8562" s="78" t="s">
        <v>19</v>
      </c>
      <c r="C8562" s="85">
        <v>46096.0</v>
      </c>
      <c r="D8562" s="85">
        <v>46096.0</v>
      </c>
      <c r="E8562" s="86">
        <v>18.25</v>
      </c>
      <c r="F8562" s="87">
        <v>19.69</v>
      </c>
      <c r="G8562" s="88">
        <f t="shared" si="23"/>
        <v>1.44</v>
      </c>
      <c r="H8562" s="89">
        <f t="shared" si="18"/>
        <v>0.07313357034</v>
      </c>
      <c r="I8562" s="78" t="s">
        <v>9733</v>
      </c>
      <c r="J8562" s="78" t="s">
        <v>69</v>
      </c>
      <c r="K8562" s="58">
        <f t="shared" si="17"/>
        <v>0</v>
      </c>
      <c r="L8562" s="91" t="str">
        <f t="shared" si="8"/>
        <v>Sun</v>
      </c>
      <c r="M8562" s="78" t="str">
        <f>IFERROR(VLOOKUP(A8562, Entries!A:B,2,false),"")</f>
        <v>10 Chambers</v>
      </c>
      <c r="N8562" s="23" t="str">
        <f>IFERROR(VLOOKUP(A8562, Entries!A:K,11,false),"")</f>
        <v/>
      </c>
    </row>
    <row r="8563">
      <c r="A8563" s="78" t="s">
        <v>9475</v>
      </c>
      <c r="B8563" s="78" t="s">
        <v>27</v>
      </c>
      <c r="C8563" s="85">
        <v>46096.0</v>
      </c>
      <c r="D8563" s="85">
        <v>46107.0</v>
      </c>
      <c r="E8563" s="86">
        <v>12.79</v>
      </c>
      <c r="F8563" s="87">
        <v>14.01</v>
      </c>
      <c r="G8563" s="88">
        <f t="shared" si="23"/>
        <v>1.22</v>
      </c>
      <c r="H8563" s="89">
        <f t="shared" si="18"/>
        <v>0.08708065667</v>
      </c>
      <c r="I8563" s="78" t="s">
        <v>9734</v>
      </c>
      <c r="J8563" s="78" t="s">
        <v>69</v>
      </c>
      <c r="K8563" s="58">
        <f t="shared" si="17"/>
        <v>11</v>
      </c>
      <c r="L8563" s="91" t="str">
        <f t="shared" si="8"/>
        <v>Thu</v>
      </c>
      <c r="M8563" s="78" t="str">
        <f>IFERROR(VLOOKUP(A8563, Entries!A:B,2,false),"")</f>
        <v/>
      </c>
      <c r="N8563" s="23" t="str">
        <f>IFERROR(VLOOKUP(A8563, Entries!A:K,11,false),"")</f>
        <v/>
      </c>
    </row>
    <row r="8564">
      <c r="A8564" s="78" t="s">
        <v>5768</v>
      </c>
      <c r="B8564" s="78" t="s">
        <v>19</v>
      </c>
      <c r="C8564" s="85">
        <v>46096.0</v>
      </c>
      <c r="D8564" s="85">
        <v>46098.0</v>
      </c>
      <c r="E8564" s="86">
        <v>10.25</v>
      </c>
      <c r="F8564" s="87">
        <v>17.5</v>
      </c>
      <c r="G8564" s="88">
        <f t="shared" si="23"/>
        <v>7.25</v>
      </c>
      <c r="H8564" s="89">
        <f t="shared" si="18"/>
        <v>0.4142857143</v>
      </c>
      <c r="I8564" s="78" t="s">
        <v>9735</v>
      </c>
      <c r="J8564" s="78" t="s">
        <v>69</v>
      </c>
      <c r="K8564" s="58">
        <f t="shared" si="17"/>
        <v>2</v>
      </c>
      <c r="L8564" s="91" t="str">
        <f t="shared" si="8"/>
        <v>Tue</v>
      </c>
      <c r="M8564" s="78" t="str">
        <f>IFERROR(VLOOKUP(A8564, Entries!A:B,2,false),"")</f>
        <v>10 Chambers</v>
      </c>
      <c r="N8564" s="23" t="str">
        <f>IFERROR(VLOOKUP(A8564, Entries!A:K,11,false),"")</f>
        <v/>
      </c>
    </row>
    <row r="8565">
      <c r="A8565" s="78" t="s">
        <v>5768</v>
      </c>
      <c r="B8565" s="78" t="s">
        <v>19</v>
      </c>
      <c r="C8565" s="85">
        <v>46096.0</v>
      </c>
      <c r="D8565" s="85">
        <v>46098.0</v>
      </c>
      <c r="E8565" s="86">
        <v>10.25</v>
      </c>
      <c r="F8565" s="87">
        <v>17.5</v>
      </c>
      <c r="G8565" s="88">
        <f t="shared" si="23"/>
        <v>7.25</v>
      </c>
      <c r="H8565" s="89">
        <f t="shared" si="18"/>
        <v>0.4142857143</v>
      </c>
      <c r="I8565" s="78" t="s">
        <v>9736</v>
      </c>
      <c r="J8565" s="78" t="s">
        <v>69</v>
      </c>
      <c r="K8565" s="58">
        <f t="shared" si="17"/>
        <v>2</v>
      </c>
      <c r="L8565" s="91" t="str">
        <f t="shared" si="8"/>
        <v>Tue</v>
      </c>
      <c r="M8565" s="78" t="str">
        <f>IFERROR(VLOOKUP(A8565, Entries!A:B,2,false),"")</f>
        <v>10 Chambers</v>
      </c>
      <c r="N8565" s="23" t="str">
        <f>IFERROR(VLOOKUP(A8565, Entries!A:K,11,false),"")</f>
        <v/>
      </c>
      <c r="P8565" s="78" t="s">
        <v>9737</v>
      </c>
    </row>
    <row r="8566">
      <c r="A8566" s="78" t="s">
        <v>5768</v>
      </c>
      <c r="B8566" s="78" t="s">
        <v>19</v>
      </c>
      <c r="C8566" s="85">
        <v>46097.0</v>
      </c>
      <c r="D8566" s="85">
        <v>46098.0</v>
      </c>
      <c r="E8566" s="86">
        <v>10.25</v>
      </c>
      <c r="F8566" s="87">
        <v>17.5</v>
      </c>
      <c r="G8566" s="88">
        <f t="shared" si="23"/>
        <v>7.25</v>
      </c>
      <c r="H8566" s="89">
        <f t="shared" si="18"/>
        <v>0.4142857143</v>
      </c>
      <c r="I8566" s="78" t="s">
        <v>9738</v>
      </c>
      <c r="J8566" s="78" t="s">
        <v>69</v>
      </c>
      <c r="K8566" s="58">
        <f t="shared" si="17"/>
        <v>1</v>
      </c>
      <c r="L8566" s="91" t="str">
        <f t="shared" si="8"/>
        <v>Tue</v>
      </c>
      <c r="M8566" s="78" t="str">
        <f>IFERROR(VLOOKUP(A8566, Entries!A:B,2,false),"")</f>
        <v>10 Chambers</v>
      </c>
      <c r="N8566" s="23" t="str">
        <f>IFERROR(VLOOKUP(A8566, Entries!A:K,11,false),"")</f>
        <v/>
      </c>
    </row>
    <row r="8567">
      <c r="A8567" s="78" t="s">
        <v>8316</v>
      </c>
      <c r="B8567" s="78" t="s">
        <v>21</v>
      </c>
      <c r="C8567" s="85">
        <v>46097.0</v>
      </c>
      <c r="D8567" s="85">
        <v>46118.0</v>
      </c>
      <c r="E8567" s="86">
        <v>22.6</v>
      </c>
      <c r="F8567" s="87">
        <v>26.89</v>
      </c>
      <c r="G8567" s="88">
        <f t="shared" si="23"/>
        <v>4.29</v>
      </c>
      <c r="H8567" s="89">
        <f t="shared" si="18"/>
        <v>0.159538862</v>
      </c>
      <c r="I8567" s="78" t="s">
        <v>9739</v>
      </c>
      <c r="J8567" s="78" t="s">
        <v>69</v>
      </c>
      <c r="K8567" s="58">
        <f t="shared" si="17"/>
        <v>21</v>
      </c>
      <c r="L8567" s="91" t="str">
        <f t="shared" si="8"/>
        <v>Mon</v>
      </c>
      <c r="M8567" s="78" t="str">
        <f>IFERROR(VLOOKUP(A8567, Entries!A:B,2,false),"")</f>
        <v/>
      </c>
      <c r="N8567" s="23" t="str">
        <f>IFERROR(VLOOKUP(A8567, Entries!A:K,11,false),"")</f>
        <v/>
      </c>
    </row>
    <row r="8568">
      <c r="A8568" s="78" t="s">
        <v>5768</v>
      </c>
      <c r="B8568" s="78" t="s">
        <v>19</v>
      </c>
      <c r="C8568" s="85">
        <v>46098.0</v>
      </c>
      <c r="D8568" s="85">
        <v>46100.0</v>
      </c>
      <c r="E8568" s="86">
        <v>10.25</v>
      </c>
      <c r="F8568" s="87">
        <v>17.42</v>
      </c>
      <c r="G8568" s="88">
        <f t="shared" si="23"/>
        <v>7.17</v>
      </c>
      <c r="H8568" s="89">
        <f t="shared" si="18"/>
        <v>0.4115958668</v>
      </c>
      <c r="I8568" s="78" t="s">
        <v>9740</v>
      </c>
      <c r="J8568" s="78" t="s">
        <v>69</v>
      </c>
      <c r="K8568" s="58">
        <f t="shared" si="17"/>
        <v>2</v>
      </c>
      <c r="L8568" s="91" t="str">
        <f t="shared" si="8"/>
        <v>Thu</v>
      </c>
      <c r="M8568" s="78" t="str">
        <f>IFERROR(VLOOKUP(A8568, Entries!A:B,2,false),"")</f>
        <v>10 Chambers</v>
      </c>
      <c r="N8568" s="23" t="str">
        <f>IFERROR(VLOOKUP(A8568, Entries!A:K,11,false),"")</f>
        <v/>
      </c>
    </row>
    <row r="8569">
      <c r="A8569" s="78" t="s">
        <v>5768</v>
      </c>
      <c r="B8569" s="78" t="s">
        <v>19</v>
      </c>
      <c r="C8569" s="85">
        <v>46098.0</v>
      </c>
      <c r="D8569" s="85">
        <v>46098.0</v>
      </c>
      <c r="E8569" s="86">
        <v>10.25</v>
      </c>
      <c r="F8569" s="87">
        <v>17.5</v>
      </c>
      <c r="G8569" s="88">
        <f t="shared" si="23"/>
        <v>7.25</v>
      </c>
      <c r="H8569" s="89">
        <f t="shared" si="18"/>
        <v>0.4142857143</v>
      </c>
      <c r="I8569" s="78" t="s">
        <v>9741</v>
      </c>
      <c r="J8569" s="78" t="s">
        <v>69</v>
      </c>
      <c r="K8569" s="58">
        <f t="shared" si="17"/>
        <v>0</v>
      </c>
      <c r="L8569" s="91" t="str">
        <f t="shared" si="8"/>
        <v>Tue</v>
      </c>
      <c r="M8569" s="78" t="str">
        <f>IFERROR(VLOOKUP(A8569, Entries!A:B,2,false),"")</f>
        <v>10 Chambers</v>
      </c>
      <c r="N8569" s="23" t="str">
        <f>IFERROR(VLOOKUP(A8569, Entries!A:K,11,false),"")</f>
        <v/>
      </c>
    </row>
    <row r="8570">
      <c r="A8570" s="78" t="s">
        <v>9018</v>
      </c>
      <c r="B8570" s="78" t="s">
        <v>32</v>
      </c>
      <c r="C8570" s="85">
        <v>46100.0</v>
      </c>
      <c r="D8570" s="85">
        <v>46101.0</v>
      </c>
      <c r="E8570" s="86">
        <v>30.48</v>
      </c>
      <c r="F8570" s="87">
        <v>33.02</v>
      </c>
      <c r="G8570" s="88">
        <f t="shared" si="23"/>
        <v>2.54</v>
      </c>
      <c r="H8570" s="89">
        <f t="shared" si="18"/>
        <v>0.07692307692</v>
      </c>
      <c r="I8570" s="78" t="s">
        <v>9742</v>
      </c>
      <c r="J8570" s="78" t="s">
        <v>69</v>
      </c>
      <c r="K8570" s="58">
        <f t="shared" si="17"/>
        <v>1</v>
      </c>
      <c r="L8570" s="91" t="str">
        <f t="shared" si="8"/>
        <v>Fri</v>
      </c>
      <c r="M8570" s="78" t="str">
        <f>IFERROR(VLOOKUP(A8570, Entries!A:B,2,false),"")</f>
        <v>Game Science</v>
      </c>
      <c r="N8570" s="23" t="str">
        <f>IFERROR(VLOOKUP(A8570, Entries!A:K,11,false),"")</f>
        <v/>
      </c>
    </row>
    <row r="8571">
      <c r="A8571" s="78" t="s">
        <v>9018</v>
      </c>
      <c r="B8571" s="78" t="s">
        <v>32</v>
      </c>
      <c r="C8571" s="85">
        <v>46100.0</v>
      </c>
      <c r="D8571" s="85">
        <v>46101.0</v>
      </c>
      <c r="E8571" s="86">
        <v>30.48</v>
      </c>
      <c r="F8571" s="87">
        <v>33.02</v>
      </c>
      <c r="G8571" s="88">
        <f t="shared" si="23"/>
        <v>2.54</v>
      </c>
      <c r="H8571" s="89">
        <f t="shared" si="18"/>
        <v>0.07692307692</v>
      </c>
      <c r="I8571" s="78" t="s">
        <v>9743</v>
      </c>
      <c r="J8571" s="78" t="s">
        <v>69</v>
      </c>
      <c r="K8571" s="58">
        <f t="shared" si="17"/>
        <v>1</v>
      </c>
      <c r="L8571" s="91" t="str">
        <f t="shared" si="8"/>
        <v>Fri</v>
      </c>
      <c r="M8571" s="78" t="str">
        <f>IFERROR(VLOOKUP(A8571, Entries!A:B,2,false),"")</f>
        <v>Game Science</v>
      </c>
      <c r="N8571" s="23" t="str">
        <f>IFERROR(VLOOKUP(A8571, Entries!A:K,11,false),"")</f>
        <v/>
      </c>
    </row>
    <row r="8572">
      <c r="A8572" s="78" t="s">
        <v>9233</v>
      </c>
      <c r="B8572" s="78" t="s">
        <v>21</v>
      </c>
      <c r="C8572" s="85">
        <v>46100.0</v>
      </c>
      <c r="D8572" s="85">
        <v>46115.0</v>
      </c>
      <c r="E8572" s="86">
        <v>11.51</v>
      </c>
      <c r="F8572" s="87">
        <v>15.13</v>
      </c>
      <c r="G8572" s="88">
        <f t="shared" si="23"/>
        <v>3.62</v>
      </c>
      <c r="H8572" s="89">
        <f t="shared" si="18"/>
        <v>0.2392597488</v>
      </c>
      <c r="I8572" s="78" t="s">
        <v>9744</v>
      </c>
      <c r="J8572" s="78" t="s">
        <v>69</v>
      </c>
      <c r="K8572" s="58">
        <f t="shared" si="17"/>
        <v>15</v>
      </c>
      <c r="L8572" s="91" t="str">
        <f t="shared" si="8"/>
        <v>Fri</v>
      </c>
      <c r="M8572" s="78" t="str">
        <f>IFERROR(VLOOKUP(A8572, Entries!A:B,2,false),"")</f>
        <v>Behaviour Interactive</v>
      </c>
      <c r="N8572" s="23" t="str">
        <f>IFERROR(VLOOKUP(A8572, Entries!A:K,11,false),"")</f>
        <v/>
      </c>
    </row>
    <row r="8573">
      <c r="A8573" s="78" t="s">
        <v>5768</v>
      </c>
      <c r="B8573" s="78" t="s">
        <v>23</v>
      </c>
      <c r="C8573" s="85">
        <v>46100.0</v>
      </c>
      <c r="D8573" s="85">
        <v>46107.0</v>
      </c>
      <c r="E8573" s="86">
        <v>14.49</v>
      </c>
      <c r="F8573" s="87">
        <v>16.02</v>
      </c>
      <c r="G8573" s="88">
        <f t="shared" si="23"/>
        <v>1.53</v>
      </c>
      <c r="H8573" s="89">
        <f t="shared" si="18"/>
        <v>0.09550561798</v>
      </c>
      <c r="I8573" s="78" t="s">
        <v>9745</v>
      </c>
      <c r="J8573" s="78" t="s">
        <v>69</v>
      </c>
      <c r="K8573" s="58">
        <f t="shared" si="17"/>
        <v>7</v>
      </c>
      <c r="L8573" s="91" t="str">
        <f t="shared" si="8"/>
        <v>Thu</v>
      </c>
      <c r="M8573" s="78" t="str">
        <f>IFERROR(VLOOKUP(A8573, Entries!A:B,2,false),"")</f>
        <v>10 Chambers</v>
      </c>
      <c r="N8573" s="23" t="str">
        <f>IFERROR(VLOOKUP(A8573, Entries!A:K,11,false),"")</f>
        <v/>
      </c>
    </row>
    <row r="8574">
      <c r="A8574" s="78" t="s">
        <v>8678</v>
      </c>
      <c r="B8574" s="78" t="s">
        <v>19</v>
      </c>
      <c r="C8574" s="85">
        <v>46101.0</v>
      </c>
      <c r="D8574" s="85">
        <v>46135.0</v>
      </c>
      <c r="E8574" s="86">
        <v>18.58</v>
      </c>
      <c r="F8574" s="87">
        <v>22.34</v>
      </c>
      <c r="G8574" s="88">
        <f t="shared" si="23"/>
        <v>3.76</v>
      </c>
      <c r="H8574" s="89">
        <f t="shared" si="18"/>
        <v>0.1683079678</v>
      </c>
      <c r="I8574" s="78" t="s">
        <v>9746</v>
      </c>
      <c r="J8574" s="78" t="s">
        <v>69</v>
      </c>
      <c r="K8574" s="58">
        <f t="shared" si="17"/>
        <v>34</v>
      </c>
      <c r="L8574" s="91" t="str">
        <f t="shared" si="8"/>
        <v>Thu</v>
      </c>
      <c r="M8574" s="78" t="str">
        <f>IFERROR(VLOOKUP(A8574, Entries!A:B,2,false),"")</f>
        <v/>
      </c>
      <c r="N8574" s="23" t="str">
        <f>IFERROR(VLOOKUP(A8574, Entries!A:K,11,false),"")</f>
        <v/>
      </c>
    </row>
    <row r="8575">
      <c r="A8575" s="78" t="s">
        <v>9747</v>
      </c>
      <c r="B8575" s="78" t="s">
        <v>19</v>
      </c>
      <c r="C8575" s="85">
        <v>46101.0</v>
      </c>
      <c r="D8575" s="85">
        <v>46107.0</v>
      </c>
      <c r="E8575" s="86">
        <v>0.0</v>
      </c>
      <c r="F8575" s="87">
        <v>0.3</v>
      </c>
      <c r="G8575" s="88">
        <f t="shared" si="23"/>
        <v>0.3</v>
      </c>
      <c r="H8575" s="89">
        <f t="shared" si="18"/>
        <v>1</v>
      </c>
      <c r="I8575" s="78" t="s">
        <v>9748</v>
      </c>
      <c r="J8575" s="78" t="s">
        <v>69</v>
      </c>
      <c r="K8575" s="58">
        <f t="shared" si="17"/>
        <v>6</v>
      </c>
      <c r="L8575" s="91" t="str">
        <f t="shared" si="8"/>
        <v>Thu</v>
      </c>
      <c r="M8575" s="78" t="str">
        <f>IFERROR(VLOOKUP(A8575, Entries!A:B,2,false),"")</f>
        <v/>
      </c>
      <c r="N8575" s="23" t="str">
        <f>IFERROR(VLOOKUP(A8575, Entries!A:K,11,false),"")</f>
        <v/>
      </c>
    </row>
    <row r="8576">
      <c r="A8576" s="78" t="s">
        <v>7068</v>
      </c>
      <c r="B8576" s="78" t="s">
        <v>21</v>
      </c>
      <c r="C8576" s="85">
        <v>46101.0</v>
      </c>
      <c r="D8576" s="85">
        <v>46108.0</v>
      </c>
      <c r="E8576" s="86">
        <v>20.71</v>
      </c>
      <c r="F8576" s="87">
        <v>27.69</v>
      </c>
      <c r="G8576" s="88">
        <f t="shared" si="23"/>
        <v>6.98</v>
      </c>
      <c r="H8576" s="89">
        <f t="shared" si="18"/>
        <v>0.2520765619</v>
      </c>
      <c r="J8576" s="78" t="s">
        <v>69</v>
      </c>
      <c r="K8576" s="58">
        <f t="shared" si="17"/>
        <v>7</v>
      </c>
      <c r="L8576" s="91" t="str">
        <f t="shared" si="8"/>
        <v>Fri</v>
      </c>
      <c r="M8576" s="78" t="str">
        <f>IFERROR(VLOOKUP(A8576, Entries!A:B,2,false),"")</f>
        <v/>
      </c>
      <c r="N8576" s="23" t="str">
        <f>IFERROR(VLOOKUP(A8576, Entries!A:K,11,false),"")</f>
        <v/>
      </c>
    </row>
    <row r="8577">
      <c r="A8577" s="78" t="s">
        <v>8011</v>
      </c>
      <c r="B8577" s="78" t="s">
        <v>18</v>
      </c>
      <c r="C8577" s="85">
        <v>46101.0</v>
      </c>
      <c r="D8577" s="85">
        <v>46102.0</v>
      </c>
      <c r="E8577" s="86">
        <v>3.55</v>
      </c>
      <c r="F8577" s="87">
        <v>9.08</v>
      </c>
      <c r="G8577" s="88">
        <f t="shared" si="23"/>
        <v>5.53</v>
      </c>
      <c r="H8577" s="89">
        <f t="shared" si="18"/>
        <v>0.609030837</v>
      </c>
      <c r="I8577" s="78" t="s">
        <v>9749</v>
      </c>
      <c r="J8577" s="78" t="s">
        <v>69</v>
      </c>
      <c r="K8577" s="58">
        <f t="shared" si="17"/>
        <v>1</v>
      </c>
      <c r="L8577" s="91" t="str">
        <f t="shared" si="8"/>
        <v>Sat</v>
      </c>
      <c r="M8577" s="78" t="str">
        <f>IFERROR(VLOOKUP(A8577, Entries!A:B,2,false),"")</f>
        <v/>
      </c>
      <c r="N8577" s="23" t="str">
        <f>IFERROR(VLOOKUP(A8577, Entries!A:K,11,false),"")</f>
        <v/>
      </c>
    </row>
    <row r="8578">
      <c r="A8578" s="78" t="s">
        <v>8011</v>
      </c>
      <c r="B8578" s="78" t="s">
        <v>18</v>
      </c>
      <c r="C8578" s="85">
        <v>46101.0</v>
      </c>
      <c r="D8578" s="85">
        <v>46102.0</v>
      </c>
      <c r="E8578" s="86">
        <v>3.55</v>
      </c>
      <c r="F8578" s="87">
        <v>9.08</v>
      </c>
      <c r="G8578" s="88">
        <f t="shared" si="23"/>
        <v>5.53</v>
      </c>
      <c r="H8578" s="89">
        <f t="shared" si="18"/>
        <v>0.609030837</v>
      </c>
      <c r="I8578" s="78" t="s">
        <v>9750</v>
      </c>
      <c r="J8578" s="78" t="s">
        <v>69</v>
      </c>
      <c r="K8578" s="58">
        <f t="shared" si="17"/>
        <v>1</v>
      </c>
      <c r="L8578" s="91" t="str">
        <f t="shared" si="8"/>
        <v>Sat</v>
      </c>
      <c r="M8578" s="78" t="str">
        <f>IFERROR(VLOOKUP(A8578, Entries!A:B,2,false),"")</f>
        <v/>
      </c>
      <c r="N8578" s="23" t="str">
        <f>IFERROR(VLOOKUP(A8578, Entries!A:K,11,false),"")</f>
        <v/>
      </c>
    </row>
    <row r="8579">
      <c r="A8579" s="78" t="s">
        <v>8011</v>
      </c>
      <c r="B8579" s="78" t="s">
        <v>18</v>
      </c>
      <c r="C8579" s="85">
        <v>46101.0</v>
      </c>
      <c r="D8579" s="85">
        <v>46102.0</v>
      </c>
      <c r="E8579" s="86">
        <v>3.55</v>
      </c>
      <c r="F8579" s="87">
        <v>9.09</v>
      </c>
      <c r="G8579" s="88">
        <f t="shared" si="23"/>
        <v>5.54</v>
      </c>
      <c r="H8579" s="89">
        <f t="shared" si="18"/>
        <v>0.6094609461</v>
      </c>
      <c r="I8579" s="78" t="s">
        <v>9751</v>
      </c>
      <c r="J8579" s="78" t="s">
        <v>69</v>
      </c>
      <c r="K8579" s="58">
        <f t="shared" si="17"/>
        <v>1</v>
      </c>
      <c r="L8579" s="91" t="str">
        <f t="shared" si="8"/>
        <v>Sat</v>
      </c>
      <c r="M8579" s="78" t="str">
        <f>IFERROR(VLOOKUP(A8579, Entries!A:B,2,false),"")</f>
        <v/>
      </c>
      <c r="N8579" s="23" t="str">
        <f>IFERROR(VLOOKUP(A8579, Entries!A:K,11,false),"")</f>
        <v/>
      </c>
    </row>
    <row r="8580">
      <c r="A8580" s="78" t="s">
        <v>8011</v>
      </c>
      <c r="B8580" s="78" t="s">
        <v>18</v>
      </c>
      <c r="C8580" s="85">
        <v>46101.0</v>
      </c>
      <c r="D8580" s="85">
        <v>46103.0</v>
      </c>
      <c r="E8580" s="86">
        <v>3.55</v>
      </c>
      <c r="F8580" s="87">
        <v>9.09</v>
      </c>
      <c r="G8580" s="88">
        <f t="shared" si="23"/>
        <v>5.54</v>
      </c>
      <c r="H8580" s="89">
        <f t="shared" si="18"/>
        <v>0.6094609461</v>
      </c>
      <c r="I8580" s="78" t="s">
        <v>9752</v>
      </c>
      <c r="J8580" s="78" t="s">
        <v>69</v>
      </c>
      <c r="K8580" s="58">
        <f t="shared" si="17"/>
        <v>2</v>
      </c>
      <c r="L8580" s="91" t="str">
        <f t="shared" si="8"/>
        <v>Sun</v>
      </c>
      <c r="M8580" s="78" t="str">
        <f>IFERROR(VLOOKUP(A8580, Entries!A:B,2,false),"")</f>
        <v/>
      </c>
      <c r="N8580" s="23" t="str">
        <f>IFERROR(VLOOKUP(A8580, Entries!A:K,11,false),"")</f>
        <v/>
      </c>
    </row>
    <row r="8581">
      <c r="A8581" s="78" t="s">
        <v>9753</v>
      </c>
      <c r="B8581" s="78" t="s">
        <v>21</v>
      </c>
      <c r="C8581" s="85">
        <v>46103.0</v>
      </c>
      <c r="D8581" s="85">
        <v>46126.0</v>
      </c>
      <c r="E8581" s="86">
        <v>26.29</v>
      </c>
      <c r="F8581" s="87">
        <v>25.6</v>
      </c>
      <c r="G8581" s="88">
        <f t="shared" si="23"/>
        <v>-0.69</v>
      </c>
      <c r="H8581" s="89">
        <f t="shared" si="18"/>
        <v>-0.026953125</v>
      </c>
      <c r="I8581" s="78" t="s">
        <v>9754</v>
      </c>
      <c r="J8581" s="78" t="s">
        <v>69</v>
      </c>
      <c r="K8581" s="58">
        <f t="shared" si="17"/>
        <v>23</v>
      </c>
      <c r="L8581" s="91" t="str">
        <f t="shared" si="8"/>
        <v>Tue</v>
      </c>
      <c r="M8581" s="78" t="str">
        <f>IFERROR(VLOOKUP(A8581, Entries!A:B,2,false),"")</f>
        <v/>
      </c>
      <c r="N8581" s="23" t="str">
        <f>IFERROR(VLOOKUP(A8581, Entries!A:K,11,false),"")</f>
        <v/>
      </c>
    </row>
    <row r="8582">
      <c r="A8582" s="78" t="s">
        <v>9753</v>
      </c>
      <c r="B8582" s="78" t="s">
        <v>21</v>
      </c>
      <c r="C8582" s="85">
        <v>46103.0</v>
      </c>
      <c r="D8582" s="25"/>
      <c r="E8582" s="86">
        <v>26.29</v>
      </c>
      <c r="F8582" s="88"/>
      <c r="G8582" s="88">
        <f t="shared" si="23"/>
        <v>-26.29</v>
      </c>
      <c r="H8582" s="89" t="str">
        <f t="shared" si="18"/>
        <v/>
      </c>
      <c r="I8582" s="78" t="s">
        <v>9755</v>
      </c>
      <c r="J8582" s="78" t="s">
        <v>1129</v>
      </c>
      <c r="K8582" s="58" t="str">
        <f t="shared" si="17"/>
        <v/>
      </c>
      <c r="L8582" s="91" t="str">
        <f t="shared" si="8"/>
        <v/>
      </c>
      <c r="M8582" s="78" t="str">
        <f>IFERROR(VLOOKUP(A8582, Entries!A:B,2,false),"")</f>
        <v/>
      </c>
      <c r="N8582" s="23" t="str">
        <f>IFERROR(VLOOKUP(A8582, Entries!A:K,11,false),"")</f>
        <v/>
      </c>
    </row>
    <row r="8583">
      <c r="A8583" s="78" t="s">
        <v>9756</v>
      </c>
      <c r="B8583" s="78" t="s">
        <v>25</v>
      </c>
      <c r="C8583" s="85">
        <v>46103.0</v>
      </c>
      <c r="D8583" s="85">
        <v>46104.0</v>
      </c>
      <c r="E8583" s="86">
        <v>0.0</v>
      </c>
      <c r="F8583" s="87">
        <v>1.1</v>
      </c>
      <c r="G8583" s="88">
        <f t="shared" si="23"/>
        <v>1.1</v>
      </c>
      <c r="H8583" s="89">
        <f t="shared" si="18"/>
        <v>1</v>
      </c>
      <c r="I8583" s="78" t="s">
        <v>9757</v>
      </c>
      <c r="J8583" s="78" t="s">
        <v>69</v>
      </c>
      <c r="K8583" s="58">
        <f t="shared" si="17"/>
        <v>1</v>
      </c>
      <c r="L8583" s="91" t="str">
        <f t="shared" si="8"/>
        <v>Mon</v>
      </c>
      <c r="M8583" s="78" t="str">
        <f>IFERROR(VLOOKUP(A8583, Entries!A:B,2,false),"")</f>
        <v/>
      </c>
      <c r="N8583" s="23" t="str">
        <f>IFERROR(VLOOKUP(A8583, Entries!A:K,11,false),"")</f>
        <v/>
      </c>
    </row>
    <row r="8584">
      <c r="A8584" s="78" t="s">
        <v>5676</v>
      </c>
      <c r="B8584" s="78" t="s">
        <v>25</v>
      </c>
      <c r="C8584" s="85">
        <v>46105.0</v>
      </c>
      <c r="D8584" s="85">
        <v>46106.0</v>
      </c>
      <c r="E8584" s="86">
        <v>33.97</v>
      </c>
      <c r="F8584" s="87">
        <v>40.36</v>
      </c>
      <c r="G8584" s="88">
        <f t="shared" si="23"/>
        <v>6.39</v>
      </c>
      <c r="H8584" s="89">
        <f t="shared" si="18"/>
        <v>0.1583250743</v>
      </c>
      <c r="I8584" s="78" t="s">
        <v>9758</v>
      </c>
      <c r="J8584" s="78" t="s">
        <v>69</v>
      </c>
      <c r="K8584" s="58">
        <f t="shared" si="17"/>
        <v>1</v>
      </c>
      <c r="L8584" s="91" t="str">
        <f t="shared" si="8"/>
        <v>Wed</v>
      </c>
      <c r="M8584" s="78" t="str">
        <f>IFERROR(VLOOKUP(A8584, Entries!A:B,2,false),"")</f>
        <v>Bethesda Softworks</v>
      </c>
      <c r="N8584" s="23" t="str">
        <f>IFERROR(VLOOKUP(A8584, Entries!A:K,11,false),"")</f>
        <v/>
      </c>
    </row>
    <row r="8585">
      <c r="A8585" s="78" t="s">
        <v>5676</v>
      </c>
      <c r="B8585" s="78" t="s">
        <v>27</v>
      </c>
      <c r="C8585" s="85">
        <v>46107.0</v>
      </c>
      <c r="D8585" s="85">
        <v>46112.0</v>
      </c>
      <c r="E8585" s="86">
        <v>30.19</v>
      </c>
      <c r="F8585" s="87">
        <v>36.57</v>
      </c>
      <c r="G8585" s="88">
        <f t="shared" si="23"/>
        <v>6.38</v>
      </c>
      <c r="H8585" s="89">
        <f t="shared" si="18"/>
        <v>0.1744599398</v>
      </c>
      <c r="I8585" s="78" t="s">
        <v>9759</v>
      </c>
      <c r="J8585" s="78" t="s">
        <v>69</v>
      </c>
      <c r="K8585" s="58">
        <f t="shared" si="17"/>
        <v>5</v>
      </c>
      <c r="L8585" s="91" t="str">
        <f t="shared" si="8"/>
        <v>Tue</v>
      </c>
      <c r="M8585" s="78" t="str">
        <f>IFERROR(VLOOKUP(A8585, Entries!A:B,2,false),"")</f>
        <v>Bethesda Softworks</v>
      </c>
      <c r="N8585" s="23" t="str">
        <f>IFERROR(VLOOKUP(A8585, Entries!A:K,11,false),"")</f>
        <v/>
      </c>
    </row>
    <row r="8586">
      <c r="A8586" s="78" t="s">
        <v>9233</v>
      </c>
      <c r="B8586" s="78" t="s">
        <v>21</v>
      </c>
      <c r="C8586" s="85">
        <v>46107.0</v>
      </c>
      <c r="D8586" s="85">
        <v>46128.0</v>
      </c>
      <c r="E8586" s="86">
        <v>11.03</v>
      </c>
      <c r="F8586" s="87">
        <v>14.64</v>
      </c>
      <c r="G8586" s="88">
        <f t="shared" si="23"/>
        <v>3.61</v>
      </c>
      <c r="H8586" s="89">
        <f t="shared" si="18"/>
        <v>0.2465846995</v>
      </c>
      <c r="I8586" s="78" t="s">
        <v>9760</v>
      </c>
      <c r="J8586" s="78" t="s">
        <v>69</v>
      </c>
      <c r="K8586" s="58">
        <f t="shared" si="17"/>
        <v>21</v>
      </c>
      <c r="L8586" s="91" t="str">
        <f t="shared" si="8"/>
        <v>Thu</v>
      </c>
      <c r="M8586" s="78" t="str">
        <f>IFERROR(VLOOKUP(A8586, Entries!A:B,2,false),"")</f>
        <v>Behaviour Interactive</v>
      </c>
      <c r="N8586" s="23" t="str">
        <f>IFERROR(VLOOKUP(A8586, Entries!A:K,11,false),"")</f>
        <v/>
      </c>
    </row>
    <row r="8587">
      <c r="A8587" s="78" t="s">
        <v>9233</v>
      </c>
      <c r="B8587" s="78" t="s">
        <v>21</v>
      </c>
      <c r="C8587" s="85">
        <v>46107.0</v>
      </c>
      <c r="D8587" s="85">
        <v>46128.0</v>
      </c>
      <c r="E8587" s="86">
        <v>11.03</v>
      </c>
      <c r="F8587" s="87">
        <v>14.69</v>
      </c>
      <c r="G8587" s="88">
        <f t="shared" si="23"/>
        <v>3.66</v>
      </c>
      <c r="H8587" s="89">
        <f t="shared" si="18"/>
        <v>0.249149081</v>
      </c>
      <c r="I8587" s="78" t="s">
        <v>9761</v>
      </c>
      <c r="J8587" s="78" t="s">
        <v>69</v>
      </c>
      <c r="K8587" s="58">
        <f t="shared" si="17"/>
        <v>21</v>
      </c>
      <c r="L8587" s="91" t="str">
        <f t="shared" si="8"/>
        <v>Thu</v>
      </c>
      <c r="M8587" s="78" t="str">
        <f>IFERROR(VLOOKUP(A8587, Entries!A:B,2,false),"")</f>
        <v>Behaviour Interactive</v>
      </c>
      <c r="N8587" s="23" t="str">
        <f>IFERROR(VLOOKUP(A8587, Entries!A:K,11,false),"")</f>
        <v/>
      </c>
    </row>
    <row r="8588">
      <c r="A8588" s="78" t="s">
        <v>9233</v>
      </c>
      <c r="B8588" s="78" t="s">
        <v>21</v>
      </c>
      <c r="C8588" s="85">
        <v>46107.0</v>
      </c>
      <c r="D8588" s="85">
        <v>46128.0</v>
      </c>
      <c r="E8588" s="86">
        <v>11.03</v>
      </c>
      <c r="F8588" s="87">
        <v>14.69</v>
      </c>
      <c r="G8588" s="88">
        <f t="shared" si="23"/>
        <v>3.66</v>
      </c>
      <c r="H8588" s="89">
        <f t="shared" si="18"/>
        <v>0.249149081</v>
      </c>
      <c r="I8588" s="78" t="s">
        <v>9762</v>
      </c>
      <c r="J8588" s="78" t="s">
        <v>69</v>
      </c>
      <c r="K8588" s="58">
        <f t="shared" si="17"/>
        <v>21</v>
      </c>
      <c r="L8588" s="91" t="str">
        <f t="shared" si="8"/>
        <v>Thu</v>
      </c>
      <c r="M8588" s="78" t="str">
        <f>IFERROR(VLOOKUP(A8588, Entries!A:B,2,false),"")</f>
        <v>Behaviour Interactive</v>
      </c>
      <c r="N8588" s="23" t="str">
        <f>IFERROR(VLOOKUP(A8588, Entries!A:K,11,false),"")</f>
        <v/>
      </c>
    </row>
    <row r="8589">
      <c r="A8589" s="78" t="s">
        <v>9475</v>
      </c>
      <c r="B8589" s="78" t="s">
        <v>40</v>
      </c>
      <c r="C8589" s="85">
        <v>46107.0</v>
      </c>
      <c r="D8589" s="85">
        <v>46109.0</v>
      </c>
      <c r="E8589" s="86">
        <v>12.45</v>
      </c>
      <c r="F8589" s="87">
        <v>15.0</v>
      </c>
      <c r="G8589" s="88">
        <f t="shared" si="23"/>
        <v>2.55</v>
      </c>
      <c r="H8589" s="89">
        <f t="shared" si="18"/>
        <v>0.17</v>
      </c>
      <c r="I8589" s="78" t="s">
        <v>9763</v>
      </c>
      <c r="J8589" s="78" t="s">
        <v>69</v>
      </c>
      <c r="K8589" s="58">
        <f t="shared" si="17"/>
        <v>2</v>
      </c>
      <c r="L8589" s="91" t="str">
        <f t="shared" si="8"/>
        <v>Sat</v>
      </c>
      <c r="M8589" s="78" t="str">
        <f>IFERROR(VLOOKUP(A8589, Entries!A:B,2,false),"")</f>
        <v/>
      </c>
      <c r="N8589" s="23" t="str">
        <f>IFERROR(VLOOKUP(A8589, Entries!A:K,11,false),"")</f>
        <v/>
      </c>
    </row>
    <row r="8590">
      <c r="A8590" s="78" t="s">
        <v>5768</v>
      </c>
      <c r="B8590" s="78" t="s">
        <v>23</v>
      </c>
      <c r="C8590" s="85">
        <v>46107.0</v>
      </c>
      <c r="D8590" s="85">
        <v>46109.0</v>
      </c>
      <c r="E8590" s="86">
        <v>14.49</v>
      </c>
      <c r="F8590" s="87">
        <v>16.44</v>
      </c>
      <c r="G8590" s="88">
        <f t="shared" si="23"/>
        <v>1.95</v>
      </c>
      <c r="H8590" s="89">
        <f t="shared" si="18"/>
        <v>0.1186131387</v>
      </c>
      <c r="I8590" s="78" t="s">
        <v>9764</v>
      </c>
      <c r="J8590" s="78" t="s">
        <v>69</v>
      </c>
      <c r="K8590" s="58">
        <f t="shared" si="17"/>
        <v>2</v>
      </c>
      <c r="L8590" s="91" t="str">
        <f t="shared" si="8"/>
        <v>Sat</v>
      </c>
      <c r="M8590" s="78" t="str">
        <f>IFERROR(VLOOKUP(A8590, Entries!A:B,2,false),"")</f>
        <v>10 Chambers</v>
      </c>
      <c r="N8590" s="23" t="str">
        <f>IFERROR(VLOOKUP(A8590, Entries!A:K,11,false),"")</f>
        <v/>
      </c>
    </row>
    <row r="8591">
      <c r="A8591" s="78" t="s">
        <v>9765</v>
      </c>
      <c r="B8591" s="78" t="s">
        <v>32</v>
      </c>
      <c r="C8591" s="85">
        <v>46108.0</v>
      </c>
      <c r="D8591" s="25"/>
      <c r="E8591" s="86">
        <v>4.99</v>
      </c>
      <c r="F8591" s="88"/>
      <c r="G8591" s="88">
        <f t="shared" si="23"/>
        <v>-4.99</v>
      </c>
      <c r="H8591" s="89" t="str">
        <f t="shared" si="18"/>
        <v/>
      </c>
      <c r="I8591" s="78" t="s">
        <v>9766</v>
      </c>
      <c r="J8591" s="78" t="s">
        <v>1129</v>
      </c>
      <c r="K8591" s="58" t="str">
        <f t="shared" si="17"/>
        <v/>
      </c>
      <c r="L8591" s="91" t="str">
        <f t="shared" si="8"/>
        <v/>
      </c>
      <c r="M8591" s="78" t="str">
        <f>IFERROR(VLOOKUP(A8591, Entries!A:B,2,false),"")</f>
        <v/>
      </c>
      <c r="N8591" s="23" t="str">
        <f>IFERROR(VLOOKUP(A8591, Entries!A:K,11,false),"")</f>
        <v/>
      </c>
    </row>
    <row r="8592">
      <c r="A8592" s="78" t="s">
        <v>9765</v>
      </c>
      <c r="B8592" s="78" t="s">
        <v>32</v>
      </c>
      <c r="C8592" s="85">
        <v>46108.0</v>
      </c>
      <c r="D8592" s="25"/>
      <c r="E8592" s="86">
        <v>4.99</v>
      </c>
      <c r="F8592" s="88"/>
      <c r="G8592" s="88">
        <f t="shared" si="23"/>
        <v>-4.99</v>
      </c>
      <c r="H8592" s="89" t="str">
        <f t="shared" si="18"/>
        <v/>
      </c>
      <c r="I8592" s="78" t="s">
        <v>9767</v>
      </c>
      <c r="J8592" s="78" t="s">
        <v>1129</v>
      </c>
      <c r="K8592" s="58" t="str">
        <f t="shared" si="17"/>
        <v/>
      </c>
      <c r="L8592" s="91" t="str">
        <f t="shared" si="8"/>
        <v/>
      </c>
      <c r="M8592" s="78" t="str">
        <f>IFERROR(VLOOKUP(A8592, Entries!A:B,2,false),"")</f>
        <v/>
      </c>
      <c r="N8592" s="23" t="str">
        <f>IFERROR(VLOOKUP(A8592, Entries!A:K,11,false),"")</f>
        <v/>
      </c>
    </row>
    <row r="8593">
      <c r="A8593" s="78" t="s">
        <v>9765</v>
      </c>
      <c r="B8593" s="78" t="s">
        <v>32</v>
      </c>
      <c r="C8593" s="85">
        <v>46108.0</v>
      </c>
      <c r="D8593" s="25"/>
      <c r="E8593" s="86">
        <v>4.99</v>
      </c>
      <c r="F8593" s="88"/>
      <c r="G8593" s="88">
        <f t="shared" si="23"/>
        <v>-4.99</v>
      </c>
      <c r="H8593" s="89" t="str">
        <f t="shared" si="18"/>
        <v/>
      </c>
      <c r="I8593" s="78" t="s">
        <v>9768</v>
      </c>
      <c r="J8593" s="78" t="s">
        <v>1129</v>
      </c>
      <c r="K8593" s="58" t="str">
        <f t="shared" si="17"/>
        <v/>
      </c>
      <c r="L8593" s="91" t="str">
        <f t="shared" si="8"/>
        <v/>
      </c>
      <c r="M8593" s="78" t="str">
        <f>IFERROR(VLOOKUP(A8593, Entries!A:B,2,false),"")</f>
        <v/>
      </c>
      <c r="N8593" s="23" t="str">
        <f>IFERROR(VLOOKUP(A8593, Entries!A:K,11,false),"")</f>
        <v/>
      </c>
    </row>
    <row r="8594">
      <c r="A8594" s="78" t="s">
        <v>9765</v>
      </c>
      <c r="B8594" s="78" t="s">
        <v>32</v>
      </c>
      <c r="C8594" s="85">
        <v>46108.0</v>
      </c>
      <c r="D8594" s="25"/>
      <c r="E8594" s="86">
        <v>4.99</v>
      </c>
      <c r="F8594" s="88"/>
      <c r="G8594" s="88">
        <f t="shared" si="23"/>
        <v>-4.99</v>
      </c>
      <c r="H8594" s="89" t="str">
        <f t="shared" si="18"/>
        <v/>
      </c>
      <c r="I8594" s="78" t="s">
        <v>9769</v>
      </c>
      <c r="J8594" s="78" t="s">
        <v>1129</v>
      </c>
      <c r="K8594" s="58" t="str">
        <f t="shared" si="17"/>
        <v/>
      </c>
      <c r="L8594" s="91" t="str">
        <f t="shared" si="8"/>
        <v/>
      </c>
      <c r="M8594" s="78" t="str">
        <f>IFERROR(VLOOKUP(A8594, Entries!A:B,2,false),"")</f>
        <v/>
      </c>
      <c r="N8594" s="23" t="str">
        <f>IFERROR(VLOOKUP(A8594, Entries!A:K,11,false),"")</f>
        <v/>
      </c>
    </row>
    <row r="8595">
      <c r="A8595" s="78" t="s">
        <v>7816</v>
      </c>
      <c r="B8595" s="78" t="s">
        <v>18</v>
      </c>
      <c r="C8595" s="85">
        <v>46108.0</v>
      </c>
      <c r="D8595" s="85">
        <v>46111.0</v>
      </c>
      <c r="E8595" s="86">
        <v>26.44</v>
      </c>
      <c r="F8595" s="87">
        <v>43.1</v>
      </c>
      <c r="G8595" s="88">
        <f t="shared" si="23"/>
        <v>16.66</v>
      </c>
      <c r="H8595" s="89">
        <f t="shared" si="18"/>
        <v>0.3865429234</v>
      </c>
      <c r="I8595" s="78" t="s">
        <v>9770</v>
      </c>
      <c r="J8595" s="78" t="s">
        <v>69</v>
      </c>
      <c r="K8595" s="58">
        <f t="shared" si="17"/>
        <v>3</v>
      </c>
      <c r="L8595" s="91" t="str">
        <f t="shared" si="8"/>
        <v>Mon</v>
      </c>
      <c r="M8595" s="78" t="str">
        <f>IFERROR(VLOOKUP(A8595, Entries!A:B,2,false),"")</f>
        <v/>
      </c>
      <c r="N8595" s="23" t="str">
        <f>IFERROR(VLOOKUP(A8595, Entries!A:K,11,false),"")</f>
        <v/>
      </c>
    </row>
    <row r="8596">
      <c r="A8596" s="78" t="s">
        <v>7816</v>
      </c>
      <c r="B8596" s="78" t="s">
        <v>18</v>
      </c>
      <c r="C8596" s="85">
        <v>46108.0</v>
      </c>
      <c r="D8596" s="85">
        <v>46112.0</v>
      </c>
      <c r="E8596" s="86">
        <v>26.45</v>
      </c>
      <c r="F8596" s="87">
        <v>43.1</v>
      </c>
      <c r="G8596" s="88">
        <f t="shared" si="23"/>
        <v>16.65</v>
      </c>
      <c r="H8596" s="89">
        <f t="shared" si="18"/>
        <v>0.3863109049</v>
      </c>
      <c r="I8596" s="78" t="s">
        <v>9771</v>
      </c>
      <c r="J8596" s="78" t="s">
        <v>69</v>
      </c>
      <c r="K8596" s="58">
        <f t="shared" si="17"/>
        <v>4</v>
      </c>
      <c r="L8596" s="91" t="str">
        <f t="shared" si="8"/>
        <v>Tue</v>
      </c>
      <c r="M8596" s="78" t="str">
        <f>IFERROR(VLOOKUP(A8596, Entries!A:B,2,false),"")</f>
        <v/>
      </c>
      <c r="N8596" s="23" t="str">
        <f>IFERROR(VLOOKUP(A8596, Entries!A:K,11,false),"")</f>
        <v/>
      </c>
    </row>
    <row r="8597">
      <c r="A8597" s="78" t="s">
        <v>5768</v>
      </c>
      <c r="B8597" s="78" t="s">
        <v>23</v>
      </c>
      <c r="C8597" s="85">
        <v>46109.0</v>
      </c>
      <c r="D8597" s="85">
        <v>46109.0</v>
      </c>
      <c r="E8597" s="86">
        <v>14.49</v>
      </c>
      <c r="F8597" s="87">
        <v>16.45</v>
      </c>
      <c r="G8597" s="88">
        <f t="shared" si="23"/>
        <v>1.96</v>
      </c>
      <c r="H8597" s="89">
        <f t="shared" si="18"/>
        <v>0.1191489362</v>
      </c>
      <c r="I8597" s="78" t="s">
        <v>9772</v>
      </c>
      <c r="J8597" s="78" t="s">
        <v>69</v>
      </c>
      <c r="K8597" s="58">
        <f t="shared" si="17"/>
        <v>0</v>
      </c>
      <c r="L8597" s="91" t="str">
        <f t="shared" si="8"/>
        <v>Sat</v>
      </c>
      <c r="M8597" s="78" t="str">
        <f>IFERROR(VLOOKUP(A8597, Entries!A:B,2,false),"")</f>
        <v>10 Chambers</v>
      </c>
      <c r="N8597" s="23" t="str">
        <f>IFERROR(VLOOKUP(A8597, Entries!A:K,11,false),"")</f>
        <v/>
      </c>
    </row>
    <row r="8598">
      <c r="A8598" s="78" t="s">
        <v>5768</v>
      </c>
      <c r="B8598" s="78" t="s">
        <v>23</v>
      </c>
      <c r="C8598" s="85">
        <v>46109.0</v>
      </c>
      <c r="D8598" s="85">
        <v>46109.0</v>
      </c>
      <c r="E8598" s="86">
        <v>14.49</v>
      </c>
      <c r="F8598" s="87">
        <v>16.45</v>
      </c>
      <c r="G8598" s="88">
        <f t="shared" si="23"/>
        <v>1.96</v>
      </c>
      <c r="H8598" s="89">
        <f t="shared" si="18"/>
        <v>0.1191489362</v>
      </c>
      <c r="I8598" s="78" t="s">
        <v>9773</v>
      </c>
      <c r="J8598" s="78" t="s">
        <v>69</v>
      </c>
      <c r="K8598" s="58">
        <f t="shared" si="17"/>
        <v>0</v>
      </c>
      <c r="L8598" s="91" t="str">
        <f t="shared" si="8"/>
        <v>Sat</v>
      </c>
      <c r="M8598" s="78" t="str">
        <f>IFERROR(VLOOKUP(A8598, Entries!A:B,2,false),"")</f>
        <v>10 Chambers</v>
      </c>
      <c r="N8598" s="23" t="str">
        <f>IFERROR(VLOOKUP(A8598, Entries!A:K,11,false),"")</f>
        <v/>
      </c>
    </row>
    <row r="8599">
      <c r="A8599" s="78" t="s">
        <v>9475</v>
      </c>
      <c r="B8599" s="78" t="s">
        <v>27</v>
      </c>
      <c r="C8599" s="85">
        <v>46109.0</v>
      </c>
      <c r="D8599" s="85">
        <v>46110.0</v>
      </c>
      <c r="E8599" s="86">
        <v>12.79</v>
      </c>
      <c r="F8599" s="87">
        <v>15.07</v>
      </c>
      <c r="G8599" s="88">
        <f t="shared" si="23"/>
        <v>2.28</v>
      </c>
      <c r="H8599" s="89">
        <f t="shared" si="18"/>
        <v>0.1512939615</v>
      </c>
      <c r="I8599" s="78" t="s">
        <v>9774</v>
      </c>
      <c r="J8599" s="78" t="s">
        <v>69</v>
      </c>
      <c r="K8599" s="58">
        <f t="shared" si="17"/>
        <v>1</v>
      </c>
      <c r="L8599" s="91" t="str">
        <f t="shared" si="8"/>
        <v>Sun</v>
      </c>
      <c r="M8599" s="78" t="str">
        <f>IFERROR(VLOOKUP(A8599, Entries!A:B,2,false),"")</f>
        <v/>
      </c>
      <c r="N8599" s="23" t="str">
        <f>IFERROR(VLOOKUP(A8599, Entries!A:K,11,false),"")</f>
        <v/>
      </c>
    </row>
    <row r="8600">
      <c r="A8600" s="78" t="s">
        <v>9775</v>
      </c>
      <c r="B8600" s="78" t="s">
        <v>27</v>
      </c>
      <c r="C8600" s="85">
        <v>46109.0</v>
      </c>
      <c r="D8600" s="85">
        <v>46190.0</v>
      </c>
      <c r="E8600" s="86">
        <v>15.09</v>
      </c>
      <c r="F8600" s="87">
        <v>15.63</v>
      </c>
      <c r="G8600" s="88">
        <f t="shared" si="23"/>
        <v>0.54</v>
      </c>
      <c r="H8600" s="89">
        <f t="shared" si="18"/>
        <v>0.03454894434</v>
      </c>
      <c r="I8600" s="78" t="s">
        <v>9776</v>
      </c>
      <c r="J8600" s="78" t="s">
        <v>69</v>
      </c>
      <c r="K8600" s="58">
        <f t="shared" si="17"/>
        <v>81</v>
      </c>
      <c r="L8600" s="91" t="str">
        <f t="shared" si="8"/>
        <v>Wed</v>
      </c>
      <c r="M8600" s="78" t="str">
        <f>IFERROR(VLOOKUP(A8600, Entries!A:B,2,false),"")</f>
        <v/>
      </c>
      <c r="N8600" s="23" t="str">
        <f>IFERROR(VLOOKUP(A8600, Entries!A:K,11,false),"")</f>
        <v/>
      </c>
    </row>
    <row r="8601">
      <c r="A8601" s="78" t="s">
        <v>5768</v>
      </c>
      <c r="B8601" s="78" t="s">
        <v>23</v>
      </c>
      <c r="C8601" s="85">
        <v>46109.0</v>
      </c>
      <c r="D8601" s="85">
        <v>46109.0</v>
      </c>
      <c r="E8601" s="86">
        <v>14.49</v>
      </c>
      <c r="F8601" s="87">
        <v>16.45</v>
      </c>
      <c r="G8601" s="88">
        <f t="shared" si="23"/>
        <v>1.96</v>
      </c>
      <c r="H8601" s="89">
        <f t="shared" si="18"/>
        <v>0.1191489362</v>
      </c>
      <c r="I8601" s="78" t="s">
        <v>9777</v>
      </c>
      <c r="J8601" s="78" t="s">
        <v>69</v>
      </c>
      <c r="K8601" s="58">
        <f t="shared" si="17"/>
        <v>0</v>
      </c>
      <c r="L8601" s="91" t="str">
        <f t="shared" si="8"/>
        <v>Sat</v>
      </c>
      <c r="M8601" s="78" t="str">
        <f>IFERROR(VLOOKUP(A8601, Entries!A:B,2,false),"")</f>
        <v>10 Chambers</v>
      </c>
      <c r="N8601" s="23" t="str">
        <f>IFERROR(VLOOKUP(A8601, Entries!A:K,11,false),"")</f>
        <v/>
      </c>
    </row>
    <row r="8602">
      <c r="A8602" s="78" t="s">
        <v>9778</v>
      </c>
      <c r="B8602" s="78" t="s">
        <v>27</v>
      </c>
      <c r="C8602" s="85">
        <v>46109.0</v>
      </c>
      <c r="D8602" s="85">
        <v>46116.0</v>
      </c>
      <c r="E8602" s="86">
        <v>8.69</v>
      </c>
      <c r="F8602" s="87">
        <v>10.49</v>
      </c>
      <c r="G8602" s="88">
        <f t="shared" si="23"/>
        <v>1.8</v>
      </c>
      <c r="H8602" s="89">
        <f t="shared" si="18"/>
        <v>0.1715919924</v>
      </c>
      <c r="I8602" s="78" t="s">
        <v>9779</v>
      </c>
      <c r="J8602" s="78" t="s">
        <v>69</v>
      </c>
      <c r="K8602" s="58">
        <f t="shared" si="17"/>
        <v>7</v>
      </c>
      <c r="L8602" s="91" t="str">
        <f t="shared" si="8"/>
        <v>Sat</v>
      </c>
      <c r="M8602" s="78" t="str">
        <f>IFERROR(VLOOKUP(A8602, Entries!A:B,2,false),"")</f>
        <v/>
      </c>
      <c r="N8602" s="23" t="str">
        <f>IFERROR(VLOOKUP(A8602, Entries!A:K,11,false),"")</f>
        <v/>
      </c>
    </row>
    <row r="8603">
      <c r="A8603" s="78" t="s">
        <v>9475</v>
      </c>
      <c r="B8603" s="78" t="s">
        <v>27</v>
      </c>
      <c r="C8603" s="85">
        <v>46110.0</v>
      </c>
      <c r="D8603" s="85">
        <v>46111.0</v>
      </c>
      <c r="E8603" s="86">
        <v>12.79</v>
      </c>
      <c r="F8603" s="87">
        <v>15.13</v>
      </c>
      <c r="G8603" s="88">
        <f t="shared" si="23"/>
        <v>2.34</v>
      </c>
      <c r="H8603" s="89">
        <f t="shared" si="18"/>
        <v>0.1546596167</v>
      </c>
      <c r="I8603" s="78" t="s">
        <v>9780</v>
      </c>
      <c r="J8603" s="78" t="s">
        <v>69</v>
      </c>
      <c r="K8603" s="58">
        <f t="shared" si="17"/>
        <v>1</v>
      </c>
      <c r="L8603" s="91" t="str">
        <f t="shared" si="8"/>
        <v>Mon</v>
      </c>
      <c r="M8603" s="78" t="str">
        <f>IFERROR(VLOOKUP(A8603, Entries!A:B,2,false),"")</f>
        <v/>
      </c>
      <c r="N8603" s="23" t="str">
        <f>IFERROR(VLOOKUP(A8603, Entries!A:K,11,false),"")</f>
        <v/>
      </c>
    </row>
    <row r="8604">
      <c r="A8604" s="78" t="s">
        <v>9781</v>
      </c>
      <c r="B8604" s="78" t="s">
        <v>18</v>
      </c>
      <c r="C8604" s="85">
        <v>46110.0</v>
      </c>
      <c r="D8604" s="25"/>
      <c r="E8604" s="86">
        <v>15.18</v>
      </c>
      <c r="F8604" s="88"/>
      <c r="G8604" s="88">
        <f t="shared" si="23"/>
        <v>-15.18</v>
      </c>
      <c r="H8604" s="89" t="str">
        <f t="shared" si="18"/>
        <v/>
      </c>
      <c r="I8604" s="78" t="s">
        <v>9782</v>
      </c>
      <c r="J8604" s="78" t="s">
        <v>1129</v>
      </c>
      <c r="K8604" s="58" t="str">
        <f t="shared" si="17"/>
        <v/>
      </c>
      <c r="L8604" s="91" t="str">
        <f t="shared" si="8"/>
        <v/>
      </c>
      <c r="M8604" s="78" t="str">
        <f>IFERROR(VLOOKUP(A8604, Entries!A:B,2,false),"")</f>
        <v/>
      </c>
      <c r="N8604" s="23" t="str">
        <f>IFERROR(VLOOKUP(A8604, Entries!A:K,11,false),"")</f>
        <v/>
      </c>
    </row>
    <row r="8605">
      <c r="A8605" s="78" t="s">
        <v>9781</v>
      </c>
      <c r="B8605" s="78" t="s">
        <v>18</v>
      </c>
      <c r="C8605" s="85">
        <v>46110.0</v>
      </c>
      <c r="D8605" s="25"/>
      <c r="E8605" s="86">
        <v>15.18</v>
      </c>
      <c r="F8605" s="88"/>
      <c r="G8605" s="88">
        <f t="shared" si="23"/>
        <v>-15.18</v>
      </c>
      <c r="H8605" s="89" t="str">
        <f t="shared" si="18"/>
        <v/>
      </c>
      <c r="I8605" s="78" t="s">
        <v>9783</v>
      </c>
      <c r="J8605" s="78" t="s">
        <v>1129</v>
      </c>
      <c r="K8605" s="58" t="str">
        <f t="shared" si="17"/>
        <v/>
      </c>
      <c r="L8605" s="91" t="str">
        <f t="shared" si="8"/>
        <v/>
      </c>
      <c r="M8605" s="78" t="str">
        <f>IFERROR(VLOOKUP(A8605, Entries!A:B,2,false),"")</f>
        <v/>
      </c>
      <c r="N8605" s="23" t="str">
        <f>IFERROR(VLOOKUP(A8605, Entries!A:K,11,false),"")</f>
        <v/>
      </c>
    </row>
    <row r="8606">
      <c r="A8606" s="78" t="s">
        <v>9781</v>
      </c>
      <c r="B8606" s="78" t="s">
        <v>18</v>
      </c>
      <c r="C8606" s="85">
        <v>46110.0</v>
      </c>
      <c r="D8606" s="25"/>
      <c r="E8606" s="86">
        <v>15.18</v>
      </c>
      <c r="F8606" s="88"/>
      <c r="G8606" s="88">
        <f t="shared" si="23"/>
        <v>-15.18</v>
      </c>
      <c r="H8606" s="89" t="str">
        <f t="shared" si="18"/>
        <v/>
      </c>
      <c r="I8606" s="78" t="s">
        <v>9784</v>
      </c>
      <c r="J8606" s="78" t="s">
        <v>1129</v>
      </c>
      <c r="K8606" s="58" t="str">
        <f t="shared" si="17"/>
        <v/>
      </c>
      <c r="L8606" s="91" t="str">
        <f t="shared" si="8"/>
        <v/>
      </c>
      <c r="M8606" s="78" t="str">
        <f>IFERROR(VLOOKUP(A8606, Entries!A:B,2,false),"")</f>
        <v/>
      </c>
      <c r="N8606" s="23" t="str">
        <f>IFERROR(VLOOKUP(A8606, Entries!A:K,11,false),"")</f>
        <v/>
      </c>
    </row>
    <row r="8607">
      <c r="A8607" s="78" t="s">
        <v>9475</v>
      </c>
      <c r="B8607" s="78" t="s">
        <v>27</v>
      </c>
      <c r="C8607" s="85">
        <v>46110.0</v>
      </c>
      <c r="D8607" s="85">
        <v>46110.0</v>
      </c>
      <c r="E8607" s="86">
        <v>12.79</v>
      </c>
      <c r="F8607" s="87">
        <v>15.07</v>
      </c>
      <c r="G8607" s="88">
        <f t="shared" si="23"/>
        <v>2.28</v>
      </c>
      <c r="H8607" s="89">
        <f t="shared" si="18"/>
        <v>0.1512939615</v>
      </c>
      <c r="J8607" s="78" t="s">
        <v>69</v>
      </c>
      <c r="K8607" s="58">
        <f t="shared" si="17"/>
        <v>0</v>
      </c>
      <c r="L8607" s="91" t="str">
        <f t="shared" si="8"/>
        <v>Sun</v>
      </c>
      <c r="M8607" s="78" t="str">
        <f>IFERROR(VLOOKUP(A8607, Entries!A:B,2,false),"")</f>
        <v/>
      </c>
      <c r="N8607" s="23" t="str">
        <f>IFERROR(VLOOKUP(A8607, Entries!A:K,11,false),"")</f>
        <v/>
      </c>
    </row>
    <row r="8608">
      <c r="A8608" s="78" t="s">
        <v>9475</v>
      </c>
      <c r="B8608" s="78" t="s">
        <v>27</v>
      </c>
      <c r="C8608" s="85">
        <v>46110.0</v>
      </c>
      <c r="D8608" s="85">
        <v>46111.0</v>
      </c>
      <c r="E8608" s="86">
        <v>12.79</v>
      </c>
      <c r="F8608" s="87">
        <v>16.03</v>
      </c>
      <c r="G8608" s="88">
        <f t="shared" si="23"/>
        <v>3.24</v>
      </c>
      <c r="H8608" s="89">
        <f t="shared" si="18"/>
        <v>0.2021210231</v>
      </c>
      <c r="I8608" s="78" t="s">
        <v>9785</v>
      </c>
      <c r="J8608" s="78" t="s">
        <v>69</v>
      </c>
      <c r="K8608" s="58">
        <f t="shared" si="17"/>
        <v>1</v>
      </c>
      <c r="L8608" s="91" t="str">
        <f t="shared" si="8"/>
        <v>Mon</v>
      </c>
      <c r="M8608" s="78" t="str">
        <f>IFERROR(VLOOKUP(A8608, Entries!A:B,2,false),"")</f>
        <v/>
      </c>
      <c r="N8608" s="23" t="str">
        <f>IFERROR(VLOOKUP(A8608, Entries!A:K,11,false),"")</f>
        <v/>
      </c>
    </row>
    <row r="8609">
      <c r="A8609" s="78" t="s">
        <v>5768</v>
      </c>
      <c r="B8609" s="78" t="s">
        <v>18</v>
      </c>
      <c r="C8609" s="85">
        <v>46110.0</v>
      </c>
      <c r="D8609" s="85">
        <v>46111.0</v>
      </c>
      <c r="E8609" s="86">
        <v>17.06</v>
      </c>
      <c r="F8609" s="87">
        <v>21.35</v>
      </c>
      <c r="G8609" s="88">
        <f t="shared" si="23"/>
        <v>4.29</v>
      </c>
      <c r="H8609" s="89">
        <f t="shared" si="18"/>
        <v>0.2009367681</v>
      </c>
      <c r="I8609" s="78" t="s">
        <v>9786</v>
      </c>
      <c r="J8609" s="78" t="s">
        <v>69</v>
      </c>
      <c r="K8609" s="58">
        <f t="shared" si="17"/>
        <v>1</v>
      </c>
      <c r="L8609" s="91" t="str">
        <f t="shared" si="8"/>
        <v>Mon</v>
      </c>
      <c r="M8609" s="78" t="str">
        <f>IFERROR(VLOOKUP(A8609, Entries!A:B,2,false),"")</f>
        <v>10 Chambers</v>
      </c>
      <c r="N8609" s="23" t="str">
        <f>IFERROR(VLOOKUP(A8609, Entries!A:K,11,false),"")</f>
        <v/>
      </c>
    </row>
    <row r="8610">
      <c r="A8610" s="78" t="s">
        <v>5768</v>
      </c>
      <c r="B8610" s="78" t="s">
        <v>18</v>
      </c>
      <c r="C8610" s="85">
        <v>46110.0</v>
      </c>
      <c r="D8610" s="85">
        <v>46111.0</v>
      </c>
      <c r="E8610" s="86">
        <v>17.06</v>
      </c>
      <c r="F8610" s="87">
        <v>21.35</v>
      </c>
      <c r="G8610" s="88">
        <f t="shared" si="23"/>
        <v>4.29</v>
      </c>
      <c r="H8610" s="89">
        <f t="shared" si="18"/>
        <v>0.2009367681</v>
      </c>
      <c r="I8610" s="78" t="s">
        <v>9787</v>
      </c>
      <c r="J8610" s="78" t="s">
        <v>69</v>
      </c>
      <c r="K8610" s="58">
        <f t="shared" si="17"/>
        <v>1</v>
      </c>
      <c r="L8610" s="91" t="str">
        <f t="shared" si="8"/>
        <v>Mon</v>
      </c>
      <c r="M8610" s="78" t="str">
        <f>IFERROR(VLOOKUP(A8610, Entries!A:B,2,false),"")</f>
        <v>10 Chambers</v>
      </c>
      <c r="N8610" s="23" t="str">
        <f>IFERROR(VLOOKUP(A8610, Entries!A:K,11,false),"")</f>
        <v/>
      </c>
    </row>
    <row r="8611">
      <c r="A8611" s="78" t="s">
        <v>5768</v>
      </c>
      <c r="B8611" s="78" t="s">
        <v>18</v>
      </c>
      <c r="C8611" s="85">
        <v>46110.0</v>
      </c>
      <c r="D8611" s="85">
        <v>46115.0</v>
      </c>
      <c r="E8611" s="86">
        <v>17.06</v>
      </c>
      <c r="F8611" s="87">
        <v>18.33</v>
      </c>
      <c r="G8611" s="88">
        <f t="shared" si="23"/>
        <v>1.27</v>
      </c>
      <c r="H8611" s="89">
        <f t="shared" si="18"/>
        <v>0.0692853246</v>
      </c>
      <c r="I8611" s="78" t="s">
        <v>9788</v>
      </c>
      <c r="J8611" s="78" t="s">
        <v>69</v>
      </c>
      <c r="K8611" s="58">
        <f t="shared" si="17"/>
        <v>5</v>
      </c>
      <c r="L8611" s="91" t="str">
        <f t="shared" si="8"/>
        <v>Fri</v>
      </c>
      <c r="M8611" s="78" t="str">
        <f>IFERROR(VLOOKUP(A8611, Entries!A:B,2,false),"")</f>
        <v>10 Chambers</v>
      </c>
      <c r="N8611" s="23" t="str">
        <f>IFERROR(VLOOKUP(A8611, Entries!A:K,11,false),"")</f>
        <v/>
      </c>
    </row>
    <row r="8612">
      <c r="A8612" s="78" t="s">
        <v>9475</v>
      </c>
      <c r="B8612" s="78" t="s">
        <v>27</v>
      </c>
      <c r="C8612" s="85">
        <v>46111.0</v>
      </c>
      <c r="D8612" s="85">
        <v>46111.0</v>
      </c>
      <c r="E8612" s="86">
        <v>12.79</v>
      </c>
      <c r="F8612" s="87">
        <v>16.03</v>
      </c>
      <c r="G8612" s="88">
        <f t="shared" si="23"/>
        <v>3.24</v>
      </c>
      <c r="H8612" s="89">
        <f t="shared" si="18"/>
        <v>0.2021210231</v>
      </c>
      <c r="I8612" s="78" t="s">
        <v>9789</v>
      </c>
      <c r="J8612" s="78" t="s">
        <v>69</v>
      </c>
      <c r="K8612" s="58">
        <f t="shared" si="17"/>
        <v>0</v>
      </c>
      <c r="L8612" s="91" t="str">
        <f t="shared" si="8"/>
        <v>Mon</v>
      </c>
      <c r="M8612" s="78" t="str">
        <f>IFERROR(VLOOKUP(A8612, Entries!A:B,2,false),"")</f>
        <v/>
      </c>
      <c r="N8612" s="23" t="str">
        <f>IFERROR(VLOOKUP(A8612, Entries!A:K,11,false),"")</f>
        <v/>
      </c>
    </row>
    <row r="8613">
      <c r="A8613" s="78" t="s">
        <v>9475</v>
      </c>
      <c r="B8613" s="78" t="s">
        <v>27</v>
      </c>
      <c r="C8613" s="85">
        <v>46111.0</v>
      </c>
      <c r="D8613" s="85">
        <v>46112.0</v>
      </c>
      <c r="E8613" s="86">
        <v>12.79</v>
      </c>
      <c r="F8613" s="87">
        <v>17.7</v>
      </c>
      <c r="G8613" s="88">
        <f t="shared" si="23"/>
        <v>4.91</v>
      </c>
      <c r="H8613" s="89">
        <f t="shared" si="18"/>
        <v>0.2774011299</v>
      </c>
      <c r="I8613" s="78" t="s">
        <v>9790</v>
      </c>
      <c r="J8613" s="78" t="s">
        <v>69</v>
      </c>
      <c r="K8613" s="58">
        <f t="shared" si="17"/>
        <v>1</v>
      </c>
      <c r="L8613" s="91" t="str">
        <f t="shared" si="8"/>
        <v>Tue</v>
      </c>
      <c r="M8613" s="78" t="str">
        <f>IFERROR(VLOOKUP(A8613, Entries!A:B,2,false),"")</f>
        <v/>
      </c>
      <c r="N8613" s="23" t="str">
        <f>IFERROR(VLOOKUP(A8613, Entries!A:K,11,false),"")</f>
        <v/>
      </c>
    </row>
    <row r="8614">
      <c r="A8614" s="78" t="s">
        <v>9475</v>
      </c>
      <c r="B8614" s="78" t="s">
        <v>27</v>
      </c>
      <c r="C8614" s="85">
        <v>46111.0</v>
      </c>
      <c r="D8614" s="85">
        <v>46116.0</v>
      </c>
      <c r="E8614" s="86">
        <v>12.79</v>
      </c>
      <c r="F8614" s="87">
        <v>16.55</v>
      </c>
      <c r="G8614" s="88">
        <f t="shared" si="23"/>
        <v>3.76</v>
      </c>
      <c r="H8614" s="89">
        <f t="shared" si="18"/>
        <v>0.2271903323</v>
      </c>
      <c r="I8614" s="78" t="s">
        <v>9791</v>
      </c>
      <c r="J8614" s="78" t="s">
        <v>69</v>
      </c>
      <c r="K8614" s="58">
        <f t="shared" si="17"/>
        <v>5</v>
      </c>
      <c r="L8614" s="91" t="str">
        <f t="shared" si="8"/>
        <v>Sat</v>
      </c>
      <c r="M8614" s="78" t="str">
        <f>IFERROR(VLOOKUP(A8614, Entries!A:B,2,false),"")</f>
        <v/>
      </c>
      <c r="N8614" s="23" t="str">
        <f>IFERROR(VLOOKUP(A8614, Entries!A:K,11,false),"")</f>
        <v/>
      </c>
    </row>
    <row r="8615">
      <c r="A8615" s="78" t="s">
        <v>5676</v>
      </c>
      <c r="B8615" s="78" t="s">
        <v>27</v>
      </c>
      <c r="C8615" s="85">
        <v>46112.0</v>
      </c>
      <c r="D8615" s="85">
        <v>46112.0</v>
      </c>
      <c r="E8615" s="86">
        <v>31.29</v>
      </c>
      <c r="F8615" s="87">
        <v>36.57</v>
      </c>
      <c r="G8615" s="88">
        <f t="shared" si="23"/>
        <v>5.28</v>
      </c>
      <c r="H8615" s="89">
        <f t="shared" si="18"/>
        <v>0.1443806399</v>
      </c>
      <c r="I8615" s="78" t="s">
        <v>9792</v>
      </c>
      <c r="J8615" s="78" t="s">
        <v>69</v>
      </c>
      <c r="K8615" s="58">
        <f t="shared" si="17"/>
        <v>0</v>
      </c>
      <c r="L8615" s="91" t="str">
        <f t="shared" si="8"/>
        <v>Tue</v>
      </c>
      <c r="M8615" s="78" t="str">
        <f>IFERROR(VLOOKUP(A8615, Entries!A:B,2,false),"")</f>
        <v>Bethesda Softworks</v>
      </c>
      <c r="N8615" s="23" t="str">
        <f>IFERROR(VLOOKUP(A8615, Entries!A:K,11,false),"")</f>
        <v/>
      </c>
    </row>
    <row r="8616">
      <c r="A8616" s="78" t="s">
        <v>9793</v>
      </c>
      <c r="B8616" s="78" t="s">
        <v>27</v>
      </c>
      <c r="C8616" s="85">
        <v>46112.0</v>
      </c>
      <c r="D8616" s="85">
        <v>46114.0</v>
      </c>
      <c r="E8616" s="86">
        <v>7.49</v>
      </c>
      <c r="F8616" s="87">
        <v>8.6</v>
      </c>
      <c r="G8616" s="88">
        <f t="shared" si="23"/>
        <v>1.11</v>
      </c>
      <c r="H8616" s="89">
        <f t="shared" si="18"/>
        <v>0.1290697674</v>
      </c>
      <c r="I8616" s="78" t="s">
        <v>9794</v>
      </c>
      <c r="J8616" s="78" t="s">
        <v>69</v>
      </c>
      <c r="K8616" s="58">
        <f t="shared" si="17"/>
        <v>2</v>
      </c>
      <c r="L8616" s="91" t="str">
        <f t="shared" si="8"/>
        <v>Thu</v>
      </c>
      <c r="M8616" s="78" t="str">
        <f>IFERROR(VLOOKUP(A8616, Entries!A:B,2,false),"")</f>
        <v/>
      </c>
      <c r="N8616" s="23" t="str">
        <f>IFERROR(VLOOKUP(A8616, Entries!A:K,11,false),"")</f>
        <v/>
      </c>
    </row>
    <row r="8617">
      <c r="A8617" s="78" t="s">
        <v>5676</v>
      </c>
      <c r="B8617" s="78" t="s">
        <v>27</v>
      </c>
      <c r="C8617" s="85">
        <v>46112.0</v>
      </c>
      <c r="D8617" s="85">
        <v>46115.0</v>
      </c>
      <c r="E8617" s="86">
        <v>31.29</v>
      </c>
      <c r="F8617" s="87">
        <v>35.6</v>
      </c>
      <c r="G8617" s="88">
        <f t="shared" si="23"/>
        <v>4.31</v>
      </c>
      <c r="H8617" s="89">
        <f t="shared" si="18"/>
        <v>0.1210674157</v>
      </c>
      <c r="I8617" s="78" t="s">
        <v>9795</v>
      </c>
      <c r="J8617" s="78" t="s">
        <v>69</v>
      </c>
      <c r="K8617" s="58">
        <f t="shared" si="17"/>
        <v>3</v>
      </c>
      <c r="L8617" s="91" t="str">
        <f t="shared" si="8"/>
        <v>Fri</v>
      </c>
      <c r="M8617" s="78" t="str">
        <f>IFERROR(VLOOKUP(A8617, Entries!A:B,2,false),"")</f>
        <v>Bethesda Softworks</v>
      </c>
      <c r="N8617" s="23" t="str">
        <f>IFERROR(VLOOKUP(A8617, Entries!A:K,11,false),"")</f>
        <v/>
      </c>
    </row>
    <row r="8618">
      <c r="A8618" s="78" t="s">
        <v>9796</v>
      </c>
      <c r="B8618" s="78" t="s">
        <v>29</v>
      </c>
      <c r="C8618" s="85">
        <v>46113.0</v>
      </c>
      <c r="D8618" s="85">
        <v>46117.0</v>
      </c>
      <c r="E8618" s="86">
        <v>8.99</v>
      </c>
      <c r="F8618" s="87">
        <v>13.19</v>
      </c>
      <c r="G8618" s="88">
        <f t="shared" si="23"/>
        <v>4.2</v>
      </c>
      <c r="H8618" s="89">
        <f t="shared" si="18"/>
        <v>0.3184230478</v>
      </c>
      <c r="I8618" s="78" t="s">
        <v>9797</v>
      </c>
      <c r="J8618" s="78" t="s">
        <v>69</v>
      </c>
      <c r="K8618" s="58">
        <f t="shared" si="17"/>
        <v>4</v>
      </c>
      <c r="L8618" s="91" t="str">
        <f t="shared" si="8"/>
        <v>Sun</v>
      </c>
      <c r="M8618" s="78" t="str">
        <f>IFERROR(VLOOKUP(A8618, Entries!A:B,2,false),"")</f>
        <v/>
      </c>
      <c r="N8618" s="23" t="str">
        <f>IFERROR(VLOOKUP(A8618, Entries!A:K,11,false),"")</f>
        <v/>
      </c>
    </row>
    <row r="8619">
      <c r="A8619" s="78" t="s">
        <v>9796</v>
      </c>
      <c r="B8619" s="78" t="s">
        <v>29</v>
      </c>
      <c r="C8619" s="85">
        <v>46113.0</v>
      </c>
      <c r="D8619" s="85">
        <v>46118.0</v>
      </c>
      <c r="E8619" s="86">
        <v>8.99</v>
      </c>
      <c r="F8619" s="87">
        <v>13.28</v>
      </c>
      <c r="G8619" s="88">
        <f t="shared" si="23"/>
        <v>4.29</v>
      </c>
      <c r="H8619" s="89">
        <f t="shared" si="18"/>
        <v>0.3230421687</v>
      </c>
      <c r="I8619" s="78" t="s">
        <v>9798</v>
      </c>
      <c r="J8619" s="78" t="s">
        <v>69</v>
      </c>
      <c r="K8619" s="58">
        <f t="shared" si="17"/>
        <v>5</v>
      </c>
      <c r="L8619" s="91" t="str">
        <f t="shared" si="8"/>
        <v>Mon</v>
      </c>
      <c r="M8619" s="78" t="str">
        <f>IFERROR(VLOOKUP(A8619, Entries!A:B,2,false),"")</f>
        <v/>
      </c>
      <c r="N8619" s="23" t="str">
        <f>IFERROR(VLOOKUP(A8619, Entries!A:K,11,false),"")</f>
        <v/>
      </c>
    </row>
    <row r="8620">
      <c r="A8620" s="78" t="s">
        <v>9796</v>
      </c>
      <c r="B8620" s="78" t="s">
        <v>29</v>
      </c>
      <c r="C8620" s="85">
        <v>46113.0</v>
      </c>
      <c r="D8620" s="85">
        <v>46122.0</v>
      </c>
      <c r="E8620" s="86">
        <v>8.99</v>
      </c>
      <c r="F8620" s="87">
        <v>13.14</v>
      </c>
      <c r="G8620" s="88">
        <f t="shared" si="23"/>
        <v>4.15</v>
      </c>
      <c r="H8620" s="89">
        <f t="shared" si="18"/>
        <v>0.3158295282</v>
      </c>
      <c r="I8620" s="78" t="s">
        <v>9799</v>
      </c>
      <c r="J8620" s="78" t="s">
        <v>69</v>
      </c>
      <c r="K8620" s="58">
        <f t="shared" si="17"/>
        <v>9</v>
      </c>
      <c r="L8620" s="91" t="str">
        <f t="shared" si="8"/>
        <v>Fri</v>
      </c>
      <c r="M8620" s="78" t="str">
        <f>IFERROR(VLOOKUP(A8620, Entries!A:B,2,false),"")</f>
        <v/>
      </c>
      <c r="N8620" s="23" t="str">
        <f>IFERROR(VLOOKUP(A8620, Entries!A:K,11,false),"")</f>
        <v/>
      </c>
    </row>
    <row r="8621">
      <c r="A8621" s="78" t="s">
        <v>9793</v>
      </c>
      <c r="B8621" s="78" t="s">
        <v>27</v>
      </c>
      <c r="C8621" s="85">
        <v>46114.0</v>
      </c>
      <c r="D8621" s="25"/>
      <c r="E8621" s="86">
        <v>7.89</v>
      </c>
      <c r="F8621" s="88"/>
      <c r="G8621" s="88">
        <f t="shared" si="23"/>
        <v>-7.89</v>
      </c>
      <c r="H8621" s="89" t="str">
        <f t="shared" si="18"/>
        <v/>
      </c>
      <c r="I8621" s="78" t="s">
        <v>9800</v>
      </c>
      <c r="J8621" s="78" t="s">
        <v>1129</v>
      </c>
      <c r="K8621" s="58" t="str">
        <f t="shared" si="17"/>
        <v/>
      </c>
      <c r="L8621" s="91" t="str">
        <f t="shared" si="8"/>
        <v/>
      </c>
      <c r="M8621" s="78" t="str">
        <f>IFERROR(VLOOKUP(A8621, Entries!A:B,2,false),"")</f>
        <v/>
      </c>
      <c r="N8621" s="23" t="str">
        <f>IFERROR(VLOOKUP(A8621, Entries!A:K,11,false),"")</f>
        <v/>
      </c>
    </row>
    <row r="8622">
      <c r="A8622" s="78" t="s">
        <v>9662</v>
      </c>
      <c r="B8622" s="78" t="s">
        <v>32</v>
      </c>
      <c r="C8622" s="85">
        <v>46115.0</v>
      </c>
      <c r="D8622" s="85">
        <v>46117.0</v>
      </c>
      <c r="E8622" s="86">
        <v>5.93</v>
      </c>
      <c r="F8622" s="87">
        <v>7.5</v>
      </c>
      <c r="G8622" s="88">
        <f t="shared" si="23"/>
        <v>1.57</v>
      </c>
      <c r="H8622" s="89">
        <f t="shared" si="18"/>
        <v>0.2093333333</v>
      </c>
      <c r="I8622" s="78" t="s">
        <v>9801</v>
      </c>
      <c r="J8622" s="78" t="s">
        <v>69</v>
      </c>
      <c r="K8622" s="58">
        <f t="shared" si="17"/>
        <v>2</v>
      </c>
      <c r="L8622" s="91" t="str">
        <f t="shared" si="8"/>
        <v>Sun</v>
      </c>
      <c r="M8622" s="78" t="str">
        <f>IFERROR(VLOOKUP(A8622, Entries!A:B,2,false),"")</f>
        <v/>
      </c>
      <c r="N8622" s="23" t="str">
        <f>IFERROR(VLOOKUP(A8622, Entries!A:K,11,false),"")</f>
        <v/>
      </c>
    </row>
    <row r="8623">
      <c r="A8623" s="78" t="s">
        <v>9662</v>
      </c>
      <c r="B8623" s="78" t="s">
        <v>32</v>
      </c>
      <c r="C8623" s="85">
        <v>46115.0</v>
      </c>
      <c r="D8623" s="85">
        <v>46117.0</v>
      </c>
      <c r="E8623" s="86">
        <v>5.93</v>
      </c>
      <c r="F8623" s="87">
        <v>7.5</v>
      </c>
      <c r="G8623" s="88">
        <f t="shared" si="23"/>
        <v>1.57</v>
      </c>
      <c r="H8623" s="89">
        <f t="shared" si="18"/>
        <v>0.2093333333</v>
      </c>
      <c r="I8623" s="78" t="s">
        <v>9802</v>
      </c>
      <c r="J8623" s="78" t="s">
        <v>69</v>
      </c>
      <c r="K8623" s="58">
        <f t="shared" si="17"/>
        <v>2</v>
      </c>
      <c r="L8623" s="91" t="str">
        <f t="shared" si="8"/>
        <v>Sun</v>
      </c>
      <c r="M8623" s="78" t="str">
        <f>IFERROR(VLOOKUP(A8623, Entries!A:B,2,false),"")</f>
        <v/>
      </c>
      <c r="N8623" s="23" t="str">
        <f>IFERROR(VLOOKUP(A8623, Entries!A:K,11,false),"")</f>
        <v/>
      </c>
    </row>
    <row r="8624">
      <c r="A8624" s="78" t="s">
        <v>9662</v>
      </c>
      <c r="B8624" s="78" t="s">
        <v>32</v>
      </c>
      <c r="C8624" s="85">
        <v>46115.0</v>
      </c>
      <c r="D8624" s="85">
        <v>46117.0</v>
      </c>
      <c r="E8624" s="86">
        <v>5.93</v>
      </c>
      <c r="F8624" s="87">
        <v>7.5</v>
      </c>
      <c r="G8624" s="88">
        <f t="shared" si="23"/>
        <v>1.57</v>
      </c>
      <c r="H8624" s="89">
        <f t="shared" si="18"/>
        <v>0.2093333333</v>
      </c>
      <c r="I8624" s="78" t="s">
        <v>9803</v>
      </c>
      <c r="J8624" s="78" t="s">
        <v>69</v>
      </c>
      <c r="K8624" s="58">
        <f t="shared" si="17"/>
        <v>2</v>
      </c>
      <c r="L8624" s="91" t="str">
        <f t="shared" si="8"/>
        <v>Sun</v>
      </c>
      <c r="M8624" s="78" t="str">
        <f>IFERROR(VLOOKUP(A8624, Entries!A:B,2,false),"")</f>
        <v/>
      </c>
      <c r="N8624" s="23" t="str">
        <f>IFERROR(VLOOKUP(A8624, Entries!A:K,11,false),"")</f>
        <v/>
      </c>
    </row>
    <row r="8625">
      <c r="A8625" s="78" t="s">
        <v>9662</v>
      </c>
      <c r="B8625" s="78" t="s">
        <v>32</v>
      </c>
      <c r="C8625" s="85">
        <v>46115.0</v>
      </c>
      <c r="D8625" s="85">
        <v>46157.0</v>
      </c>
      <c r="E8625" s="86">
        <v>5.93</v>
      </c>
      <c r="F8625" s="87">
        <v>6.15</v>
      </c>
      <c r="G8625" s="88">
        <f t="shared" si="23"/>
        <v>0.22</v>
      </c>
      <c r="H8625" s="89">
        <f t="shared" si="18"/>
        <v>0.03577235772</v>
      </c>
      <c r="I8625" s="78" t="s">
        <v>9804</v>
      </c>
      <c r="J8625" s="78" t="s">
        <v>69</v>
      </c>
      <c r="K8625" s="58">
        <f t="shared" si="17"/>
        <v>42</v>
      </c>
      <c r="L8625" s="91" t="str">
        <f t="shared" si="8"/>
        <v>Fri</v>
      </c>
      <c r="M8625" s="78" t="str">
        <f>IFERROR(VLOOKUP(A8625, Entries!A:B,2,false),"")</f>
        <v/>
      </c>
      <c r="N8625" s="23" t="str">
        <f>IFERROR(VLOOKUP(A8625, Entries!A:K,11,false),"")</f>
        <v/>
      </c>
    </row>
    <row r="8626">
      <c r="A8626" s="78" t="s">
        <v>9662</v>
      </c>
      <c r="B8626" s="78" t="s">
        <v>32</v>
      </c>
      <c r="C8626" s="85">
        <v>46115.0</v>
      </c>
      <c r="D8626" s="85">
        <v>46157.0</v>
      </c>
      <c r="E8626" s="86">
        <v>5.93</v>
      </c>
      <c r="F8626" s="87">
        <v>6.15</v>
      </c>
      <c r="G8626" s="88">
        <f t="shared" si="23"/>
        <v>0.22</v>
      </c>
      <c r="H8626" s="89">
        <f t="shared" si="18"/>
        <v>0.03577235772</v>
      </c>
      <c r="I8626" s="78" t="s">
        <v>9805</v>
      </c>
      <c r="J8626" s="78" t="s">
        <v>69</v>
      </c>
      <c r="K8626" s="58">
        <f t="shared" si="17"/>
        <v>42</v>
      </c>
      <c r="L8626" s="91" t="str">
        <f t="shared" si="8"/>
        <v>Fri</v>
      </c>
      <c r="M8626" s="78" t="str">
        <f>IFERROR(VLOOKUP(A8626, Entries!A:B,2,false),"")</f>
        <v/>
      </c>
      <c r="N8626" s="23" t="str">
        <f>IFERROR(VLOOKUP(A8626, Entries!A:K,11,false),"")</f>
        <v/>
      </c>
    </row>
    <row r="8627">
      <c r="A8627" s="78" t="s">
        <v>5768</v>
      </c>
      <c r="B8627" s="78" t="s">
        <v>17</v>
      </c>
      <c r="C8627" s="85">
        <v>46115.0</v>
      </c>
      <c r="D8627" s="85">
        <v>46115.0</v>
      </c>
      <c r="E8627" s="86">
        <v>12.5</v>
      </c>
      <c r="F8627" s="87">
        <v>18.68</v>
      </c>
      <c r="G8627" s="88">
        <f t="shared" si="23"/>
        <v>6.18</v>
      </c>
      <c r="H8627" s="89">
        <f t="shared" si="18"/>
        <v>0.3308351178</v>
      </c>
      <c r="I8627" s="78" t="s">
        <v>9806</v>
      </c>
      <c r="J8627" s="78" t="s">
        <v>69</v>
      </c>
      <c r="K8627" s="58">
        <f t="shared" si="17"/>
        <v>0</v>
      </c>
      <c r="L8627" s="91" t="str">
        <f t="shared" si="8"/>
        <v>Fri</v>
      </c>
      <c r="M8627" s="78" t="str">
        <f>IFERROR(VLOOKUP(A8627, Entries!A:B,2,false),"")</f>
        <v>10 Chambers</v>
      </c>
      <c r="N8627" s="23" t="str">
        <f>IFERROR(VLOOKUP(A8627, Entries!A:K,11,false),"")</f>
        <v/>
      </c>
      <c r="P8627" s="78" t="s">
        <v>9807</v>
      </c>
    </row>
    <row r="8628">
      <c r="A8628" s="78" t="s">
        <v>9390</v>
      </c>
      <c r="B8628" s="78" t="s">
        <v>27</v>
      </c>
      <c r="C8628" s="85">
        <v>46115.0</v>
      </c>
      <c r="D8628" s="85">
        <v>46115.0</v>
      </c>
      <c r="E8628" s="86">
        <v>1.49</v>
      </c>
      <c r="F8628" s="87">
        <v>2.53</v>
      </c>
      <c r="G8628" s="88">
        <f t="shared" si="23"/>
        <v>1.04</v>
      </c>
      <c r="H8628" s="89">
        <f t="shared" si="18"/>
        <v>0.4110671937</v>
      </c>
      <c r="I8628" s="78" t="s">
        <v>9808</v>
      </c>
      <c r="J8628" s="78" t="s">
        <v>69</v>
      </c>
      <c r="K8628" s="58">
        <f t="shared" si="17"/>
        <v>0</v>
      </c>
      <c r="L8628" s="91" t="str">
        <f t="shared" si="8"/>
        <v>Fri</v>
      </c>
      <c r="M8628" s="78" t="str">
        <f>IFERROR(VLOOKUP(A8628, Entries!A:B,2,false),"")</f>
        <v/>
      </c>
      <c r="N8628" s="23" t="str">
        <f>IFERROR(VLOOKUP(A8628, Entries!A:K,11,false),"")</f>
        <v/>
      </c>
    </row>
    <row r="8629">
      <c r="A8629" s="78" t="s">
        <v>5676</v>
      </c>
      <c r="B8629" s="78" t="s">
        <v>27</v>
      </c>
      <c r="C8629" s="85">
        <v>46115.0</v>
      </c>
      <c r="D8629" s="85">
        <v>46119.0</v>
      </c>
      <c r="E8629" s="86">
        <v>28.99</v>
      </c>
      <c r="F8629" s="87">
        <v>36.77</v>
      </c>
      <c r="G8629" s="88">
        <f t="shared" si="23"/>
        <v>7.78</v>
      </c>
      <c r="H8629" s="89">
        <f t="shared" si="18"/>
        <v>0.2115855317</v>
      </c>
      <c r="I8629" s="78" t="s">
        <v>9809</v>
      </c>
      <c r="J8629" s="78" t="s">
        <v>69</v>
      </c>
      <c r="K8629" s="58">
        <f t="shared" si="17"/>
        <v>4</v>
      </c>
      <c r="L8629" s="91" t="str">
        <f t="shared" si="8"/>
        <v>Tue</v>
      </c>
      <c r="M8629" s="78" t="str">
        <f>IFERROR(VLOOKUP(A8629, Entries!A:B,2,false),"")</f>
        <v>Bethesda Softworks</v>
      </c>
      <c r="N8629" s="23" t="str">
        <f>IFERROR(VLOOKUP(A8629, Entries!A:K,11,false),"")</f>
        <v/>
      </c>
    </row>
    <row r="8630">
      <c r="A8630" s="78" t="s">
        <v>9390</v>
      </c>
      <c r="B8630" s="78" t="s">
        <v>27</v>
      </c>
      <c r="C8630" s="85">
        <v>46115.0</v>
      </c>
      <c r="D8630" s="85">
        <v>46117.0</v>
      </c>
      <c r="E8630" s="86">
        <v>1.49</v>
      </c>
      <c r="F8630" s="87">
        <v>2.54</v>
      </c>
      <c r="G8630" s="88">
        <f t="shared" si="23"/>
        <v>1.05</v>
      </c>
      <c r="H8630" s="89">
        <f t="shared" si="18"/>
        <v>0.4133858268</v>
      </c>
      <c r="I8630" s="78" t="s">
        <v>9810</v>
      </c>
      <c r="J8630" s="78" t="s">
        <v>69</v>
      </c>
      <c r="K8630" s="58">
        <f t="shared" si="17"/>
        <v>2</v>
      </c>
      <c r="L8630" s="91" t="str">
        <f t="shared" si="8"/>
        <v>Sun</v>
      </c>
      <c r="M8630" s="78" t="str">
        <f>IFERROR(VLOOKUP(A8630, Entries!A:B,2,false),"")</f>
        <v/>
      </c>
      <c r="N8630" s="23" t="str">
        <f>IFERROR(VLOOKUP(A8630, Entries!A:K,11,false),"")</f>
        <v/>
      </c>
    </row>
    <row r="8631">
      <c r="A8631" s="78" t="s">
        <v>7647</v>
      </c>
      <c r="B8631" s="78" t="s">
        <v>27</v>
      </c>
      <c r="C8631" s="85">
        <v>46115.0</v>
      </c>
      <c r="D8631" s="25"/>
      <c r="E8631" s="86">
        <v>26.69</v>
      </c>
      <c r="F8631" s="88"/>
      <c r="G8631" s="88">
        <f t="shared" si="23"/>
        <v>-26.69</v>
      </c>
      <c r="H8631" s="89" t="str">
        <f t="shared" si="18"/>
        <v/>
      </c>
      <c r="I8631" s="78" t="s">
        <v>9811</v>
      </c>
      <c r="J8631" s="78" t="s">
        <v>1129</v>
      </c>
      <c r="K8631" s="58" t="str">
        <f t="shared" si="17"/>
        <v/>
      </c>
      <c r="L8631" s="91" t="str">
        <f t="shared" si="8"/>
        <v/>
      </c>
      <c r="M8631" s="78" t="str">
        <f>IFERROR(VLOOKUP(A8631, Entries!A:B,2,false),"")</f>
        <v>PlayStation</v>
      </c>
      <c r="N8631" s="23" t="str">
        <f>IFERROR(VLOOKUP(A8631, Entries!A:K,11,false),"")</f>
        <v/>
      </c>
    </row>
    <row r="8632">
      <c r="A8632" s="78" t="s">
        <v>9793</v>
      </c>
      <c r="B8632" s="78" t="s">
        <v>29</v>
      </c>
      <c r="C8632" s="85">
        <v>46116.0</v>
      </c>
      <c r="D8632" s="85">
        <v>46146.0</v>
      </c>
      <c r="E8632" s="86">
        <v>6.34</v>
      </c>
      <c r="F8632" s="87">
        <v>6.8</v>
      </c>
      <c r="G8632" s="88">
        <f t="shared" si="23"/>
        <v>0.46</v>
      </c>
      <c r="H8632" s="89">
        <f t="shared" si="18"/>
        <v>0.06764705882</v>
      </c>
      <c r="I8632" s="78" t="s">
        <v>9812</v>
      </c>
      <c r="J8632" s="78" t="s">
        <v>69</v>
      </c>
      <c r="K8632" s="58">
        <f t="shared" si="17"/>
        <v>30</v>
      </c>
      <c r="L8632" s="91" t="str">
        <f t="shared" si="8"/>
        <v>Mon</v>
      </c>
      <c r="M8632" s="78" t="str">
        <f>IFERROR(VLOOKUP(A8632, Entries!A:B,2,false),"")</f>
        <v/>
      </c>
      <c r="N8632" s="23" t="str">
        <f>IFERROR(VLOOKUP(A8632, Entries!A:K,11,false),"")</f>
        <v/>
      </c>
    </row>
    <row r="8633">
      <c r="A8633" s="78" t="s">
        <v>9793</v>
      </c>
      <c r="B8633" s="78" t="s">
        <v>29</v>
      </c>
      <c r="C8633" s="85">
        <v>46116.0</v>
      </c>
      <c r="D8633" s="85">
        <v>46146.0</v>
      </c>
      <c r="E8633" s="86">
        <v>6.34</v>
      </c>
      <c r="F8633" s="87">
        <v>6.8</v>
      </c>
      <c r="G8633" s="88">
        <f t="shared" si="23"/>
        <v>0.46</v>
      </c>
      <c r="H8633" s="89">
        <f t="shared" si="18"/>
        <v>0.06764705882</v>
      </c>
      <c r="I8633" s="78" t="s">
        <v>9813</v>
      </c>
      <c r="J8633" s="78" t="s">
        <v>69</v>
      </c>
      <c r="K8633" s="58">
        <f t="shared" si="17"/>
        <v>30</v>
      </c>
      <c r="L8633" s="91" t="str">
        <f t="shared" si="8"/>
        <v>Mon</v>
      </c>
      <c r="M8633" s="78" t="str">
        <f>IFERROR(VLOOKUP(A8633, Entries!A:B,2,false),"")</f>
        <v/>
      </c>
      <c r="N8633" s="23" t="str">
        <f>IFERROR(VLOOKUP(A8633, Entries!A:K,11,false),"")</f>
        <v/>
      </c>
    </row>
    <row r="8634">
      <c r="A8634" s="78" t="s">
        <v>9793</v>
      </c>
      <c r="B8634" s="78" t="s">
        <v>29</v>
      </c>
      <c r="C8634" s="85">
        <v>46116.0</v>
      </c>
      <c r="D8634" s="85">
        <v>46146.0</v>
      </c>
      <c r="E8634" s="86">
        <v>6.34</v>
      </c>
      <c r="F8634" s="87">
        <v>6.8</v>
      </c>
      <c r="G8634" s="88">
        <f t="shared" si="23"/>
        <v>0.46</v>
      </c>
      <c r="H8634" s="89">
        <f t="shared" si="18"/>
        <v>0.06764705882</v>
      </c>
      <c r="I8634" s="78" t="s">
        <v>9814</v>
      </c>
      <c r="J8634" s="78" t="s">
        <v>69</v>
      </c>
      <c r="K8634" s="58">
        <f t="shared" si="17"/>
        <v>30</v>
      </c>
      <c r="L8634" s="91" t="str">
        <f t="shared" si="8"/>
        <v>Mon</v>
      </c>
      <c r="M8634" s="78" t="str">
        <f>IFERROR(VLOOKUP(A8634, Entries!A:B,2,false),"")</f>
        <v/>
      </c>
      <c r="N8634" s="23" t="str">
        <f>IFERROR(VLOOKUP(A8634, Entries!A:K,11,false),"")</f>
        <v/>
      </c>
    </row>
    <row r="8635">
      <c r="A8635" s="78" t="s">
        <v>9793</v>
      </c>
      <c r="B8635" s="78" t="s">
        <v>29</v>
      </c>
      <c r="C8635" s="85">
        <v>46116.0</v>
      </c>
      <c r="D8635" s="85">
        <v>46146.0</v>
      </c>
      <c r="E8635" s="86">
        <v>6.34</v>
      </c>
      <c r="F8635" s="87">
        <v>7.22</v>
      </c>
      <c r="G8635" s="88">
        <f t="shared" si="23"/>
        <v>0.88</v>
      </c>
      <c r="H8635" s="89">
        <f t="shared" si="18"/>
        <v>0.1218836565</v>
      </c>
      <c r="I8635" s="78" t="s">
        <v>9815</v>
      </c>
      <c r="J8635" s="78" t="s">
        <v>69</v>
      </c>
      <c r="K8635" s="58">
        <f t="shared" si="17"/>
        <v>30</v>
      </c>
      <c r="L8635" s="91" t="str">
        <f t="shared" si="8"/>
        <v>Mon</v>
      </c>
      <c r="M8635" s="78" t="str">
        <f>IFERROR(VLOOKUP(A8635, Entries!A:B,2,false),"")</f>
        <v/>
      </c>
      <c r="N8635" s="23" t="str">
        <f>IFERROR(VLOOKUP(A8635, Entries!A:K,11,false),"")</f>
        <v/>
      </c>
    </row>
    <row r="8636">
      <c r="A8636" s="78" t="s">
        <v>9793</v>
      </c>
      <c r="B8636" s="78" t="s">
        <v>29</v>
      </c>
      <c r="C8636" s="85">
        <v>46116.0</v>
      </c>
      <c r="D8636" s="85">
        <v>46147.0</v>
      </c>
      <c r="E8636" s="86">
        <v>6.34</v>
      </c>
      <c r="F8636" s="87">
        <v>7.22</v>
      </c>
      <c r="G8636" s="88">
        <f t="shared" si="23"/>
        <v>0.88</v>
      </c>
      <c r="H8636" s="89">
        <f t="shared" si="18"/>
        <v>0.1218836565</v>
      </c>
      <c r="I8636" s="78" t="s">
        <v>9816</v>
      </c>
      <c r="J8636" s="78" t="s">
        <v>69</v>
      </c>
      <c r="K8636" s="58">
        <f t="shared" si="17"/>
        <v>31</v>
      </c>
      <c r="L8636" s="91" t="str">
        <f t="shared" si="8"/>
        <v>Tue</v>
      </c>
      <c r="M8636" s="78" t="str">
        <f>IFERROR(VLOOKUP(A8636, Entries!A:B,2,false),"")</f>
        <v/>
      </c>
      <c r="N8636" s="23" t="str">
        <f>IFERROR(VLOOKUP(A8636, Entries!A:K,11,false),"")</f>
        <v/>
      </c>
    </row>
    <row r="8637">
      <c r="A8637" s="78" t="s">
        <v>9793</v>
      </c>
      <c r="B8637" s="78" t="s">
        <v>29</v>
      </c>
      <c r="C8637" s="85">
        <v>46116.0</v>
      </c>
      <c r="D8637" s="85">
        <v>46148.0</v>
      </c>
      <c r="E8637" s="86">
        <v>6.34</v>
      </c>
      <c r="F8637" s="87">
        <v>7.32</v>
      </c>
      <c r="G8637" s="88">
        <f t="shared" si="23"/>
        <v>0.98</v>
      </c>
      <c r="H8637" s="89">
        <f t="shared" si="18"/>
        <v>0.1338797814</v>
      </c>
      <c r="I8637" s="78" t="s">
        <v>9817</v>
      </c>
      <c r="J8637" s="78" t="s">
        <v>69</v>
      </c>
      <c r="K8637" s="58">
        <f t="shared" si="17"/>
        <v>32</v>
      </c>
      <c r="L8637" s="91" t="str">
        <f t="shared" si="8"/>
        <v>Wed</v>
      </c>
      <c r="M8637" s="78" t="str">
        <f>IFERROR(VLOOKUP(A8637, Entries!A:B,2,false),"")</f>
        <v/>
      </c>
      <c r="N8637" s="23" t="str">
        <f>IFERROR(VLOOKUP(A8637, Entries!A:K,11,false),"")</f>
        <v/>
      </c>
    </row>
    <row r="8638">
      <c r="A8638" s="78" t="s">
        <v>9793</v>
      </c>
      <c r="B8638" s="78" t="s">
        <v>29</v>
      </c>
      <c r="C8638" s="85">
        <v>46116.0</v>
      </c>
      <c r="D8638" s="85">
        <v>46148.0</v>
      </c>
      <c r="E8638" s="86">
        <v>6.34</v>
      </c>
      <c r="F8638" s="87">
        <v>7.33</v>
      </c>
      <c r="G8638" s="88">
        <f t="shared" si="23"/>
        <v>0.99</v>
      </c>
      <c r="H8638" s="89">
        <f t="shared" si="18"/>
        <v>0.1350613915</v>
      </c>
      <c r="I8638" s="78" t="s">
        <v>9818</v>
      </c>
      <c r="J8638" s="78" t="s">
        <v>69</v>
      </c>
      <c r="K8638" s="58">
        <f t="shared" si="17"/>
        <v>32</v>
      </c>
      <c r="L8638" s="91" t="str">
        <f t="shared" si="8"/>
        <v>Wed</v>
      </c>
      <c r="M8638" s="78" t="str">
        <f>IFERROR(VLOOKUP(A8638, Entries!A:B,2,false),"")</f>
        <v/>
      </c>
      <c r="N8638" s="23" t="str">
        <f>IFERROR(VLOOKUP(A8638, Entries!A:K,11,false),"")</f>
        <v/>
      </c>
    </row>
    <row r="8639">
      <c r="A8639" s="78" t="s">
        <v>9793</v>
      </c>
      <c r="B8639" s="78" t="s">
        <v>29</v>
      </c>
      <c r="C8639" s="85">
        <v>46116.0</v>
      </c>
      <c r="D8639" s="85">
        <v>46149.0</v>
      </c>
      <c r="E8639" s="86">
        <v>6.34</v>
      </c>
      <c r="F8639" s="87">
        <v>7.33</v>
      </c>
      <c r="G8639" s="88">
        <f t="shared" si="23"/>
        <v>0.99</v>
      </c>
      <c r="H8639" s="89">
        <f t="shared" si="18"/>
        <v>0.1350613915</v>
      </c>
      <c r="I8639" s="78" t="s">
        <v>9819</v>
      </c>
      <c r="J8639" s="78" t="s">
        <v>69</v>
      </c>
      <c r="K8639" s="58">
        <f t="shared" si="17"/>
        <v>33</v>
      </c>
      <c r="L8639" s="91" t="str">
        <f t="shared" si="8"/>
        <v>Thu</v>
      </c>
      <c r="M8639" s="78" t="str">
        <f>IFERROR(VLOOKUP(A8639, Entries!A:B,2,false),"")</f>
        <v/>
      </c>
      <c r="N8639" s="23" t="str">
        <f>IFERROR(VLOOKUP(A8639, Entries!A:K,11,false),"")</f>
        <v/>
      </c>
    </row>
    <row r="8640">
      <c r="A8640" s="78" t="s">
        <v>9793</v>
      </c>
      <c r="B8640" s="78" t="s">
        <v>29</v>
      </c>
      <c r="C8640" s="85">
        <v>46116.0</v>
      </c>
      <c r="D8640" s="85">
        <v>46149.0</v>
      </c>
      <c r="E8640" s="86">
        <v>6.34</v>
      </c>
      <c r="F8640" s="87">
        <v>7.33</v>
      </c>
      <c r="G8640" s="88">
        <f t="shared" si="23"/>
        <v>0.99</v>
      </c>
      <c r="H8640" s="89">
        <f t="shared" si="18"/>
        <v>0.1350613915</v>
      </c>
      <c r="I8640" s="78" t="s">
        <v>9820</v>
      </c>
      <c r="J8640" s="78" t="s">
        <v>69</v>
      </c>
      <c r="K8640" s="58">
        <f t="shared" si="17"/>
        <v>33</v>
      </c>
      <c r="L8640" s="91" t="str">
        <f t="shared" si="8"/>
        <v>Thu</v>
      </c>
      <c r="M8640" s="78" t="str">
        <f>IFERROR(VLOOKUP(A8640, Entries!A:B,2,false),"")</f>
        <v/>
      </c>
      <c r="N8640" s="23" t="str">
        <f>IFERROR(VLOOKUP(A8640, Entries!A:K,11,false),"")</f>
        <v/>
      </c>
    </row>
    <row r="8641">
      <c r="A8641" s="78" t="s">
        <v>9793</v>
      </c>
      <c r="B8641" s="78" t="s">
        <v>29</v>
      </c>
      <c r="C8641" s="85">
        <v>46116.0</v>
      </c>
      <c r="D8641" s="85">
        <v>46149.0</v>
      </c>
      <c r="E8641" s="86">
        <v>6.34</v>
      </c>
      <c r="F8641" s="87">
        <v>7.33</v>
      </c>
      <c r="G8641" s="88">
        <f t="shared" si="23"/>
        <v>0.99</v>
      </c>
      <c r="H8641" s="89">
        <f t="shared" si="18"/>
        <v>0.1350613915</v>
      </c>
      <c r="I8641" s="78" t="s">
        <v>9821</v>
      </c>
      <c r="J8641" s="78" t="s">
        <v>69</v>
      </c>
      <c r="K8641" s="58">
        <f t="shared" si="17"/>
        <v>33</v>
      </c>
      <c r="L8641" s="91" t="str">
        <f t="shared" si="8"/>
        <v>Thu</v>
      </c>
      <c r="M8641" s="78" t="str">
        <f>IFERROR(VLOOKUP(A8641, Entries!A:B,2,false),"")</f>
        <v/>
      </c>
      <c r="N8641" s="23" t="str">
        <f>IFERROR(VLOOKUP(A8641, Entries!A:K,11,false),"")</f>
        <v/>
      </c>
    </row>
    <row r="8642">
      <c r="A8642" s="78" t="s">
        <v>9778</v>
      </c>
      <c r="B8642" s="78" t="s">
        <v>25</v>
      </c>
      <c r="C8642" s="85">
        <v>46116.0</v>
      </c>
      <c r="D8642" s="85">
        <v>46116.0</v>
      </c>
      <c r="E8642" s="86">
        <v>8.8</v>
      </c>
      <c r="F8642" s="87">
        <v>10.49</v>
      </c>
      <c r="G8642" s="88">
        <f t="shared" si="23"/>
        <v>1.69</v>
      </c>
      <c r="H8642" s="89">
        <f t="shared" si="18"/>
        <v>0.1611058151</v>
      </c>
      <c r="I8642" s="78" t="s">
        <v>9822</v>
      </c>
      <c r="J8642" s="78" t="s">
        <v>69</v>
      </c>
      <c r="K8642" s="58">
        <f t="shared" si="17"/>
        <v>0</v>
      </c>
      <c r="L8642" s="91" t="str">
        <f t="shared" si="8"/>
        <v>Sat</v>
      </c>
      <c r="M8642" s="78" t="str">
        <f>IFERROR(VLOOKUP(A8642, Entries!A:B,2,false),"")</f>
        <v/>
      </c>
      <c r="N8642" s="23" t="str">
        <f>IFERROR(VLOOKUP(A8642, Entries!A:K,11,false),"")</f>
        <v/>
      </c>
    </row>
    <row r="8643">
      <c r="A8643" s="78" t="s">
        <v>9778</v>
      </c>
      <c r="B8643" s="78" t="s">
        <v>25</v>
      </c>
      <c r="C8643" s="85">
        <v>46116.0</v>
      </c>
      <c r="D8643" s="85">
        <v>46118.0</v>
      </c>
      <c r="E8643" s="86">
        <v>8.81</v>
      </c>
      <c r="F8643" s="87">
        <v>10.38</v>
      </c>
      <c r="G8643" s="88">
        <f t="shared" si="23"/>
        <v>1.57</v>
      </c>
      <c r="H8643" s="89">
        <f t="shared" si="18"/>
        <v>0.1512524085</v>
      </c>
      <c r="I8643" s="78" t="s">
        <v>9823</v>
      </c>
      <c r="J8643" s="78" t="s">
        <v>69</v>
      </c>
      <c r="K8643" s="58">
        <f t="shared" si="17"/>
        <v>2</v>
      </c>
      <c r="L8643" s="91" t="str">
        <f t="shared" si="8"/>
        <v>Mon</v>
      </c>
      <c r="M8643" s="78" t="str">
        <f>IFERROR(VLOOKUP(A8643, Entries!A:B,2,false),"")</f>
        <v/>
      </c>
      <c r="N8643" s="23" t="str">
        <f>IFERROR(VLOOKUP(A8643, Entries!A:K,11,false),"")</f>
        <v/>
      </c>
    </row>
    <row r="8644">
      <c r="A8644" s="78" t="s">
        <v>9824</v>
      </c>
      <c r="B8644" s="78" t="s">
        <v>27</v>
      </c>
      <c r="C8644" s="85">
        <v>46116.0</v>
      </c>
      <c r="D8644" s="85">
        <v>46117.0</v>
      </c>
      <c r="E8644" s="86">
        <v>16.19</v>
      </c>
      <c r="F8644" s="87">
        <v>18.09</v>
      </c>
      <c r="G8644" s="88">
        <f t="shared" si="23"/>
        <v>1.9</v>
      </c>
      <c r="H8644" s="89">
        <f t="shared" si="18"/>
        <v>0.1050304035</v>
      </c>
      <c r="I8644" s="78" t="s">
        <v>9825</v>
      </c>
      <c r="J8644" s="78" t="s">
        <v>69</v>
      </c>
      <c r="K8644" s="58">
        <f t="shared" si="17"/>
        <v>1</v>
      </c>
      <c r="L8644" s="91" t="str">
        <f t="shared" si="8"/>
        <v>Sun</v>
      </c>
      <c r="M8644" s="78" t="str">
        <f>IFERROR(VLOOKUP(A8644, Entries!A:B,2,false),"")</f>
        <v/>
      </c>
      <c r="N8644" s="23" t="str">
        <f>IFERROR(VLOOKUP(A8644, Entries!A:K,11,false),"")</f>
        <v/>
      </c>
    </row>
    <row r="8645">
      <c r="A8645" s="78" t="s">
        <v>9475</v>
      </c>
      <c r="B8645" s="78" t="s">
        <v>27</v>
      </c>
      <c r="C8645" s="85">
        <v>46116.0</v>
      </c>
      <c r="D8645" s="85">
        <v>46117.0</v>
      </c>
      <c r="E8645" s="86">
        <v>12.79</v>
      </c>
      <c r="F8645" s="87">
        <v>16.69</v>
      </c>
      <c r="G8645" s="88">
        <f t="shared" si="23"/>
        <v>3.9</v>
      </c>
      <c r="H8645" s="89">
        <f t="shared" si="18"/>
        <v>0.233672858</v>
      </c>
      <c r="I8645" s="78" t="s">
        <v>9826</v>
      </c>
      <c r="J8645" s="78" t="s">
        <v>69</v>
      </c>
      <c r="K8645" s="58">
        <f t="shared" si="17"/>
        <v>1</v>
      </c>
      <c r="L8645" s="91" t="str">
        <f t="shared" si="8"/>
        <v>Sun</v>
      </c>
      <c r="M8645" s="78" t="str">
        <f>IFERROR(VLOOKUP(A8645, Entries!A:B,2,false),"")</f>
        <v/>
      </c>
      <c r="N8645" s="23" t="str">
        <f>IFERROR(VLOOKUP(A8645, Entries!A:K,11,false),"")</f>
        <v/>
      </c>
    </row>
    <row r="8646">
      <c r="A8646" s="78" t="s">
        <v>9475</v>
      </c>
      <c r="B8646" s="78" t="s">
        <v>27</v>
      </c>
      <c r="C8646" s="85">
        <v>46117.0</v>
      </c>
      <c r="D8646" s="85">
        <v>46117.0</v>
      </c>
      <c r="E8646" s="86">
        <v>12.79</v>
      </c>
      <c r="F8646" s="87">
        <v>16.79</v>
      </c>
      <c r="G8646" s="88">
        <f t="shared" si="23"/>
        <v>4</v>
      </c>
      <c r="H8646" s="89">
        <f t="shared" si="18"/>
        <v>0.2382370459</v>
      </c>
      <c r="I8646" s="78" t="s">
        <v>9827</v>
      </c>
      <c r="J8646" s="78" t="s">
        <v>69</v>
      </c>
      <c r="K8646" s="58">
        <f t="shared" si="17"/>
        <v>0</v>
      </c>
      <c r="L8646" s="91" t="str">
        <f t="shared" si="8"/>
        <v>Sun</v>
      </c>
      <c r="M8646" s="78" t="str">
        <f>IFERROR(VLOOKUP(A8646, Entries!A:B,2,false),"")</f>
        <v/>
      </c>
      <c r="N8646" s="23" t="str">
        <f>IFERROR(VLOOKUP(A8646, Entries!A:K,11,false),"")</f>
        <v/>
      </c>
    </row>
    <row r="8647">
      <c r="A8647" s="78" t="s">
        <v>8494</v>
      </c>
      <c r="B8647" s="78" t="s">
        <v>27</v>
      </c>
      <c r="C8647" s="85">
        <v>46117.0</v>
      </c>
      <c r="D8647" s="25"/>
      <c r="E8647" s="86">
        <v>15.09</v>
      </c>
      <c r="F8647" s="88"/>
      <c r="G8647" s="88">
        <f t="shared" si="23"/>
        <v>-15.09</v>
      </c>
      <c r="H8647" s="89" t="str">
        <f t="shared" si="18"/>
        <v/>
      </c>
      <c r="I8647" s="78" t="s">
        <v>9828</v>
      </c>
      <c r="J8647" s="78" t="s">
        <v>1129</v>
      </c>
      <c r="K8647" s="58" t="str">
        <f t="shared" si="17"/>
        <v/>
      </c>
      <c r="L8647" s="91" t="str">
        <f t="shared" si="8"/>
        <v/>
      </c>
      <c r="M8647" s="78" t="str">
        <f>IFERROR(VLOOKUP(A8647, Entries!A:B,2,false),"")</f>
        <v/>
      </c>
      <c r="N8647" s="23" t="str">
        <f>IFERROR(VLOOKUP(A8647, Entries!A:K,11,false),"")</f>
        <v/>
      </c>
    </row>
    <row r="8648">
      <c r="A8648" s="78" t="s">
        <v>9475</v>
      </c>
      <c r="B8648" s="78" t="s">
        <v>27</v>
      </c>
      <c r="C8648" s="85">
        <v>46117.0</v>
      </c>
      <c r="D8648" s="85">
        <v>46121.0</v>
      </c>
      <c r="E8648" s="86">
        <v>12.79</v>
      </c>
      <c r="F8648" s="87">
        <v>15.9</v>
      </c>
      <c r="G8648" s="88">
        <f t="shared" si="23"/>
        <v>3.11</v>
      </c>
      <c r="H8648" s="89">
        <f t="shared" si="18"/>
        <v>0.1955974843</v>
      </c>
      <c r="I8648" s="78" t="s">
        <v>9829</v>
      </c>
      <c r="J8648" s="78" t="s">
        <v>69</v>
      </c>
      <c r="K8648" s="58">
        <f t="shared" si="17"/>
        <v>4</v>
      </c>
      <c r="L8648" s="91" t="str">
        <f t="shared" si="8"/>
        <v>Thu</v>
      </c>
      <c r="M8648" s="78" t="str">
        <f>IFERROR(VLOOKUP(A8648, Entries!A:B,2,false),"")</f>
        <v/>
      </c>
      <c r="N8648" s="23" t="str">
        <f>IFERROR(VLOOKUP(A8648, Entries!A:K,11,false),"")</f>
        <v/>
      </c>
    </row>
    <row r="8649">
      <c r="A8649" s="78" t="s">
        <v>8494</v>
      </c>
      <c r="B8649" s="78" t="s">
        <v>27</v>
      </c>
      <c r="C8649" s="85">
        <v>46118.0</v>
      </c>
      <c r="D8649" s="25"/>
      <c r="E8649" s="86">
        <v>15.09</v>
      </c>
      <c r="F8649" s="88"/>
      <c r="G8649" s="88">
        <f t="shared" si="23"/>
        <v>-15.09</v>
      </c>
      <c r="H8649" s="89" t="str">
        <f t="shared" si="18"/>
        <v/>
      </c>
      <c r="I8649" s="78" t="s">
        <v>9830</v>
      </c>
      <c r="J8649" s="78" t="s">
        <v>1129</v>
      </c>
      <c r="K8649" s="58" t="str">
        <f t="shared" si="17"/>
        <v/>
      </c>
      <c r="L8649" s="91" t="str">
        <f t="shared" si="8"/>
        <v/>
      </c>
      <c r="M8649" s="78" t="str">
        <f>IFERROR(VLOOKUP(A8649, Entries!A:B,2,false),"")</f>
        <v/>
      </c>
      <c r="N8649" s="23" t="str">
        <f>IFERROR(VLOOKUP(A8649, Entries!A:K,11,false),"")</f>
        <v/>
      </c>
    </row>
    <row r="8650">
      <c r="A8650" s="78" t="s">
        <v>9778</v>
      </c>
      <c r="B8650" s="78" t="s">
        <v>25</v>
      </c>
      <c r="C8650" s="85">
        <v>46118.0</v>
      </c>
      <c r="D8650" s="85">
        <v>46118.0</v>
      </c>
      <c r="E8650" s="86">
        <v>8.52</v>
      </c>
      <c r="F8650" s="87">
        <v>10.36</v>
      </c>
      <c r="G8650" s="88">
        <f t="shared" si="23"/>
        <v>1.84</v>
      </c>
      <c r="H8650" s="89">
        <f t="shared" si="18"/>
        <v>0.1776061776</v>
      </c>
      <c r="I8650" s="78" t="s">
        <v>9831</v>
      </c>
      <c r="J8650" s="78" t="s">
        <v>69</v>
      </c>
      <c r="K8650" s="58">
        <f t="shared" si="17"/>
        <v>0</v>
      </c>
      <c r="L8650" s="91" t="str">
        <f t="shared" si="8"/>
        <v>Mon</v>
      </c>
      <c r="M8650" s="78" t="str">
        <f>IFERROR(VLOOKUP(A8650, Entries!A:B,2,false),"")</f>
        <v/>
      </c>
      <c r="N8650" s="23" t="str">
        <f>IFERROR(VLOOKUP(A8650, Entries!A:K,11,false),"")</f>
        <v/>
      </c>
    </row>
    <row r="8651">
      <c r="A8651" s="78" t="s">
        <v>9778</v>
      </c>
      <c r="B8651" s="78" t="s">
        <v>25</v>
      </c>
      <c r="C8651" s="85">
        <v>46118.0</v>
      </c>
      <c r="D8651" s="85">
        <v>46126.0</v>
      </c>
      <c r="E8651" s="86">
        <v>8.52</v>
      </c>
      <c r="F8651" s="87">
        <v>9.55</v>
      </c>
      <c r="G8651" s="88">
        <f t="shared" si="23"/>
        <v>1.03</v>
      </c>
      <c r="H8651" s="89">
        <f t="shared" si="18"/>
        <v>0.1078534031</v>
      </c>
      <c r="I8651" s="78" t="s">
        <v>9832</v>
      </c>
      <c r="J8651" s="78" t="s">
        <v>69</v>
      </c>
      <c r="K8651" s="58">
        <f t="shared" si="17"/>
        <v>8</v>
      </c>
      <c r="L8651" s="91" t="str">
        <f t="shared" si="8"/>
        <v>Tue</v>
      </c>
      <c r="M8651" s="78" t="str">
        <f>IFERROR(VLOOKUP(A8651, Entries!A:B,2,false),"")</f>
        <v/>
      </c>
      <c r="N8651" s="23" t="str">
        <f>IFERROR(VLOOKUP(A8651, Entries!A:K,11,false),"")</f>
        <v/>
      </c>
    </row>
    <row r="8652">
      <c r="A8652" s="78" t="s">
        <v>9778</v>
      </c>
      <c r="B8652" s="78" t="s">
        <v>25</v>
      </c>
      <c r="C8652" s="85">
        <v>46118.0</v>
      </c>
      <c r="D8652" s="25"/>
      <c r="E8652" s="86">
        <v>8.53</v>
      </c>
      <c r="F8652" s="88"/>
      <c r="G8652" s="88">
        <f t="shared" si="23"/>
        <v>-8.53</v>
      </c>
      <c r="H8652" s="89" t="str">
        <f t="shared" si="18"/>
        <v/>
      </c>
      <c r="I8652" s="78" t="s">
        <v>9833</v>
      </c>
      <c r="J8652" s="78" t="s">
        <v>1129</v>
      </c>
      <c r="K8652" s="58" t="str">
        <f t="shared" si="17"/>
        <v/>
      </c>
      <c r="L8652" s="91" t="str">
        <f t="shared" si="8"/>
        <v/>
      </c>
      <c r="M8652" s="78" t="str">
        <f>IFERROR(VLOOKUP(A8652, Entries!A:B,2,false),"")</f>
        <v/>
      </c>
      <c r="N8652" s="23" t="str">
        <f>IFERROR(VLOOKUP(A8652, Entries!A:K,11,false),"")</f>
        <v/>
      </c>
    </row>
    <row r="8653">
      <c r="A8653" s="78" t="s">
        <v>9834</v>
      </c>
      <c r="B8653" s="78" t="s">
        <v>29</v>
      </c>
      <c r="C8653" s="85">
        <v>46118.0</v>
      </c>
      <c r="D8653" s="85">
        <v>46122.0</v>
      </c>
      <c r="E8653" s="86">
        <v>22.99</v>
      </c>
      <c r="F8653" s="87">
        <v>25.0</v>
      </c>
      <c r="G8653" s="88">
        <f t="shared" si="23"/>
        <v>2.01</v>
      </c>
      <c r="H8653" s="89">
        <f t="shared" si="18"/>
        <v>0.0804</v>
      </c>
      <c r="I8653" s="78" t="s">
        <v>9835</v>
      </c>
      <c r="J8653" s="78" t="s">
        <v>69</v>
      </c>
      <c r="K8653" s="58">
        <f t="shared" si="17"/>
        <v>4</v>
      </c>
      <c r="L8653" s="91" t="str">
        <f t="shared" si="8"/>
        <v>Fri</v>
      </c>
      <c r="M8653" s="78" t="str">
        <f>IFERROR(VLOOKUP(A8653, Entries!A:B,2,false),"")</f>
        <v/>
      </c>
      <c r="N8653" s="23" t="str">
        <f>IFERROR(VLOOKUP(A8653, Entries!A:K,11,false),"")</f>
        <v/>
      </c>
    </row>
    <row r="8654">
      <c r="A8654" s="78" t="s">
        <v>9836</v>
      </c>
      <c r="B8654" s="78" t="s">
        <v>27</v>
      </c>
      <c r="C8654" s="85">
        <v>46119.0</v>
      </c>
      <c r="D8654" s="85">
        <v>46124.0</v>
      </c>
      <c r="E8654" s="86">
        <v>7.89</v>
      </c>
      <c r="F8654" s="87">
        <v>9.4</v>
      </c>
      <c r="G8654" s="88">
        <f t="shared" si="23"/>
        <v>1.51</v>
      </c>
      <c r="H8654" s="89">
        <f t="shared" si="18"/>
        <v>0.1606382979</v>
      </c>
      <c r="I8654" s="78" t="s">
        <v>9837</v>
      </c>
      <c r="J8654" s="78" t="s">
        <v>69</v>
      </c>
      <c r="K8654" s="58">
        <f t="shared" si="17"/>
        <v>5</v>
      </c>
      <c r="L8654" s="91" t="str">
        <f t="shared" si="8"/>
        <v>Sun</v>
      </c>
      <c r="M8654" s="78" t="str">
        <f>IFERROR(VLOOKUP(A8654, Entries!A:B,2,false),"")</f>
        <v/>
      </c>
      <c r="N8654" s="23" t="str">
        <f>IFERROR(VLOOKUP(A8654, Entries!A:K,11,false),"")</f>
        <v/>
      </c>
    </row>
    <row r="8655">
      <c r="A8655" s="78" t="s">
        <v>5676</v>
      </c>
      <c r="B8655" s="78" t="s">
        <v>27</v>
      </c>
      <c r="C8655" s="85">
        <v>46119.0</v>
      </c>
      <c r="D8655" s="85">
        <v>46119.0</v>
      </c>
      <c r="E8655" s="86">
        <v>31.29</v>
      </c>
      <c r="F8655" s="87">
        <v>38.0</v>
      </c>
      <c r="G8655" s="88">
        <f t="shared" si="23"/>
        <v>6.71</v>
      </c>
      <c r="H8655" s="89">
        <f t="shared" si="18"/>
        <v>0.1765789474</v>
      </c>
      <c r="I8655" s="78" t="s">
        <v>9838</v>
      </c>
      <c r="J8655" s="78" t="s">
        <v>69</v>
      </c>
      <c r="K8655" s="58">
        <f t="shared" si="17"/>
        <v>0</v>
      </c>
      <c r="L8655" s="91" t="str">
        <f t="shared" si="8"/>
        <v>Tue</v>
      </c>
      <c r="M8655" s="78" t="str">
        <f>IFERROR(VLOOKUP(A8655, Entries!A:B,2,false),"")</f>
        <v>Bethesda Softworks</v>
      </c>
      <c r="N8655" s="23" t="str">
        <f>IFERROR(VLOOKUP(A8655, Entries!A:K,11,false),"")</f>
        <v/>
      </c>
    </row>
    <row r="8656">
      <c r="A8656" s="78" t="s">
        <v>9834</v>
      </c>
      <c r="B8656" s="78" t="s">
        <v>29</v>
      </c>
      <c r="C8656" s="85">
        <v>46119.0</v>
      </c>
      <c r="D8656" s="85">
        <v>46124.0</v>
      </c>
      <c r="E8656" s="86">
        <v>20.99</v>
      </c>
      <c r="F8656" s="87">
        <v>24.64</v>
      </c>
      <c r="G8656" s="88">
        <f t="shared" si="23"/>
        <v>3.65</v>
      </c>
      <c r="H8656" s="89">
        <f t="shared" si="18"/>
        <v>0.1481331169</v>
      </c>
      <c r="I8656" s="78" t="s">
        <v>9839</v>
      </c>
      <c r="J8656" s="78" t="s">
        <v>69</v>
      </c>
      <c r="K8656" s="58">
        <f t="shared" si="17"/>
        <v>5</v>
      </c>
      <c r="L8656" s="91" t="str">
        <f t="shared" si="8"/>
        <v>Sun</v>
      </c>
      <c r="M8656" s="78" t="str">
        <f>IFERROR(VLOOKUP(A8656, Entries!A:B,2,false),"")</f>
        <v/>
      </c>
      <c r="N8656" s="23" t="str">
        <f>IFERROR(VLOOKUP(A8656, Entries!A:K,11,false),"")</f>
        <v/>
      </c>
    </row>
    <row r="8657">
      <c r="A8657" s="78" t="s">
        <v>5676</v>
      </c>
      <c r="B8657" s="78" t="s">
        <v>27</v>
      </c>
      <c r="C8657" s="85">
        <v>46119.0</v>
      </c>
      <c r="D8657" s="85">
        <v>46120.0</v>
      </c>
      <c r="E8657" s="86">
        <v>31.29</v>
      </c>
      <c r="F8657" s="87">
        <v>36.8</v>
      </c>
      <c r="G8657" s="88">
        <f t="shared" si="23"/>
        <v>5.51</v>
      </c>
      <c r="H8657" s="89">
        <f t="shared" si="18"/>
        <v>0.1497282609</v>
      </c>
      <c r="I8657" s="78" t="s">
        <v>9840</v>
      </c>
      <c r="J8657" s="78" t="s">
        <v>69</v>
      </c>
      <c r="K8657" s="58">
        <f t="shared" si="17"/>
        <v>1</v>
      </c>
      <c r="L8657" s="91" t="str">
        <f t="shared" si="8"/>
        <v>Wed</v>
      </c>
      <c r="M8657" s="78" t="str">
        <f>IFERROR(VLOOKUP(A8657, Entries!A:B,2,false),"")</f>
        <v>Bethesda Softworks</v>
      </c>
      <c r="N8657" s="23" t="str">
        <f>IFERROR(VLOOKUP(A8657, Entries!A:K,11,false),"")</f>
        <v/>
      </c>
    </row>
    <row r="8658">
      <c r="A8658" s="78" t="s">
        <v>5933</v>
      </c>
      <c r="B8658" s="78" t="s">
        <v>21</v>
      </c>
      <c r="C8658" s="85">
        <v>46120.0</v>
      </c>
      <c r="D8658" s="25"/>
      <c r="E8658" s="86">
        <v>32.77</v>
      </c>
      <c r="F8658" s="88"/>
      <c r="G8658" s="88">
        <f t="shared" si="23"/>
        <v>-32.77</v>
      </c>
      <c r="H8658" s="89" t="str">
        <f t="shared" si="18"/>
        <v/>
      </c>
      <c r="I8658" s="78" t="s">
        <v>9841</v>
      </c>
      <c r="J8658" s="78" t="s">
        <v>1129</v>
      </c>
      <c r="K8658" s="58" t="str">
        <f t="shared" si="17"/>
        <v/>
      </c>
      <c r="L8658" s="91" t="str">
        <f t="shared" si="8"/>
        <v/>
      </c>
      <c r="M8658" s="78" t="str">
        <f>IFERROR(VLOOKUP(A8658, Entries!A:B,2,false),"")</f>
        <v>Pocketpair</v>
      </c>
      <c r="N8658" s="23" t="str">
        <f>IFERROR(VLOOKUP(A8658, Entries!A:K,11,false),"")</f>
        <v/>
      </c>
    </row>
    <row r="8659">
      <c r="A8659" s="78" t="s">
        <v>9291</v>
      </c>
      <c r="B8659" s="78" t="s">
        <v>21</v>
      </c>
      <c r="C8659" s="85">
        <v>46121.0</v>
      </c>
      <c r="D8659" s="85">
        <v>46131.0</v>
      </c>
      <c r="E8659" s="86">
        <v>9.75</v>
      </c>
      <c r="F8659" s="87">
        <v>15.17</v>
      </c>
      <c r="G8659" s="88">
        <f t="shared" si="23"/>
        <v>5.42</v>
      </c>
      <c r="H8659" s="89">
        <f t="shared" si="18"/>
        <v>0.3572841134</v>
      </c>
      <c r="I8659" s="78" t="s">
        <v>9842</v>
      </c>
      <c r="J8659" s="78" t="s">
        <v>69</v>
      </c>
      <c r="K8659" s="58">
        <f t="shared" si="17"/>
        <v>10</v>
      </c>
      <c r="L8659" s="91" t="str">
        <f t="shared" si="8"/>
        <v>Sun</v>
      </c>
      <c r="M8659" s="78" t="str">
        <f>IFERROR(VLOOKUP(A8659, Entries!A:B,2,false),"")</f>
        <v/>
      </c>
      <c r="N8659" s="23" t="str">
        <f>IFERROR(VLOOKUP(A8659, Entries!A:K,11,false),"")</f>
        <v/>
      </c>
    </row>
    <row r="8660">
      <c r="A8660" s="78" t="s">
        <v>5768</v>
      </c>
      <c r="B8660" s="78" t="s">
        <v>19</v>
      </c>
      <c r="C8660" s="85">
        <v>46121.0</v>
      </c>
      <c r="D8660" s="25"/>
      <c r="E8660" s="86">
        <v>31.91</v>
      </c>
      <c r="F8660" s="88"/>
      <c r="G8660" s="88">
        <f t="shared" si="23"/>
        <v>-31.91</v>
      </c>
      <c r="H8660" s="89" t="str">
        <f t="shared" si="18"/>
        <v/>
      </c>
      <c r="I8660" s="78" t="s">
        <v>9843</v>
      </c>
      <c r="J8660" s="78" t="s">
        <v>1129</v>
      </c>
      <c r="K8660" s="58" t="str">
        <f t="shared" si="17"/>
        <v/>
      </c>
      <c r="L8660" s="91" t="str">
        <f t="shared" si="8"/>
        <v/>
      </c>
      <c r="M8660" s="78" t="str">
        <f>IFERROR(VLOOKUP(A8660, Entries!A:B,2,false),"")</f>
        <v>10 Chambers</v>
      </c>
      <c r="N8660" s="23" t="str">
        <f>IFERROR(VLOOKUP(A8660, Entries!A:K,11,false),"")</f>
        <v/>
      </c>
    </row>
    <row r="8661">
      <c r="A8661" s="78" t="s">
        <v>9409</v>
      </c>
      <c r="B8661" s="78" t="s">
        <v>19</v>
      </c>
      <c r="C8661" s="85">
        <v>46121.0</v>
      </c>
      <c r="D8661" s="85">
        <v>46132.0</v>
      </c>
      <c r="E8661" s="86">
        <v>35.62</v>
      </c>
      <c r="F8661" s="87">
        <v>47.6</v>
      </c>
      <c r="G8661" s="88">
        <f t="shared" si="23"/>
        <v>11.98</v>
      </c>
      <c r="H8661" s="89">
        <f t="shared" si="18"/>
        <v>0.2516806723</v>
      </c>
      <c r="I8661" s="78" t="s">
        <v>9844</v>
      </c>
      <c r="J8661" s="78" t="s">
        <v>69</v>
      </c>
      <c r="K8661" s="58">
        <f t="shared" si="17"/>
        <v>11</v>
      </c>
      <c r="L8661" s="91" t="str">
        <f t="shared" si="8"/>
        <v>Mon</v>
      </c>
      <c r="M8661" s="78" t="str">
        <f>IFERROR(VLOOKUP(A8661, Entries!A:B,2,false),"")</f>
        <v/>
      </c>
      <c r="N8661" s="23" t="str">
        <f>IFERROR(VLOOKUP(A8661, Entries!A:K,11,false),"")</f>
        <v/>
      </c>
    </row>
    <row r="8662">
      <c r="A8662" s="78" t="s">
        <v>9475</v>
      </c>
      <c r="B8662" s="78" t="s">
        <v>27</v>
      </c>
      <c r="C8662" s="85">
        <v>46122.0</v>
      </c>
      <c r="D8662" s="85">
        <v>46123.0</v>
      </c>
      <c r="E8662" s="86">
        <v>12.79</v>
      </c>
      <c r="F8662" s="87">
        <v>15.9</v>
      </c>
      <c r="G8662" s="88">
        <f t="shared" si="23"/>
        <v>3.11</v>
      </c>
      <c r="H8662" s="89">
        <f t="shared" si="18"/>
        <v>0.1955974843</v>
      </c>
      <c r="I8662" s="78" t="s">
        <v>9845</v>
      </c>
      <c r="J8662" s="78" t="s">
        <v>69</v>
      </c>
      <c r="K8662" s="58">
        <f t="shared" si="17"/>
        <v>1</v>
      </c>
      <c r="L8662" s="91" t="str">
        <f t="shared" si="8"/>
        <v>Sat</v>
      </c>
      <c r="M8662" s="78" t="str">
        <f>IFERROR(VLOOKUP(A8662, Entries!A:B,2,false),"")</f>
        <v/>
      </c>
      <c r="N8662" s="23" t="str">
        <f>IFERROR(VLOOKUP(A8662, Entries!A:K,11,false),"")</f>
        <v/>
      </c>
    </row>
    <row r="8663">
      <c r="A8663" s="78" t="s">
        <v>9834</v>
      </c>
      <c r="B8663" s="78" t="s">
        <v>21</v>
      </c>
      <c r="C8663" s="85">
        <v>46122.0</v>
      </c>
      <c r="D8663" s="85">
        <v>46124.0</v>
      </c>
      <c r="E8663" s="86">
        <v>19.61</v>
      </c>
      <c r="F8663" s="87">
        <v>24.82</v>
      </c>
      <c r="G8663" s="88">
        <f t="shared" si="23"/>
        <v>5.21</v>
      </c>
      <c r="H8663" s="89">
        <f t="shared" si="18"/>
        <v>0.2099113618</v>
      </c>
      <c r="I8663" s="78" t="s">
        <v>9846</v>
      </c>
      <c r="J8663" s="78" t="s">
        <v>69</v>
      </c>
      <c r="K8663" s="58">
        <f t="shared" si="17"/>
        <v>2</v>
      </c>
      <c r="L8663" s="91" t="str">
        <f t="shared" si="8"/>
        <v>Sun</v>
      </c>
      <c r="M8663" s="78" t="str">
        <f>IFERROR(VLOOKUP(A8663, Entries!A:B,2,false),"")</f>
        <v/>
      </c>
      <c r="N8663" s="23" t="str">
        <f>IFERROR(VLOOKUP(A8663, Entries!A:K,11,false),"")</f>
        <v/>
      </c>
    </row>
    <row r="8664">
      <c r="A8664" s="78" t="s">
        <v>9834</v>
      </c>
      <c r="B8664" s="78" t="s">
        <v>21</v>
      </c>
      <c r="C8664" s="85">
        <v>46122.0</v>
      </c>
      <c r="D8664" s="85">
        <v>46130.0</v>
      </c>
      <c r="E8664" s="86">
        <v>19.61</v>
      </c>
      <c r="F8664" s="87">
        <v>24.82</v>
      </c>
      <c r="G8664" s="88">
        <f t="shared" si="23"/>
        <v>5.21</v>
      </c>
      <c r="H8664" s="89">
        <f t="shared" si="18"/>
        <v>0.2099113618</v>
      </c>
      <c r="I8664" s="78" t="s">
        <v>9847</v>
      </c>
      <c r="J8664" s="78" t="s">
        <v>69</v>
      </c>
      <c r="K8664" s="58">
        <f t="shared" si="17"/>
        <v>8</v>
      </c>
      <c r="L8664" s="91" t="str">
        <f t="shared" si="8"/>
        <v>Sat</v>
      </c>
      <c r="M8664" s="78" t="str">
        <f>IFERROR(VLOOKUP(A8664, Entries!A:B,2,false),"")</f>
        <v/>
      </c>
      <c r="N8664" s="23" t="str">
        <f>IFERROR(VLOOKUP(A8664, Entries!A:K,11,false),"")</f>
        <v/>
      </c>
    </row>
    <row r="8665">
      <c r="A8665" s="78" t="s">
        <v>4532</v>
      </c>
      <c r="B8665" s="78" t="s">
        <v>23</v>
      </c>
      <c r="C8665" s="85">
        <v>46122.0</v>
      </c>
      <c r="D8665" s="85">
        <v>46123.0</v>
      </c>
      <c r="E8665" s="86">
        <v>12.3</v>
      </c>
      <c r="F8665" s="87">
        <v>23.29</v>
      </c>
      <c r="G8665" s="88">
        <f t="shared" si="23"/>
        <v>10.99</v>
      </c>
      <c r="H8665" s="89">
        <f t="shared" si="18"/>
        <v>0.4718763418</v>
      </c>
      <c r="I8665" s="78" t="s">
        <v>9848</v>
      </c>
      <c r="J8665" s="78" t="s">
        <v>69</v>
      </c>
      <c r="K8665" s="58">
        <f t="shared" si="17"/>
        <v>1</v>
      </c>
      <c r="L8665" s="91" t="str">
        <f t="shared" si="8"/>
        <v>Sat</v>
      </c>
      <c r="M8665" s="78" t="str">
        <f>IFERROR(VLOOKUP(A8665, Entries!A:B,2,false),"")</f>
        <v>Eugen Systems</v>
      </c>
      <c r="N8665" s="23" t="str">
        <f>IFERROR(VLOOKUP(A8665, Entries!A:K,11,false),"")</f>
        <v/>
      </c>
    </row>
    <row r="8666">
      <c r="A8666" s="78" t="s">
        <v>7333</v>
      </c>
      <c r="B8666" s="78" t="s">
        <v>23</v>
      </c>
      <c r="C8666" s="85">
        <v>46122.0</v>
      </c>
      <c r="D8666" s="25"/>
      <c r="E8666" s="86">
        <v>13.72</v>
      </c>
      <c r="F8666" s="88"/>
      <c r="G8666" s="88">
        <f t="shared" si="23"/>
        <v>-13.72</v>
      </c>
      <c r="H8666" s="89" t="str">
        <f t="shared" si="18"/>
        <v/>
      </c>
      <c r="I8666" s="78" t="s">
        <v>9849</v>
      </c>
      <c r="J8666" s="78" t="s">
        <v>1129</v>
      </c>
      <c r="K8666" s="58" t="str">
        <f t="shared" si="17"/>
        <v/>
      </c>
      <c r="L8666" s="91" t="str">
        <f t="shared" si="8"/>
        <v/>
      </c>
      <c r="M8666" s="78" t="str">
        <f>IFERROR(VLOOKUP(A8666, Entries!A:B,2,false),"")</f>
        <v/>
      </c>
      <c r="N8666" s="23" t="str">
        <f>IFERROR(VLOOKUP(A8666, Entries!A:K,11,false),"")</f>
        <v/>
      </c>
    </row>
    <row r="8667">
      <c r="A8667" s="78" t="s">
        <v>4010</v>
      </c>
      <c r="B8667" s="78" t="s">
        <v>23</v>
      </c>
      <c r="C8667" s="85">
        <v>46122.0</v>
      </c>
      <c r="D8667" s="85">
        <v>46141.0</v>
      </c>
      <c r="E8667" s="86">
        <v>13.4</v>
      </c>
      <c r="F8667" s="87">
        <v>17.32</v>
      </c>
      <c r="G8667" s="88">
        <f t="shared" si="23"/>
        <v>3.92</v>
      </c>
      <c r="H8667" s="89">
        <f t="shared" si="18"/>
        <v>0.2263279446</v>
      </c>
      <c r="I8667" s="78" t="s">
        <v>9850</v>
      </c>
      <c r="J8667" s="78" t="s">
        <v>69</v>
      </c>
      <c r="K8667" s="58">
        <f t="shared" si="17"/>
        <v>19</v>
      </c>
      <c r="L8667" s="91" t="str">
        <f t="shared" si="8"/>
        <v>Wed</v>
      </c>
      <c r="M8667" s="78" t="str">
        <f>IFERROR(VLOOKUP(A8667, Entries!A:B,2,false),"")</f>
        <v>Eugen Systems</v>
      </c>
      <c r="N8667" s="23" t="str">
        <f>IFERROR(VLOOKUP(A8667, Entries!A:K,11,false),"")</f>
        <v/>
      </c>
    </row>
    <row r="8668">
      <c r="A8668" s="78" t="s">
        <v>4012</v>
      </c>
      <c r="B8668" s="78" t="s">
        <v>23</v>
      </c>
      <c r="C8668" s="85">
        <v>46122.0</v>
      </c>
      <c r="D8668" s="85">
        <v>46145.0</v>
      </c>
      <c r="E8668" s="86">
        <v>11.54</v>
      </c>
      <c r="F8668" s="87">
        <v>16.8</v>
      </c>
      <c r="G8668" s="88">
        <f t="shared" si="23"/>
        <v>5.26</v>
      </c>
      <c r="H8668" s="89">
        <f t="shared" si="18"/>
        <v>0.3130952381</v>
      </c>
      <c r="I8668" s="78" t="s">
        <v>9851</v>
      </c>
      <c r="J8668" s="78" t="s">
        <v>69</v>
      </c>
      <c r="K8668" s="58">
        <f t="shared" si="17"/>
        <v>23</v>
      </c>
      <c r="L8668" s="91" t="str">
        <f t="shared" si="8"/>
        <v>Sun</v>
      </c>
      <c r="M8668" s="78" t="str">
        <f>IFERROR(VLOOKUP(A8668, Entries!A:B,2,false),"")</f>
        <v>Eugen Systems</v>
      </c>
      <c r="N8668" s="23" t="str">
        <f>IFERROR(VLOOKUP(A8668, Entries!A:K,11,false),"")</f>
        <v/>
      </c>
    </row>
    <row r="8669">
      <c r="A8669" s="78" t="s">
        <v>1389</v>
      </c>
      <c r="B8669" s="78" t="s">
        <v>23</v>
      </c>
      <c r="C8669" s="85">
        <v>46122.0</v>
      </c>
      <c r="D8669" s="85">
        <v>46144.0</v>
      </c>
      <c r="E8669" s="86">
        <v>7.76</v>
      </c>
      <c r="F8669" s="87">
        <v>10.74</v>
      </c>
      <c r="G8669" s="88">
        <f t="shared" si="23"/>
        <v>2.98</v>
      </c>
      <c r="H8669" s="89">
        <f t="shared" si="18"/>
        <v>0.2774674115</v>
      </c>
      <c r="I8669" s="78" t="s">
        <v>9852</v>
      </c>
      <c r="J8669" s="78" t="s">
        <v>69</v>
      </c>
      <c r="K8669" s="58">
        <f t="shared" si="17"/>
        <v>22</v>
      </c>
      <c r="L8669" s="91" t="str">
        <f t="shared" si="8"/>
        <v>Sat</v>
      </c>
      <c r="M8669" s="78" t="str">
        <f>IFERROR(VLOOKUP(A8669, Entries!A:B,2,false),"")</f>
        <v>Eugen Systems</v>
      </c>
      <c r="N8669" s="23" t="str">
        <f>IFERROR(VLOOKUP(A8669, Entries!A:K,11,false),"")</f>
        <v/>
      </c>
    </row>
    <row r="8670">
      <c r="A8670" s="78" t="s">
        <v>1406</v>
      </c>
      <c r="B8670" s="78" t="s">
        <v>23</v>
      </c>
      <c r="C8670" s="85">
        <v>46122.0</v>
      </c>
      <c r="D8670" s="85">
        <v>46123.0</v>
      </c>
      <c r="E8670" s="86">
        <v>15.19</v>
      </c>
      <c r="F8670" s="87">
        <v>22.39</v>
      </c>
      <c r="G8670" s="88">
        <f t="shared" si="23"/>
        <v>7.2</v>
      </c>
      <c r="H8670" s="89">
        <f t="shared" si="18"/>
        <v>0.3215721304</v>
      </c>
      <c r="I8670" s="78" t="s">
        <v>9853</v>
      </c>
      <c r="J8670" s="78" t="s">
        <v>69</v>
      </c>
      <c r="K8670" s="58">
        <f t="shared" si="17"/>
        <v>1</v>
      </c>
      <c r="L8670" s="91" t="str">
        <f t="shared" si="8"/>
        <v>Sat</v>
      </c>
      <c r="M8670" s="78" t="str">
        <f>IFERROR(VLOOKUP(A8670, Entries!A:B,2,false),"")</f>
        <v>Eugen Systems</v>
      </c>
      <c r="N8670" s="23" t="str">
        <f>IFERROR(VLOOKUP(A8670, Entries!A:K,11,false),"")</f>
        <v/>
      </c>
    </row>
    <row r="8671">
      <c r="A8671" s="78" t="s">
        <v>9796</v>
      </c>
      <c r="B8671" s="78" t="s">
        <v>27</v>
      </c>
      <c r="C8671" s="85">
        <v>46122.0</v>
      </c>
      <c r="D8671" s="25"/>
      <c r="E8671" s="86">
        <v>9.89</v>
      </c>
      <c r="F8671" s="88"/>
      <c r="G8671" s="88">
        <f t="shared" si="23"/>
        <v>-9.89</v>
      </c>
      <c r="H8671" s="89" t="str">
        <f t="shared" si="18"/>
        <v/>
      </c>
      <c r="I8671" s="78" t="s">
        <v>9854</v>
      </c>
      <c r="J8671" s="78" t="s">
        <v>1129</v>
      </c>
      <c r="K8671" s="58" t="str">
        <f t="shared" si="17"/>
        <v/>
      </c>
      <c r="L8671" s="91" t="str">
        <f t="shared" si="8"/>
        <v/>
      </c>
      <c r="M8671" s="78" t="str">
        <f>IFERROR(VLOOKUP(A8671, Entries!A:B,2,false),"")</f>
        <v/>
      </c>
      <c r="N8671" s="23" t="str">
        <f>IFERROR(VLOOKUP(A8671, Entries!A:K,11,false),"")</f>
        <v/>
      </c>
    </row>
    <row r="8672">
      <c r="A8672" s="78" t="s">
        <v>1406</v>
      </c>
      <c r="B8672" s="78" t="s">
        <v>23</v>
      </c>
      <c r="C8672" s="85">
        <v>46123.0</v>
      </c>
      <c r="D8672" s="85">
        <v>46144.0</v>
      </c>
      <c r="E8672" s="86">
        <v>15.16</v>
      </c>
      <c r="F8672" s="87">
        <v>19.8</v>
      </c>
      <c r="G8672" s="88">
        <f t="shared" si="23"/>
        <v>4.64</v>
      </c>
      <c r="H8672" s="89">
        <f t="shared" si="18"/>
        <v>0.2343434343</v>
      </c>
      <c r="I8672" s="78" t="s">
        <v>9855</v>
      </c>
      <c r="J8672" s="78" t="s">
        <v>69</v>
      </c>
      <c r="K8672" s="58">
        <f t="shared" si="17"/>
        <v>21</v>
      </c>
      <c r="L8672" s="91" t="str">
        <f t="shared" si="8"/>
        <v>Sat</v>
      </c>
      <c r="M8672" s="78" t="str">
        <f>IFERROR(VLOOKUP(A8672, Entries!A:B,2,false),"")</f>
        <v>Eugen Systems</v>
      </c>
      <c r="N8672" s="23" t="str">
        <f>IFERROR(VLOOKUP(A8672, Entries!A:K,11,false),"")</f>
        <v/>
      </c>
    </row>
    <row r="8673">
      <c r="A8673" s="78" t="s">
        <v>4532</v>
      </c>
      <c r="B8673" s="78" t="s">
        <v>23</v>
      </c>
      <c r="C8673" s="85">
        <v>46123.0</v>
      </c>
      <c r="D8673" s="85">
        <v>46123.0</v>
      </c>
      <c r="E8673" s="86">
        <v>12.27</v>
      </c>
      <c r="F8673" s="87">
        <v>23.92</v>
      </c>
      <c r="G8673" s="88">
        <f t="shared" si="23"/>
        <v>11.65</v>
      </c>
      <c r="H8673" s="89">
        <f t="shared" si="18"/>
        <v>0.4870401338</v>
      </c>
      <c r="I8673" s="78" t="s">
        <v>9856</v>
      </c>
      <c r="J8673" s="78" t="s">
        <v>69</v>
      </c>
      <c r="K8673" s="58">
        <f t="shared" si="17"/>
        <v>0</v>
      </c>
      <c r="L8673" s="91" t="str">
        <f t="shared" si="8"/>
        <v>Sat</v>
      </c>
      <c r="M8673" s="78" t="str">
        <f>IFERROR(VLOOKUP(A8673, Entries!A:B,2,false),"")</f>
        <v>Eugen Systems</v>
      </c>
      <c r="N8673" s="23" t="str">
        <f>IFERROR(VLOOKUP(A8673, Entries!A:K,11,false),"")</f>
        <v/>
      </c>
    </row>
    <row r="8674">
      <c r="A8674" s="78" t="s">
        <v>4532</v>
      </c>
      <c r="B8674" s="78" t="s">
        <v>23</v>
      </c>
      <c r="C8674" s="85">
        <v>46123.0</v>
      </c>
      <c r="D8674" s="85">
        <v>46123.0</v>
      </c>
      <c r="E8674" s="86">
        <v>12.27</v>
      </c>
      <c r="F8674" s="87">
        <v>23.92</v>
      </c>
      <c r="G8674" s="88">
        <f t="shared" si="23"/>
        <v>11.65</v>
      </c>
      <c r="H8674" s="89">
        <f t="shared" si="18"/>
        <v>0.4870401338</v>
      </c>
      <c r="I8674" s="78" t="s">
        <v>9857</v>
      </c>
      <c r="J8674" s="78" t="s">
        <v>69</v>
      </c>
      <c r="K8674" s="58">
        <f t="shared" si="17"/>
        <v>0</v>
      </c>
      <c r="L8674" s="91" t="str">
        <f t="shared" si="8"/>
        <v>Sat</v>
      </c>
      <c r="M8674" s="78" t="str">
        <f>IFERROR(VLOOKUP(A8674, Entries!A:B,2,false),"")</f>
        <v>Eugen Systems</v>
      </c>
      <c r="N8674" s="23" t="str">
        <f>IFERROR(VLOOKUP(A8674, Entries!A:K,11,false),"")</f>
        <v/>
      </c>
    </row>
    <row r="8675">
      <c r="A8675" s="78" t="s">
        <v>9858</v>
      </c>
      <c r="B8675" s="78" t="s">
        <v>23</v>
      </c>
      <c r="C8675" s="85">
        <v>46123.0</v>
      </c>
      <c r="D8675" s="85">
        <v>46125.0</v>
      </c>
      <c r="E8675" s="86">
        <v>29.76</v>
      </c>
      <c r="F8675" s="87">
        <v>46.7</v>
      </c>
      <c r="G8675" s="88">
        <f t="shared" si="23"/>
        <v>16.94</v>
      </c>
      <c r="H8675" s="89">
        <f t="shared" si="18"/>
        <v>0.3627408994</v>
      </c>
      <c r="I8675" s="78" t="s">
        <v>9859</v>
      </c>
      <c r="J8675" s="78" t="s">
        <v>69</v>
      </c>
      <c r="K8675" s="58">
        <f t="shared" si="17"/>
        <v>2</v>
      </c>
      <c r="L8675" s="91" t="str">
        <f t="shared" si="8"/>
        <v>Mon</v>
      </c>
      <c r="M8675" s="78" t="str">
        <f>IFERROR(VLOOKUP(A8675, Entries!A:B,2,false),"")</f>
        <v/>
      </c>
      <c r="N8675" s="23" t="str">
        <f>IFERROR(VLOOKUP(A8675, Entries!A:K,11,false),"")</f>
        <v/>
      </c>
    </row>
    <row r="8676">
      <c r="A8676" s="78" t="s">
        <v>9475</v>
      </c>
      <c r="B8676" s="78" t="s">
        <v>27</v>
      </c>
      <c r="C8676" s="85">
        <v>46124.0</v>
      </c>
      <c r="D8676" s="25"/>
      <c r="E8676" s="86">
        <v>12.79</v>
      </c>
      <c r="F8676" s="88"/>
      <c r="G8676" s="88">
        <f t="shared" si="23"/>
        <v>-12.79</v>
      </c>
      <c r="H8676" s="89" t="str">
        <f t="shared" si="18"/>
        <v/>
      </c>
      <c r="I8676" s="78" t="s">
        <v>9860</v>
      </c>
      <c r="J8676" s="78" t="s">
        <v>1129</v>
      </c>
      <c r="K8676" s="58" t="str">
        <f t="shared" si="17"/>
        <v/>
      </c>
      <c r="L8676" s="91" t="str">
        <f t="shared" si="8"/>
        <v/>
      </c>
      <c r="M8676" s="78" t="str">
        <f>IFERROR(VLOOKUP(A8676, Entries!A:B,2,false),"")</f>
        <v/>
      </c>
      <c r="N8676" s="23" t="str">
        <f>IFERROR(VLOOKUP(A8676, Entries!A:K,11,false),"")</f>
        <v/>
      </c>
    </row>
    <row r="8677">
      <c r="A8677" s="78" t="s">
        <v>9651</v>
      </c>
      <c r="B8677" s="78" t="s">
        <v>21</v>
      </c>
      <c r="C8677" s="85">
        <v>46124.0</v>
      </c>
      <c r="D8677" s="85">
        <v>46124.0</v>
      </c>
      <c r="E8677" s="86">
        <v>14.61</v>
      </c>
      <c r="F8677" s="87">
        <v>16.37</v>
      </c>
      <c r="G8677" s="88">
        <f t="shared" si="23"/>
        <v>1.76</v>
      </c>
      <c r="H8677" s="89">
        <f t="shared" si="18"/>
        <v>0.1075137447</v>
      </c>
      <c r="I8677" s="78" t="s">
        <v>9861</v>
      </c>
      <c r="J8677" s="78" t="s">
        <v>69</v>
      </c>
      <c r="K8677" s="58">
        <f t="shared" si="17"/>
        <v>0</v>
      </c>
      <c r="L8677" s="91" t="str">
        <f t="shared" si="8"/>
        <v>Sun</v>
      </c>
      <c r="M8677" s="78" t="str">
        <f>IFERROR(VLOOKUP(A8677, Entries!A:B,2,false),"")</f>
        <v/>
      </c>
      <c r="N8677" s="23" t="str">
        <f>IFERROR(VLOOKUP(A8677, Entries!A:K,11,false),"")</f>
        <v/>
      </c>
    </row>
    <row r="8678">
      <c r="A8678" s="78" t="s">
        <v>9651</v>
      </c>
      <c r="B8678" s="78" t="s">
        <v>21</v>
      </c>
      <c r="C8678" s="85">
        <v>46124.0</v>
      </c>
      <c r="D8678" s="85">
        <v>46124.0</v>
      </c>
      <c r="E8678" s="86">
        <v>14.61</v>
      </c>
      <c r="F8678" s="87">
        <v>16.35</v>
      </c>
      <c r="G8678" s="88">
        <f t="shared" si="23"/>
        <v>1.74</v>
      </c>
      <c r="H8678" s="89">
        <f t="shared" si="18"/>
        <v>0.1064220183</v>
      </c>
      <c r="I8678" s="78" t="s">
        <v>9862</v>
      </c>
      <c r="J8678" s="78" t="s">
        <v>69</v>
      </c>
      <c r="K8678" s="58">
        <f t="shared" si="17"/>
        <v>0</v>
      </c>
      <c r="L8678" s="91" t="str">
        <f t="shared" si="8"/>
        <v>Sun</v>
      </c>
      <c r="M8678" s="78" t="str">
        <f>IFERROR(VLOOKUP(A8678, Entries!A:B,2,false),"")</f>
        <v/>
      </c>
      <c r="N8678" s="23" t="str">
        <f>IFERROR(VLOOKUP(A8678, Entries!A:K,11,false),"")</f>
        <v/>
      </c>
    </row>
    <row r="8679">
      <c r="A8679" s="78" t="s">
        <v>9836</v>
      </c>
      <c r="B8679" s="78" t="s">
        <v>27</v>
      </c>
      <c r="C8679" s="85">
        <v>46124.0</v>
      </c>
      <c r="D8679" s="85">
        <v>46125.0</v>
      </c>
      <c r="E8679" s="86">
        <v>7.89</v>
      </c>
      <c r="F8679" s="87">
        <v>13.76</v>
      </c>
      <c r="G8679" s="88">
        <f t="shared" si="23"/>
        <v>5.87</v>
      </c>
      <c r="H8679" s="89">
        <f t="shared" si="18"/>
        <v>0.4265988372</v>
      </c>
      <c r="I8679" s="78" t="s">
        <v>9863</v>
      </c>
      <c r="J8679" s="78" t="s">
        <v>69</v>
      </c>
      <c r="K8679" s="58">
        <f t="shared" si="17"/>
        <v>1</v>
      </c>
      <c r="L8679" s="91" t="str">
        <f t="shared" si="8"/>
        <v>Mon</v>
      </c>
      <c r="M8679" s="78" t="str">
        <f>IFERROR(VLOOKUP(A8679, Entries!A:B,2,false),"")</f>
        <v/>
      </c>
      <c r="N8679" s="23" t="str">
        <f>IFERROR(VLOOKUP(A8679, Entries!A:K,11,false),"")</f>
        <v/>
      </c>
    </row>
    <row r="8680">
      <c r="A8680" s="78" t="s">
        <v>9651</v>
      </c>
      <c r="B8680" s="78" t="s">
        <v>27</v>
      </c>
      <c r="C8680" s="85">
        <v>46124.0</v>
      </c>
      <c r="D8680" s="85">
        <v>46125.0</v>
      </c>
      <c r="E8680" s="86">
        <v>15.09</v>
      </c>
      <c r="F8680" s="87">
        <v>27.51</v>
      </c>
      <c r="G8680" s="88">
        <f t="shared" si="23"/>
        <v>12.42</v>
      </c>
      <c r="H8680" s="89">
        <f t="shared" si="18"/>
        <v>0.4514721919</v>
      </c>
      <c r="I8680" s="78" t="s">
        <v>9864</v>
      </c>
      <c r="J8680" s="78" t="s">
        <v>69</v>
      </c>
      <c r="K8680" s="58">
        <f t="shared" si="17"/>
        <v>1</v>
      </c>
      <c r="L8680" s="91" t="str">
        <f t="shared" si="8"/>
        <v>Mon</v>
      </c>
      <c r="M8680" s="78" t="str">
        <f>IFERROR(VLOOKUP(A8680, Entries!A:B,2,false),"")</f>
        <v/>
      </c>
      <c r="N8680" s="23" t="str">
        <f>IFERROR(VLOOKUP(A8680, Entries!A:K,11,false),"")</f>
        <v/>
      </c>
    </row>
    <row r="8681">
      <c r="A8681" s="78" t="s">
        <v>9651</v>
      </c>
      <c r="B8681" s="78" t="s">
        <v>27</v>
      </c>
      <c r="C8681" s="85">
        <v>46125.0</v>
      </c>
      <c r="D8681" s="85">
        <v>46125.0</v>
      </c>
      <c r="E8681" s="86">
        <v>15.09</v>
      </c>
      <c r="F8681" s="87">
        <v>26.8</v>
      </c>
      <c r="G8681" s="88">
        <f t="shared" si="23"/>
        <v>11.71</v>
      </c>
      <c r="H8681" s="89">
        <f t="shared" si="18"/>
        <v>0.4369402985</v>
      </c>
      <c r="I8681" s="78" t="s">
        <v>9865</v>
      </c>
      <c r="J8681" s="78" t="s">
        <v>69</v>
      </c>
      <c r="K8681" s="58">
        <f t="shared" si="17"/>
        <v>0</v>
      </c>
      <c r="L8681" s="91" t="str">
        <f t="shared" si="8"/>
        <v>Mon</v>
      </c>
      <c r="M8681" s="78" t="str">
        <f>IFERROR(VLOOKUP(A8681, Entries!A:B,2,false),"")</f>
        <v/>
      </c>
      <c r="N8681" s="23" t="str">
        <f>IFERROR(VLOOKUP(A8681, Entries!A:K,11,false),"")</f>
        <v/>
      </c>
    </row>
    <row r="8682">
      <c r="A8682" s="78" t="s">
        <v>9836</v>
      </c>
      <c r="B8682" s="78" t="s">
        <v>27</v>
      </c>
      <c r="C8682" s="85">
        <v>46125.0</v>
      </c>
      <c r="D8682" s="85">
        <v>46125.0</v>
      </c>
      <c r="E8682" s="86">
        <v>7.89</v>
      </c>
      <c r="F8682" s="87">
        <v>13.76</v>
      </c>
      <c r="G8682" s="88">
        <f t="shared" si="23"/>
        <v>5.87</v>
      </c>
      <c r="H8682" s="89">
        <f t="shared" si="18"/>
        <v>0.4265988372</v>
      </c>
      <c r="I8682" s="78" t="s">
        <v>9866</v>
      </c>
      <c r="J8682" s="78" t="s">
        <v>69</v>
      </c>
      <c r="K8682" s="58">
        <f t="shared" si="17"/>
        <v>0</v>
      </c>
      <c r="L8682" s="91" t="str">
        <f t="shared" si="8"/>
        <v>Mon</v>
      </c>
      <c r="M8682" s="78" t="str">
        <f>IFERROR(VLOOKUP(A8682, Entries!A:B,2,false),"")</f>
        <v/>
      </c>
      <c r="N8682" s="23" t="str">
        <f>IFERROR(VLOOKUP(A8682, Entries!A:K,11,false),"")</f>
        <v/>
      </c>
    </row>
    <row r="8683">
      <c r="A8683" s="78" t="s">
        <v>9867</v>
      </c>
      <c r="B8683" s="78" t="s">
        <v>27</v>
      </c>
      <c r="C8683" s="85">
        <v>46125.0</v>
      </c>
      <c r="D8683" s="85">
        <v>46127.0</v>
      </c>
      <c r="E8683" s="86">
        <v>19.69</v>
      </c>
      <c r="F8683" s="87">
        <v>20.44</v>
      </c>
      <c r="G8683" s="88">
        <f t="shared" si="23"/>
        <v>0.75</v>
      </c>
      <c r="H8683" s="89">
        <f t="shared" si="18"/>
        <v>0.0366927593</v>
      </c>
      <c r="I8683" s="78" t="s">
        <v>9868</v>
      </c>
      <c r="J8683" s="78" t="s">
        <v>69</v>
      </c>
      <c r="K8683" s="58">
        <f t="shared" si="17"/>
        <v>2</v>
      </c>
      <c r="L8683" s="91" t="str">
        <f t="shared" si="8"/>
        <v>Wed</v>
      </c>
      <c r="M8683" s="78" t="str">
        <f>IFERROR(VLOOKUP(A8683, Entries!A:B,2,false),"")</f>
        <v/>
      </c>
      <c r="N8683" s="23" t="str">
        <f>IFERROR(VLOOKUP(A8683, Entries!A:K,11,false),"")</f>
        <v/>
      </c>
    </row>
    <row r="8684">
      <c r="A8684" s="78" t="s">
        <v>9869</v>
      </c>
      <c r="B8684" s="78" t="s">
        <v>40</v>
      </c>
      <c r="C8684" s="85">
        <v>46125.0</v>
      </c>
      <c r="D8684" s="85">
        <v>46125.0</v>
      </c>
      <c r="E8684" s="86">
        <v>16.14</v>
      </c>
      <c r="F8684" s="87">
        <v>20.5</v>
      </c>
      <c r="G8684" s="88">
        <f t="shared" si="23"/>
        <v>4.36</v>
      </c>
      <c r="H8684" s="89">
        <f t="shared" si="18"/>
        <v>0.2126829268</v>
      </c>
      <c r="I8684" s="78" t="s">
        <v>9870</v>
      </c>
      <c r="J8684" s="78" t="s">
        <v>69</v>
      </c>
      <c r="K8684" s="58">
        <f t="shared" si="17"/>
        <v>0</v>
      </c>
      <c r="L8684" s="91" t="str">
        <f t="shared" si="8"/>
        <v>Mon</v>
      </c>
      <c r="M8684" s="78" t="str">
        <f>IFERROR(VLOOKUP(A8684, Entries!A:B,2,false),"")</f>
        <v/>
      </c>
      <c r="N8684" s="23" t="str">
        <f>IFERROR(VLOOKUP(A8684, Entries!A:K,11,false),"")</f>
        <v/>
      </c>
    </row>
    <row r="8685">
      <c r="A8685" s="78" t="s">
        <v>9871</v>
      </c>
      <c r="B8685" s="78" t="s">
        <v>27</v>
      </c>
      <c r="C8685" s="85">
        <v>46125.0</v>
      </c>
      <c r="D8685" s="85">
        <v>46127.0</v>
      </c>
      <c r="E8685" s="86">
        <v>27.79</v>
      </c>
      <c r="F8685" s="87">
        <v>29.0</v>
      </c>
      <c r="G8685" s="88">
        <f t="shared" si="23"/>
        <v>1.21</v>
      </c>
      <c r="H8685" s="89">
        <f t="shared" si="18"/>
        <v>0.04172413793</v>
      </c>
      <c r="I8685" s="78" t="s">
        <v>9872</v>
      </c>
      <c r="J8685" s="78" t="s">
        <v>69</v>
      </c>
      <c r="K8685" s="58">
        <f t="shared" si="17"/>
        <v>2</v>
      </c>
      <c r="L8685" s="91" t="str">
        <f t="shared" si="8"/>
        <v>Wed</v>
      </c>
      <c r="M8685" s="78" t="str">
        <f>IFERROR(VLOOKUP(A8685, Entries!A:B,2,false),"")</f>
        <v/>
      </c>
      <c r="N8685" s="23" t="str">
        <f>IFERROR(VLOOKUP(A8685, Entries!A:K,11,false),"")</f>
        <v/>
      </c>
    </row>
    <row r="8686">
      <c r="A8686" s="78" t="s">
        <v>9869</v>
      </c>
      <c r="B8686" s="78" t="s">
        <v>40</v>
      </c>
      <c r="C8686" s="85">
        <v>46125.0</v>
      </c>
      <c r="D8686" s="25"/>
      <c r="E8686" s="86">
        <v>16.14</v>
      </c>
      <c r="F8686" s="88"/>
      <c r="G8686" s="88">
        <f t="shared" si="23"/>
        <v>-16.14</v>
      </c>
      <c r="H8686" s="89" t="str">
        <f t="shared" si="18"/>
        <v/>
      </c>
      <c r="I8686" s="78" t="s">
        <v>9873</v>
      </c>
      <c r="J8686" s="78" t="s">
        <v>1129</v>
      </c>
      <c r="K8686" s="58" t="str">
        <f t="shared" si="17"/>
        <v/>
      </c>
      <c r="L8686" s="91" t="str">
        <f t="shared" si="8"/>
        <v/>
      </c>
      <c r="M8686" s="78" t="str">
        <f>IFERROR(VLOOKUP(A8686, Entries!A:B,2,false),"")</f>
        <v/>
      </c>
      <c r="N8686" s="23" t="str">
        <f>IFERROR(VLOOKUP(A8686, Entries!A:K,11,false),"")</f>
        <v/>
      </c>
    </row>
    <row r="8687">
      <c r="A8687" s="78" t="s">
        <v>9651</v>
      </c>
      <c r="B8687" s="78" t="s">
        <v>27</v>
      </c>
      <c r="C8687" s="85">
        <v>46125.0</v>
      </c>
      <c r="D8687" s="85">
        <v>46126.0</v>
      </c>
      <c r="E8687" s="86">
        <v>16.19</v>
      </c>
      <c r="F8687" s="87">
        <v>26.4</v>
      </c>
      <c r="G8687" s="88">
        <f t="shared" si="23"/>
        <v>10.21</v>
      </c>
      <c r="H8687" s="89">
        <f t="shared" si="18"/>
        <v>0.3867424242</v>
      </c>
      <c r="I8687" s="78" t="s">
        <v>9874</v>
      </c>
      <c r="J8687" s="78" t="s">
        <v>69</v>
      </c>
      <c r="K8687" s="58">
        <f t="shared" si="17"/>
        <v>1</v>
      </c>
      <c r="L8687" s="91" t="str">
        <f t="shared" si="8"/>
        <v>Tue</v>
      </c>
      <c r="M8687" s="78" t="str">
        <f>IFERROR(VLOOKUP(A8687, Entries!A:B,2,false),"")</f>
        <v/>
      </c>
      <c r="N8687" s="23" t="str">
        <f>IFERROR(VLOOKUP(A8687, Entries!A:K,11,false),"")</f>
        <v/>
      </c>
    </row>
    <row r="8688">
      <c r="A8688" s="78" t="s">
        <v>5676</v>
      </c>
      <c r="B8688" s="78" t="s">
        <v>27</v>
      </c>
      <c r="C8688" s="85">
        <v>46125.0</v>
      </c>
      <c r="D8688" s="25"/>
      <c r="E8688" s="86">
        <v>35.99</v>
      </c>
      <c r="F8688" s="88"/>
      <c r="G8688" s="88">
        <f t="shared" si="23"/>
        <v>-35.99</v>
      </c>
      <c r="H8688" s="89" t="str">
        <f t="shared" si="18"/>
        <v/>
      </c>
      <c r="I8688" s="78" t="s">
        <v>9875</v>
      </c>
      <c r="J8688" s="78" t="s">
        <v>1129</v>
      </c>
      <c r="K8688" s="58" t="str">
        <f t="shared" si="17"/>
        <v/>
      </c>
      <c r="L8688" s="91" t="str">
        <f t="shared" si="8"/>
        <v/>
      </c>
      <c r="M8688" s="78" t="str">
        <f>IFERROR(VLOOKUP(A8688, Entries!A:B,2,false),"")</f>
        <v>Bethesda Softworks</v>
      </c>
      <c r="N8688" s="23" t="str">
        <f>IFERROR(VLOOKUP(A8688, Entries!A:K,11,false),"")</f>
        <v/>
      </c>
    </row>
    <row r="8689">
      <c r="A8689" s="78" t="s">
        <v>9651</v>
      </c>
      <c r="B8689" s="78" t="s">
        <v>27</v>
      </c>
      <c r="C8689" s="85">
        <v>46125.0</v>
      </c>
      <c r="D8689" s="85"/>
      <c r="E8689" s="86">
        <v>12.69</v>
      </c>
      <c r="F8689" s="87"/>
      <c r="G8689" s="88">
        <f t="shared" si="23"/>
        <v>-12.69</v>
      </c>
      <c r="H8689" s="89" t="str">
        <f t="shared" si="18"/>
        <v/>
      </c>
      <c r="I8689" s="78" t="s">
        <v>9876</v>
      </c>
      <c r="J8689" s="78" t="s">
        <v>1129</v>
      </c>
      <c r="K8689" s="58" t="str">
        <f t="shared" si="17"/>
        <v/>
      </c>
      <c r="L8689" s="91" t="str">
        <f t="shared" si="8"/>
        <v/>
      </c>
      <c r="M8689" s="78" t="str">
        <f>IFERROR(VLOOKUP(A8689, Entries!A:B,2,false),"")</f>
        <v/>
      </c>
      <c r="N8689" s="23" t="str">
        <f>IFERROR(VLOOKUP(A8689, Entries!A:K,11,false),"")</f>
        <v/>
      </c>
    </row>
    <row r="8690">
      <c r="A8690" s="78" t="s">
        <v>9651</v>
      </c>
      <c r="B8690" s="78" t="s">
        <v>27</v>
      </c>
      <c r="C8690" s="85">
        <v>46125.0</v>
      </c>
      <c r="D8690" s="25"/>
      <c r="E8690" s="86">
        <v>12.69</v>
      </c>
      <c r="F8690" s="88"/>
      <c r="G8690" s="88">
        <f t="shared" si="23"/>
        <v>-12.69</v>
      </c>
      <c r="H8690" s="89" t="str">
        <f t="shared" si="18"/>
        <v/>
      </c>
      <c r="I8690" s="78" t="s">
        <v>9877</v>
      </c>
      <c r="J8690" s="78" t="s">
        <v>1129</v>
      </c>
      <c r="K8690" s="58" t="str">
        <f t="shared" si="17"/>
        <v/>
      </c>
      <c r="L8690" s="91" t="str">
        <f t="shared" si="8"/>
        <v/>
      </c>
      <c r="M8690" s="78" t="str">
        <f>IFERROR(VLOOKUP(A8690, Entries!A:B,2,false),"")</f>
        <v/>
      </c>
      <c r="N8690" s="23" t="str">
        <f>IFERROR(VLOOKUP(A8690, Entries!A:K,11,false),"")</f>
        <v/>
      </c>
    </row>
    <row r="8691">
      <c r="A8691" s="78" t="s">
        <v>9205</v>
      </c>
      <c r="B8691" s="78" t="s">
        <v>17</v>
      </c>
      <c r="C8691" s="85">
        <v>46126.0</v>
      </c>
      <c r="D8691" s="25"/>
      <c r="E8691" s="86">
        <v>7.4</v>
      </c>
      <c r="F8691" s="88"/>
      <c r="G8691" s="88">
        <f t="shared" si="23"/>
        <v>-7.4</v>
      </c>
      <c r="H8691" s="89" t="str">
        <f t="shared" si="18"/>
        <v/>
      </c>
      <c r="I8691" s="78" t="s">
        <v>9878</v>
      </c>
      <c r="J8691" s="78" t="s">
        <v>1129</v>
      </c>
      <c r="K8691" s="58" t="str">
        <f t="shared" si="17"/>
        <v/>
      </c>
      <c r="L8691" s="91" t="str">
        <f t="shared" si="8"/>
        <v/>
      </c>
      <c r="M8691" s="78" t="str">
        <f>IFERROR(VLOOKUP(A8692, Entries!A:B,2,false),"")</f>
        <v/>
      </c>
      <c r="N8691" s="23" t="str">
        <f>IFERROR(VLOOKUP(A8691, Entries!A:K,11,false),"")</f>
        <v/>
      </c>
      <c r="P8691" s="78" t="s">
        <v>9879</v>
      </c>
    </row>
    <row r="8692">
      <c r="A8692" s="78" t="s">
        <v>9858</v>
      </c>
      <c r="B8692" s="78" t="s">
        <v>23</v>
      </c>
      <c r="C8692" s="85">
        <v>46126.0</v>
      </c>
      <c r="D8692" s="85">
        <v>46129.0</v>
      </c>
      <c r="E8692" s="86">
        <v>29.76</v>
      </c>
      <c r="F8692" s="87">
        <v>46.7</v>
      </c>
      <c r="G8692" s="88">
        <f t="shared" si="23"/>
        <v>16.94</v>
      </c>
      <c r="H8692" s="89">
        <f t="shared" si="18"/>
        <v>0.3627408994</v>
      </c>
      <c r="I8692" s="78" t="s">
        <v>9859</v>
      </c>
      <c r="J8692" s="78" t="s">
        <v>69</v>
      </c>
      <c r="K8692" s="58">
        <f>IFERROR(DATEDIF(C8693,D8692,"D"), "")</f>
        <v>3</v>
      </c>
      <c r="L8692" s="91" t="str">
        <f t="shared" si="8"/>
        <v>Fri</v>
      </c>
      <c r="M8692" s="78" t="str">
        <f>IFERROR(VLOOKUP(A8692, Entries!A:B,2,false),"")</f>
        <v/>
      </c>
      <c r="N8692" s="23" t="str">
        <f>IFERROR(VLOOKUP(A8692, Entries!A:K,11,false),"")</f>
        <v/>
      </c>
    </row>
    <row r="8693">
      <c r="A8693" s="78" t="s">
        <v>9836</v>
      </c>
      <c r="B8693" s="78" t="s">
        <v>17</v>
      </c>
      <c r="C8693" s="85">
        <v>46126.0</v>
      </c>
      <c r="D8693" s="85">
        <v>46126.0</v>
      </c>
      <c r="E8693" s="86">
        <v>6.62</v>
      </c>
      <c r="F8693" s="87">
        <v>9.7</v>
      </c>
      <c r="G8693" s="88">
        <f t="shared" si="23"/>
        <v>3.08</v>
      </c>
      <c r="H8693" s="89">
        <f t="shared" si="18"/>
        <v>0.3175257732</v>
      </c>
      <c r="I8693" s="78" t="s">
        <v>9880</v>
      </c>
      <c r="J8693" s="78" t="s">
        <v>69</v>
      </c>
      <c r="K8693" s="58">
        <f>IFERROR(DATEDIF(C8693,D8693,"D"), "")</f>
        <v>0</v>
      </c>
      <c r="L8693" s="91" t="str">
        <f t="shared" si="8"/>
        <v>Tue</v>
      </c>
      <c r="M8693" s="78" t="str">
        <f>IFERROR(VLOOKUP(A8693, Entries!A:B,2,false),"")</f>
        <v/>
      </c>
      <c r="N8693" s="23" t="str">
        <f>IFERROR(VLOOKUP(A8693, Entries!A:K,11,false),"")</f>
        <v/>
      </c>
      <c r="P8693" s="78" t="s">
        <v>9879</v>
      </c>
    </row>
    <row r="8694">
      <c r="A8694" s="78" t="s">
        <v>9836</v>
      </c>
      <c r="B8694" s="78" t="s">
        <v>29</v>
      </c>
      <c r="C8694" s="85">
        <v>46126.0</v>
      </c>
      <c r="D8694" s="85">
        <v>46129.0</v>
      </c>
      <c r="E8694" s="86">
        <v>6.03</v>
      </c>
      <c r="F8694" s="87">
        <v>9.06</v>
      </c>
      <c r="G8694" s="88">
        <f t="shared" si="23"/>
        <v>3.03</v>
      </c>
      <c r="H8694" s="89">
        <f t="shared" si="18"/>
        <v>0.3344370861</v>
      </c>
      <c r="I8694" s="78" t="s">
        <v>9881</v>
      </c>
      <c r="J8694" s="78" t="s">
        <v>69</v>
      </c>
      <c r="K8694" s="58">
        <f>IFERROR(DATEDIF(C8695,D8694,"D"), "")</f>
        <v>1</v>
      </c>
      <c r="L8694" s="91" t="str">
        <f t="shared" si="8"/>
        <v>Fri</v>
      </c>
      <c r="M8694" s="78" t="str">
        <f>IFERROR(VLOOKUP(A8694, Entries!A:B,2,false),"")</f>
        <v/>
      </c>
      <c r="N8694" s="23" t="str">
        <f>IFERROR(VLOOKUP(A8694, Entries!A:K,11,false),"")</f>
        <v/>
      </c>
    </row>
    <row r="8695">
      <c r="A8695" s="78" t="s">
        <v>9871</v>
      </c>
      <c r="B8695" s="78" t="s">
        <v>27</v>
      </c>
      <c r="C8695" s="85">
        <v>46128.0</v>
      </c>
      <c r="D8695" s="85">
        <v>46129.0</v>
      </c>
      <c r="E8695" s="86">
        <v>27.79</v>
      </c>
      <c r="F8695" s="87">
        <v>29.0</v>
      </c>
      <c r="G8695" s="88">
        <f t="shared" si="23"/>
        <v>1.21</v>
      </c>
      <c r="H8695" s="89">
        <f t="shared" si="18"/>
        <v>0.04172413793</v>
      </c>
      <c r="I8695" s="78" t="s">
        <v>9882</v>
      </c>
      <c r="J8695" s="78" t="s">
        <v>69</v>
      </c>
      <c r="K8695" s="58">
        <f>IFERROR(DATEDIF(C8695,D8695,"D"), "")</f>
        <v>1</v>
      </c>
      <c r="L8695" s="91" t="str">
        <f t="shared" si="8"/>
        <v>Fri</v>
      </c>
      <c r="M8695" s="78" t="str">
        <f>IFERROR(VLOOKUP(A8695, Entries!A:B,2,false),"")</f>
        <v/>
      </c>
      <c r="N8695" s="23" t="str">
        <f>IFERROR(VLOOKUP(A8695, Entries!A:K,11,false),"")</f>
        <v/>
      </c>
    </row>
    <row r="8696">
      <c r="A8696" s="78" t="s">
        <v>8316</v>
      </c>
      <c r="B8696" s="78" t="s">
        <v>21</v>
      </c>
      <c r="C8696" s="85">
        <v>46128.0</v>
      </c>
      <c r="D8696" s="85">
        <v>46131.0</v>
      </c>
      <c r="E8696" s="86">
        <v>24.36</v>
      </c>
      <c r="F8696" s="87">
        <v>28.39</v>
      </c>
      <c r="G8696" s="88">
        <f t="shared" si="23"/>
        <v>4.03</v>
      </c>
      <c r="H8696" s="89">
        <f t="shared" si="18"/>
        <v>0.1419513913</v>
      </c>
      <c r="I8696" s="78" t="s">
        <v>9883</v>
      </c>
      <c r="J8696" s="78" t="s">
        <v>69</v>
      </c>
      <c r="K8696" s="58">
        <f>IFERROR(DATEDIF(C8697,D8696,"D"), "")</f>
        <v>3</v>
      </c>
      <c r="L8696" s="91" t="str">
        <f t="shared" si="8"/>
        <v>Sun</v>
      </c>
      <c r="M8696" s="78" t="str">
        <f>IFERROR(VLOOKUP(A8696, Entries!A:B,2,false),"")</f>
        <v/>
      </c>
      <c r="N8696" s="23" t="str">
        <f>IFERROR(VLOOKUP(A8696, Entries!A:K,11,false),"")</f>
        <v/>
      </c>
    </row>
    <row r="8697">
      <c r="A8697" s="78" t="s">
        <v>9836</v>
      </c>
      <c r="B8697" s="78" t="s">
        <v>29</v>
      </c>
      <c r="C8697" s="85">
        <v>46128.0</v>
      </c>
      <c r="D8697" s="85">
        <v>46170.0</v>
      </c>
      <c r="E8697" s="86">
        <v>6.1</v>
      </c>
      <c r="F8697" s="87">
        <v>13.29</v>
      </c>
      <c r="G8697" s="88">
        <f t="shared" si="23"/>
        <v>7.19</v>
      </c>
      <c r="H8697" s="89">
        <f t="shared" si="18"/>
        <v>0.5410082769</v>
      </c>
      <c r="I8697" s="78" t="s">
        <v>9884</v>
      </c>
      <c r="J8697" s="78" t="s">
        <v>69</v>
      </c>
      <c r="K8697" s="58">
        <f t="shared" ref="K8697:K8709" si="24">IFERROR(DATEDIF(C8697,D8697,"D"), "")</f>
        <v>42</v>
      </c>
      <c r="L8697" s="91" t="str">
        <f t="shared" si="8"/>
        <v>Thu</v>
      </c>
      <c r="M8697" s="78" t="str">
        <f>IFERROR(VLOOKUP(A8697, Entries!A:B,2,false),"")</f>
        <v/>
      </c>
      <c r="N8697" s="23" t="str">
        <f>IFERROR(VLOOKUP(A8697, Entries!A:K,11,false),"")</f>
        <v/>
      </c>
    </row>
    <row r="8698">
      <c r="A8698" s="78" t="s">
        <v>9858</v>
      </c>
      <c r="B8698" s="78" t="s">
        <v>23</v>
      </c>
      <c r="C8698" s="85">
        <v>46129.0</v>
      </c>
      <c r="D8698" s="85">
        <v>46141.0</v>
      </c>
      <c r="E8698" s="86">
        <v>29.53</v>
      </c>
      <c r="F8698" s="87">
        <v>43.75</v>
      </c>
      <c r="G8698" s="88">
        <f t="shared" si="23"/>
        <v>14.22</v>
      </c>
      <c r="H8698" s="89">
        <f t="shared" si="18"/>
        <v>0.3250285714</v>
      </c>
      <c r="I8698" s="78" t="s">
        <v>9885</v>
      </c>
      <c r="J8698" s="78" t="s">
        <v>69</v>
      </c>
      <c r="K8698" s="58">
        <f t="shared" si="24"/>
        <v>12</v>
      </c>
      <c r="L8698" s="91" t="str">
        <f t="shared" si="8"/>
        <v>Wed</v>
      </c>
      <c r="M8698" s="78" t="str">
        <f>IFERROR(VLOOKUP(A8698, Entries!A:B,2,false),"")</f>
        <v/>
      </c>
      <c r="N8698" s="23" t="str">
        <f>IFERROR(VLOOKUP(A8698, Entries!A:K,11,false),"")</f>
        <v/>
      </c>
    </row>
    <row r="8699">
      <c r="A8699" s="94" t="s">
        <v>9241</v>
      </c>
      <c r="B8699" s="94" t="s">
        <v>32</v>
      </c>
      <c r="C8699" s="114">
        <v>46130.0</v>
      </c>
      <c r="D8699" s="114">
        <v>46138.0</v>
      </c>
      <c r="E8699" s="115">
        <v>19.67</v>
      </c>
      <c r="F8699" s="116">
        <v>22.03</v>
      </c>
      <c r="G8699" s="117">
        <f t="shared" si="23"/>
        <v>2.36</v>
      </c>
      <c r="H8699" s="118">
        <f t="shared" si="18"/>
        <v>0.1071266455</v>
      </c>
      <c r="I8699" s="94" t="s">
        <v>9886</v>
      </c>
      <c r="J8699" s="23"/>
      <c r="K8699" s="58">
        <f t="shared" si="24"/>
        <v>8</v>
      </c>
      <c r="L8699" s="91" t="str">
        <f t="shared" si="8"/>
        <v>Sun</v>
      </c>
      <c r="M8699" s="78" t="str">
        <f>IFERROR(VLOOKUP(A8699, Entries!A:B,2,false),"")</f>
        <v/>
      </c>
      <c r="N8699" s="23" t="str">
        <f>IFERROR(VLOOKUP(A8699, Entries!A:K,11,false),"")</f>
        <v/>
      </c>
      <c r="P8699" s="78" t="s">
        <v>9887</v>
      </c>
    </row>
    <row r="8700">
      <c r="A8700" s="94" t="s">
        <v>9241</v>
      </c>
      <c r="B8700" s="94" t="s">
        <v>32</v>
      </c>
      <c r="C8700" s="114">
        <v>46130.0</v>
      </c>
      <c r="D8700" s="119"/>
      <c r="E8700" s="115">
        <v>19.67</v>
      </c>
      <c r="F8700" s="117"/>
      <c r="G8700" s="117">
        <f t="shared" si="23"/>
        <v>-19.67</v>
      </c>
      <c r="H8700" s="118" t="str">
        <f t="shared" si="18"/>
        <v/>
      </c>
      <c r="I8700" s="94" t="s">
        <v>9888</v>
      </c>
      <c r="J8700" s="23"/>
      <c r="K8700" s="58" t="str">
        <f t="shared" si="24"/>
        <v/>
      </c>
      <c r="L8700" s="91" t="str">
        <f t="shared" si="8"/>
        <v/>
      </c>
      <c r="M8700" s="78" t="str">
        <f>IFERROR(VLOOKUP(A8700, Entries!A:B,2,false),"")</f>
        <v/>
      </c>
      <c r="N8700" s="23" t="str">
        <f>IFERROR(VLOOKUP(A8700, Entries!A:K,11,false),"")</f>
        <v/>
      </c>
    </row>
    <row r="8701">
      <c r="A8701" s="78" t="s">
        <v>9836</v>
      </c>
      <c r="B8701" s="78" t="s">
        <v>29</v>
      </c>
      <c r="C8701" s="85">
        <v>46132.0</v>
      </c>
      <c r="D8701" s="85">
        <v>46170.0</v>
      </c>
      <c r="E8701" s="86">
        <v>7.46</v>
      </c>
      <c r="F8701" s="87">
        <v>13.29</v>
      </c>
      <c r="G8701" s="88">
        <f t="shared" si="23"/>
        <v>5.83</v>
      </c>
      <c r="H8701" s="89">
        <f t="shared" si="18"/>
        <v>0.438675696</v>
      </c>
      <c r="I8701" s="78" t="s">
        <v>9889</v>
      </c>
      <c r="J8701" s="78" t="s">
        <v>69</v>
      </c>
      <c r="K8701" s="58">
        <f t="shared" si="24"/>
        <v>38</v>
      </c>
      <c r="L8701" s="91" t="str">
        <f t="shared" si="8"/>
        <v>Thu</v>
      </c>
      <c r="M8701" s="78" t="str">
        <f>IFERROR(VLOOKUP(A8701, Entries!A:B,2,false),"")</f>
        <v/>
      </c>
      <c r="N8701" s="23" t="str">
        <f>IFERROR(VLOOKUP(A8701, Entries!A:K,11,false),"")</f>
        <v/>
      </c>
    </row>
    <row r="8702">
      <c r="A8702" s="78" t="s">
        <v>9836</v>
      </c>
      <c r="B8702" s="78" t="s">
        <v>29</v>
      </c>
      <c r="C8702" s="85">
        <v>46132.0</v>
      </c>
      <c r="D8702" s="85">
        <v>46173.0</v>
      </c>
      <c r="E8702" s="86">
        <v>7.46</v>
      </c>
      <c r="F8702" s="87">
        <v>11.46</v>
      </c>
      <c r="G8702" s="88">
        <f t="shared" si="23"/>
        <v>4</v>
      </c>
      <c r="H8702" s="89">
        <f t="shared" si="18"/>
        <v>0.3490401396</v>
      </c>
      <c r="I8702" s="78" t="s">
        <v>9890</v>
      </c>
      <c r="J8702" s="78" t="s">
        <v>69</v>
      </c>
      <c r="K8702" s="58">
        <f t="shared" si="24"/>
        <v>41</v>
      </c>
      <c r="L8702" s="91" t="str">
        <f t="shared" si="8"/>
        <v>Sun</v>
      </c>
      <c r="M8702" s="78" t="str">
        <f>IFERROR(VLOOKUP(A8702, Entries!A:B,2,false),"")</f>
        <v/>
      </c>
      <c r="N8702" s="23" t="str">
        <f>IFERROR(VLOOKUP(A8702, Entries!A:K,11,false),"")</f>
        <v/>
      </c>
    </row>
    <row r="8703">
      <c r="A8703" s="78" t="s">
        <v>9836</v>
      </c>
      <c r="B8703" s="78" t="s">
        <v>29</v>
      </c>
      <c r="C8703" s="85">
        <v>46132.0</v>
      </c>
      <c r="D8703" s="85">
        <v>46173.0</v>
      </c>
      <c r="E8703" s="86">
        <v>7.46</v>
      </c>
      <c r="F8703" s="87">
        <v>11.46</v>
      </c>
      <c r="G8703" s="88">
        <f t="shared" si="23"/>
        <v>4</v>
      </c>
      <c r="H8703" s="89">
        <f t="shared" si="18"/>
        <v>0.3490401396</v>
      </c>
      <c r="I8703" s="78" t="s">
        <v>9891</v>
      </c>
      <c r="J8703" s="78" t="s">
        <v>69</v>
      </c>
      <c r="K8703" s="58">
        <f t="shared" si="24"/>
        <v>41</v>
      </c>
      <c r="L8703" s="91" t="str">
        <f t="shared" si="8"/>
        <v>Sun</v>
      </c>
      <c r="M8703" s="78" t="str">
        <f>IFERROR(VLOOKUP(A8703, Entries!A:B,2,false),"")</f>
        <v/>
      </c>
      <c r="N8703" s="23" t="str">
        <f>IFERROR(VLOOKUP(A8703, Entries!A:K,11,false),"")</f>
        <v/>
      </c>
    </row>
    <row r="8704">
      <c r="A8704" s="78" t="s">
        <v>9836</v>
      </c>
      <c r="B8704" s="78" t="s">
        <v>29</v>
      </c>
      <c r="C8704" s="85">
        <v>46132.0</v>
      </c>
      <c r="D8704" s="85">
        <v>46174.0</v>
      </c>
      <c r="E8704" s="86">
        <v>7.46</v>
      </c>
      <c r="F8704" s="87">
        <v>11.46</v>
      </c>
      <c r="G8704" s="88">
        <f t="shared" si="23"/>
        <v>4</v>
      </c>
      <c r="H8704" s="89">
        <f t="shared" si="18"/>
        <v>0.3490401396</v>
      </c>
      <c r="I8704" s="78" t="s">
        <v>9892</v>
      </c>
      <c r="J8704" s="78" t="s">
        <v>69</v>
      </c>
      <c r="K8704" s="58">
        <f t="shared" si="24"/>
        <v>42</v>
      </c>
      <c r="L8704" s="91" t="str">
        <f t="shared" si="8"/>
        <v>Mon</v>
      </c>
      <c r="M8704" s="78" t="str">
        <f>IFERROR(VLOOKUP(A8704, Entries!A:B,2,false),"")</f>
        <v/>
      </c>
      <c r="N8704" s="23" t="str">
        <f>IFERROR(VLOOKUP(A8704, Entries!A:K,11,false),"")</f>
        <v/>
      </c>
    </row>
    <row r="8705">
      <c r="A8705" s="78" t="s">
        <v>9836</v>
      </c>
      <c r="B8705" s="78" t="s">
        <v>29</v>
      </c>
      <c r="C8705" s="85">
        <v>46132.0</v>
      </c>
      <c r="D8705" s="85">
        <v>46174.0</v>
      </c>
      <c r="E8705" s="86">
        <v>7.46</v>
      </c>
      <c r="F8705" s="87">
        <v>11.46</v>
      </c>
      <c r="G8705" s="88">
        <f t="shared" si="23"/>
        <v>4</v>
      </c>
      <c r="H8705" s="89">
        <f t="shared" si="18"/>
        <v>0.3490401396</v>
      </c>
      <c r="I8705" s="78" t="s">
        <v>9893</v>
      </c>
      <c r="J8705" s="78" t="s">
        <v>69</v>
      </c>
      <c r="K8705" s="58">
        <f t="shared" si="24"/>
        <v>42</v>
      </c>
      <c r="L8705" s="91" t="str">
        <f t="shared" si="8"/>
        <v>Mon</v>
      </c>
      <c r="M8705" s="78" t="str">
        <f>IFERROR(VLOOKUP(A8705, Entries!A:B,2,false),"")</f>
        <v/>
      </c>
      <c r="N8705" s="23" t="str">
        <f>IFERROR(VLOOKUP(A8705, Entries!A:K,11,false),"")</f>
        <v/>
      </c>
    </row>
    <row r="8706">
      <c r="A8706" s="78" t="s">
        <v>9836</v>
      </c>
      <c r="B8706" s="78" t="s">
        <v>29</v>
      </c>
      <c r="C8706" s="85">
        <v>46132.0</v>
      </c>
      <c r="D8706" s="85">
        <v>46174.0</v>
      </c>
      <c r="E8706" s="86">
        <v>7.46</v>
      </c>
      <c r="F8706" s="87">
        <v>11.46</v>
      </c>
      <c r="G8706" s="88">
        <f t="shared" si="23"/>
        <v>4</v>
      </c>
      <c r="H8706" s="89">
        <f t="shared" si="18"/>
        <v>0.3490401396</v>
      </c>
      <c r="I8706" s="78" t="s">
        <v>9894</v>
      </c>
      <c r="J8706" s="78" t="s">
        <v>69</v>
      </c>
      <c r="K8706" s="58">
        <f t="shared" si="24"/>
        <v>42</v>
      </c>
      <c r="L8706" s="91" t="str">
        <f t="shared" si="8"/>
        <v>Mon</v>
      </c>
      <c r="M8706" s="78" t="str">
        <f>IFERROR(VLOOKUP(A8706, Entries!A:B,2,false),"")</f>
        <v/>
      </c>
      <c r="N8706" s="23" t="str">
        <f>IFERROR(VLOOKUP(A8706, Entries!A:K,11,false),"")</f>
        <v/>
      </c>
    </row>
    <row r="8707">
      <c r="A8707" s="78" t="s">
        <v>9836</v>
      </c>
      <c r="B8707" s="78" t="s">
        <v>29</v>
      </c>
      <c r="C8707" s="85">
        <v>46132.0</v>
      </c>
      <c r="D8707" s="85">
        <v>46183.0</v>
      </c>
      <c r="E8707" s="86">
        <v>7.46</v>
      </c>
      <c r="F8707" s="87">
        <v>10.14</v>
      </c>
      <c r="G8707" s="88">
        <f t="shared" si="23"/>
        <v>2.68</v>
      </c>
      <c r="H8707" s="89">
        <f t="shared" si="18"/>
        <v>0.2642998028</v>
      </c>
      <c r="I8707" s="78" t="s">
        <v>9895</v>
      </c>
      <c r="J8707" s="78" t="s">
        <v>69</v>
      </c>
      <c r="K8707" s="58">
        <f t="shared" si="24"/>
        <v>51</v>
      </c>
      <c r="L8707" s="91" t="str">
        <f t="shared" si="8"/>
        <v>Wed</v>
      </c>
      <c r="M8707" s="78" t="str">
        <f>IFERROR(VLOOKUP(A8707, Entries!A:B,2,false),"")</f>
        <v/>
      </c>
      <c r="N8707" s="23" t="str">
        <f>IFERROR(VLOOKUP(A8707, Entries!A:K,11,false),"")</f>
        <v/>
      </c>
    </row>
    <row r="8708">
      <c r="A8708" s="78" t="s">
        <v>9836</v>
      </c>
      <c r="B8708" s="78" t="s">
        <v>29</v>
      </c>
      <c r="C8708" s="85">
        <v>46132.0</v>
      </c>
      <c r="D8708" s="85">
        <v>46184.0</v>
      </c>
      <c r="E8708" s="86">
        <v>7.46</v>
      </c>
      <c r="F8708" s="87">
        <v>10.14</v>
      </c>
      <c r="G8708" s="88">
        <f t="shared" si="23"/>
        <v>2.68</v>
      </c>
      <c r="H8708" s="89">
        <f t="shared" si="18"/>
        <v>0.2642998028</v>
      </c>
      <c r="I8708" s="78" t="s">
        <v>9896</v>
      </c>
      <c r="J8708" s="78" t="s">
        <v>69</v>
      </c>
      <c r="K8708" s="58">
        <f t="shared" si="24"/>
        <v>52</v>
      </c>
      <c r="L8708" s="91" t="str">
        <f t="shared" si="8"/>
        <v>Thu</v>
      </c>
      <c r="M8708" s="78" t="str">
        <f>IFERROR(VLOOKUP(A8708, Entries!A:B,2,false),"")</f>
        <v/>
      </c>
      <c r="N8708" s="23" t="str">
        <f>IFERROR(VLOOKUP(A8708, Entries!A:K,11,false),"")</f>
        <v/>
      </c>
    </row>
    <row r="8709">
      <c r="A8709" s="78" t="s">
        <v>9836</v>
      </c>
      <c r="B8709" s="78" t="s">
        <v>29</v>
      </c>
      <c r="C8709" s="85">
        <v>46132.0</v>
      </c>
      <c r="D8709" s="85">
        <v>46187.0</v>
      </c>
      <c r="E8709" s="86">
        <v>7.46</v>
      </c>
      <c r="F8709" s="87">
        <v>10.14</v>
      </c>
      <c r="G8709" s="88">
        <f t="shared" si="23"/>
        <v>2.68</v>
      </c>
      <c r="H8709" s="89">
        <f t="shared" si="18"/>
        <v>0.2642998028</v>
      </c>
      <c r="I8709" s="78" t="s">
        <v>9897</v>
      </c>
      <c r="J8709" s="78" t="s">
        <v>69</v>
      </c>
      <c r="K8709" s="58">
        <f t="shared" si="24"/>
        <v>55</v>
      </c>
      <c r="L8709" s="91" t="str">
        <f t="shared" si="8"/>
        <v>Sun</v>
      </c>
      <c r="M8709" s="78" t="str">
        <f>IFERROR(VLOOKUP(A8709, Entries!A:B,2,false),"")</f>
        <v/>
      </c>
      <c r="N8709" s="23" t="str">
        <f>IFERROR(VLOOKUP(A8709, Entries!A:K,11,false),"")</f>
        <v/>
      </c>
    </row>
    <row r="8710">
      <c r="A8710" s="78" t="s">
        <v>9898</v>
      </c>
      <c r="B8710" s="78" t="s">
        <v>25</v>
      </c>
      <c r="C8710" s="85">
        <v>46132.0</v>
      </c>
      <c r="D8710" s="85">
        <v>46132.0</v>
      </c>
      <c r="E8710" s="86">
        <v>23.19</v>
      </c>
      <c r="F8710" s="87">
        <v>53.01</v>
      </c>
      <c r="G8710" s="88">
        <f t="shared" si="23"/>
        <v>29.82</v>
      </c>
      <c r="H8710" s="89">
        <f t="shared" si="18"/>
        <v>0.5625353707</v>
      </c>
      <c r="I8710" s="78" t="s">
        <v>9899</v>
      </c>
      <c r="J8710" s="78" t="s">
        <v>69</v>
      </c>
      <c r="K8710" s="58">
        <f t="shared" ref="K8710:K8711" si="25">IFERROR(DATEDIF(C8711,D8710,"D"), "")</f>
        <v>0</v>
      </c>
      <c r="L8710" s="91" t="str">
        <f t="shared" si="8"/>
        <v>Mon</v>
      </c>
      <c r="M8710" s="78" t="str">
        <f>IFERROR(VLOOKUP(A8710, Entries!A:B,2,false),"")</f>
        <v/>
      </c>
      <c r="N8710" s="23" t="str">
        <f>IFERROR(VLOOKUP(A8710, Entries!A:K,11,false),"")</f>
        <v/>
      </c>
    </row>
    <row r="8711">
      <c r="A8711" s="78" t="s">
        <v>9898</v>
      </c>
      <c r="B8711" s="78" t="s">
        <v>25</v>
      </c>
      <c r="C8711" s="85">
        <v>46132.0</v>
      </c>
      <c r="D8711" s="85">
        <v>46132.0</v>
      </c>
      <c r="E8711" s="86">
        <v>23.19</v>
      </c>
      <c r="F8711" s="87">
        <v>53.51</v>
      </c>
      <c r="G8711" s="88">
        <f t="shared" si="23"/>
        <v>30.32</v>
      </c>
      <c r="H8711" s="89">
        <f t="shared" si="18"/>
        <v>0.5666230611</v>
      </c>
      <c r="I8711" s="78" t="s">
        <v>9900</v>
      </c>
      <c r="J8711" s="78" t="s">
        <v>69</v>
      </c>
      <c r="K8711" s="58">
        <f t="shared" si="25"/>
        <v>0</v>
      </c>
      <c r="L8711" s="91" t="str">
        <f t="shared" si="8"/>
        <v>Mon</v>
      </c>
      <c r="M8711" s="78" t="str">
        <f>IFERROR(VLOOKUP(A8711, Entries!A:B,2,false),"")</f>
        <v/>
      </c>
      <c r="N8711" s="23" t="str">
        <f>IFERROR(VLOOKUP(A8711, Entries!A:K,11,false),"")</f>
        <v/>
      </c>
    </row>
    <row r="8712">
      <c r="A8712" s="78" t="s">
        <v>9898</v>
      </c>
      <c r="B8712" s="78" t="s">
        <v>25</v>
      </c>
      <c r="C8712" s="85">
        <v>46132.0</v>
      </c>
      <c r="D8712" s="85">
        <v>46135.0</v>
      </c>
      <c r="E8712" s="86">
        <v>23.2</v>
      </c>
      <c r="F8712" s="87">
        <v>28.6</v>
      </c>
      <c r="G8712" s="88">
        <f t="shared" si="23"/>
        <v>5.4</v>
      </c>
      <c r="H8712" s="89">
        <f t="shared" si="18"/>
        <v>0.1888111888</v>
      </c>
      <c r="I8712" s="78" t="s">
        <v>9901</v>
      </c>
      <c r="J8712" s="78" t="s">
        <v>69</v>
      </c>
      <c r="K8712" s="58">
        <f>IFERROR(DATEDIF(C8712,D8712,"D"), "")</f>
        <v>3</v>
      </c>
      <c r="L8712" s="91" t="str">
        <f t="shared" si="8"/>
        <v>Thu</v>
      </c>
      <c r="M8712" s="78" t="str">
        <f>IFERROR(VLOOKUP(A8712, Entries!A:B,2,false),"")</f>
        <v/>
      </c>
      <c r="N8712" s="23" t="str">
        <f>IFERROR(VLOOKUP(A8712, Entries!A:K,11,false),"")</f>
        <v/>
      </c>
    </row>
    <row r="8713">
      <c r="A8713" s="78" t="s">
        <v>9902</v>
      </c>
      <c r="B8713" s="78" t="s">
        <v>27</v>
      </c>
      <c r="C8713" s="85">
        <v>46132.0</v>
      </c>
      <c r="D8713" s="85">
        <v>46132.0</v>
      </c>
      <c r="E8713" s="86">
        <v>19.69</v>
      </c>
      <c r="F8713" s="87">
        <v>21.82</v>
      </c>
      <c r="G8713" s="88">
        <f t="shared" si="23"/>
        <v>2.13</v>
      </c>
      <c r="H8713" s="89">
        <f t="shared" si="18"/>
        <v>0.09761686526</v>
      </c>
      <c r="I8713" s="78" t="s">
        <v>9903</v>
      </c>
      <c r="J8713" s="78" t="s">
        <v>69</v>
      </c>
      <c r="K8713" s="58">
        <f>IFERROR(DATEDIF(C8714,D8713,"D"), "")</f>
        <v>0</v>
      </c>
      <c r="L8713" s="91" t="str">
        <f t="shared" si="8"/>
        <v>Mon</v>
      </c>
      <c r="M8713" s="78" t="str">
        <f>IFERROR(VLOOKUP(A8713, Entries!A:B,2,false),"")</f>
        <v/>
      </c>
      <c r="N8713" s="23" t="str">
        <f>IFERROR(VLOOKUP(A8713, Entries!A:K,11,false),"")</f>
        <v/>
      </c>
    </row>
    <row r="8714">
      <c r="A8714" s="78" t="s">
        <v>9902</v>
      </c>
      <c r="B8714" s="78" t="s">
        <v>27</v>
      </c>
      <c r="C8714" s="85">
        <v>46132.0</v>
      </c>
      <c r="D8714" s="85">
        <v>46133.0</v>
      </c>
      <c r="E8714" s="86">
        <v>19.69</v>
      </c>
      <c r="F8714" s="87">
        <v>21.47</v>
      </c>
      <c r="G8714" s="88">
        <f t="shared" si="23"/>
        <v>1.78</v>
      </c>
      <c r="H8714" s="89">
        <f t="shared" si="18"/>
        <v>0.082906381</v>
      </c>
      <c r="I8714" s="78" t="s">
        <v>9904</v>
      </c>
      <c r="J8714" s="78" t="s">
        <v>69</v>
      </c>
      <c r="K8714" s="58">
        <f t="shared" ref="K8714:K8715" si="26">IFERROR(DATEDIF(C8714,D8714,"D"), "")</f>
        <v>1</v>
      </c>
      <c r="L8714" s="91" t="str">
        <f t="shared" si="8"/>
        <v>Tue</v>
      </c>
      <c r="M8714" s="78" t="str">
        <f>IFERROR(VLOOKUP(A8714, Entries!A:B,2,false),"")</f>
        <v/>
      </c>
      <c r="N8714" s="23" t="str">
        <f>IFERROR(VLOOKUP(A8714, Entries!A:K,11,false),"")</f>
        <v/>
      </c>
    </row>
    <row r="8715">
      <c r="A8715" s="78" t="s">
        <v>9905</v>
      </c>
      <c r="B8715" s="78" t="s">
        <v>22</v>
      </c>
      <c r="C8715" s="85">
        <v>46132.0</v>
      </c>
      <c r="D8715" s="85">
        <v>46157.0</v>
      </c>
      <c r="E8715" s="86">
        <v>3.99</v>
      </c>
      <c r="F8715" s="87">
        <v>7.15</v>
      </c>
      <c r="G8715" s="88">
        <f t="shared" si="23"/>
        <v>3.16</v>
      </c>
      <c r="H8715" s="89">
        <f t="shared" si="18"/>
        <v>0.441958042</v>
      </c>
      <c r="I8715" s="78" t="s">
        <v>9906</v>
      </c>
      <c r="J8715" s="78" t="s">
        <v>69</v>
      </c>
      <c r="K8715" s="58">
        <f t="shared" si="26"/>
        <v>25</v>
      </c>
      <c r="L8715" s="91" t="str">
        <f t="shared" si="8"/>
        <v>Fri</v>
      </c>
      <c r="M8715" s="78" t="str">
        <f>IFERROR(VLOOKUP(A8715, Entries!A:B,2,false),"")</f>
        <v/>
      </c>
      <c r="N8715" s="23" t="str">
        <f>IFERROR(VLOOKUP(A8715, Entries!A:K,11,false),"")</f>
        <v/>
      </c>
    </row>
    <row r="8716">
      <c r="A8716" s="78" t="s">
        <v>9907</v>
      </c>
      <c r="B8716" s="78" t="s">
        <v>22</v>
      </c>
      <c r="C8716" s="85">
        <v>46132.0</v>
      </c>
      <c r="D8716" s="85">
        <v>46132.0</v>
      </c>
      <c r="E8716" s="86">
        <v>6.01</v>
      </c>
      <c r="F8716" s="87">
        <v>7.59</v>
      </c>
      <c r="G8716" s="88">
        <f t="shared" si="23"/>
        <v>1.58</v>
      </c>
      <c r="H8716" s="89">
        <f t="shared" si="18"/>
        <v>0.208168643</v>
      </c>
      <c r="I8716" s="78" t="s">
        <v>9908</v>
      </c>
      <c r="J8716" s="78" t="s">
        <v>69</v>
      </c>
      <c r="K8716" s="58">
        <f>IFERROR(DATEDIF(C8717,D8716,"D"), "")</f>
        <v>0</v>
      </c>
      <c r="L8716" s="91" t="str">
        <f t="shared" si="8"/>
        <v>Mon</v>
      </c>
      <c r="M8716" s="78" t="str">
        <f>IFERROR(VLOOKUP(A8716, Entries!A:B,2,false),"")</f>
        <v/>
      </c>
      <c r="N8716" s="23" t="str">
        <f>IFERROR(VLOOKUP(A8716, Entries!A:K,11,false),"")</f>
        <v/>
      </c>
    </row>
    <row r="8717">
      <c r="A8717" s="78" t="s">
        <v>9909</v>
      </c>
      <c r="B8717" s="78" t="s">
        <v>22</v>
      </c>
      <c r="C8717" s="85">
        <v>46132.0</v>
      </c>
      <c r="D8717" s="85">
        <v>46143.0</v>
      </c>
      <c r="E8717" s="86">
        <v>17.4</v>
      </c>
      <c r="F8717" s="87">
        <v>32.75</v>
      </c>
      <c r="G8717" s="88">
        <f t="shared" si="23"/>
        <v>15.35</v>
      </c>
      <c r="H8717" s="89">
        <f t="shared" si="18"/>
        <v>0.4687022901</v>
      </c>
      <c r="I8717" s="78" t="s">
        <v>9910</v>
      </c>
      <c r="J8717" s="78" t="s">
        <v>69</v>
      </c>
      <c r="K8717" s="58">
        <f t="shared" ref="K8717:K8994" si="27">IFERROR(DATEDIF(C8717,D8717,"D"), "")</f>
        <v>11</v>
      </c>
      <c r="L8717" s="91" t="str">
        <f t="shared" si="8"/>
        <v>Fri</v>
      </c>
      <c r="M8717" s="78" t="str">
        <f>IFERROR(VLOOKUP(A8717, Entries!A:B,2,false),"")</f>
        <v/>
      </c>
      <c r="N8717" s="23" t="str">
        <f>IFERROR(VLOOKUP(A8717, Entries!A:K,11,false),"")</f>
        <v/>
      </c>
    </row>
    <row r="8718">
      <c r="A8718" s="78" t="s">
        <v>9911</v>
      </c>
      <c r="B8718" s="78" t="s">
        <v>25</v>
      </c>
      <c r="C8718" s="85">
        <v>46132.0</v>
      </c>
      <c r="D8718" s="85">
        <v>46133.0</v>
      </c>
      <c r="E8718" s="86">
        <v>0.0</v>
      </c>
      <c r="F8718" s="87">
        <v>1.22</v>
      </c>
      <c r="G8718" s="88">
        <f t="shared" si="23"/>
        <v>1.22</v>
      </c>
      <c r="H8718" s="89">
        <f t="shared" si="18"/>
        <v>1</v>
      </c>
      <c r="I8718" s="78" t="s">
        <v>9912</v>
      </c>
      <c r="J8718" s="78" t="s">
        <v>69</v>
      </c>
      <c r="K8718" s="58">
        <f t="shared" si="27"/>
        <v>1</v>
      </c>
      <c r="L8718" s="91" t="str">
        <f t="shared" si="8"/>
        <v>Tue</v>
      </c>
      <c r="M8718" s="78" t="str">
        <f>IFERROR(VLOOKUP(A8718, Entries!A:B,2,false),"")</f>
        <v/>
      </c>
      <c r="N8718" s="23" t="str">
        <f>IFERROR(VLOOKUP(A8718, Entries!A:K,11,false),"")</f>
        <v/>
      </c>
    </row>
    <row r="8719">
      <c r="A8719" s="78" t="s">
        <v>2951</v>
      </c>
      <c r="B8719" s="78" t="s">
        <v>22</v>
      </c>
      <c r="C8719" s="85">
        <v>46132.0</v>
      </c>
      <c r="D8719" s="85">
        <v>46134.0</v>
      </c>
      <c r="E8719" s="86">
        <v>1.55</v>
      </c>
      <c r="F8719" s="87">
        <v>2.24</v>
      </c>
      <c r="G8719" s="88">
        <f t="shared" si="23"/>
        <v>0.69</v>
      </c>
      <c r="H8719" s="89">
        <f t="shared" si="18"/>
        <v>0.3080357143</v>
      </c>
      <c r="I8719" s="78" t="s">
        <v>9913</v>
      </c>
      <c r="J8719" s="78" t="s">
        <v>69</v>
      </c>
      <c r="K8719" s="58">
        <f t="shared" si="27"/>
        <v>2</v>
      </c>
      <c r="L8719" s="91" t="str">
        <f t="shared" si="8"/>
        <v>Wed</v>
      </c>
      <c r="M8719" s="78" t="str">
        <f>IFERROR(VLOOKUP(A8719, Entries!A:B,2,false),"")</f>
        <v>Marmalade Game Studio</v>
      </c>
      <c r="N8719" s="23" t="str">
        <f>IFERROR(VLOOKUP(A8719, Entries!A:K,11,false),"")</f>
        <v/>
      </c>
    </row>
    <row r="8720">
      <c r="A8720" s="78" t="s">
        <v>9914</v>
      </c>
      <c r="B8720" s="78" t="s">
        <v>22</v>
      </c>
      <c r="C8720" s="85">
        <v>46132.0</v>
      </c>
      <c r="D8720" s="85">
        <v>46133.0</v>
      </c>
      <c r="E8720" s="86">
        <v>9.41</v>
      </c>
      <c r="F8720" s="87">
        <v>11.75</v>
      </c>
      <c r="G8720" s="88">
        <f t="shared" si="23"/>
        <v>2.34</v>
      </c>
      <c r="H8720" s="89">
        <f t="shared" si="18"/>
        <v>0.1991489362</v>
      </c>
      <c r="I8720" s="78" t="s">
        <v>9915</v>
      </c>
      <c r="J8720" s="78" t="s">
        <v>69</v>
      </c>
      <c r="K8720" s="58">
        <f t="shared" si="27"/>
        <v>1</v>
      </c>
      <c r="L8720" s="91" t="str">
        <f t="shared" si="8"/>
        <v>Tue</v>
      </c>
      <c r="M8720" s="78" t="str">
        <f>IFERROR(VLOOKUP(A8720, Entries!A:B,2,false),"")</f>
        <v/>
      </c>
      <c r="N8720" s="23" t="str">
        <f>IFERROR(VLOOKUP(A8720, Entries!A:K,11,false),"")</f>
        <v/>
      </c>
    </row>
    <row r="8721">
      <c r="A8721" s="78" t="s">
        <v>9916</v>
      </c>
      <c r="B8721" s="78" t="s">
        <v>22</v>
      </c>
      <c r="C8721" s="85">
        <v>46132.0</v>
      </c>
      <c r="D8721" s="85">
        <v>46134.0</v>
      </c>
      <c r="E8721" s="86">
        <v>6.64</v>
      </c>
      <c r="F8721" s="87">
        <v>8.0</v>
      </c>
      <c r="G8721" s="88">
        <f t="shared" si="23"/>
        <v>1.36</v>
      </c>
      <c r="H8721" s="89">
        <f t="shared" si="18"/>
        <v>0.17</v>
      </c>
      <c r="J8721" s="78" t="s">
        <v>69</v>
      </c>
      <c r="K8721" s="58">
        <f t="shared" si="27"/>
        <v>2</v>
      </c>
      <c r="L8721" s="91" t="str">
        <f t="shared" si="8"/>
        <v>Wed</v>
      </c>
      <c r="M8721" s="78" t="str">
        <f>IFERROR(VLOOKUP(A8721, Entries!A:B,2,false),"")</f>
        <v/>
      </c>
      <c r="N8721" s="23" t="str">
        <f>IFERROR(VLOOKUP(A8721, Entries!A:K,11,false),"")</f>
        <v/>
      </c>
    </row>
    <row r="8722">
      <c r="A8722" s="78" t="s">
        <v>9917</v>
      </c>
      <c r="B8722" s="78" t="s">
        <v>22</v>
      </c>
      <c r="C8722" s="85">
        <v>46132.0</v>
      </c>
      <c r="D8722" s="85">
        <v>46133.0</v>
      </c>
      <c r="E8722" s="86">
        <v>21.07</v>
      </c>
      <c r="F8722" s="87">
        <v>25.49</v>
      </c>
      <c r="G8722" s="88">
        <f t="shared" si="23"/>
        <v>4.42</v>
      </c>
      <c r="H8722" s="89">
        <f t="shared" si="18"/>
        <v>0.1734013339</v>
      </c>
      <c r="I8722" s="78" t="s">
        <v>9918</v>
      </c>
      <c r="J8722" s="78" t="s">
        <v>69</v>
      </c>
      <c r="K8722" s="58">
        <f t="shared" si="27"/>
        <v>1</v>
      </c>
      <c r="L8722" s="91" t="str">
        <f t="shared" si="8"/>
        <v>Tue</v>
      </c>
      <c r="M8722" s="78" t="str">
        <f>IFERROR(VLOOKUP(A8722, Entries!A:B,2,false),"")</f>
        <v/>
      </c>
      <c r="N8722" s="23" t="str">
        <f>IFERROR(VLOOKUP(A8722, Entries!A:K,11,false),"")</f>
        <v/>
      </c>
    </row>
    <row r="8723">
      <c r="A8723" s="78" t="s">
        <v>9898</v>
      </c>
      <c r="B8723" s="78" t="s">
        <v>29</v>
      </c>
      <c r="C8723" s="85">
        <v>46133.0</v>
      </c>
      <c r="D8723" s="85">
        <v>46136.0</v>
      </c>
      <c r="E8723" s="86">
        <v>28.6</v>
      </c>
      <c r="F8723" s="87">
        <v>35.71</v>
      </c>
      <c r="G8723" s="88">
        <f t="shared" si="23"/>
        <v>7.11</v>
      </c>
      <c r="H8723" s="89">
        <f t="shared" si="18"/>
        <v>0.1991038925</v>
      </c>
      <c r="I8723" s="78" t="s">
        <v>9919</v>
      </c>
      <c r="J8723" s="78" t="s">
        <v>69</v>
      </c>
      <c r="K8723" s="58">
        <f t="shared" si="27"/>
        <v>3</v>
      </c>
      <c r="L8723" s="91" t="str">
        <f t="shared" si="8"/>
        <v>Fri</v>
      </c>
      <c r="M8723" s="78" t="str">
        <f>IFERROR(VLOOKUP(A8723, Entries!A:B,2,false),"")</f>
        <v/>
      </c>
      <c r="N8723" s="23" t="str">
        <f>IFERROR(VLOOKUP(A8723, Entries!A:K,11,false),"")</f>
        <v/>
      </c>
    </row>
    <row r="8724">
      <c r="A8724" s="78" t="s">
        <v>9898</v>
      </c>
      <c r="B8724" s="78" t="s">
        <v>29</v>
      </c>
      <c r="C8724" s="85">
        <v>46133.0</v>
      </c>
      <c r="D8724" s="85">
        <v>46137.0</v>
      </c>
      <c r="E8724" s="86">
        <v>28.6</v>
      </c>
      <c r="F8724" s="87">
        <v>41.12</v>
      </c>
      <c r="G8724" s="88">
        <f t="shared" si="23"/>
        <v>12.52</v>
      </c>
      <c r="H8724" s="89">
        <f t="shared" si="18"/>
        <v>0.3044747082</v>
      </c>
      <c r="I8724" s="78" t="s">
        <v>9920</v>
      </c>
      <c r="J8724" s="78" t="s">
        <v>69</v>
      </c>
      <c r="K8724" s="58">
        <f t="shared" si="27"/>
        <v>4</v>
      </c>
      <c r="L8724" s="91" t="str">
        <f t="shared" si="8"/>
        <v>Sat</v>
      </c>
      <c r="M8724" s="78" t="str">
        <f>IFERROR(VLOOKUP(A8724, Entries!A:B,2,false),"")</f>
        <v/>
      </c>
      <c r="N8724" s="23" t="str">
        <f>IFERROR(VLOOKUP(A8724, Entries!A:K,11,false),"")</f>
        <v/>
      </c>
    </row>
    <row r="8725">
      <c r="A8725" s="78" t="s">
        <v>9018</v>
      </c>
      <c r="B8725" s="78" t="s">
        <v>32</v>
      </c>
      <c r="C8725" s="85">
        <v>46133.0</v>
      </c>
      <c r="D8725" s="85">
        <v>46135.0</v>
      </c>
      <c r="E8725" s="86">
        <v>29.8</v>
      </c>
      <c r="F8725" s="87">
        <v>32.66</v>
      </c>
      <c r="G8725" s="88">
        <f t="shared" si="23"/>
        <v>2.86</v>
      </c>
      <c r="H8725" s="89">
        <f t="shared" si="18"/>
        <v>0.08756889161</v>
      </c>
      <c r="I8725" s="78" t="s">
        <v>9921</v>
      </c>
      <c r="J8725" s="78" t="s">
        <v>69</v>
      </c>
      <c r="K8725" s="58">
        <f t="shared" si="27"/>
        <v>2</v>
      </c>
      <c r="L8725" s="91" t="str">
        <f t="shared" si="8"/>
        <v>Thu</v>
      </c>
      <c r="M8725" s="78" t="str">
        <f>IFERROR(VLOOKUP(A8725, Entries!A:B,2,false),"")</f>
        <v>Game Science</v>
      </c>
      <c r="N8725" s="23" t="str">
        <f>IFERROR(VLOOKUP(A8725, Entries!A:K,11,false),"")</f>
        <v/>
      </c>
    </row>
    <row r="8726">
      <c r="A8726" s="78" t="s">
        <v>9018</v>
      </c>
      <c r="B8726" s="78" t="s">
        <v>32</v>
      </c>
      <c r="C8726" s="85">
        <v>46133.0</v>
      </c>
      <c r="D8726" s="85">
        <v>46135.0</v>
      </c>
      <c r="E8726" s="86">
        <v>29.8</v>
      </c>
      <c r="F8726" s="87">
        <v>32.66</v>
      </c>
      <c r="G8726" s="88">
        <f t="shared" si="23"/>
        <v>2.86</v>
      </c>
      <c r="H8726" s="89">
        <f t="shared" si="18"/>
        <v>0.08756889161</v>
      </c>
      <c r="I8726" s="78" t="s">
        <v>9922</v>
      </c>
      <c r="J8726" s="78" t="s">
        <v>69</v>
      </c>
      <c r="K8726" s="58">
        <f t="shared" si="27"/>
        <v>2</v>
      </c>
      <c r="L8726" s="91" t="str">
        <f t="shared" si="8"/>
        <v>Thu</v>
      </c>
      <c r="M8726" s="78" t="str">
        <f>IFERROR(VLOOKUP(A8726, Entries!A:B,2,false),"")</f>
        <v>Game Science</v>
      </c>
      <c r="N8726" s="23" t="str">
        <f>IFERROR(VLOOKUP(A8726, Entries!A:K,11,false),"")</f>
        <v/>
      </c>
    </row>
    <row r="8727">
      <c r="A8727" s="78" t="s">
        <v>4532</v>
      </c>
      <c r="B8727" s="78" t="s">
        <v>21</v>
      </c>
      <c r="C8727" s="85">
        <v>46134.0</v>
      </c>
      <c r="D8727" s="85">
        <v>46145.0</v>
      </c>
      <c r="E8727" s="86">
        <v>18.54</v>
      </c>
      <c r="F8727" s="87">
        <v>20.5</v>
      </c>
      <c r="G8727" s="88">
        <f t="shared" si="23"/>
        <v>1.96</v>
      </c>
      <c r="H8727" s="89">
        <f t="shared" si="18"/>
        <v>0.0956097561</v>
      </c>
      <c r="I8727" s="78" t="s">
        <v>9923</v>
      </c>
      <c r="J8727" s="78" t="s">
        <v>69</v>
      </c>
      <c r="K8727" s="58">
        <f t="shared" si="27"/>
        <v>11</v>
      </c>
      <c r="L8727" s="91" t="str">
        <f t="shared" si="8"/>
        <v>Sun</v>
      </c>
      <c r="M8727" s="78" t="str">
        <f>IFERROR(VLOOKUP(A8727, Entries!A:B,2,false),"")</f>
        <v>Eugen Systems</v>
      </c>
      <c r="N8727" s="23" t="str">
        <f>IFERROR(VLOOKUP(A8727, Entries!A:K,11,false),"")</f>
        <v/>
      </c>
    </row>
    <row r="8728">
      <c r="A8728" s="78" t="s">
        <v>9924</v>
      </c>
      <c r="B8728" s="78" t="s">
        <v>21</v>
      </c>
      <c r="C8728" s="85">
        <v>46138.0</v>
      </c>
      <c r="D8728" s="85">
        <v>46140.0</v>
      </c>
      <c r="E8728" s="86">
        <v>24.97</v>
      </c>
      <c r="F8728" s="87">
        <v>30.48</v>
      </c>
      <c r="G8728" s="88">
        <f t="shared" si="23"/>
        <v>5.51</v>
      </c>
      <c r="H8728" s="89">
        <f t="shared" si="18"/>
        <v>0.1807742782</v>
      </c>
      <c r="I8728" s="78" t="s">
        <v>9925</v>
      </c>
      <c r="J8728" s="78" t="s">
        <v>69</v>
      </c>
      <c r="K8728" s="58">
        <f t="shared" si="27"/>
        <v>2</v>
      </c>
      <c r="L8728" s="91" t="str">
        <f t="shared" si="8"/>
        <v>Tue</v>
      </c>
      <c r="M8728" s="78" t="str">
        <f>IFERROR(VLOOKUP(A8728, Entries!A:B,2,false),"")</f>
        <v/>
      </c>
      <c r="N8728" s="23" t="str">
        <f>IFERROR(VLOOKUP(A8728, Entries!A:K,11,false),"")</f>
        <v/>
      </c>
    </row>
    <row r="8729">
      <c r="A8729" s="94" t="s">
        <v>9926</v>
      </c>
      <c r="B8729" s="78" t="s">
        <v>22</v>
      </c>
      <c r="C8729" s="85">
        <v>46139.0</v>
      </c>
      <c r="D8729" s="85"/>
      <c r="E8729" s="86">
        <v>6.06</v>
      </c>
      <c r="F8729" s="87"/>
      <c r="G8729" s="88">
        <f t="shared" si="23"/>
        <v>-6.06</v>
      </c>
      <c r="H8729" s="89" t="str">
        <f t="shared" si="18"/>
        <v/>
      </c>
      <c r="J8729" s="23"/>
      <c r="K8729" s="58" t="str">
        <f t="shared" si="27"/>
        <v/>
      </c>
      <c r="L8729" s="91" t="str">
        <f t="shared" si="8"/>
        <v/>
      </c>
      <c r="M8729" s="78" t="str">
        <f>IFERROR(VLOOKUP(A8729, Entries!A:B,2,false),"")</f>
        <v/>
      </c>
      <c r="N8729" s="23" t="str">
        <f>IFERROR(VLOOKUP(A8729, Entries!A:K,11,false),"")</f>
        <v/>
      </c>
      <c r="P8729" s="78" t="s">
        <v>9927</v>
      </c>
    </row>
    <row r="8730">
      <c r="A8730" s="78" t="s">
        <v>9365</v>
      </c>
      <c r="B8730" s="78" t="s">
        <v>25</v>
      </c>
      <c r="C8730" s="85">
        <v>46139.0</v>
      </c>
      <c r="D8730" s="85">
        <v>46151.0</v>
      </c>
      <c r="E8730" s="86">
        <v>30.84</v>
      </c>
      <c r="F8730" s="87">
        <v>44.91</v>
      </c>
      <c r="G8730" s="88">
        <f t="shared" si="23"/>
        <v>14.07</v>
      </c>
      <c r="H8730" s="89">
        <f t="shared" si="18"/>
        <v>0.3132932532</v>
      </c>
      <c r="I8730" s="78" t="s">
        <v>9928</v>
      </c>
      <c r="J8730" s="78" t="s">
        <v>69</v>
      </c>
      <c r="K8730" s="58">
        <f t="shared" si="27"/>
        <v>12</v>
      </c>
      <c r="L8730" s="91" t="str">
        <f t="shared" si="8"/>
        <v>Sat</v>
      </c>
      <c r="M8730" s="78" t="str">
        <f>IFERROR(VLOOKUP(A8730, Entries!A:B,2,false),"")</f>
        <v/>
      </c>
      <c r="N8730" s="23" t="str">
        <f>IFERROR(VLOOKUP(A8730, Entries!A:K,11,false),"")</f>
        <v/>
      </c>
    </row>
    <row r="8731">
      <c r="A8731" s="78" t="s">
        <v>9365</v>
      </c>
      <c r="B8731" s="78" t="s">
        <v>25</v>
      </c>
      <c r="C8731" s="85">
        <v>46139.0</v>
      </c>
      <c r="D8731" s="85">
        <v>46151.0</v>
      </c>
      <c r="E8731" s="86">
        <v>30.85</v>
      </c>
      <c r="F8731" s="87">
        <v>44.91</v>
      </c>
      <c r="G8731" s="88">
        <f t="shared" si="23"/>
        <v>14.06</v>
      </c>
      <c r="H8731" s="89">
        <f t="shared" si="18"/>
        <v>0.3130705856</v>
      </c>
      <c r="I8731" s="78" t="s">
        <v>9929</v>
      </c>
      <c r="J8731" s="78" t="s">
        <v>69</v>
      </c>
      <c r="K8731" s="58">
        <f t="shared" si="27"/>
        <v>12</v>
      </c>
      <c r="L8731" s="91" t="str">
        <f t="shared" si="8"/>
        <v>Sat</v>
      </c>
      <c r="M8731" s="78" t="str">
        <f>IFERROR(VLOOKUP(A8731, Entries!A:B,2,false),"")</f>
        <v/>
      </c>
      <c r="N8731" s="23" t="str">
        <f>IFERROR(VLOOKUP(A8731, Entries!A:K,11,false),"")</f>
        <v/>
      </c>
    </row>
    <row r="8732">
      <c r="A8732" s="78" t="s">
        <v>9867</v>
      </c>
      <c r="B8732" s="78" t="s">
        <v>27</v>
      </c>
      <c r="C8732" s="85">
        <v>46140.0</v>
      </c>
      <c r="D8732" s="85">
        <v>46167.0</v>
      </c>
      <c r="E8732" s="86">
        <v>19.69</v>
      </c>
      <c r="F8732" s="87">
        <v>18.92</v>
      </c>
      <c r="G8732" s="88">
        <f t="shared" si="23"/>
        <v>-0.77</v>
      </c>
      <c r="H8732" s="89">
        <f t="shared" si="18"/>
        <v>-0.04069767442</v>
      </c>
      <c r="I8732" s="78" t="s">
        <v>9930</v>
      </c>
      <c r="J8732" s="78" t="s">
        <v>69</v>
      </c>
      <c r="K8732" s="58">
        <f t="shared" si="27"/>
        <v>27</v>
      </c>
      <c r="L8732" s="91" t="str">
        <f t="shared" si="8"/>
        <v>Mon</v>
      </c>
      <c r="M8732" s="78" t="str">
        <f>IFERROR(VLOOKUP(A8732, Entries!A:B,2,false),"")</f>
        <v/>
      </c>
      <c r="N8732" s="23" t="str">
        <f>IFERROR(VLOOKUP(A8732, Entries!A:K,11,false),"")</f>
        <v/>
      </c>
    </row>
    <row r="8733">
      <c r="A8733" s="120" t="s">
        <v>9931</v>
      </c>
      <c r="B8733" s="78" t="s">
        <v>22</v>
      </c>
      <c r="C8733" s="85">
        <v>46141.0</v>
      </c>
      <c r="D8733" s="85">
        <v>46151.0</v>
      </c>
      <c r="E8733" s="86">
        <v>10.99</v>
      </c>
      <c r="F8733" s="87">
        <v>13.37</v>
      </c>
      <c r="G8733" s="88">
        <f t="shared" si="23"/>
        <v>2.38</v>
      </c>
      <c r="H8733" s="89">
        <f t="shared" si="18"/>
        <v>0.1780104712</v>
      </c>
      <c r="I8733" s="78" t="s">
        <v>9932</v>
      </c>
      <c r="J8733" s="78" t="s">
        <v>69</v>
      </c>
      <c r="K8733" s="58">
        <f t="shared" si="27"/>
        <v>10</v>
      </c>
      <c r="L8733" s="91" t="str">
        <f t="shared" si="8"/>
        <v>Sat</v>
      </c>
      <c r="M8733" s="78" t="str">
        <f>IFERROR(VLOOKUP(A8733, Entries!A:B,2,false),"")</f>
        <v/>
      </c>
      <c r="N8733" s="23" t="str">
        <f>IFERROR(VLOOKUP(A8733, Entries!A:K,11,false),"")</f>
        <v/>
      </c>
    </row>
    <row r="8734">
      <c r="A8734" s="78" t="s">
        <v>9933</v>
      </c>
      <c r="B8734" s="78" t="s">
        <v>32</v>
      </c>
      <c r="C8734" s="85">
        <v>46141.0</v>
      </c>
      <c r="D8734" s="25"/>
      <c r="E8734" s="86">
        <v>8.87</v>
      </c>
      <c r="F8734" s="88"/>
      <c r="G8734" s="88">
        <f t="shared" si="23"/>
        <v>-8.87</v>
      </c>
      <c r="H8734" s="89" t="str">
        <f t="shared" si="18"/>
        <v/>
      </c>
      <c r="I8734" s="78" t="s">
        <v>9934</v>
      </c>
      <c r="J8734" s="78" t="s">
        <v>1129</v>
      </c>
      <c r="K8734" s="58" t="str">
        <f t="shared" si="27"/>
        <v/>
      </c>
      <c r="L8734" s="91" t="str">
        <f t="shared" si="8"/>
        <v/>
      </c>
      <c r="M8734" s="78" t="str">
        <f>IFERROR(VLOOKUP(A8734, Entries!A:B,2,false),"")</f>
        <v/>
      </c>
      <c r="N8734" s="23" t="str">
        <f>IFERROR(VLOOKUP(A8734, Entries!A:K,11,false),"")</f>
        <v/>
      </c>
    </row>
    <row r="8735">
      <c r="A8735" s="78" t="s">
        <v>9933</v>
      </c>
      <c r="B8735" s="78" t="s">
        <v>32</v>
      </c>
      <c r="C8735" s="85">
        <v>46141.0</v>
      </c>
      <c r="D8735" s="25"/>
      <c r="E8735" s="86">
        <v>8.87</v>
      </c>
      <c r="F8735" s="88"/>
      <c r="G8735" s="88">
        <f t="shared" si="23"/>
        <v>-8.87</v>
      </c>
      <c r="H8735" s="89" t="str">
        <f t="shared" si="18"/>
        <v/>
      </c>
      <c r="I8735" s="78" t="s">
        <v>9935</v>
      </c>
      <c r="J8735" s="78" t="s">
        <v>1129</v>
      </c>
      <c r="K8735" s="58" t="str">
        <f t="shared" si="27"/>
        <v/>
      </c>
      <c r="L8735" s="91" t="str">
        <f t="shared" si="8"/>
        <v/>
      </c>
      <c r="M8735" s="78" t="str">
        <f>IFERROR(VLOOKUP(A8735, Entries!A:B,2,false),"")</f>
        <v/>
      </c>
      <c r="N8735" s="23" t="str">
        <f>IFERROR(VLOOKUP(A8735, Entries!A:K,11,false),"")</f>
        <v/>
      </c>
    </row>
    <row r="8736">
      <c r="A8736" s="78" t="s">
        <v>9933</v>
      </c>
      <c r="B8736" s="78" t="s">
        <v>32</v>
      </c>
      <c r="C8736" s="85">
        <v>46141.0</v>
      </c>
      <c r="D8736" s="25"/>
      <c r="E8736" s="86">
        <v>8.87</v>
      </c>
      <c r="F8736" s="88"/>
      <c r="G8736" s="88">
        <f t="shared" si="23"/>
        <v>-8.87</v>
      </c>
      <c r="H8736" s="89" t="str">
        <f t="shared" si="18"/>
        <v/>
      </c>
      <c r="I8736" s="78" t="s">
        <v>9936</v>
      </c>
      <c r="J8736" s="78" t="s">
        <v>1129</v>
      </c>
      <c r="K8736" s="58" t="str">
        <f t="shared" si="27"/>
        <v/>
      </c>
      <c r="L8736" s="91" t="str">
        <f t="shared" si="8"/>
        <v/>
      </c>
      <c r="M8736" s="78" t="str">
        <f>IFERROR(VLOOKUP(A8736, Entries!A:B,2,false),"")</f>
        <v/>
      </c>
      <c r="N8736" s="23" t="str">
        <f>IFERROR(VLOOKUP(A8736, Entries!A:K,11,false),"")</f>
        <v/>
      </c>
    </row>
    <row r="8737">
      <c r="A8737" s="78" t="s">
        <v>9937</v>
      </c>
      <c r="B8737" s="78" t="s">
        <v>18</v>
      </c>
      <c r="C8737" s="85">
        <v>46143.0</v>
      </c>
      <c r="D8737" s="25"/>
      <c r="E8737" s="86">
        <v>27.32</v>
      </c>
      <c r="F8737" s="88"/>
      <c r="G8737" s="88">
        <f t="shared" si="23"/>
        <v>-27.32</v>
      </c>
      <c r="H8737" s="89" t="str">
        <f t="shared" si="18"/>
        <v/>
      </c>
      <c r="I8737" s="78" t="s">
        <v>9938</v>
      </c>
      <c r="J8737" s="78" t="s">
        <v>1129</v>
      </c>
      <c r="K8737" s="58" t="str">
        <f t="shared" si="27"/>
        <v/>
      </c>
      <c r="L8737" s="91" t="str">
        <f t="shared" si="8"/>
        <v/>
      </c>
      <c r="M8737" s="78" t="str">
        <f>IFERROR(VLOOKUP(A8737, Entries!A:B,2,false),"")</f>
        <v/>
      </c>
      <c r="N8737" s="23" t="str">
        <f>IFERROR(VLOOKUP(A8737, Entries!A:K,11,false),"")</f>
        <v/>
      </c>
    </row>
    <row r="8738">
      <c r="A8738" s="78" t="s">
        <v>3245</v>
      </c>
      <c r="B8738" s="78" t="s">
        <v>29</v>
      </c>
      <c r="C8738" s="85">
        <v>46145.0</v>
      </c>
      <c r="D8738" s="25"/>
      <c r="E8738" s="86">
        <v>12.61</v>
      </c>
      <c r="F8738" s="88"/>
      <c r="G8738" s="88">
        <f t="shared" si="23"/>
        <v>-12.61</v>
      </c>
      <c r="H8738" s="89" t="str">
        <f t="shared" si="18"/>
        <v/>
      </c>
      <c r="I8738" s="78" t="s">
        <v>9939</v>
      </c>
      <c r="J8738" s="78" t="s">
        <v>1129</v>
      </c>
      <c r="K8738" s="58" t="str">
        <f t="shared" si="27"/>
        <v/>
      </c>
      <c r="L8738" s="91" t="str">
        <f t="shared" si="8"/>
        <v/>
      </c>
      <c r="M8738" s="78" t="str">
        <f>IFERROR(VLOOKUP(A8738, Entries!A:B,2,false),"")</f>
        <v>2K</v>
      </c>
      <c r="N8738" s="23" t="str">
        <f>IFERROR(VLOOKUP(A8738, Entries!A:K,11,false),"")</f>
        <v/>
      </c>
    </row>
    <row r="8739">
      <c r="A8739" s="78" t="s">
        <v>3245</v>
      </c>
      <c r="B8739" s="78" t="s">
        <v>29</v>
      </c>
      <c r="C8739" s="85">
        <v>46145.0</v>
      </c>
      <c r="D8739" s="25"/>
      <c r="E8739" s="86">
        <v>12.61</v>
      </c>
      <c r="F8739" s="88"/>
      <c r="G8739" s="88">
        <f t="shared" si="23"/>
        <v>-12.61</v>
      </c>
      <c r="H8739" s="89" t="str">
        <f t="shared" si="18"/>
        <v/>
      </c>
      <c r="I8739" s="78" t="s">
        <v>9940</v>
      </c>
      <c r="J8739" s="78" t="s">
        <v>1129</v>
      </c>
      <c r="K8739" s="58" t="str">
        <f t="shared" si="27"/>
        <v/>
      </c>
      <c r="L8739" s="91" t="str">
        <f t="shared" si="8"/>
        <v/>
      </c>
      <c r="M8739" s="78" t="str">
        <f>IFERROR(VLOOKUP(A8739, Entries!A:B,2,false),"")</f>
        <v>2K</v>
      </c>
      <c r="N8739" s="23" t="str">
        <f>IFERROR(VLOOKUP(A8739, Entries!A:K,11,false),"")</f>
        <v/>
      </c>
    </row>
    <row r="8740">
      <c r="A8740" s="78" t="s">
        <v>9941</v>
      </c>
      <c r="B8740" s="78" t="s">
        <v>22</v>
      </c>
      <c r="C8740" s="85">
        <v>46146.0</v>
      </c>
      <c r="D8740" s="85">
        <v>46203.0</v>
      </c>
      <c r="E8740" s="86">
        <v>7.18</v>
      </c>
      <c r="F8740" s="87">
        <v>8.33</v>
      </c>
      <c r="G8740" s="88">
        <f t="shared" si="23"/>
        <v>1.15</v>
      </c>
      <c r="H8740" s="89">
        <f t="shared" si="18"/>
        <v>0.1380552221</v>
      </c>
      <c r="I8740" s="78" t="s">
        <v>9942</v>
      </c>
      <c r="J8740" s="78" t="s">
        <v>69</v>
      </c>
      <c r="K8740" s="58">
        <f t="shared" si="27"/>
        <v>57</v>
      </c>
      <c r="L8740" s="91" t="str">
        <f t="shared" si="8"/>
        <v>Tue</v>
      </c>
      <c r="M8740" s="78" t="str">
        <f>IFERROR(VLOOKUP(A8740, Entries!A:B,2,false),"")</f>
        <v/>
      </c>
      <c r="N8740" s="23" t="str">
        <f>IFERROR(VLOOKUP(A8740, Entries!A:K,11,false),"")</f>
        <v/>
      </c>
    </row>
    <row r="8741">
      <c r="A8741" s="78" t="s">
        <v>9871</v>
      </c>
      <c r="B8741" s="78" t="s">
        <v>27</v>
      </c>
      <c r="C8741" s="85">
        <v>46146.0</v>
      </c>
      <c r="D8741" s="85">
        <v>46146.0</v>
      </c>
      <c r="E8741" s="86">
        <v>28.99</v>
      </c>
      <c r="F8741" s="87">
        <v>44.9</v>
      </c>
      <c r="G8741" s="88">
        <f t="shared" si="23"/>
        <v>15.91</v>
      </c>
      <c r="H8741" s="89">
        <f t="shared" si="18"/>
        <v>0.3543429844</v>
      </c>
      <c r="I8741" s="78" t="s">
        <v>9943</v>
      </c>
      <c r="J8741" s="78" t="s">
        <v>69</v>
      </c>
      <c r="K8741" s="58">
        <f t="shared" si="27"/>
        <v>0</v>
      </c>
      <c r="L8741" s="91" t="str">
        <f t="shared" si="8"/>
        <v>Mon</v>
      </c>
      <c r="M8741" s="78" t="str">
        <f>IFERROR(VLOOKUP(A8741, Entries!A:B,2,false),"")</f>
        <v/>
      </c>
      <c r="N8741" s="23" t="str">
        <f>IFERROR(VLOOKUP(A8741, Entries!A:K,11,false),"")</f>
        <v/>
      </c>
    </row>
    <row r="8742">
      <c r="A8742" s="78" t="s">
        <v>9944</v>
      </c>
      <c r="B8742" s="78" t="s">
        <v>27</v>
      </c>
      <c r="C8742" s="85">
        <v>46146.0</v>
      </c>
      <c r="D8742" s="85">
        <v>46146.0</v>
      </c>
      <c r="E8742" s="86">
        <v>30.19</v>
      </c>
      <c r="F8742" s="87">
        <v>36.1</v>
      </c>
      <c r="G8742" s="88">
        <f t="shared" si="23"/>
        <v>5.91</v>
      </c>
      <c r="H8742" s="89">
        <f t="shared" si="18"/>
        <v>0.1637119114</v>
      </c>
      <c r="I8742" s="78" t="s">
        <v>9945</v>
      </c>
      <c r="J8742" s="78" t="s">
        <v>69</v>
      </c>
      <c r="K8742" s="58">
        <f t="shared" si="27"/>
        <v>0</v>
      </c>
      <c r="L8742" s="91" t="str">
        <f t="shared" si="8"/>
        <v>Mon</v>
      </c>
      <c r="M8742" s="78" t="str">
        <f>IFERROR(VLOOKUP(A8742, Entries!A:B,2,false),"")</f>
        <v/>
      </c>
      <c r="N8742" s="23" t="str">
        <f>IFERROR(VLOOKUP(A8742, Entries!A:K,11,false),"")</f>
        <v/>
      </c>
    </row>
    <row r="8743">
      <c r="A8743" s="78" t="s">
        <v>9902</v>
      </c>
      <c r="B8743" s="78" t="s">
        <v>27</v>
      </c>
      <c r="C8743" s="85">
        <v>46146.0</v>
      </c>
      <c r="D8743" s="85">
        <v>46155.0</v>
      </c>
      <c r="E8743" s="86">
        <v>19.69</v>
      </c>
      <c r="F8743" s="87">
        <v>19.87</v>
      </c>
      <c r="G8743" s="88">
        <f t="shared" si="23"/>
        <v>0.18</v>
      </c>
      <c r="H8743" s="89">
        <f t="shared" si="18"/>
        <v>0.009058882738</v>
      </c>
      <c r="I8743" s="78" t="s">
        <v>9946</v>
      </c>
      <c r="J8743" s="78" t="s">
        <v>69</v>
      </c>
      <c r="K8743" s="58">
        <f t="shared" si="27"/>
        <v>9</v>
      </c>
      <c r="L8743" s="91" t="str">
        <f t="shared" si="8"/>
        <v>Wed</v>
      </c>
      <c r="M8743" s="78" t="str">
        <f>IFERROR(VLOOKUP(A8743, Entries!A:B,2,false),"")</f>
        <v/>
      </c>
      <c r="N8743" s="23" t="str">
        <f>IFERROR(VLOOKUP(A8743, Entries!A:K,11,false),"")</f>
        <v/>
      </c>
    </row>
    <row r="8744">
      <c r="A8744" s="78" t="s">
        <v>9947</v>
      </c>
      <c r="B8744" s="78" t="s">
        <v>25</v>
      </c>
      <c r="C8744" s="85">
        <v>46146.0</v>
      </c>
      <c r="D8744" s="85">
        <v>46146.0</v>
      </c>
      <c r="E8744" s="86">
        <v>0.0</v>
      </c>
      <c r="F8744" s="87">
        <v>1.17</v>
      </c>
      <c r="G8744" s="88">
        <f t="shared" si="23"/>
        <v>1.17</v>
      </c>
      <c r="H8744" s="89">
        <f t="shared" si="18"/>
        <v>1</v>
      </c>
      <c r="I8744" s="78" t="s">
        <v>9948</v>
      </c>
      <c r="J8744" s="78" t="s">
        <v>69</v>
      </c>
      <c r="K8744" s="58">
        <f t="shared" si="27"/>
        <v>0</v>
      </c>
      <c r="L8744" s="91" t="str">
        <f t="shared" si="8"/>
        <v>Mon</v>
      </c>
      <c r="M8744" s="78" t="str">
        <f>IFERROR(VLOOKUP(A8744, Entries!A:B,2,false),"")</f>
        <v/>
      </c>
      <c r="N8744" s="23" t="str">
        <f>IFERROR(VLOOKUP(A8744, Entries!A:K,11,false),"")</f>
        <v/>
      </c>
    </row>
    <row r="8745">
      <c r="A8745" s="78" t="s">
        <v>9944</v>
      </c>
      <c r="B8745" s="78" t="s">
        <v>27</v>
      </c>
      <c r="C8745" s="85">
        <v>46146.0</v>
      </c>
      <c r="D8745" s="85">
        <v>46149.0</v>
      </c>
      <c r="E8745" s="86">
        <v>30.19</v>
      </c>
      <c r="F8745" s="87">
        <v>35.18</v>
      </c>
      <c r="G8745" s="88">
        <f t="shared" si="23"/>
        <v>4.99</v>
      </c>
      <c r="H8745" s="89">
        <f t="shared" si="18"/>
        <v>0.1418419557</v>
      </c>
      <c r="I8745" s="78" t="s">
        <v>9949</v>
      </c>
      <c r="J8745" s="78" t="s">
        <v>69</v>
      </c>
      <c r="K8745" s="58">
        <f t="shared" si="27"/>
        <v>3</v>
      </c>
      <c r="L8745" s="91" t="str">
        <f t="shared" si="8"/>
        <v>Thu</v>
      </c>
      <c r="M8745" s="78" t="str">
        <f>IFERROR(VLOOKUP(A8745, Entries!A:B,2,false),"")</f>
        <v/>
      </c>
      <c r="N8745" s="23" t="str">
        <f>IFERROR(VLOOKUP(A8745, Entries!A:K,11,false),"")</f>
        <v/>
      </c>
    </row>
    <row r="8746">
      <c r="A8746" s="78" t="s">
        <v>9871</v>
      </c>
      <c r="B8746" s="78" t="s">
        <v>27</v>
      </c>
      <c r="C8746" s="85">
        <v>46147.0</v>
      </c>
      <c r="D8746" s="85">
        <v>46147.0</v>
      </c>
      <c r="E8746" s="86">
        <v>28.99</v>
      </c>
      <c r="F8746" s="87">
        <v>32.3</v>
      </c>
      <c r="G8746" s="88">
        <f t="shared" si="23"/>
        <v>3.31</v>
      </c>
      <c r="H8746" s="89">
        <f t="shared" si="18"/>
        <v>0.1024767802</v>
      </c>
      <c r="I8746" s="78" t="s">
        <v>9950</v>
      </c>
      <c r="J8746" s="78" t="s">
        <v>69</v>
      </c>
      <c r="K8746" s="58">
        <f t="shared" si="27"/>
        <v>0</v>
      </c>
      <c r="L8746" s="91" t="str">
        <f t="shared" si="8"/>
        <v>Tue</v>
      </c>
      <c r="M8746" s="78" t="str">
        <f>IFERROR(VLOOKUP(A8746, Entries!A:B,2,false),"")</f>
        <v/>
      </c>
      <c r="N8746" s="23" t="str">
        <f>IFERROR(VLOOKUP(A8746, Entries!A:K,11,false),"")</f>
        <v/>
      </c>
    </row>
    <row r="8747">
      <c r="A8747" s="78" t="s">
        <v>9291</v>
      </c>
      <c r="B8747" s="78" t="s">
        <v>29</v>
      </c>
      <c r="C8747" s="85">
        <v>46147.0</v>
      </c>
      <c r="D8747" s="85">
        <v>46153.0</v>
      </c>
      <c r="E8747" s="86">
        <v>11.13</v>
      </c>
      <c r="F8747" s="87">
        <v>15.01</v>
      </c>
      <c r="G8747" s="88">
        <f t="shared" si="23"/>
        <v>3.88</v>
      </c>
      <c r="H8747" s="89">
        <f t="shared" si="18"/>
        <v>0.2584943371</v>
      </c>
      <c r="I8747" s="78" t="s">
        <v>9951</v>
      </c>
      <c r="J8747" s="78" t="s">
        <v>69</v>
      </c>
      <c r="K8747" s="58">
        <f t="shared" si="27"/>
        <v>6</v>
      </c>
      <c r="L8747" s="91" t="str">
        <f t="shared" si="8"/>
        <v>Mon</v>
      </c>
      <c r="M8747" s="78" t="str">
        <f>IFERROR(VLOOKUP(A8747, Entries!A:B,2,false),"")</f>
        <v/>
      </c>
      <c r="N8747" s="23" t="str">
        <f>IFERROR(VLOOKUP(A8747, Entries!A:K,11,false),"")</f>
        <v/>
      </c>
    </row>
    <row r="8748">
      <c r="A8748" s="78" t="s">
        <v>9291</v>
      </c>
      <c r="B8748" s="78" t="s">
        <v>29</v>
      </c>
      <c r="C8748" s="85">
        <v>46147.0</v>
      </c>
      <c r="D8748" s="25"/>
      <c r="E8748" s="86">
        <v>11.13</v>
      </c>
      <c r="F8748" s="88"/>
      <c r="G8748" s="88">
        <f t="shared" si="23"/>
        <v>-11.13</v>
      </c>
      <c r="H8748" s="89" t="str">
        <f t="shared" si="18"/>
        <v/>
      </c>
      <c r="I8748" s="78" t="s">
        <v>9952</v>
      </c>
      <c r="J8748" s="78" t="s">
        <v>1129</v>
      </c>
      <c r="K8748" s="58" t="str">
        <f t="shared" si="27"/>
        <v/>
      </c>
      <c r="L8748" s="91" t="str">
        <f t="shared" si="8"/>
        <v/>
      </c>
      <c r="M8748" s="78" t="str">
        <f>IFERROR(VLOOKUP(A8748, Entries!A:B,2,false),"")</f>
        <v/>
      </c>
      <c r="N8748" s="23" t="str">
        <f>IFERROR(VLOOKUP(A8748, Entries!A:K,11,false),"")</f>
        <v/>
      </c>
    </row>
    <row r="8749">
      <c r="A8749" s="78" t="s">
        <v>9291</v>
      </c>
      <c r="B8749" s="78" t="s">
        <v>29</v>
      </c>
      <c r="C8749" s="85">
        <v>46147.0</v>
      </c>
      <c r="D8749" s="25"/>
      <c r="E8749" s="86">
        <v>11.13</v>
      </c>
      <c r="F8749" s="88"/>
      <c r="G8749" s="88">
        <f t="shared" si="23"/>
        <v>-11.13</v>
      </c>
      <c r="H8749" s="89" t="str">
        <f t="shared" si="18"/>
        <v/>
      </c>
      <c r="I8749" s="78" t="s">
        <v>9953</v>
      </c>
      <c r="J8749" s="78" t="s">
        <v>1129</v>
      </c>
      <c r="K8749" s="58" t="str">
        <f t="shared" si="27"/>
        <v/>
      </c>
      <c r="L8749" s="91" t="str">
        <f t="shared" si="8"/>
        <v/>
      </c>
      <c r="M8749" s="78" t="str">
        <f>IFERROR(VLOOKUP(A8749, Entries!A:B,2,false),"")</f>
        <v/>
      </c>
      <c r="N8749" s="23" t="str">
        <f>IFERROR(VLOOKUP(A8749, Entries!A:K,11,false),"")</f>
        <v/>
      </c>
    </row>
    <row r="8750">
      <c r="A8750" s="78" t="s">
        <v>9291</v>
      </c>
      <c r="B8750" s="78" t="s">
        <v>29</v>
      </c>
      <c r="C8750" s="85">
        <v>46147.0</v>
      </c>
      <c r="D8750" s="25"/>
      <c r="E8750" s="86">
        <v>11.13</v>
      </c>
      <c r="F8750" s="88"/>
      <c r="G8750" s="88">
        <f t="shared" si="23"/>
        <v>-11.13</v>
      </c>
      <c r="H8750" s="89" t="str">
        <f t="shared" si="18"/>
        <v/>
      </c>
      <c r="I8750" s="78" t="s">
        <v>9954</v>
      </c>
      <c r="J8750" s="78" t="s">
        <v>1129</v>
      </c>
      <c r="K8750" s="58" t="str">
        <f t="shared" si="27"/>
        <v/>
      </c>
      <c r="L8750" s="91" t="str">
        <f t="shared" si="8"/>
        <v/>
      </c>
      <c r="M8750" s="78" t="str">
        <f>IFERROR(VLOOKUP(A8750, Entries!A:B,2,false),"")</f>
        <v/>
      </c>
      <c r="N8750" s="23" t="str">
        <f>IFERROR(VLOOKUP(A8750, Entries!A:K,11,false),"")</f>
        <v/>
      </c>
    </row>
    <row r="8751">
      <c r="A8751" s="78" t="s">
        <v>9955</v>
      </c>
      <c r="B8751" s="78" t="s">
        <v>27</v>
      </c>
      <c r="C8751" s="85">
        <v>46147.0</v>
      </c>
      <c r="D8751" s="85">
        <v>46147.0</v>
      </c>
      <c r="E8751" s="86">
        <v>30.19</v>
      </c>
      <c r="F8751" s="87">
        <v>35.8</v>
      </c>
      <c r="G8751" s="88">
        <f t="shared" si="23"/>
        <v>5.61</v>
      </c>
      <c r="H8751" s="89">
        <f t="shared" si="18"/>
        <v>0.1567039106</v>
      </c>
      <c r="I8751" s="78" t="s">
        <v>9956</v>
      </c>
      <c r="J8751" s="78" t="s">
        <v>69</v>
      </c>
      <c r="K8751" s="58">
        <f t="shared" si="27"/>
        <v>0</v>
      </c>
      <c r="L8751" s="91" t="str">
        <f t="shared" si="8"/>
        <v>Tue</v>
      </c>
      <c r="M8751" s="78" t="str">
        <f>IFERROR(VLOOKUP(A8751, Entries!A:B,2,false),"")</f>
        <v/>
      </c>
      <c r="N8751" s="23" t="str">
        <f>IFERROR(VLOOKUP(A8751, Entries!A:K,11,false),"")</f>
        <v/>
      </c>
    </row>
    <row r="8752">
      <c r="A8752" s="78" t="s">
        <v>9955</v>
      </c>
      <c r="B8752" s="78" t="s">
        <v>27</v>
      </c>
      <c r="C8752" s="85">
        <v>46147.0</v>
      </c>
      <c r="D8752" s="85">
        <v>46147.0</v>
      </c>
      <c r="E8752" s="86">
        <v>30.19</v>
      </c>
      <c r="F8752" s="87">
        <v>35.8</v>
      </c>
      <c r="G8752" s="88">
        <f t="shared" si="23"/>
        <v>5.61</v>
      </c>
      <c r="H8752" s="89">
        <f t="shared" si="18"/>
        <v>0.1567039106</v>
      </c>
      <c r="I8752" s="78" t="s">
        <v>9957</v>
      </c>
      <c r="J8752" s="78" t="s">
        <v>69</v>
      </c>
      <c r="K8752" s="58">
        <f t="shared" si="27"/>
        <v>0</v>
      </c>
      <c r="L8752" s="91" t="str">
        <f t="shared" si="8"/>
        <v>Tue</v>
      </c>
      <c r="M8752" s="78" t="str">
        <f>IFERROR(VLOOKUP(A8752, Entries!A:B,2,false),"")</f>
        <v/>
      </c>
      <c r="N8752" s="23" t="str">
        <f>IFERROR(VLOOKUP(A8752, Entries!A:K,11,false),"")</f>
        <v/>
      </c>
    </row>
    <row r="8753">
      <c r="A8753" s="78" t="s">
        <v>9958</v>
      </c>
      <c r="B8753" s="78" t="s">
        <v>25</v>
      </c>
      <c r="C8753" s="85">
        <v>46147.0</v>
      </c>
      <c r="D8753" s="85">
        <v>46149.0</v>
      </c>
      <c r="E8753" s="86">
        <v>7.72</v>
      </c>
      <c r="F8753" s="87">
        <v>8.42</v>
      </c>
      <c r="G8753" s="88">
        <f t="shared" si="23"/>
        <v>0.7</v>
      </c>
      <c r="H8753" s="89">
        <f t="shared" si="18"/>
        <v>0.08313539192</v>
      </c>
      <c r="I8753" s="78" t="s">
        <v>9959</v>
      </c>
      <c r="J8753" s="78" t="s">
        <v>69</v>
      </c>
      <c r="K8753" s="58">
        <f t="shared" si="27"/>
        <v>2</v>
      </c>
      <c r="L8753" s="91" t="str">
        <f t="shared" si="8"/>
        <v>Thu</v>
      </c>
      <c r="M8753" s="78" t="str">
        <f>IFERROR(VLOOKUP(A8753, Entries!A:B,2,false),"")</f>
        <v/>
      </c>
      <c r="N8753" s="23" t="str">
        <f>IFERROR(VLOOKUP(A8753, Entries!A:K,11,false),"")</f>
        <v/>
      </c>
    </row>
    <row r="8754">
      <c r="A8754" s="78" t="s">
        <v>9958</v>
      </c>
      <c r="B8754" s="78" t="s">
        <v>25</v>
      </c>
      <c r="C8754" s="85">
        <v>46147.0</v>
      </c>
      <c r="D8754" s="85">
        <v>46150.0</v>
      </c>
      <c r="E8754" s="86">
        <v>7.72</v>
      </c>
      <c r="F8754" s="87">
        <v>8.48</v>
      </c>
      <c r="G8754" s="88">
        <f t="shared" si="23"/>
        <v>0.76</v>
      </c>
      <c r="H8754" s="89">
        <f t="shared" si="18"/>
        <v>0.08962264151</v>
      </c>
      <c r="I8754" s="78" t="s">
        <v>9960</v>
      </c>
      <c r="J8754" s="78" t="s">
        <v>69</v>
      </c>
      <c r="K8754" s="58">
        <f t="shared" si="27"/>
        <v>3</v>
      </c>
      <c r="L8754" s="91" t="str">
        <f t="shared" si="8"/>
        <v>Fri</v>
      </c>
      <c r="M8754" s="78" t="str">
        <f>IFERROR(VLOOKUP(A8754, Entries!A:B,2,false),"")</f>
        <v/>
      </c>
      <c r="N8754" s="23" t="str">
        <f>IFERROR(VLOOKUP(A8754, Entries!A:K,11,false),"")</f>
        <v/>
      </c>
    </row>
    <row r="8755">
      <c r="A8755" s="78" t="s">
        <v>9958</v>
      </c>
      <c r="B8755" s="78" t="s">
        <v>25</v>
      </c>
      <c r="C8755" s="85">
        <v>46147.0</v>
      </c>
      <c r="D8755" s="85">
        <v>46150.0</v>
      </c>
      <c r="E8755" s="86">
        <v>7.73</v>
      </c>
      <c r="F8755" s="87">
        <v>8.48</v>
      </c>
      <c r="G8755" s="88">
        <f t="shared" si="23"/>
        <v>0.75</v>
      </c>
      <c r="H8755" s="89">
        <f t="shared" si="18"/>
        <v>0.08844339623</v>
      </c>
      <c r="I8755" s="78" t="s">
        <v>9961</v>
      </c>
      <c r="J8755" s="78" t="s">
        <v>69</v>
      </c>
      <c r="K8755" s="58">
        <f t="shared" si="27"/>
        <v>3</v>
      </c>
      <c r="L8755" s="91" t="str">
        <f t="shared" si="8"/>
        <v>Fri</v>
      </c>
      <c r="M8755" s="78" t="str">
        <f>IFERROR(VLOOKUP(A8755, Entries!A:B,2,false),"")</f>
        <v/>
      </c>
      <c r="N8755" s="23" t="str">
        <f>IFERROR(VLOOKUP(A8755, Entries!A:K,11,false),"")</f>
        <v/>
      </c>
    </row>
    <row r="8756">
      <c r="A8756" s="78" t="s">
        <v>9871</v>
      </c>
      <c r="B8756" s="78" t="s">
        <v>27</v>
      </c>
      <c r="C8756" s="85">
        <v>46147.0</v>
      </c>
      <c r="D8756" s="85">
        <v>46151.0</v>
      </c>
      <c r="E8756" s="86">
        <v>28.99</v>
      </c>
      <c r="F8756" s="87">
        <v>30.49</v>
      </c>
      <c r="G8756" s="88">
        <f t="shared" si="23"/>
        <v>1.5</v>
      </c>
      <c r="H8756" s="89">
        <f t="shared" si="18"/>
        <v>0.04919645786</v>
      </c>
      <c r="I8756" s="78" t="s">
        <v>9962</v>
      </c>
      <c r="J8756" s="78" t="s">
        <v>69</v>
      </c>
      <c r="K8756" s="58">
        <f t="shared" si="27"/>
        <v>4</v>
      </c>
      <c r="L8756" s="91" t="str">
        <f t="shared" si="8"/>
        <v>Sat</v>
      </c>
      <c r="M8756" s="78" t="str">
        <f>IFERROR(VLOOKUP(A8756, Entries!A:B,2,false),"")</f>
        <v/>
      </c>
      <c r="N8756" s="23" t="str">
        <f>IFERROR(VLOOKUP(A8756, Entries!A:K,11,false),"")</f>
        <v/>
      </c>
    </row>
    <row r="8757">
      <c r="A8757" s="78" t="s">
        <v>9955</v>
      </c>
      <c r="B8757" s="78" t="s">
        <v>27</v>
      </c>
      <c r="C8757" s="85">
        <v>46147.0</v>
      </c>
      <c r="D8757" s="85">
        <v>46147.0</v>
      </c>
      <c r="E8757" s="86">
        <v>30.19</v>
      </c>
      <c r="F8757" s="87">
        <v>35.8</v>
      </c>
      <c r="G8757" s="88">
        <f t="shared" si="23"/>
        <v>5.61</v>
      </c>
      <c r="H8757" s="89">
        <f t="shared" si="18"/>
        <v>0.1567039106</v>
      </c>
      <c r="I8757" s="78" t="s">
        <v>9963</v>
      </c>
      <c r="J8757" s="78" t="s">
        <v>69</v>
      </c>
      <c r="K8757" s="58">
        <f t="shared" si="27"/>
        <v>0</v>
      </c>
      <c r="L8757" s="91" t="str">
        <f t="shared" si="8"/>
        <v>Tue</v>
      </c>
      <c r="M8757" s="78" t="str">
        <f>IFERROR(VLOOKUP(A8757, Entries!A:B,2,false),"")</f>
        <v/>
      </c>
      <c r="N8757" s="23" t="str">
        <f>IFERROR(VLOOKUP(A8757, Entries!A:K,11,false),"")</f>
        <v/>
      </c>
    </row>
    <row r="8758">
      <c r="A8758" s="78" t="s">
        <v>9955</v>
      </c>
      <c r="B8758" s="78" t="s">
        <v>27</v>
      </c>
      <c r="C8758" s="85">
        <v>46147.0</v>
      </c>
      <c r="D8758" s="85">
        <v>46148.0</v>
      </c>
      <c r="E8758" s="86">
        <v>30.19</v>
      </c>
      <c r="F8758" s="87">
        <v>37.15</v>
      </c>
      <c r="G8758" s="88">
        <f t="shared" si="23"/>
        <v>6.96</v>
      </c>
      <c r="H8758" s="89">
        <f t="shared" si="18"/>
        <v>0.1873485868</v>
      </c>
      <c r="I8758" s="78" t="s">
        <v>9964</v>
      </c>
      <c r="J8758" s="78" t="s">
        <v>69</v>
      </c>
      <c r="K8758" s="58">
        <f t="shared" si="27"/>
        <v>1</v>
      </c>
      <c r="L8758" s="91" t="str">
        <f t="shared" si="8"/>
        <v>Wed</v>
      </c>
      <c r="M8758" s="78" t="str">
        <f>IFERROR(VLOOKUP(A8758, Entries!A:B,2,false),"")</f>
        <v/>
      </c>
      <c r="N8758" s="23" t="str">
        <f>IFERROR(VLOOKUP(A8758, Entries!A:K,11,false),"")</f>
        <v/>
      </c>
    </row>
    <row r="8759">
      <c r="A8759" s="78" t="s">
        <v>9955</v>
      </c>
      <c r="B8759" s="78" t="s">
        <v>27</v>
      </c>
      <c r="C8759" s="85">
        <v>46148.0</v>
      </c>
      <c r="D8759" s="85">
        <v>46150.0</v>
      </c>
      <c r="E8759" s="86">
        <v>30.19</v>
      </c>
      <c r="F8759" s="87">
        <v>35.0</v>
      </c>
      <c r="G8759" s="88">
        <f t="shared" si="23"/>
        <v>4.81</v>
      </c>
      <c r="H8759" s="89">
        <f t="shared" si="18"/>
        <v>0.1374285714</v>
      </c>
      <c r="I8759" s="78" t="s">
        <v>9965</v>
      </c>
      <c r="J8759" s="78" t="s">
        <v>69</v>
      </c>
      <c r="K8759" s="58">
        <f t="shared" si="27"/>
        <v>2</v>
      </c>
      <c r="L8759" s="91" t="str">
        <f t="shared" si="8"/>
        <v>Fri</v>
      </c>
      <c r="M8759" s="78" t="str">
        <f>IFERROR(VLOOKUP(A8759, Entries!A:B,2,false),"")</f>
        <v/>
      </c>
      <c r="N8759" s="23" t="str">
        <f>IFERROR(VLOOKUP(A8759, Entries!A:K,11,false),"")</f>
        <v/>
      </c>
    </row>
    <row r="8760">
      <c r="A8760" s="78" t="s">
        <v>9955</v>
      </c>
      <c r="B8760" s="78" t="s">
        <v>27</v>
      </c>
      <c r="C8760" s="85">
        <v>46148.0</v>
      </c>
      <c r="D8760" s="85">
        <v>46150.0</v>
      </c>
      <c r="E8760" s="86">
        <v>30.19</v>
      </c>
      <c r="F8760" s="87">
        <v>35.0</v>
      </c>
      <c r="G8760" s="88">
        <f t="shared" si="23"/>
        <v>4.81</v>
      </c>
      <c r="H8760" s="89">
        <f t="shared" si="18"/>
        <v>0.1374285714</v>
      </c>
      <c r="I8760" s="78" t="s">
        <v>9966</v>
      </c>
      <c r="J8760" s="78" t="s">
        <v>69</v>
      </c>
      <c r="K8760" s="58">
        <f t="shared" si="27"/>
        <v>2</v>
      </c>
      <c r="L8760" s="91" t="str">
        <f t="shared" si="8"/>
        <v>Fri</v>
      </c>
      <c r="M8760" s="78" t="str">
        <f>IFERROR(VLOOKUP(A8760, Entries!A:B,2,false),"")</f>
        <v/>
      </c>
      <c r="N8760" s="23" t="str">
        <f>IFERROR(VLOOKUP(A8760, Entries!A:K,11,false),"")</f>
        <v/>
      </c>
    </row>
    <row r="8761">
      <c r="A8761" s="78" t="s">
        <v>9944</v>
      </c>
      <c r="B8761" s="78" t="s">
        <v>27</v>
      </c>
      <c r="C8761" s="85">
        <v>46149.0</v>
      </c>
      <c r="D8761" s="85">
        <v>46149.0</v>
      </c>
      <c r="E8761" s="86">
        <v>30.19</v>
      </c>
      <c r="F8761" s="87">
        <v>35.18</v>
      </c>
      <c r="G8761" s="88">
        <f t="shared" si="23"/>
        <v>4.99</v>
      </c>
      <c r="H8761" s="89">
        <f t="shared" si="18"/>
        <v>0.1418419557</v>
      </c>
      <c r="I8761" s="78" t="s">
        <v>9967</v>
      </c>
      <c r="J8761" s="78" t="s">
        <v>69</v>
      </c>
      <c r="K8761" s="58">
        <f t="shared" si="27"/>
        <v>0</v>
      </c>
      <c r="L8761" s="91" t="str">
        <f t="shared" si="8"/>
        <v>Thu</v>
      </c>
      <c r="M8761" s="78" t="str">
        <f>IFERROR(VLOOKUP(A8761, Entries!A:B,2,false),"")</f>
        <v/>
      </c>
      <c r="N8761" s="23" t="str">
        <f>IFERROR(VLOOKUP(A8761, Entries!A:K,11,false),"")</f>
        <v/>
      </c>
    </row>
    <row r="8762">
      <c r="A8762" s="78" t="s">
        <v>9944</v>
      </c>
      <c r="B8762" s="78" t="s">
        <v>27</v>
      </c>
      <c r="C8762" s="85">
        <v>46150.0</v>
      </c>
      <c r="D8762" s="85">
        <v>46150.0</v>
      </c>
      <c r="E8762" s="86">
        <v>30.19</v>
      </c>
      <c r="F8762" s="87">
        <v>35.18</v>
      </c>
      <c r="G8762" s="88">
        <f t="shared" si="23"/>
        <v>4.99</v>
      </c>
      <c r="H8762" s="89">
        <f t="shared" si="18"/>
        <v>0.1418419557</v>
      </c>
      <c r="I8762" s="78" t="s">
        <v>9968</v>
      </c>
      <c r="J8762" s="78" t="s">
        <v>69</v>
      </c>
      <c r="K8762" s="58">
        <f t="shared" si="27"/>
        <v>0</v>
      </c>
      <c r="L8762" s="91" t="str">
        <f t="shared" si="8"/>
        <v>Fri</v>
      </c>
      <c r="M8762" s="78" t="str">
        <f>IFERROR(VLOOKUP(A8762, Entries!A:B,2,false),"")</f>
        <v/>
      </c>
      <c r="N8762" s="23" t="str">
        <f>IFERROR(VLOOKUP(A8762, Entries!A:K,11,false),"")</f>
        <v/>
      </c>
    </row>
    <row r="8763">
      <c r="A8763" s="78" t="s">
        <v>4532</v>
      </c>
      <c r="B8763" s="78" t="s">
        <v>25</v>
      </c>
      <c r="C8763" s="85">
        <v>46150.0</v>
      </c>
      <c r="D8763" s="85">
        <v>46152.0</v>
      </c>
      <c r="E8763" s="86">
        <v>19.51</v>
      </c>
      <c r="F8763" s="87">
        <v>24.75</v>
      </c>
      <c r="G8763" s="88">
        <f t="shared" si="23"/>
        <v>5.24</v>
      </c>
      <c r="H8763" s="89">
        <f t="shared" si="18"/>
        <v>0.2117171717</v>
      </c>
      <c r="I8763" s="78" t="s">
        <v>9969</v>
      </c>
      <c r="J8763" s="78" t="s">
        <v>69</v>
      </c>
      <c r="K8763" s="58">
        <f t="shared" si="27"/>
        <v>2</v>
      </c>
      <c r="L8763" s="91" t="str">
        <f t="shared" si="8"/>
        <v>Sun</v>
      </c>
      <c r="M8763" s="78" t="str">
        <f>IFERROR(VLOOKUP(A8763, Entries!A:B,2,false),"")</f>
        <v>Eugen Systems</v>
      </c>
      <c r="N8763" s="23" t="str">
        <f>IFERROR(VLOOKUP(A8763, Entries!A:K,11,false),"")</f>
        <v/>
      </c>
    </row>
    <row r="8764">
      <c r="A8764" s="78" t="s">
        <v>4532</v>
      </c>
      <c r="B8764" s="78" t="s">
        <v>25</v>
      </c>
      <c r="C8764" s="85">
        <v>46150.0</v>
      </c>
      <c r="D8764" s="85">
        <v>46164.0</v>
      </c>
      <c r="E8764" s="86">
        <v>19.51</v>
      </c>
      <c r="F8764" s="87">
        <v>24.78</v>
      </c>
      <c r="G8764" s="88">
        <f t="shared" si="23"/>
        <v>5.27</v>
      </c>
      <c r="H8764" s="89">
        <f t="shared" si="18"/>
        <v>0.2126715093</v>
      </c>
      <c r="I8764" s="78" t="s">
        <v>9970</v>
      </c>
      <c r="J8764" s="78" t="s">
        <v>69</v>
      </c>
      <c r="K8764" s="58">
        <f t="shared" si="27"/>
        <v>14</v>
      </c>
      <c r="L8764" s="91" t="str">
        <f t="shared" si="8"/>
        <v>Fri</v>
      </c>
      <c r="M8764" s="78" t="str">
        <f>IFERROR(VLOOKUP(A8764, Entries!A:B,2,false),"")</f>
        <v>Eugen Systems</v>
      </c>
      <c r="N8764" s="23" t="str">
        <f>IFERROR(VLOOKUP(A8764, Entries!A:K,11,false),"")</f>
        <v/>
      </c>
    </row>
    <row r="8765">
      <c r="A8765" s="78" t="s">
        <v>4532</v>
      </c>
      <c r="B8765" s="78" t="s">
        <v>25</v>
      </c>
      <c r="C8765" s="85">
        <v>46150.0</v>
      </c>
      <c r="D8765" s="85">
        <v>46170.0</v>
      </c>
      <c r="E8765" s="86">
        <v>19.52</v>
      </c>
      <c r="F8765" s="87">
        <v>24.8</v>
      </c>
      <c r="G8765" s="88">
        <f t="shared" si="23"/>
        <v>5.28</v>
      </c>
      <c r="H8765" s="89">
        <f t="shared" si="18"/>
        <v>0.2129032258</v>
      </c>
      <c r="I8765" s="78" t="s">
        <v>9971</v>
      </c>
      <c r="J8765" s="78" t="s">
        <v>69</v>
      </c>
      <c r="K8765" s="58">
        <f t="shared" si="27"/>
        <v>20</v>
      </c>
      <c r="L8765" s="91" t="str">
        <f t="shared" si="8"/>
        <v>Thu</v>
      </c>
      <c r="M8765" s="78" t="str">
        <f>IFERROR(VLOOKUP(A8765, Entries!A:B,2,false),"")</f>
        <v>Eugen Systems</v>
      </c>
      <c r="N8765" s="23" t="str">
        <f>IFERROR(VLOOKUP(A8765, Entries!A:K,11,false),"")</f>
        <v/>
      </c>
    </row>
    <row r="8766">
      <c r="A8766" s="78" t="s">
        <v>9944</v>
      </c>
      <c r="B8766" s="78" t="s">
        <v>27</v>
      </c>
      <c r="C8766" s="85">
        <v>46150.0</v>
      </c>
      <c r="D8766" s="85">
        <v>46151.0</v>
      </c>
      <c r="E8766" s="86">
        <v>30.19</v>
      </c>
      <c r="F8766" s="87">
        <v>35.18</v>
      </c>
      <c r="G8766" s="88">
        <f t="shared" si="23"/>
        <v>4.99</v>
      </c>
      <c r="H8766" s="89">
        <f t="shared" si="18"/>
        <v>0.1418419557</v>
      </c>
      <c r="I8766" s="78" t="s">
        <v>9972</v>
      </c>
      <c r="J8766" s="78" t="s">
        <v>69</v>
      </c>
      <c r="K8766" s="58">
        <f t="shared" si="27"/>
        <v>1</v>
      </c>
      <c r="L8766" s="91" t="str">
        <f t="shared" si="8"/>
        <v>Sat</v>
      </c>
      <c r="M8766" s="78" t="str">
        <f>IFERROR(VLOOKUP(A8766, Entries!A:B,2,false),"")</f>
        <v/>
      </c>
      <c r="N8766" s="23" t="str">
        <f>IFERROR(VLOOKUP(A8766, Entries!A:K,11,false),"")</f>
        <v/>
      </c>
    </row>
    <row r="8767">
      <c r="A8767" s="78" t="s">
        <v>9955</v>
      </c>
      <c r="B8767" s="78" t="s">
        <v>27</v>
      </c>
      <c r="C8767" s="85">
        <v>46150.0</v>
      </c>
      <c r="D8767" s="85">
        <v>46153.0</v>
      </c>
      <c r="E8767" s="86">
        <v>30.19</v>
      </c>
      <c r="F8767" s="87">
        <v>39.49</v>
      </c>
      <c r="G8767" s="88">
        <f t="shared" si="23"/>
        <v>9.3</v>
      </c>
      <c r="H8767" s="89">
        <f t="shared" si="18"/>
        <v>0.2355026589</v>
      </c>
      <c r="J8767" s="78" t="s">
        <v>69</v>
      </c>
      <c r="K8767" s="58">
        <f t="shared" si="27"/>
        <v>3</v>
      </c>
      <c r="L8767" s="91" t="str">
        <f t="shared" si="8"/>
        <v>Mon</v>
      </c>
      <c r="M8767" s="78" t="str">
        <f>IFERROR(VLOOKUP(A8767, Entries!A:B,2,false),"")</f>
        <v/>
      </c>
      <c r="N8767" s="23" t="str">
        <f>IFERROR(VLOOKUP(A8767, Entries!A:K,11,false),"")</f>
        <v/>
      </c>
    </row>
    <row r="8768">
      <c r="A8768" s="78" t="s">
        <v>9973</v>
      </c>
      <c r="B8768" s="78" t="s">
        <v>27</v>
      </c>
      <c r="C8768" s="85">
        <v>46151.0</v>
      </c>
      <c r="D8768" s="25"/>
      <c r="E8768" s="86">
        <v>6.39</v>
      </c>
      <c r="F8768" s="88"/>
      <c r="G8768" s="88">
        <f t="shared" si="23"/>
        <v>-6.39</v>
      </c>
      <c r="H8768" s="89" t="str">
        <f t="shared" si="18"/>
        <v/>
      </c>
      <c r="I8768" s="78" t="s">
        <v>9974</v>
      </c>
      <c r="J8768" s="78" t="s">
        <v>1129</v>
      </c>
      <c r="K8768" s="58" t="str">
        <f t="shared" si="27"/>
        <v/>
      </c>
      <c r="L8768" s="91" t="str">
        <f t="shared" si="8"/>
        <v/>
      </c>
      <c r="M8768" s="78" t="str">
        <f>IFERROR(VLOOKUP(A8768, Entries!A:B,2,false),"")</f>
        <v/>
      </c>
      <c r="N8768" s="23" t="str">
        <f>IFERROR(VLOOKUP(A8768, Entries!A:K,11,false),"")</f>
        <v/>
      </c>
    </row>
    <row r="8769">
      <c r="A8769" s="78" t="s">
        <v>9975</v>
      </c>
      <c r="B8769" s="78" t="s">
        <v>21</v>
      </c>
      <c r="C8769" s="85">
        <v>46151.0</v>
      </c>
      <c r="D8769" s="85">
        <v>46173.0</v>
      </c>
      <c r="E8769" s="86">
        <v>18.74</v>
      </c>
      <c r="F8769" s="87">
        <v>19.65</v>
      </c>
      <c r="G8769" s="88">
        <f t="shared" si="23"/>
        <v>0.91</v>
      </c>
      <c r="H8769" s="89">
        <f t="shared" si="18"/>
        <v>0.04631043257</v>
      </c>
      <c r="I8769" s="78" t="s">
        <v>9976</v>
      </c>
      <c r="J8769" s="78" t="s">
        <v>69</v>
      </c>
      <c r="K8769" s="58">
        <f t="shared" si="27"/>
        <v>22</v>
      </c>
      <c r="L8769" s="91" t="str">
        <f t="shared" si="8"/>
        <v>Sun</v>
      </c>
      <c r="M8769" s="78" t="str">
        <f>IFERROR(VLOOKUP(A8769, Entries!A:B,2,false),"")</f>
        <v/>
      </c>
      <c r="N8769" s="23" t="str">
        <f>IFERROR(VLOOKUP(A8769, Entries!A:K,11,false),"")</f>
        <v/>
      </c>
    </row>
    <row r="8770">
      <c r="A8770" s="78" t="s">
        <v>8865</v>
      </c>
      <c r="B8770" s="78" t="s">
        <v>25</v>
      </c>
      <c r="C8770" s="85">
        <v>46151.0</v>
      </c>
      <c r="D8770" s="85">
        <v>46152.0</v>
      </c>
      <c r="E8770" s="86">
        <v>30.69</v>
      </c>
      <c r="F8770" s="87">
        <v>37.7</v>
      </c>
      <c r="G8770" s="88">
        <f t="shared" si="23"/>
        <v>7.01</v>
      </c>
      <c r="H8770" s="89">
        <f t="shared" si="18"/>
        <v>0.1859416446</v>
      </c>
      <c r="I8770" s="78" t="s">
        <v>9977</v>
      </c>
      <c r="J8770" s="78" t="s">
        <v>69</v>
      </c>
      <c r="K8770" s="58">
        <f t="shared" si="27"/>
        <v>1</v>
      </c>
      <c r="L8770" s="91" t="str">
        <f t="shared" si="8"/>
        <v>Sun</v>
      </c>
      <c r="M8770" s="78" t="str">
        <f>IFERROR(VLOOKUP(A8770, Entries!A:B,2,false),"")</f>
        <v>Bethesda Softworks</v>
      </c>
      <c r="N8770" s="23" t="str">
        <f>IFERROR(VLOOKUP(A8770, Entries!A:K,11,false),"")</f>
        <v/>
      </c>
    </row>
    <row r="8771">
      <c r="A8771" s="78" t="s">
        <v>8865</v>
      </c>
      <c r="B8771" s="78" t="s">
        <v>25</v>
      </c>
      <c r="C8771" s="85">
        <v>46151.0</v>
      </c>
      <c r="D8771" s="85">
        <v>46158.0</v>
      </c>
      <c r="E8771" s="86">
        <v>30.7</v>
      </c>
      <c r="F8771" s="87">
        <v>36.0</v>
      </c>
      <c r="G8771" s="88">
        <f t="shared" si="23"/>
        <v>5.3</v>
      </c>
      <c r="H8771" s="89">
        <f t="shared" si="18"/>
        <v>0.1472222222</v>
      </c>
      <c r="I8771" s="78" t="s">
        <v>9978</v>
      </c>
      <c r="J8771" s="78" t="s">
        <v>69</v>
      </c>
      <c r="K8771" s="58">
        <f t="shared" si="27"/>
        <v>7</v>
      </c>
      <c r="L8771" s="91" t="str">
        <f t="shared" si="8"/>
        <v>Sat</v>
      </c>
      <c r="M8771" s="78" t="str">
        <f>IFERROR(VLOOKUP(A8771, Entries!A:B,2,false),"")</f>
        <v>Bethesda Softworks</v>
      </c>
      <c r="N8771" s="23" t="str">
        <f>IFERROR(VLOOKUP(A8771, Entries!A:K,11,false),"")</f>
        <v/>
      </c>
    </row>
    <row r="8772">
      <c r="A8772" s="78" t="s">
        <v>9365</v>
      </c>
      <c r="B8772" s="78" t="s">
        <v>25</v>
      </c>
      <c r="C8772" s="85">
        <v>46151.0</v>
      </c>
      <c r="D8772" s="85">
        <v>46151.0</v>
      </c>
      <c r="E8772" s="86">
        <v>38.5</v>
      </c>
      <c r="F8772" s="87">
        <v>44.91</v>
      </c>
      <c r="G8772" s="88">
        <f t="shared" si="23"/>
        <v>6.41</v>
      </c>
      <c r="H8772" s="89">
        <f t="shared" si="18"/>
        <v>0.1427299043</v>
      </c>
      <c r="I8772" s="78" t="s">
        <v>9979</v>
      </c>
      <c r="J8772" s="78" t="s">
        <v>69</v>
      </c>
      <c r="K8772" s="58">
        <f t="shared" si="27"/>
        <v>0</v>
      </c>
      <c r="L8772" s="91" t="str">
        <f t="shared" si="8"/>
        <v>Sat</v>
      </c>
      <c r="M8772" s="78" t="str">
        <f>IFERROR(VLOOKUP(A8772, Entries!A:B,2,false),"")</f>
        <v/>
      </c>
      <c r="N8772" s="23" t="str">
        <f>IFERROR(VLOOKUP(A8772, Entries!A:K,11,false),"")</f>
        <v/>
      </c>
    </row>
    <row r="8773">
      <c r="A8773" s="78" t="s">
        <v>9944</v>
      </c>
      <c r="B8773" s="78" t="s">
        <v>27</v>
      </c>
      <c r="C8773" s="85">
        <v>46151.0</v>
      </c>
      <c r="D8773" s="85">
        <v>46151.0</v>
      </c>
      <c r="E8773" s="86">
        <v>30.19</v>
      </c>
      <c r="F8773" s="87">
        <v>35.19</v>
      </c>
      <c r="G8773" s="88">
        <f t="shared" si="23"/>
        <v>5</v>
      </c>
      <c r="H8773" s="89">
        <f t="shared" si="18"/>
        <v>0.1420858198</v>
      </c>
      <c r="I8773" s="78" t="s">
        <v>9980</v>
      </c>
      <c r="J8773" s="78" t="s">
        <v>69</v>
      </c>
      <c r="K8773" s="58">
        <f t="shared" si="27"/>
        <v>0</v>
      </c>
      <c r="L8773" s="91" t="str">
        <f t="shared" si="8"/>
        <v>Sat</v>
      </c>
      <c r="M8773" s="78" t="str">
        <f>IFERROR(VLOOKUP(A8773, Entries!A:B,2,false),"")</f>
        <v/>
      </c>
      <c r="N8773" s="23" t="str">
        <f>IFERROR(VLOOKUP(A8773, Entries!A:K,11,false),"")</f>
        <v/>
      </c>
    </row>
    <row r="8774">
      <c r="A8774" s="78" t="s">
        <v>9944</v>
      </c>
      <c r="B8774" s="78" t="s">
        <v>27</v>
      </c>
      <c r="C8774" s="85">
        <v>46151.0</v>
      </c>
      <c r="D8774" s="85">
        <v>46152.0</v>
      </c>
      <c r="E8774" s="86">
        <v>30.19</v>
      </c>
      <c r="F8774" s="87">
        <v>35.19</v>
      </c>
      <c r="G8774" s="88">
        <f t="shared" si="23"/>
        <v>5</v>
      </c>
      <c r="H8774" s="89">
        <f t="shared" si="18"/>
        <v>0.1420858198</v>
      </c>
      <c r="I8774" s="78" t="s">
        <v>9981</v>
      </c>
      <c r="J8774" s="78" t="s">
        <v>69</v>
      </c>
      <c r="K8774" s="58">
        <f t="shared" si="27"/>
        <v>1</v>
      </c>
      <c r="L8774" s="91" t="str">
        <f t="shared" si="8"/>
        <v>Sun</v>
      </c>
      <c r="M8774" s="78" t="str">
        <f>IFERROR(VLOOKUP(A8774, Entries!A:B,2,false),"")</f>
        <v/>
      </c>
      <c r="N8774" s="23" t="str">
        <f>IFERROR(VLOOKUP(A8774, Entries!A:K,11,false),"")</f>
        <v/>
      </c>
    </row>
    <row r="8775">
      <c r="A8775" s="78" t="s">
        <v>9365</v>
      </c>
      <c r="B8775" s="78" t="s">
        <v>25</v>
      </c>
      <c r="C8775" s="85">
        <v>46151.0</v>
      </c>
      <c r="D8775" s="85">
        <v>46155.0</v>
      </c>
      <c r="E8775" s="86">
        <v>38.94</v>
      </c>
      <c r="F8775" s="87">
        <v>45.8</v>
      </c>
      <c r="G8775" s="88">
        <f t="shared" si="23"/>
        <v>6.86</v>
      </c>
      <c r="H8775" s="89">
        <f t="shared" si="18"/>
        <v>0.1497816594</v>
      </c>
      <c r="I8775" s="78" t="s">
        <v>9982</v>
      </c>
      <c r="J8775" s="78" t="s">
        <v>69</v>
      </c>
      <c r="K8775" s="58">
        <f t="shared" si="27"/>
        <v>4</v>
      </c>
      <c r="L8775" s="91" t="str">
        <f t="shared" si="8"/>
        <v>Wed</v>
      </c>
      <c r="M8775" s="78" t="str">
        <f>IFERROR(VLOOKUP(A8775, Entries!A:B,2,false),"")</f>
        <v/>
      </c>
      <c r="N8775" s="23" t="str">
        <f>IFERROR(VLOOKUP(A8775, Entries!A:K,11,false),"")</f>
        <v/>
      </c>
    </row>
    <row r="8776">
      <c r="A8776" s="78" t="s">
        <v>9651</v>
      </c>
      <c r="B8776" s="78" t="s">
        <v>21</v>
      </c>
      <c r="C8776" s="85">
        <v>46152.0</v>
      </c>
      <c r="D8776" s="25"/>
      <c r="E8776" s="86">
        <v>11.79</v>
      </c>
      <c r="F8776" s="88"/>
      <c r="G8776" s="88">
        <f t="shared" si="23"/>
        <v>-11.79</v>
      </c>
      <c r="H8776" s="89" t="str">
        <f t="shared" si="18"/>
        <v/>
      </c>
      <c r="I8776" s="78" t="s">
        <v>9983</v>
      </c>
      <c r="J8776" s="78" t="s">
        <v>1129</v>
      </c>
      <c r="K8776" s="58" t="str">
        <f t="shared" si="27"/>
        <v/>
      </c>
      <c r="L8776" s="91" t="str">
        <f t="shared" si="8"/>
        <v/>
      </c>
      <c r="M8776" s="78" t="str">
        <f>IFERROR(VLOOKUP(A8776, Entries!A:B,2,false),"")</f>
        <v/>
      </c>
      <c r="N8776" s="23" t="str">
        <f>IFERROR(VLOOKUP(A8776, Entries!A:K,11,false),"")</f>
        <v/>
      </c>
    </row>
    <row r="8777">
      <c r="A8777" s="78" t="s">
        <v>9651</v>
      </c>
      <c r="B8777" s="78" t="s">
        <v>21</v>
      </c>
      <c r="C8777" s="85">
        <v>46152.0</v>
      </c>
      <c r="D8777" s="25"/>
      <c r="E8777" s="86">
        <v>11.79</v>
      </c>
      <c r="F8777" s="88"/>
      <c r="G8777" s="88">
        <f t="shared" si="23"/>
        <v>-11.79</v>
      </c>
      <c r="H8777" s="89" t="str">
        <f t="shared" si="18"/>
        <v/>
      </c>
      <c r="I8777" s="78" t="s">
        <v>9984</v>
      </c>
      <c r="J8777" s="78" t="s">
        <v>1129</v>
      </c>
      <c r="K8777" s="58" t="str">
        <f t="shared" si="27"/>
        <v/>
      </c>
      <c r="L8777" s="91" t="str">
        <f t="shared" si="8"/>
        <v/>
      </c>
      <c r="M8777" s="78" t="str">
        <f>IFERROR(VLOOKUP(A8777, Entries!A:B,2,false),"")</f>
        <v/>
      </c>
      <c r="N8777" s="23" t="str">
        <f>IFERROR(VLOOKUP(A8777, Entries!A:K,11,false),"")</f>
        <v/>
      </c>
    </row>
    <row r="8778">
      <c r="A8778" s="78" t="s">
        <v>9651</v>
      </c>
      <c r="B8778" s="78" t="s">
        <v>21</v>
      </c>
      <c r="C8778" s="85">
        <v>46152.0</v>
      </c>
      <c r="D8778" s="25"/>
      <c r="E8778" s="86">
        <v>11.79</v>
      </c>
      <c r="F8778" s="88"/>
      <c r="G8778" s="88">
        <f t="shared" si="23"/>
        <v>-11.79</v>
      </c>
      <c r="H8778" s="89" t="str">
        <f t="shared" si="18"/>
        <v/>
      </c>
      <c r="I8778" s="78" t="s">
        <v>9985</v>
      </c>
      <c r="J8778" s="78" t="s">
        <v>1129</v>
      </c>
      <c r="K8778" s="58" t="str">
        <f t="shared" si="27"/>
        <v/>
      </c>
      <c r="L8778" s="91" t="str">
        <f t="shared" si="8"/>
        <v/>
      </c>
      <c r="M8778" s="78" t="str">
        <f>IFERROR(VLOOKUP(A8778, Entries!A:B,2,false),"")</f>
        <v/>
      </c>
      <c r="N8778" s="23" t="str">
        <f>IFERROR(VLOOKUP(A8778, Entries!A:K,11,false),"")</f>
        <v/>
      </c>
    </row>
    <row r="8779">
      <c r="A8779" s="78" t="s">
        <v>9651</v>
      </c>
      <c r="B8779" s="78" t="s">
        <v>21</v>
      </c>
      <c r="C8779" s="85">
        <v>46152.0</v>
      </c>
      <c r="D8779" s="25"/>
      <c r="E8779" s="86">
        <v>11.79</v>
      </c>
      <c r="F8779" s="88"/>
      <c r="G8779" s="88">
        <f t="shared" si="23"/>
        <v>-11.79</v>
      </c>
      <c r="H8779" s="89" t="str">
        <f t="shared" si="18"/>
        <v/>
      </c>
      <c r="I8779" s="78" t="s">
        <v>9986</v>
      </c>
      <c r="J8779" s="78" t="s">
        <v>1129</v>
      </c>
      <c r="K8779" s="58" t="str">
        <f t="shared" si="27"/>
        <v/>
      </c>
      <c r="L8779" s="91" t="str">
        <f t="shared" si="8"/>
        <v/>
      </c>
      <c r="M8779" s="78" t="str">
        <f>IFERROR(VLOOKUP(A8779, Entries!A:B,2,false),"")</f>
        <v/>
      </c>
      <c r="N8779" s="23" t="str">
        <f>IFERROR(VLOOKUP(A8779, Entries!A:K,11,false),"")</f>
        <v/>
      </c>
    </row>
    <row r="8780">
      <c r="A8780" s="78" t="s">
        <v>9651</v>
      </c>
      <c r="B8780" s="78" t="s">
        <v>21</v>
      </c>
      <c r="C8780" s="85">
        <v>46152.0</v>
      </c>
      <c r="D8780" s="25"/>
      <c r="E8780" s="86">
        <v>11.8</v>
      </c>
      <c r="F8780" s="88"/>
      <c r="G8780" s="88">
        <f t="shared" si="23"/>
        <v>-11.8</v>
      </c>
      <c r="H8780" s="89" t="str">
        <f t="shared" si="18"/>
        <v/>
      </c>
      <c r="I8780" s="78" t="s">
        <v>9987</v>
      </c>
      <c r="J8780" s="78" t="s">
        <v>1129</v>
      </c>
      <c r="K8780" s="58" t="str">
        <f t="shared" si="27"/>
        <v/>
      </c>
      <c r="L8780" s="91" t="str">
        <f t="shared" si="8"/>
        <v/>
      </c>
      <c r="M8780" s="78" t="str">
        <f>IFERROR(VLOOKUP(A8780, Entries!A:B,2,false),"")</f>
        <v/>
      </c>
      <c r="N8780" s="23" t="str">
        <f>IFERROR(VLOOKUP(A8780, Entries!A:K,11,false),"")</f>
        <v/>
      </c>
    </row>
    <row r="8781">
      <c r="A8781" s="78" t="s">
        <v>9018</v>
      </c>
      <c r="B8781" s="78" t="s">
        <v>32</v>
      </c>
      <c r="C8781" s="85">
        <v>46153.0</v>
      </c>
      <c r="D8781" s="85">
        <v>46153.0</v>
      </c>
      <c r="E8781" s="86">
        <v>29.99</v>
      </c>
      <c r="F8781" s="87">
        <v>34.0</v>
      </c>
      <c r="G8781" s="88">
        <f t="shared" si="23"/>
        <v>4.01</v>
      </c>
      <c r="H8781" s="89">
        <f t="shared" si="18"/>
        <v>0.1179411765</v>
      </c>
      <c r="I8781" s="78" t="s">
        <v>9988</v>
      </c>
      <c r="J8781" s="78" t="s">
        <v>69</v>
      </c>
      <c r="K8781" s="58">
        <f t="shared" si="27"/>
        <v>0</v>
      </c>
      <c r="L8781" s="91" t="str">
        <f t="shared" si="8"/>
        <v>Mon</v>
      </c>
      <c r="M8781" s="78" t="str">
        <f>IFERROR(VLOOKUP(A8781, Entries!A:B,2,false),"")</f>
        <v>Game Science</v>
      </c>
      <c r="N8781" s="23" t="str">
        <f>IFERROR(VLOOKUP(A8781, Entries!A:K,11,false),"")</f>
        <v/>
      </c>
    </row>
    <row r="8782">
      <c r="A8782" s="78" t="s">
        <v>9955</v>
      </c>
      <c r="B8782" s="78" t="s">
        <v>27</v>
      </c>
      <c r="C8782" s="85">
        <v>46153.0</v>
      </c>
      <c r="D8782" s="85">
        <v>46154.0</v>
      </c>
      <c r="E8782" s="86">
        <v>30.19</v>
      </c>
      <c r="F8782" s="87">
        <v>35.9</v>
      </c>
      <c r="G8782" s="88">
        <f t="shared" si="23"/>
        <v>5.71</v>
      </c>
      <c r="H8782" s="89">
        <f t="shared" si="18"/>
        <v>0.1590529248</v>
      </c>
      <c r="I8782" s="78" t="s">
        <v>9989</v>
      </c>
      <c r="J8782" s="78" t="s">
        <v>69</v>
      </c>
      <c r="K8782" s="58">
        <f t="shared" si="27"/>
        <v>1</v>
      </c>
      <c r="L8782" s="91" t="str">
        <f t="shared" si="8"/>
        <v>Tue</v>
      </c>
      <c r="M8782" s="78" t="str">
        <f>IFERROR(VLOOKUP(A8782, Entries!A:B,2,false),"")</f>
        <v/>
      </c>
      <c r="N8782" s="23" t="str">
        <f>IFERROR(VLOOKUP(A8782, Entries!A:K,11,false),"")</f>
        <v/>
      </c>
    </row>
    <row r="8783">
      <c r="A8783" s="78" t="s">
        <v>9871</v>
      </c>
      <c r="B8783" s="78" t="s">
        <v>25</v>
      </c>
      <c r="C8783" s="85">
        <v>46154.0</v>
      </c>
      <c r="D8783" s="85">
        <v>46154.0</v>
      </c>
      <c r="E8783" s="86">
        <v>26.79</v>
      </c>
      <c r="F8783" s="87">
        <v>31.12</v>
      </c>
      <c r="G8783" s="88">
        <f t="shared" si="23"/>
        <v>4.33</v>
      </c>
      <c r="H8783" s="89">
        <f t="shared" si="18"/>
        <v>0.1391388175</v>
      </c>
      <c r="I8783" s="78" t="s">
        <v>9990</v>
      </c>
      <c r="J8783" s="78" t="s">
        <v>69</v>
      </c>
      <c r="K8783" s="58">
        <f t="shared" si="27"/>
        <v>0</v>
      </c>
      <c r="L8783" s="91" t="str">
        <f t="shared" si="8"/>
        <v>Tue</v>
      </c>
      <c r="M8783" s="78" t="str">
        <f>IFERROR(VLOOKUP(A8783, Entries!A:B,2,false),"")</f>
        <v/>
      </c>
      <c r="N8783" s="23" t="str">
        <f>IFERROR(VLOOKUP(A8783, Entries!A:K,11,false),"")</f>
        <v/>
      </c>
    </row>
    <row r="8784">
      <c r="A8784" s="78" t="s">
        <v>9871</v>
      </c>
      <c r="B8784" s="78" t="s">
        <v>29</v>
      </c>
      <c r="C8784" s="85">
        <v>46154.0</v>
      </c>
      <c r="D8784" s="85">
        <v>46154.0</v>
      </c>
      <c r="E8784" s="86">
        <v>28.5</v>
      </c>
      <c r="F8784" s="87">
        <v>31.19</v>
      </c>
      <c r="G8784" s="88">
        <f t="shared" si="23"/>
        <v>2.69</v>
      </c>
      <c r="H8784" s="89">
        <f t="shared" si="18"/>
        <v>0.08624559154</v>
      </c>
      <c r="I8784" s="78" t="s">
        <v>9991</v>
      </c>
      <c r="J8784" s="78" t="s">
        <v>69</v>
      </c>
      <c r="K8784" s="58">
        <f t="shared" si="27"/>
        <v>0</v>
      </c>
      <c r="L8784" s="91" t="str">
        <f t="shared" si="8"/>
        <v>Tue</v>
      </c>
      <c r="M8784" s="78" t="str">
        <f>IFERROR(VLOOKUP(A8784, Entries!A:B,2,false),"")</f>
        <v/>
      </c>
      <c r="N8784" s="23" t="str">
        <f>IFERROR(VLOOKUP(A8784, Entries!A:K,11,false),"")</f>
        <v/>
      </c>
    </row>
    <row r="8785">
      <c r="A8785" s="78" t="s">
        <v>9871</v>
      </c>
      <c r="B8785" s="78" t="s">
        <v>29</v>
      </c>
      <c r="C8785" s="85">
        <v>46154.0</v>
      </c>
      <c r="D8785" s="85">
        <v>46159.0</v>
      </c>
      <c r="E8785" s="86">
        <v>28.5</v>
      </c>
      <c r="F8785" s="87">
        <v>31.39</v>
      </c>
      <c r="G8785" s="88">
        <f t="shared" si="23"/>
        <v>2.89</v>
      </c>
      <c r="H8785" s="89">
        <f t="shared" si="18"/>
        <v>0.09206753743</v>
      </c>
      <c r="I8785" s="78" t="s">
        <v>9992</v>
      </c>
      <c r="J8785" s="78" t="s">
        <v>69</v>
      </c>
      <c r="K8785" s="58">
        <f t="shared" si="27"/>
        <v>5</v>
      </c>
      <c r="L8785" s="91" t="str">
        <f t="shared" si="8"/>
        <v>Sun</v>
      </c>
      <c r="M8785" s="78" t="str">
        <f>IFERROR(VLOOKUP(A8785, Entries!A:B,2,false),"")</f>
        <v/>
      </c>
      <c r="N8785" s="23" t="str">
        <f>IFERROR(VLOOKUP(A8785, Entries!A:K,11,false),"")</f>
        <v/>
      </c>
    </row>
    <row r="8786">
      <c r="A8786" s="78" t="s">
        <v>9993</v>
      </c>
      <c r="B8786" s="78" t="s">
        <v>21</v>
      </c>
      <c r="C8786" s="85">
        <v>46154.0</v>
      </c>
      <c r="D8786" s="25"/>
      <c r="E8786" s="86">
        <v>15.9</v>
      </c>
      <c r="F8786" s="88"/>
      <c r="G8786" s="88">
        <f t="shared" si="23"/>
        <v>-15.9</v>
      </c>
      <c r="H8786" s="89" t="str">
        <f t="shared" si="18"/>
        <v/>
      </c>
      <c r="I8786" s="78" t="s">
        <v>9994</v>
      </c>
      <c r="J8786" s="78" t="s">
        <v>1129</v>
      </c>
      <c r="K8786" s="58" t="str">
        <f t="shared" si="27"/>
        <v/>
      </c>
      <c r="L8786" s="91" t="str">
        <f t="shared" si="8"/>
        <v/>
      </c>
      <c r="M8786" s="78" t="str">
        <f>IFERROR(VLOOKUP(A8786, Entries!A:B,2,false),"")</f>
        <v/>
      </c>
      <c r="N8786" s="23" t="str">
        <f>IFERROR(VLOOKUP(A8786, Entries!A:K,11,false),"")</f>
        <v/>
      </c>
    </row>
    <row r="8787">
      <c r="A8787" s="78" t="s">
        <v>9365</v>
      </c>
      <c r="B8787" s="78" t="s">
        <v>25</v>
      </c>
      <c r="C8787" s="85">
        <v>46155.0</v>
      </c>
      <c r="D8787" s="85">
        <v>46166.0</v>
      </c>
      <c r="E8787" s="86">
        <v>35.85</v>
      </c>
      <c r="F8787" s="87">
        <v>45.36</v>
      </c>
      <c r="G8787" s="88">
        <f t="shared" si="23"/>
        <v>9.51</v>
      </c>
      <c r="H8787" s="89">
        <f t="shared" si="18"/>
        <v>0.2096560847</v>
      </c>
      <c r="I8787" s="78" t="s">
        <v>9995</v>
      </c>
      <c r="J8787" s="78" t="s">
        <v>69</v>
      </c>
      <c r="K8787" s="58">
        <f t="shared" si="27"/>
        <v>11</v>
      </c>
      <c r="L8787" s="91" t="str">
        <f t="shared" si="8"/>
        <v>Sun</v>
      </c>
      <c r="M8787" s="78" t="str">
        <f>IFERROR(VLOOKUP(A8787, Entries!A:B,2,false),"")</f>
        <v/>
      </c>
      <c r="N8787" s="23" t="str">
        <f>IFERROR(VLOOKUP(A8787, Entries!A:K,11,false),"")</f>
        <v/>
      </c>
    </row>
    <row r="8788">
      <c r="A8788" s="78" t="s">
        <v>9365</v>
      </c>
      <c r="B8788" s="78" t="s">
        <v>25</v>
      </c>
      <c r="C8788" s="85">
        <v>46155.0</v>
      </c>
      <c r="D8788" s="85">
        <v>46166.0</v>
      </c>
      <c r="E8788" s="86">
        <v>35.86</v>
      </c>
      <c r="F8788" s="87">
        <v>46.26</v>
      </c>
      <c r="G8788" s="88">
        <f t="shared" si="23"/>
        <v>10.4</v>
      </c>
      <c r="H8788" s="89">
        <f t="shared" si="18"/>
        <v>0.2248162559</v>
      </c>
      <c r="I8788" s="78" t="s">
        <v>9996</v>
      </c>
      <c r="J8788" s="78" t="s">
        <v>69</v>
      </c>
      <c r="K8788" s="58">
        <f t="shared" si="27"/>
        <v>11</v>
      </c>
      <c r="L8788" s="91" t="str">
        <f t="shared" si="8"/>
        <v>Sun</v>
      </c>
      <c r="M8788" s="78" t="str">
        <f>IFERROR(VLOOKUP(A8788, Entries!A:B,2,false),"")</f>
        <v/>
      </c>
      <c r="N8788" s="23" t="str">
        <f>IFERROR(VLOOKUP(A8788, Entries!A:K,11,false),"")</f>
        <v/>
      </c>
    </row>
    <row r="8789">
      <c r="A8789" s="78" t="s">
        <v>9796</v>
      </c>
      <c r="B8789" s="78" t="s">
        <v>29</v>
      </c>
      <c r="C8789" s="85">
        <v>46155.0</v>
      </c>
      <c r="D8789" s="25"/>
      <c r="E8789" s="86">
        <v>8.99</v>
      </c>
      <c r="F8789" s="88"/>
      <c r="G8789" s="88">
        <f t="shared" si="23"/>
        <v>-8.99</v>
      </c>
      <c r="H8789" s="89" t="str">
        <f t="shared" si="18"/>
        <v/>
      </c>
      <c r="I8789" s="78" t="s">
        <v>9997</v>
      </c>
      <c r="J8789" s="78" t="s">
        <v>1129</v>
      </c>
      <c r="K8789" s="58" t="str">
        <f t="shared" si="27"/>
        <v/>
      </c>
      <c r="L8789" s="91" t="str">
        <f t="shared" si="8"/>
        <v/>
      </c>
      <c r="M8789" s="78" t="str">
        <f>IFERROR(VLOOKUP(A8789, Entries!A:B,2,false),"")</f>
        <v/>
      </c>
      <c r="N8789" s="23" t="str">
        <f>IFERROR(VLOOKUP(A8789, Entries!A:K,11,false),"")</f>
        <v/>
      </c>
    </row>
    <row r="8790">
      <c r="A8790" s="78" t="s">
        <v>9651</v>
      </c>
      <c r="B8790" s="78" t="s">
        <v>21</v>
      </c>
      <c r="C8790" s="85">
        <v>46155.0</v>
      </c>
      <c r="D8790" s="25"/>
      <c r="E8790" s="86">
        <v>10.09</v>
      </c>
      <c r="F8790" s="88"/>
      <c r="G8790" s="88">
        <f t="shared" si="23"/>
        <v>-10.09</v>
      </c>
      <c r="H8790" s="89" t="str">
        <f t="shared" si="18"/>
        <v/>
      </c>
      <c r="I8790" s="78" t="s">
        <v>9998</v>
      </c>
      <c r="J8790" s="78" t="s">
        <v>1129</v>
      </c>
      <c r="K8790" s="58" t="str">
        <f t="shared" si="27"/>
        <v/>
      </c>
      <c r="L8790" s="91" t="str">
        <f t="shared" si="8"/>
        <v/>
      </c>
      <c r="M8790" s="78" t="str">
        <f>IFERROR(VLOOKUP(A8790, Entries!A:B,2,false),"")</f>
        <v/>
      </c>
      <c r="N8790" s="23" t="str">
        <f>IFERROR(VLOOKUP(A8790, Entries!A:K,11,false),"")</f>
        <v/>
      </c>
    </row>
    <row r="8791">
      <c r="A8791" s="78" t="s">
        <v>9651</v>
      </c>
      <c r="B8791" s="78" t="s">
        <v>21</v>
      </c>
      <c r="C8791" s="85">
        <v>46155.0</v>
      </c>
      <c r="D8791" s="25"/>
      <c r="E8791" s="86">
        <v>10.09</v>
      </c>
      <c r="F8791" s="88"/>
      <c r="G8791" s="88">
        <f t="shared" si="23"/>
        <v>-10.09</v>
      </c>
      <c r="H8791" s="89" t="str">
        <f t="shared" si="18"/>
        <v/>
      </c>
      <c r="I8791" s="78" t="s">
        <v>9999</v>
      </c>
      <c r="J8791" s="78" t="s">
        <v>1129</v>
      </c>
      <c r="K8791" s="58" t="str">
        <f t="shared" si="27"/>
        <v/>
      </c>
      <c r="L8791" s="91" t="str">
        <f t="shared" si="8"/>
        <v/>
      </c>
      <c r="M8791" s="78" t="str">
        <f>IFERROR(VLOOKUP(A8791, Entries!A:B,2,false),"")</f>
        <v/>
      </c>
      <c r="N8791" s="23" t="str">
        <f>IFERROR(VLOOKUP(A8791, Entries!A:K,11,false),"")</f>
        <v/>
      </c>
    </row>
    <row r="8792">
      <c r="A8792" s="78" t="s">
        <v>9651</v>
      </c>
      <c r="B8792" s="78" t="s">
        <v>21</v>
      </c>
      <c r="C8792" s="85">
        <v>46155.0</v>
      </c>
      <c r="D8792" s="25"/>
      <c r="E8792" s="86">
        <v>9.1</v>
      </c>
      <c r="F8792" s="88"/>
      <c r="G8792" s="88">
        <f t="shared" si="23"/>
        <v>-9.1</v>
      </c>
      <c r="H8792" s="89" t="str">
        <f t="shared" si="18"/>
        <v/>
      </c>
      <c r="I8792" s="78" t="s">
        <v>10000</v>
      </c>
      <c r="J8792" s="78" t="s">
        <v>1129</v>
      </c>
      <c r="K8792" s="58" t="str">
        <f t="shared" si="27"/>
        <v/>
      </c>
      <c r="L8792" s="91" t="str">
        <f t="shared" si="8"/>
        <v/>
      </c>
      <c r="M8792" s="78" t="str">
        <f>IFERROR(VLOOKUP(A8792, Entries!A:B,2,false),"")</f>
        <v/>
      </c>
      <c r="N8792" s="23" t="str">
        <f>IFERROR(VLOOKUP(A8792, Entries!A:K,11,false),"")</f>
        <v/>
      </c>
    </row>
    <row r="8793">
      <c r="A8793" s="78" t="s">
        <v>9975</v>
      </c>
      <c r="B8793" s="78" t="s">
        <v>29</v>
      </c>
      <c r="C8793" s="85">
        <v>46156.0</v>
      </c>
      <c r="D8793" s="85">
        <v>46174.0</v>
      </c>
      <c r="E8793" s="86">
        <v>16.99</v>
      </c>
      <c r="F8793" s="87">
        <v>19.65</v>
      </c>
      <c r="G8793" s="88">
        <f t="shared" si="23"/>
        <v>2.66</v>
      </c>
      <c r="H8793" s="89">
        <f t="shared" si="18"/>
        <v>0.1353689567</v>
      </c>
      <c r="I8793" s="78" t="s">
        <v>10001</v>
      </c>
      <c r="J8793" s="78" t="s">
        <v>69</v>
      </c>
      <c r="K8793" s="58">
        <f t="shared" si="27"/>
        <v>18</v>
      </c>
      <c r="L8793" s="91" t="str">
        <f t="shared" si="8"/>
        <v>Mon</v>
      </c>
      <c r="M8793" s="78" t="str">
        <f>IFERROR(VLOOKUP(A8793, Entries!A:B,2,false),"")</f>
        <v/>
      </c>
      <c r="N8793" s="23" t="str">
        <f>IFERROR(VLOOKUP(A8793, Entries!A:K,11,false),"")</f>
        <v/>
      </c>
    </row>
    <row r="8794">
      <c r="A8794" s="78" t="s">
        <v>10002</v>
      </c>
      <c r="B8794" s="78" t="s">
        <v>32</v>
      </c>
      <c r="C8794" s="85">
        <v>46156.0</v>
      </c>
      <c r="D8794" s="85">
        <v>46156.0</v>
      </c>
      <c r="E8794" s="86">
        <v>7.35</v>
      </c>
      <c r="F8794" s="87">
        <v>10.05</v>
      </c>
      <c r="G8794" s="88">
        <f t="shared" si="23"/>
        <v>2.7</v>
      </c>
      <c r="H8794" s="89">
        <f t="shared" si="18"/>
        <v>0.2686567164</v>
      </c>
      <c r="I8794" s="78" t="s">
        <v>10003</v>
      </c>
      <c r="J8794" s="78" t="s">
        <v>69</v>
      </c>
      <c r="K8794" s="58">
        <f t="shared" si="27"/>
        <v>0</v>
      </c>
      <c r="L8794" s="91" t="str">
        <f t="shared" si="8"/>
        <v>Thu</v>
      </c>
      <c r="M8794" s="78" t="str">
        <f>IFERROR(VLOOKUP(A8794, Entries!A:B,2,false),"")</f>
        <v/>
      </c>
      <c r="N8794" s="23" t="str">
        <f>IFERROR(VLOOKUP(A8794, Entries!A:K,11,false),"")</f>
        <v/>
      </c>
    </row>
    <row r="8795">
      <c r="A8795" s="78" t="s">
        <v>10002</v>
      </c>
      <c r="B8795" s="78" t="s">
        <v>25</v>
      </c>
      <c r="C8795" s="85">
        <v>46156.0</v>
      </c>
      <c r="D8795" s="85">
        <v>46156.0</v>
      </c>
      <c r="E8795" s="86">
        <v>7.9</v>
      </c>
      <c r="F8795" s="87">
        <v>10.05</v>
      </c>
      <c r="G8795" s="88">
        <f t="shared" si="23"/>
        <v>2.15</v>
      </c>
      <c r="H8795" s="89">
        <f t="shared" si="18"/>
        <v>0.2139303483</v>
      </c>
      <c r="I8795" s="78" t="s">
        <v>10004</v>
      </c>
      <c r="J8795" s="78" t="s">
        <v>69</v>
      </c>
      <c r="K8795" s="58">
        <f t="shared" si="27"/>
        <v>0</v>
      </c>
      <c r="L8795" s="91" t="str">
        <f t="shared" si="8"/>
        <v>Thu</v>
      </c>
      <c r="M8795" s="78" t="str">
        <f>IFERROR(VLOOKUP(A8795, Entries!A:B,2,false),"")</f>
        <v/>
      </c>
      <c r="N8795" s="23" t="str">
        <f>IFERROR(VLOOKUP(A8795, Entries!A:K,11,false),"")</f>
        <v/>
      </c>
    </row>
    <row r="8796">
      <c r="A8796" s="78" t="s">
        <v>10002</v>
      </c>
      <c r="B8796" s="78" t="s">
        <v>25</v>
      </c>
      <c r="C8796" s="85">
        <v>46156.0</v>
      </c>
      <c r="D8796" s="85">
        <v>46156.0</v>
      </c>
      <c r="E8796" s="86">
        <v>7.9</v>
      </c>
      <c r="F8796" s="87">
        <v>10.05</v>
      </c>
      <c r="G8796" s="88">
        <f t="shared" si="23"/>
        <v>2.15</v>
      </c>
      <c r="H8796" s="89">
        <f t="shared" si="18"/>
        <v>0.2139303483</v>
      </c>
      <c r="I8796" s="78" t="s">
        <v>10005</v>
      </c>
      <c r="J8796" s="78" t="s">
        <v>69</v>
      </c>
      <c r="K8796" s="58">
        <f t="shared" si="27"/>
        <v>0</v>
      </c>
      <c r="L8796" s="91" t="str">
        <f t="shared" si="8"/>
        <v>Thu</v>
      </c>
      <c r="M8796" s="78" t="str">
        <f>IFERROR(VLOOKUP(A8796, Entries!A:B,2,false),"")</f>
        <v/>
      </c>
      <c r="N8796" s="23" t="str">
        <f>IFERROR(VLOOKUP(A8796, Entries!A:K,11,false),"")</f>
        <v/>
      </c>
    </row>
    <row r="8797">
      <c r="A8797" s="78" t="s">
        <v>10002</v>
      </c>
      <c r="B8797" s="78" t="s">
        <v>25</v>
      </c>
      <c r="C8797" s="85">
        <v>46156.0</v>
      </c>
      <c r="D8797" s="85">
        <v>46156.0</v>
      </c>
      <c r="E8797" s="86">
        <v>7.91</v>
      </c>
      <c r="F8797" s="87">
        <v>10.05</v>
      </c>
      <c r="G8797" s="88">
        <f t="shared" si="23"/>
        <v>2.14</v>
      </c>
      <c r="H8797" s="89">
        <f t="shared" si="18"/>
        <v>0.2129353234</v>
      </c>
      <c r="I8797" s="78" t="s">
        <v>10006</v>
      </c>
      <c r="J8797" s="78" t="s">
        <v>69</v>
      </c>
      <c r="K8797" s="58">
        <f t="shared" si="27"/>
        <v>0</v>
      </c>
      <c r="L8797" s="91" t="str">
        <f t="shared" si="8"/>
        <v>Thu</v>
      </c>
      <c r="M8797" s="78" t="str">
        <f>IFERROR(VLOOKUP(A8797, Entries!A:B,2,false),"")</f>
        <v/>
      </c>
      <c r="N8797" s="23" t="str">
        <f>IFERROR(VLOOKUP(A8797, Entries!A:K,11,false),"")</f>
        <v/>
      </c>
    </row>
    <row r="8798">
      <c r="A8798" s="78" t="s">
        <v>10002</v>
      </c>
      <c r="B8798" s="78" t="s">
        <v>25</v>
      </c>
      <c r="C8798" s="85">
        <v>46156.0</v>
      </c>
      <c r="D8798" s="85">
        <v>46156.0</v>
      </c>
      <c r="E8798" s="86">
        <v>7.78</v>
      </c>
      <c r="F8798" s="87">
        <v>9.87</v>
      </c>
      <c r="G8798" s="88">
        <f t="shared" si="23"/>
        <v>2.09</v>
      </c>
      <c r="H8798" s="89">
        <f t="shared" si="18"/>
        <v>0.2117527862</v>
      </c>
      <c r="I8798" s="78" t="s">
        <v>10007</v>
      </c>
      <c r="J8798" s="78" t="s">
        <v>69</v>
      </c>
      <c r="K8798" s="58">
        <f t="shared" si="27"/>
        <v>0</v>
      </c>
      <c r="L8798" s="91" t="str">
        <f t="shared" si="8"/>
        <v>Thu</v>
      </c>
      <c r="M8798" s="78" t="str">
        <f>IFERROR(VLOOKUP(A8798, Entries!A:B,2,false),"")</f>
        <v/>
      </c>
      <c r="N8798" s="23" t="str">
        <f>IFERROR(VLOOKUP(A8798, Entries!A:K,11,false),"")</f>
        <v/>
      </c>
    </row>
    <row r="8799">
      <c r="A8799" s="78" t="s">
        <v>10002</v>
      </c>
      <c r="B8799" s="78" t="s">
        <v>25</v>
      </c>
      <c r="C8799" s="85">
        <v>46156.0</v>
      </c>
      <c r="D8799" s="85">
        <v>46156.0</v>
      </c>
      <c r="E8799" s="86">
        <v>7.79</v>
      </c>
      <c r="F8799" s="87">
        <v>9.87</v>
      </c>
      <c r="G8799" s="88">
        <f t="shared" si="23"/>
        <v>2.08</v>
      </c>
      <c r="H8799" s="89">
        <f t="shared" si="18"/>
        <v>0.210739615</v>
      </c>
      <c r="I8799" s="78" t="s">
        <v>10008</v>
      </c>
      <c r="J8799" s="78" t="s">
        <v>69</v>
      </c>
      <c r="K8799" s="58">
        <f t="shared" si="27"/>
        <v>0</v>
      </c>
      <c r="L8799" s="91" t="str">
        <f t="shared" si="8"/>
        <v>Thu</v>
      </c>
      <c r="M8799" s="78" t="str">
        <f>IFERROR(VLOOKUP(A8799, Entries!A:B,2,false),"")</f>
        <v/>
      </c>
      <c r="N8799" s="23" t="str">
        <f>IFERROR(VLOOKUP(A8799, Entries!A:K,11,false),"")</f>
        <v/>
      </c>
    </row>
    <row r="8800">
      <c r="A8800" s="78" t="s">
        <v>10002</v>
      </c>
      <c r="B8800" s="78" t="s">
        <v>25</v>
      </c>
      <c r="C8800" s="85">
        <v>46156.0</v>
      </c>
      <c r="D8800" s="85">
        <v>46157.0</v>
      </c>
      <c r="E8800" s="86">
        <v>7.79</v>
      </c>
      <c r="F8800" s="87">
        <v>10.02</v>
      </c>
      <c r="G8800" s="88">
        <f t="shared" si="23"/>
        <v>2.23</v>
      </c>
      <c r="H8800" s="89">
        <f t="shared" si="18"/>
        <v>0.2225548902</v>
      </c>
      <c r="I8800" s="78" t="s">
        <v>10009</v>
      </c>
      <c r="J8800" s="78" t="s">
        <v>69</v>
      </c>
      <c r="K8800" s="58">
        <f t="shared" si="27"/>
        <v>1</v>
      </c>
      <c r="L8800" s="91" t="str">
        <f t="shared" si="8"/>
        <v>Fri</v>
      </c>
      <c r="M8800" s="78" t="str">
        <f>IFERROR(VLOOKUP(A8800, Entries!A:B,2,false),"")</f>
        <v/>
      </c>
      <c r="N8800" s="23" t="str">
        <f>IFERROR(VLOOKUP(A8800, Entries!A:K,11,false),"")</f>
        <v/>
      </c>
    </row>
    <row r="8801">
      <c r="A8801" s="78" t="s">
        <v>10010</v>
      </c>
      <c r="B8801" s="78" t="s">
        <v>22</v>
      </c>
      <c r="C8801" s="85">
        <v>46156.0</v>
      </c>
      <c r="D8801" s="85">
        <v>46166.0</v>
      </c>
      <c r="E8801" s="86">
        <v>6.05</v>
      </c>
      <c r="F8801" s="87">
        <v>8.29</v>
      </c>
      <c r="G8801" s="88">
        <f t="shared" si="23"/>
        <v>2.24</v>
      </c>
      <c r="H8801" s="89">
        <f t="shared" si="18"/>
        <v>0.2702050663</v>
      </c>
      <c r="I8801" s="78" t="s">
        <v>10011</v>
      </c>
      <c r="J8801" s="78" t="s">
        <v>69</v>
      </c>
      <c r="K8801" s="58">
        <f t="shared" si="27"/>
        <v>10</v>
      </c>
      <c r="L8801" s="91" t="str">
        <f t="shared" si="8"/>
        <v>Sun</v>
      </c>
      <c r="M8801" s="78" t="str">
        <f>IFERROR(VLOOKUP(A8801, Entries!A:B,2,false),"")</f>
        <v/>
      </c>
      <c r="N8801" s="23" t="str">
        <f>IFERROR(VLOOKUP(A8801, Entries!A:K,11,false),"")</f>
        <v/>
      </c>
    </row>
    <row r="8802">
      <c r="A8802" s="78" t="s">
        <v>10012</v>
      </c>
      <c r="B8802" s="78" t="s">
        <v>27</v>
      </c>
      <c r="C8802" s="85">
        <v>46156.0</v>
      </c>
      <c r="D8802" s="85">
        <v>46157.0</v>
      </c>
      <c r="E8802" s="86">
        <v>17.39</v>
      </c>
      <c r="F8802" s="87">
        <v>21.35</v>
      </c>
      <c r="G8802" s="88">
        <f t="shared" si="23"/>
        <v>3.96</v>
      </c>
      <c r="H8802" s="89">
        <f t="shared" si="18"/>
        <v>0.1854800937</v>
      </c>
      <c r="I8802" s="78" t="s">
        <v>10013</v>
      </c>
      <c r="J8802" s="78" t="s">
        <v>69</v>
      </c>
      <c r="K8802" s="58">
        <f t="shared" si="27"/>
        <v>1</v>
      </c>
      <c r="L8802" s="91" t="str">
        <f t="shared" si="8"/>
        <v>Fri</v>
      </c>
      <c r="M8802" s="78" t="str">
        <f>IFERROR(VLOOKUP(A8802, Entries!A:B,2,false),"")</f>
        <v/>
      </c>
      <c r="N8802" s="23" t="str">
        <f>IFERROR(VLOOKUP(A8802, Entries!A:K,11,false),"")</f>
        <v/>
      </c>
    </row>
    <row r="8803">
      <c r="A8803" s="78" t="s">
        <v>10012</v>
      </c>
      <c r="B8803" s="78" t="s">
        <v>27</v>
      </c>
      <c r="C8803" s="85">
        <v>46157.0</v>
      </c>
      <c r="D8803" s="85">
        <v>46158.0</v>
      </c>
      <c r="E8803" s="86">
        <v>17.39</v>
      </c>
      <c r="F8803" s="87">
        <v>21.22</v>
      </c>
      <c r="G8803" s="88">
        <f t="shared" si="23"/>
        <v>3.83</v>
      </c>
      <c r="H8803" s="89">
        <f t="shared" si="18"/>
        <v>0.1804901037</v>
      </c>
      <c r="I8803" s="78" t="s">
        <v>10014</v>
      </c>
      <c r="J8803" s="78" t="s">
        <v>69</v>
      </c>
      <c r="K8803" s="58">
        <f t="shared" si="27"/>
        <v>1</v>
      </c>
      <c r="L8803" s="91" t="str">
        <f t="shared" si="8"/>
        <v>Sat</v>
      </c>
      <c r="M8803" s="78" t="str">
        <f>IFERROR(VLOOKUP(A8803, Entries!A:B,2,false),"")</f>
        <v/>
      </c>
      <c r="N8803" s="23" t="str">
        <f>IFERROR(VLOOKUP(A8803, Entries!A:K,11,false),"")</f>
        <v/>
      </c>
    </row>
    <row r="8804">
      <c r="A8804" s="78" t="s">
        <v>10015</v>
      </c>
      <c r="B8804" s="78" t="s">
        <v>27</v>
      </c>
      <c r="C8804" s="85">
        <v>46157.0</v>
      </c>
      <c r="D8804" s="85">
        <v>46165.0</v>
      </c>
      <c r="E8804" s="86">
        <v>35.99</v>
      </c>
      <c r="F8804" s="87">
        <v>39.2</v>
      </c>
      <c r="G8804" s="88">
        <f t="shared" si="23"/>
        <v>3.21</v>
      </c>
      <c r="H8804" s="89">
        <f t="shared" si="18"/>
        <v>0.0818877551</v>
      </c>
      <c r="I8804" s="78" t="s">
        <v>10016</v>
      </c>
      <c r="J8804" s="78" t="s">
        <v>69</v>
      </c>
      <c r="K8804" s="58">
        <f t="shared" si="27"/>
        <v>8</v>
      </c>
      <c r="L8804" s="91" t="str">
        <f t="shared" si="8"/>
        <v>Sat</v>
      </c>
      <c r="M8804" s="78" t="str">
        <f>IFERROR(VLOOKUP(A8804, Entries!A:B,2,false),"")</f>
        <v/>
      </c>
      <c r="N8804" s="23" t="str">
        <f>IFERROR(VLOOKUP(A8804, Entries!A:K,11,false),"")</f>
        <v/>
      </c>
    </row>
    <row r="8805">
      <c r="A8805" s="78" t="s">
        <v>10012</v>
      </c>
      <c r="B8805" s="78" t="s">
        <v>27</v>
      </c>
      <c r="C8805" s="85">
        <v>46158.0</v>
      </c>
      <c r="D8805" s="85">
        <v>46159.0</v>
      </c>
      <c r="E8805" s="86">
        <v>17.39</v>
      </c>
      <c r="F8805" s="87">
        <v>21.05</v>
      </c>
      <c r="G8805" s="88">
        <f t="shared" si="23"/>
        <v>3.66</v>
      </c>
      <c r="H8805" s="89">
        <f t="shared" si="18"/>
        <v>0.173871734</v>
      </c>
      <c r="I8805" s="78" t="s">
        <v>10017</v>
      </c>
      <c r="J8805" s="78" t="s">
        <v>69</v>
      </c>
      <c r="K8805" s="58">
        <f t="shared" si="27"/>
        <v>1</v>
      </c>
      <c r="L8805" s="91" t="str">
        <f t="shared" si="8"/>
        <v>Sun</v>
      </c>
      <c r="M8805" s="78" t="str">
        <f>IFERROR(VLOOKUP(A8805, Entries!A:B,2,false),"")</f>
        <v/>
      </c>
      <c r="N8805" s="23" t="str">
        <f>IFERROR(VLOOKUP(A8805, Entries!A:K,11,false),"")</f>
        <v/>
      </c>
    </row>
    <row r="8806">
      <c r="A8806" s="78" t="s">
        <v>5159</v>
      </c>
      <c r="B8806" s="78" t="s">
        <v>27</v>
      </c>
      <c r="C8806" s="85">
        <v>46158.0</v>
      </c>
      <c r="D8806" s="85">
        <v>46158.0</v>
      </c>
      <c r="E8806" s="86">
        <v>19.69</v>
      </c>
      <c r="F8806" s="87">
        <v>28.99</v>
      </c>
      <c r="G8806" s="88">
        <f t="shared" si="23"/>
        <v>9.3</v>
      </c>
      <c r="H8806" s="89">
        <f t="shared" si="18"/>
        <v>0.320800276</v>
      </c>
      <c r="I8806" s="78" t="s">
        <v>10018</v>
      </c>
      <c r="J8806" s="78" t="s">
        <v>69</v>
      </c>
      <c r="K8806" s="58">
        <f t="shared" si="27"/>
        <v>0</v>
      </c>
      <c r="L8806" s="91" t="str">
        <f t="shared" si="8"/>
        <v>Sat</v>
      </c>
      <c r="M8806" s="78" t="str">
        <f>IFERROR(VLOOKUP(A8806, Entries!A:B,2,false),"")</f>
        <v>IO Interactive</v>
      </c>
      <c r="N8806" s="23" t="str">
        <f>IFERROR(VLOOKUP(A8806, Entries!A:K,11,false),"")</f>
        <v/>
      </c>
    </row>
    <row r="8807">
      <c r="A8807" s="78" t="s">
        <v>5159</v>
      </c>
      <c r="B8807" s="78" t="s">
        <v>27</v>
      </c>
      <c r="C8807" s="85">
        <v>46158.0</v>
      </c>
      <c r="D8807" s="85">
        <v>46158.0</v>
      </c>
      <c r="E8807" s="86">
        <v>19.69</v>
      </c>
      <c r="F8807" s="87">
        <v>28.99</v>
      </c>
      <c r="G8807" s="88">
        <f t="shared" si="23"/>
        <v>9.3</v>
      </c>
      <c r="H8807" s="89">
        <f t="shared" si="18"/>
        <v>0.320800276</v>
      </c>
      <c r="I8807" s="78" t="s">
        <v>10019</v>
      </c>
      <c r="J8807" s="78" t="s">
        <v>69</v>
      </c>
      <c r="K8807" s="58">
        <f t="shared" si="27"/>
        <v>0</v>
      </c>
      <c r="L8807" s="91" t="str">
        <f t="shared" si="8"/>
        <v>Sat</v>
      </c>
      <c r="M8807" s="78" t="str">
        <f>IFERROR(VLOOKUP(A8807, Entries!A:B,2,false),"")</f>
        <v>IO Interactive</v>
      </c>
      <c r="N8807" s="23" t="str">
        <f>IFERROR(VLOOKUP(A8807, Entries!A:K,11,false),"")</f>
        <v/>
      </c>
    </row>
    <row r="8808">
      <c r="A8808" s="78" t="s">
        <v>5159</v>
      </c>
      <c r="B8808" s="78" t="s">
        <v>27</v>
      </c>
      <c r="C8808" s="85">
        <v>46158.0</v>
      </c>
      <c r="D8808" s="85">
        <v>46158.0</v>
      </c>
      <c r="E8808" s="86">
        <v>19.69</v>
      </c>
      <c r="F8808" s="87">
        <v>26.45</v>
      </c>
      <c r="G8808" s="88">
        <f t="shared" si="23"/>
        <v>6.76</v>
      </c>
      <c r="H8808" s="89">
        <f t="shared" si="18"/>
        <v>0.2555765595</v>
      </c>
      <c r="I8808" s="78" t="s">
        <v>10020</v>
      </c>
      <c r="J8808" s="78" t="s">
        <v>69</v>
      </c>
      <c r="K8808" s="58">
        <f t="shared" si="27"/>
        <v>0</v>
      </c>
      <c r="L8808" s="91" t="str">
        <f t="shared" si="8"/>
        <v>Sat</v>
      </c>
      <c r="M8808" s="78" t="str">
        <f>IFERROR(VLOOKUP(A8808, Entries!A:B,2,false),"")</f>
        <v>IO Interactive</v>
      </c>
      <c r="N8808" s="23" t="str">
        <f>IFERROR(VLOOKUP(A8808, Entries!A:K,11,false),"")</f>
        <v/>
      </c>
    </row>
    <row r="8809">
      <c r="A8809" s="78" t="s">
        <v>5159</v>
      </c>
      <c r="B8809" s="78" t="s">
        <v>27</v>
      </c>
      <c r="C8809" s="85">
        <v>46158.0</v>
      </c>
      <c r="D8809" s="85">
        <v>46158.0</v>
      </c>
      <c r="E8809" s="86">
        <v>19.69</v>
      </c>
      <c r="F8809" s="87">
        <v>29.15</v>
      </c>
      <c r="G8809" s="88">
        <f t="shared" si="23"/>
        <v>9.46</v>
      </c>
      <c r="H8809" s="89">
        <f t="shared" si="18"/>
        <v>0.3245283019</v>
      </c>
      <c r="I8809" s="78" t="s">
        <v>10021</v>
      </c>
      <c r="J8809" s="78" t="s">
        <v>69</v>
      </c>
      <c r="K8809" s="58">
        <f t="shared" si="27"/>
        <v>0</v>
      </c>
      <c r="L8809" s="91" t="str">
        <f t="shared" si="8"/>
        <v>Sat</v>
      </c>
      <c r="M8809" s="78" t="str">
        <f>IFERROR(VLOOKUP(A8809, Entries!A:B,2,false),"")</f>
        <v>IO Interactive</v>
      </c>
      <c r="N8809" s="23" t="str">
        <f>IFERROR(VLOOKUP(A8809, Entries!A:K,11,false),"")</f>
        <v/>
      </c>
    </row>
    <row r="8810">
      <c r="A8810" s="78" t="s">
        <v>5159</v>
      </c>
      <c r="B8810" s="78" t="s">
        <v>27</v>
      </c>
      <c r="C8810" s="85">
        <v>46158.0</v>
      </c>
      <c r="D8810" s="85">
        <v>46158.0</v>
      </c>
      <c r="E8810" s="86">
        <v>19.69</v>
      </c>
      <c r="F8810" s="87">
        <v>29.15</v>
      </c>
      <c r="G8810" s="88">
        <f t="shared" si="23"/>
        <v>9.46</v>
      </c>
      <c r="H8810" s="89">
        <f t="shared" si="18"/>
        <v>0.3245283019</v>
      </c>
      <c r="I8810" s="78" t="s">
        <v>10022</v>
      </c>
      <c r="J8810" s="78" t="s">
        <v>69</v>
      </c>
      <c r="K8810" s="58">
        <f t="shared" si="27"/>
        <v>0</v>
      </c>
      <c r="L8810" s="91" t="str">
        <f t="shared" si="8"/>
        <v>Sat</v>
      </c>
      <c r="M8810" s="78" t="str">
        <f>IFERROR(VLOOKUP(A8810, Entries!A:B,2,false),"")</f>
        <v>IO Interactive</v>
      </c>
      <c r="N8810" s="23" t="str">
        <f>IFERROR(VLOOKUP(A8810, Entries!A:K,11,false),"")</f>
        <v/>
      </c>
    </row>
    <row r="8811">
      <c r="A8811" s="78" t="s">
        <v>5159</v>
      </c>
      <c r="B8811" s="78" t="s">
        <v>27</v>
      </c>
      <c r="C8811" s="85">
        <v>46158.0</v>
      </c>
      <c r="D8811" s="85">
        <v>46158.0</v>
      </c>
      <c r="E8811" s="86">
        <v>19.69</v>
      </c>
      <c r="F8811" s="87">
        <v>29.15</v>
      </c>
      <c r="G8811" s="88">
        <f t="shared" si="23"/>
        <v>9.46</v>
      </c>
      <c r="H8811" s="89">
        <f t="shared" si="18"/>
        <v>0.3245283019</v>
      </c>
      <c r="I8811" s="78" t="s">
        <v>10023</v>
      </c>
      <c r="J8811" s="78" t="s">
        <v>69</v>
      </c>
      <c r="K8811" s="58">
        <f t="shared" si="27"/>
        <v>0</v>
      </c>
      <c r="L8811" s="91" t="str">
        <f t="shared" si="8"/>
        <v>Sat</v>
      </c>
      <c r="M8811" s="78" t="str">
        <f>IFERROR(VLOOKUP(A8811, Entries!A:B,2,false),"")</f>
        <v>IO Interactive</v>
      </c>
      <c r="N8811" s="23" t="str">
        <f>IFERROR(VLOOKUP(A8811, Entries!A:K,11,false),"")</f>
        <v/>
      </c>
    </row>
    <row r="8812">
      <c r="A8812" s="78" t="s">
        <v>5159</v>
      </c>
      <c r="B8812" s="78" t="s">
        <v>27</v>
      </c>
      <c r="C8812" s="85">
        <v>46158.0</v>
      </c>
      <c r="D8812" s="85">
        <v>46159.0</v>
      </c>
      <c r="E8812" s="86">
        <v>19.69</v>
      </c>
      <c r="F8812" s="87">
        <v>29.15</v>
      </c>
      <c r="G8812" s="88">
        <f t="shared" si="23"/>
        <v>9.46</v>
      </c>
      <c r="H8812" s="89">
        <f t="shared" si="18"/>
        <v>0.3245283019</v>
      </c>
      <c r="I8812" s="78" t="s">
        <v>10024</v>
      </c>
      <c r="J8812" s="78" t="s">
        <v>69</v>
      </c>
      <c r="K8812" s="58">
        <f t="shared" si="27"/>
        <v>1</v>
      </c>
      <c r="L8812" s="91" t="str">
        <f t="shared" si="8"/>
        <v>Sun</v>
      </c>
      <c r="M8812" s="78" t="str">
        <f>IFERROR(VLOOKUP(A8812, Entries!A:B,2,false),"")</f>
        <v>IO Interactive</v>
      </c>
      <c r="N8812" s="23" t="str">
        <f>IFERROR(VLOOKUP(A8812, Entries!A:K,11,false),"")</f>
        <v/>
      </c>
    </row>
    <row r="8813">
      <c r="A8813" s="78" t="s">
        <v>5159</v>
      </c>
      <c r="B8813" s="78" t="s">
        <v>27</v>
      </c>
      <c r="C8813" s="85">
        <v>46159.0</v>
      </c>
      <c r="D8813" s="85">
        <v>46159.0</v>
      </c>
      <c r="E8813" s="86">
        <v>19.69</v>
      </c>
      <c r="F8813" s="87">
        <v>40.7</v>
      </c>
      <c r="G8813" s="88">
        <f t="shared" si="23"/>
        <v>21.01</v>
      </c>
      <c r="H8813" s="89">
        <f t="shared" si="18"/>
        <v>0.5162162162</v>
      </c>
      <c r="I8813" s="78" t="s">
        <v>10025</v>
      </c>
      <c r="J8813" s="78" t="s">
        <v>69</v>
      </c>
      <c r="K8813" s="58">
        <f t="shared" si="27"/>
        <v>0</v>
      </c>
      <c r="L8813" s="91" t="str">
        <f t="shared" si="8"/>
        <v>Sun</v>
      </c>
      <c r="M8813" s="78" t="str">
        <f>IFERROR(VLOOKUP(A8813, Entries!A:B,2,false),"")</f>
        <v>IO Interactive</v>
      </c>
      <c r="N8813" s="23" t="str">
        <f>IFERROR(VLOOKUP(A8813, Entries!A:K,11,false),"")</f>
        <v/>
      </c>
    </row>
    <row r="8814">
      <c r="A8814" s="78" t="s">
        <v>5159</v>
      </c>
      <c r="B8814" s="78" t="s">
        <v>27</v>
      </c>
      <c r="C8814" s="85">
        <v>46159.0</v>
      </c>
      <c r="D8814" s="85">
        <v>46159.0</v>
      </c>
      <c r="E8814" s="86">
        <v>19.69</v>
      </c>
      <c r="F8814" s="87">
        <v>29.37</v>
      </c>
      <c r="G8814" s="88">
        <f t="shared" si="23"/>
        <v>9.68</v>
      </c>
      <c r="H8814" s="89">
        <f t="shared" si="18"/>
        <v>0.329588015</v>
      </c>
      <c r="I8814" s="78" t="s">
        <v>10026</v>
      </c>
      <c r="J8814" s="78" t="s">
        <v>69</v>
      </c>
      <c r="K8814" s="58">
        <f t="shared" si="27"/>
        <v>0</v>
      </c>
      <c r="L8814" s="91" t="str">
        <f t="shared" si="8"/>
        <v>Sun</v>
      </c>
      <c r="M8814" s="78" t="str">
        <f>IFERROR(VLOOKUP(A8814, Entries!A:B,2,false),"")</f>
        <v>IO Interactive</v>
      </c>
      <c r="N8814" s="23" t="str">
        <f>IFERROR(VLOOKUP(A8814, Entries!A:K,11,false),"")</f>
        <v/>
      </c>
    </row>
    <row r="8815">
      <c r="A8815" s="78" t="s">
        <v>5159</v>
      </c>
      <c r="B8815" s="78" t="s">
        <v>27</v>
      </c>
      <c r="C8815" s="85">
        <v>46159.0</v>
      </c>
      <c r="D8815" s="85">
        <v>46159.0</v>
      </c>
      <c r="E8815" s="86">
        <v>19.69</v>
      </c>
      <c r="F8815" s="87">
        <v>29.37</v>
      </c>
      <c r="G8815" s="88">
        <f t="shared" si="23"/>
        <v>9.68</v>
      </c>
      <c r="H8815" s="89">
        <f t="shared" si="18"/>
        <v>0.329588015</v>
      </c>
      <c r="I8815" s="78" t="s">
        <v>10027</v>
      </c>
      <c r="J8815" s="78" t="s">
        <v>69</v>
      </c>
      <c r="K8815" s="58">
        <f t="shared" si="27"/>
        <v>0</v>
      </c>
      <c r="L8815" s="91" t="str">
        <f t="shared" si="8"/>
        <v>Sun</v>
      </c>
      <c r="M8815" s="78" t="str">
        <f>IFERROR(VLOOKUP(A8815, Entries!A:B,2,false),"")</f>
        <v>IO Interactive</v>
      </c>
      <c r="N8815" s="23" t="str">
        <f>IFERROR(VLOOKUP(A8815, Entries!A:K,11,false),"")</f>
        <v/>
      </c>
    </row>
    <row r="8816">
      <c r="A8816" s="78" t="s">
        <v>9018</v>
      </c>
      <c r="B8816" s="78" t="s">
        <v>27</v>
      </c>
      <c r="C8816" s="85">
        <v>46159.0</v>
      </c>
      <c r="D8816" s="85">
        <v>46165.0</v>
      </c>
      <c r="E8816" s="86">
        <v>35.99</v>
      </c>
      <c r="F8816" s="87">
        <v>40.54</v>
      </c>
      <c r="G8816" s="88">
        <f t="shared" si="23"/>
        <v>4.55</v>
      </c>
      <c r="H8816" s="89">
        <f t="shared" si="18"/>
        <v>0.1122348298</v>
      </c>
      <c r="I8816" s="78" t="s">
        <v>10028</v>
      </c>
      <c r="J8816" s="78" t="s">
        <v>69</v>
      </c>
      <c r="K8816" s="58">
        <f t="shared" si="27"/>
        <v>6</v>
      </c>
      <c r="L8816" s="91" t="str">
        <f t="shared" si="8"/>
        <v>Sat</v>
      </c>
      <c r="M8816" s="78" t="str">
        <f>IFERROR(VLOOKUP(A8816, Entries!A:B,2,false),"")</f>
        <v>Game Science</v>
      </c>
      <c r="N8816" s="23" t="str">
        <f>IFERROR(VLOOKUP(A8816, Entries!A:K,11,false),"")</f>
        <v/>
      </c>
    </row>
    <row r="8817">
      <c r="A8817" s="78" t="s">
        <v>9898</v>
      </c>
      <c r="B8817" s="78" t="s">
        <v>29</v>
      </c>
      <c r="C8817" s="85">
        <v>46162.0</v>
      </c>
      <c r="D8817" s="85">
        <v>46168.0</v>
      </c>
      <c r="E8817" s="86">
        <v>30.12</v>
      </c>
      <c r="F8817" s="87">
        <v>35.27</v>
      </c>
      <c r="G8817" s="88">
        <f t="shared" si="23"/>
        <v>5.15</v>
      </c>
      <c r="H8817" s="89">
        <f t="shared" si="18"/>
        <v>0.1460164446</v>
      </c>
      <c r="I8817" s="78" t="s">
        <v>10029</v>
      </c>
      <c r="J8817" s="78" t="s">
        <v>69</v>
      </c>
      <c r="K8817" s="58">
        <f t="shared" si="27"/>
        <v>6</v>
      </c>
      <c r="L8817" s="91" t="str">
        <f t="shared" si="8"/>
        <v>Tue</v>
      </c>
      <c r="M8817" s="78" t="str">
        <f>IFERROR(VLOOKUP(A8817, Entries!A:B,2,false),"")</f>
        <v/>
      </c>
      <c r="N8817" s="23" t="str">
        <f>IFERROR(VLOOKUP(A8817, Entries!A:K,11,false),"")</f>
        <v/>
      </c>
    </row>
    <row r="8818">
      <c r="A8818" s="78" t="s">
        <v>9898</v>
      </c>
      <c r="B8818" s="78" t="s">
        <v>29</v>
      </c>
      <c r="C8818" s="85">
        <v>46162.0</v>
      </c>
      <c r="D8818" s="85">
        <v>46168.0</v>
      </c>
      <c r="E8818" s="86">
        <v>30.12</v>
      </c>
      <c r="F8818" s="87">
        <v>35.27</v>
      </c>
      <c r="G8818" s="88">
        <f t="shared" si="23"/>
        <v>5.15</v>
      </c>
      <c r="H8818" s="89">
        <f t="shared" si="18"/>
        <v>0.1460164446</v>
      </c>
      <c r="I8818" s="78" t="s">
        <v>10030</v>
      </c>
      <c r="J8818" s="78" t="s">
        <v>69</v>
      </c>
      <c r="K8818" s="58">
        <f t="shared" si="27"/>
        <v>6</v>
      </c>
      <c r="L8818" s="91" t="str">
        <f t="shared" si="8"/>
        <v>Tue</v>
      </c>
      <c r="M8818" s="78" t="str">
        <f>IFERROR(VLOOKUP(A8818, Entries!A:B,2,false),"")</f>
        <v/>
      </c>
      <c r="N8818" s="23" t="str">
        <f>IFERROR(VLOOKUP(A8818, Entries!A:K,11,false),"")</f>
        <v/>
      </c>
    </row>
    <row r="8819">
      <c r="A8819" s="78" t="s">
        <v>5159</v>
      </c>
      <c r="B8819" s="78" t="s">
        <v>27</v>
      </c>
      <c r="C8819" s="85">
        <v>46163.0</v>
      </c>
      <c r="D8819" s="85">
        <v>46163.0</v>
      </c>
      <c r="E8819" s="86">
        <v>20.89</v>
      </c>
      <c r="F8819" s="87">
        <v>32.48</v>
      </c>
      <c r="G8819" s="88">
        <f t="shared" si="23"/>
        <v>11.59</v>
      </c>
      <c r="H8819" s="89">
        <f t="shared" si="18"/>
        <v>0.3568349754</v>
      </c>
      <c r="I8819" s="78" t="s">
        <v>10031</v>
      </c>
      <c r="J8819" s="78" t="s">
        <v>69</v>
      </c>
      <c r="K8819" s="58">
        <f t="shared" si="27"/>
        <v>0</v>
      </c>
      <c r="L8819" s="91" t="str">
        <f t="shared" si="8"/>
        <v>Thu</v>
      </c>
      <c r="M8819" s="78" t="str">
        <f>IFERROR(VLOOKUP(A8819, Entries!A:B,2,false),"")</f>
        <v>IO Interactive</v>
      </c>
      <c r="N8819" s="23" t="str">
        <f>IFERROR(VLOOKUP(A8819, Entries!A:K,11,false),"")</f>
        <v/>
      </c>
    </row>
    <row r="8820">
      <c r="A8820" s="78" t="s">
        <v>5159</v>
      </c>
      <c r="B8820" s="78" t="s">
        <v>27</v>
      </c>
      <c r="C8820" s="85">
        <v>46163.0</v>
      </c>
      <c r="D8820" s="85">
        <v>46163.0</v>
      </c>
      <c r="E8820" s="86">
        <v>20.89</v>
      </c>
      <c r="F8820" s="87">
        <v>32.48</v>
      </c>
      <c r="G8820" s="88">
        <f t="shared" si="23"/>
        <v>11.59</v>
      </c>
      <c r="H8820" s="89">
        <f t="shared" si="18"/>
        <v>0.3568349754</v>
      </c>
      <c r="I8820" s="78" t="s">
        <v>10032</v>
      </c>
      <c r="J8820" s="78" t="s">
        <v>69</v>
      </c>
      <c r="K8820" s="58">
        <f t="shared" si="27"/>
        <v>0</v>
      </c>
      <c r="L8820" s="91" t="str">
        <f t="shared" si="8"/>
        <v>Thu</v>
      </c>
      <c r="M8820" s="78" t="str">
        <f>IFERROR(VLOOKUP(A8820, Entries!A:B,2,false),"")</f>
        <v>IO Interactive</v>
      </c>
      <c r="N8820" s="23" t="str">
        <f>IFERROR(VLOOKUP(A8820, Entries!A:K,11,false),"")</f>
        <v/>
      </c>
    </row>
    <row r="8821">
      <c r="A8821" s="78" t="s">
        <v>5159</v>
      </c>
      <c r="B8821" s="78" t="s">
        <v>27</v>
      </c>
      <c r="C8821" s="85">
        <v>46163.0</v>
      </c>
      <c r="D8821" s="85">
        <v>46163.0</v>
      </c>
      <c r="E8821" s="86">
        <v>20.89</v>
      </c>
      <c r="F8821" s="87">
        <v>32.48</v>
      </c>
      <c r="G8821" s="88">
        <f t="shared" si="23"/>
        <v>11.59</v>
      </c>
      <c r="H8821" s="89">
        <f t="shared" si="18"/>
        <v>0.3568349754</v>
      </c>
      <c r="I8821" s="78" t="s">
        <v>10033</v>
      </c>
      <c r="J8821" s="78" t="s">
        <v>69</v>
      </c>
      <c r="K8821" s="58">
        <f t="shared" si="27"/>
        <v>0</v>
      </c>
      <c r="L8821" s="91" t="str">
        <f t="shared" si="8"/>
        <v>Thu</v>
      </c>
      <c r="M8821" s="78" t="str">
        <f>IFERROR(VLOOKUP(A8821, Entries!A:B,2,false),"")</f>
        <v>IO Interactive</v>
      </c>
      <c r="N8821" s="23" t="str">
        <f>IFERROR(VLOOKUP(A8821, Entries!A:K,11,false),"")</f>
        <v/>
      </c>
    </row>
    <row r="8822">
      <c r="A8822" s="78" t="s">
        <v>8696</v>
      </c>
      <c r="B8822" s="78" t="s">
        <v>19</v>
      </c>
      <c r="C8822" s="85">
        <v>46163.0</v>
      </c>
      <c r="D8822" s="25"/>
      <c r="E8822" s="86">
        <v>41.56</v>
      </c>
      <c r="F8822" s="88"/>
      <c r="G8822" s="88">
        <f t="shared" si="23"/>
        <v>-41.56</v>
      </c>
      <c r="H8822" s="89" t="str">
        <f t="shared" si="18"/>
        <v/>
      </c>
      <c r="I8822" s="78" t="s">
        <v>10034</v>
      </c>
      <c r="J8822" s="78" t="s">
        <v>1129</v>
      </c>
      <c r="K8822" s="58" t="str">
        <f t="shared" si="27"/>
        <v/>
      </c>
      <c r="L8822" s="91" t="str">
        <f t="shared" si="8"/>
        <v/>
      </c>
      <c r="M8822" s="78" t="str">
        <f>IFERROR(VLOOKUP(A8822, Entries!A:B,2,false),"")</f>
        <v/>
      </c>
      <c r="N8822" s="23" t="str">
        <f>IFERROR(VLOOKUP(A8822, Entries!A:K,11,false),"")</f>
        <v/>
      </c>
    </row>
    <row r="8823">
      <c r="A8823" s="95" t="s">
        <v>5159</v>
      </c>
      <c r="B8823" s="95" t="s">
        <v>27</v>
      </c>
      <c r="C8823" s="113">
        <v>46163.0</v>
      </c>
      <c r="D8823" s="85">
        <v>46163.0</v>
      </c>
      <c r="E8823" s="86">
        <v>20.89</v>
      </c>
      <c r="F8823" s="87">
        <v>32.48</v>
      </c>
      <c r="G8823" s="88">
        <f t="shared" si="23"/>
        <v>11.59</v>
      </c>
      <c r="H8823" s="89">
        <f t="shared" si="18"/>
        <v>0.3568349754</v>
      </c>
      <c r="I8823" s="78" t="s">
        <v>10035</v>
      </c>
      <c r="J8823" s="78" t="s">
        <v>69</v>
      </c>
      <c r="K8823" s="58">
        <f t="shared" si="27"/>
        <v>0</v>
      </c>
      <c r="L8823" s="91" t="str">
        <f t="shared" si="8"/>
        <v>Thu</v>
      </c>
      <c r="M8823" s="78" t="str">
        <f>IFERROR(VLOOKUP(A8823, Entries!A:B,2,false),"")</f>
        <v>IO Interactive</v>
      </c>
      <c r="N8823" s="23" t="str">
        <f>IFERROR(VLOOKUP(A8823, Entries!A:K,11,false),"")</f>
        <v/>
      </c>
    </row>
    <row r="8824">
      <c r="A8824" s="95" t="s">
        <v>5159</v>
      </c>
      <c r="B8824" s="95" t="s">
        <v>27</v>
      </c>
      <c r="C8824" s="113">
        <v>46163.0</v>
      </c>
      <c r="D8824" s="85">
        <v>46163.0</v>
      </c>
      <c r="E8824" s="86">
        <v>20.89</v>
      </c>
      <c r="F8824" s="87">
        <v>32.48</v>
      </c>
      <c r="G8824" s="88">
        <f t="shared" si="23"/>
        <v>11.59</v>
      </c>
      <c r="H8824" s="89">
        <f t="shared" si="18"/>
        <v>0.3568349754</v>
      </c>
      <c r="I8824" s="78" t="s">
        <v>10036</v>
      </c>
      <c r="J8824" s="78" t="s">
        <v>69</v>
      </c>
      <c r="K8824" s="58">
        <f t="shared" si="27"/>
        <v>0</v>
      </c>
      <c r="L8824" s="91" t="str">
        <f t="shared" si="8"/>
        <v>Thu</v>
      </c>
      <c r="M8824" s="78"/>
      <c r="N8824" s="23" t="str">
        <f>IFERROR(VLOOKUP(A8824, Entries!A:K,11,false),"")</f>
        <v/>
      </c>
    </row>
    <row r="8825">
      <c r="A8825" s="95" t="s">
        <v>5159</v>
      </c>
      <c r="B8825" s="95" t="s">
        <v>27</v>
      </c>
      <c r="C8825" s="113">
        <v>46163.0</v>
      </c>
      <c r="D8825" s="85">
        <v>46164.0</v>
      </c>
      <c r="E8825" s="86">
        <v>20.89</v>
      </c>
      <c r="F8825" s="87">
        <v>32.5</v>
      </c>
      <c r="G8825" s="88">
        <f t="shared" si="23"/>
        <v>11.61</v>
      </c>
      <c r="H8825" s="89">
        <f t="shared" si="18"/>
        <v>0.3572307692</v>
      </c>
      <c r="I8825" s="78" t="s">
        <v>10037</v>
      </c>
      <c r="J8825" s="78" t="s">
        <v>69</v>
      </c>
      <c r="K8825" s="58">
        <f t="shared" si="27"/>
        <v>1</v>
      </c>
      <c r="L8825" s="91" t="str">
        <f t="shared" si="8"/>
        <v>Fri</v>
      </c>
      <c r="M8825" s="78"/>
      <c r="N8825" s="23" t="str">
        <f>IFERROR(VLOOKUP(A8825, Entries!A:K,11,false),"")</f>
        <v/>
      </c>
    </row>
    <row r="8826">
      <c r="A8826" s="95" t="s">
        <v>5159</v>
      </c>
      <c r="B8826" s="95" t="s">
        <v>27</v>
      </c>
      <c r="C8826" s="113">
        <v>46163.0</v>
      </c>
      <c r="D8826" s="85">
        <v>46164.0</v>
      </c>
      <c r="E8826" s="86">
        <v>20.89</v>
      </c>
      <c r="F8826" s="87">
        <v>32.5</v>
      </c>
      <c r="G8826" s="88">
        <f t="shared" si="23"/>
        <v>11.61</v>
      </c>
      <c r="H8826" s="89">
        <f t="shared" si="18"/>
        <v>0.3572307692</v>
      </c>
      <c r="I8826" s="78" t="s">
        <v>10038</v>
      </c>
      <c r="J8826" s="78" t="s">
        <v>69</v>
      </c>
      <c r="K8826" s="58">
        <f t="shared" si="27"/>
        <v>1</v>
      </c>
      <c r="L8826" s="91" t="str">
        <f t="shared" si="8"/>
        <v>Fri</v>
      </c>
      <c r="M8826" s="78"/>
      <c r="N8826" s="23" t="str">
        <f>IFERROR(VLOOKUP(A8826, Entries!A:K,11,false),"")</f>
        <v/>
      </c>
    </row>
    <row r="8827">
      <c r="A8827" s="78" t="s">
        <v>5603</v>
      </c>
      <c r="B8827" s="95" t="s">
        <v>27</v>
      </c>
      <c r="C8827" s="113">
        <v>46163.0</v>
      </c>
      <c r="D8827" s="85">
        <v>46164.0</v>
      </c>
      <c r="E8827" s="86">
        <v>21.99</v>
      </c>
      <c r="F8827" s="87">
        <v>26.76</v>
      </c>
      <c r="G8827" s="88">
        <f t="shared" si="23"/>
        <v>4.77</v>
      </c>
      <c r="H8827" s="89">
        <f t="shared" si="18"/>
        <v>0.1782511211</v>
      </c>
      <c r="I8827" s="78" t="s">
        <v>10039</v>
      </c>
      <c r="J8827" s="78" t="s">
        <v>69</v>
      </c>
      <c r="K8827" s="58">
        <f t="shared" si="27"/>
        <v>1</v>
      </c>
      <c r="L8827" s="91" t="str">
        <f t="shared" si="8"/>
        <v>Fri</v>
      </c>
      <c r="M8827" s="78"/>
      <c r="N8827" s="23" t="str">
        <f>IFERROR(VLOOKUP(A8827, Entries!A:K,11,false),"")</f>
        <v/>
      </c>
    </row>
    <row r="8828">
      <c r="A8828" s="78" t="s">
        <v>10040</v>
      </c>
      <c r="B8828" s="95" t="s">
        <v>27</v>
      </c>
      <c r="C8828" s="113">
        <v>46163.0</v>
      </c>
      <c r="D8828" s="85">
        <v>46173.0</v>
      </c>
      <c r="E8828" s="86">
        <v>23.19</v>
      </c>
      <c r="F8828" s="87">
        <v>29.46</v>
      </c>
      <c r="G8828" s="88">
        <f t="shared" si="23"/>
        <v>6.27</v>
      </c>
      <c r="H8828" s="89">
        <f t="shared" si="18"/>
        <v>0.2128309572</v>
      </c>
      <c r="I8828" s="78" t="s">
        <v>10041</v>
      </c>
      <c r="J8828" s="78" t="s">
        <v>69</v>
      </c>
      <c r="K8828" s="58">
        <f t="shared" si="27"/>
        <v>10</v>
      </c>
      <c r="L8828" s="91" t="str">
        <f t="shared" si="8"/>
        <v>Sun</v>
      </c>
      <c r="M8828" s="78" t="str">
        <f>IFERROR(VLOOKUP(A8828, Entries!A:B,2,false),"")</f>
        <v/>
      </c>
      <c r="N8828" s="23" t="str">
        <f>IFERROR(VLOOKUP(A8828, Entries!A:K,11,false),"")</f>
        <v/>
      </c>
    </row>
    <row r="8829">
      <c r="A8829" s="95" t="s">
        <v>5159</v>
      </c>
      <c r="B8829" s="95" t="s">
        <v>27</v>
      </c>
      <c r="C8829" s="85">
        <v>46164.0</v>
      </c>
      <c r="D8829" s="85">
        <v>46164.0</v>
      </c>
      <c r="E8829" s="86">
        <v>20.89</v>
      </c>
      <c r="F8829" s="87">
        <v>32.5</v>
      </c>
      <c r="G8829" s="88">
        <f t="shared" si="23"/>
        <v>11.61</v>
      </c>
      <c r="H8829" s="89">
        <f t="shared" si="18"/>
        <v>0.3572307692</v>
      </c>
      <c r="I8829" s="78" t="s">
        <v>10042</v>
      </c>
      <c r="J8829" s="78" t="s">
        <v>69</v>
      </c>
      <c r="K8829" s="58">
        <f t="shared" si="27"/>
        <v>0</v>
      </c>
      <c r="L8829" s="91" t="str">
        <f t="shared" si="8"/>
        <v>Fri</v>
      </c>
      <c r="M8829" s="78" t="str">
        <f>IFERROR(VLOOKUP(A8829, Entries!A:B,2,false),"")</f>
        <v>IO Interactive</v>
      </c>
      <c r="N8829" s="23" t="str">
        <f>IFERROR(VLOOKUP(A8829, Entries!A:K,11,false),"")</f>
        <v/>
      </c>
    </row>
    <row r="8830">
      <c r="A8830" s="95" t="s">
        <v>5159</v>
      </c>
      <c r="B8830" s="95" t="s">
        <v>27</v>
      </c>
      <c r="C8830" s="85">
        <v>46164.0</v>
      </c>
      <c r="D8830" s="85">
        <v>46164.0</v>
      </c>
      <c r="E8830" s="86">
        <v>20.89</v>
      </c>
      <c r="F8830" s="87">
        <v>32.5</v>
      </c>
      <c r="G8830" s="88">
        <f t="shared" si="23"/>
        <v>11.61</v>
      </c>
      <c r="H8830" s="89">
        <f t="shared" si="18"/>
        <v>0.3572307692</v>
      </c>
      <c r="I8830" s="78" t="s">
        <v>10043</v>
      </c>
      <c r="J8830" s="78" t="s">
        <v>69</v>
      </c>
      <c r="K8830" s="58">
        <f t="shared" si="27"/>
        <v>0</v>
      </c>
      <c r="L8830" s="91" t="str">
        <f t="shared" si="8"/>
        <v>Fri</v>
      </c>
      <c r="M8830" s="78" t="str">
        <f>IFERROR(VLOOKUP(A8830, Entries!A:B,2,false),"")</f>
        <v>IO Interactive</v>
      </c>
      <c r="N8830" s="23" t="str">
        <f>IFERROR(VLOOKUP(A8830, Entries!A:K,11,false),"")</f>
        <v/>
      </c>
    </row>
    <row r="8831">
      <c r="A8831" s="95" t="s">
        <v>5159</v>
      </c>
      <c r="B8831" s="95" t="s">
        <v>27</v>
      </c>
      <c r="C8831" s="85">
        <v>46164.0</v>
      </c>
      <c r="D8831" s="85">
        <v>46164.0</v>
      </c>
      <c r="E8831" s="86">
        <v>20.89</v>
      </c>
      <c r="F8831" s="87">
        <v>32.51</v>
      </c>
      <c r="G8831" s="88">
        <f t="shared" si="23"/>
        <v>11.62</v>
      </c>
      <c r="H8831" s="89">
        <f t="shared" si="18"/>
        <v>0.3574284835</v>
      </c>
      <c r="I8831" s="78" t="s">
        <v>10044</v>
      </c>
      <c r="J8831" s="78" t="s">
        <v>69</v>
      </c>
      <c r="K8831" s="58">
        <f t="shared" si="27"/>
        <v>0</v>
      </c>
      <c r="L8831" s="91" t="str">
        <f t="shared" si="8"/>
        <v>Fri</v>
      </c>
      <c r="M8831" s="78" t="str">
        <f>IFERROR(VLOOKUP(A8831, Entries!A:B,2,false),"")</f>
        <v>IO Interactive</v>
      </c>
      <c r="N8831" s="23" t="str">
        <f>IFERROR(VLOOKUP(A8831, Entries!A:K,11,false),"")</f>
        <v/>
      </c>
    </row>
    <row r="8832">
      <c r="A8832" s="95" t="s">
        <v>5159</v>
      </c>
      <c r="B8832" s="95" t="s">
        <v>27</v>
      </c>
      <c r="C8832" s="85">
        <v>46164.0</v>
      </c>
      <c r="D8832" s="85">
        <v>46164.0</v>
      </c>
      <c r="E8832" s="86">
        <v>20.89</v>
      </c>
      <c r="F8832" s="87">
        <v>32.51</v>
      </c>
      <c r="G8832" s="88">
        <f t="shared" si="23"/>
        <v>11.62</v>
      </c>
      <c r="H8832" s="89">
        <f t="shared" si="18"/>
        <v>0.3574284835</v>
      </c>
      <c r="I8832" s="78" t="s">
        <v>10045</v>
      </c>
      <c r="J8832" s="78" t="s">
        <v>69</v>
      </c>
      <c r="K8832" s="58">
        <f t="shared" si="27"/>
        <v>0</v>
      </c>
      <c r="L8832" s="91" t="str">
        <f t="shared" si="8"/>
        <v>Fri</v>
      </c>
      <c r="M8832" s="78" t="str">
        <f>IFERROR(VLOOKUP(A8832, Entries!A:B,2,false),"")</f>
        <v>IO Interactive</v>
      </c>
      <c r="N8832" s="23" t="str">
        <f>IFERROR(VLOOKUP(A8832, Entries!A:K,11,false),"")</f>
        <v/>
      </c>
    </row>
    <row r="8833">
      <c r="A8833" s="78" t="s">
        <v>5603</v>
      </c>
      <c r="B8833" s="95" t="s">
        <v>27</v>
      </c>
      <c r="C8833" s="85">
        <v>46164.0</v>
      </c>
      <c r="D8833" s="85">
        <v>46165.0</v>
      </c>
      <c r="E8833" s="86">
        <v>20.89</v>
      </c>
      <c r="F8833" s="87">
        <v>26.53</v>
      </c>
      <c r="G8833" s="88">
        <f t="shared" si="23"/>
        <v>5.64</v>
      </c>
      <c r="H8833" s="89">
        <f t="shared" si="18"/>
        <v>0.2125895213</v>
      </c>
      <c r="I8833" s="78" t="s">
        <v>10046</v>
      </c>
      <c r="J8833" s="78" t="s">
        <v>69</v>
      </c>
      <c r="K8833" s="58">
        <f t="shared" si="27"/>
        <v>1</v>
      </c>
      <c r="L8833" s="91" t="str">
        <f t="shared" si="8"/>
        <v>Sat</v>
      </c>
      <c r="M8833" s="78" t="str">
        <f>IFERROR(VLOOKUP(A8833, Entries!A:B,2,false),"")</f>
        <v>PlayStation</v>
      </c>
      <c r="N8833" s="23" t="str">
        <f>IFERROR(VLOOKUP(A8833, Entries!A:K,11,false),"")</f>
        <v/>
      </c>
    </row>
    <row r="8834">
      <c r="A8834" s="95" t="s">
        <v>5159</v>
      </c>
      <c r="B8834" s="95" t="s">
        <v>27</v>
      </c>
      <c r="C8834" s="85">
        <v>46164.0</v>
      </c>
      <c r="D8834" s="85">
        <v>46164.0</v>
      </c>
      <c r="E8834" s="86">
        <v>24.39</v>
      </c>
      <c r="F8834" s="87">
        <v>32.53</v>
      </c>
      <c r="G8834" s="88">
        <f t="shared" si="23"/>
        <v>8.14</v>
      </c>
      <c r="H8834" s="89">
        <f t="shared" si="18"/>
        <v>0.2502305564</v>
      </c>
      <c r="I8834" s="78" t="s">
        <v>10047</v>
      </c>
      <c r="J8834" s="78" t="s">
        <v>69</v>
      </c>
      <c r="K8834" s="58">
        <f t="shared" si="27"/>
        <v>0</v>
      </c>
      <c r="L8834" s="91" t="str">
        <f t="shared" si="8"/>
        <v>Fri</v>
      </c>
      <c r="M8834" s="78" t="str">
        <f>IFERROR(VLOOKUP(A8834, Entries!A:B,2,false),"")</f>
        <v>IO Interactive</v>
      </c>
      <c r="N8834" s="23" t="str">
        <f>IFERROR(VLOOKUP(A8834, Entries!A:K,11,false),"")</f>
        <v/>
      </c>
    </row>
    <row r="8835">
      <c r="A8835" s="95" t="s">
        <v>5159</v>
      </c>
      <c r="B8835" s="95" t="s">
        <v>27</v>
      </c>
      <c r="C8835" s="85">
        <v>46164.0</v>
      </c>
      <c r="D8835" s="85">
        <v>46164.0</v>
      </c>
      <c r="E8835" s="86">
        <v>24.39</v>
      </c>
      <c r="F8835" s="87">
        <v>32.53</v>
      </c>
      <c r="G8835" s="88">
        <f t="shared" si="23"/>
        <v>8.14</v>
      </c>
      <c r="H8835" s="89">
        <f t="shared" si="18"/>
        <v>0.2502305564</v>
      </c>
      <c r="I8835" s="78" t="s">
        <v>10048</v>
      </c>
      <c r="J8835" s="78" t="s">
        <v>69</v>
      </c>
      <c r="K8835" s="58">
        <f t="shared" si="27"/>
        <v>0</v>
      </c>
      <c r="L8835" s="91" t="str">
        <f t="shared" si="8"/>
        <v>Fri</v>
      </c>
      <c r="M8835" s="78" t="str">
        <f>IFERROR(VLOOKUP(A8835, Entries!A:B,2,false),"")</f>
        <v>IO Interactive</v>
      </c>
      <c r="N8835" s="23" t="str">
        <f>IFERROR(VLOOKUP(A8835, Entries!A:K,11,false),"")</f>
        <v/>
      </c>
    </row>
    <row r="8836">
      <c r="A8836" s="78" t="s">
        <v>9291</v>
      </c>
      <c r="B8836" s="78" t="s">
        <v>29</v>
      </c>
      <c r="C8836" s="85">
        <v>46164.0</v>
      </c>
      <c r="D8836" s="25"/>
      <c r="E8836" s="86">
        <v>6.51</v>
      </c>
      <c r="F8836" s="88"/>
      <c r="G8836" s="88">
        <f t="shared" si="23"/>
        <v>-6.51</v>
      </c>
      <c r="H8836" s="89" t="str">
        <f t="shared" si="18"/>
        <v/>
      </c>
      <c r="I8836" s="78" t="s">
        <v>10049</v>
      </c>
      <c r="J8836" s="78" t="s">
        <v>1129</v>
      </c>
      <c r="K8836" s="58" t="str">
        <f t="shared" si="27"/>
        <v/>
      </c>
      <c r="L8836" s="91" t="str">
        <f t="shared" si="8"/>
        <v/>
      </c>
      <c r="M8836" s="78" t="str">
        <f>IFERROR(VLOOKUP(A8836, Entries!A:B,2,false),"")</f>
        <v/>
      </c>
      <c r="N8836" s="23" t="str">
        <f>IFERROR(VLOOKUP(A8836, Entries!A:K,11,false),"")</f>
        <v/>
      </c>
    </row>
    <row r="8837">
      <c r="A8837" s="78" t="s">
        <v>9291</v>
      </c>
      <c r="B8837" s="78" t="s">
        <v>29</v>
      </c>
      <c r="C8837" s="85">
        <v>46164.0</v>
      </c>
      <c r="D8837" s="25"/>
      <c r="E8837" s="86">
        <v>6.51</v>
      </c>
      <c r="F8837" s="88"/>
      <c r="G8837" s="88">
        <f t="shared" si="23"/>
        <v>-6.51</v>
      </c>
      <c r="H8837" s="89" t="str">
        <f t="shared" si="18"/>
        <v/>
      </c>
      <c r="I8837" s="78" t="s">
        <v>10050</v>
      </c>
      <c r="J8837" s="78" t="s">
        <v>1129</v>
      </c>
      <c r="K8837" s="58" t="str">
        <f t="shared" si="27"/>
        <v/>
      </c>
      <c r="L8837" s="91" t="str">
        <f t="shared" si="8"/>
        <v/>
      </c>
      <c r="M8837" s="78" t="str">
        <f>IFERROR(VLOOKUP(A8837, Entries!A:B,2,false),"")</f>
        <v/>
      </c>
      <c r="N8837" s="23" t="str">
        <f>IFERROR(VLOOKUP(A8837, Entries!A:K,11,false),"")</f>
        <v/>
      </c>
    </row>
    <row r="8838">
      <c r="A8838" s="78" t="s">
        <v>9291</v>
      </c>
      <c r="B8838" s="78" t="s">
        <v>29</v>
      </c>
      <c r="C8838" s="85">
        <v>46164.0</v>
      </c>
      <c r="D8838" s="25"/>
      <c r="E8838" s="86">
        <v>6.51</v>
      </c>
      <c r="F8838" s="88"/>
      <c r="G8838" s="88">
        <f t="shared" si="23"/>
        <v>-6.51</v>
      </c>
      <c r="H8838" s="89" t="str">
        <f t="shared" si="18"/>
        <v/>
      </c>
      <c r="I8838" s="78" t="s">
        <v>10051</v>
      </c>
      <c r="J8838" s="78" t="s">
        <v>1129</v>
      </c>
      <c r="K8838" s="58" t="str">
        <f t="shared" si="27"/>
        <v/>
      </c>
      <c r="L8838" s="91" t="str">
        <f t="shared" si="8"/>
        <v/>
      </c>
      <c r="M8838" s="78" t="str">
        <f>IFERROR(VLOOKUP(A8838, Entries!A:B,2,false),"")</f>
        <v/>
      </c>
      <c r="N8838" s="23" t="str">
        <f>IFERROR(VLOOKUP(A8838, Entries!A:K,11,false),"")</f>
        <v/>
      </c>
    </row>
    <row r="8839">
      <c r="A8839" s="78" t="s">
        <v>9291</v>
      </c>
      <c r="B8839" s="78" t="s">
        <v>29</v>
      </c>
      <c r="C8839" s="85">
        <v>46164.0</v>
      </c>
      <c r="D8839" s="25"/>
      <c r="E8839" s="86">
        <v>6.51</v>
      </c>
      <c r="F8839" s="88"/>
      <c r="G8839" s="88">
        <f t="shared" si="23"/>
        <v>-6.51</v>
      </c>
      <c r="H8839" s="89" t="str">
        <f t="shared" si="18"/>
        <v/>
      </c>
      <c r="I8839" s="78" t="s">
        <v>10052</v>
      </c>
      <c r="J8839" s="78" t="s">
        <v>1129</v>
      </c>
      <c r="K8839" s="58" t="str">
        <f t="shared" si="27"/>
        <v/>
      </c>
      <c r="L8839" s="91" t="str">
        <f t="shared" si="8"/>
        <v/>
      </c>
      <c r="M8839" s="78" t="str">
        <f>IFERROR(VLOOKUP(A8839, Entries!A:B,2,false),"")</f>
        <v/>
      </c>
      <c r="N8839" s="23" t="str">
        <f>IFERROR(VLOOKUP(A8839, Entries!A:K,11,false),"")</f>
        <v/>
      </c>
    </row>
    <row r="8840">
      <c r="A8840" s="78" t="s">
        <v>9291</v>
      </c>
      <c r="B8840" s="78" t="s">
        <v>29</v>
      </c>
      <c r="C8840" s="85">
        <v>46164.0</v>
      </c>
      <c r="D8840" s="25"/>
      <c r="E8840" s="86">
        <v>6.51</v>
      </c>
      <c r="F8840" s="88"/>
      <c r="G8840" s="88">
        <f t="shared" si="23"/>
        <v>-6.51</v>
      </c>
      <c r="H8840" s="89" t="str">
        <f t="shared" si="18"/>
        <v/>
      </c>
      <c r="I8840" s="78" t="s">
        <v>10053</v>
      </c>
      <c r="J8840" s="78" t="s">
        <v>1129</v>
      </c>
      <c r="K8840" s="58" t="str">
        <f t="shared" si="27"/>
        <v/>
      </c>
      <c r="L8840" s="91" t="str">
        <f t="shared" si="8"/>
        <v/>
      </c>
      <c r="M8840" s="78" t="str">
        <f>IFERROR(VLOOKUP(A8840, Entries!A:B,2,false),"")</f>
        <v/>
      </c>
      <c r="N8840" s="23" t="str">
        <f>IFERROR(VLOOKUP(A8840, Entries!A:K,11,false),"")</f>
        <v/>
      </c>
    </row>
    <row r="8841">
      <c r="A8841" s="78" t="s">
        <v>9291</v>
      </c>
      <c r="B8841" s="78" t="s">
        <v>29</v>
      </c>
      <c r="C8841" s="85">
        <v>46164.0</v>
      </c>
      <c r="D8841" s="25"/>
      <c r="E8841" s="86">
        <v>6.51</v>
      </c>
      <c r="F8841" s="88"/>
      <c r="G8841" s="88">
        <f t="shared" si="23"/>
        <v>-6.51</v>
      </c>
      <c r="H8841" s="89" t="str">
        <f t="shared" si="18"/>
        <v/>
      </c>
      <c r="I8841" s="78" t="s">
        <v>10054</v>
      </c>
      <c r="J8841" s="78" t="s">
        <v>1129</v>
      </c>
      <c r="K8841" s="58" t="str">
        <f t="shared" si="27"/>
        <v/>
      </c>
      <c r="L8841" s="91" t="str">
        <f t="shared" si="8"/>
        <v/>
      </c>
      <c r="M8841" s="78" t="str">
        <f>IFERROR(VLOOKUP(A8841, Entries!A:B,2,false),"")</f>
        <v/>
      </c>
      <c r="N8841" s="23" t="str">
        <f>IFERROR(VLOOKUP(A8841, Entries!A:K,11,false),"")</f>
        <v/>
      </c>
    </row>
    <row r="8842">
      <c r="A8842" s="78" t="s">
        <v>9291</v>
      </c>
      <c r="B8842" s="78" t="s">
        <v>29</v>
      </c>
      <c r="C8842" s="85">
        <v>46164.0</v>
      </c>
      <c r="D8842" s="25"/>
      <c r="E8842" s="86">
        <v>6.51</v>
      </c>
      <c r="F8842" s="88"/>
      <c r="G8842" s="88">
        <f t="shared" si="23"/>
        <v>-6.51</v>
      </c>
      <c r="H8842" s="89" t="str">
        <f t="shared" si="18"/>
        <v/>
      </c>
      <c r="I8842" s="78" t="s">
        <v>10055</v>
      </c>
      <c r="J8842" s="78" t="s">
        <v>1129</v>
      </c>
      <c r="K8842" s="58" t="str">
        <f t="shared" si="27"/>
        <v/>
      </c>
      <c r="L8842" s="91" t="str">
        <f t="shared" si="8"/>
        <v/>
      </c>
      <c r="M8842" s="78" t="str">
        <f>IFERROR(VLOOKUP(A8842, Entries!A:B,2,false),"")</f>
        <v/>
      </c>
      <c r="N8842" s="23" t="str">
        <f>IFERROR(VLOOKUP(A8842, Entries!A:K,11,false),"")</f>
        <v/>
      </c>
    </row>
    <row r="8843">
      <c r="A8843" s="78" t="s">
        <v>9291</v>
      </c>
      <c r="B8843" s="78" t="s">
        <v>29</v>
      </c>
      <c r="C8843" s="85">
        <v>46164.0</v>
      </c>
      <c r="D8843" s="25"/>
      <c r="E8843" s="86">
        <v>6.51</v>
      </c>
      <c r="F8843" s="88"/>
      <c r="G8843" s="88">
        <f t="shared" si="23"/>
        <v>-6.51</v>
      </c>
      <c r="H8843" s="89" t="str">
        <f t="shared" si="18"/>
        <v/>
      </c>
      <c r="I8843" s="78" t="s">
        <v>10056</v>
      </c>
      <c r="J8843" s="78" t="s">
        <v>1129</v>
      </c>
      <c r="K8843" s="58" t="str">
        <f t="shared" si="27"/>
        <v/>
      </c>
      <c r="L8843" s="91" t="str">
        <f t="shared" si="8"/>
        <v/>
      </c>
      <c r="M8843" s="78" t="str">
        <f>IFERROR(VLOOKUP(A8843, Entries!A:B,2,false),"")</f>
        <v/>
      </c>
      <c r="N8843" s="23" t="str">
        <f>IFERROR(VLOOKUP(A8843, Entries!A:K,11,false),"")</f>
        <v/>
      </c>
    </row>
    <row r="8844">
      <c r="A8844" s="78" t="s">
        <v>9291</v>
      </c>
      <c r="B8844" s="78" t="s">
        <v>29</v>
      </c>
      <c r="C8844" s="85">
        <v>46164.0</v>
      </c>
      <c r="D8844" s="25"/>
      <c r="E8844" s="86">
        <v>6.51</v>
      </c>
      <c r="F8844" s="88"/>
      <c r="G8844" s="88">
        <f t="shared" si="23"/>
        <v>-6.51</v>
      </c>
      <c r="H8844" s="89" t="str">
        <f t="shared" si="18"/>
        <v/>
      </c>
      <c r="I8844" s="78" t="s">
        <v>10057</v>
      </c>
      <c r="J8844" s="78" t="s">
        <v>1129</v>
      </c>
      <c r="K8844" s="58" t="str">
        <f t="shared" si="27"/>
        <v/>
      </c>
      <c r="L8844" s="91" t="str">
        <f t="shared" si="8"/>
        <v/>
      </c>
      <c r="M8844" s="78" t="str">
        <f>IFERROR(VLOOKUP(A8844, Entries!A:B,2,false),"")</f>
        <v/>
      </c>
      <c r="N8844" s="23" t="str">
        <f>IFERROR(VLOOKUP(A8844, Entries!A:K,11,false),"")</f>
        <v/>
      </c>
    </row>
    <row r="8845">
      <c r="A8845" s="78" t="s">
        <v>9291</v>
      </c>
      <c r="B8845" s="78" t="s">
        <v>29</v>
      </c>
      <c r="C8845" s="85">
        <v>46164.0</v>
      </c>
      <c r="D8845" s="25"/>
      <c r="E8845" s="86">
        <v>6.51</v>
      </c>
      <c r="F8845" s="88"/>
      <c r="G8845" s="88">
        <f t="shared" si="23"/>
        <v>-6.51</v>
      </c>
      <c r="H8845" s="89" t="str">
        <f t="shared" si="18"/>
        <v/>
      </c>
      <c r="I8845" s="78" t="s">
        <v>10058</v>
      </c>
      <c r="J8845" s="78" t="s">
        <v>1129</v>
      </c>
      <c r="K8845" s="58" t="str">
        <f t="shared" si="27"/>
        <v/>
      </c>
      <c r="L8845" s="91" t="str">
        <f t="shared" si="8"/>
        <v/>
      </c>
      <c r="M8845" s="78" t="str">
        <f>IFERROR(VLOOKUP(A8845, Entries!A:B,2,false),"")</f>
        <v/>
      </c>
      <c r="N8845" s="23" t="str">
        <f>IFERROR(VLOOKUP(A8845, Entries!A:K,11,false),"")</f>
        <v/>
      </c>
    </row>
    <row r="8846">
      <c r="A8846" s="78" t="s">
        <v>10059</v>
      </c>
      <c r="B8846" s="78" t="s">
        <v>21</v>
      </c>
      <c r="C8846" s="85">
        <v>46164.0</v>
      </c>
      <c r="D8846" s="25"/>
      <c r="E8846" s="86">
        <v>22.88</v>
      </c>
      <c r="F8846" s="88"/>
      <c r="G8846" s="88">
        <f t="shared" si="23"/>
        <v>-22.88</v>
      </c>
      <c r="H8846" s="89" t="str">
        <f t="shared" si="18"/>
        <v/>
      </c>
      <c r="I8846" s="78" t="s">
        <v>10060</v>
      </c>
      <c r="J8846" s="78" t="s">
        <v>1129</v>
      </c>
      <c r="K8846" s="58" t="str">
        <f t="shared" si="27"/>
        <v/>
      </c>
      <c r="L8846" s="91" t="str">
        <f t="shared" si="8"/>
        <v/>
      </c>
      <c r="M8846" s="78" t="str">
        <f>IFERROR(VLOOKUP(A8846, Entries!A:B,2,false),"")</f>
        <v/>
      </c>
      <c r="N8846" s="23" t="str">
        <f>IFERROR(VLOOKUP(A8846, Entries!A:K,11,false),"")</f>
        <v/>
      </c>
    </row>
    <row r="8847">
      <c r="A8847" s="78" t="s">
        <v>10059</v>
      </c>
      <c r="B8847" s="78" t="s">
        <v>21</v>
      </c>
      <c r="C8847" s="85">
        <v>46164.0</v>
      </c>
      <c r="D8847" s="25"/>
      <c r="E8847" s="86">
        <v>22.88</v>
      </c>
      <c r="F8847" s="88"/>
      <c r="G8847" s="88">
        <f t="shared" si="23"/>
        <v>-22.88</v>
      </c>
      <c r="H8847" s="89" t="str">
        <f t="shared" si="18"/>
        <v/>
      </c>
      <c r="I8847" s="78" t="s">
        <v>10061</v>
      </c>
      <c r="J8847" s="78" t="s">
        <v>1129</v>
      </c>
      <c r="K8847" s="58" t="str">
        <f t="shared" si="27"/>
        <v/>
      </c>
      <c r="L8847" s="91" t="str">
        <f t="shared" si="8"/>
        <v/>
      </c>
      <c r="M8847" s="78" t="str">
        <f>IFERROR(VLOOKUP(A8847, Entries!A:B,2,false),"")</f>
        <v/>
      </c>
      <c r="N8847" s="23" t="str">
        <f>IFERROR(VLOOKUP(A8847, Entries!A:K,11,false),"")</f>
        <v/>
      </c>
    </row>
    <row r="8848">
      <c r="A8848" s="95" t="s">
        <v>5159</v>
      </c>
      <c r="B8848" s="95" t="s">
        <v>27</v>
      </c>
      <c r="C8848" s="85">
        <v>46165.0</v>
      </c>
      <c r="D8848" s="85">
        <v>46166.0</v>
      </c>
      <c r="E8848" s="86">
        <v>24.39</v>
      </c>
      <c r="F8848" s="87">
        <v>33.11</v>
      </c>
      <c r="G8848" s="88">
        <f t="shared" si="23"/>
        <v>8.72</v>
      </c>
      <c r="H8848" s="89">
        <f t="shared" si="18"/>
        <v>0.2633645424</v>
      </c>
      <c r="I8848" s="78" t="s">
        <v>10062</v>
      </c>
      <c r="J8848" s="78" t="s">
        <v>69</v>
      </c>
      <c r="K8848" s="58">
        <f t="shared" si="27"/>
        <v>1</v>
      </c>
      <c r="L8848" s="91" t="str">
        <f t="shared" si="8"/>
        <v>Sun</v>
      </c>
      <c r="M8848" s="78" t="str">
        <f>IFERROR(VLOOKUP(A8848, Entries!A:B,2,false),"")</f>
        <v>IO Interactive</v>
      </c>
    </row>
    <row r="8849">
      <c r="A8849" s="95" t="s">
        <v>5159</v>
      </c>
      <c r="B8849" s="95" t="s">
        <v>27</v>
      </c>
      <c r="C8849" s="85">
        <v>46165.0</v>
      </c>
      <c r="D8849" s="85">
        <v>46166.0</v>
      </c>
      <c r="E8849" s="86">
        <v>24.39</v>
      </c>
      <c r="F8849" s="87">
        <v>33.11</v>
      </c>
      <c r="G8849" s="88">
        <f t="shared" si="23"/>
        <v>8.72</v>
      </c>
      <c r="H8849" s="89">
        <f t="shared" si="18"/>
        <v>0.2633645424</v>
      </c>
      <c r="I8849" s="78" t="s">
        <v>10063</v>
      </c>
      <c r="J8849" s="78" t="s">
        <v>69</v>
      </c>
      <c r="K8849" s="58">
        <f t="shared" si="27"/>
        <v>1</v>
      </c>
      <c r="L8849" s="91" t="str">
        <f t="shared" si="8"/>
        <v>Sun</v>
      </c>
      <c r="M8849" s="78" t="str">
        <f>IFERROR(VLOOKUP(A8849, Entries!A:B,2,false),"")</f>
        <v>IO Interactive</v>
      </c>
    </row>
    <row r="8850">
      <c r="A8850" s="78" t="s">
        <v>5603</v>
      </c>
      <c r="B8850" s="95" t="s">
        <v>27</v>
      </c>
      <c r="C8850" s="85">
        <v>46165.0</v>
      </c>
      <c r="D8850" s="85">
        <v>46165.0</v>
      </c>
      <c r="E8850" s="86">
        <v>20.89</v>
      </c>
      <c r="F8850" s="87">
        <v>26.35</v>
      </c>
      <c r="G8850" s="88">
        <f t="shared" si="23"/>
        <v>5.46</v>
      </c>
      <c r="H8850" s="89">
        <f t="shared" si="18"/>
        <v>0.2072106262</v>
      </c>
      <c r="I8850" s="78" t="s">
        <v>10064</v>
      </c>
      <c r="J8850" s="78" t="s">
        <v>69</v>
      </c>
      <c r="K8850" s="58">
        <f t="shared" si="27"/>
        <v>0</v>
      </c>
      <c r="L8850" s="91" t="str">
        <f t="shared" si="8"/>
        <v>Sat</v>
      </c>
      <c r="M8850" s="78" t="str">
        <f>IFERROR(VLOOKUP(A8850, Entries!A:B,2,false),"")</f>
        <v>PlayStation</v>
      </c>
    </row>
    <row r="8851">
      <c r="A8851" s="78" t="s">
        <v>9018</v>
      </c>
      <c r="B8851" s="78" t="s">
        <v>27</v>
      </c>
      <c r="C8851" s="85">
        <v>46165.0</v>
      </c>
      <c r="D8851" s="85">
        <v>46166.0</v>
      </c>
      <c r="E8851" s="86">
        <v>35.99</v>
      </c>
      <c r="F8851" s="87">
        <v>42.16</v>
      </c>
      <c r="G8851" s="88">
        <f t="shared" si="23"/>
        <v>6.17</v>
      </c>
      <c r="H8851" s="89">
        <f t="shared" si="18"/>
        <v>0.1463472486</v>
      </c>
      <c r="I8851" s="78" t="s">
        <v>10065</v>
      </c>
      <c r="J8851" s="78" t="s">
        <v>69</v>
      </c>
      <c r="K8851" s="58">
        <f t="shared" si="27"/>
        <v>1</v>
      </c>
      <c r="L8851" s="91" t="str">
        <f t="shared" si="8"/>
        <v>Sun</v>
      </c>
      <c r="M8851" s="78" t="str">
        <f>IFERROR(VLOOKUP(A8851, Entries!A:B,2,false),"")</f>
        <v>Game Science</v>
      </c>
    </row>
    <row r="8852">
      <c r="A8852" s="78" t="s">
        <v>5603</v>
      </c>
      <c r="B8852" s="95" t="s">
        <v>27</v>
      </c>
      <c r="C8852" s="85">
        <v>46165.0</v>
      </c>
      <c r="D8852" s="85">
        <v>46167.0</v>
      </c>
      <c r="E8852" s="86">
        <v>20.89</v>
      </c>
      <c r="F8852" s="87">
        <v>26.11</v>
      </c>
      <c r="G8852" s="88">
        <f t="shared" si="23"/>
        <v>5.22</v>
      </c>
      <c r="H8852" s="89">
        <f t="shared" si="18"/>
        <v>0.199923401</v>
      </c>
      <c r="I8852" s="78" t="s">
        <v>10066</v>
      </c>
      <c r="J8852" s="78" t="s">
        <v>69</v>
      </c>
      <c r="K8852" s="58">
        <f t="shared" si="27"/>
        <v>2</v>
      </c>
      <c r="L8852" s="91" t="str">
        <f t="shared" si="8"/>
        <v>Mon</v>
      </c>
      <c r="M8852" s="78" t="str">
        <f>IFERROR(VLOOKUP(A8852, Entries!A:B,2,false),"")</f>
        <v>PlayStation</v>
      </c>
    </row>
    <row r="8853">
      <c r="A8853" s="95" t="s">
        <v>5159</v>
      </c>
      <c r="B8853" s="95" t="s">
        <v>27</v>
      </c>
      <c r="C8853" s="85">
        <v>46166.0</v>
      </c>
      <c r="D8853" s="85">
        <v>46166.0</v>
      </c>
      <c r="E8853" s="86">
        <v>24.39</v>
      </c>
      <c r="F8853" s="87">
        <v>33.11</v>
      </c>
      <c r="G8853" s="88">
        <f t="shared" si="23"/>
        <v>8.72</v>
      </c>
      <c r="H8853" s="89">
        <f t="shared" si="18"/>
        <v>0.2633645424</v>
      </c>
      <c r="I8853" s="78" t="s">
        <v>10067</v>
      </c>
      <c r="J8853" s="78" t="s">
        <v>69</v>
      </c>
      <c r="K8853" s="58">
        <f t="shared" si="27"/>
        <v>0</v>
      </c>
      <c r="L8853" s="91" t="str">
        <f t="shared" si="8"/>
        <v>Sun</v>
      </c>
      <c r="M8853" s="78" t="str">
        <f>IFERROR(VLOOKUP(A8853, Entries!A:B,2,false),"")</f>
        <v>IO Interactive</v>
      </c>
    </row>
    <row r="8854">
      <c r="A8854" s="95" t="s">
        <v>5159</v>
      </c>
      <c r="B8854" s="95" t="s">
        <v>27</v>
      </c>
      <c r="C8854" s="85">
        <v>46166.0</v>
      </c>
      <c r="D8854" s="85">
        <v>46166.0</v>
      </c>
      <c r="E8854" s="86">
        <v>24.39</v>
      </c>
      <c r="F8854" s="87">
        <v>33.11</v>
      </c>
      <c r="G8854" s="88">
        <f t="shared" si="23"/>
        <v>8.72</v>
      </c>
      <c r="H8854" s="89">
        <f t="shared" si="18"/>
        <v>0.2633645424</v>
      </c>
      <c r="I8854" s="78" t="s">
        <v>10068</v>
      </c>
      <c r="J8854" s="78" t="s">
        <v>69</v>
      </c>
      <c r="K8854" s="58">
        <f t="shared" si="27"/>
        <v>0</v>
      </c>
      <c r="L8854" s="91" t="str">
        <f t="shared" si="8"/>
        <v>Sun</v>
      </c>
      <c r="M8854" s="78" t="str">
        <f>IFERROR(VLOOKUP(A8854, Entries!A:B,2,false),"")</f>
        <v>IO Interactive</v>
      </c>
    </row>
    <row r="8855">
      <c r="A8855" s="78" t="s">
        <v>9018</v>
      </c>
      <c r="B8855" s="78" t="s">
        <v>27</v>
      </c>
      <c r="C8855" s="85">
        <v>46166.0</v>
      </c>
      <c r="D8855" s="85">
        <v>46168.0</v>
      </c>
      <c r="E8855" s="86">
        <v>35.99</v>
      </c>
      <c r="F8855" s="87">
        <v>40.41</v>
      </c>
      <c r="G8855" s="88">
        <f t="shared" si="23"/>
        <v>4.42</v>
      </c>
      <c r="H8855" s="89">
        <f t="shared" si="18"/>
        <v>0.1093788666</v>
      </c>
      <c r="I8855" s="78" t="s">
        <v>10069</v>
      </c>
      <c r="J8855" s="78" t="s">
        <v>69</v>
      </c>
      <c r="K8855" s="58">
        <f t="shared" si="27"/>
        <v>2</v>
      </c>
      <c r="L8855" s="91" t="str">
        <f t="shared" si="8"/>
        <v>Tue</v>
      </c>
      <c r="M8855" s="78" t="str">
        <f>IFERROR(VLOOKUP(A8855, Entries!A:B,2,false),"")</f>
        <v>Game Science</v>
      </c>
      <c r="N8855" s="23" t="str">
        <f>IFERROR(VLOOKUP(A8855, Entries!A:K,11,false),"")</f>
        <v/>
      </c>
    </row>
    <row r="8856">
      <c r="A8856" s="78" t="s">
        <v>5159</v>
      </c>
      <c r="B8856" s="78" t="s">
        <v>27</v>
      </c>
      <c r="C8856" s="85">
        <v>46166.0</v>
      </c>
      <c r="D8856" s="85">
        <v>46167.0</v>
      </c>
      <c r="E8856" s="86">
        <v>24.39</v>
      </c>
      <c r="F8856" s="87">
        <v>32.93</v>
      </c>
      <c r="G8856" s="88">
        <f t="shared" si="23"/>
        <v>8.54</v>
      </c>
      <c r="H8856" s="89">
        <f t="shared" si="18"/>
        <v>0.2593379897</v>
      </c>
      <c r="I8856" s="78" t="s">
        <v>10070</v>
      </c>
      <c r="J8856" s="78" t="s">
        <v>69</v>
      </c>
      <c r="K8856" s="58">
        <f t="shared" si="27"/>
        <v>1</v>
      </c>
      <c r="L8856" s="91" t="str">
        <f t="shared" si="8"/>
        <v>Mon</v>
      </c>
      <c r="M8856" s="78" t="str">
        <f>IFERROR(VLOOKUP(A8856, Entries!A:B,2,false),"")</f>
        <v>IO Interactive</v>
      </c>
    </row>
    <row r="8857">
      <c r="A8857" s="78" t="s">
        <v>5159</v>
      </c>
      <c r="B8857" s="78" t="s">
        <v>27</v>
      </c>
      <c r="C8857" s="85">
        <v>46166.0</v>
      </c>
      <c r="D8857" s="85">
        <v>46167.0</v>
      </c>
      <c r="E8857" s="86">
        <v>24.39</v>
      </c>
      <c r="F8857" s="87">
        <v>32.93</v>
      </c>
      <c r="G8857" s="88">
        <f t="shared" si="23"/>
        <v>8.54</v>
      </c>
      <c r="H8857" s="89">
        <f t="shared" si="18"/>
        <v>0.2593379897</v>
      </c>
      <c r="I8857" s="78" t="s">
        <v>10071</v>
      </c>
      <c r="J8857" s="78" t="s">
        <v>69</v>
      </c>
      <c r="K8857" s="58">
        <f t="shared" si="27"/>
        <v>1</v>
      </c>
      <c r="L8857" s="91" t="str">
        <f t="shared" si="8"/>
        <v>Mon</v>
      </c>
      <c r="M8857" s="78" t="str">
        <f>IFERROR(VLOOKUP(A8857, Entries!A:B,2,false),"")</f>
        <v>IO Interactive</v>
      </c>
    </row>
    <row r="8858">
      <c r="A8858" s="78" t="s">
        <v>9365</v>
      </c>
      <c r="B8858" s="78" t="s">
        <v>25</v>
      </c>
      <c r="C8858" s="85">
        <v>46166.0</v>
      </c>
      <c r="D8858" s="85">
        <v>46167.0</v>
      </c>
      <c r="E8858" s="86">
        <v>35.98</v>
      </c>
      <c r="F8858" s="87">
        <v>46.17</v>
      </c>
      <c r="G8858" s="88">
        <f t="shared" si="23"/>
        <v>10.19</v>
      </c>
      <c r="H8858" s="89">
        <f t="shared" si="18"/>
        <v>0.2207060862</v>
      </c>
      <c r="I8858" s="78" t="s">
        <v>10072</v>
      </c>
      <c r="J8858" s="78" t="s">
        <v>69</v>
      </c>
      <c r="K8858" s="58">
        <f t="shared" si="27"/>
        <v>1</v>
      </c>
      <c r="L8858" s="91" t="str">
        <f t="shared" si="8"/>
        <v>Mon</v>
      </c>
      <c r="M8858" s="78" t="str">
        <f>IFERROR(VLOOKUP(A8858, Entries!A:B,2,false),"")</f>
        <v/>
      </c>
    </row>
    <row r="8859">
      <c r="A8859" s="78" t="s">
        <v>9365</v>
      </c>
      <c r="B8859" s="78" t="s">
        <v>25</v>
      </c>
      <c r="C8859" s="85">
        <v>46167.0</v>
      </c>
      <c r="D8859" s="85">
        <v>46168.0</v>
      </c>
      <c r="E8859" s="86">
        <v>35.7</v>
      </c>
      <c r="F8859" s="87">
        <v>45.81</v>
      </c>
      <c r="G8859" s="88">
        <f t="shared" si="23"/>
        <v>10.11</v>
      </c>
      <c r="H8859" s="89">
        <f t="shared" si="18"/>
        <v>0.2206941716</v>
      </c>
      <c r="I8859" s="78" t="s">
        <v>10073</v>
      </c>
      <c r="J8859" s="78" t="s">
        <v>69</v>
      </c>
      <c r="K8859" s="58">
        <f t="shared" si="27"/>
        <v>1</v>
      </c>
      <c r="L8859" s="91" t="str">
        <f t="shared" si="8"/>
        <v>Tue</v>
      </c>
      <c r="M8859" s="78" t="str">
        <f>IFERROR(VLOOKUP(A8859, Entries!A:B,2,false),"")</f>
        <v/>
      </c>
      <c r="N8859" s="23" t="str">
        <f>IFERROR(VLOOKUP(A8859, Entries!A:K,11,false),"")</f>
        <v/>
      </c>
    </row>
    <row r="8860">
      <c r="A8860" s="78" t="s">
        <v>10074</v>
      </c>
      <c r="B8860" s="78" t="s">
        <v>27</v>
      </c>
      <c r="C8860" s="85">
        <v>46167.0</v>
      </c>
      <c r="D8860" s="25"/>
      <c r="E8860" s="86">
        <v>27.79</v>
      </c>
      <c r="F8860" s="88"/>
      <c r="G8860" s="88">
        <f t="shared" si="23"/>
        <v>-27.79</v>
      </c>
      <c r="H8860" s="89" t="str">
        <f t="shared" si="18"/>
        <v/>
      </c>
      <c r="I8860" s="78" t="s">
        <v>10075</v>
      </c>
      <c r="J8860" s="78" t="s">
        <v>1129</v>
      </c>
      <c r="K8860" s="58" t="str">
        <f t="shared" si="27"/>
        <v/>
      </c>
      <c r="L8860" s="91" t="str">
        <f t="shared" si="8"/>
        <v/>
      </c>
      <c r="M8860" s="78" t="str">
        <f>IFERROR(VLOOKUP(A8860, Entries!A:B,2,false),"")</f>
        <v/>
      </c>
      <c r="N8860" s="23" t="str">
        <f>IFERROR(VLOOKUP(A8860, Entries!A:K,11,false),"")</f>
        <v/>
      </c>
    </row>
    <row r="8861">
      <c r="A8861" s="78" t="s">
        <v>5159</v>
      </c>
      <c r="B8861" s="78" t="s">
        <v>27</v>
      </c>
      <c r="C8861" s="85">
        <v>46167.0</v>
      </c>
      <c r="D8861" s="85">
        <v>46168.0</v>
      </c>
      <c r="E8861" s="86">
        <v>26.69</v>
      </c>
      <c r="F8861" s="87">
        <v>33.56</v>
      </c>
      <c r="G8861" s="88">
        <f t="shared" si="23"/>
        <v>6.87</v>
      </c>
      <c r="H8861" s="89">
        <f t="shared" si="18"/>
        <v>0.2047079857</v>
      </c>
      <c r="I8861" s="78" t="s">
        <v>10076</v>
      </c>
      <c r="J8861" s="78" t="s">
        <v>69</v>
      </c>
      <c r="K8861" s="58">
        <f t="shared" si="27"/>
        <v>1</v>
      </c>
      <c r="L8861" s="91" t="str">
        <f t="shared" si="8"/>
        <v>Tue</v>
      </c>
      <c r="M8861" s="78" t="str">
        <f>IFERROR(VLOOKUP(A8861, Entries!A:B,2,false),"")</f>
        <v>IO Interactive</v>
      </c>
      <c r="N8861" s="23" t="str">
        <f>IFERROR(VLOOKUP(A8861, Entries!A:K,11,false),"")</f>
        <v/>
      </c>
    </row>
    <row r="8862">
      <c r="A8862" s="78" t="s">
        <v>5603</v>
      </c>
      <c r="B8862" s="95" t="s">
        <v>27</v>
      </c>
      <c r="C8862" s="85">
        <v>46167.0</v>
      </c>
      <c r="D8862" s="85">
        <v>46168.0</v>
      </c>
      <c r="E8862" s="86">
        <v>20.89</v>
      </c>
      <c r="F8862" s="87">
        <v>26.11</v>
      </c>
      <c r="G8862" s="88">
        <f t="shared" si="23"/>
        <v>5.22</v>
      </c>
      <c r="H8862" s="89">
        <f t="shared" si="18"/>
        <v>0.199923401</v>
      </c>
      <c r="I8862" s="78" t="s">
        <v>10077</v>
      </c>
      <c r="J8862" s="78" t="s">
        <v>69</v>
      </c>
      <c r="K8862" s="58">
        <f t="shared" si="27"/>
        <v>1</v>
      </c>
      <c r="L8862" s="91" t="str">
        <f t="shared" si="8"/>
        <v>Tue</v>
      </c>
      <c r="M8862" s="78" t="str">
        <f>IFERROR(VLOOKUP(A8862, Entries!A:B,2,false),"")</f>
        <v>PlayStation</v>
      </c>
      <c r="N8862" s="23" t="str">
        <f>IFERROR(VLOOKUP(A8862, Entries!A:K,11,false),"")</f>
        <v/>
      </c>
    </row>
    <row r="8863">
      <c r="A8863" s="78" t="s">
        <v>5159</v>
      </c>
      <c r="B8863" s="78" t="s">
        <v>27</v>
      </c>
      <c r="C8863" s="85">
        <v>46168.0</v>
      </c>
      <c r="D8863" s="85">
        <v>46169.0</v>
      </c>
      <c r="E8863" s="86">
        <v>26.69</v>
      </c>
      <c r="F8863" s="87">
        <v>33.5</v>
      </c>
      <c r="G8863" s="88">
        <f t="shared" si="23"/>
        <v>6.81</v>
      </c>
      <c r="H8863" s="89">
        <f t="shared" si="18"/>
        <v>0.2032835821</v>
      </c>
      <c r="I8863" s="78" t="s">
        <v>10078</v>
      </c>
      <c r="J8863" s="78" t="s">
        <v>69</v>
      </c>
      <c r="K8863" s="58">
        <f t="shared" si="27"/>
        <v>1</v>
      </c>
      <c r="L8863" s="91" t="str">
        <f t="shared" si="8"/>
        <v>Wed</v>
      </c>
      <c r="M8863" s="78" t="str">
        <f>IFERROR(VLOOKUP(A8863, Entries!A:B,2,false),"")</f>
        <v>IO Interactive</v>
      </c>
      <c r="N8863" s="23" t="str">
        <f>IFERROR(VLOOKUP(A8863, Entries!A:K,11,false),"")</f>
        <v/>
      </c>
    </row>
    <row r="8864">
      <c r="A8864" s="78" t="s">
        <v>9796</v>
      </c>
      <c r="B8864" s="78" t="s">
        <v>29</v>
      </c>
      <c r="C8864" s="85">
        <v>46169.0</v>
      </c>
      <c r="D8864" s="25"/>
      <c r="E8864" s="86">
        <v>7.49</v>
      </c>
      <c r="F8864" s="88"/>
      <c r="G8864" s="88">
        <f t="shared" si="23"/>
        <v>-7.49</v>
      </c>
      <c r="H8864" s="89" t="str">
        <f t="shared" si="18"/>
        <v/>
      </c>
      <c r="I8864" s="78" t="s">
        <v>10079</v>
      </c>
      <c r="J8864" s="78" t="s">
        <v>1129</v>
      </c>
      <c r="K8864" s="58" t="str">
        <f t="shared" si="27"/>
        <v/>
      </c>
      <c r="L8864" s="91" t="str">
        <f t="shared" si="8"/>
        <v/>
      </c>
      <c r="M8864" s="78" t="str">
        <f>IFERROR(VLOOKUP(A8864, Entries!A:B,2,false),"")</f>
        <v/>
      </c>
      <c r="N8864" s="23" t="str">
        <f>IFERROR(VLOOKUP(A8864, Entries!A:K,11,false),"")</f>
        <v/>
      </c>
    </row>
    <row r="8865">
      <c r="A8865" s="78" t="s">
        <v>9365</v>
      </c>
      <c r="B8865" s="78" t="s">
        <v>25</v>
      </c>
      <c r="C8865" s="85">
        <v>46169.0</v>
      </c>
      <c r="D8865" s="85">
        <v>46172.0</v>
      </c>
      <c r="E8865" s="86">
        <v>35.85</v>
      </c>
      <c r="F8865" s="87">
        <v>45.0</v>
      </c>
      <c r="G8865" s="88">
        <f t="shared" si="23"/>
        <v>9.15</v>
      </c>
      <c r="H8865" s="89">
        <f t="shared" si="18"/>
        <v>0.2033333333</v>
      </c>
      <c r="I8865" s="78" t="s">
        <v>10080</v>
      </c>
      <c r="J8865" s="78" t="s">
        <v>69</v>
      </c>
      <c r="K8865" s="58">
        <f t="shared" si="27"/>
        <v>3</v>
      </c>
      <c r="L8865" s="91" t="str">
        <f t="shared" si="8"/>
        <v>Sat</v>
      </c>
      <c r="M8865" s="78" t="str">
        <f>IFERROR(VLOOKUP(A8865, Entries!A:B,2,false),"")</f>
        <v/>
      </c>
      <c r="N8865" s="23" t="str">
        <f>IFERROR(VLOOKUP(A8865, Entries!A:K,11,false),"")</f>
        <v/>
      </c>
    </row>
    <row r="8866">
      <c r="A8866" s="78" t="s">
        <v>9365</v>
      </c>
      <c r="B8866" s="78" t="s">
        <v>25</v>
      </c>
      <c r="C8866" s="85">
        <v>46169.0</v>
      </c>
      <c r="D8866" s="85">
        <v>46177.0</v>
      </c>
      <c r="E8866" s="86">
        <v>35.86</v>
      </c>
      <c r="F8866" s="87">
        <v>44.6</v>
      </c>
      <c r="G8866" s="88">
        <f t="shared" si="23"/>
        <v>8.74</v>
      </c>
      <c r="H8866" s="89">
        <f t="shared" si="18"/>
        <v>0.1959641256</v>
      </c>
      <c r="I8866" s="78" t="s">
        <v>10081</v>
      </c>
      <c r="J8866" s="78" t="s">
        <v>69</v>
      </c>
      <c r="K8866" s="58">
        <f t="shared" si="27"/>
        <v>8</v>
      </c>
      <c r="L8866" s="91" t="str">
        <f t="shared" si="8"/>
        <v>Thu</v>
      </c>
      <c r="M8866" s="78" t="str">
        <f>IFERROR(VLOOKUP(A8866, Entries!A:B,2,false),"")</f>
        <v/>
      </c>
      <c r="N8866" s="23" t="str">
        <f>IFERROR(VLOOKUP(A8866, Entries!A:K,11,false),"")</f>
        <v/>
      </c>
    </row>
    <row r="8867">
      <c r="A8867" s="78" t="s">
        <v>7798</v>
      </c>
      <c r="B8867" s="78" t="s">
        <v>29</v>
      </c>
      <c r="C8867" s="85">
        <v>46169.0</v>
      </c>
      <c r="D8867" s="25"/>
      <c r="E8867" s="86">
        <v>3.47</v>
      </c>
      <c r="F8867" s="88"/>
      <c r="G8867" s="88">
        <f t="shared" si="23"/>
        <v>-3.47</v>
      </c>
      <c r="H8867" s="89" t="str">
        <f t="shared" si="18"/>
        <v/>
      </c>
      <c r="I8867" s="78" t="s">
        <v>10082</v>
      </c>
      <c r="J8867" s="78" t="s">
        <v>1129</v>
      </c>
      <c r="K8867" s="58" t="str">
        <f t="shared" si="27"/>
        <v/>
      </c>
      <c r="L8867" s="91" t="str">
        <f t="shared" si="8"/>
        <v/>
      </c>
      <c r="M8867" s="78" t="str">
        <f>IFERROR(VLOOKUP(A8867, Entries!A:B,2,false),"")</f>
        <v>Konami</v>
      </c>
      <c r="N8867" s="23" t="str">
        <f>IFERROR(VLOOKUP(A8867, Entries!A:K,11,false),"")</f>
        <v/>
      </c>
    </row>
    <row r="8868">
      <c r="A8868" s="78" t="s">
        <v>9040</v>
      </c>
      <c r="B8868" s="78" t="s">
        <v>17</v>
      </c>
      <c r="C8868" s="85">
        <v>46170.0</v>
      </c>
      <c r="D8868" s="85">
        <v>46171.0</v>
      </c>
      <c r="E8868" s="86">
        <v>6.51</v>
      </c>
      <c r="F8868" s="87">
        <v>10.5</v>
      </c>
      <c r="G8868" s="88">
        <f t="shared" si="23"/>
        <v>3.99</v>
      </c>
      <c r="H8868" s="89">
        <f t="shared" si="18"/>
        <v>0.38</v>
      </c>
      <c r="J8868" s="78" t="s">
        <v>69</v>
      </c>
      <c r="K8868" s="58">
        <f t="shared" si="27"/>
        <v>1</v>
      </c>
      <c r="L8868" s="91" t="str">
        <f t="shared" si="8"/>
        <v>Fri</v>
      </c>
      <c r="M8868" s="78" t="str">
        <f>IFERROR(VLOOKUP(A8868, Entries!A:B,2,false),"")</f>
        <v/>
      </c>
      <c r="N8868" s="23" t="str">
        <f>IFERROR(VLOOKUP(A8868, Entries!A:K,11,false),"")</f>
        <v/>
      </c>
      <c r="P8868" s="78" t="s">
        <v>9879</v>
      </c>
    </row>
    <row r="8869">
      <c r="A8869" s="78" t="s">
        <v>9898</v>
      </c>
      <c r="B8869" s="78" t="s">
        <v>25</v>
      </c>
      <c r="C8869" s="85">
        <v>46170.0</v>
      </c>
      <c r="D8869" s="25"/>
      <c r="E8869" s="86">
        <v>28.46</v>
      </c>
      <c r="F8869" s="88"/>
      <c r="G8869" s="88">
        <f t="shared" si="23"/>
        <v>-28.46</v>
      </c>
      <c r="H8869" s="89" t="str">
        <f t="shared" si="18"/>
        <v/>
      </c>
      <c r="I8869" s="78" t="s">
        <v>10083</v>
      </c>
      <c r="J8869" s="78" t="s">
        <v>1129</v>
      </c>
      <c r="K8869" s="58" t="str">
        <f t="shared" si="27"/>
        <v/>
      </c>
      <c r="L8869" s="91" t="str">
        <f t="shared" si="8"/>
        <v/>
      </c>
      <c r="M8869" s="78" t="str">
        <f>IFERROR(VLOOKUP(A8869, Entries!A:B,2,false),"")</f>
        <v/>
      </c>
      <c r="N8869" s="23" t="str">
        <f>IFERROR(VLOOKUP(A8869, Entries!A:K,11,false),"")</f>
        <v/>
      </c>
    </row>
    <row r="8870">
      <c r="A8870" s="78" t="s">
        <v>9898</v>
      </c>
      <c r="B8870" s="78" t="s">
        <v>25</v>
      </c>
      <c r="C8870" s="85">
        <v>46170.0</v>
      </c>
      <c r="D8870" s="25"/>
      <c r="E8870" s="86">
        <v>28.47</v>
      </c>
      <c r="F8870" s="88"/>
      <c r="G8870" s="88">
        <f t="shared" si="23"/>
        <v>-28.47</v>
      </c>
      <c r="H8870" s="89" t="str">
        <f t="shared" si="18"/>
        <v/>
      </c>
      <c r="I8870" s="78" t="s">
        <v>10084</v>
      </c>
      <c r="J8870" s="78" t="s">
        <v>1129</v>
      </c>
      <c r="K8870" s="58" t="str">
        <f t="shared" si="27"/>
        <v/>
      </c>
      <c r="L8870" s="91" t="str">
        <f t="shared" si="8"/>
        <v/>
      </c>
      <c r="M8870" s="78" t="str">
        <f>IFERROR(VLOOKUP(A8870, Entries!A:B,2,false),"")</f>
        <v/>
      </c>
      <c r="N8870" s="23" t="str">
        <f>IFERROR(VLOOKUP(A8870, Entries!A:K,11,false),"")</f>
        <v/>
      </c>
    </row>
    <row r="8871">
      <c r="A8871" s="78" t="s">
        <v>9040</v>
      </c>
      <c r="B8871" s="78" t="s">
        <v>32</v>
      </c>
      <c r="C8871" s="85">
        <v>46173.0</v>
      </c>
      <c r="D8871" s="85">
        <v>46195.0</v>
      </c>
      <c r="E8871" s="86">
        <v>10.73</v>
      </c>
      <c r="F8871" s="87">
        <v>10.36</v>
      </c>
      <c r="G8871" s="88">
        <f t="shared" si="23"/>
        <v>-0.37</v>
      </c>
      <c r="H8871" s="89">
        <f t="shared" si="18"/>
        <v>-0.03571428571</v>
      </c>
      <c r="I8871" s="78" t="s">
        <v>10085</v>
      </c>
      <c r="J8871" s="78" t="s">
        <v>69</v>
      </c>
      <c r="K8871" s="58">
        <f t="shared" si="27"/>
        <v>22</v>
      </c>
      <c r="L8871" s="91" t="str">
        <f t="shared" si="8"/>
        <v>Mon</v>
      </c>
      <c r="M8871" s="78" t="str">
        <f>IFERROR(VLOOKUP(A8871, Entries!A:B,2,false),"")</f>
        <v/>
      </c>
      <c r="N8871" s="23" t="str">
        <f>IFERROR(VLOOKUP(A8871, Entries!A:K,11,false),"")</f>
        <v/>
      </c>
    </row>
    <row r="8872">
      <c r="A8872" s="78" t="s">
        <v>9040</v>
      </c>
      <c r="B8872" s="78" t="s">
        <v>32</v>
      </c>
      <c r="C8872" s="85">
        <v>46173.0</v>
      </c>
      <c r="D8872" s="85">
        <v>46201.0</v>
      </c>
      <c r="E8872" s="86">
        <v>10.73</v>
      </c>
      <c r="F8872" s="87">
        <v>10.86</v>
      </c>
      <c r="G8872" s="88">
        <f t="shared" si="23"/>
        <v>0.13</v>
      </c>
      <c r="H8872" s="89">
        <f t="shared" si="18"/>
        <v>0.01197053407</v>
      </c>
      <c r="I8872" s="78" t="s">
        <v>10086</v>
      </c>
      <c r="J8872" s="78" t="s">
        <v>69</v>
      </c>
      <c r="K8872" s="58">
        <f t="shared" si="27"/>
        <v>28</v>
      </c>
      <c r="L8872" s="91" t="str">
        <f t="shared" si="8"/>
        <v>Sun</v>
      </c>
      <c r="M8872" s="78" t="str">
        <f>IFERROR(VLOOKUP(A8872, Entries!A:B,2,false),"")</f>
        <v/>
      </c>
      <c r="N8872" s="23" t="str">
        <f>IFERROR(VLOOKUP(A8872, Entries!A:K,11,false),"")</f>
        <v/>
      </c>
    </row>
    <row r="8873">
      <c r="A8873" s="78" t="s">
        <v>9365</v>
      </c>
      <c r="B8873" s="78" t="s">
        <v>25</v>
      </c>
      <c r="C8873" s="85">
        <v>46173.0</v>
      </c>
      <c r="D8873" s="85">
        <v>46176.0</v>
      </c>
      <c r="E8873" s="86">
        <v>35.93</v>
      </c>
      <c r="F8873" s="87">
        <v>44.55</v>
      </c>
      <c r="G8873" s="88">
        <f t="shared" si="23"/>
        <v>8.62</v>
      </c>
      <c r="H8873" s="89">
        <f t="shared" si="18"/>
        <v>0.1934904602</v>
      </c>
      <c r="I8873" s="78" t="s">
        <v>10087</v>
      </c>
      <c r="J8873" s="78" t="s">
        <v>69</v>
      </c>
      <c r="K8873" s="58">
        <f t="shared" si="27"/>
        <v>3</v>
      </c>
      <c r="L8873" s="91" t="str">
        <f t="shared" si="8"/>
        <v>Wed</v>
      </c>
      <c r="M8873" s="78" t="str">
        <f>IFERROR(VLOOKUP(A8873, Entries!A:B,2,false),"")</f>
        <v/>
      </c>
      <c r="N8873" s="23" t="str">
        <f>IFERROR(VLOOKUP(A8873, Entries!A:K,11,false),"")</f>
        <v/>
      </c>
    </row>
    <row r="8874">
      <c r="A8874" s="78" t="s">
        <v>10015</v>
      </c>
      <c r="B8874" s="78" t="s">
        <v>27</v>
      </c>
      <c r="C8874" s="85">
        <v>46173.0</v>
      </c>
      <c r="D8874" s="85">
        <v>46176.0</v>
      </c>
      <c r="E8874" s="86">
        <v>35.99</v>
      </c>
      <c r="F8874" s="87">
        <v>40.2</v>
      </c>
      <c r="G8874" s="88">
        <f t="shared" si="23"/>
        <v>4.21</v>
      </c>
      <c r="H8874" s="89">
        <f t="shared" si="18"/>
        <v>0.1047263682</v>
      </c>
      <c r="I8874" s="78" t="s">
        <v>10088</v>
      </c>
      <c r="J8874" s="78" t="s">
        <v>69</v>
      </c>
      <c r="K8874" s="58">
        <f t="shared" si="27"/>
        <v>3</v>
      </c>
      <c r="L8874" s="91" t="str">
        <f t="shared" si="8"/>
        <v>Wed</v>
      </c>
      <c r="M8874" s="78" t="str">
        <f>IFERROR(VLOOKUP(A8874, Entries!A:B,2,false),"")</f>
        <v/>
      </c>
      <c r="N8874" s="23" t="str">
        <f>IFERROR(VLOOKUP(A8874, Entries!A:K,11,false),"")</f>
        <v/>
      </c>
    </row>
    <row r="8875">
      <c r="A8875" s="78" t="s">
        <v>5603</v>
      </c>
      <c r="B8875" s="78" t="s">
        <v>27</v>
      </c>
      <c r="C8875" s="85">
        <v>46173.0</v>
      </c>
      <c r="D8875" s="85">
        <v>46175.0</v>
      </c>
      <c r="E8875" s="86">
        <v>21.99</v>
      </c>
      <c r="F8875" s="87">
        <v>26.8</v>
      </c>
      <c r="G8875" s="88">
        <f t="shared" si="23"/>
        <v>4.81</v>
      </c>
      <c r="H8875" s="89">
        <f t="shared" si="18"/>
        <v>0.1794776119</v>
      </c>
      <c r="I8875" s="78" t="s">
        <v>10089</v>
      </c>
      <c r="J8875" s="78" t="s">
        <v>69</v>
      </c>
      <c r="K8875" s="58">
        <f t="shared" si="27"/>
        <v>2</v>
      </c>
      <c r="L8875" s="91" t="str">
        <f t="shared" si="8"/>
        <v>Tue</v>
      </c>
      <c r="M8875" s="78" t="str">
        <f>IFERROR(VLOOKUP(A8875, Entries!A:B,2,false),"")</f>
        <v>PlayStation</v>
      </c>
      <c r="N8875" s="23" t="str">
        <f>IFERROR(VLOOKUP(A8875, Entries!A:K,11,false),"")</f>
        <v/>
      </c>
    </row>
    <row r="8876">
      <c r="A8876" s="78" t="s">
        <v>9233</v>
      </c>
      <c r="B8876" s="78" t="s">
        <v>25</v>
      </c>
      <c r="C8876" s="85">
        <v>46174.0</v>
      </c>
      <c r="D8876" s="85">
        <v>46185.0</v>
      </c>
      <c r="E8876" s="86">
        <v>12.88</v>
      </c>
      <c r="F8876" s="87">
        <v>15.86</v>
      </c>
      <c r="G8876" s="88">
        <f t="shared" si="23"/>
        <v>2.98</v>
      </c>
      <c r="H8876" s="89">
        <f t="shared" si="18"/>
        <v>0.1878940731</v>
      </c>
      <c r="I8876" s="78" t="s">
        <v>10090</v>
      </c>
      <c r="J8876" s="78" t="s">
        <v>69</v>
      </c>
      <c r="K8876" s="58">
        <f t="shared" si="27"/>
        <v>11</v>
      </c>
      <c r="L8876" s="91" t="str">
        <f t="shared" si="8"/>
        <v>Fri</v>
      </c>
      <c r="M8876" s="78" t="str">
        <f>IFERROR(VLOOKUP(A8876, Entries!A:B,2,false),"")</f>
        <v>Behaviour Interactive</v>
      </c>
      <c r="N8876" s="23" t="str">
        <f>IFERROR(VLOOKUP(A8876, Entries!A:K,11,false),"")</f>
        <v/>
      </c>
    </row>
    <row r="8877">
      <c r="A8877" s="78" t="s">
        <v>5159</v>
      </c>
      <c r="B8877" s="78" t="s">
        <v>29</v>
      </c>
      <c r="C8877" s="85">
        <v>46175.0</v>
      </c>
      <c r="D8877" s="85">
        <v>46177.0</v>
      </c>
      <c r="E8877" s="86">
        <v>36.99</v>
      </c>
      <c r="F8877" s="87">
        <v>43.41</v>
      </c>
      <c r="G8877" s="88">
        <f t="shared" si="23"/>
        <v>6.42</v>
      </c>
      <c r="H8877" s="89">
        <f t="shared" si="18"/>
        <v>0.1478921907</v>
      </c>
      <c r="I8877" s="78" t="s">
        <v>10091</v>
      </c>
      <c r="J8877" s="78" t="s">
        <v>69</v>
      </c>
      <c r="K8877" s="58">
        <f t="shared" si="27"/>
        <v>2</v>
      </c>
      <c r="L8877" s="91" t="str">
        <f t="shared" si="8"/>
        <v>Thu</v>
      </c>
      <c r="M8877" s="78" t="str">
        <f>IFERROR(VLOOKUP(A8877, Entries!A:B,2,false),"")</f>
        <v>IO Interactive</v>
      </c>
      <c r="N8877" s="23" t="str">
        <f>IFERROR(VLOOKUP(A8877, Entries!A:K,11,false),"")</f>
        <v/>
      </c>
    </row>
    <row r="8878">
      <c r="A8878" s="78" t="s">
        <v>10092</v>
      </c>
      <c r="B8878" s="78" t="s">
        <v>25</v>
      </c>
      <c r="C8878" s="85">
        <v>46175.0</v>
      </c>
      <c r="D8878" s="85">
        <v>46175.0</v>
      </c>
      <c r="E8878" s="86">
        <v>0.0</v>
      </c>
      <c r="F8878" s="87">
        <v>0.91</v>
      </c>
      <c r="G8878" s="88">
        <f t="shared" si="23"/>
        <v>0.91</v>
      </c>
      <c r="H8878" s="89">
        <f t="shared" si="18"/>
        <v>1</v>
      </c>
      <c r="I8878" s="78" t="s">
        <v>10093</v>
      </c>
      <c r="J8878" s="78" t="s">
        <v>69</v>
      </c>
      <c r="K8878" s="58">
        <f t="shared" si="27"/>
        <v>0</v>
      </c>
      <c r="L8878" s="91" t="str">
        <f t="shared" si="8"/>
        <v>Tue</v>
      </c>
      <c r="M8878" s="78" t="str">
        <f>IFERROR(VLOOKUP(A8878, Entries!A:B,2,false),"")</f>
        <v/>
      </c>
      <c r="N8878" s="23" t="str">
        <f>IFERROR(VLOOKUP(A8878, Entries!A:K,11,false),"")</f>
        <v/>
      </c>
    </row>
    <row r="8879">
      <c r="A8879" s="78" t="s">
        <v>9018</v>
      </c>
      <c r="B8879" s="78" t="s">
        <v>27</v>
      </c>
      <c r="C8879" s="85">
        <v>46181.0</v>
      </c>
      <c r="D8879" s="85">
        <v>46183.0</v>
      </c>
      <c r="E8879" s="86">
        <v>35.99</v>
      </c>
      <c r="F8879" s="87">
        <v>39.68</v>
      </c>
      <c r="G8879" s="88">
        <f t="shared" si="23"/>
        <v>3.69</v>
      </c>
      <c r="H8879" s="89">
        <f t="shared" si="18"/>
        <v>0.09299395161</v>
      </c>
      <c r="I8879" s="78" t="s">
        <v>10094</v>
      </c>
      <c r="J8879" s="78" t="s">
        <v>69</v>
      </c>
      <c r="K8879" s="58">
        <f t="shared" si="27"/>
        <v>2</v>
      </c>
      <c r="L8879" s="91" t="str">
        <f t="shared" si="8"/>
        <v>Wed</v>
      </c>
      <c r="M8879" s="78" t="str">
        <f>IFERROR(VLOOKUP(A8879, Entries!A:B,2,false),"")</f>
        <v>Game Science</v>
      </c>
      <c r="N8879" s="23" t="str">
        <f>IFERROR(VLOOKUP(A8879, Entries!A:K,11,false),"")</f>
        <v/>
      </c>
    </row>
    <row r="8880">
      <c r="A8880" s="78" t="s">
        <v>10002</v>
      </c>
      <c r="B8880" s="78" t="s">
        <v>27</v>
      </c>
      <c r="C8880" s="85">
        <v>46181.0</v>
      </c>
      <c r="D8880" s="85">
        <v>46184.0</v>
      </c>
      <c r="E8880" s="86">
        <v>13.89</v>
      </c>
      <c r="F8880" s="87">
        <v>16.94</v>
      </c>
      <c r="G8880" s="88">
        <f t="shared" si="23"/>
        <v>3.05</v>
      </c>
      <c r="H8880" s="89">
        <f t="shared" si="18"/>
        <v>0.1800472255</v>
      </c>
      <c r="I8880" s="78" t="s">
        <v>10095</v>
      </c>
      <c r="J8880" s="78" t="s">
        <v>69</v>
      </c>
      <c r="K8880" s="58">
        <f t="shared" si="27"/>
        <v>3</v>
      </c>
      <c r="L8880" s="91" t="str">
        <f t="shared" si="8"/>
        <v>Thu</v>
      </c>
      <c r="M8880" s="78" t="str">
        <f>IFERROR(VLOOKUP(A8880, Entries!A:B,2,false),"")</f>
        <v/>
      </c>
      <c r="N8880" s="23" t="str">
        <f>IFERROR(VLOOKUP(A8880, Entries!A:K,11,false),"")</f>
        <v/>
      </c>
    </row>
    <row r="8881">
      <c r="A8881" s="78" t="s">
        <v>9365</v>
      </c>
      <c r="B8881" s="78" t="s">
        <v>25</v>
      </c>
      <c r="C8881" s="85">
        <v>46181.0</v>
      </c>
      <c r="D8881" s="25"/>
      <c r="E8881" s="86">
        <v>39.84</v>
      </c>
      <c r="F8881" s="88"/>
      <c r="G8881" s="88">
        <f t="shared" si="23"/>
        <v>-39.84</v>
      </c>
      <c r="H8881" s="89" t="str">
        <f t="shared" si="18"/>
        <v/>
      </c>
      <c r="I8881" s="78" t="s">
        <v>10096</v>
      </c>
      <c r="J8881" s="78" t="s">
        <v>1129</v>
      </c>
      <c r="K8881" s="58" t="str">
        <f t="shared" si="27"/>
        <v/>
      </c>
      <c r="L8881" s="91" t="str">
        <f t="shared" si="8"/>
        <v/>
      </c>
      <c r="M8881" s="78" t="str">
        <f>IFERROR(VLOOKUP(A8881, Entries!A:B,2,false),"")</f>
        <v/>
      </c>
      <c r="N8881" s="23" t="str">
        <f>IFERROR(VLOOKUP(A8881, Entries!A:K,11,false),"")</f>
        <v/>
      </c>
    </row>
    <row r="8882">
      <c r="A8882" s="78" t="s">
        <v>5984</v>
      </c>
      <c r="B8882" s="78" t="s">
        <v>32</v>
      </c>
      <c r="C8882" s="85">
        <v>46182.0</v>
      </c>
      <c r="D8882" s="85">
        <v>46182.0</v>
      </c>
      <c r="E8882" s="86">
        <v>26.59</v>
      </c>
      <c r="F8882" s="87">
        <v>32.12</v>
      </c>
      <c r="G8882" s="88">
        <f t="shared" si="23"/>
        <v>5.53</v>
      </c>
      <c r="H8882" s="89">
        <f t="shared" si="18"/>
        <v>0.1721668742</v>
      </c>
      <c r="I8882" s="78" t="s">
        <v>10097</v>
      </c>
      <c r="J8882" s="78" t="s">
        <v>69</v>
      </c>
      <c r="K8882" s="58">
        <f t="shared" si="27"/>
        <v>0</v>
      </c>
      <c r="L8882" s="91" t="str">
        <f t="shared" si="8"/>
        <v>Tue</v>
      </c>
      <c r="M8882" s="78" t="str">
        <f>IFERROR(VLOOKUP(A8882, Entries!A:B,2,false),"")</f>
        <v>BANDAI NAMCO</v>
      </c>
      <c r="N8882" s="23" t="str">
        <f>IFERROR(VLOOKUP(A8882, Entries!A:K,11,false),"")</f>
        <v/>
      </c>
    </row>
    <row r="8883">
      <c r="A8883" s="78" t="s">
        <v>5984</v>
      </c>
      <c r="B8883" s="78" t="s">
        <v>32</v>
      </c>
      <c r="C8883" s="85">
        <v>46182.0</v>
      </c>
      <c r="D8883" s="85">
        <v>46182.0</v>
      </c>
      <c r="E8883" s="86">
        <v>26.59</v>
      </c>
      <c r="F8883" s="87">
        <v>32.12</v>
      </c>
      <c r="G8883" s="88">
        <f t="shared" si="23"/>
        <v>5.53</v>
      </c>
      <c r="H8883" s="89">
        <f t="shared" si="18"/>
        <v>0.1721668742</v>
      </c>
      <c r="I8883" s="78" t="s">
        <v>10098</v>
      </c>
      <c r="J8883" s="78" t="s">
        <v>69</v>
      </c>
      <c r="K8883" s="58">
        <f t="shared" si="27"/>
        <v>0</v>
      </c>
      <c r="L8883" s="91" t="str">
        <f t="shared" si="8"/>
        <v>Tue</v>
      </c>
      <c r="M8883" s="78" t="str">
        <f>IFERROR(VLOOKUP(A8883, Entries!A:B,2,false),"")</f>
        <v>BANDAI NAMCO</v>
      </c>
      <c r="N8883" s="23" t="str">
        <f>IFERROR(VLOOKUP(A8883, Entries!A:K,11,false),"")</f>
        <v/>
      </c>
    </row>
    <row r="8884">
      <c r="A8884" s="78" t="s">
        <v>10099</v>
      </c>
      <c r="B8884" s="78" t="s">
        <v>18</v>
      </c>
      <c r="C8884" s="85">
        <v>46182.0</v>
      </c>
      <c r="D8884" s="85">
        <v>46182.0</v>
      </c>
      <c r="E8884" s="86">
        <v>36.08</v>
      </c>
      <c r="F8884" s="87">
        <v>38.65</v>
      </c>
      <c r="G8884" s="88">
        <f t="shared" si="23"/>
        <v>2.57</v>
      </c>
      <c r="H8884" s="89">
        <f t="shared" si="18"/>
        <v>0.06649417853</v>
      </c>
      <c r="I8884" s="78" t="s">
        <v>561</v>
      </c>
      <c r="J8884" s="78" t="s">
        <v>69</v>
      </c>
      <c r="K8884" s="58">
        <f t="shared" si="27"/>
        <v>0</v>
      </c>
      <c r="L8884" s="91" t="str">
        <f t="shared" si="8"/>
        <v>Tue</v>
      </c>
      <c r="M8884" s="78" t="str">
        <f>IFERROR(VLOOKUP(A8884, Entries!A:B,2,false),"")</f>
        <v/>
      </c>
      <c r="N8884" s="23" t="str">
        <f>IFERROR(VLOOKUP(A8884, Entries!A:K,11,false),"")</f>
        <v/>
      </c>
    </row>
    <row r="8885">
      <c r="A8885" s="78" t="s">
        <v>10002</v>
      </c>
      <c r="B8885" s="78" t="s">
        <v>27</v>
      </c>
      <c r="C8885" s="85">
        <v>46182.0</v>
      </c>
      <c r="D8885" s="85">
        <v>46185.0</v>
      </c>
      <c r="E8885" s="86">
        <v>13.89</v>
      </c>
      <c r="F8885" s="87">
        <v>16.94</v>
      </c>
      <c r="G8885" s="88">
        <f t="shared" si="23"/>
        <v>3.05</v>
      </c>
      <c r="H8885" s="89">
        <f t="shared" si="18"/>
        <v>0.1800472255</v>
      </c>
      <c r="I8885" s="78" t="s">
        <v>10100</v>
      </c>
      <c r="J8885" s="78" t="s">
        <v>69</v>
      </c>
      <c r="K8885" s="58">
        <f t="shared" si="27"/>
        <v>3</v>
      </c>
      <c r="L8885" s="91" t="str">
        <f t="shared" si="8"/>
        <v>Fri</v>
      </c>
      <c r="M8885" s="78" t="str">
        <f>IFERROR(VLOOKUP(A8885, Entries!A:B,2,false),"")</f>
        <v/>
      </c>
      <c r="N8885" s="23" t="str">
        <f>IFERROR(VLOOKUP(A8885, Entries!A:K,11,false),"")</f>
        <v/>
      </c>
    </row>
    <row r="8886">
      <c r="A8886" s="78" t="s">
        <v>10099</v>
      </c>
      <c r="B8886" s="78" t="s">
        <v>18</v>
      </c>
      <c r="C8886" s="85">
        <v>46182.0</v>
      </c>
      <c r="D8886" s="85">
        <v>46182.0</v>
      </c>
      <c r="E8886" s="86">
        <v>33.97</v>
      </c>
      <c r="F8886" s="87">
        <v>38.65</v>
      </c>
      <c r="G8886" s="88">
        <f t="shared" si="23"/>
        <v>4.68</v>
      </c>
      <c r="H8886" s="89">
        <f t="shared" si="18"/>
        <v>0.1210866753</v>
      </c>
      <c r="I8886" s="78" t="s">
        <v>4864</v>
      </c>
      <c r="J8886" s="78" t="s">
        <v>69</v>
      </c>
      <c r="K8886" s="58">
        <f t="shared" si="27"/>
        <v>0</v>
      </c>
      <c r="L8886" s="91" t="str">
        <f t="shared" si="8"/>
        <v>Tue</v>
      </c>
      <c r="M8886" s="78" t="str">
        <f>IFERROR(VLOOKUP(A8886, Entries!A:B,2,false),"")</f>
        <v/>
      </c>
      <c r="N8886" s="23" t="str">
        <f>IFERROR(VLOOKUP(A8886, Entries!A:K,11,false),"")</f>
        <v/>
      </c>
    </row>
    <row r="8887">
      <c r="A8887" s="78" t="s">
        <v>10099</v>
      </c>
      <c r="B8887" s="78" t="s">
        <v>18</v>
      </c>
      <c r="C8887" s="85">
        <v>46182.0</v>
      </c>
      <c r="D8887" s="85">
        <v>46182.0</v>
      </c>
      <c r="E8887" s="86">
        <v>33.98</v>
      </c>
      <c r="F8887" s="87">
        <v>38.6</v>
      </c>
      <c r="G8887" s="88">
        <f t="shared" si="23"/>
        <v>4.62</v>
      </c>
      <c r="H8887" s="89">
        <f t="shared" si="18"/>
        <v>0.1196891192</v>
      </c>
      <c r="I8887" s="78" t="s">
        <v>4865</v>
      </c>
      <c r="J8887" s="78" t="s">
        <v>69</v>
      </c>
      <c r="K8887" s="58">
        <f t="shared" si="27"/>
        <v>0</v>
      </c>
      <c r="L8887" s="91" t="str">
        <f t="shared" si="8"/>
        <v>Tue</v>
      </c>
      <c r="M8887" s="78" t="str">
        <f>IFERROR(VLOOKUP(A8887, Entries!A:B,2,false),"")</f>
        <v/>
      </c>
      <c r="N8887" s="23" t="str">
        <f>IFERROR(VLOOKUP(A8887, Entries!A:K,11,false),"")</f>
        <v/>
      </c>
    </row>
    <row r="8888">
      <c r="A8888" s="78" t="s">
        <v>5984</v>
      </c>
      <c r="B8888" s="78" t="s">
        <v>32</v>
      </c>
      <c r="C8888" s="85">
        <v>46182.0</v>
      </c>
      <c r="D8888" s="85">
        <v>46182.0</v>
      </c>
      <c r="E8888" s="86">
        <v>26.52</v>
      </c>
      <c r="F8888" s="87">
        <v>32.18</v>
      </c>
      <c r="G8888" s="88">
        <f t="shared" si="23"/>
        <v>5.66</v>
      </c>
      <c r="H8888" s="89">
        <f t="shared" si="18"/>
        <v>0.1758856433</v>
      </c>
      <c r="I8888" s="78" t="s">
        <v>10101</v>
      </c>
      <c r="J8888" s="78" t="s">
        <v>69</v>
      </c>
      <c r="K8888" s="58">
        <f t="shared" si="27"/>
        <v>0</v>
      </c>
      <c r="L8888" s="91" t="str">
        <f t="shared" si="8"/>
        <v>Tue</v>
      </c>
      <c r="M8888" s="78" t="str">
        <f>IFERROR(VLOOKUP(A8888, Entries!A:B,2,false),"")</f>
        <v>BANDAI NAMCO</v>
      </c>
      <c r="N8888" s="23" t="str">
        <f>IFERROR(VLOOKUP(A8888, Entries!A:K,11,false),"")</f>
        <v/>
      </c>
    </row>
    <row r="8889">
      <c r="A8889" s="78" t="s">
        <v>5984</v>
      </c>
      <c r="B8889" s="78" t="s">
        <v>32</v>
      </c>
      <c r="C8889" s="85">
        <v>46182.0</v>
      </c>
      <c r="D8889" s="85">
        <v>46182.0</v>
      </c>
      <c r="E8889" s="86">
        <v>26.52</v>
      </c>
      <c r="F8889" s="87">
        <v>32.18</v>
      </c>
      <c r="G8889" s="88">
        <f t="shared" si="23"/>
        <v>5.66</v>
      </c>
      <c r="H8889" s="89">
        <f t="shared" si="18"/>
        <v>0.1758856433</v>
      </c>
      <c r="I8889" s="78" t="s">
        <v>10102</v>
      </c>
      <c r="J8889" s="78" t="s">
        <v>69</v>
      </c>
      <c r="K8889" s="58">
        <f t="shared" si="27"/>
        <v>0</v>
      </c>
      <c r="L8889" s="91" t="str">
        <f t="shared" si="8"/>
        <v>Tue</v>
      </c>
      <c r="M8889" s="78" t="str">
        <f>IFERROR(VLOOKUP(A8889, Entries!A:B,2,false),"")</f>
        <v>BANDAI NAMCO</v>
      </c>
      <c r="N8889" s="23" t="str">
        <f>IFERROR(VLOOKUP(A8889, Entries!A:K,11,false),"")</f>
        <v/>
      </c>
    </row>
    <row r="8890">
      <c r="A8890" s="78" t="s">
        <v>5984</v>
      </c>
      <c r="B8890" s="78" t="s">
        <v>32</v>
      </c>
      <c r="C8890" s="85">
        <v>46195.0</v>
      </c>
      <c r="D8890" s="85">
        <v>46196.0</v>
      </c>
      <c r="E8890" s="86">
        <v>26.52</v>
      </c>
      <c r="F8890" s="87">
        <v>42.19</v>
      </c>
      <c r="G8890" s="88">
        <f t="shared" si="23"/>
        <v>15.67</v>
      </c>
      <c r="H8890" s="89">
        <f t="shared" si="18"/>
        <v>0.3714150273</v>
      </c>
      <c r="I8890" s="78" t="s">
        <v>10103</v>
      </c>
      <c r="J8890" s="78" t="s">
        <v>69</v>
      </c>
      <c r="K8890" s="58">
        <f t="shared" si="27"/>
        <v>1</v>
      </c>
      <c r="L8890" s="91" t="str">
        <f t="shared" si="8"/>
        <v>Tue</v>
      </c>
      <c r="M8890" s="78" t="str">
        <f>IFERROR(VLOOKUP(A8890, Entries!A:B,2,false),"")</f>
        <v>BANDAI NAMCO</v>
      </c>
      <c r="N8890" s="23" t="str">
        <f>IFERROR(VLOOKUP(A8890, Entries!A:K,11,false),"")</f>
        <v/>
      </c>
    </row>
    <row r="8891">
      <c r="A8891" s="78" t="s">
        <v>10104</v>
      </c>
      <c r="B8891" s="78" t="s">
        <v>27</v>
      </c>
      <c r="C8891" s="85">
        <v>46182.0</v>
      </c>
      <c r="D8891" s="85">
        <v>46182.0</v>
      </c>
      <c r="E8891" s="86">
        <v>31.29</v>
      </c>
      <c r="F8891" s="87">
        <v>36.71</v>
      </c>
      <c r="G8891" s="88">
        <f t="shared" si="23"/>
        <v>5.42</v>
      </c>
      <c r="H8891" s="89">
        <f t="shared" si="18"/>
        <v>0.1476436938</v>
      </c>
      <c r="I8891" s="78" t="s">
        <v>10105</v>
      </c>
      <c r="J8891" s="78" t="s">
        <v>69</v>
      </c>
      <c r="K8891" s="58">
        <f t="shared" si="27"/>
        <v>0</v>
      </c>
      <c r="L8891" s="91" t="str">
        <f t="shared" si="8"/>
        <v>Tue</v>
      </c>
      <c r="M8891" s="78" t="str">
        <f>IFERROR(VLOOKUP(A8891, Entries!A:B,2,false),"")</f>
        <v/>
      </c>
      <c r="N8891" s="23" t="str">
        <f>IFERROR(VLOOKUP(A8891, Entries!A:K,11,false),"")</f>
        <v/>
      </c>
    </row>
    <row r="8892">
      <c r="A8892" s="78" t="s">
        <v>5603</v>
      </c>
      <c r="B8892" s="78" t="s">
        <v>27</v>
      </c>
      <c r="C8892" s="85">
        <v>46182.0</v>
      </c>
      <c r="D8892" s="85">
        <v>46183.0</v>
      </c>
      <c r="E8892" s="86">
        <v>18.59</v>
      </c>
      <c r="F8892" s="87">
        <v>25.31</v>
      </c>
      <c r="G8892" s="88">
        <f t="shared" si="23"/>
        <v>6.72</v>
      </c>
      <c r="H8892" s="89">
        <f t="shared" si="18"/>
        <v>0.2655077045</v>
      </c>
      <c r="I8892" s="78" t="s">
        <v>10106</v>
      </c>
      <c r="J8892" s="78" t="s">
        <v>69</v>
      </c>
      <c r="K8892" s="58">
        <f t="shared" si="27"/>
        <v>1</v>
      </c>
      <c r="L8892" s="91" t="str">
        <f t="shared" si="8"/>
        <v>Wed</v>
      </c>
      <c r="M8892" s="78" t="str">
        <f>IFERROR(VLOOKUP(A8892, Entries!A:B,2,false),"")</f>
        <v>PlayStation</v>
      </c>
      <c r="N8892" s="23" t="str">
        <f>IFERROR(VLOOKUP(A8892, Entries!A:K,11,false),"")</f>
        <v/>
      </c>
    </row>
    <row r="8893">
      <c r="A8893" s="78" t="s">
        <v>10104</v>
      </c>
      <c r="B8893" s="78" t="s">
        <v>27</v>
      </c>
      <c r="C8893" s="85">
        <v>46182.0</v>
      </c>
      <c r="D8893" s="85">
        <v>46189.0</v>
      </c>
      <c r="E8893" s="86">
        <v>31.29</v>
      </c>
      <c r="F8893" s="87">
        <v>33.29</v>
      </c>
      <c r="G8893" s="88">
        <f t="shared" si="23"/>
        <v>2</v>
      </c>
      <c r="H8893" s="89">
        <f t="shared" si="18"/>
        <v>0.06007810153</v>
      </c>
      <c r="I8893" s="78" t="s">
        <v>10107</v>
      </c>
      <c r="J8893" s="78" t="s">
        <v>69</v>
      </c>
      <c r="K8893" s="58">
        <f t="shared" si="27"/>
        <v>7</v>
      </c>
      <c r="L8893" s="91" t="str">
        <f t="shared" si="8"/>
        <v>Tue</v>
      </c>
      <c r="M8893" s="78" t="str">
        <f>IFERROR(VLOOKUP(A8893, Entries!A:B,2,false),"")</f>
        <v/>
      </c>
      <c r="N8893" s="23" t="str">
        <f>IFERROR(VLOOKUP(A8893, Entries!A:K,11,false),"")</f>
        <v/>
      </c>
    </row>
    <row r="8894">
      <c r="A8894" s="78" t="s">
        <v>10099</v>
      </c>
      <c r="B8894" s="78" t="s">
        <v>18</v>
      </c>
      <c r="C8894" s="85">
        <v>46182.0</v>
      </c>
      <c r="D8894" s="85">
        <v>46182.0</v>
      </c>
      <c r="E8894" s="86">
        <v>33.97</v>
      </c>
      <c r="F8894" s="87">
        <v>38.62</v>
      </c>
      <c r="G8894" s="88">
        <f t="shared" si="23"/>
        <v>4.65</v>
      </c>
      <c r="H8894" s="89">
        <f t="shared" si="18"/>
        <v>0.1204039358</v>
      </c>
      <c r="I8894" s="78" t="s">
        <v>4866</v>
      </c>
      <c r="J8894" s="78" t="s">
        <v>69</v>
      </c>
      <c r="K8894" s="58">
        <f t="shared" si="27"/>
        <v>0</v>
      </c>
      <c r="L8894" s="91" t="str">
        <f t="shared" si="8"/>
        <v>Tue</v>
      </c>
      <c r="M8894" s="78" t="str">
        <f>IFERROR(VLOOKUP(A8894, Entries!A:B,2,false),"")</f>
        <v/>
      </c>
      <c r="N8894" s="23" t="str">
        <f>IFERROR(VLOOKUP(A8894, Entries!A:K,11,false),"")</f>
        <v/>
      </c>
    </row>
    <row r="8895">
      <c r="A8895" s="78" t="s">
        <v>10099</v>
      </c>
      <c r="B8895" s="78" t="s">
        <v>18</v>
      </c>
      <c r="C8895" s="85">
        <v>46182.0</v>
      </c>
      <c r="D8895" s="85">
        <v>46183.0</v>
      </c>
      <c r="E8895" s="86">
        <v>33.98</v>
      </c>
      <c r="F8895" s="87">
        <v>38.6</v>
      </c>
      <c r="G8895" s="88">
        <f t="shared" si="23"/>
        <v>4.62</v>
      </c>
      <c r="H8895" s="89">
        <f t="shared" si="18"/>
        <v>0.1196891192</v>
      </c>
      <c r="I8895" s="78" t="s">
        <v>10108</v>
      </c>
      <c r="J8895" s="78" t="s">
        <v>69</v>
      </c>
      <c r="K8895" s="58">
        <f t="shared" si="27"/>
        <v>1</v>
      </c>
      <c r="L8895" s="91" t="str">
        <f t="shared" si="8"/>
        <v>Wed</v>
      </c>
      <c r="M8895" s="78" t="str">
        <f>IFERROR(VLOOKUP(A8895, Entries!A:B,2,false),"")</f>
        <v/>
      </c>
      <c r="N8895" s="23" t="str">
        <f>IFERROR(VLOOKUP(A8895, Entries!A:K,11,false),"")</f>
        <v/>
      </c>
    </row>
    <row r="8896">
      <c r="A8896" s="78" t="s">
        <v>5984</v>
      </c>
      <c r="B8896" s="78" t="s">
        <v>32</v>
      </c>
      <c r="C8896" s="85">
        <v>46182.0</v>
      </c>
      <c r="D8896" s="85">
        <v>46183.0</v>
      </c>
      <c r="E8896" s="86">
        <v>26.52</v>
      </c>
      <c r="F8896" s="87">
        <v>32.2</v>
      </c>
      <c r="G8896" s="88">
        <f t="shared" si="23"/>
        <v>5.68</v>
      </c>
      <c r="H8896" s="89">
        <f t="shared" si="18"/>
        <v>0.1763975155</v>
      </c>
      <c r="I8896" s="78" t="s">
        <v>10109</v>
      </c>
      <c r="J8896" s="78" t="s">
        <v>69</v>
      </c>
      <c r="K8896" s="58">
        <f t="shared" si="27"/>
        <v>1</v>
      </c>
      <c r="L8896" s="91" t="str">
        <f t="shared" si="8"/>
        <v>Wed</v>
      </c>
      <c r="M8896" s="78" t="str">
        <f>IFERROR(VLOOKUP(A8896, Entries!A:B,2,false),"")</f>
        <v>BANDAI NAMCO</v>
      </c>
      <c r="N8896" s="23" t="str">
        <f>IFERROR(VLOOKUP(A8896, Entries!A:K,11,false),"")</f>
        <v/>
      </c>
    </row>
    <row r="8897">
      <c r="A8897" s="78" t="s">
        <v>5984</v>
      </c>
      <c r="B8897" s="78" t="s">
        <v>32</v>
      </c>
      <c r="C8897" s="85">
        <v>46182.0</v>
      </c>
      <c r="D8897" s="85">
        <v>46183.0</v>
      </c>
      <c r="E8897" s="86">
        <v>26.52</v>
      </c>
      <c r="F8897" s="87">
        <v>32.2</v>
      </c>
      <c r="G8897" s="88">
        <f t="shared" si="23"/>
        <v>5.68</v>
      </c>
      <c r="H8897" s="89">
        <f t="shared" si="18"/>
        <v>0.1763975155</v>
      </c>
      <c r="I8897" s="78" t="s">
        <v>10110</v>
      </c>
      <c r="J8897" s="78" t="s">
        <v>69</v>
      </c>
      <c r="K8897" s="58">
        <f t="shared" si="27"/>
        <v>1</v>
      </c>
      <c r="L8897" s="91" t="str">
        <f t="shared" si="8"/>
        <v>Wed</v>
      </c>
      <c r="M8897" s="78" t="str">
        <f>IFERROR(VLOOKUP(A8897, Entries!A:B,2,false),"")</f>
        <v>BANDAI NAMCO</v>
      </c>
      <c r="N8897" s="23" t="str">
        <f>IFERROR(VLOOKUP(A8897, Entries!A:K,11,false),"")</f>
        <v/>
      </c>
    </row>
    <row r="8898">
      <c r="A8898" s="78" t="s">
        <v>5984</v>
      </c>
      <c r="B8898" s="78" t="s">
        <v>32</v>
      </c>
      <c r="C8898" s="85">
        <v>46182.0</v>
      </c>
      <c r="D8898" s="85">
        <v>46183.0</v>
      </c>
      <c r="E8898" s="86">
        <v>26.52</v>
      </c>
      <c r="F8898" s="87">
        <v>32.2</v>
      </c>
      <c r="G8898" s="88">
        <f t="shared" si="23"/>
        <v>5.68</v>
      </c>
      <c r="H8898" s="89">
        <f t="shared" si="18"/>
        <v>0.1763975155</v>
      </c>
      <c r="I8898" s="78" t="s">
        <v>10111</v>
      </c>
      <c r="J8898" s="78" t="s">
        <v>69</v>
      </c>
      <c r="K8898" s="58">
        <f t="shared" si="27"/>
        <v>1</v>
      </c>
      <c r="L8898" s="91" t="str">
        <f t="shared" si="8"/>
        <v>Wed</v>
      </c>
      <c r="M8898" s="78" t="str">
        <f>IFERROR(VLOOKUP(A8898, Entries!A:B,2,false),"")</f>
        <v>BANDAI NAMCO</v>
      </c>
      <c r="N8898" s="23" t="str">
        <f>IFERROR(VLOOKUP(A8898, Entries!A:K,11,false),"")</f>
        <v/>
      </c>
    </row>
    <row r="8899">
      <c r="A8899" s="78" t="s">
        <v>9632</v>
      </c>
      <c r="B8899" s="78" t="s">
        <v>21</v>
      </c>
      <c r="C8899" s="85">
        <v>46183.0</v>
      </c>
      <c r="D8899" s="85">
        <v>46189.0</v>
      </c>
      <c r="E8899" s="86">
        <v>26.55</v>
      </c>
      <c r="F8899" s="87">
        <v>31.77</v>
      </c>
      <c r="G8899" s="88">
        <f t="shared" si="23"/>
        <v>5.22</v>
      </c>
      <c r="H8899" s="89">
        <f t="shared" si="18"/>
        <v>0.164305949</v>
      </c>
      <c r="I8899" s="78" t="s">
        <v>10112</v>
      </c>
      <c r="J8899" s="78" t="s">
        <v>69</v>
      </c>
      <c r="K8899" s="58">
        <f t="shared" si="27"/>
        <v>6</v>
      </c>
      <c r="L8899" s="91" t="str">
        <f t="shared" si="8"/>
        <v>Tue</v>
      </c>
      <c r="M8899" s="78" t="str">
        <f>IFERROR(VLOOKUP(A8899, Entries!A:B,2,false),"")</f>
        <v/>
      </c>
      <c r="N8899" s="23" t="str">
        <f>IFERROR(VLOOKUP(A8899, Entries!A:K,11,false),"")</f>
        <v/>
      </c>
    </row>
    <row r="8900">
      <c r="A8900" s="78" t="s">
        <v>9836</v>
      </c>
      <c r="B8900" s="78" t="s">
        <v>29</v>
      </c>
      <c r="C8900" s="85">
        <v>46183.0</v>
      </c>
      <c r="D8900" s="85">
        <v>46194.0</v>
      </c>
      <c r="E8900" s="86">
        <v>6.98</v>
      </c>
      <c r="F8900" s="87">
        <v>10.14</v>
      </c>
      <c r="G8900" s="88">
        <f t="shared" si="23"/>
        <v>3.16</v>
      </c>
      <c r="H8900" s="89">
        <f t="shared" si="18"/>
        <v>0.3116370809</v>
      </c>
      <c r="I8900" s="78" t="s">
        <v>10113</v>
      </c>
      <c r="J8900" s="78" t="s">
        <v>69</v>
      </c>
      <c r="K8900" s="58">
        <f t="shared" si="27"/>
        <v>11</v>
      </c>
      <c r="L8900" s="91" t="str">
        <f t="shared" si="8"/>
        <v>Sun</v>
      </c>
      <c r="M8900" s="78" t="str">
        <f>IFERROR(VLOOKUP(A8900, Entries!A:B,2,false),"")</f>
        <v/>
      </c>
      <c r="N8900" s="23" t="str">
        <f>IFERROR(VLOOKUP(A8900, Entries!A:K,11,false),"")</f>
        <v/>
      </c>
    </row>
    <row r="8901">
      <c r="A8901" s="78" t="s">
        <v>10114</v>
      </c>
      <c r="B8901" s="78" t="s">
        <v>17</v>
      </c>
      <c r="C8901" s="85">
        <v>46183.0</v>
      </c>
      <c r="D8901" s="85">
        <v>46183.0</v>
      </c>
      <c r="E8901" s="86">
        <v>23.42</v>
      </c>
      <c r="F8901" s="87">
        <v>29.05</v>
      </c>
      <c r="G8901" s="88">
        <f t="shared" si="23"/>
        <v>5.63</v>
      </c>
      <c r="H8901" s="89">
        <f t="shared" si="18"/>
        <v>0.1938037866</v>
      </c>
      <c r="I8901" s="78" t="s">
        <v>10115</v>
      </c>
      <c r="J8901" s="78" t="s">
        <v>69</v>
      </c>
      <c r="K8901" s="58">
        <f t="shared" si="27"/>
        <v>0</v>
      </c>
      <c r="L8901" s="91" t="str">
        <f t="shared" si="8"/>
        <v>Wed</v>
      </c>
      <c r="M8901" s="78" t="str">
        <f>IFERROR(VLOOKUP(A8901, Entries!A:B,2,false),"")</f>
        <v/>
      </c>
      <c r="N8901" s="23" t="str">
        <f>IFERROR(VLOOKUP(A8901, Entries!A:K,11,false),"")</f>
        <v/>
      </c>
      <c r="P8901" s="78" t="s">
        <v>10116</v>
      </c>
    </row>
    <row r="8902">
      <c r="A8902" s="78" t="s">
        <v>5603</v>
      </c>
      <c r="B8902" s="78" t="s">
        <v>27</v>
      </c>
      <c r="C8902" s="85">
        <v>46183.0</v>
      </c>
      <c r="D8902" s="85">
        <v>46183.0</v>
      </c>
      <c r="E8902" s="86">
        <v>18.59</v>
      </c>
      <c r="F8902" s="87">
        <v>25.31</v>
      </c>
      <c r="G8902" s="88">
        <f t="shared" si="23"/>
        <v>6.72</v>
      </c>
      <c r="H8902" s="89">
        <f t="shared" si="18"/>
        <v>0.2655077045</v>
      </c>
      <c r="I8902" s="78" t="s">
        <v>10117</v>
      </c>
      <c r="J8902" s="78" t="s">
        <v>69</v>
      </c>
      <c r="K8902" s="58">
        <f t="shared" si="27"/>
        <v>0</v>
      </c>
      <c r="L8902" s="91" t="str">
        <f t="shared" si="8"/>
        <v>Wed</v>
      </c>
      <c r="M8902" s="78" t="str">
        <f>IFERROR(VLOOKUP(A8902, Entries!A:B,2,false),"")</f>
        <v>PlayStation</v>
      </c>
      <c r="N8902" s="23" t="str">
        <f>IFERROR(VLOOKUP(A8902, Entries!A:K,11,false),"")</f>
        <v/>
      </c>
    </row>
    <row r="8903">
      <c r="A8903" s="78" t="s">
        <v>5603</v>
      </c>
      <c r="B8903" s="78" t="s">
        <v>27</v>
      </c>
      <c r="C8903" s="85">
        <v>46183.0</v>
      </c>
      <c r="D8903" s="85">
        <v>46193.0</v>
      </c>
      <c r="E8903" s="86">
        <v>18.59</v>
      </c>
      <c r="F8903" s="87">
        <v>20.86</v>
      </c>
      <c r="G8903" s="88">
        <f t="shared" si="23"/>
        <v>2.27</v>
      </c>
      <c r="H8903" s="89">
        <f t="shared" si="18"/>
        <v>0.1088207095</v>
      </c>
      <c r="I8903" s="78" t="s">
        <v>10118</v>
      </c>
      <c r="J8903" s="78" t="s">
        <v>69</v>
      </c>
      <c r="K8903" s="58">
        <f t="shared" si="27"/>
        <v>10</v>
      </c>
      <c r="L8903" s="91" t="str">
        <f t="shared" si="8"/>
        <v>Sat</v>
      </c>
      <c r="M8903" s="78" t="str">
        <f>IFERROR(VLOOKUP(A8903, Entries!A:B,2,false),"")</f>
        <v>PlayStation</v>
      </c>
      <c r="N8903" s="23" t="str">
        <f>IFERROR(VLOOKUP(A8903, Entries!A:K,11,false),"")</f>
        <v/>
      </c>
    </row>
    <row r="8904">
      <c r="A8904" s="78" t="s">
        <v>5984</v>
      </c>
      <c r="B8904" s="78" t="s">
        <v>32</v>
      </c>
      <c r="C8904" s="85">
        <v>46183.0</v>
      </c>
      <c r="D8904" s="85">
        <v>46183.0</v>
      </c>
      <c r="E8904" s="86">
        <v>26.52</v>
      </c>
      <c r="F8904" s="87">
        <v>31.31</v>
      </c>
      <c r="G8904" s="88">
        <f t="shared" si="23"/>
        <v>4.79</v>
      </c>
      <c r="H8904" s="89">
        <f t="shared" si="18"/>
        <v>0.1529862664</v>
      </c>
      <c r="I8904" s="78" t="s">
        <v>10119</v>
      </c>
      <c r="J8904" s="78" t="s">
        <v>69</v>
      </c>
      <c r="K8904" s="58">
        <f t="shared" si="27"/>
        <v>0</v>
      </c>
      <c r="L8904" s="91" t="str">
        <f t="shared" si="8"/>
        <v>Wed</v>
      </c>
      <c r="M8904" s="78" t="str">
        <f>IFERROR(VLOOKUP(A8904, Entries!A:B,2,false),"")</f>
        <v>BANDAI NAMCO</v>
      </c>
      <c r="N8904" s="23" t="str">
        <f>IFERROR(VLOOKUP(A8904, Entries!A:K,11,false),"")</f>
        <v/>
      </c>
    </row>
    <row r="8905">
      <c r="A8905" s="78" t="s">
        <v>5984</v>
      </c>
      <c r="B8905" s="78" t="s">
        <v>32</v>
      </c>
      <c r="C8905" s="85">
        <v>46183.0</v>
      </c>
      <c r="D8905" s="85">
        <v>46183.0</v>
      </c>
      <c r="E8905" s="86">
        <v>26.52</v>
      </c>
      <c r="F8905" s="87">
        <v>31.31</v>
      </c>
      <c r="G8905" s="88">
        <f t="shared" si="23"/>
        <v>4.79</v>
      </c>
      <c r="H8905" s="89">
        <f t="shared" si="18"/>
        <v>0.1529862664</v>
      </c>
      <c r="I8905" s="78" t="s">
        <v>10120</v>
      </c>
      <c r="J8905" s="78" t="s">
        <v>69</v>
      </c>
      <c r="K8905" s="58">
        <f t="shared" si="27"/>
        <v>0</v>
      </c>
      <c r="L8905" s="91" t="str">
        <f t="shared" si="8"/>
        <v>Wed</v>
      </c>
      <c r="M8905" s="78" t="str">
        <f>IFERROR(VLOOKUP(A8905, Entries!A:B,2,false),"")</f>
        <v>BANDAI NAMCO</v>
      </c>
      <c r="N8905" s="23" t="str">
        <f>IFERROR(VLOOKUP(A8905, Entries!A:K,11,false),"")</f>
        <v/>
      </c>
    </row>
    <row r="8906">
      <c r="A8906" s="78" t="s">
        <v>5984</v>
      </c>
      <c r="B8906" s="78" t="s">
        <v>32</v>
      </c>
      <c r="C8906" s="85">
        <v>46183.0</v>
      </c>
      <c r="D8906" s="85">
        <v>46183.0</v>
      </c>
      <c r="E8906" s="86">
        <v>26.52</v>
      </c>
      <c r="F8906" s="87">
        <v>31.31</v>
      </c>
      <c r="G8906" s="88">
        <f t="shared" si="23"/>
        <v>4.79</v>
      </c>
      <c r="H8906" s="89">
        <f t="shared" si="18"/>
        <v>0.1529862664</v>
      </c>
      <c r="I8906" s="78" t="s">
        <v>10121</v>
      </c>
      <c r="J8906" s="78" t="s">
        <v>69</v>
      </c>
      <c r="K8906" s="58">
        <f t="shared" si="27"/>
        <v>0</v>
      </c>
      <c r="L8906" s="91" t="str">
        <f t="shared" si="8"/>
        <v>Wed</v>
      </c>
      <c r="M8906" s="78" t="str">
        <f>IFERROR(VLOOKUP(A8906, Entries!A:B,2,false),"")</f>
        <v>BANDAI NAMCO</v>
      </c>
      <c r="N8906" s="23" t="str">
        <f>IFERROR(VLOOKUP(A8906, Entries!A:K,11,false),"")</f>
        <v/>
      </c>
    </row>
    <row r="8907">
      <c r="A8907" s="78" t="s">
        <v>10002</v>
      </c>
      <c r="B8907" s="78" t="s">
        <v>29</v>
      </c>
      <c r="C8907" s="85">
        <v>46183.0</v>
      </c>
      <c r="D8907" s="85">
        <v>46185.0</v>
      </c>
      <c r="E8907" s="86">
        <v>12.99</v>
      </c>
      <c r="F8907" s="87">
        <v>16.94</v>
      </c>
      <c r="G8907" s="88">
        <f t="shared" si="23"/>
        <v>3.95</v>
      </c>
      <c r="H8907" s="89">
        <f t="shared" si="18"/>
        <v>0.233175915</v>
      </c>
      <c r="I8907" s="78" t="s">
        <v>10122</v>
      </c>
      <c r="J8907" s="78" t="s">
        <v>69</v>
      </c>
      <c r="K8907" s="58">
        <f t="shared" si="27"/>
        <v>2</v>
      </c>
      <c r="L8907" s="91" t="str">
        <f t="shared" si="8"/>
        <v>Fri</v>
      </c>
      <c r="M8907" s="78" t="str">
        <f>IFERROR(VLOOKUP(A8907, Entries!A:B,2,false),"")</f>
        <v/>
      </c>
      <c r="N8907" s="23" t="str">
        <f>IFERROR(VLOOKUP(A8907, Entries!A:K,11,false),"")</f>
        <v/>
      </c>
    </row>
    <row r="8908">
      <c r="A8908" s="78" t="s">
        <v>9836</v>
      </c>
      <c r="B8908" s="78" t="s">
        <v>29</v>
      </c>
      <c r="C8908" s="85">
        <v>46183.0</v>
      </c>
      <c r="D8908" s="85">
        <v>46196.0</v>
      </c>
      <c r="E8908" s="86">
        <v>6.98</v>
      </c>
      <c r="F8908" s="87">
        <v>10.14</v>
      </c>
      <c r="G8908" s="88">
        <f t="shared" si="23"/>
        <v>3.16</v>
      </c>
      <c r="H8908" s="89">
        <f t="shared" si="18"/>
        <v>0.3116370809</v>
      </c>
      <c r="I8908" s="78" t="s">
        <v>10123</v>
      </c>
      <c r="J8908" s="78" t="s">
        <v>69</v>
      </c>
      <c r="K8908" s="58">
        <f t="shared" si="27"/>
        <v>13</v>
      </c>
      <c r="L8908" s="91" t="str">
        <f t="shared" si="8"/>
        <v>Tue</v>
      </c>
      <c r="M8908" s="78" t="str">
        <f>IFERROR(VLOOKUP(A8908, Entries!A:B,2,false),"")</f>
        <v/>
      </c>
      <c r="N8908" s="23" t="str">
        <f>IFERROR(VLOOKUP(A8908, Entries!A:K,11,false),"")</f>
        <v/>
      </c>
    </row>
    <row r="8909">
      <c r="A8909" s="78" t="s">
        <v>7709</v>
      </c>
      <c r="B8909" s="78" t="s">
        <v>21</v>
      </c>
      <c r="C8909" s="85">
        <v>46183.0</v>
      </c>
      <c r="D8909" s="85">
        <v>46186.0</v>
      </c>
      <c r="E8909" s="86">
        <v>12.89</v>
      </c>
      <c r="F8909" s="87">
        <v>15.36</v>
      </c>
      <c r="G8909" s="88">
        <f t="shared" si="23"/>
        <v>2.47</v>
      </c>
      <c r="H8909" s="89">
        <f t="shared" si="18"/>
        <v>0.1608072917</v>
      </c>
      <c r="I8909" s="78" t="s">
        <v>10124</v>
      </c>
      <c r="J8909" s="78" t="s">
        <v>69</v>
      </c>
      <c r="K8909" s="58">
        <f t="shared" si="27"/>
        <v>3</v>
      </c>
      <c r="L8909" s="91" t="str">
        <f t="shared" si="8"/>
        <v>Sat</v>
      </c>
      <c r="M8909" s="78" t="str">
        <f>IFERROR(VLOOKUP(A8909, Entries!A:B,2,false),"")</f>
        <v/>
      </c>
      <c r="N8909" s="23" t="str">
        <f>IFERROR(VLOOKUP(A8909, Entries!A:K,11,false),"")</f>
        <v/>
      </c>
    </row>
    <row r="8910">
      <c r="A8910" s="78" t="s">
        <v>10114</v>
      </c>
      <c r="B8910" s="78" t="s">
        <v>17</v>
      </c>
      <c r="C8910" s="85">
        <v>46183.0</v>
      </c>
      <c r="D8910" s="85">
        <v>46184.0</v>
      </c>
      <c r="E8910" s="86">
        <v>24.62</v>
      </c>
      <c r="F8910" s="87">
        <v>29.05</v>
      </c>
      <c r="G8910" s="88">
        <f t="shared" si="23"/>
        <v>4.43</v>
      </c>
      <c r="H8910" s="89">
        <f t="shared" si="18"/>
        <v>0.1524956971</v>
      </c>
      <c r="I8910" s="78" t="s">
        <v>10125</v>
      </c>
      <c r="J8910" s="78" t="s">
        <v>69</v>
      </c>
      <c r="K8910" s="58">
        <f t="shared" si="27"/>
        <v>1</v>
      </c>
      <c r="L8910" s="91" t="str">
        <f t="shared" si="8"/>
        <v>Thu</v>
      </c>
      <c r="M8910" s="78" t="str">
        <f>IFERROR(VLOOKUP(A8910, Entries!A:B,2,false),"")</f>
        <v/>
      </c>
      <c r="N8910" s="23" t="str">
        <f>IFERROR(VLOOKUP(A8910, Entries!A:K,11,false),"")</f>
        <v/>
      </c>
      <c r="P8910" s="78" t="s">
        <v>10116</v>
      </c>
    </row>
    <row r="8911">
      <c r="A8911" s="78" t="s">
        <v>9018</v>
      </c>
      <c r="B8911" s="78" t="s">
        <v>27</v>
      </c>
      <c r="C8911" s="85">
        <v>46184.0</v>
      </c>
      <c r="D8911" s="85">
        <v>46184.0</v>
      </c>
      <c r="E8911" s="86">
        <v>35.99</v>
      </c>
      <c r="F8911" s="87">
        <v>39.64</v>
      </c>
      <c r="G8911" s="88">
        <f t="shared" si="23"/>
        <v>3.65</v>
      </c>
      <c r="H8911" s="89">
        <f t="shared" si="18"/>
        <v>0.09207870838</v>
      </c>
      <c r="I8911" s="78" t="s">
        <v>10126</v>
      </c>
      <c r="J8911" s="78" t="s">
        <v>69</v>
      </c>
      <c r="K8911" s="58">
        <f t="shared" si="27"/>
        <v>0</v>
      </c>
      <c r="L8911" s="91" t="str">
        <f t="shared" si="8"/>
        <v>Thu</v>
      </c>
      <c r="M8911" s="78" t="str">
        <f>IFERROR(VLOOKUP(A8911, Entries!A:B,2,false),"")</f>
        <v>Game Science</v>
      </c>
      <c r="N8911" s="23" t="str">
        <f>IFERROR(VLOOKUP(A8911, Entries!A:K,11,false),"")</f>
        <v/>
      </c>
    </row>
    <row r="8912">
      <c r="A8912" s="78" t="s">
        <v>9836</v>
      </c>
      <c r="B8912" s="78" t="s">
        <v>29</v>
      </c>
      <c r="C8912" s="85">
        <v>46184.0</v>
      </c>
      <c r="D8912" s="85">
        <v>46197.0</v>
      </c>
      <c r="E8912" s="86">
        <v>3.99</v>
      </c>
      <c r="F8912" s="87">
        <v>10.14</v>
      </c>
      <c r="G8912" s="88">
        <f t="shared" si="23"/>
        <v>6.15</v>
      </c>
      <c r="H8912" s="89">
        <f t="shared" si="18"/>
        <v>0.6065088757</v>
      </c>
      <c r="I8912" s="78" t="s">
        <v>10127</v>
      </c>
      <c r="J8912" s="78" t="s">
        <v>69</v>
      </c>
      <c r="K8912" s="58">
        <f t="shared" si="27"/>
        <v>13</v>
      </c>
      <c r="L8912" s="91" t="str">
        <f t="shared" si="8"/>
        <v>Wed</v>
      </c>
      <c r="M8912" s="78" t="str">
        <f>IFERROR(VLOOKUP(A8912, Entries!A:B,2,false),"")</f>
        <v/>
      </c>
      <c r="N8912" s="23" t="str">
        <f>IFERROR(VLOOKUP(A8912, Entries!A:K,11,false),"")</f>
        <v/>
      </c>
    </row>
    <row r="8913">
      <c r="A8913" s="78" t="s">
        <v>9836</v>
      </c>
      <c r="B8913" s="78" t="s">
        <v>29</v>
      </c>
      <c r="C8913" s="85">
        <v>46184.0</v>
      </c>
      <c r="D8913" s="85">
        <v>46197.0</v>
      </c>
      <c r="E8913" s="86">
        <v>3.99</v>
      </c>
      <c r="F8913" s="87">
        <v>10.14</v>
      </c>
      <c r="G8913" s="88">
        <f t="shared" si="23"/>
        <v>6.15</v>
      </c>
      <c r="H8913" s="89">
        <f t="shared" si="18"/>
        <v>0.6065088757</v>
      </c>
      <c r="I8913" s="78" t="s">
        <v>10128</v>
      </c>
      <c r="J8913" s="78" t="s">
        <v>69</v>
      </c>
      <c r="K8913" s="58">
        <f t="shared" si="27"/>
        <v>13</v>
      </c>
      <c r="L8913" s="91" t="str">
        <f t="shared" si="8"/>
        <v>Wed</v>
      </c>
      <c r="M8913" s="78" t="str">
        <f>IFERROR(VLOOKUP(A8913, Entries!A:B,2,false),"")</f>
        <v/>
      </c>
      <c r="N8913" s="23" t="str">
        <f>IFERROR(VLOOKUP(A8913, Entries!A:K,11,false),"")</f>
        <v/>
      </c>
    </row>
    <row r="8914">
      <c r="A8914" s="78" t="s">
        <v>9836</v>
      </c>
      <c r="B8914" s="78" t="s">
        <v>29</v>
      </c>
      <c r="C8914" s="85">
        <v>46184.0</v>
      </c>
      <c r="D8914" s="85">
        <v>46199.0</v>
      </c>
      <c r="E8914" s="86">
        <v>3.99</v>
      </c>
      <c r="F8914" s="87">
        <v>10.15</v>
      </c>
      <c r="G8914" s="88">
        <f t="shared" si="23"/>
        <v>6.16</v>
      </c>
      <c r="H8914" s="89">
        <f t="shared" si="18"/>
        <v>0.6068965517</v>
      </c>
      <c r="I8914" s="78" t="s">
        <v>10129</v>
      </c>
      <c r="J8914" s="78" t="s">
        <v>69</v>
      </c>
      <c r="K8914" s="58">
        <f t="shared" si="27"/>
        <v>15</v>
      </c>
      <c r="L8914" s="91" t="str">
        <f t="shared" si="8"/>
        <v>Fri</v>
      </c>
      <c r="M8914" s="78" t="str">
        <f>IFERROR(VLOOKUP(A8914, Entries!A:B,2,false),"")</f>
        <v/>
      </c>
      <c r="N8914" s="23" t="str">
        <f>IFERROR(VLOOKUP(A8914, Entries!A:K,11,false),"")</f>
        <v/>
      </c>
    </row>
    <row r="8915">
      <c r="A8915" s="78" t="s">
        <v>9836</v>
      </c>
      <c r="B8915" s="78" t="s">
        <v>29</v>
      </c>
      <c r="C8915" s="85">
        <v>46184.0</v>
      </c>
      <c r="D8915" s="85">
        <v>46200.0</v>
      </c>
      <c r="E8915" s="86">
        <v>3.99</v>
      </c>
      <c r="F8915" s="87">
        <v>10.15</v>
      </c>
      <c r="G8915" s="88">
        <f t="shared" si="23"/>
        <v>6.16</v>
      </c>
      <c r="H8915" s="89">
        <f t="shared" si="18"/>
        <v>0.6068965517</v>
      </c>
      <c r="I8915" s="78" t="s">
        <v>10130</v>
      </c>
      <c r="J8915" s="78" t="s">
        <v>69</v>
      </c>
      <c r="K8915" s="58">
        <f t="shared" si="27"/>
        <v>16</v>
      </c>
      <c r="L8915" s="91" t="str">
        <f t="shared" si="8"/>
        <v>Sat</v>
      </c>
      <c r="M8915" s="78" t="str">
        <f>IFERROR(VLOOKUP(A8915, Entries!A:B,2,false),"")</f>
        <v/>
      </c>
      <c r="N8915" s="23" t="str">
        <f>IFERROR(VLOOKUP(A8915, Entries!A:K,11,false),"")</f>
        <v/>
      </c>
    </row>
    <row r="8916">
      <c r="A8916" s="78" t="s">
        <v>9836</v>
      </c>
      <c r="B8916" s="78" t="s">
        <v>29</v>
      </c>
      <c r="C8916" s="85">
        <v>46184.0</v>
      </c>
      <c r="D8916" s="85">
        <v>46201.0</v>
      </c>
      <c r="E8916" s="86">
        <v>3.99</v>
      </c>
      <c r="F8916" s="87">
        <v>10.15</v>
      </c>
      <c r="G8916" s="88">
        <f t="shared" si="23"/>
        <v>6.16</v>
      </c>
      <c r="H8916" s="89">
        <f t="shared" si="18"/>
        <v>0.6068965517</v>
      </c>
      <c r="I8916" s="78" t="s">
        <v>10131</v>
      </c>
      <c r="J8916" s="78" t="s">
        <v>69</v>
      </c>
      <c r="K8916" s="58">
        <f t="shared" si="27"/>
        <v>17</v>
      </c>
      <c r="L8916" s="91" t="str">
        <f t="shared" si="8"/>
        <v>Sun</v>
      </c>
      <c r="M8916" s="78" t="str">
        <f>IFERROR(VLOOKUP(A8916, Entries!A:B,2,false),"")</f>
        <v/>
      </c>
      <c r="N8916" s="23" t="str">
        <f>IFERROR(VLOOKUP(A8916, Entries!A:K,11,false),"")</f>
        <v/>
      </c>
    </row>
    <row r="8917">
      <c r="A8917" s="78" t="s">
        <v>9871</v>
      </c>
      <c r="B8917" s="78" t="s">
        <v>27</v>
      </c>
      <c r="C8917" s="85">
        <v>46184.0</v>
      </c>
      <c r="D8917" s="85">
        <v>46184.0</v>
      </c>
      <c r="E8917" s="86">
        <v>26.69</v>
      </c>
      <c r="F8917" s="87">
        <v>30.67</v>
      </c>
      <c r="G8917" s="88">
        <f t="shared" si="23"/>
        <v>3.98</v>
      </c>
      <c r="H8917" s="89">
        <f t="shared" si="18"/>
        <v>0.1297685034</v>
      </c>
      <c r="I8917" s="78" t="s">
        <v>10132</v>
      </c>
      <c r="J8917" s="78" t="s">
        <v>69</v>
      </c>
      <c r="K8917" s="58">
        <f t="shared" si="27"/>
        <v>0</v>
      </c>
      <c r="L8917" s="91" t="str">
        <f t="shared" si="8"/>
        <v>Thu</v>
      </c>
      <c r="M8917" s="78" t="str">
        <f>IFERROR(VLOOKUP(A8917, Entries!A:B,2,false),"")</f>
        <v/>
      </c>
      <c r="N8917" s="23" t="str">
        <f>IFERROR(VLOOKUP(A8917, Entries!A:K,11,false),"")</f>
        <v/>
      </c>
    </row>
    <row r="8918">
      <c r="A8918" s="78" t="s">
        <v>9871</v>
      </c>
      <c r="B8918" s="78" t="s">
        <v>27</v>
      </c>
      <c r="C8918" s="85">
        <v>46184.0</v>
      </c>
      <c r="D8918" s="85">
        <v>46185.0</v>
      </c>
      <c r="E8918" s="86">
        <v>26.69</v>
      </c>
      <c r="F8918" s="87">
        <v>30.69</v>
      </c>
      <c r="G8918" s="88">
        <f t="shared" si="23"/>
        <v>4</v>
      </c>
      <c r="H8918" s="89">
        <f t="shared" si="18"/>
        <v>0.1303356142</v>
      </c>
      <c r="I8918" s="78" t="s">
        <v>10133</v>
      </c>
      <c r="J8918" s="78" t="s">
        <v>69</v>
      </c>
      <c r="K8918" s="58">
        <f t="shared" si="27"/>
        <v>1</v>
      </c>
      <c r="L8918" s="91" t="str">
        <f t="shared" si="8"/>
        <v>Fri</v>
      </c>
      <c r="M8918" s="78" t="str">
        <f>IFERROR(VLOOKUP(A8918, Entries!A:B,2,false),"")</f>
        <v/>
      </c>
      <c r="N8918" s="23" t="str">
        <f>IFERROR(VLOOKUP(A8918, Entries!A:K,11,false),"")</f>
        <v/>
      </c>
    </row>
    <row r="8919">
      <c r="A8919" s="78" t="s">
        <v>9018</v>
      </c>
      <c r="B8919" s="78" t="s">
        <v>27</v>
      </c>
      <c r="C8919" s="85">
        <v>46185.0</v>
      </c>
      <c r="D8919" s="85">
        <v>46200.0</v>
      </c>
      <c r="E8919" s="86">
        <v>35.99</v>
      </c>
      <c r="F8919" s="87">
        <v>37.87</v>
      </c>
      <c r="G8919" s="88">
        <f t="shared" si="23"/>
        <v>1.88</v>
      </c>
      <c r="H8919" s="89">
        <f t="shared" si="18"/>
        <v>0.0496435173</v>
      </c>
      <c r="I8919" s="78" t="s">
        <v>10134</v>
      </c>
      <c r="J8919" s="78" t="s">
        <v>69</v>
      </c>
      <c r="K8919" s="58">
        <f t="shared" si="27"/>
        <v>15</v>
      </c>
      <c r="L8919" s="91" t="str">
        <f t="shared" si="8"/>
        <v>Sat</v>
      </c>
      <c r="M8919" s="78" t="str">
        <f>IFERROR(VLOOKUP(A8919, Entries!A:B,2,false),"")</f>
        <v>Game Science</v>
      </c>
      <c r="N8919" s="23" t="str">
        <f>IFERROR(VLOOKUP(A8919, Entries!A:K,11,false),"")</f>
        <v/>
      </c>
    </row>
    <row r="8920">
      <c r="A8920" s="78" t="s">
        <v>9365</v>
      </c>
      <c r="B8920" s="78" t="s">
        <v>29</v>
      </c>
      <c r="C8920" s="85">
        <v>46185.0</v>
      </c>
      <c r="D8920" s="25"/>
      <c r="E8920" s="86">
        <v>34.99</v>
      </c>
      <c r="F8920" s="88"/>
      <c r="G8920" s="88">
        <f t="shared" si="23"/>
        <v>-34.99</v>
      </c>
      <c r="H8920" s="89" t="str">
        <f t="shared" si="18"/>
        <v/>
      </c>
      <c r="I8920" s="78" t="s">
        <v>10135</v>
      </c>
      <c r="J8920" s="78" t="s">
        <v>1129</v>
      </c>
      <c r="K8920" s="58" t="str">
        <f t="shared" si="27"/>
        <v/>
      </c>
      <c r="L8920" s="91" t="str">
        <f t="shared" si="8"/>
        <v/>
      </c>
      <c r="M8920" s="78" t="str">
        <f>IFERROR(VLOOKUP(A8920, Entries!A:B,2,false),"")</f>
        <v/>
      </c>
      <c r="N8920" s="23" t="str">
        <f>IFERROR(VLOOKUP(A8920, Entries!A:K,11,false),"")</f>
        <v/>
      </c>
    </row>
    <row r="8921">
      <c r="A8921" s="78" t="s">
        <v>9871</v>
      </c>
      <c r="B8921" s="78" t="s">
        <v>27</v>
      </c>
      <c r="C8921" s="85">
        <v>46185.0</v>
      </c>
      <c r="D8921" s="85">
        <v>46185.0</v>
      </c>
      <c r="E8921" s="86">
        <v>26.69</v>
      </c>
      <c r="F8921" s="87">
        <v>29.77</v>
      </c>
      <c r="G8921" s="88">
        <f t="shared" si="23"/>
        <v>3.08</v>
      </c>
      <c r="H8921" s="89">
        <f t="shared" si="18"/>
        <v>0.1034598589</v>
      </c>
      <c r="I8921" s="78" t="s">
        <v>10136</v>
      </c>
      <c r="J8921" s="78" t="s">
        <v>69</v>
      </c>
      <c r="K8921" s="58">
        <f t="shared" si="27"/>
        <v>0</v>
      </c>
      <c r="L8921" s="91" t="str">
        <f t="shared" si="8"/>
        <v>Fri</v>
      </c>
      <c r="M8921" s="78" t="str">
        <f>IFERROR(VLOOKUP(A8921, Entries!A:B,2,false),"")</f>
        <v/>
      </c>
      <c r="N8921" s="23" t="str">
        <f>IFERROR(VLOOKUP(A8921, Entries!A:K,11,false),"")</f>
        <v/>
      </c>
    </row>
    <row r="8922">
      <c r="A8922" s="78" t="s">
        <v>9871</v>
      </c>
      <c r="B8922" s="78" t="s">
        <v>27</v>
      </c>
      <c r="C8922" s="85">
        <v>46185.0</v>
      </c>
      <c r="D8922" s="85">
        <v>46185.0</v>
      </c>
      <c r="E8922" s="86">
        <v>26.69</v>
      </c>
      <c r="F8922" s="87">
        <v>29.77</v>
      </c>
      <c r="G8922" s="88">
        <f t="shared" si="23"/>
        <v>3.08</v>
      </c>
      <c r="H8922" s="89">
        <f t="shared" si="18"/>
        <v>0.1034598589</v>
      </c>
      <c r="I8922" s="78" t="s">
        <v>10137</v>
      </c>
      <c r="J8922" s="78" t="s">
        <v>69</v>
      </c>
      <c r="K8922" s="58">
        <f t="shared" si="27"/>
        <v>0</v>
      </c>
      <c r="L8922" s="91" t="str">
        <f t="shared" si="8"/>
        <v>Fri</v>
      </c>
      <c r="M8922" s="78" t="str">
        <f>IFERROR(VLOOKUP(A8922, Entries!A:B,2,false),"")</f>
        <v/>
      </c>
      <c r="N8922" s="23" t="str">
        <f>IFERROR(VLOOKUP(A8922, Entries!A:K,11,false),"")</f>
        <v/>
      </c>
    </row>
    <row r="8923">
      <c r="A8923" s="78" t="s">
        <v>10002</v>
      </c>
      <c r="B8923" s="78" t="s">
        <v>27</v>
      </c>
      <c r="C8923" s="85">
        <v>46186.0</v>
      </c>
      <c r="D8923" s="85">
        <v>46186.0</v>
      </c>
      <c r="E8923" s="86">
        <v>13.89</v>
      </c>
      <c r="F8923" s="87">
        <v>16.94</v>
      </c>
      <c r="G8923" s="88">
        <f t="shared" si="23"/>
        <v>3.05</v>
      </c>
      <c r="H8923" s="89">
        <f t="shared" si="18"/>
        <v>0.1800472255</v>
      </c>
      <c r="I8923" s="78" t="s">
        <v>10138</v>
      </c>
      <c r="J8923" s="78" t="s">
        <v>69</v>
      </c>
      <c r="K8923" s="58">
        <f t="shared" si="27"/>
        <v>0</v>
      </c>
      <c r="L8923" s="91" t="str">
        <f t="shared" si="8"/>
        <v>Sat</v>
      </c>
      <c r="M8923" s="78" t="str">
        <f>IFERROR(VLOOKUP(A8923, Entries!A:B,2,false),"")</f>
        <v/>
      </c>
      <c r="N8923" s="23" t="str">
        <f>IFERROR(VLOOKUP(A8923, Entries!A:K,11,false),"")</f>
        <v/>
      </c>
    </row>
    <row r="8924">
      <c r="A8924" s="78" t="s">
        <v>9871</v>
      </c>
      <c r="B8924" s="78" t="s">
        <v>27</v>
      </c>
      <c r="C8924" s="85">
        <v>46186.0</v>
      </c>
      <c r="D8924" s="85">
        <v>46186.0</v>
      </c>
      <c r="E8924" s="86">
        <v>26.69</v>
      </c>
      <c r="F8924" s="87">
        <v>29.77</v>
      </c>
      <c r="G8924" s="88">
        <f t="shared" si="23"/>
        <v>3.08</v>
      </c>
      <c r="H8924" s="89">
        <f t="shared" si="18"/>
        <v>0.1034598589</v>
      </c>
      <c r="I8924" s="78" t="s">
        <v>10139</v>
      </c>
      <c r="J8924" s="78" t="s">
        <v>69</v>
      </c>
      <c r="K8924" s="58">
        <f t="shared" si="27"/>
        <v>0</v>
      </c>
      <c r="L8924" s="91" t="str">
        <f t="shared" si="8"/>
        <v>Sat</v>
      </c>
      <c r="M8924" s="78" t="str">
        <f>IFERROR(VLOOKUP(A8924, Entries!A:B,2,false),"")</f>
        <v/>
      </c>
      <c r="N8924" s="23" t="str">
        <f>IFERROR(VLOOKUP(A8924, Entries!A:K,11,false),"")</f>
        <v/>
      </c>
    </row>
    <row r="8925">
      <c r="A8925" s="78" t="s">
        <v>9632</v>
      </c>
      <c r="B8925" s="78" t="s">
        <v>21</v>
      </c>
      <c r="C8925" s="85">
        <v>46186.0</v>
      </c>
      <c r="D8925" s="85">
        <v>46189.0</v>
      </c>
      <c r="E8925" s="86">
        <v>25.12</v>
      </c>
      <c r="F8925" s="87">
        <v>31.77</v>
      </c>
      <c r="G8925" s="88">
        <f t="shared" si="23"/>
        <v>6.65</v>
      </c>
      <c r="H8925" s="89">
        <f t="shared" si="18"/>
        <v>0.2093169657</v>
      </c>
      <c r="I8925" s="78" t="s">
        <v>10140</v>
      </c>
      <c r="J8925" s="78" t="s">
        <v>69</v>
      </c>
      <c r="K8925" s="58">
        <f t="shared" si="27"/>
        <v>3</v>
      </c>
      <c r="L8925" s="91" t="str">
        <f t="shared" si="8"/>
        <v>Tue</v>
      </c>
      <c r="M8925" s="78" t="str">
        <f>IFERROR(VLOOKUP(A8925, Entries!A:B,2,false),"")</f>
        <v/>
      </c>
      <c r="N8925" s="23" t="str">
        <f>IFERROR(VLOOKUP(A8925, Entries!A:K,11,false),"")</f>
        <v/>
      </c>
    </row>
    <row r="8926">
      <c r="A8926" s="78" t="s">
        <v>9632</v>
      </c>
      <c r="B8926" s="78" t="s">
        <v>21</v>
      </c>
      <c r="C8926" s="85">
        <v>46186.0</v>
      </c>
      <c r="D8926" s="85">
        <v>46189.0</v>
      </c>
      <c r="E8926" s="86">
        <v>25.13</v>
      </c>
      <c r="F8926" s="87">
        <v>31.77</v>
      </c>
      <c r="G8926" s="88">
        <f t="shared" si="23"/>
        <v>6.64</v>
      </c>
      <c r="H8926" s="89">
        <f t="shared" si="18"/>
        <v>0.2090022033</v>
      </c>
      <c r="I8926" s="78" t="s">
        <v>10141</v>
      </c>
      <c r="J8926" s="78" t="s">
        <v>69</v>
      </c>
      <c r="K8926" s="58">
        <f t="shared" si="27"/>
        <v>3</v>
      </c>
      <c r="L8926" s="91" t="str">
        <f t="shared" si="8"/>
        <v>Tue</v>
      </c>
      <c r="M8926" s="78" t="str">
        <f>IFERROR(VLOOKUP(A8926, Entries!A:B,2,false),"")</f>
        <v/>
      </c>
      <c r="N8926" s="23" t="str">
        <f>IFERROR(VLOOKUP(A8926, Entries!A:K,11,false),"")</f>
        <v/>
      </c>
    </row>
    <row r="8927">
      <c r="A8927" s="78" t="s">
        <v>8928</v>
      </c>
      <c r="B8927" s="78" t="s">
        <v>22</v>
      </c>
      <c r="C8927" s="85">
        <v>46186.0</v>
      </c>
      <c r="D8927" s="25"/>
      <c r="E8927" s="86">
        <v>9.57</v>
      </c>
      <c r="F8927" s="88"/>
      <c r="G8927" s="88">
        <f t="shared" si="23"/>
        <v>-9.57</v>
      </c>
      <c r="H8927" s="89" t="str">
        <f t="shared" si="18"/>
        <v/>
      </c>
      <c r="I8927" s="78" t="s">
        <v>10142</v>
      </c>
      <c r="J8927" s="78" t="s">
        <v>1129</v>
      </c>
      <c r="K8927" s="58" t="str">
        <f t="shared" si="27"/>
        <v/>
      </c>
      <c r="L8927" s="91" t="str">
        <f t="shared" si="8"/>
        <v/>
      </c>
      <c r="M8927" s="78" t="str">
        <f>IFERROR(VLOOKUP(A8927, Entries!A:B,2,false),"")</f>
        <v/>
      </c>
      <c r="N8927" s="23" t="str">
        <f>IFERROR(VLOOKUP(A8927, Entries!A:K,11,false),"")</f>
        <v/>
      </c>
    </row>
    <row r="8928">
      <c r="A8928" s="78" t="s">
        <v>10015</v>
      </c>
      <c r="B8928" s="78" t="s">
        <v>25</v>
      </c>
      <c r="C8928" s="85">
        <v>46187.0</v>
      </c>
      <c r="D8928" s="85">
        <v>46192.0</v>
      </c>
      <c r="E8928" s="86">
        <v>39.57</v>
      </c>
      <c r="F8928" s="87">
        <v>45.07</v>
      </c>
      <c r="G8928" s="88">
        <f t="shared" si="23"/>
        <v>5.5</v>
      </c>
      <c r="H8928" s="89"/>
      <c r="I8928" s="78" t="s">
        <v>10143</v>
      </c>
      <c r="J8928" s="78" t="s">
        <v>69</v>
      </c>
      <c r="K8928" s="58">
        <f t="shared" si="27"/>
        <v>5</v>
      </c>
      <c r="L8928" s="91" t="str">
        <f t="shared" si="8"/>
        <v>Fri</v>
      </c>
      <c r="M8928" s="78" t="str">
        <f>IFERROR(VLOOKUP(A8928, Entries!A:B,2,false),"")</f>
        <v/>
      </c>
      <c r="N8928" s="23" t="str">
        <f>IFERROR(VLOOKUP(A8928, Entries!A:K,11,false),"")</f>
        <v/>
      </c>
    </row>
    <row r="8929">
      <c r="A8929" s="78" t="s">
        <v>10015</v>
      </c>
      <c r="B8929" s="78" t="s">
        <v>25</v>
      </c>
      <c r="C8929" s="85">
        <v>46187.0</v>
      </c>
      <c r="D8929" s="25"/>
      <c r="E8929" s="86">
        <v>39.58</v>
      </c>
      <c r="F8929" s="88"/>
      <c r="G8929" s="88">
        <f t="shared" si="23"/>
        <v>-39.58</v>
      </c>
      <c r="H8929" s="89" t="str">
        <f t="shared" ref="H8929:H8997" si="28">IFERROR(G8929/F8929,"")</f>
        <v/>
      </c>
      <c r="I8929" s="78" t="s">
        <v>10144</v>
      </c>
      <c r="J8929" s="78" t="s">
        <v>1129</v>
      </c>
      <c r="K8929" s="58" t="str">
        <f t="shared" si="27"/>
        <v/>
      </c>
      <c r="L8929" s="91" t="str">
        <f t="shared" si="8"/>
        <v/>
      </c>
      <c r="M8929" s="78" t="str">
        <f>IFERROR(VLOOKUP(A8929, Entries!A:B,2,false),"")</f>
        <v/>
      </c>
      <c r="N8929" s="23" t="str">
        <f>IFERROR(VLOOKUP(A8929, Entries!A:K,11,false),"")</f>
        <v/>
      </c>
    </row>
    <row r="8930">
      <c r="A8930" s="78" t="s">
        <v>10145</v>
      </c>
      <c r="B8930" s="78" t="s">
        <v>22</v>
      </c>
      <c r="C8930" s="85">
        <v>46187.0</v>
      </c>
      <c r="D8930" s="85">
        <v>46188.0</v>
      </c>
      <c r="E8930" s="86">
        <v>14.42</v>
      </c>
      <c r="F8930" s="87">
        <v>25.0</v>
      </c>
      <c r="G8930" s="88">
        <f t="shared" si="23"/>
        <v>10.58</v>
      </c>
      <c r="H8930" s="89">
        <f t="shared" si="28"/>
        <v>0.4232</v>
      </c>
      <c r="I8930" s="78" t="s">
        <v>10146</v>
      </c>
      <c r="J8930" s="78" t="s">
        <v>69</v>
      </c>
      <c r="K8930" s="58">
        <f t="shared" si="27"/>
        <v>1</v>
      </c>
      <c r="L8930" s="91" t="str">
        <f t="shared" si="8"/>
        <v>Mon</v>
      </c>
      <c r="M8930" s="78" t="str">
        <f>IFERROR(VLOOKUP(A8930, Entries!A:B,2,false),"")</f>
        <v/>
      </c>
      <c r="N8930" s="23" t="str">
        <f>IFERROR(VLOOKUP(A8930, Entries!A:K,11,false),"")</f>
        <v/>
      </c>
    </row>
    <row r="8931">
      <c r="A8931" s="78" t="s">
        <v>10147</v>
      </c>
      <c r="B8931" s="78" t="s">
        <v>22</v>
      </c>
      <c r="C8931" s="85">
        <v>46187.0</v>
      </c>
      <c r="D8931" s="25"/>
      <c r="E8931" s="86">
        <v>26.49</v>
      </c>
      <c r="F8931" s="88"/>
      <c r="G8931" s="88">
        <f t="shared" si="23"/>
        <v>-26.49</v>
      </c>
      <c r="H8931" s="89" t="str">
        <f t="shared" si="28"/>
        <v/>
      </c>
      <c r="J8931" s="78" t="s">
        <v>1129</v>
      </c>
      <c r="K8931" s="58" t="str">
        <f t="shared" si="27"/>
        <v/>
      </c>
      <c r="L8931" s="91" t="str">
        <f t="shared" si="8"/>
        <v/>
      </c>
      <c r="M8931" s="78" t="str">
        <f>IFERROR(VLOOKUP(A8931, Entries!A:B,2,false),"")</f>
        <v/>
      </c>
      <c r="N8931" s="23" t="str">
        <f>IFERROR(VLOOKUP(A8931, Entries!A:K,11,false),"")</f>
        <v/>
      </c>
    </row>
    <row r="8932">
      <c r="A8932" s="78" t="s">
        <v>9836</v>
      </c>
      <c r="B8932" s="78" t="s">
        <v>29</v>
      </c>
      <c r="C8932" s="85">
        <v>46188.0</v>
      </c>
      <c r="D8932" s="114">
        <v>46205.0</v>
      </c>
      <c r="E8932" s="86">
        <v>4.99</v>
      </c>
      <c r="F8932" s="87">
        <v>10.15</v>
      </c>
      <c r="G8932" s="88">
        <f t="shared" si="23"/>
        <v>5.16</v>
      </c>
      <c r="H8932" s="89">
        <f t="shared" si="28"/>
        <v>0.5083743842</v>
      </c>
      <c r="I8932" s="78" t="s">
        <v>10148</v>
      </c>
      <c r="J8932" s="78" t="s">
        <v>69</v>
      </c>
      <c r="K8932" s="58">
        <f t="shared" si="27"/>
        <v>17</v>
      </c>
      <c r="L8932" s="91" t="str">
        <f t="shared" si="8"/>
        <v>Thu</v>
      </c>
      <c r="M8932" s="78" t="str">
        <f>IFERROR(VLOOKUP(A8932, Entries!A:B,2,false),"")</f>
        <v/>
      </c>
      <c r="N8932" s="23" t="str">
        <f>IFERROR(VLOOKUP(A8932, Entries!A:K,11,false),"")</f>
        <v/>
      </c>
    </row>
    <row r="8933">
      <c r="A8933" s="78" t="s">
        <v>9836</v>
      </c>
      <c r="B8933" s="78" t="s">
        <v>29</v>
      </c>
      <c r="C8933" s="85">
        <v>46188.0</v>
      </c>
      <c r="D8933" s="25"/>
      <c r="E8933" s="86">
        <v>4.99</v>
      </c>
      <c r="F8933" s="88"/>
      <c r="G8933" s="88">
        <f t="shared" si="23"/>
        <v>-4.99</v>
      </c>
      <c r="H8933" s="89" t="str">
        <f t="shared" si="28"/>
        <v/>
      </c>
      <c r="I8933" s="78" t="s">
        <v>10149</v>
      </c>
      <c r="J8933" s="23"/>
      <c r="K8933" s="58" t="str">
        <f t="shared" si="27"/>
        <v/>
      </c>
      <c r="L8933" s="91" t="str">
        <f t="shared" si="8"/>
        <v/>
      </c>
      <c r="M8933" s="78" t="str">
        <f>IFERROR(VLOOKUP(A8933, Entries!A:B,2,false),"")</f>
        <v/>
      </c>
      <c r="N8933" s="23" t="str">
        <f>IFERROR(VLOOKUP(A8933, Entries!A:K,11,false),"")</f>
        <v/>
      </c>
    </row>
    <row r="8934">
      <c r="A8934" s="78" t="s">
        <v>10150</v>
      </c>
      <c r="B8934" s="78" t="s">
        <v>22</v>
      </c>
      <c r="C8934" s="85">
        <v>46188.0</v>
      </c>
      <c r="D8934" s="85"/>
      <c r="E8934" s="86">
        <v>21.63</v>
      </c>
      <c r="F8934" s="87"/>
      <c r="G8934" s="88">
        <f t="shared" si="23"/>
        <v>-21.63</v>
      </c>
      <c r="H8934" s="89" t="str">
        <f t="shared" si="28"/>
        <v/>
      </c>
      <c r="I8934" s="78" t="s">
        <v>10151</v>
      </c>
      <c r="J8934" s="78" t="s">
        <v>1129</v>
      </c>
      <c r="K8934" s="58" t="str">
        <f t="shared" si="27"/>
        <v/>
      </c>
      <c r="L8934" s="91" t="str">
        <f t="shared" si="8"/>
        <v/>
      </c>
      <c r="M8934" s="78" t="str">
        <f>IFERROR(VLOOKUP(A8934, Entries!A:B,2,false),"")</f>
        <v/>
      </c>
      <c r="N8934" s="23" t="str">
        <f>IFERROR(VLOOKUP(A8934, Entries!A:K,11,false),"")</f>
        <v/>
      </c>
    </row>
    <row r="8935">
      <c r="A8935" s="78" t="s">
        <v>10152</v>
      </c>
      <c r="B8935" s="78" t="s">
        <v>32</v>
      </c>
      <c r="C8935" s="85">
        <v>46189.0</v>
      </c>
      <c r="D8935" s="85">
        <v>46189.0</v>
      </c>
      <c r="E8935" s="86">
        <v>26.85</v>
      </c>
      <c r="F8935" s="87">
        <v>31.2</v>
      </c>
      <c r="G8935" s="88">
        <f t="shared" si="23"/>
        <v>4.35</v>
      </c>
      <c r="H8935" s="89">
        <f t="shared" si="28"/>
        <v>0.1394230769</v>
      </c>
      <c r="I8935" s="78" t="s">
        <v>10153</v>
      </c>
      <c r="J8935" s="78" t="s">
        <v>69</v>
      </c>
      <c r="K8935" s="58">
        <f t="shared" si="27"/>
        <v>0</v>
      </c>
      <c r="L8935" s="91" t="str">
        <f t="shared" si="8"/>
        <v>Tue</v>
      </c>
      <c r="M8935" s="78" t="str">
        <f>IFERROR(VLOOKUP(A8935, Entries!A:B,2,false),"")</f>
        <v/>
      </c>
      <c r="N8935" s="23" t="str">
        <f>IFERROR(VLOOKUP(A8935, Entries!A:K,11,false),"")</f>
        <v/>
      </c>
    </row>
    <row r="8936">
      <c r="A8936" s="78" t="s">
        <v>10152</v>
      </c>
      <c r="B8936" s="78" t="s">
        <v>32</v>
      </c>
      <c r="C8936" s="85">
        <v>46189.0</v>
      </c>
      <c r="D8936" s="25"/>
      <c r="E8936" s="86">
        <v>26.85</v>
      </c>
      <c r="F8936" s="88"/>
      <c r="G8936" s="88">
        <f t="shared" si="23"/>
        <v>-26.85</v>
      </c>
      <c r="H8936" s="89" t="str">
        <f t="shared" si="28"/>
        <v/>
      </c>
      <c r="I8936" s="78" t="s">
        <v>10154</v>
      </c>
      <c r="J8936" s="78" t="s">
        <v>1129</v>
      </c>
      <c r="K8936" s="58" t="str">
        <f t="shared" si="27"/>
        <v/>
      </c>
      <c r="L8936" s="91" t="str">
        <f t="shared" si="8"/>
        <v/>
      </c>
      <c r="M8936" s="78" t="str">
        <f>IFERROR(VLOOKUP(A8936, Entries!A:B,2,false),"")</f>
        <v/>
      </c>
      <c r="N8936" s="23" t="str">
        <f>IFERROR(VLOOKUP(A8936, Entries!A:K,11,false),"")</f>
        <v/>
      </c>
    </row>
    <row r="8937">
      <c r="A8937" s="78" t="s">
        <v>10155</v>
      </c>
      <c r="B8937" s="78" t="s">
        <v>27</v>
      </c>
      <c r="C8937" s="85">
        <v>46190.0</v>
      </c>
      <c r="D8937" s="25"/>
      <c r="E8937" s="86">
        <v>14.49</v>
      </c>
      <c r="F8937" s="88"/>
      <c r="G8937" s="88">
        <f t="shared" si="23"/>
        <v>-14.49</v>
      </c>
      <c r="H8937" s="89" t="str">
        <f t="shared" si="28"/>
        <v/>
      </c>
      <c r="I8937" s="78" t="s">
        <v>10156</v>
      </c>
      <c r="J8937" s="78" t="s">
        <v>1129</v>
      </c>
      <c r="K8937" s="58" t="str">
        <f t="shared" si="27"/>
        <v/>
      </c>
      <c r="L8937" s="91" t="str">
        <f t="shared" si="8"/>
        <v/>
      </c>
      <c r="M8937" s="78" t="str">
        <f>IFERROR(VLOOKUP(A8937, Entries!A:B,2,false),"")</f>
        <v/>
      </c>
      <c r="N8937" s="23" t="str">
        <f>IFERROR(VLOOKUP(A8937, Entries!A:K,11,false),"")</f>
        <v/>
      </c>
    </row>
    <row r="8938">
      <c r="A8938" s="78" t="s">
        <v>8684</v>
      </c>
      <c r="B8938" s="78" t="s">
        <v>27</v>
      </c>
      <c r="C8938" s="85">
        <v>46190.0</v>
      </c>
      <c r="D8938" s="85">
        <v>46197.0</v>
      </c>
      <c r="E8938" s="86">
        <v>25.49</v>
      </c>
      <c r="F8938" s="87">
        <v>29.28</v>
      </c>
      <c r="G8938" s="88">
        <f t="shared" si="23"/>
        <v>3.79</v>
      </c>
      <c r="H8938" s="89">
        <f t="shared" si="28"/>
        <v>0.1294398907</v>
      </c>
      <c r="I8938" s="78" t="s">
        <v>10157</v>
      </c>
      <c r="J8938" s="78" t="s">
        <v>69</v>
      </c>
      <c r="K8938" s="58">
        <f t="shared" si="27"/>
        <v>7</v>
      </c>
      <c r="L8938" s="91" t="str">
        <f t="shared" si="8"/>
        <v>Wed</v>
      </c>
      <c r="M8938" s="78" t="str">
        <f>IFERROR(VLOOKUP(A8938, Entries!A:B,2,false),"")</f>
        <v/>
      </c>
      <c r="N8938" s="23" t="str">
        <f>IFERROR(VLOOKUP(A8938, Entries!A:K,11,false),"")</f>
        <v/>
      </c>
    </row>
    <row r="8939">
      <c r="A8939" s="78" t="s">
        <v>9233</v>
      </c>
      <c r="B8939" s="78" t="s">
        <v>25</v>
      </c>
      <c r="C8939" s="85">
        <v>46190.0</v>
      </c>
      <c r="D8939" s="85">
        <v>46192.0</v>
      </c>
      <c r="E8939" s="86">
        <v>16.03</v>
      </c>
      <c r="F8939" s="87">
        <v>19.46</v>
      </c>
      <c r="G8939" s="88">
        <f t="shared" si="23"/>
        <v>3.43</v>
      </c>
      <c r="H8939" s="89">
        <f t="shared" si="28"/>
        <v>0.1762589928</v>
      </c>
      <c r="I8939" s="78" t="s">
        <v>10158</v>
      </c>
      <c r="J8939" s="78" t="s">
        <v>69</v>
      </c>
      <c r="K8939" s="58">
        <f t="shared" si="27"/>
        <v>2</v>
      </c>
      <c r="L8939" s="91" t="str">
        <f t="shared" si="8"/>
        <v>Fri</v>
      </c>
      <c r="M8939" s="78" t="str">
        <f>IFERROR(VLOOKUP(A8939, Entries!A:B,2,false),"")</f>
        <v>Behaviour Interactive</v>
      </c>
      <c r="N8939" s="23" t="str">
        <f>IFERROR(VLOOKUP(A8939, Entries!A:K,11,false),"")</f>
        <v/>
      </c>
    </row>
    <row r="8940">
      <c r="A8940" s="78" t="s">
        <v>8316</v>
      </c>
      <c r="B8940" s="78" t="s">
        <v>21</v>
      </c>
      <c r="C8940" s="85">
        <v>46191.0</v>
      </c>
      <c r="D8940" s="25"/>
      <c r="E8940" s="86">
        <v>27.78</v>
      </c>
      <c r="F8940" s="88"/>
      <c r="G8940" s="88">
        <f t="shared" si="23"/>
        <v>-27.78</v>
      </c>
      <c r="H8940" s="89" t="str">
        <f t="shared" si="28"/>
        <v/>
      </c>
      <c r="I8940" s="78" t="s">
        <v>10159</v>
      </c>
      <c r="J8940" s="78" t="s">
        <v>1129</v>
      </c>
      <c r="K8940" s="58" t="str">
        <f t="shared" si="27"/>
        <v/>
      </c>
      <c r="L8940" s="91" t="str">
        <f t="shared" si="8"/>
        <v/>
      </c>
      <c r="M8940" s="78" t="str">
        <f>IFERROR(VLOOKUP(A8940, Entries!A:B,2,false),"")</f>
        <v/>
      </c>
      <c r="N8940" s="23" t="str">
        <f>IFERROR(VLOOKUP(A8940, Entries!A:K,11,false),"")</f>
        <v/>
      </c>
    </row>
    <row r="8941">
      <c r="A8941" s="78" t="s">
        <v>8316</v>
      </c>
      <c r="B8941" s="78" t="s">
        <v>21</v>
      </c>
      <c r="C8941" s="85">
        <v>46191.0</v>
      </c>
      <c r="D8941" s="25"/>
      <c r="E8941" s="86">
        <v>27.78</v>
      </c>
      <c r="F8941" s="88"/>
      <c r="G8941" s="88">
        <f t="shared" si="23"/>
        <v>-27.78</v>
      </c>
      <c r="H8941" s="89" t="str">
        <f t="shared" si="28"/>
        <v/>
      </c>
      <c r="I8941" s="78" t="s">
        <v>10160</v>
      </c>
      <c r="J8941" s="78" t="s">
        <v>1129</v>
      </c>
      <c r="K8941" s="58" t="str">
        <f t="shared" si="27"/>
        <v/>
      </c>
      <c r="L8941" s="91" t="str">
        <f t="shared" si="8"/>
        <v/>
      </c>
      <c r="M8941" s="78" t="str">
        <f>IFERROR(VLOOKUP(A8941, Entries!A:B,2,false),"")</f>
        <v/>
      </c>
      <c r="N8941" s="23" t="str">
        <f>IFERROR(VLOOKUP(A8941, Entries!A:K,11,false),"")</f>
        <v/>
      </c>
    </row>
    <row r="8942">
      <c r="A8942" s="78" t="s">
        <v>9233</v>
      </c>
      <c r="B8942" s="78" t="s">
        <v>25</v>
      </c>
      <c r="C8942" s="85">
        <v>46192.0</v>
      </c>
      <c r="D8942" s="85">
        <v>46195.0</v>
      </c>
      <c r="E8942" s="86">
        <v>15.86</v>
      </c>
      <c r="F8942" s="87">
        <v>19.46</v>
      </c>
      <c r="G8942" s="88">
        <f t="shared" si="23"/>
        <v>3.6</v>
      </c>
      <c r="H8942" s="89">
        <f t="shared" si="28"/>
        <v>0.1849948613</v>
      </c>
      <c r="I8942" s="78" t="s">
        <v>10161</v>
      </c>
      <c r="J8942" s="78" t="s">
        <v>69</v>
      </c>
      <c r="K8942" s="58">
        <f t="shared" si="27"/>
        <v>3</v>
      </c>
      <c r="L8942" s="91" t="str">
        <f t="shared" si="8"/>
        <v>Mon</v>
      </c>
      <c r="M8942" s="78" t="str">
        <f>IFERROR(VLOOKUP(A8942, Entries!A:B,2,false),"")</f>
        <v>Behaviour Interactive</v>
      </c>
      <c r="N8942" s="23" t="str">
        <f>IFERROR(VLOOKUP(A8942, Entries!A:K,11,false),"")</f>
        <v/>
      </c>
    </row>
    <row r="8943">
      <c r="A8943" s="78" t="s">
        <v>9632</v>
      </c>
      <c r="B8943" s="78" t="s">
        <v>29</v>
      </c>
      <c r="C8943" s="85">
        <v>46192.0</v>
      </c>
      <c r="D8943" s="25"/>
      <c r="E8943" s="86">
        <v>35.46</v>
      </c>
      <c r="F8943" s="88"/>
      <c r="G8943" s="88">
        <f t="shared" si="23"/>
        <v>-35.46</v>
      </c>
      <c r="H8943" s="89" t="str">
        <f t="shared" si="28"/>
        <v/>
      </c>
      <c r="J8943" s="78" t="s">
        <v>1129</v>
      </c>
      <c r="K8943" s="58" t="str">
        <f t="shared" si="27"/>
        <v/>
      </c>
      <c r="L8943" s="91" t="str">
        <f t="shared" si="8"/>
        <v/>
      </c>
      <c r="M8943" s="78" t="str">
        <f>IFERROR(VLOOKUP(A8943, Entries!A:B,2,false),"")</f>
        <v/>
      </c>
      <c r="N8943" s="23" t="str">
        <f>IFERROR(VLOOKUP(A8943, Entries!A:K,11,false),"")</f>
        <v/>
      </c>
    </row>
    <row r="8944">
      <c r="A8944" s="78" t="s">
        <v>9836</v>
      </c>
      <c r="B8944" s="78" t="s">
        <v>29</v>
      </c>
      <c r="C8944" s="85">
        <v>46192.0</v>
      </c>
      <c r="D8944" s="25"/>
      <c r="E8944" s="86">
        <v>4.94</v>
      </c>
      <c r="F8944" s="88"/>
      <c r="G8944" s="88">
        <f t="shared" si="23"/>
        <v>-4.94</v>
      </c>
      <c r="H8944" s="89" t="str">
        <f t="shared" si="28"/>
        <v/>
      </c>
      <c r="I8944" s="78" t="s">
        <v>10162</v>
      </c>
      <c r="J8944" s="78" t="s">
        <v>1129</v>
      </c>
      <c r="K8944" s="58" t="str">
        <f t="shared" si="27"/>
        <v/>
      </c>
      <c r="L8944" s="91" t="str">
        <f t="shared" si="8"/>
        <v/>
      </c>
      <c r="M8944" s="78" t="str">
        <f>IFERROR(VLOOKUP(A8944, Entries!A:B,2,false),"")</f>
        <v/>
      </c>
      <c r="N8944" s="23" t="str">
        <f>IFERROR(VLOOKUP(A8944, Entries!A:K,11,false),"")</f>
        <v/>
      </c>
    </row>
    <row r="8945">
      <c r="A8945" s="78" t="s">
        <v>9836</v>
      </c>
      <c r="B8945" s="78" t="s">
        <v>29</v>
      </c>
      <c r="C8945" s="85">
        <v>46192.0</v>
      </c>
      <c r="D8945" s="25"/>
      <c r="E8945" s="86">
        <v>4.94</v>
      </c>
      <c r="F8945" s="88"/>
      <c r="G8945" s="88">
        <f t="shared" si="23"/>
        <v>-4.94</v>
      </c>
      <c r="H8945" s="89" t="str">
        <f t="shared" si="28"/>
        <v/>
      </c>
      <c r="I8945" s="78" t="s">
        <v>10163</v>
      </c>
      <c r="J8945" s="78" t="s">
        <v>1129</v>
      </c>
      <c r="K8945" s="58" t="str">
        <f t="shared" si="27"/>
        <v/>
      </c>
      <c r="L8945" s="91" t="str">
        <f t="shared" si="8"/>
        <v/>
      </c>
      <c r="M8945" s="78" t="str">
        <f>IFERROR(VLOOKUP(A8945, Entries!A:B,2,false),"")</f>
        <v/>
      </c>
      <c r="N8945" s="23" t="str">
        <f>IFERROR(VLOOKUP(A8945, Entries!A:K,11,false),"")</f>
        <v/>
      </c>
    </row>
    <row r="8946">
      <c r="A8946" s="78" t="s">
        <v>5159</v>
      </c>
      <c r="B8946" s="78" t="s">
        <v>32</v>
      </c>
      <c r="C8946" s="85">
        <v>46193.0</v>
      </c>
      <c r="D8946" s="25"/>
      <c r="E8946" s="86">
        <v>18.65</v>
      </c>
      <c r="F8946" s="88"/>
      <c r="G8946" s="88">
        <f t="shared" si="23"/>
        <v>-18.65</v>
      </c>
      <c r="H8946" s="89" t="str">
        <f t="shared" si="28"/>
        <v/>
      </c>
      <c r="I8946" s="78" t="s">
        <v>10164</v>
      </c>
      <c r="J8946" s="78" t="s">
        <v>1129</v>
      </c>
      <c r="K8946" s="58" t="str">
        <f t="shared" si="27"/>
        <v/>
      </c>
      <c r="L8946" s="91" t="str">
        <f t="shared" si="8"/>
        <v/>
      </c>
      <c r="M8946" s="78" t="str">
        <f>IFERROR(VLOOKUP(A8946, Entries!A:B,2,false),"")</f>
        <v>IO Interactive</v>
      </c>
      <c r="N8946" s="23" t="str">
        <f>IFERROR(VLOOKUP(A8946, Entries!A:K,11,false),"")</f>
        <v/>
      </c>
    </row>
    <row r="8947">
      <c r="A8947" s="78" t="s">
        <v>5159</v>
      </c>
      <c r="B8947" s="78" t="s">
        <v>32</v>
      </c>
      <c r="C8947" s="85">
        <v>46193.0</v>
      </c>
      <c r="D8947" s="25"/>
      <c r="E8947" s="86">
        <v>18.65</v>
      </c>
      <c r="F8947" s="88"/>
      <c r="G8947" s="88">
        <f t="shared" si="23"/>
        <v>-18.65</v>
      </c>
      <c r="H8947" s="89" t="str">
        <f t="shared" si="28"/>
        <v/>
      </c>
      <c r="I8947" s="78" t="s">
        <v>10165</v>
      </c>
      <c r="J8947" s="78" t="s">
        <v>1129</v>
      </c>
      <c r="K8947" s="58" t="str">
        <f t="shared" si="27"/>
        <v/>
      </c>
      <c r="L8947" s="91" t="str">
        <f t="shared" si="8"/>
        <v/>
      </c>
      <c r="M8947" s="78" t="str">
        <f>IFERROR(VLOOKUP(A8947, Entries!A:B,2,false),"")</f>
        <v>IO Interactive</v>
      </c>
      <c r="N8947" s="23" t="str">
        <f>IFERROR(VLOOKUP(A8947, Entries!A:K,11,false),"")</f>
        <v/>
      </c>
    </row>
    <row r="8948">
      <c r="A8948" s="78" t="s">
        <v>5159</v>
      </c>
      <c r="B8948" s="78" t="s">
        <v>32</v>
      </c>
      <c r="C8948" s="85">
        <v>46193.0</v>
      </c>
      <c r="D8948" s="25"/>
      <c r="E8948" s="86">
        <v>18.65</v>
      </c>
      <c r="F8948" s="88"/>
      <c r="G8948" s="88">
        <f t="shared" si="23"/>
        <v>-18.65</v>
      </c>
      <c r="H8948" s="89" t="str">
        <f t="shared" si="28"/>
        <v/>
      </c>
      <c r="I8948" s="78" t="s">
        <v>10166</v>
      </c>
      <c r="J8948" s="78" t="s">
        <v>1129</v>
      </c>
      <c r="K8948" s="58" t="str">
        <f t="shared" si="27"/>
        <v/>
      </c>
      <c r="L8948" s="91" t="str">
        <f t="shared" si="8"/>
        <v/>
      </c>
      <c r="M8948" s="78" t="str">
        <f>IFERROR(VLOOKUP(A8948, Entries!A:B,2,false),"")</f>
        <v>IO Interactive</v>
      </c>
      <c r="N8948" s="23" t="str">
        <f>IFERROR(VLOOKUP(A8948, Entries!A:K,11,false),"")</f>
        <v/>
      </c>
    </row>
    <row r="8949">
      <c r="A8949" s="78" t="s">
        <v>10104</v>
      </c>
      <c r="B8949" s="78" t="s">
        <v>27</v>
      </c>
      <c r="C8949" s="85">
        <v>46193.0</v>
      </c>
      <c r="D8949" s="85">
        <v>46198.0</v>
      </c>
      <c r="E8949" s="86">
        <v>31.29</v>
      </c>
      <c r="F8949" s="87">
        <v>34.08</v>
      </c>
      <c r="G8949" s="88">
        <f t="shared" si="23"/>
        <v>2.79</v>
      </c>
      <c r="H8949" s="89">
        <f t="shared" si="28"/>
        <v>0.08186619718</v>
      </c>
      <c r="I8949" s="78" t="s">
        <v>10167</v>
      </c>
      <c r="J8949" s="78" t="s">
        <v>69</v>
      </c>
      <c r="K8949" s="58">
        <f t="shared" si="27"/>
        <v>5</v>
      </c>
      <c r="L8949" s="91" t="str">
        <f t="shared" si="8"/>
        <v>Thu</v>
      </c>
      <c r="M8949" s="78" t="str">
        <f>IFERROR(VLOOKUP(A8949, Entries!A:B,2,false),"")</f>
        <v/>
      </c>
      <c r="N8949" s="23" t="str">
        <f>IFERROR(VLOOKUP(A8949, Entries!A:K,11,false),"")</f>
        <v/>
      </c>
    </row>
    <row r="8950">
      <c r="A8950" s="78" t="s">
        <v>10168</v>
      </c>
      <c r="B8950" s="78" t="s">
        <v>29</v>
      </c>
      <c r="C8950" s="85">
        <v>46194.0</v>
      </c>
      <c r="D8950" s="85">
        <v>46194.0</v>
      </c>
      <c r="E8950" s="86">
        <v>21.79</v>
      </c>
      <c r="F8950" s="87">
        <v>26.85</v>
      </c>
      <c r="G8950" s="88">
        <f t="shared" si="23"/>
        <v>5.06</v>
      </c>
      <c r="H8950" s="89">
        <f t="shared" si="28"/>
        <v>0.1884543762</v>
      </c>
      <c r="I8950" s="78" t="s">
        <v>10169</v>
      </c>
      <c r="J8950" s="78" t="s">
        <v>69</v>
      </c>
      <c r="K8950" s="58">
        <f t="shared" si="27"/>
        <v>0</v>
      </c>
      <c r="L8950" s="91" t="str">
        <f t="shared" si="8"/>
        <v>Sun</v>
      </c>
      <c r="M8950" s="78" t="str">
        <f>IFERROR(VLOOKUP(A8950, Entries!A:B,2,false),"")</f>
        <v/>
      </c>
      <c r="N8950" s="23" t="str">
        <f>IFERROR(VLOOKUP(A8950, Entries!A:K,11,false),"")</f>
        <v/>
      </c>
    </row>
    <row r="8951">
      <c r="A8951" s="78" t="s">
        <v>10168</v>
      </c>
      <c r="B8951" s="78" t="s">
        <v>29</v>
      </c>
      <c r="C8951" s="85">
        <v>46194.0</v>
      </c>
      <c r="D8951" s="85">
        <v>46194.0</v>
      </c>
      <c r="E8951" s="86">
        <v>21.79</v>
      </c>
      <c r="F8951" s="87">
        <v>26.85</v>
      </c>
      <c r="G8951" s="88">
        <f t="shared" si="23"/>
        <v>5.06</v>
      </c>
      <c r="H8951" s="89">
        <f t="shared" si="28"/>
        <v>0.1884543762</v>
      </c>
      <c r="I8951" s="78" t="s">
        <v>10170</v>
      </c>
      <c r="J8951" s="78" t="s">
        <v>69</v>
      </c>
      <c r="K8951" s="58">
        <f t="shared" si="27"/>
        <v>0</v>
      </c>
      <c r="L8951" s="91" t="str">
        <f t="shared" si="8"/>
        <v>Sun</v>
      </c>
      <c r="M8951" s="78" t="str">
        <f>IFERROR(VLOOKUP(A8951, Entries!A:B,2,false),"")</f>
        <v/>
      </c>
      <c r="N8951" s="23" t="str">
        <f>IFERROR(VLOOKUP(A8951, Entries!A:K,11,false),"")</f>
        <v/>
      </c>
    </row>
    <row r="8952">
      <c r="A8952" s="78" t="s">
        <v>10168</v>
      </c>
      <c r="B8952" s="78" t="s">
        <v>29</v>
      </c>
      <c r="C8952" s="85">
        <v>46194.0</v>
      </c>
      <c r="D8952" s="85">
        <v>46194.0</v>
      </c>
      <c r="E8952" s="86">
        <v>21.8</v>
      </c>
      <c r="F8952" s="87">
        <v>26.85</v>
      </c>
      <c r="G8952" s="88">
        <f t="shared" si="23"/>
        <v>5.05</v>
      </c>
      <c r="H8952" s="89">
        <f t="shared" si="28"/>
        <v>0.1880819367</v>
      </c>
      <c r="I8952" s="78" t="s">
        <v>10171</v>
      </c>
      <c r="J8952" s="78" t="s">
        <v>69</v>
      </c>
      <c r="K8952" s="58">
        <f t="shared" si="27"/>
        <v>0</v>
      </c>
      <c r="L8952" s="91" t="str">
        <f t="shared" si="8"/>
        <v>Sun</v>
      </c>
      <c r="M8952" s="78" t="str">
        <f>IFERROR(VLOOKUP(A8952, Entries!A:B,2,false),"")</f>
        <v/>
      </c>
      <c r="N8952" s="23" t="str">
        <f>IFERROR(VLOOKUP(A8952, Entries!A:K,11,false),"")</f>
        <v/>
      </c>
    </row>
    <row r="8953">
      <c r="A8953" s="78" t="s">
        <v>9632</v>
      </c>
      <c r="B8953" s="78" t="s">
        <v>29</v>
      </c>
      <c r="C8953" s="85">
        <v>46194.0</v>
      </c>
      <c r="D8953" s="25"/>
      <c r="E8953" s="86">
        <v>35.46</v>
      </c>
      <c r="F8953" s="88"/>
      <c r="G8953" s="88">
        <f t="shared" si="23"/>
        <v>-35.46</v>
      </c>
      <c r="H8953" s="89" t="str">
        <f t="shared" si="28"/>
        <v/>
      </c>
      <c r="I8953" s="78" t="s">
        <v>10172</v>
      </c>
      <c r="J8953" s="78" t="s">
        <v>1129</v>
      </c>
      <c r="K8953" s="58" t="str">
        <f t="shared" si="27"/>
        <v/>
      </c>
      <c r="L8953" s="91" t="str">
        <f t="shared" si="8"/>
        <v/>
      </c>
      <c r="M8953" s="78" t="str">
        <f>IFERROR(VLOOKUP(A8953, Entries!A:B,2,false),"")</f>
        <v/>
      </c>
      <c r="N8953" s="23" t="str">
        <f>IFERROR(VLOOKUP(A8953, Entries!A:K,11,false),"")</f>
        <v/>
      </c>
    </row>
    <row r="8954">
      <c r="A8954" s="78" t="s">
        <v>10173</v>
      </c>
      <c r="B8954" s="78" t="s">
        <v>27</v>
      </c>
      <c r="C8954" s="85">
        <v>46195.0</v>
      </c>
      <c r="D8954" s="25"/>
      <c r="E8954" s="86">
        <v>5.79</v>
      </c>
      <c r="F8954" s="88"/>
      <c r="G8954" s="88">
        <f t="shared" si="23"/>
        <v>-5.79</v>
      </c>
      <c r="H8954" s="89" t="str">
        <f t="shared" si="28"/>
        <v/>
      </c>
      <c r="I8954" s="78" t="s">
        <v>10174</v>
      </c>
      <c r="J8954" s="78" t="s">
        <v>1129</v>
      </c>
      <c r="K8954" s="58" t="str">
        <f t="shared" si="27"/>
        <v/>
      </c>
      <c r="L8954" s="91" t="str">
        <f t="shared" si="8"/>
        <v/>
      </c>
      <c r="M8954" s="78" t="str">
        <f>IFERROR(VLOOKUP(A8954, Entries!A:B,2,false),"")</f>
        <v/>
      </c>
      <c r="N8954" s="23" t="str">
        <f>IFERROR(VLOOKUP(A8954, Entries!A:K,11,false),"")</f>
        <v/>
      </c>
    </row>
    <row r="8955">
      <c r="A8955" s="78" t="s">
        <v>9871</v>
      </c>
      <c r="B8955" s="78" t="s">
        <v>27</v>
      </c>
      <c r="C8955" s="85">
        <v>46196.0</v>
      </c>
      <c r="D8955" s="85">
        <v>46197.0</v>
      </c>
      <c r="E8955" s="86">
        <v>26.69</v>
      </c>
      <c r="F8955" s="87">
        <v>29.95</v>
      </c>
      <c r="G8955" s="88">
        <f t="shared" si="23"/>
        <v>3.26</v>
      </c>
      <c r="H8955" s="89">
        <f t="shared" si="28"/>
        <v>0.1088480801</v>
      </c>
      <c r="I8955" s="78" t="s">
        <v>10175</v>
      </c>
      <c r="J8955" s="78" t="s">
        <v>69</v>
      </c>
      <c r="K8955" s="58">
        <f t="shared" si="27"/>
        <v>1</v>
      </c>
      <c r="L8955" s="91" t="str">
        <f t="shared" si="8"/>
        <v>Wed</v>
      </c>
      <c r="M8955" s="78" t="str">
        <f>IFERROR(VLOOKUP(A8955, Entries!A:B,2,false),"")</f>
        <v/>
      </c>
      <c r="N8955" s="23" t="str">
        <f>IFERROR(VLOOKUP(A8955, Entries!A:K,11,false),"")</f>
        <v/>
      </c>
    </row>
    <row r="8956">
      <c r="A8956" s="78" t="s">
        <v>8432</v>
      </c>
      <c r="B8956" s="78" t="s">
        <v>27</v>
      </c>
      <c r="C8956" s="85">
        <v>46196.0</v>
      </c>
      <c r="D8956" s="85">
        <v>46196.0</v>
      </c>
      <c r="E8956" s="86">
        <v>23.19</v>
      </c>
      <c r="F8956" s="87">
        <v>25.98</v>
      </c>
      <c r="G8956" s="88">
        <f t="shared" si="23"/>
        <v>2.79</v>
      </c>
      <c r="H8956" s="89">
        <f t="shared" si="28"/>
        <v>0.1073903002</v>
      </c>
      <c r="I8956" s="78" t="s">
        <v>10176</v>
      </c>
      <c r="J8956" s="78" t="s">
        <v>69</v>
      </c>
      <c r="K8956" s="58">
        <f t="shared" si="27"/>
        <v>0</v>
      </c>
      <c r="L8956" s="91" t="str">
        <f t="shared" si="8"/>
        <v>Tue</v>
      </c>
      <c r="M8956" s="78" t="str">
        <f>IFERROR(VLOOKUP(A8956, Entries!A:B,2,false),"")</f>
        <v>PlayStation</v>
      </c>
      <c r="N8956" s="23" t="str">
        <f>IFERROR(VLOOKUP(A8956, Entries!A:K,11,false),"")</f>
        <v/>
      </c>
    </row>
    <row r="8957">
      <c r="A8957" s="78" t="s">
        <v>10012</v>
      </c>
      <c r="B8957" s="78" t="s">
        <v>27</v>
      </c>
      <c r="C8957" s="85">
        <v>46196.0</v>
      </c>
      <c r="D8957" s="85">
        <v>46197.0</v>
      </c>
      <c r="E8957" s="86">
        <v>17.39</v>
      </c>
      <c r="F8957" s="87">
        <v>22.3</v>
      </c>
      <c r="G8957" s="88">
        <f t="shared" si="23"/>
        <v>4.91</v>
      </c>
      <c r="H8957" s="89">
        <f t="shared" si="28"/>
        <v>0.2201793722</v>
      </c>
      <c r="I8957" s="78" t="s">
        <v>10177</v>
      </c>
      <c r="J8957" s="78" t="s">
        <v>69</v>
      </c>
      <c r="K8957" s="58">
        <f t="shared" si="27"/>
        <v>1</v>
      </c>
      <c r="L8957" s="91" t="str">
        <f t="shared" si="8"/>
        <v>Wed</v>
      </c>
      <c r="M8957" s="78" t="str">
        <f>IFERROR(VLOOKUP(A8957, Entries!A:B,2,false),"")</f>
        <v/>
      </c>
      <c r="N8957" s="23" t="str">
        <f>IFERROR(VLOOKUP(A8957, Entries!A:K,11,false),"")</f>
        <v/>
      </c>
    </row>
    <row r="8958">
      <c r="A8958" s="78" t="s">
        <v>8432</v>
      </c>
      <c r="B8958" s="78" t="s">
        <v>27</v>
      </c>
      <c r="C8958" s="85">
        <v>46196.0</v>
      </c>
      <c r="D8958" s="85">
        <v>46197.0</v>
      </c>
      <c r="E8958" s="86">
        <v>23.19</v>
      </c>
      <c r="F8958" s="87">
        <v>25.52</v>
      </c>
      <c r="G8958" s="88">
        <f t="shared" si="23"/>
        <v>2.33</v>
      </c>
      <c r="H8958" s="89">
        <f t="shared" si="28"/>
        <v>0.09130094044</v>
      </c>
      <c r="I8958" s="78" t="s">
        <v>10178</v>
      </c>
      <c r="J8958" s="78" t="s">
        <v>69</v>
      </c>
      <c r="K8958" s="58">
        <f t="shared" si="27"/>
        <v>1</v>
      </c>
      <c r="L8958" s="91" t="str">
        <f t="shared" si="8"/>
        <v>Wed</v>
      </c>
      <c r="M8958" s="78" t="str">
        <f>IFERROR(VLOOKUP(A8958, Entries!A:B,2,false),"")</f>
        <v>PlayStation</v>
      </c>
      <c r="N8958" s="23" t="str">
        <f>IFERROR(VLOOKUP(A8958, Entries!A:K,11,false),"")</f>
        <v/>
      </c>
    </row>
    <row r="8959">
      <c r="A8959" s="78" t="s">
        <v>10012</v>
      </c>
      <c r="B8959" s="78" t="s">
        <v>27</v>
      </c>
      <c r="C8959" s="85">
        <v>46197.0</v>
      </c>
      <c r="D8959" s="85">
        <v>46198.0</v>
      </c>
      <c r="E8959" s="86">
        <v>17.39</v>
      </c>
      <c r="F8959" s="87">
        <v>24.65</v>
      </c>
      <c r="G8959" s="88">
        <f t="shared" si="23"/>
        <v>7.26</v>
      </c>
      <c r="H8959" s="89">
        <f t="shared" si="28"/>
        <v>0.2945233266</v>
      </c>
      <c r="I8959" s="78" t="s">
        <v>10179</v>
      </c>
      <c r="J8959" s="78" t="s">
        <v>69</v>
      </c>
      <c r="K8959" s="58">
        <f t="shared" si="27"/>
        <v>1</v>
      </c>
      <c r="L8959" s="91" t="str">
        <f t="shared" si="8"/>
        <v>Thu</v>
      </c>
      <c r="M8959" s="78" t="str">
        <f>IFERROR(VLOOKUP(A8959, Entries!A:B,2,false),"")</f>
        <v/>
      </c>
      <c r="N8959" s="23" t="str">
        <f>IFERROR(VLOOKUP(A8959, Entries!A:K,11,false),"")</f>
        <v/>
      </c>
    </row>
    <row r="8960">
      <c r="A8960" s="78" t="s">
        <v>8684</v>
      </c>
      <c r="B8960" s="78" t="s">
        <v>27</v>
      </c>
      <c r="C8960" s="85">
        <v>46197.0</v>
      </c>
      <c r="D8960" s="85">
        <v>46198.0</v>
      </c>
      <c r="E8960" s="86">
        <v>23.19</v>
      </c>
      <c r="F8960" s="87">
        <v>25.6</v>
      </c>
      <c r="G8960" s="88">
        <f t="shared" si="23"/>
        <v>2.41</v>
      </c>
      <c r="H8960" s="89">
        <f t="shared" si="28"/>
        <v>0.094140625</v>
      </c>
      <c r="I8960" s="78" t="s">
        <v>9257</v>
      </c>
      <c r="J8960" s="78" t="s">
        <v>69</v>
      </c>
      <c r="K8960" s="58">
        <f t="shared" si="27"/>
        <v>1</v>
      </c>
      <c r="L8960" s="91" t="str">
        <f t="shared" si="8"/>
        <v>Thu</v>
      </c>
      <c r="M8960" s="78" t="str">
        <f>IFERROR(VLOOKUP(A8960, Entries!A:B,2,false),"")</f>
        <v/>
      </c>
    </row>
    <row r="8961">
      <c r="A8961" s="78" t="s">
        <v>10012</v>
      </c>
      <c r="B8961" s="78" t="s">
        <v>27</v>
      </c>
      <c r="C8961" s="85">
        <v>46198.0</v>
      </c>
      <c r="D8961" s="25"/>
      <c r="E8961" s="86">
        <v>17.39</v>
      </c>
      <c r="F8961" s="88"/>
      <c r="G8961" s="88">
        <f t="shared" si="23"/>
        <v>-17.39</v>
      </c>
      <c r="H8961" s="89" t="str">
        <f t="shared" si="28"/>
        <v/>
      </c>
      <c r="I8961" s="78" t="s">
        <v>10180</v>
      </c>
      <c r="J8961" s="78" t="s">
        <v>1129</v>
      </c>
      <c r="K8961" s="58" t="str">
        <f t="shared" si="27"/>
        <v/>
      </c>
      <c r="L8961" s="91" t="str">
        <f t="shared" si="8"/>
        <v/>
      </c>
      <c r="M8961" s="78" t="str">
        <f>IFERROR(VLOOKUP(A8961, Entries!A:B,2,false),"")</f>
        <v/>
      </c>
      <c r="N8961" s="23" t="str">
        <f>IFERROR(VLOOKUP(A8961, Entries!A:K,11,false),"")</f>
        <v/>
      </c>
    </row>
    <row r="8962">
      <c r="A8962" s="78" t="s">
        <v>8684</v>
      </c>
      <c r="B8962" s="78" t="s">
        <v>27</v>
      </c>
      <c r="C8962" s="85">
        <v>46198.0</v>
      </c>
      <c r="D8962" s="85">
        <v>46198.0</v>
      </c>
      <c r="E8962" s="86">
        <v>23.19</v>
      </c>
      <c r="F8962" s="87">
        <v>25.6</v>
      </c>
      <c r="G8962" s="88">
        <f t="shared" si="23"/>
        <v>2.41</v>
      </c>
      <c r="H8962" s="89">
        <f t="shared" si="28"/>
        <v>0.094140625</v>
      </c>
      <c r="I8962" s="78" t="s">
        <v>4864</v>
      </c>
      <c r="J8962" s="78" t="s">
        <v>69</v>
      </c>
      <c r="K8962" s="58">
        <f t="shared" si="27"/>
        <v>0</v>
      </c>
      <c r="L8962" s="91" t="str">
        <f t="shared" si="8"/>
        <v>Thu</v>
      </c>
      <c r="M8962" s="78" t="str">
        <f>IFERROR(VLOOKUP(A8962, Entries!A:B,2,false),"")</f>
        <v/>
      </c>
    </row>
    <row r="8963">
      <c r="A8963" s="78" t="s">
        <v>8684</v>
      </c>
      <c r="B8963" s="78" t="s">
        <v>27</v>
      </c>
      <c r="C8963" s="85">
        <v>46198.0</v>
      </c>
      <c r="D8963" s="85">
        <v>46198.0</v>
      </c>
      <c r="E8963" s="86">
        <v>23.19</v>
      </c>
      <c r="F8963" s="87">
        <v>25.5</v>
      </c>
      <c r="G8963" s="88">
        <f t="shared" si="23"/>
        <v>2.31</v>
      </c>
      <c r="H8963" s="89">
        <f t="shared" si="28"/>
        <v>0.09058823529</v>
      </c>
      <c r="I8963" s="78" t="s">
        <v>4865</v>
      </c>
      <c r="J8963" s="78" t="s">
        <v>69</v>
      </c>
      <c r="K8963" s="58">
        <f t="shared" si="27"/>
        <v>0</v>
      </c>
      <c r="L8963" s="91" t="str">
        <f t="shared" si="8"/>
        <v>Thu</v>
      </c>
      <c r="M8963" s="78" t="str">
        <f>IFERROR(VLOOKUP(A8963, Entries!A:B,2,false),"")</f>
        <v/>
      </c>
    </row>
    <row r="8964">
      <c r="A8964" s="78" t="s">
        <v>375</v>
      </c>
      <c r="B8964" s="78" t="s">
        <v>32</v>
      </c>
      <c r="C8964" s="85">
        <v>46198.0</v>
      </c>
      <c r="D8964" s="85">
        <v>46198.0</v>
      </c>
      <c r="E8964" s="86">
        <v>3.14</v>
      </c>
      <c r="F8964" s="87">
        <v>4.5</v>
      </c>
      <c r="G8964" s="88">
        <f t="shared" si="23"/>
        <v>1.36</v>
      </c>
      <c r="H8964" s="89">
        <f t="shared" si="28"/>
        <v>0.3022222222</v>
      </c>
      <c r="I8964" s="78" t="s">
        <v>10181</v>
      </c>
      <c r="J8964" s="78" t="s">
        <v>69</v>
      </c>
      <c r="K8964" s="58">
        <f t="shared" si="27"/>
        <v>0</v>
      </c>
      <c r="L8964" s="91" t="str">
        <f t="shared" si="8"/>
        <v>Thu</v>
      </c>
      <c r="M8964" s="78" t="str">
        <f>IFERROR(VLOOKUP(A8964, Entries!A:B,2,false),"")</f>
        <v>Survios</v>
      </c>
    </row>
    <row r="8965">
      <c r="A8965" s="78" t="s">
        <v>375</v>
      </c>
      <c r="B8965" s="78" t="s">
        <v>32</v>
      </c>
      <c r="C8965" s="85">
        <v>46198.0</v>
      </c>
      <c r="D8965" s="25"/>
      <c r="E8965" s="86">
        <v>3.14</v>
      </c>
      <c r="F8965" s="88"/>
      <c r="G8965" s="88">
        <f t="shared" si="23"/>
        <v>-3.14</v>
      </c>
      <c r="H8965" s="89" t="str">
        <f t="shared" si="28"/>
        <v/>
      </c>
      <c r="I8965" s="78" t="s">
        <v>10182</v>
      </c>
      <c r="J8965" s="78" t="s">
        <v>1129</v>
      </c>
      <c r="K8965" s="58" t="str">
        <f t="shared" si="27"/>
        <v/>
      </c>
      <c r="L8965" s="91" t="str">
        <f t="shared" si="8"/>
        <v/>
      </c>
      <c r="M8965" s="78" t="str">
        <f>IFERROR(VLOOKUP(A8965, Entries!A:B,2,false),"")</f>
        <v>Survios</v>
      </c>
      <c r="N8965" s="23" t="str">
        <f>IFERROR(VLOOKUP(A8965, Entries!A:K,11,false),"")</f>
        <v/>
      </c>
    </row>
    <row r="8966">
      <c r="A8966" s="78" t="s">
        <v>10104</v>
      </c>
      <c r="B8966" s="78" t="s">
        <v>27</v>
      </c>
      <c r="C8966" s="85">
        <v>46198.0</v>
      </c>
      <c r="D8966" s="25"/>
      <c r="E8966" s="86">
        <v>28.99</v>
      </c>
      <c r="F8966" s="88"/>
      <c r="G8966" s="88">
        <f t="shared" si="23"/>
        <v>-28.99</v>
      </c>
      <c r="H8966" s="89" t="str">
        <f t="shared" si="28"/>
        <v/>
      </c>
      <c r="I8966" s="78" t="s">
        <v>10183</v>
      </c>
      <c r="J8966" s="78" t="s">
        <v>1129</v>
      </c>
      <c r="K8966" s="58" t="str">
        <f t="shared" si="27"/>
        <v/>
      </c>
      <c r="L8966" s="91" t="str">
        <f t="shared" si="8"/>
        <v/>
      </c>
      <c r="M8966" s="78" t="str">
        <f>IFERROR(VLOOKUP(A8966, Entries!A:B,2,false),"")</f>
        <v/>
      </c>
      <c r="N8966" s="23" t="str">
        <f>IFERROR(VLOOKUP(A8966, Entries!A:K,11,false),"")</f>
        <v/>
      </c>
    </row>
    <row r="8967">
      <c r="A8967" s="78" t="s">
        <v>8432</v>
      </c>
      <c r="B8967" s="78" t="s">
        <v>27</v>
      </c>
      <c r="C8967" s="85">
        <v>46198.0</v>
      </c>
      <c r="D8967" s="25"/>
      <c r="E8967" s="86">
        <v>21.49</v>
      </c>
      <c r="F8967" s="88"/>
      <c r="G8967" s="88">
        <f t="shared" si="23"/>
        <v>-21.49</v>
      </c>
      <c r="H8967" s="89" t="str">
        <f t="shared" si="28"/>
        <v/>
      </c>
      <c r="I8967" s="78" t="s">
        <v>10184</v>
      </c>
      <c r="J8967" s="78" t="s">
        <v>1129</v>
      </c>
      <c r="K8967" s="58" t="str">
        <f t="shared" si="27"/>
        <v/>
      </c>
      <c r="L8967" s="91" t="str">
        <f t="shared" si="8"/>
        <v/>
      </c>
      <c r="M8967" s="78" t="str">
        <f>IFERROR(VLOOKUP(A8967, Entries!A:B,2,false),"")</f>
        <v>PlayStation</v>
      </c>
      <c r="N8967" s="23" t="str">
        <f>IFERROR(VLOOKUP(A8967, Entries!A:K,11,false),"")</f>
        <v/>
      </c>
    </row>
    <row r="8968">
      <c r="A8968" s="78" t="s">
        <v>9836</v>
      </c>
      <c r="B8968" s="78" t="s">
        <v>29</v>
      </c>
      <c r="C8968" s="85">
        <v>46198.0</v>
      </c>
      <c r="D8968" s="25"/>
      <c r="E8968" s="86">
        <v>3.99</v>
      </c>
      <c r="F8968" s="88"/>
      <c r="G8968" s="88">
        <f t="shared" si="23"/>
        <v>-3.99</v>
      </c>
      <c r="H8968" s="89" t="str">
        <f t="shared" si="28"/>
        <v/>
      </c>
      <c r="I8968" s="78" t="s">
        <v>10185</v>
      </c>
      <c r="J8968" s="78" t="s">
        <v>1129</v>
      </c>
      <c r="K8968" s="58" t="str">
        <f t="shared" si="27"/>
        <v/>
      </c>
      <c r="L8968" s="91" t="str">
        <f t="shared" si="8"/>
        <v/>
      </c>
      <c r="M8968" s="78" t="str">
        <f>IFERROR(VLOOKUP(A8968, Entries!A:B,2,false),"")</f>
        <v/>
      </c>
      <c r="N8968" s="23" t="str">
        <f>IFERROR(VLOOKUP(A8968, Entries!A:K,11,false),"")</f>
        <v/>
      </c>
    </row>
    <row r="8969">
      <c r="A8969" s="78" t="s">
        <v>2466</v>
      </c>
      <c r="B8969" s="78" t="s">
        <v>27</v>
      </c>
      <c r="C8969" s="85">
        <v>46198.0</v>
      </c>
      <c r="D8969" s="85">
        <v>46199.0</v>
      </c>
      <c r="E8969" s="86">
        <v>11.39</v>
      </c>
      <c r="F8969" s="87">
        <v>13.32</v>
      </c>
      <c r="G8969" s="88">
        <f t="shared" si="23"/>
        <v>1.93</v>
      </c>
      <c r="H8969" s="89">
        <f t="shared" si="28"/>
        <v>0.1448948949</v>
      </c>
      <c r="I8969" s="78" t="s">
        <v>10186</v>
      </c>
      <c r="J8969" s="78" t="s">
        <v>69</v>
      </c>
      <c r="K8969" s="58">
        <f t="shared" si="27"/>
        <v>1</v>
      </c>
      <c r="L8969" s="91" t="str">
        <f t="shared" si="8"/>
        <v>Fri</v>
      </c>
      <c r="M8969" s="78" t="str">
        <f>IFERROR(VLOOKUP(A8969, Entries!A:B,2,false),"")</f>
        <v>Bethesda Softworks</v>
      </c>
    </row>
    <row r="8970">
      <c r="A8970" s="78" t="s">
        <v>2466</v>
      </c>
      <c r="B8970" s="78" t="s">
        <v>27</v>
      </c>
      <c r="C8970" s="85">
        <v>46199.0</v>
      </c>
      <c r="D8970" s="25"/>
      <c r="E8970" s="86">
        <v>11.39</v>
      </c>
      <c r="F8970" s="88"/>
      <c r="G8970" s="88">
        <f t="shared" si="23"/>
        <v>-11.39</v>
      </c>
      <c r="H8970" s="89" t="str">
        <f t="shared" si="28"/>
        <v/>
      </c>
      <c r="I8970" s="78" t="s">
        <v>10187</v>
      </c>
      <c r="J8970" s="78" t="s">
        <v>1129</v>
      </c>
      <c r="K8970" s="58" t="str">
        <f t="shared" si="27"/>
        <v/>
      </c>
      <c r="L8970" s="91" t="str">
        <f t="shared" si="8"/>
        <v/>
      </c>
      <c r="M8970" s="78" t="str">
        <f>IFERROR(VLOOKUP(A8970, Entries!A:B,2,false),"")</f>
        <v>Bethesda Softworks</v>
      </c>
      <c r="N8970" s="23" t="str">
        <f>IFERROR(VLOOKUP(A8970, Entries!A:K,11,false),"")</f>
        <v/>
      </c>
    </row>
    <row r="8971">
      <c r="A8971" s="78" t="s">
        <v>9233</v>
      </c>
      <c r="B8971" s="78" t="s">
        <v>25</v>
      </c>
      <c r="C8971" s="85">
        <v>46199.0</v>
      </c>
      <c r="D8971" s="85">
        <v>46199.0</v>
      </c>
      <c r="E8971" s="86">
        <v>12.7</v>
      </c>
      <c r="F8971" s="87">
        <v>19.46</v>
      </c>
      <c r="G8971" s="88">
        <f t="shared" si="23"/>
        <v>6.76</v>
      </c>
      <c r="H8971" s="89">
        <f t="shared" si="28"/>
        <v>0.3473792395</v>
      </c>
      <c r="I8971" s="78" t="s">
        <v>10188</v>
      </c>
      <c r="J8971" s="78" t="s">
        <v>69</v>
      </c>
      <c r="K8971" s="58">
        <f t="shared" si="27"/>
        <v>0</v>
      </c>
      <c r="L8971" s="91" t="str">
        <f t="shared" si="8"/>
        <v>Fri</v>
      </c>
      <c r="M8971" s="78" t="str">
        <f>IFERROR(VLOOKUP(A8971, Entries!A:B,2,false),"")</f>
        <v>Behaviour Interactive</v>
      </c>
    </row>
    <row r="8972">
      <c r="A8972" s="78" t="s">
        <v>9233</v>
      </c>
      <c r="B8972" s="78" t="s">
        <v>25</v>
      </c>
      <c r="C8972" s="85">
        <v>46199.0</v>
      </c>
      <c r="D8972" s="85">
        <v>46201.0</v>
      </c>
      <c r="E8972" s="86">
        <v>12.71</v>
      </c>
      <c r="F8972" s="87">
        <v>19.46</v>
      </c>
      <c r="G8972" s="88">
        <f t="shared" si="23"/>
        <v>6.75</v>
      </c>
      <c r="H8972" s="89">
        <f t="shared" si="28"/>
        <v>0.3468653649</v>
      </c>
      <c r="I8972" s="78" t="s">
        <v>10189</v>
      </c>
      <c r="J8972" s="78" t="s">
        <v>69</v>
      </c>
      <c r="K8972" s="58">
        <f t="shared" si="27"/>
        <v>2</v>
      </c>
      <c r="L8972" s="91" t="str">
        <f t="shared" si="8"/>
        <v>Sun</v>
      </c>
      <c r="M8972" s="78" t="str">
        <f>IFERROR(VLOOKUP(A8972, Entries!A:B,2,false),"")</f>
        <v>Behaviour Interactive</v>
      </c>
      <c r="N8972" s="23" t="str">
        <f>IFERROR(VLOOKUP(A8972, Entries!A:K,11,false),"")</f>
        <v/>
      </c>
    </row>
    <row r="8973">
      <c r="A8973" s="78" t="s">
        <v>9233</v>
      </c>
      <c r="B8973" s="78" t="s">
        <v>25</v>
      </c>
      <c r="C8973" s="85">
        <v>46199.0</v>
      </c>
      <c r="D8973" s="85">
        <v>46201.0</v>
      </c>
      <c r="E8973" s="86">
        <v>12.71</v>
      </c>
      <c r="F8973" s="87">
        <v>19.46</v>
      </c>
      <c r="G8973" s="88">
        <f t="shared" si="23"/>
        <v>6.75</v>
      </c>
      <c r="H8973" s="89">
        <f t="shared" si="28"/>
        <v>0.3468653649</v>
      </c>
      <c r="I8973" s="78" t="s">
        <v>10190</v>
      </c>
      <c r="J8973" s="78" t="s">
        <v>69</v>
      </c>
      <c r="K8973" s="58">
        <f t="shared" si="27"/>
        <v>2</v>
      </c>
      <c r="L8973" s="91" t="str">
        <f t="shared" si="8"/>
        <v>Sun</v>
      </c>
      <c r="M8973" s="78" t="str">
        <f>IFERROR(VLOOKUP(A8973, Entries!A:B,2,false),"")</f>
        <v>Behaviour Interactive</v>
      </c>
      <c r="N8973" s="23" t="str">
        <f>IFERROR(VLOOKUP(A8973, Entries!A:K,11,false),"")</f>
        <v/>
      </c>
    </row>
    <row r="8974">
      <c r="A8974" s="78" t="s">
        <v>9233</v>
      </c>
      <c r="B8974" s="78" t="s">
        <v>25</v>
      </c>
      <c r="C8974" s="85">
        <v>46201.0</v>
      </c>
      <c r="D8974" s="85">
        <v>46202.0</v>
      </c>
      <c r="E8974" s="86">
        <v>14.39</v>
      </c>
      <c r="F8974" s="87">
        <v>19.46</v>
      </c>
      <c r="G8974" s="88">
        <f t="shared" si="23"/>
        <v>5.07</v>
      </c>
      <c r="H8974" s="89">
        <f t="shared" si="28"/>
        <v>0.2605344296</v>
      </c>
      <c r="I8974" s="78" t="s">
        <v>10191</v>
      </c>
      <c r="J8974" s="78" t="s">
        <v>69</v>
      </c>
      <c r="K8974" s="58">
        <f t="shared" si="27"/>
        <v>1</v>
      </c>
      <c r="L8974" s="91" t="str">
        <f t="shared" si="8"/>
        <v>Mon</v>
      </c>
      <c r="M8974" s="78" t="str">
        <f>IFERROR(VLOOKUP(A8974, Entries!A:B,2,false),"")</f>
        <v>Behaviour Interactive</v>
      </c>
      <c r="N8974" s="23" t="str">
        <f>IFERROR(VLOOKUP(A8974, Entries!A:K,11,false),"")</f>
        <v/>
      </c>
    </row>
    <row r="8975">
      <c r="A8975" s="78" t="s">
        <v>9233</v>
      </c>
      <c r="B8975" s="78" t="s">
        <v>25</v>
      </c>
      <c r="C8975" s="85">
        <v>46201.0</v>
      </c>
      <c r="D8975" s="85">
        <v>46203.0</v>
      </c>
      <c r="E8975" s="86">
        <v>14.4</v>
      </c>
      <c r="F8975" s="87">
        <v>19.46</v>
      </c>
      <c r="G8975" s="88">
        <f t="shared" si="23"/>
        <v>5.06</v>
      </c>
      <c r="H8975" s="89">
        <f t="shared" si="28"/>
        <v>0.260020555</v>
      </c>
      <c r="I8975" s="78" t="s">
        <v>10192</v>
      </c>
      <c r="J8975" s="78" t="s">
        <v>69</v>
      </c>
      <c r="K8975" s="58">
        <f t="shared" si="27"/>
        <v>2</v>
      </c>
      <c r="L8975" s="91" t="str">
        <f t="shared" si="8"/>
        <v>Tue</v>
      </c>
      <c r="M8975" s="78" t="str">
        <f>IFERROR(VLOOKUP(A8975, Entries!A:B,2,false),"")</f>
        <v>Behaviour Interactive</v>
      </c>
      <c r="N8975" s="23" t="str">
        <f>IFERROR(VLOOKUP(A8975, Entries!A:K,11,false),"")</f>
        <v/>
      </c>
    </row>
    <row r="8976">
      <c r="A8976" s="78" t="s">
        <v>9233</v>
      </c>
      <c r="B8976" s="78" t="s">
        <v>25</v>
      </c>
      <c r="C8976" s="85">
        <v>46201.0</v>
      </c>
      <c r="D8976" s="114">
        <v>46204.0</v>
      </c>
      <c r="E8976" s="86">
        <v>14.4</v>
      </c>
      <c r="F8976" s="87">
        <v>19.46</v>
      </c>
      <c r="G8976" s="88">
        <f t="shared" si="23"/>
        <v>5.06</v>
      </c>
      <c r="H8976" s="89">
        <f t="shared" si="28"/>
        <v>0.260020555</v>
      </c>
      <c r="I8976" s="78" t="s">
        <v>10193</v>
      </c>
      <c r="J8976" s="78" t="s">
        <v>69</v>
      </c>
      <c r="K8976" s="58">
        <f t="shared" si="27"/>
        <v>3</v>
      </c>
      <c r="L8976" s="91" t="str">
        <f t="shared" si="8"/>
        <v>Wed</v>
      </c>
      <c r="M8976" s="78" t="str">
        <f>IFERROR(VLOOKUP(A8976, Entries!A:B,2,false),"")</f>
        <v>Behaviour Interactive</v>
      </c>
      <c r="N8976" s="23" t="str">
        <f>IFERROR(VLOOKUP(A8976, Entries!A:K,11,false),"")</f>
        <v/>
      </c>
    </row>
    <row r="8977">
      <c r="A8977" s="78" t="s">
        <v>9455</v>
      </c>
      <c r="B8977" s="78" t="s">
        <v>19</v>
      </c>
      <c r="C8977" s="85">
        <v>46202.0</v>
      </c>
      <c r="D8977" s="25"/>
      <c r="E8977" s="86">
        <v>29.2</v>
      </c>
      <c r="F8977" s="88"/>
      <c r="G8977" s="88">
        <f t="shared" si="23"/>
        <v>-29.2</v>
      </c>
      <c r="H8977" s="89" t="str">
        <f t="shared" si="28"/>
        <v/>
      </c>
      <c r="I8977" s="78" t="s">
        <v>10194</v>
      </c>
      <c r="J8977" s="78" t="s">
        <v>1129</v>
      </c>
      <c r="K8977" s="58" t="str">
        <f t="shared" si="27"/>
        <v/>
      </c>
      <c r="L8977" s="91" t="str">
        <f t="shared" si="8"/>
        <v/>
      </c>
      <c r="M8977" s="78" t="str">
        <f>IFERROR(VLOOKUP(A8977, Entries!A:B,2,false),"")</f>
        <v/>
      </c>
      <c r="N8977" s="23" t="str">
        <f>IFERROR(VLOOKUP(A8977, Entries!A:K,11,false),"")</f>
        <v/>
      </c>
    </row>
    <row r="8978">
      <c r="A8978" s="78" t="s">
        <v>10195</v>
      </c>
      <c r="B8978" s="78" t="s">
        <v>19</v>
      </c>
      <c r="C8978" s="85">
        <v>46202.0</v>
      </c>
      <c r="D8978" s="25"/>
      <c r="E8978" s="86">
        <v>0.0</v>
      </c>
      <c r="F8978" s="88"/>
      <c r="G8978" s="88">
        <f t="shared" si="23"/>
        <v>0</v>
      </c>
      <c r="H8978" s="89" t="str">
        <f t="shared" si="28"/>
        <v/>
      </c>
      <c r="I8978" s="78" t="s">
        <v>10196</v>
      </c>
      <c r="J8978" s="78" t="s">
        <v>1129</v>
      </c>
      <c r="K8978" s="58" t="str">
        <f t="shared" si="27"/>
        <v/>
      </c>
      <c r="L8978" s="91" t="str">
        <f t="shared" si="8"/>
        <v/>
      </c>
      <c r="M8978" s="78" t="str">
        <f>IFERROR(VLOOKUP(A8978, Entries!A:B,2,false),"")</f>
        <v/>
      </c>
      <c r="N8978" s="23" t="str">
        <f>IFERROR(VLOOKUP(A8978, Entries!A:K,11,false),"")</f>
        <v/>
      </c>
    </row>
    <row r="8979">
      <c r="A8979" s="78" t="s">
        <v>9836</v>
      </c>
      <c r="B8979" s="78" t="s">
        <v>29</v>
      </c>
      <c r="C8979" s="85">
        <v>46203.0</v>
      </c>
      <c r="D8979" s="25"/>
      <c r="E8979" s="86">
        <v>4.76</v>
      </c>
      <c r="F8979" s="88"/>
      <c r="G8979" s="88">
        <f t="shared" si="23"/>
        <v>-4.76</v>
      </c>
      <c r="H8979" s="89" t="str">
        <f t="shared" si="28"/>
        <v/>
      </c>
      <c r="I8979" s="78" t="s">
        <v>10197</v>
      </c>
      <c r="J8979" s="78" t="s">
        <v>1129</v>
      </c>
      <c r="K8979" s="58" t="str">
        <f t="shared" si="27"/>
        <v/>
      </c>
      <c r="L8979" s="91" t="str">
        <f t="shared" si="8"/>
        <v/>
      </c>
      <c r="M8979" s="78" t="str">
        <f>IFERROR(VLOOKUP(A8979, Entries!A:B,2,false),"")</f>
        <v/>
      </c>
      <c r="N8979" s="23" t="str">
        <f>IFERROR(VLOOKUP(A8979, Entries!A:K,11,false),"")</f>
        <v/>
      </c>
    </row>
    <row r="8980">
      <c r="A8980" s="78" t="s">
        <v>9233</v>
      </c>
      <c r="B8980" s="78" t="s">
        <v>25</v>
      </c>
      <c r="C8980" s="85">
        <v>46204.0</v>
      </c>
      <c r="D8980" s="25"/>
      <c r="E8980" s="86">
        <v>15.04</v>
      </c>
      <c r="F8980" s="88"/>
      <c r="G8980" s="88">
        <f t="shared" si="23"/>
        <v>-15.04</v>
      </c>
      <c r="H8980" s="89" t="str">
        <f t="shared" si="28"/>
        <v/>
      </c>
      <c r="I8980" s="78" t="s">
        <v>10198</v>
      </c>
      <c r="J8980" s="78" t="s">
        <v>1129</v>
      </c>
      <c r="K8980" s="58" t="str">
        <f t="shared" si="27"/>
        <v/>
      </c>
      <c r="L8980" s="91" t="str">
        <f t="shared" si="8"/>
        <v/>
      </c>
      <c r="M8980" s="78" t="str">
        <f>IFERROR(VLOOKUP(A8980, Entries!A:B,2,false),"")</f>
        <v>Behaviour Interactive</v>
      </c>
      <c r="N8980" s="23" t="str">
        <f>IFERROR(VLOOKUP(A8980, Entries!A:K,11,false),"")</f>
        <v/>
      </c>
    </row>
    <row r="8981">
      <c r="A8981" s="78" t="s">
        <v>10199</v>
      </c>
      <c r="B8981" s="78" t="s">
        <v>25</v>
      </c>
      <c r="C8981" s="85">
        <v>46205.0</v>
      </c>
      <c r="D8981" s="114">
        <v>46207.0</v>
      </c>
      <c r="E8981" s="86">
        <v>0.0</v>
      </c>
      <c r="F8981" s="87">
        <v>1.28</v>
      </c>
      <c r="G8981" s="88">
        <f t="shared" si="23"/>
        <v>1.28</v>
      </c>
      <c r="H8981" s="89">
        <f t="shared" si="28"/>
        <v>1</v>
      </c>
      <c r="I8981" s="78" t="s">
        <v>10200</v>
      </c>
      <c r="J8981" s="78" t="s">
        <v>69</v>
      </c>
      <c r="K8981" s="58">
        <f t="shared" si="27"/>
        <v>2</v>
      </c>
      <c r="L8981" s="91" t="str">
        <f t="shared" si="8"/>
        <v>Sat</v>
      </c>
      <c r="M8981" s="78" t="str">
        <f>IFERROR(VLOOKUP(A8981, Entries!A:B,2,false),"")</f>
        <v/>
      </c>
      <c r="N8981" s="23" t="str">
        <f>IFERROR(VLOOKUP(A8981, Entries!A:K,11,false),"")</f>
        <v/>
      </c>
    </row>
    <row r="8982">
      <c r="A8982" s="78" t="s">
        <v>9018</v>
      </c>
      <c r="B8982" s="78" t="s">
        <v>27</v>
      </c>
      <c r="C8982" s="85">
        <v>46208.0</v>
      </c>
      <c r="D8982" s="25"/>
      <c r="E8982" s="86">
        <v>35.99</v>
      </c>
      <c r="F8982" s="88"/>
      <c r="G8982" s="88">
        <f t="shared" si="23"/>
        <v>-35.99</v>
      </c>
      <c r="H8982" s="89" t="str">
        <f t="shared" si="28"/>
        <v/>
      </c>
      <c r="I8982" s="78" t="s">
        <v>10201</v>
      </c>
      <c r="J8982" s="78" t="s">
        <v>1129</v>
      </c>
      <c r="K8982" s="58" t="str">
        <f t="shared" si="27"/>
        <v/>
      </c>
      <c r="L8982" s="91"/>
      <c r="M8982" s="78" t="str">
        <f>IFERROR(VLOOKUP(A8982, Entries!A:B,2,false),"")</f>
        <v>Game Science</v>
      </c>
      <c r="N8982" s="23" t="str">
        <f>IFERROR(VLOOKUP(A8982, Entries!A:K,11,false),"")</f>
        <v/>
      </c>
    </row>
    <row r="8983">
      <c r="C8983" s="85"/>
      <c r="D8983" s="25"/>
      <c r="E8983" s="77"/>
      <c r="F8983" s="88"/>
      <c r="G8983" s="88"/>
      <c r="H8983" s="89" t="str">
        <f t="shared" si="28"/>
        <v/>
      </c>
      <c r="K8983" s="58">
        <f t="shared" si="27"/>
        <v>0</v>
      </c>
      <c r="L8983" s="91"/>
      <c r="M8983" s="78" t="str">
        <f>IFERROR(VLOOKUP(A8983, Entries!A:B,2,false),"")</f>
        <v/>
      </c>
      <c r="N8983" s="23" t="str">
        <f>IFERROR(VLOOKUP(A8983, Entries!A:K,11,false),"")</f>
        <v/>
      </c>
    </row>
    <row r="8984">
      <c r="C8984" s="85"/>
      <c r="D8984" s="25"/>
      <c r="E8984" s="77"/>
      <c r="F8984" s="88"/>
      <c r="G8984" s="88"/>
      <c r="H8984" s="89" t="str">
        <f t="shared" si="28"/>
        <v/>
      </c>
      <c r="K8984" s="58">
        <f t="shared" si="27"/>
        <v>0</v>
      </c>
      <c r="L8984" s="91"/>
      <c r="M8984" s="78" t="str">
        <f>IFERROR(VLOOKUP(A8984, Entries!A:B,2,false),"")</f>
        <v/>
      </c>
      <c r="N8984" s="23" t="str">
        <f>IFERROR(VLOOKUP(A8984, Entries!A:K,11,false),"")</f>
        <v/>
      </c>
    </row>
    <row r="8985">
      <c r="C8985" s="85"/>
      <c r="D8985" s="25"/>
      <c r="E8985" s="77"/>
      <c r="F8985" s="88"/>
      <c r="G8985" s="88"/>
      <c r="H8985" s="89" t="str">
        <f t="shared" si="28"/>
        <v/>
      </c>
      <c r="K8985" s="58">
        <f t="shared" si="27"/>
        <v>0</v>
      </c>
      <c r="L8985" s="91"/>
      <c r="M8985" s="78" t="str">
        <f>IFERROR(VLOOKUP(A8985, Entries!A:B,2,false),"")</f>
        <v/>
      </c>
      <c r="N8985" s="23" t="str">
        <f>IFERROR(VLOOKUP(A8985, Entries!A:K,11,false),"")</f>
        <v/>
      </c>
    </row>
    <row r="8986">
      <c r="C8986" s="85"/>
      <c r="D8986" s="25"/>
      <c r="E8986" s="77"/>
      <c r="F8986" s="88"/>
      <c r="G8986" s="88"/>
      <c r="H8986" s="89" t="str">
        <f t="shared" si="28"/>
        <v/>
      </c>
      <c r="K8986" s="58">
        <f t="shared" si="27"/>
        <v>0</v>
      </c>
      <c r="L8986" s="91"/>
      <c r="M8986" s="78" t="str">
        <f>IFERROR(VLOOKUP(A8986, Entries!A:B,2,false),"")</f>
        <v/>
      </c>
      <c r="N8986" s="23" t="str">
        <f>IFERROR(VLOOKUP(A8986, Entries!A:K,11,false),"")</f>
        <v/>
      </c>
    </row>
    <row r="8987">
      <c r="C8987" s="85"/>
      <c r="D8987" s="25"/>
      <c r="E8987" s="77"/>
      <c r="F8987" s="88"/>
      <c r="G8987" s="88"/>
      <c r="H8987" s="89" t="str">
        <f t="shared" si="28"/>
        <v/>
      </c>
      <c r="K8987" s="58">
        <f t="shared" si="27"/>
        <v>0</v>
      </c>
      <c r="L8987" s="91"/>
      <c r="M8987" s="78" t="str">
        <f>IFERROR(VLOOKUP(A8987, Entries!A:B,2,false),"")</f>
        <v/>
      </c>
      <c r="N8987" s="23" t="str">
        <f>IFERROR(VLOOKUP(A8987, Entries!A:K,11,false),"")</f>
        <v/>
      </c>
    </row>
    <row r="8988">
      <c r="C8988" s="85"/>
      <c r="D8988" s="25"/>
      <c r="E8988" s="77"/>
      <c r="F8988" s="88"/>
      <c r="G8988" s="88"/>
      <c r="H8988" s="89" t="str">
        <f t="shared" si="28"/>
        <v/>
      </c>
      <c r="K8988" s="58">
        <f t="shared" si="27"/>
        <v>0</v>
      </c>
      <c r="L8988" s="91"/>
      <c r="M8988" s="78" t="str">
        <f>IFERROR(VLOOKUP(A8988, Entries!A:B,2,false),"")</f>
        <v/>
      </c>
      <c r="N8988" s="23" t="str">
        <f>IFERROR(VLOOKUP(A8988, Entries!A:K,11,false),"")</f>
        <v/>
      </c>
    </row>
    <row r="8989">
      <c r="C8989" s="85"/>
      <c r="D8989" s="25"/>
      <c r="E8989" s="77"/>
      <c r="F8989" s="88"/>
      <c r="G8989" s="88"/>
      <c r="H8989" s="89" t="str">
        <f t="shared" si="28"/>
        <v/>
      </c>
      <c r="K8989" s="58">
        <f t="shared" si="27"/>
        <v>0</v>
      </c>
      <c r="L8989" s="91"/>
      <c r="M8989" s="78" t="str">
        <f>IFERROR(VLOOKUP(A8989, Entries!A:B,2,false),"")</f>
        <v/>
      </c>
      <c r="N8989" s="23" t="str">
        <f>IFERROR(VLOOKUP(A8989, Entries!A:K,11,false),"")</f>
        <v/>
      </c>
    </row>
    <row r="8990">
      <c r="C8990" s="85"/>
      <c r="D8990" s="25"/>
      <c r="E8990" s="77"/>
      <c r="F8990" s="88"/>
      <c r="G8990" s="88"/>
      <c r="H8990" s="89" t="str">
        <f t="shared" si="28"/>
        <v/>
      </c>
      <c r="K8990" s="58">
        <f t="shared" si="27"/>
        <v>0</v>
      </c>
      <c r="L8990" s="91"/>
      <c r="M8990" s="78" t="str">
        <f>IFERROR(VLOOKUP(A8990, Entries!A:B,2,false),"")</f>
        <v/>
      </c>
      <c r="N8990" s="23" t="str">
        <f>IFERROR(VLOOKUP(A8990, Entries!A:K,11,false),"")</f>
        <v/>
      </c>
    </row>
    <row r="8991">
      <c r="C8991" s="85"/>
      <c r="D8991" s="25"/>
      <c r="E8991" s="77"/>
      <c r="F8991" s="88"/>
      <c r="G8991" s="88"/>
      <c r="H8991" s="89" t="str">
        <f t="shared" si="28"/>
        <v/>
      </c>
      <c r="K8991" s="58">
        <f t="shared" si="27"/>
        <v>0</v>
      </c>
      <c r="L8991" s="91"/>
      <c r="M8991" s="78" t="str">
        <f>IFERROR(VLOOKUP(A8991, Entries!A:B,2,false),"")</f>
        <v/>
      </c>
      <c r="N8991" s="23" t="str">
        <f>IFERROR(VLOOKUP(A8991, Entries!A:K,11,false),"")</f>
        <v/>
      </c>
    </row>
    <row r="8992">
      <c r="C8992" s="85"/>
      <c r="D8992" s="25"/>
      <c r="E8992" s="77"/>
      <c r="F8992" s="88"/>
      <c r="G8992" s="88"/>
      <c r="H8992" s="89" t="str">
        <f t="shared" si="28"/>
        <v/>
      </c>
      <c r="K8992" s="58">
        <f t="shared" si="27"/>
        <v>0</v>
      </c>
      <c r="L8992" s="91"/>
      <c r="M8992" s="78" t="str">
        <f>IFERROR(VLOOKUP(A8992, Entries!A:B,2,false),"")</f>
        <v/>
      </c>
      <c r="N8992" s="23" t="str">
        <f>IFERROR(VLOOKUP(A8992, Entries!A:K,11,false),"")</f>
        <v/>
      </c>
    </row>
    <row r="8993">
      <c r="C8993" s="85"/>
      <c r="D8993" s="25"/>
      <c r="E8993" s="77"/>
      <c r="F8993" s="88"/>
      <c r="G8993" s="88"/>
      <c r="H8993" s="89" t="str">
        <f t="shared" si="28"/>
        <v/>
      </c>
      <c r="K8993" s="58">
        <f t="shared" si="27"/>
        <v>0</v>
      </c>
      <c r="L8993" s="91"/>
      <c r="M8993" s="78" t="str">
        <f>IFERROR(VLOOKUP(A8993, Entries!A:B,2,false),"")</f>
        <v/>
      </c>
      <c r="N8993" s="23" t="str">
        <f>IFERROR(VLOOKUP(A8993, Entries!A:K,11,false),"")</f>
        <v/>
      </c>
    </row>
    <row r="8994">
      <c r="C8994" s="85"/>
      <c r="D8994" s="25"/>
      <c r="E8994" s="77"/>
      <c r="F8994" s="88"/>
      <c r="G8994" s="88"/>
      <c r="H8994" s="89" t="str">
        <f t="shared" si="28"/>
        <v/>
      </c>
      <c r="K8994" s="58">
        <f t="shared" si="27"/>
        <v>0</v>
      </c>
      <c r="L8994" s="91"/>
      <c r="M8994" s="78" t="str">
        <f>IFERROR(VLOOKUP(A8994, Entries!A:B,2,false),"")</f>
        <v/>
      </c>
      <c r="N8994" s="23" t="str">
        <f>IFERROR(VLOOKUP(A8994, Entries!A:K,11,false),"")</f>
        <v/>
      </c>
    </row>
    <row r="8995">
      <c r="C8995" s="85"/>
      <c r="D8995" s="25"/>
      <c r="E8995" s="77"/>
      <c r="F8995" s="88"/>
      <c r="G8995" s="88"/>
      <c r="H8995" s="89" t="str">
        <f t="shared" si="28"/>
        <v/>
      </c>
      <c r="K8995" s="58"/>
      <c r="L8995" s="91"/>
      <c r="M8995" s="78" t="str">
        <f>IFERROR(VLOOKUP(A8995, Entries!A:B,2,false),"")</f>
        <v/>
      </c>
      <c r="N8995" s="23" t="str">
        <f>IFERROR(VLOOKUP(A8995, Entries!A:K,11,false),"")</f>
        <v/>
      </c>
    </row>
    <row r="8996">
      <c r="C8996" s="85"/>
      <c r="D8996" s="25"/>
      <c r="E8996" s="77"/>
      <c r="F8996" s="88"/>
      <c r="G8996" s="88"/>
      <c r="H8996" s="89" t="str">
        <f t="shared" si="28"/>
        <v/>
      </c>
      <c r="K8996" s="58"/>
      <c r="L8996" s="91"/>
      <c r="M8996" s="78"/>
      <c r="N8996" s="23" t="str">
        <f>IFERROR(VLOOKUP(A8996, Entries!A:K,11,false),"")</f>
        <v/>
      </c>
    </row>
    <row r="8997">
      <c r="C8997" s="85"/>
      <c r="D8997" s="25"/>
      <c r="E8997" s="77"/>
      <c r="F8997" s="88"/>
      <c r="G8997" s="88"/>
      <c r="H8997" s="89" t="str">
        <f t="shared" si="28"/>
        <v/>
      </c>
      <c r="K8997" s="58"/>
      <c r="L8997" s="91"/>
      <c r="M8997" s="78"/>
      <c r="N8997" s="23" t="str">
        <f>IFERROR(VLOOKUP(A8997, Entries!A:K,11,false),"")</f>
        <v/>
      </c>
    </row>
    <row r="8998">
      <c r="C8998" s="85"/>
      <c r="D8998" s="25"/>
      <c r="E8998" s="77"/>
      <c r="F8998" s="88"/>
      <c r="G8998" s="88"/>
      <c r="H8998" s="89"/>
      <c r="K8998" s="58"/>
      <c r="L8998" s="91"/>
      <c r="M8998" s="78"/>
      <c r="N8998" s="23" t="str">
        <f>IFERROR(VLOOKUP(A8998, Entries!A:K,11,false),"")</f>
        <v/>
      </c>
    </row>
    <row r="8999">
      <c r="C8999" s="85"/>
      <c r="D8999" s="25"/>
      <c r="E8999" s="77"/>
      <c r="F8999" s="88"/>
      <c r="G8999" s="88"/>
      <c r="H8999" s="89"/>
      <c r="K8999" s="58"/>
      <c r="L8999" s="91"/>
      <c r="M8999" s="78"/>
    </row>
    <row r="9000">
      <c r="C9000" s="85"/>
      <c r="D9000" s="25"/>
      <c r="E9000" s="77"/>
      <c r="F9000" s="88"/>
      <c r="G9000" s="88"/>
      <c r="H9000" s="89"/>
      <c r="K9000" s="58"/>
      <c r="L9000" s="91"/>
      <c r="M9000" s="78"/>
    </row>
    <row r="9001">
      <c r="C9001" s="85"/>
      <c r="D9001" s="25"/>
      <c r="E9001" s="77"/>
      <c r="F9001" s="88"/>
      <c r="G9001" s="88"/>
      <c r="H9001" s="89"/>
      <c r="K9001" s="58"/>
      <c r="L9001" s="91"/>
      <c r="M9001" s="78"/>
    </row>
    <row r="9002">
      <c r="C9002" s="85"/>
      <c r="D9002" s="25"/>
      <c r="E9002" s="77"/>
      <c r="F9002" s="88"/>
      <c r="G9002" s="88"/>
      <c r="H9002" s="89"/>
      <c r="K9002" s="58"/>
      <c r="L9002" s="91"/>
      <c r="M9002" s="78"/>
    </row>
    <row r="9003">
      <c r="C9003" s="85"/>
      <c r="D9003" s="25"/>
      <c r="E9003" s="77"/>
      <c r="F9003" s="88"/>
      <c r="G9003" s="88"/>
      <c r="H9003" s="89"/>
      <c r="K9003" s="58"/>
      <c r="L9003" s="91"/>
      <c r="M9003" s="78"/>
    </row>
    <row r="9004">
      <c r="C9004" s="85"/>
      <c r="D9004" s="25"/>
      <c r="E9004" s="77"/>
      <c r="F9004" s="88"/>
      <c r="G9004" s="88"/>
      <c r="H9004" s="89"/>
      <c r="K9004" s="58"/>
      <c r="L9004" s="91"/>
      <c r="M9004" s="78"/>
    </row>
    <row r="9005">
      <c r="C9005" s="85"/>
      <c r="D9005" s="25"/>
      <c r="E9005" s="77"/>
      <c r="F9005" s="88"/>
      <c r="G9005" s="88"/>
      <c r="H9005" s="89"/>
      <c r="K9005" s="58"/>
      <c r="L9005" s="91"/>
      <c r="M9005" s="78"/>
    </row>
    <row r="9006">
      <c r="C9006" s="85"/>
      <c r="D9006" s="25"/>
      <c r="E9006" s="77"/>
      <c r="F9006" s="88"/>
      <c r="G9006" s="88"/>
      <c r="H9006" s="89"/>
      <c r="K9006" s="58"/>
      <c r="L9006" s="91"/>
      <c r="M9006" s="78"/>
    </row>
    <row r="9007">
      <c r="C9007" s="85"/>
      <c r="D9007" s="25"/>
      <c r="E9007" s="77"/>
      <c r="F9007" s="88"/>
      <c r="G9007" s="88"/>
      <c r="H9007" s="89"/>
      <c r="K9007" s="58"/>
      <c r="L9007" s="91"/>
      <c r="M9007" s="78"/>
    </row>
    <row r="9008">
      <c r="C9008" s="85"/>
      <c r="D9008" s="25"/>
      <c r="E9008" s="77"/>
      <c r="F9008" s="88"/>
      <c r="G9008" s="88"/>
      <c r="H9008" s="89"/>
      <c r="K9008" s="58"/>
      <c r="L9008" s="91"/>
      <c r="M9008" s="78"/>
    </row>
    <row r="9009">
      <c r="C9009" s="85"/>
      <c r="D9009" s="25"/>
      <c r="E9009" s="77"/>
      <c r="F9009" s="88"/>
      <c r="G9009" s="88"/>
      <c r="H9009" s="89"/>
      <c r="K9009" s="58"/>
      <c r="L9009" s="91"/>
      <c r="M9009" s="78"/>
    </row>
    <row r="9010">
      <c r="C9010" s="85"/>
      <c r="D9010" s="25"/>
      <c r="E9010" s="77"/>
      <c r="F9010" s="88"/>
      <c r="G9010" s="88"/>
      <c r="H9010" s="89"/>
      <c r="K9010" s="58"/>
      <c r="L9010" s="91"/>
      <c r="M9010" s="78"/>
    </row>
    <row r="9011">
      <c r="C9011" s="85"/>
      <c r="D9011" s="25"/>
      <c r="E9011" s="77"/>
      <c r="F9011" s="88"/>
      <c r="G9011" s="88"/>
      <c r="H9011" s="89"/>
      <c r="K9011" s="58"/>
      <c r="L9011" s="91"/>
      <c r="M9011" s="78"/>
    </row>
    <row r="9012">
      <c r="C9012" s="85"/>
      <c r="D9012" s="25"/>
      <c r="E9012" s="77"/>
      <c r="F9012" s="88"/>
      <c r="G9012" s="88"/>
      <c r="H9012" s="89"/>
      <c r="K9012" s="58"/>
      <c r="L9012" s="91"/>
      <c r="M9012" s="78"/>
    </row>
    <row r="9013">
      <c r="C9013" s="85"/>
      <c r="D9013" s="25"/>
      <c r="E9013" s="77"/>
      <c r="F9013" s="88"/>
      <c r="G9013" s="88"/>
      <c r="H9013" s="89"/>
      <c r="K9013" s="58"/>
      <c r="L9013" s="91"/>
      <c r="M9013" s="78"/>
    </row>
    <row r="9014">
      <c r="C9014" s="85"/>
      <c r="D9014" s="25"/>
      <c r="E9014" s="77"/>
      <c r="F9014" s="88"/>
      <c r="G9014" s="88"/>
      <c r="H9014" s="89"/>
      <c r="K9014" s="58"/>
      <c r="L9014" s="91"/>
      <c r="M9014" s="78"/>
    </row>
    <row r="9015">
      <c r="C9015" s="85"/>
      <c r="D9015" s="25"/>
      <c r="E9015" s="77"/>
      <c r="F9015" s="88"/>
      <c r="G9015" s="88"/>
      <c r="H9015" s="89"/>
      <c r="K9015" s="58"/>
      <c r="L9015" s="91"/>
      <c r="M9015" s="78"/>
    </row>
    <row r="9016">
      <c r="C9016" s="85"/>
      <c r="D9016" s="25"/>
      <c r="E9016" s="77"/>
      <c r="F9016" s="88"/>
      <c r="G9016" s="88"/>
      <c r="H9016" s="89"/>
      <c r="K9016" s="58"/>
      <c r="L9016" s="91"/>
      <c r="M9016" s="78"/>
    </row>
    <row r="9017">
      <c r="C9017" s="85"/>
      <c r="D9017" s="25"/>
      <c r="E9017" s="77"/>
      <c r="F9017" s="88"/>
      <c r="G9017" s="88"/>
      <c r="H9017" s="89"/>
      <c r="K9017" s="58"/>
      <c r="L9017" s="91"/>
      <c r="M9017" s="78"/>
    </row>
    <row r="9018">
      <c r="C9018" s="85"/>
      <c r="D9018" s="25"/>
      <c r="E9018" s="77"/>
      <c r="F9018" s="88"/>
      <c r="G9018" s="88"/>
      <c r="H9018" s="89"/>
      <c r="K9018" s="58"/>
      <c r="L9018" s="91"/>
      <c r="M9018" s="78"/>
    </row>
    <row r="9019">
      <c r="C9019" s="85"/>
      <c r="D9019" s="25"/>
      <c r="E9019" s="77"/>
      <c r="F9019" s="88"/>
      <c r="G9019" s="88"/>
      <c r="H9019" s="89"/>
      <c r="K9019" s="58"/>
      <c r="L9019" s="91"/>
      <c r="M9019" s="78"/>
    </row>
    <row r="9020">
      <c r="C9020" s="85"/>
      <c r="D9020" s="25"/>
      <c r="E9020" s="77"/>
      <c r="F9020" s="88"/>
      <c r="G9020" s="88"/>
      <c r="H9020" s="89"/>
      <c r="K9020" s="58"/>
      <c r="L9020" s="91"/>
      <c r="M9020" s="78"/>
    </row>
    <row r="9021">
      <c r="C9021" s="85"/>
      <c r="D9021" s="25"/>
      <c r="E9021" s="77"/>
      <c r="F9021" s="88"/>
      <c r="G9021" s="88"/>
      <c r="H9021" s="89"/>
      <c r="K9021" s="58"/>
      <c r="L9021" s="91"/>
      <c r="M9021" s="78"/>
    </row>
    <row r="9022">
      <c r="C9022" s="85"/>
      <c r="D9022" s="25"/>
      <c r="E9022" s="77"/>
      <c r="F9022" s="88"/>
      <c r="G9022" s="88"/>
      <c r="H9022" s="89"/>
      <c r="K9022" s="58"/>
      <c r="L9022" s="91"/>
      <c r="M9022" s="78"/>
    </row>
    <row r="9023">
      <c r="C9023" s="85"/>
      <c r="D9023" s="25"/>
      <c r="E9023" s="77"/>
      <c r="F9023" s="88"/>
      <c r="G9023" s="88"/>
      <c r="H9023" s="89"/>
      <c r="K9023" s="58"/>
      <c r="L9023" s="91"/>
      <c r="M9023" s="78"/>
    </row>
    <row r="9024">
      <c r="C9024" s="85"/>
      <c r="D9024" s="25"/>
      <c r="E9024" s="77"/>
      <c r="F9024" s="88"/>
      <c r="G9024" s="88"/>
      <c r="H9024" s="89"/>
      <c r="K9024" s="58"/>
      <c r="L9024" s="91"/>
      <c r="M9024" s="78"/>
    </row>
    <row r="9025">
      <c r="C9025" s="85"/>
      <c r="D9025" s="25"/>
      <c r="E9025" s="77"/>
      <c r="F9025" s="88"/>
      <c r="G9025" s="88"/>
      <c r="H9025" s="89"/>
      <c r="K9025" s="58"/>
      <c r="L9025" s="91"/>
      <c r="M9025" s="78"/>
    </row>
    <row r="9026">
      <c r="C9026" s="85"/>
      <c r="D9026" s="25"/>
      <c r="E9026" s="77"/>
      <c r="F9026" s="88"/>
      <c r="G9026" s="88"/>
      <c r="H9026" s="89"/>
      <c r="K9026" s="58"/>
      <c r="L9026" s="91"/>
      <c r="M9026" s="78"/>
    </row>
    <row r="9027">
      <c r="C9027" s="85"/>
      <c r="D9027" s="25"/>
      <c r="E9027" s="77"/>
      <c r="F9027" s="88"/>
      <c r="G9027" s="88"/>
      <c r="H9027" s="89"/>
      <c r="K9027" s="58"/>
      <c r="L9027" s="91"/>
      <c r="M9027" s="78"/>
    </row>
    <row r="9028">
      <c r="C9028" s="85"/>
      <c r="D9028" s="25"/>
      <c r="E9028" s="77"/>
      <c r="F9028" s="88"/>
      <c r="G9028" s="88"/>
      <c r="H9028" s="89"/>
      <c r="K9028" s="58"/>
      <c r="L9028" s="91"/>
      <c r="M9028" s="78"/>
    </row>
    <row r="9029">
      <c r="C9029" s="85"/>
      <c r="D9029" s="25"/>
      <c r="E9029" s="77"/>
      <c r="F9029" s="88"/>
      <c r="G9029" s="88"/>
      <c r="H9029" s="89"/>
      <c r="K9029" s="58"/>
      <c r="L9029" s="91"/>
      <c r="M9029" s="78"/>
    </row>
    <row r="9030">
      <c r="C9030" s="85"/>
      <c r="D9030" s="25"/>
      <c r="E9030" s="77"/>
      <c r="F9030" s="88"/>
      <c r="G9030" s="88"/>
      <c r="H9030" s="89"/>
      <c r="K9030" s="58"/>
      <c r="L9030" s="91"/>
      <c r="M9030" s="78"/>
    </row>
    <row r="9031">
      <c r="C9031" s="85"/>
      <c r="D9031" s="25"/>
      <c r="E9031" s="77"/>
      <c r="F9031" s="88"/>
      <c r="G9031" s="88"/>
      <c r="H9031" s="89"/>
      <c r="K9031" s="58"/>
      <c r="L9031" s="91"/>
      <c r="M9031" s="78"/>
    </row>
    <row r="9032">
      <c r="C9032" s="85"/>
      <c r="D9032" s="25"/>
      <c r="E9032" s="77"/>
      <c r="F9032" s="88"/>
      <c r="G9032" s="88"/>
      <c r="H9032" s="89"/>
      <c r="K9032" s="58"/>
      <c r="L9032" s="91"/>
      <c r="M9032" s="78"/>
    </row>
    <row r="9033">
      <c r="C9033" s="85"/>
      <c r="D9033" s="25"/>
      <c r="E9033" s="77"/>
      <c r="F9033" s="88"/>
      <c r="G9033" s="88"/>
      <c r="H9033" s="89"/>
      <c r="K9033" s="58"/>
      <c r="L9033" s="91"/>
      <c r="M9033" s="78"/>
    </row>
    <row r="9034">
      <c r="C9034" s="85"/>
      <c r="D9034" s="25"/>
      <c r="E9034" s="77"/>
      <c r="F9034" s="88"/>
      <c r="G9034" s="88"/>
      <c r="H9034" s="89"/>
      <c r="K9034" s="58"/>
      <c r="L9034" s="91"/>
      <c r="M9034" s="78"/>
    </row>
    <row r="9035">
      <c r="C9035" s="85"/>
      <c r="D9035" s="25"/>
      <c r="E9035" s="77"/>
      <c r="F9035" s="88"/>
      <c r="G9035" s="88"/>
      <c r="H9035" s="89"/>
      <c r="K9035" s="58"/>
      <c r="L9035" s="91"/>
      <c r="M9035" s="78"/>
    </row>
    <row r="9036">
      <c r="C9036" s="85"/>
      <c r="D9036" s="25"/>
      <c r="E9036" s="77"/>
      <c r="F9036" s="88"/>
      <c r="G9036" s="88"/>
      <c r="H9036" s="89"/>
      <c r="K9036" s="58"/>
      <c r="L9036" s="91"/>
      <c r="M9036" s="78"/>
    </row>
    <row r="9037">
      <c r="C9037" s="85"/>
      <c r="D9037" s="25"/>
      <c r="E9037" s="77"/>
      <c r="F9037" s="88"/>
      <c r="G9037" s="88"/>
      <c r="H9037" s="89"/>
      <c r="K9037" s="58"/>
      <c r="L9037" s="91"/>
      <c r="M9037" s="78"/>
    </row>
    <row r="9038">
      <c r="C9038" s="85"/>
      <c r="D9038" s="25"/>
      <c r="E9038" s="77"/>
      <c r="F9038" s="88"/>
      <c r="G9038" s="88"/>
      <c r="H9038" s="89"/>
      <c r="K9038" s="58"/>
      <c r="L9038" s="91"/>
      <c r="M9038" s="78"/>
    </row>
    <row r="9039">
      <c r="C9039" s="85"/>
      <c r="D9039" s="25"/>
      <c r="E9039" s="77"/>
      <c r="F9039" s="88"/>
      <c r="G9039" s="88"/>
      <c r="H9039" s="89"/>
      <c r="K9039" s="58"/>
      <c r="L9039" s="91"/>
      <c r="M9039" s="78"/>
    </row>
    <row r="9040">
      <c r="C9040" s="85"/>
      <c r="D9040" s="25"/>
      <c r="E9040" s="77"/>
      <c r="F9040" s="88"/>
      <c r="G9040" s="88"/>
      <c r="H9040" s="89"/>
      <c r="K9040" s="58"/>
      <c r="L9040" s="91"/>
      <c r="M9040" s="78"/>
    </row>
    <row r="9041">
      <c r="C9041" s="85"/>
      <c r="D9041" s="25"/>
      <c r="E9041" s="77"/>
      <c r="F9041" s="88"/>
      <c r="G9041" s="88"/>
      <c r="H9041" s="89"/>
      <c r="K9041" s="58"/>
      <c r="L9041" s="91"/>
      <c r="M9041" s="78"/>
    </row>
    <row r="9042">
      <c r="C9042" s="85"/>
      <c r="D9042" s="25"/>
      <c r="E9042" s="77"/>
      <c r="F9042" s="88"/>
      <c r="G9042" s="88"/>
      <c r="H9042" s="89"/>
      <c r="K9042" s="58"/>
      <c r="L9042" s="91"/>
      <c r="M9042" s="78"/>
    </row>
    <row r="9043">
      <c r="C9043" s="85"/>
      <c r="D9043" s="25"/>
      <c r="E9043" s="77"/>
      <c r="F9043" s="88"/>
      <c r="G9043" s="88"/>
      <c r="H9043" s="89"/>
      <c r="K9043" s="58"/>
      <c r="L9043" s="91"/>
      <c r="M9043" s="78"/>
    </row>
    <row r="9044">
      <c r="C9044" s="85"/>
      <c r="D9044" s="25"/>
      <c r="E9044" s="77"/>
      <c r="F9044" s="88"/>
      <c r="G9044" s="88"/>
      <c r="H9044" s="89"/>
      <c r="K9044" s="58"/>
      <c r="L9044" s="91"/>
      <c r="M9044" s="78"/>
    </row>
    <row r="9045">
      <c r="C9045" s="85"/>
      <c r="D9045" s="25"/>
      <c r="E9045" s="77"/>
      <c r="F9045" s="88"/>
      <c r="G9045" s="88"/>
      <c r="H9045" s="89"/>
      <c r="K9045" s="58"/>
      <c r="L9045" s="91"/>
      <c r="M9045" s="78"/>
    </row>
    <row r="9046">
      <c r="C9046" s="85"/>
      <c r="D9046" s="25"/>
      <c r="E9046" s="77"/>
      <c r="F9046" s="88"/>
      <c r="G9046" s="88"/>
      <c r="H9046" s="89"/>
      <c r="K9046" s="58"/>
      <c r="L9046" s="91"/>
      <c r="M9046" s="78"/>
    </row>
    <row r="9047">
      <c r="C9047" s="85"/>
      <c r="D9047" s="25"/>
      <c r="E9047" s="77"/>
      <c r="F9047" s="88"/>
      <c r="G9047" s="88"/>
      <c r="H9047" s="89"/>
      <c r="K9047" s="58"/>
      <c r="L9047" s="91"/>
      <c r="M9047" s="78"/>
    </row>
    <row r="9048">
      <c r="C9048" s="85"/>
      <c r="D9048" s="25"/>
      <c r="E9048" s="77"/>
      <c r="F9048" s="88"/>
      <c r="G9048" s="88"/>
      <c r="H9048" s="89"/>
      <c r="K9048" s="58"/>
      <c r="L9048" s="91"/>
      <c r="M9048" s="78"/>
    </row>
    <row r="9049">
      <c r="C9049" s="85"/>
      <c r="D9049" s="25"/>
      <c r="E9049" s="77"/>
      <c r="F9049" s="88"/>
      <c r="G9049" s="88"/>
      <c r="H9049" s="89"/>
      <c r="K9049" s="58"/>
      <c r="L9049" s="91"/>
      <c r="M9049" s="78"/>
    </row>
    <row r="9050">
      <c r="C9050" s="85"/>
      <c r="D9050" s="25"/>
      <c r="E9050" s="77"/>
      <c r="F9050" s="88"/>
      <c r="G9050" s="88"/>
      <c r="H9050" s="89"/>
      <c r="K9050" s="58"/>
      <c r="L9050" s="91"/>
      <c r="M9050" s="78"/>
    </row>
    <row r="9051">
      <c r="C9051" s="85"/>
      <c r="D9051" s="25"/>
      <c r="E9051" s="77"/>
      <c r="F9051" s="88"/>
      <c r="G9051" s="88"/>
      <c r="H9051" s="89"/>
      <c r="K9051" s="58"/>
      <c r="L9051" s="91"/>
      <c r="M9051" s="78"/>
    </row>
    <row r="9052">
      <c r="C9052" s="85"/>
      <c r="D9052" s="25"/>
      <c r="E9052" s="77"/>
      <c r="F9052" s="88"/>
      <c r="G9052" s="88"/>
      <c r="H9052" s="89"/>
      <c r="K9052" s="58"/>
      <c r="L9052" s="91"/>
      <c r="M9052" s="78"/>
    </row>
    <row r="9053">
      <c r="C9053" s="85"/>
      <c r="D9053" s="25"/>
      <c r="E9053" s="77"/>
      <c r="F9053" s="88"/>
      <c r="G9053" s="88"/>
      <c r="H9053" s="89"/>
      <c r="K9053" s="58"/>
      <c r="L9053" s="91"/>
      <c r="M9053" s="78"/>
    </row>
    <row r="9054">
      <c r="C9054" s="85"/>
      <c r="D9054" s="25"/>
      <c r="E9054" s="77"/>
      <c r="F9054" s="88"/>
      <c r="G9054" s="88"/>
      <c r="H9054" s="89"/>
      <c r="K9054" s="58"/>
      <c r="L9054" s="91"/>
      <c r="M9054" s="78"/>
    </row>
    <row r="9055">
      <c r="C9055" s="85"/>
      <c r="D9055" s="25"/>
      <c r="E9055" s="77"/>
      <c r="F9055" s="88"/>
      <c r="G9055" s="88"/>
      <c r="H9055" s="89"/>
      <c r="K9055" s="58"/>
      <c r="L9055" s="91"/>
      <c r="M9055" s="78"/>
    </row>
    <row r="9056">
      <c r="C9056" s="85"/>
      <c r="D9056" s="25"/>
      <c r="E9056" s="77"/>
      <c r="F9056" s="88"/>
      <c r="G9056" s="88"/>
      <c r="H9056" s="89"/>
      <c r="K9056" s="58"/>
      <c r="L9056" s="91"/>
      <c r="M9056" s="78"/>
    </row>
    <row r="9057">
      <c r="C9057" s="85"/>
      <c r="D9057" s="25"/>
      <c r="E9057" s="77"/>
      <c r="F9057" s="88"/>
      <c r="G9057" s="88"/>
      <c r="H9057" s="89"/>
      <c r="K9057" s="58"/>
      <c r="L9057" s="91"/>
      <c r="M9057" s="78"/>
    </row>
    <row r="9058">
      <c r="C9058" s="85"/>
      <c r="D9058" s="25"/>
      <c r="E9058" s="77"/>
      <c r="F9058" s="88"/>
      <c r="G9058" s="88"/>
      <c r="H9058" s="89"/>
      <c r="K9058" s="58"/>
      <c r="L9058" s="91"/>
      <c r="M9058" s="78"/>
    </row>
    <row r="9059">
      <c r="C9059" s="85"/>
      <c r="D9059" s="25"/>
      <c r="E9059" s="77"/>
      <c r="F9059" s="88"/>
      <c r="G9059" s="88"/>
      <c r="H9059" s="89"/>
      <c r="K9059" s="58"/>
      <c r="L9059" s="91"/>
      <c r="M9059" s="78"/>
    </row>
    <row r="9060">
      <c r="C9060" s="85"/>
      <c r="D9060" s="25"/>
      <c r="E9060" s="77"/>
      <c r="F9060" s="88"/>
      <c r="G9060" s="88"/>
      <c r="H9060" s="89"/>
      <c r="K9060" s="58"/>
      <c r="L9060" s="91"/>
      <c r="M9060" s="78"/>
    </row>
    <row r="9061">
      <c r="C9061" s="85"/>
      <c r="D9061" s="25"/>
      <c r="E9061" s="77"/>
      <c r="F9061" s="88"/>
      <c r="G9061" s="88"/>
      <c r="H9061" s="89"/>
      <c r="K9061" s="58"/>
      <c r="L9061" s="91"/>
      <c r="M9061" s="78"/>
    </row>
    <row r="9062">
      <c r="C9062" s="85"/>
      <c r="D9062" s="25"/>
      <c r="E9062" s="77"/>
      <c r="F9062" s="88"/>
      <c r="G9062" s="88"/>
      <c r="H9062" s="89"/>
      <c r="K9062" s="58"/>
      <c r="L9062" s="91"/>
      <c r="M9062" s="78"/>
    </row>
    <row r="9063">
      <c r="C9063" s="85"/>
      <c r="D9063" s="25"/>
      <c r="E9063" s="77"/>
      <c r="F9063" s="88"/>
      <c r="G9063" s="88"/>
      <c r="H9063" s="89"/>
      <c r="K9063" s="58"/>
      <c r="L9063" s="91"/>
      <c r="M9063" s="78"/>
    </row>
    <row r="9064">
      <c r="C9064" s="85"/>
      <c r="D9064" s="25"/>
      <c r="E9064" s="77"/>
      <c r="F9064" s="88"/>
      <c r="G9064" s="88"/>
      <c r="H9064" s="89"/>
      <c r="K9064" s="58"/>
      <c r="L9064" s="91"/>
      <c r="M9064" s="78"/>
    </row>
    <row r="9065">
      <c r="C9065" s="85"/>
      <c r="D9065" s="25"/>
      <c r="E9065" s="77"/>
      <c r="F9065" s="88"/>
      <c r="G9065" s="88"/>
      <c r="H9065" s="89"/>
      <c r="K9065" s="58"/>
      <c r="L9065" s="91"/>
      <c r="M9065" s="78"/>
    </row>
    <row r="9066">
      <c r="C9066" s="85"/>
      <c r="D9066" s="25"/>
      <c r="E9066" s="77"/>
      <c r="F9066" s="88"/>
      <c r="G9066" s="88"/>
      <c r="H9066" s="89"/>
      <c r="K9066" s="58"/>
      <c r="L9066" s="91"/>
      <c r="M9066" s="78"/>
    </row>
    <row r="9067">
      <c r="C9067" s="85"/>
      <c r="D9067" s="25"/>
      <c r="E9067" s="77"/>
      <c r="F9067" s="88"/>
      <c r="G9067" s="88"/>
      <c r="H9067" s="89"/>
      <c r="K9067" s="58"/>
      <c r="L9067" s="91"/>
      <c r="M9067" s="78"/>
    </row>
    <row r="9068">
      <c r="C9068" s="85"/>
      <c r="D9068" s="25"/>
      <c r="E9068" s="77"/>
      <c r="F9068" s="88"/>
      <c r="G9068" s="88"/>
      <c r="H9068" s="89"/>
      <c r="K9068" s="58"/>
      <c r="L9068" s="91"/>
      <c r="M9068" s="78"/>
    </row>
    <row r="9069">
      <c r="C9069" s="85"/>
      <c r="D9069" s="25"/>
      <c r="E9069" s="77"/>
      <c r="F9069" s="88"/>
      <c r="G9069" s="88"/>
      <c r="H9069" s="89"/>
      <c r="K9069" s="58"/>
      <c r="L9069" s="91"/>
      <c r="M9069" s="78"/>
    </row>
    <row r="9070">
      <c r="C9070" s="85"/>
      <c r="D9070" s="25"/>
      <c r="E9070" s="77"/>
      <c r="F9070" s="88"/>
      <c r="G9070" s="88"/>
      <c r="H9070" s="89"/>
      <c r="K9070" s="58"/>
      <c r="L9070" s="91"/>
      <c r="M9070" s="78"/>
    </row>
    <row r="9071">
      <c r="C9071" s="85"/>
      <c r="D9071" s="25"/>
      <c r="E9071" s="77"/>
      <c r="F9071" s="88"/>
      <c r="G9071" s="88"/>
      <c r="H9071" s="89"/>
      <c r="K9071" s="58"/>
      <c r="L9071" s="91"/>
      <c r="M9071" s="78"/>
    </row>
    <row r="9072">
      <c r="C9072" s="85"/>
      <c r="D9072" s="25"/>
      <c r="E9072" s="77"/>
      <c r="F9072" s="88"/>
      <c r="G9072" s="88"/>
      <c r="H9072" s="89"/>
      <c r="K9072" s="58"/>
      <c r="L9072" s="91"/>
      <c r="M9072" s="78"/>
    </row>
    <row r="9073">
      <c r="C9073" s="85"/>
      <c r="D9073" s="25"/>
      <c r="E9073" s="77"/>
      <c r="F9073" s="88"/>
      <c r="G9073" s="88"/>
      <c r="H9073" s="89"/>
      <c r="K9073" s="58"/>
      <c r="L9073" s="91"/>
      <c r="M9073" s="78"/>
    </row>
    <row r="9074">
      <c r="C9074" s="85"/>
      <c r="D9074" s="25"/>
      <c r="E9074" s="77"/>
      <c r="F9074" s="88"/>
      <c r="G9074" s="88"/>
      <c r="H9074" s="89"/>
      <c r="K9074" s="58"/>
      <c r="L9074" s="91"/>
      <c r="M9074" s="78"/>
    </row>
    <row r="9075">
      <c r="C9075" s="85"/>
      <c r="D9075" s="25"/>
      <c r="E9075" s="77"/>
      <c r="F9075" s="88"/>
      <c r="G9075" s="88"/>
      <c r="H9075" s="89"/>
      <c r="K9075" s="58"/>
      <c r="L9075" s="91"/>
      <c r="M9075" s="78"/>
    </row>
    <row r="9076">
      <c r="C9076" s="85"/>
      <c r="D9076" s="25"/>
      <c r="E9076" s="77"/>
      <c r="F9076" s="88"/>
      <c r="G9076" s="88"/>
      <c r="H9076" s="89"/>
      <c r="K9076" s="58"/>
      <c r="L9076" s="91"/>
      <c r="M9076" s="78"/>
    </row>
    <row r="9077">
      <c r="C9077" s="85"/>
      <c r="D9077" s="25"/>
      <c r="E9077" s="77"/>
      <c r="F9077" s="88"/>
      <c r="G9077" s="88"/>
      <c r="H9077" s="89"/>
      <c r="K9077" s="58"/>
      <c r="L9077" s="91"/>
      <c r="M9077" s="78"/>
    </row>
    <row r="9078">
      <c r="C9078" s="85"/>
      <c r="D9078" s="25"/>
      <c r="E9078" s="77"/>
      <c r="F9078" s="88"/>
      <c r="G9078" s="88"/>
      <c r="H9078" s="89"/>
      <c r="K9078" s="58"/>
      <c r="L9078" s="91"/>
      <c r="M9078" s="78"/>
    </row>
    <row r="9079">
      <c r="C9079" s="85"/>
      <c r="D9079" s="25"/>
      <c r="E9079" s="77"/>
      <c r="F9079" s="88"/>
      <c r="G9079" s="88"/>
      <c r="H9079" s="89"/>
      <c r="K9079" s="58"/>
      <c r="L9079" s="91"/>
      <c r="M9079" s="78"/>
    </row>
    <row r="9080">
      <c r="C9080" s="85"/>
      <c r="D9080" s="25"/>
      <c r="E9080" s="77"/>
      <c r="F9080" s="88"/>
      <c r="G9080" s="88"/>
      <c r="H9080" s="89"/>
      <c r="K9080" s="58"/>
      <c r="L9080" s="91"/>
      <c r="M9080" s="78"/>
    </row>
    <row r="9081">
      <c r="C9081" s="85"/>
      <c r="D9081" s="25"/>
      <c r="E9081" s="77"/>
      <c r="F9081" s="88"/>
      <c r="G9081" s="88"/>
      <c r="H9081" s="89"/>
      <c r="K9081" s="58"/>
      <c r="L9081" s="91"/>
      <c r="M9081" s="78"/>
    </row>
    <row r="9082">
      <c r="C9082" s="85"/>
      <c r="D9082" s="25"/>
      <c r="E9082" s="77"/>
      <c r="F9082" s="88"/>
      <c r="G9082" s="88"/>
      <c r="H9082" s="89"/>
      <c r="K9082" s="58"/>
      <c r="L9082" s="91"/>
      <c r="M9082" s="78"/>
    </row>
    <row r="9083">
      <c r="C9083" s="85"/>
      <c r="D9083" s="25"/>
      <c r="E9083" s="77"/>
      <c r="F9083" s="88"/>
      <c r="G9083" s="88"/>
      <c r="H9083" s="89"/>
      <c r="K9083" s="58"/>
      <c r="L9083" s="91"/>
      <c r="M9083" s="78"/>
    </row>
    <row r="9084">
      <c r="C9084" s="85"/>
      <c r="D9084" s="25"/>
      <c r="E9084" s="77"/>
      <c r="F9084" s="88"/>
      <c r="G9084" s="88"/>
      <c r="H9084" s="89"/>
      <c r="K9084" s="58"/>
      <c r="L9084" s="91"/>
      <c r="M9084" s="78"/>
    </row>
    <row r="9085">
      <c r="C9085" s="85"/>
      <c r="D9085" s="25"/>
      <c r="E9085" s="77"/>
      <c r="F9085" s="88"/>
      <c r="G9085" s="88"/>
      <c r="H9085" s="89"/>
      <c r="K9085" s="58"/>
      <c r="L9085" s="91"/>
      <c r="M9085" s="78"/>
    </row>
    <row r="9086">
      <c r="C9086" s="85"/>
      <c r="D9086" s="25"/>
      <c r="E9086" s="77"/>
      <c r="F9086" s="88"/>
      <c r="G9086" s="88"/>
      <c r="H9086" s="89"/>
      <c r="K9086" s="58"/>
      <c r="L9086" s="91"/>
      <c r="M9086" s="78"/>
    </row>
    <row r="9087">
      <c r="C9087" s="85"/>
      <c r="D9087" s="25"/>
      <c r="E9087" s="77"/>
      <c r="F9087" s="88"/>
      <c r="G9087" s="88"/>
      <c r="H9087" s="89"/>
      <c r="K9087" s="58"/>
      <c r="L9087" s="91"/>
      <c r="M9087" s="78"/>
    </row>
    <row r="9088">
      <c r="C9088" s="85"/>
      <c r="D9088" s="25"/>
      <c r="E9088" s="77"/>
      <c r="F9088" s="88"/>
      <c r="G9088" s="88"/>
      <c r="H9088" s="89"/>
      <c r="K9088" s="58"/>
      <c r="L9088" s="91"/>
      <c r="M9088" s="78"/>
    </row>
    <row r="9089">
      <c r="C9089" s="85"/>
      <c r="D9089" s="25"/>
      <c r="E9089" s="77"/>
      <c r="F9089" s="88"/>
      <c r="G9089" s="88"/>
      <c r="H9089" s="89"/>
      <c r="K9089" s="58"/>
      <c r="L9089" s="91"/>
      <c r="M9089" s="78"/>
    </row>
    <row r="9090">
      <c r="C9090" s="85"/>
      <c r="D9090" s="25"/>
      <c r="E9090" s="77"/>
      <c r="F9090" s="88"/>
      <c r="G9090" s="88"/>
      <c r="H9090" s="89"/>
      <c r="K9090" s="58"/>
      <c r="L9090" s="91"/>
      <c r="M9090" s="78"/>
    </row>
    <row r="9091">
      <c r="C9091" s="85"/>
      <c r="D9091" s="25"/>
      <c r="E9091" s="77"/>
      <c r="F9091" s="88"/>
      <c r="G9091" s="88"/>
      <c r="H9091" s="89"/>
      <c r="K9091" s="58"/>
      <c r="L9091" s="91"/>
      <c r="M9091" s="78"/>
    </row>
    <row r="9092">
      <c r="C9092" s="85"/>
      <c r="D9092" s="25"/>
      <c r="E9092" s="77"/>
      <c r="F9092" s="88"/>
      <c r="G9092" s="88"/>
      <c r="H9092" s="89"/>
      <c r="K9092" s="58"/>
      <c r="L9092" s="91"/>
      <c r="M9092" s="78"/>
    </row>
    <row r="9093">
      <c r="C9093" s="85"/>
      <c r="D9093" s="25"/>
      <c r="E9093" s="77"/>
      <c r="F9093" s="88"/>
      <c r="G9093" s="88"/>
      <c r="H9093" s="89"/>
      <c r="K9093" s="58"/>
      <c r="L9093" s="91"/>
      <c r="M9093" s="78"/>
    </row>
    <row r="9094">
      <c r="C9094" s="85"/>
      <c r="D9094" s="25"/>
      <c r="E9094" s="77"/>
      <c r="F9094" s="88"/>
      <c r="G9094" s="88"/>
      <c r="H9094" s="89"/>
      <c r="K9094" s="58"/>
      <c r="L9094" s="91"/>
      <c r="M9094" s="78"/>
    </row>
    <row r="9095">
      <c r="C9095" s="85"/>
      <c r="D9095" s="25"/>
      <c r="E9095" s="77"/>
      <c r="F9095" s="88"/>
      <c r="G9095" s="88"/>
      <c r="H9095" s="89"/>
      <c r="K9095" s="58"/>
      <c r="L9095" s="91"/>
      <c r="M9095" s="78"/>
    </row>
    <row r="9096">
      <c r="C9096" s="85"/>
      <c r="D9096" s="25"/>
      <c r="E9096" s="77"/>
      <c r="F9096" s="88"/>
      <c r="G9096" s="88"/>
      <c r="H9096" s="89"/>
      <c r="K9096" s="58"/>
      <c r="L9096" s="91"/>
      <c r="M9096" s="78"/>
    </row>
    <row r="9097">
      <c r="C9097" s="85"/>
      <c r="D9097" s="25"/>
      <c r="E9097" s="77"/>
      <c r="F9097" s="88"/>
      <c r="G9097" s="88"/>
      <c r="H9097" s="89"/>
      <c r="K9097" s="58"/>
      <c r="L9097" s="91"/>
      <c r="M9097" s="78"/>
    </row>
    <row r="9098">
      <c r="C9098" s="85"/>
      <c r="D9098" s="25"/>
      <c r="E9098" s="77"/>
      <c r="F9098" s="88"/>
      <c r="G9098" s="88"/>
      <c r="H9098" s="89"/>
      <c r="K9098" s="58"/>
      <c r="L9098" s="91"/>
      <c r="M9098" s="78"/>
    </row>
    <row r="9099">
      <c r="C9099" s="85"/>
      <c r="D9099" s="25"/>
      <c r="E9099" s="77"/>
      <c r="F9099" s="88"/>
      <c r="G9099" s="88"/>
      <c r="H9099" s="89"/>
      <c r="K9099" s="58"/>
      <c r="L9099" s="91"/>
      <c r="M9099" s="78"/>
    </row>
    <row r="9100">
      <c r="C9100" s="85"/>
      <c r="D9100" s="25"/>
      <c r="E9100" s="77"/>
      <c r="F9100" s="88"/>
      <c r="G9100" s="88"/>
      <c r="H9100" s="89"/>
      <c r="K9100" s="58"/>
      <c r="L9100" s="91"/>
      <c r="M9100" s="78"/>
    </row>
    <row r="9101">
      <c r="C9101" s="85"/>
      <c r="D9101" s="25"/>
      <c r="E9101" s="77"/>
      <c r="F9101" s="88"/>
      <c r="G9101" s="88"/>
      <c r="H9101" s="89"/>
      <c r="K9101" s="58"/>
      <c r="L9101" s="91"/>
      <c r="M9101" s="78"/>
    </row>
    <row r="9102">
      <c r="C9102" s="85"/>
      <c r="D9102" s="25"/>
      <c r="E9102" s="77"/>
      <c r="F9102" s="88"/>
      <c r="G9102" s="88"/>
      <c r="H9102" s="89"/>
      <c r="K9102" s="58"/>
      <c r="L9102" s="91"/>
      <c r="M9102" s="78"/>
    </row>
    <row r="9103">
      <c r="C9103" s="85"/>
      <c r="D9103" s="25"/>
      <c r="E9103" s="77"/>
      <c r="F9103" s="88"/>
      <c r="G9103" s="88"/>
      <c r="H9103" s="89"/>
      <c r="K9103" s="58"/>
      <c r="L9103" s="91"/>
      <c r="M9103" s="78"/>
    </row>
    <row r="9104">
      <c r="C9104" s="85"/>
      <c r="D9104" s="25"/>
      <c r="E9104" s="77"/>
      <c r="F9104" s="88"/>
      <c r="G9104" s="88"/>
      <c r="H9104" s="89"/>
      <c r="K9104" s="58"/>
      <c r="L9104" s="91"/>
      <c r="M9104" s="78"/>
    </row>
    <row r="9105">
      <c r="C9105" s="85"/>
      <c r="D9105" s="25"/>
      <c r="E9105" s="77"/>
      <c r="F9105" s="88"/>
      <c r="G9105" s="88"/>
      <c r="H9105" s="89"/>
      <c r="K9105" s="58"/>
      <c r="L9105" s="91"/>
      <c r="M9105" s="78"/>
    </row>
    <row r="9106">
      <c r="C9106" s="85"/>
      <c r="D9106" s="25"/>
      <c r="E9106" s="77"/>
      <c r="F9106" s="88"/>
      <c r="G9106" s="88"/>
      <c r="H9106" s="89"/>
      <c r="K9106" s="58"/>
      <c r="L9106" s="91"/>
      <c r="M9106" s="78"/>
    </row>
    <row r="9107">
      <c r="C9107" s="85"/>
      <c r="D9107" s="25"/>
      <c r="E9107" s="77"/>
      <c r="F9107" s="88"/>
      <c r="G9107" s="88"/>
      <c r="H9107" s="89"/>
      <c r="K9107" s="58"/>
      <c r="L9107" s="91"/>
      <c r="M9107" s="78"/>
    </row>
    <row r="9108">
      <c r="C9108" s="85"/>
      <c r="D9108" s="25"/>
      <c r="E9108" s="77"/>
      <c r="F9108" s="88"/>
      <c r="G9108" s="88"/>
      <c r="H9108" s="89"/>
      <c r="K9108" s="58"/>
      <c r="L9108" s="91"/>
      <c r="M9108" s="78"/>
    </row>
    <row r="9109">
      <c r="C9109" s="85"/>
      <c r="D9109" s="25"/>
      <c r="E9109" s="77"/>
      <c r="F9109" s="88"/>
      <c r="G9109" s="88"/>
      <c r="H9109" s="89"/>
      <c r="K9109" s="58"/>
      <c r="L9109" s="91"/>
      <c r="M9109" s="78"/>
    </row>
    <row r="9110">
      <c r="C9110" s="85"/>
      <c r="D9110" s="25"/>
      <c r="E9110" s="77"/>
      <c r="F9110" s="88"/>
      <c r="G9110" s="88"/>
      <c r="H9110" s="89"/>
      <c r="K9110" s="58"/>
      <c r="L9110" s="91"/>
      <c r="M9110" s="78"/>
    </row>
    <row r="9111">
      <c r="C9111" s="85"/>
      <c r="D9111" s="25"/>
      <c r="E9111" s="77"/>
      <c r="F9111" s="88"/>
      <c r="G9111" s="88"/>
      <c r="H9111" s="89"/>
      <c r="K9111" s="58"/>
      <c r="L9111" s="91"/>
      <c r="M9111" s="78"/>
    </row>
    <row r="9112">
      <c r="C9112" s="85"/>
      <c r="D9112" s="25"/>
      <c r="E9112" s="77"/>
      <c r="F9112" s="88"/>
      <c r="G9112" s="88"/>
      <c r="H9112" s="89"/>
      <c r="K9112" s="58"/>
      <c r="L9112" s="91"/>
      <c r="M9112" s="78"/>
    </row>
    <row r="9113">
      <c r="C9113" s="85"/>
      <c r="D9113" s="25"/>
      <c r="E9113" s="77"/>
      <c r="F9113" s="88"/>
      <c r="G9113" s="88"/>
      <c r="H9113" s="89"/>
      <c r="K9113" s="58"/>
      <c r="L9113" s="91"/>
      <c r="M9113" s="78"/>
    </row>
    <row r="9114">
      <c r="C9114" s="85"/>
      <c r="D9114" s="25"/>
      <c r="E9114" s="77"/>
      <c r="F9114" s="88"/>
      <c r="G9114" s="88"/>
      <c r="H9114" s="89"/>
      <c r="K9114" s="58"/>
      <c r="L9114" s="91"/>
      <c r="M9114" s="78"/>
    </row>
    <row r="9115">
      <c r="C9115" s="85"/>
      <c r="D9115" s="25"/>
      <c r="E9115" s="77"/>
      <c r="F9115" s="88"/>
      <c r="G9115" s="88"/>
      <c r="H9115" s="89"/>
      <c r="K9115" s="58"/>
      <c r="L9115" s="91"/>
      <c r="M9115" s="78"/>
    </row>
    <row r="9116">
      <c r="C9116" s="85"/>
      <c r="D9116" s="25"/>
      <c r="E9116" s="77"/>
      <c r="F9116" s="88"/>
      <c r="G9116" s="88"/>
      <c r="H9116" s="89"/>
      <c r="K9116" s="58"/>
      <c r="L9116" s="91"/>
      <c r="M9116" s="78"/>
    </row>
    <row r="9117">
      <c r="C9117" s="85"/>
      <c r="D9117" s="25"/>
      <c r="E9117" s="77"/>
      <c r="F9117" s="88"/>
      <c r="G9117" s="88"/>
      <c r="H9117" s="89"/>
      <c r="K9117" s="58"/>
      <c r="L9117" s="91"/>
      <c r="M9117" s="78"/>
    </row>
    <row r="9118">
      <c r="C9118" s="85"/>
      <c r="D9118" s="25"/>
      <c r="E9118" s="77"/>
      <c r="F9118" s="88"/>
      <c r="G9118" s="88"/>
      <c r="H9118" s="89"/>
      <c r="K9118" s="58"/>
      <c r="L9118" s="91"/>
      <c r="M9118" s="78"/>
    </row>
    <row r="9119">
      <c r="C9119" s="85"/>
      <c r="D9119" s="25"/>
      <c r="E9119" s="77"/>
      <c r="F9119" s="88"/>
      <c r="G9119" s="88"/>
      <c r="H9119" s="89"/>
      <c r="K9119" s="58"/>
      <c r="L9119" s="91"/>
      <c r="M9119" s="78"/>
    </row>
    <row r="9120">
      <c r="C9120" s="85"/>
      <c r="D9120" s="25"/>
      <c r="E9120" s="77"/>
      <c r="F9120" s="88"/>
      <c r="G9120" s="88"/>
      <c r="H9120" s="89"/>
      <c r="K9120" s="58"/>
      <c r="L9120" s="91"/>
      <c r="M9120" s="78"/>
    </row>
    <row r="9121">
      <c r="C9121" s="85"/>
      <c r="D9121" s="25"/>
      <c r="E9121" s="77"/>
      <c r="F9121" s="88"/>
      <c r="G9121" s="88"/>
      <c r="H9121" s="89"/>
      <c r="K9121" s="58"/>
      <c r="L9121" s="91"/>
      <c r="M9121" s="78"/>
    </row>
    <row r="9122">
      <c r="C9122" s="85"/>
      <c r="D9122" s="25"/>
      <c r="E9122" s="77"/>
      <c r="F9122" s="88"/>
      <c r="G9122" s="88"/>
      <c r="H9122" s="89"/>
      <c r="K9122" s="58"/>
      <c r="L9122" s="91"/>
      <c r="M9122" s="78"/>
    </row>
    <row r="9123">
      <c r="C9123" s="85"/>
      <c r="D9123" s="25"/>
      <c r="E9123" s="77"/>
      <c r="F9123" s="88"/>
      <c r="G9123" s="88"/>
      <c r="H9123" s="89"/>
      <c r="K9123" s="58"/>
      <c r="L9123" s="91"/>
      <c r="M9123" s="78"/>
    </row>
    <row r="9124">
      <c r="C9124" s="85"/>
      <c r="D9124" s="25"/>
      <c r="E9124" s="77"/>
      <c r="F9124" s="88"/>
      <c r="G9124" s="88"/>
      <c r="H9124" s="89"/>
      <c r="K9124" s="58"/>
      <c r="L9124" s="91"/>
      <c r="M9124" s="78"/>
    </row>
    <row r="9125">
      <c r="C9125" s="85"/>
      <c r="D9125" s="25"/>
      <c r="E9125" s="77"/>
      <c r="F9125" s="88"/>
      <c r="G9125" s="88"/>
      <c r="H9125" s="89"/>
      <c r="K9125" s="58"/>
      <c r="L9125" s="91"/>
      <c r="M9125" s="78"/>
    </row>
    <row r="9126">
      <c r="C9126" s="85"/>
      <c r="D9126" s="25"/>
      <c r="E9126" s="77"/>
      <c r="F9126" s="88"/>
      <c r="G9126" s="88"/>
      <c r="H9126" s="89"/>
      <c r="K9126" s="58"/>
      <c r="L9126" s="91"/>
      <c r="M9126" s="78"/>
    </row>
    <row r="9127">
      <c r="C9127" s="85"/>
      <c r="D9127" s="25"/>
      <c r="E9127" s="77"/>
      <c r="F9127" s="88"/>
      <c r="G9127" s="88"/>
      <c r="H9127" s="89"/>
      <c r="K9127" s="58"/>
      <c r="L9127" s="91"/>
      <c r="M9127" s="78"/>
    </row>
    <row r="9128">
      <c r="C9128" s="85"/>
      <c r="D9128" s="25"/>
      <c r="E9128" s="77"/>
      <c r="F9128" s="88"/>
      <c r="G9128" s="88"/>
      <c r="H9128" s="89"/>
      <c r="K9128" s="58"/>
      <c r="L9128" s="91"/>
      <c r="M9128" s="78"/>
    </row>
    <row r="9129">
      <c r="C9129" s="85"/>
      <c r="D9129" s="25"/>
      <c r="E9129" s="77"/>
      <c r="F9129" s="88"/>
      <c r="G9129" s="88"/>
      <c r="H9129" s="89"/>
      <c r="K9129" s="58"/>
      <c r="L9129" s="91"/>
      <c r="M9129" s="78"/>
    </row>
    <row r="9130">
      <c r="C9130" s="85"/>
      <c r="D9130" s="25"/>
      <c r="E9130" s="77"/>
      <c r="F9130" s="88"/>
      <c r="G9130" s="88"/>
      <c r="H9130" s="89"/>
      <c r="K9130" s="58"/>
      <c r="L9130" s="91"/>
      <c r="M9130" s="78"/>
    </row>
    <row r="9131">
      <c r="C9131" s="85"/>
      <c r="D9131" s="25"/>
      <c r="E9131" s="77"/>
      <c r="F9131" s="88"/>
      <c r="G9131" s="88"/>
      <c r="H9131" s="89"/>
      <c r="K9131" s="58"/>
      <c r="L9131" s="91"/>
      <c r="M9131" s="78"/>
    </row>
    <row r="9132">
      <c r="C9132" s="85"/>
      <c r="D9132" s="25"/>
      <c r="E9132" s="77"/>
      <c r="F9132" s="88"/>
      <c r="G9132" s="88"/>
      <c r="H9132" s="89"/>
      <c r="K9132" s="58"/>
      <c r="L9132" s="91"/>
      <c r="M9132" s="78"/>
    </row>
    <row r="9133">
      <c r="C9133" s="85"/>
      <c r="D9133" s="25"/>
      <c r="E9133" s="77"/>
      <c r="F9133" s="88"/>
      <c r="G9133" s="88"/>
      <c r="H9133" s="89"/>
      <c r="K9133" s="58"/>
      <c r="L9133" s="91"/>
      <c r="M9133" s="78"/>
    </row>
    <row r="9134">
      <c r="C9134" s="85"/>
      <c r="D9134" s="25"/>
      <c r="E9134" s="77"/>
      <c r="F9134" s="88"/>
      <c r="G9134" s="88"/>
      <c r="H9134" s="89"/>
      <c r="K9134" s="58"/>
      <c r="L9134" s="91"/>
      <c r="M9134" s="78"/>
    </row>
    <row r="9135">
      <c r="C9135" s="85"/>
      <c r="D9135" s="25"/>
      <c r="E9135" s="77"/>
      <c r="F9135" s="88"/>
      <c r="G9135" s="88"/>
      <c r="H9135" s="89"/>
      <c r="K9135" s="58"/>
      <c r="L9135" s="91"/>
      <c r="M9135" s="78"/>
    </row>
    <row r="9136">
      <c r="C9136" s="85"/>
      <c r="D9136" s="25"/>
      <c r="E9136" s="77"/>
      <c r="F9136" s="88"/>
      <c r="G9136" s="88"/>
      <c r="H9136" s="89"/>
      <c r="K9136" s="58"/>
      <c r="L9136" s="91"/>
      <c r="M9136" s="78"/>
    </row>
    <row r="9137">
      <c r="C9137" s="85"/>
      <c r="D9137" s="25"/>
      <c r="E9137" s="77"/>
      <c r="F9137" s="88"/>
      <c r="G9137" s="88"/>
      <c r="H9137" s="89"/>
      <c r="K9137" s="58"/>
      <c r="L9137" s="91"/>
      <c r="M9137" s="78"/>
    </row>
    <row r="9138">
      <c r="C9138" s="85"/>
      <c r="D9138" s="25"/>
      <c r="E9138" s="77"/>
      <c r="F9138" s="88"/>
      <c r="G9138" s="88"/>
      <c r="H9138" s="89"/>
      <c r="K9138" s="58"/>
      <c r="L9138" s="91"/>
      <c r="M9138" s="78"/>
    </row>
    <row r="9139">
      <c r="C9139" s="85"/>
      <c r="D9139" s="25"/>
      <c r="E9139" s="77"/>
      <c r="F9139" s="88"/>
      <c r="G9139" s="88"/>
      <c r="H9139" s="89"/>
      <c r="K9139" s="58"/>
      <c r="L9139" s="91"/>
      <c r="M9139" s="78"/>
    </row>
    <row r="9140">
      <c r="C9140" s="85"/>
      <c r="D9140" s="25"/>
      <c r="E9140" s="77"/>
      <c r="F9140" s="88"/>
      <c r="G9140" s="88"/>
      <c r="H9140" s="89"/>
      <c r="K9140" s="58"/>
      <c r="L9140" s="91"/>
      <c r="M9140" s="78"/>
    </row>
    <row r="9141">
      <c r="C9141" s="85"/>
      <c r="D9141" s="25"/>
      <c r="E9141" s="77"/>
      <c r="F9141" s="88"/>
      <c r="G9141" s="88"/>
      <c r="H9141" s="89"/>
      <c r="K9141" s="58"/>
      <c r="L9141" s="91"/>
      <c r="M9141" s="78"/>
    </row>
    <row r="9142">
      <c r="C9142" s="85"/>
      <c r="D9142" s="25"/>
      <c r="E9142" s="77"/>
      <c r="F9142" s="88"/>
      <c r="G9142" s="88"/>
      <c r="H9142" s="89"/>
      <c r="K9142" s="58"/>
      <c r="L9142" s="91"/>
      <c r="M9142" s="78"/>
    </row>
    <row r="9143">
      <c r="C9143" s="85"/>
      <c r="D9143" s="25"/>
      <c r="E9143" s="77"/>
      <c r="F9143" s="88"/>
      <c r="G9143" s="88"/>
      <c r="H9143" s="89"/>
      <c r="K9143" s="58"/>
      <c r="L9143" s="91"/>
      <c r="M9143" s="78"/>
    </row>
    <row r="9144">
      <c r="C9144" s="85"/>
      <c r="D9144" s="25"/>
      <c r="E9144" s="77"/>
      <c r="F9144" s="88"/>
      <c r="G9144" s="88"/>
      <c r="H9144" s="89"/>
      <c r="K9144" s="58"/>
      <c r="L9144" s="91"/>
      <c r="M9144" s="78"/>
    </row>
    <row r="9145">
      <c r="C9145" s="85"/>
      <c r="D9145" s="25"/>
      <c r="E9145" s="77"/>
      <c r="F9145" s="88"/>
      <c r="G9145" s="88"/>
      <c r="H9145" s="89"/>
      <c r="K9145" s="58"/>
      <c r="L9145" s="91"/>
      <c r="M9145" s="78"/>
    </row>
    <row r="9146">
      <c r="C9146" s="85"/>
      <c r="D9146" s="25"/>
      <c r="E9146" s="77"/>
      <c r="F9146" s="88"/>
      <c r="G9146" s="88"/>
      <c r="H9146" s="89"/>
      <c r="K9146" s="58"/>
      <c r="L9146" s="91"/>
      <c r="M9146" s="78"/>
    </row>
    <row r="9147">
      <c r="C9147" s="85"/>
      <c r="D9147" s="25"/>
      <c r="E9147" s="77"/>
      <c r="F9147" s="88"/>
      <c r="G9147" s="88"/>
      <c r="H9147" s="89"/>
      <c r="K9147" s="58"/>
      <c r="L9147" s="91"/>
      <c r="M9147" s="78"/>
    </row>
    <row r="9148">
      <c r="C9148" s="85"/>
      <c r="D9148" s="25"/>
      <c r="E9148" s="77"/>
      <c r="F9148" s="88"/>
      <c r="G9148" s="88"/>
      <c r="H9148" s="89"/>
      <c r="K9148" s="58"/>
      <c r="L9148" s="91"/>
      <c r="M9148" s="78"/>
    </row>
    <row r="9149">
      <c r="C9149" s="85"/>
      <c r="D9149" s="25"/>
      <c r="E9149" s="77"/>
      <c r="F9149" s="88"/>
      <c r="G9149" s="88"/>
      <c r="H9149" s="89"/>
      <c r="K9149" s="58"/>
      <c r="L9149" s="91"/>
      <c r="M9149" s="78"/>
    </row>
    <row r="9150">
      <c r="C9150" s="85"/>
      <c r="D9150" s="25"/>
      <c r="E9150" s="77"/>
      <c r="F9150" s="88"/>
      <c r="G9150" s="88"/>
      <c r="H9150" s="89"/>
      <c r="K9150" s="58"/>
      <c r="L9150" s="91"/>
      <c r="M9150" s="78"/>
    </row>
    <row r="9151">
      <c r="C9151" s="85"/>
      <c r="D9151" s="25"/>
      <c r="E9151" s="77"/>
      <c r="F9151" s="88"/>
      <c r="G9151" s="88"/>
      <c r="H9151" s="89"/>
      <c r="K9151" s="58"/>
      <c r="L9151" s="91"/>
      <c r="M9151" s="78"/>
    </row>
    <row r="9152">
      <c r="C9152" s="85"/>
      <c r="D9152" s="25"/>
      <c r="E9152" s="77"/>
      <c r="F9152" s="88"/>
      <c r="G9152" s="88"/>
      <c r="H9152" s="89"/>
      <c r="K9152" s="58"/>
      <c r="L9152" s="91"/>
      <c r="M9152" s="78"/>
    </row>
    <row r="9153">
      <c r="C9153" s="85"/>
      <c r="D9153" s="25"/>
      <c r="E9153" s="77"/>
      <c r="F9153" s="88"/>
      <c r="G9153" s="88"/>
      <c r="H9153" s="89"/>
      <c r="K9153" s="58"/>
      <c r="L9153" s="91"/>
      <c r="M9153" s="78"/>
    </row>
    <row r="9154">
      <c r="C9154" s="85"/>
      <c r="D9154" s="25"/>
      <c r="E9154" s="77"/>
      <c r="F9154" s="88"/>
      <c r="G9154" s="88"/>
      <c r="H9154" s="89"/>
      <c r="K9154" s="58"/>
      <c r="L9154" s="91"/>
      <c r="M9154" s="78"/>
    </row>
    <row r="9155">
      <c r="C9155" s="85"/>
      <c r="D9155" s="25"/>
      <c r="E9155" s="77"/>
      <c r="F9155" s="88"/>
      <c r="G9155" s="88"/>
      <c r="H9155" s="89"/>
      <c r="K9155" s="58"/>
      <c r="L9155" s="91"/>
      <c r="M9155" s="78"/>
    </row>
    <row r="9156">
      <c r="C9156" s="85"/>
      <c r="D9156" s="25"/>
      <c r="E9156" s="77"/>
      <c r="F9156" s="88"/>
      <c r="G9156" s="88"/>
      <c r="H9156" s="89"/>
      <c r="K9156" s="58"/>
      <c r="L9156" s="91"/>
      <c r="M9156" s="78"/>
    </row>
    <row r="9157">
      <c r="C9157" s="85"/>
      <c r="D9157" s="25"/>
      <c r="E9157" s="77"/>
      <c r="F9157" s="88"/>
      <c r="G9157" s="88"/>
      <c r="H9157" s="89"/>
      <c r="K9157" s="58"/>
      <c r="L9157" s="91"/>
      <c r="M9157" s="78"/>
    </row>
    <row r="9158">
      <c r="C9158" s="85"/>
      <c r="D9158" s="25"/>
      <c r="E9158" s="77"/>
      <c r="F9158" s="88"/>
      <c r="G9158" s="88"/>
      <c r="H9158" s="89"/>
      <c r="K9158" s="58"/>
      <c r="L9158" s="91"/>
      <c r="M9158" s="78"/>
    </row>
    <row r="9159">
      <c r="C9159" s="85"/>
      <c r="D9159" s="25"/>
      <c r="E9159" s="77"/>
      <c r="F9159" s="88"/>
      <c r="G9159" s="88"/>
      <c r="H9159" s="89"/>
      <c r="K9159" s="58"/>
      <c r="L9159" s="91"/>
      <c r="M9159" s="78"/>
    </row>
    <row r="9160">
      <c r="C9160" s="85"/>
      <c r="D9160" s="25"/>
      <c r="E9160" s="77"/>
      <c r="F9160" s="88"/>
      <c r="G9160" s="88"/>
      <c r="H9160" s="89"/>
      <c r="K9160" s="58"/>
      <c r="L9160" s="91"/>
      <c r="M9160" s="78"/>
    </row>
    <row r="9161">
      <c r="C9161" s="85"/>
      <c r="D9161" s="25"/>
      <c r="E9161" s="77"/>
      <c r="F9161" s="88"/>
      <c r="G9161" s="88"/>
      <c r="H9161" s="89"/>
      <c r="K9161" s="58"/>
      <c r="L9161" s="91"/>
      <c r="M9161" s="78"/>
    </row>
    <row r="9162">
      <c r="C9162" s="85"/>
      <c r="D9162" s="25"/>
      <c r="E9162" s="77"/>
      <c r="F9162" s="88"/>
      <c r="G9162" s="88"/>
      <c r="H9162" s="89"/>
      <c r="K9162" s="58"/>
      <c r="L9162" s="91"/>
      <c r="M9162" s="78"/>
    </row>
    <row r="9163">
      <c r="C9163" s="85"/>
      <c r="D9163" s="25"/>
      <c r="E9163" s="77"/>
      <c r="F9163" s="88"/>
      <c r="G9163" s="88"/>
      <c r="H9163" s="89"/>
      <c r="K9163" s="58"/>
      <c r="L9163" s="91"/>
      <c r="M9163" s="78"/>
    </row>
    <row r="9164">
      <c r="C9164" s="85"/>
      <c r="D9164" s="25"/>
      <c r="E9164" s="77"/>
      <c r="F9164" s="88"/>
      <c r="G9164" s="88"/>
      <c r="H9164" s="89"/>
      <c r="K9164" s="58"/>
      <c r="L9164" s="91"/>
      <c r="M9164" s="78"/>
    </row>
    <row r="9165">
      <c r="C9165" s="85"/>
      <c r="D9165" s="25"/>
      <c r="E9165" s="77"/>
      <c r="F9165" s="88"/>
      <c r="G9165" s="88"/>
      <c r="H9165" s="89"/>
      <c r="K9165" s="58"/>
      <c r="L9165" s="91"/>
      <c r="M9165" s="78"/>
    </row>
    <row r="9166">
      <c r="C9166" s="85"/>
      <c r="D9166" s="25"/>
      <c r="E9166" s="77"/>
      <c r="F9166" s="88"/>
      <c r="G9166" s="88"/>
      <c r="H9166" s="89"/>
      <c r="K9166" s="58"/>
      <c r="L9166" s="91"/>
      <c r="M9166" s="78"/>
    </row>
    <row r="9167">
      <c r="C9167" s="85"/>
      <c r="D9167" s="25"/>
      <c r="E9167" s="77"/>
      <c r="F9167" s="88"/>
      <c r="G9167" s="88"/>
      <c r="H9167" s="89"/>
      <c r="K9167" s="58"/>
      <c r="L9167" s="91"/>
      <c r="M9167" s="78"/>
    </row>
    <row r="9168">
      <c r="C9168" s="85"/>
      <c r="D9168" s="25"/>
      <c r="E9168" s="77"/>
      <c r="F9168" s="88"/>
      <c r="G9168" s="88"/>
      <c r="H9168" s="89"/>
      <c r="K9168" s="58"/>
      <c r="L9168" s="91"/>
      <c r="M9168" s="78"/>
    </row>
    <row r="9169">
      <c r="C9169" s="85"/>
      <c r="D9169" s="25"/>
      <c r="E9169" s="77"/>
      <c r="F9169" s="88"/>
      <c r="G9169" s="88"/>
      <c r="H9169" s="89"/>
      <c r="K9169" s="58"/>
      <c r="L9169" s="91"/>
      <c r="M9169" s="78"/>
    </row>
    <row r="9170">
      <c r="C9170" s="85"/>
      <c r="D9170" s="25"/>
      <c r="E9170" s="77"/>
      <c r="F9170" s="88"/>
      <c r="G9170" s="88"/>
      <c r="H9170" s="89"/>
      <c r="K9170" s="58"/>
      <c r="L9170" s="91"/>
      <c r="M9170" s="78"/>
    </row>
    <row r="9171">
      <c r="C9171" s="85"/>
      <c r="D9171" s="25"/>
      <c r="E9171" s="77"/>
      <c r="F9171" s="88"/>
      <c r="G9171" s="88"/>
      <c r="H9171" s="89"/>
      <c r="K9171" s="58"/>
      <c r="L9171" s="91"/>
      <c r="M9171" s="78"/>
    </row>
    <row r="9172">
      <c r="C9172" s="85"/>
      <c r="D9172" s="25"/>
      <c r="E9172" s="77"/>
      <c r="F9172" s="88"/>
      <c r="G9172" s="88"/>
      <c r="H9172" s="89"/>
      <c r="K9172" s="58"/>
      <c r="L9172" s="91"/>
      <c r="M9172" s="78"/>
    </row>
    <row r="9173">
      <c r="C9173" s="85"/>
      <c r="D9173" s="25"/>
      <c r="E9173" s="77"/>
      <c r="F9173" s="88"/>
      <c r="G9173" s="88"/>
      <c r="H9173" s="89"/>
      <c r="K9173" s="58"/>
      <c r="L9173" s="91"/>
      <c r="M9173" s="78"/>
    </row>
    <row r="9174">
      <c r="C9174" s="85"/>
      <c r="D9174" s="25"/>
      <c r="E9174" s="77"/>
      <c r="F9174" s="88"/>
      <c r="G9174" s="88"/>
      <c r="H9174" s="89"/>
      <c r="K9174" s="58"/>
      <c r="L9174" s="91"/>
      <c r="M9174" s="78"/>
    </row>
    <row r="9175">
      <c r="C9175" s="85"/>
      <c r="D9175" s="25"/>
      <c r="E9175" s="77"/>
      <c r="F9175" s="88"/>
      <c r="G9175" s="88"/>
      <c r="H9175" s="89"/>
      <c r="K9175" s="58"/>
      <c r="L9175" s="91"/>
      <c r="M9175" s="78"/>
    </row>
    <row r="9176">
      <c r="C9176" s="85"/>
      <c r="D9176" s="25"/>
      <c r="E9176" s="77"/>
      <c r="F9176" s="88"/>
      <c r="G9176" s="88"/>
      <c r="H9176" s="89"/>
      <c r="K9176" s="58"/>
      <c r="L9176" s="91"/>
      <c r="M9176" s="78"/>
    </row>
    <row r="9177">
      <c r="C9177" s="85"/>
      <c r="D9177" s="25"/>
      <c r="E9177" s="77"/>
      <c r="F9177" s="88"/>
      <c r="G9177" s="88"/>
      <c r="H9177" s="89"/>
      <c r="K9177" s="58"/>
      <c r="L9177" s="91"/>
      <c r="M9177" s="78"/>
    </row>
    <row r="9178">
      <c r="C9178" s="85"/>
      <c r="D9178" s="25"/>
      <c r="E9178" s="77"/>
      <c r="F9178" s="88"/>
      <c r="G9178" s="88"/>
      <c r="H9178" s="89"/>
      <c r="K9178" s="58"/>
      <c r="L9178" s="91"/>
      <c r="M9178" s="78"/>
    </row>
    <row r="9179">
      <c r="C9179" s="85"/>
      <c r="D9179" s="25"/>
      <c r="E9179" s="77"/>
      <c r="F9179" s="88"/>
      <c r="G9179" s="88"/>
      <c r="H9179" s="89"/>
      <c r="K9179" s="58"/>
      <c r="L9179" s="91"/>
      <c r="M9179" s="78"/>
    </row>
    <row r="9180">
      <c r="C9180" s="85"/>
      <c r="D9180" s="25"/>
      <c r="E9180" s="77"/>
      <c r="F9180" s="88"/>
      <c r="G9180" s="88"/>
      <c r="H9180" s="89"/>
      <c r="K9180" s="58"/>
      <c r="L9180" s="91"/>
      <c r="M9180" s="78"/>
    </row>
    <row r="9181">
      <c r="C9181" s="85"/>
      <c r="D9181" s="25"/>
      <c r="E9181" s="77"/>
      <c r="F9181" s="88"/>
      <c r="G9181" s="88"/>
      <c r="H9181" s="89"/>
      <c r="K9181" s="58"/>
      <c r="L9181" s="91"/>
      <c r="M9181" s="78"/>
    </row>
    <row r="9182">
      <c r="C9182" s="85"/>
      <c r="D9182" s="25"/>
      <c r="E9182" s="77"/>
      <c r="F9182" s="88"/>
      <c r="G9182" s="88"/>
      <c r="H9182" s="89"/>
      <c r="K9182" s="58"/>
      <c r="L9182" s="91"/>
      <c r="M9182" s="78"/>
    </row>
    <row r="9183">
      <c r="C9183" s="85"/>
      <c r="D9183" s="25"/>
      <c r="E9183" s="77"/>
      <c r="F9183" s="88"/>
      <c r="G9183" s="88"/>
      <c r="H9183" s="89"/>
      <c r="K9183" s="58"/>
      <c r="L9183" s="91"/>
      <c r="M9183" s="78"/>
    </row>
    <row r="9184">
      <c r="C9184" s="85"/>
      <c r="D9184" s="25"/>
      <c r="E9184" s="77"/>
      <c r="F9184" s="88"/>
      <c r="G9184" s="88"/>
      <c r="H9184" s="89"/>
      <c r="K9184" s="58"/>
      <c r="L9184" s="91"/>
      <c r="M9184" s="78"/>
    </row>
    <row r="9185">
      <c r="C9185" s="85"/>
      <c r="D9185" s="25"/>
      <c r="E9185" s="77"/>
      <c r="F9185" s="88"/>
      <c r="G9185" s="88"/>
      <c r="H9185" s="89"/>
      <c r="K9185" s="58"/>
      <c r="L9185" s="91"/>
      <c r="M9185" s="78"/>
    </row>
    <row r="9186">
      <c r="C9186" s="85"/>
      <c r="D9186" s="25"/>
      <c r="E9186" s="77"/>
      <c r="F9186" s="88"/>
      <c r="G9186" s="88"/>
      <c r="H9186" s="89"/>
      <c r="K9186" s="58"/>
      <c r="L9186" s="91"/>
      <c r="M9186" s="78"/>
    </row>
    <row r="9187">
      <c r="C9187" s="85"/>
      <c r="D9187" s="25"/>
      <c r="E9187" s="77"/>
      <c r="F9187" s="88"/>
      <c r="G9187" s="88"/>
      <c r="H9187" s="89"/>
      <c r="K9187" s="58"/>
      <c r="L9187" s="91"/>
      <c r="M9187" s="78"/>
    </row>
    <row r="9188">
      <c r="C9188" s="85"/>
      <c r="D9188" s="25"/>
      <c r="E9188" s="77"/>
      <c r="F9188" s="88"/>
      <c r="G9188" s="88"/>
      <c r="H9188" s="89"/>
      <c r="K9188" s="58"/>
      <c r="L9188" s="91"/>
      <c r="M9188" s="78"/>
    </row>
    <row r="9189">
      <c r="C9189" s="85"/>
      <c r="D9189" s="25"/>
      <c r="E9189" s="77"/>
      <c r="F9189" s="88"/>
      <c r="G9189" s="88"/>
      <c r="H9189" s="89"/>
      <c r="K9189" s="58"/>
      <c r="L9189" s="91"/>
      <c r="M9189" s="78"/>
    </row>
    <row r="9190">
      <c r="C9190" s="85"/>
      <c r="D9190" s="25"/>
      <c r="E9190" s="77"/>
      <c r="F9190" s="88"/>
      <c r="G9190" s="88"/>
      <c r="H9190" s="89"/>
      <c r="K9190" s="58"/>
      <c r="L9190" s="91"/>
      <c r="M9190" s="78"/>
    </row>
    <row r="9191">
      <c r="C9191" s="85"/>
      <c r="D9191" s="25"/>
      <c r="E9191" s="77"/>
      <c r="F9191" s="88"/>
      <c r="G9191" s="88"/>
      <c r="H9191" s="89"/>
      <c r="K9191" s="58"/>
      <c r="L9191" s="91"/>
      <c r="M9191" s="78"/>
    </row>
    <row r="9192">
      <c r="C9192" s="85"/>
      <c r="D9192" s="25"/>
      <c r="E9192" s="77"/>
      <c r="F9192" s="88"/>
      <c r="G9192" s="88"/>
      <c r="H9192" s="89"/>
      <c r="K9192" s="58"/>
      <c r="L9192" s="91"/>
      <c r="M9192" s="78"/>
    </row>
    <row r="9193">
      <c r="C9193" s="85"/>
      <c r="D9193" s="25"/>
      <c r="E9193" s="77"/>
      <c r="F9193" s="88"/>
      <c r="G9193" s="88"/>
      <c r="H9193" s="89"/>
      <c r="K9193" s="58"/>
      <c r="L9193" s="91"/>
      <c r="M9193" s="78"/>
    </row>
    <row r="9194">
      <c r="C9194" s="85"/>
      <c r="D9194" s="25"/>
      <c r="E9194" s="77"/>
      <c r="F9194" s="88"/>
      <c r="G9194" s="88"/>
      <c r="H9194" s="89"/>
      <c r="K9194" s="58"/>
      <c r="L9194" s="91"/>
      <c r="M9194" s="78"/>
    </row>
    <row r="9195">
      <c r="C9195" s="85"/>
      <c r="D9195" s="25"/>
      <c r="E9195" s="77"/>
      <c r="F9195" s="88"/>
      <c r="G9195" s="88"/>
      <c r="H9195" s="89"/>
      <c r="K9195" s="58"/>
      <c r="L9195" s="91"/>
      <c r="M9195" s="78"/>
    </row>
    <row r="9196">
      <c r="C9196" s="85"/>
      <c r="D9196" s="25"/>
      <c r="E9196" s="77"/>
      <c r="F9196" s="88"/>
      <c r="G9196" s="88"/>
      <c r="H9196" s="89"/>
      <c r="K9196" s="58"/>
      <c r="L9196" s="91"/>
      <c r="M9196" s="78"/>
    </row>
    <row r="9197">
      <c r="C9197" s="85"/>
      <c r="D9197" s="25"/>
      <c r="E9197" s="77"/>
      <c r="F9197" s="88"/>
      <c r="G9197" s="88"/>
      <c r="H9197" s="89"/>
      <c r="K9197" s="58"/>
      <c r="L9197" s="91"/>
      <c r="M9197" s="78"/>
    </row>
    <row r="9198">
      <c r="C9198" s="85"/>
      <c r="D9198" s="25"/>
      <c r="E9198" s="77"/>
      <c r="F9198" s="88"/>
      <c r="G9198" s="88"/>
      <c r="H9198" s="89"/>
      <c r="K9198" s="58"/>
      <c r="L9198" s="91"/>
      <c r="M9198" s="78"/>
    </row>
    <row r="9199">
      <c r="C9199" s="85"/>
      <c r="D9199" s="25"/>
      <c r="E9199" s="77"/>
      <c r="F9199" s="88"/>
      <c r="G9199" s="88"/>
      <c r="H9199" s="89"/>
      <c r="K9199" s="58"/>
      <c r="L9199" s="91"/>
      <c r="M9199" s="78"/>
    </row>
    <row r="9200">
      <c r="C9200" s="85"/>
      <c r="D9200" s="25"/>
      <c r="E9200" s="77"/>
      <c r="F9200" s="88"/>
      <c r="G9200" s="88"/>
      <c r="H9200" s="89"/>
      <c r="K9200" s="58"/>
      <c r="L9200" s="91"/>
      <c r="M9200" s="78"/>
    </row>
    <row r="9201">
      <c r="C9201" s="85"/>
      <c r="D9201" s="25"/>
      <c r="E9201" s="77"/>
      <c r="F9201" s="88"/>
      <c r="G9201" s="88"/>
      <c r="H9201" s="89"/>
      <c r="K9201" s="58"/>
      <c r="L9201" s="91"/>
      <c r="M9201" s="78"/>
    </row>
    <row r="9202">
      <c r="C9202" s="85"/>
      <c r="D9202" s="25"/>
      <c r="E9202" s="77"/>
      <c r="F9202" s="88"/>
      <c r="G9202" s="88"/>
      <c r="H9202" s="89"/>
      <c r="K9202" s="58"/>
      <c r="L9202" s="91"/>
      <c r="M9202" s="78"/>
    </row>
    <row r="9203">
      <c r="C9203" s="85"/>
      <c r="D9203" s="25"/>
      <c r="E9203" s="77"/>
      <c r="F9203" s="88"/>
      <c r="G9203" s="88"/>
      <c r="H9203" s="89"/>
      <c r="K9203" s="58"/>
      <c r="L9203" s="91"/>
      <c r="M9203" s="78"/>
    </row>
    <row r="9204">
      <c r="C9204" s="85"/>
      <c r="D9204" s="25"/>
      <c r="E9204" s="77"/>
      <c r="F9204" s="88"/>
      <c r="G9204" s="88"/>
      <c r="H9204" s="89"/>
      <c r="K9204" s="58"/>
      <c r="L9204" s="91"/>
      <c r="M9204" s="78"/>
    </row>
    <row r="9205">
      <c r="C9205" s="85"/>
      <c r="D9205" s="25"/>
      <c r="E9205" s="77"/>
      <c r="F9205" s="88"/>
      <c r="G9205" s="88"/>
      <c r="H9205" s="89"/>
      <c r="K9205" s="58"/>
      <c r="L9205" s="91"/>
      <c r="M9205" s="78"/>
    </row>
    <row r="9206">
      <c r="C9206" s="85"/>
      <c r="D9206" s="25"/>
      <c r="E9206" s="77"/>
      <c r="F9206" s="88"/>
      <c r="G9206" s="88"/>
      <c r="H9206" s="89"/>
      <c r="K9206" s="58"/>
      <c r="L9206" s="91"/>
      <c r="M9206" s="78"/>
    </row>
    <row r="9207">
      <c r="C9207" s="85"/>
      <c r="D9207" s="25"/>
      <c r="E9207" s="77"/>
      <c r="F9207" s="88"/>
      <c r="G9207" s="88"/>
      <c r="H9207" s="89"/>
      <c r="K9207" s="58"/>
      <c r="L9207" s="91"/>
      <c r="M9207" s="78"/>
    </row>
    <row r="9208">
      <c r="C9208" s="85"/>
      <c r="D9208" s="25"/>
      <c r="E9208" s="77"/>
      <c r="F9208" s="88"/>
      <c r="G9208" s="88"/>
      <c r="H9208" s="89"/>
      <c r="K9208" s="58"/>
      <c r="L9208" s="91"/>
      <c r="M9208" s="78"/>
    </row>
    <row r="9209">
      <c r="C9209" s="85"/>
      <c r="D9209" s="25"/>
      <c r="E9209" s="77"/>
      <c r="F9209" s="88"/>
      <c r="G9209" s="88"/>
      <c r="H9209" s="89"/>
      <c r="K9209" s="58"/>
      <c r="L9209" s="91"/>
      <c r="M9209" s="78"/>
    </row>
    <row r="9210">
      <c r="C9210" s="85"/>
      <c r="D9210" s="25"/>
      <c r="E9210" s="77"/>
      <c r="F9210" s="88"/>
      <c r="G9210" s="88"/>
      <c r="H9210" s="89"/>
      <c r="K9210" s="58"/>
      <c r="L9210" s="91"/>
      <c r="M9210" s="78"/>
    </row>
    <row r="9211">
      <c r="C9211" s="85"/>
      <c r="D9211" s="25"/>
      <c r="E9211" s="77"/>
      <c r="F9211" s="88"/>
      <c r="G9211" s="88"/>
      <c r="H9211" s="89"/>
      <c r="K9211" s="58"/>
      <c r="L9211" s="91"/>
      <c r="M9211" s="78"/>
    </row>
    <row r="9212">
      <c r="C9212" s="85"/>
      <c r="D9212" s="25"/>
      <c r="E9212" s="77"/>
      <c r="F9212" s="88"/>
      <c r="G9212" s="88"/>
      <c r="H9212" s="89"/>
      <c r="K9212" s="58"/>
      <c r="L9212" s="91"/>
      <c r="M9212" s="78"/>
    </row>
    <row r="9213">
      <c r="C9213" s="85"/>
      <c r="D9213" s="25"/>
      <c r="E9213" s="77"/>
      <c r="F9213" s="88"/>
      <c r="G9213" s="88"/>
      <c r="H9213" s="89"/>
      <c r="K9213" s="58"/>
      <c r="L9213" s="91"/>
      <c r="M9213" s="78"/>
    </row>
    <row r="9214">
      <c r="C9214" s="85"/>
      <c r="D9214" s="25"/>
      <c r="E9214" s="77"/>
      <c r="F9214" s="88"/>
      <c r="G9214" s="88"/>
      <c r="H9214" s="89"/>
      <c r="K9214" s="58"/>
      <c r="L9214" s="91"/>
      <c r="M9214" s="78"/>
    </row>
    <row r="9215">
      <c r="C9215" s="85"/>
      <c r="D9215" s="25"/>
      <c r="E9215" s="77"/>
      <c r="F9215" s="88"/>
      <c r="G9215" s="88"/>
      <c r="H9215" s="89"/>
      <c r="K9215" s="58"/>
      <c r="L9215" s="91"/>
      <c r="M9215" s="78"/>
    </row>
    <row r="9216">
      <c r="C9216" s="85"/>
      <c r="D9216" s="25"/>
      <c r="E9216" s="77"/>
      <c r="F9216" s="88"/>
      <c r="G9216" s="88"/>
      <c r="H9216" s="89"/>
      <c r="K9216" s="58"/>
      <c r="L9216" s="91"/>
      <c r="M9216" s="78"/>
    </row>
    <row r="9217">
      <c r="C9217" s="85"/>
      <c r="D9217" s="25"/>
      <c r="E9217" s="77"/>
      <c r="F9217" s="88"/>
      <c r="G9217" s="88"/>
      <c r="H9217" s="89"/>
      <c r="K9217" s="58"/>
      <c r="L9217" s="91"/>
      <c r="M9217" s="78"/>
    </row>
    <row r="9218">
      <c r="C9218" s="85"/>
      <c r="D9218" s="25"/>
      <c r="E9218" s="77"/>
      <c r="F9218" s="88"/>
      <c r="G9218" s="88"/>
      <c r="H9218" s="89"/>
      <c r="K9218" s="58"/>
      <c r="L9218" s="91"/>
      <c r="M9218" s="78"/>
    </row>
    <row r="9219">
      <c r="C9219" s="85"/>
      <c r="D9219" s="25"/>
      <c r="E9219" s="77"/>
      <c r="F9219" s="88"/>
      <c r="G9219" s="88"/>
      <c r="H9219" s="89"/>
      <c r="K9219" s="58"/>
      <c r="L9219" s="91"/>
      <c r="M9219" s="78"/>
    </row>
    <row r="9220">
      <c r="C9220" s="85"/>
      <c r="D9220" s="25"/>
      <c r="E9220" s="77"/>
      <c r="F9220" s="88"/>
      <c r="G9220" s="88"/>
      <c r="H9220" s="89"/>
      <c r="K9220" s="58"/>
      <c r="L9220" s="91"/>
      <c r="M9220" s="78"/>
    </row>
    <row r="9221">
      <c r="C9221" s="85"/>
      <c r="D9221" s="25"/>
      <c r="E9221" s="77"/>
      <c r="F9221" s="88"/>
      <c r="G9221" s="88"/>
      <c r="H9221" s="89"/>
      <c r="K9221" s="58"/>
      <c r="L9221" s="91"/>
      <c r="M9221" s="78"/>
    </row>
    <row r="9222">
      <c r="C9222" s="85"/>
      <c r="D9222" s="25"/>
      <c r="E9222" s="77"/>
      <c r="F9222" s="88"/>
      <c r="G9222" s="88"/>
      <c r="H9222" s="89"/>
      <c r="K9222" s="58"/>
      <c r="L9222" s="91"/>
      <c r="M9222" s="78"/>
    </row>
    <row r="9223">
      <c r="C9223" s="85"/>
      <c r="D9223" s="25"/>
      <c r="E9223" s="77"/>
      <c r="F9223" s="88"/>
      <c r="G9223" s="88"/>
      <c r="H9223" s="89"/>
      <c r="K9223" s="58"/>
      <c r="L9223" s="91"/>
      <c r="M9223" s="78"/>
    </row>
    <row r="9224">
      <c r="C9224" s="85"/>
      <c r="D9224" s="25"/>
      <c r="E9224" s="77"/>
      <c r="F9224" s="88"/>
      <c r="G9224" s="88"/>
      <c r="H9224" s="89"/>
      <c r="K9224" s="58"/>
      <c r="L9224" s="91"/>
      <c r="M9224" s="78"/>
    </row>
    <row r="9225">
      <c r="C9225" s="85"/>
      <c r="D9225" s="25"/>
      <c r="E9225" s="77"/>
      <c r="F9225" s="88"/>
      <c r="G9225" s="88"/>
      <c r="H9225" s="89"/>
      <c r="K9225" s="58"/>
      <c r="L9225" s="91"/>
      <c r="M9225" s="78"/>
    </row>
    <row r="9226">
      <c r="C9226" s="85"/>
      <c r="D9226" s="25"/>
      <c r="E9226" s="77"/>
      <c r="F9226" s="88"/>
      <c r="G9226" s="88"/>
      <c r="H9226" s="89"/>
      <c r="K9226" s="58"/>
      <c r="L9226" s="91"/>
      <c r="M9226" s="78"/>
    </row>
    <row r="9227">
      <c r="C9227" s="85"/>
      <c r="D9227" s="25"/>
      <c r="E9227" s="77"/>
      <c r="F9227" s="88"/>
      <c r="G9227" s="88"/>
      <c r="H9227" s="89"/>
      <c r="K9227" s="58"/>
      <c r="L9227" s="91"/>
      <c r="M9227" s="78"/>
    </row>
    <row r="9228">
      <c r="C9228" s="85"/>
      <c r="D9228" s="25"/>
      <c r="E9228" s="77"/>
      <c r="F9228" s="88"/>
      <c r="G9228" s="88"/>
      <c r="H9228" s="89"/>
      <c r="K9228" s="58"/>
      <c r="L9228" s="91"/>
      <c r="M9228" s="78"/>
    </row>
    <row r="9229">
      <c r="C9229" s="85"/>
      <c r="D9229" s="25"/>
      <c r="E9229" s="77"/>
      <c r="F9229" s="88"/>
      <c r="G9229" s="88"/>
      <c r="H9229" s="89"/>
      <c r="K9229" s="58"/>
      <c r="L9229" s="91"/>
      <c r="M9229" s="78"/>
    </row>
    <row r="9230">
      <c r="C9230" s="85"/>
      <c r="D9230" s="25"/>
      <c r="E9230" s="77"/>
      <c r="F9230" s="88"/>
      <c r="G9230" s="88"/>
      <c r="H9230" s="89"/>
      <c r="K9230" s="58"/>
      <c r="L9230" s="91"/>
      <c r="M9230" s="78"/>
    </row>
    <row r="9231">
      <c r="C9231" s="85"/>
      <c r="D9231" s="25"/>
      <c r="E9231" s="77"/>
      <c r="F9231" s="88"/>
      <c r="G9231" s="88"/>
      <c r="H9231" s="89"/>
      <c r="K9231" s="58"/>
      <c r="L9231" s="91"/>
      <c r="M9231" s="78"/>
    </row>
    <row r="9232">
      <c r="C9232" s="85"/>
      <c r="D9232" s="25"/>
      <c r="E9232" s="77"/>
      <c r="F9232" s="88"/>
      <c r="G9232" s="88"/>
      <c r="H9232" s="89"/>
      <c r="K9232" s="58"/>
      <c r="L9232" s="91"/>
      <c r="M9232" s="78"/>
    </row>
    <row r="9233">
      <c r="C9233" s="85"/>
      <c r="D9233" s="25"/>
      <c r="E9233" s="77"/>
      <c r="F9233" s="88"/>
      <c r="G9233" s="88"/>
      <c r="H9233" s="89"/>
      <c r="K9233" s="58"/>
      <c r="L9233" s="91"/>
      <c r="M9233" s="78"/>
    </row>
    <row r="9234">
      <c r="C9234" s="85"/>
      <c r="D9234" s="25"/>
      <c r="E9234" s="77"/>
      <c r="F9234" s="88"/>
      <c r="G9234" s="88"/>
      <c r="H9234" s="89"/>
      <c r="K9234" s="58"/>
      <c r="L9234" s="91"/>
      <c r="M9234" s="78"/>
    </row>
    <row r="9235">
      <c r="C9235" s="85"/>
      <c r="D9235" s="25"/>
      <c r="E9235" s="77"/>
      <c r="F9235" s="88"/>
      <c r="G9235" s="88"/>
      <c r="H9235" s="89"/>
      <c r="K9235" s="58"/>
      <c r="L9235" s="91"/>
      <c r="M9235" s="78"/>
    </row>
    <row r="9236">
      <c r="C9236" s="85"/>
      <c r="D9236" s="25"/>
      <c r="E9236" s="77"/>
      <c r="F9236" s="88"/>
      <c r="G9236" s="88"/>
      <c r="H9236" s="89"/>
      <c r="K9236" s="58"/>
      <c r="L9236" s="91"/>
      <c r="M9236" s="78"/>
    </row>
    <row r="9237">
      <c r="C9237" s="85"/>
      <c r="D9237" s="25"/>
      <c r="E9237" s="77"/>
      <c r="F9237" s="88"/>
      <c r="G9237" s="88"/>
      <c r="H9237" s="89"/>
      <c r="K9237" s="58"/>
      <c r="L9237" s="91"/>
      <c r="M9237" s="78"/>
    </row>
    <row r="9238">
      <c r="C9238" s="85"/>
      <c r="D9238" s="25"/>
      <c r="E9238" s="77"/>
      <c r="F9238" s="88"/>
      <c r="G9238" s="88"/>
      <c r="H9238" s="89"/>
      <c r="K9238" s="58"/>
      <c r="L9238" s="91"/>
      <c r="M9238" s="78"/>
    </row>
    <row r="9239">
      <c r="C9239" s="85"/>
      <c r="D9239" s="25"/>
      <c r="E9239" s="77"/>
      <c r="F9239" s="88"/>
      <c r="G9239" s="88"/>
      <c r="H9239" s="89"/>
      <c r="K9239" s="58"/>
      <c r="L9239" s="91"/>
      <c r="M9239" s="78"/>
    </row>
    <row r="9240">
      <c r="C9240" s="85"/>
      <c r="D9240" s="25"/>
      <c r="E9240" s="77"/>
      <c r="F9240" s="88"/>
      <c r="G9240" s="88"/>
      <c r="H9240" s="89"/>
      <c r="K9240" s="58"/>
      <c r="L9240" s="91"/>
      <c r="M9240" s="78"/>
    </row>
    <row r="9241">
      <c r="C9241" s="85"/>
      <c r="D9241" s="25"/>
      <c r="E9241" s="77"/>
      <c r="F9241" s="88"/>
      <c r="G9241" s="88"/>
      <c r="H9241" s="89"/>
      <c r="K9241" s="58"/>
      <c r="L9241" s="91"/>
      <c r="M9241" s="78"/>
    </row>
    <row r="9242">
      <c r="C9242" s="85"/>
      <c r="D9242" s="25"/>
      <c r="E9242" s="77"/>
      <c r="F9242" s="88"/>
      <c r="G9242" s="88"/>
      <c r="H9242" s="89"/>
      <c r="K9242" s="58"/>
      <c r="L9242" s="91"/>
      <c r="M9242" s="78"/>
    </row>
    <row r="9243">
      <c r="C9243" s="85"/>
      <c r="D9243" s="25"/>
      <c r="E9243" s="77"/>
      <c r="F9243" s="88"/>
      <c r="G9243" s="88"/>
      <c r="H9243" s="89"/>
      <c r="K9243" s="58"/>
      <c r="L9243" s="91"/>
      <c r="M9243" s="78"/>
    </row>
    <row r="9244">
      <c r="C9244" s="85"/>
      <c r="D9244" s="25"/>
      <c r="E9244" s="77"/>
      <c r="F9244" s="88"/>
      <c r="G9244" s="88"/>
      <c r="H9244" s="89"/>
      <c r="K9244" s="58"/>
      <c r="L9244" s="91"/>
      <c r="M9244" s="78"/>
    </row>
    <row r="9245">
      <c r="C9245" s="85"/>
      <c r="D9245" s="25"/>
      <c r="E9245" s="77"/>
      <c r="F9245" s="88"/>
      <c r="G9245" s="88"/>
      <c r="H9245" s="89"/>
      <c r="K9245" s="58"/>
      <c r="L9245" s="91"/>
      <c r="M9245" s="78"/>
    </row>
    <row r="9246">
      <c r="C9246" s="85"/>
      <c r="D9246" s="25"/>
      <c r="E9246" s="77"/>
      <c r="F9246" s="88"/>
      <c r="G9246" s="88"/>
      <c r="H9246" s="89"/>
      <c r="K9246" s="58"/>
      <c r="L9246" s="91"/>
      <c r="M9246" s="78"/>
    </row>
    <row r="9247">
      <c r="C9247" s="85"/>
      <c r="D9247" s="25"/>
      <c r="E9247" s="77"/>
      <c r="F9247" s="88"/>
      <c r="G9247" s="88"/>
      <c r="H9247" s="89"/>
      <c r="K9247" s="58"/>
      <c r="L9247" s="91"/>
      <c r="M9247" s="78"/>
    </row>
    <row r="9248">
      <c r="C9248" s="85"/>
      <c r="D9248" s="25"/>
      <c r="E9248" s="77"/>
      <c r="F9248" s="88"/>
      <c r="G9248" s="88"/>
      <c r="H9248" s="89"/>
      <c r="K9248" s="58"/>
      <c r="L9248" s="91"/>
      <c r="M9248" s="78"/>
    </row>
    <row r="9249">
      <c r="C9249" s="85"/>
      <c r="D9249" s="25"/>
      <c r="E9249" s="77"/>
      <c r="F9249" s="88"/>
      <c r="G9249" s="88"/>
      <c r="H9249" s="89"/>
      <c r="K9249" s="58"/>
      <c r="L9249" s="91"/>
      <c r="M9249" s="78"/>
    </row>
    <row r="9250">
      <c r="C9250" s="85"/>
      <c r="D9250" s="25"/>
      <c r="E9250" s="77"/>
      <c r="F9250" s="88"/>
      <c r="G9250" s="88"/>
      <c r="H9250" s="89"/>
      <c r="K9250" s="58"/>
      <c r="L9250" s="91"/>
      <c r="M9250" s="78"/>
    </row>
    <row r="9251">
      <c r="C9251" s="85"/>
      <c r="D9251" s="25"/>
      <c r="E9251" s="77"/>
      <c r="F9251" s="88"/>
      <c r="G9251" s="88"/>
      <c r="H9251" s="89"/>
      <c r="K9251" s="58"/>
      <c r="L9251" s="91"/>
      <c r="M9251" s="78"/>
    </row>
    <row r="9252">
      <c r="C9252" s="85"/>
      <c r="D9252" s="25"/>
      <c r="E9252" s="77"/>
      <c r="F9252" s="88"/>
      <c r="G9252" s="88"/>
      <c r="H9252" s="89"/>
      <c r="K9252" s="58"/>
      <c r="L9252" s="91"/>
      <c r="M9252" s="78"/>
    </row>
    <row r="9253">
      <c r="C9253" s="85"/>
      <c r="D9253" s="25"/>
      <c r="E9253" s="77"/>
      <c r="F9253" s="88"/>
      <c r="G9253" s="88"/>
      <c r="H9253" s="89"/>
      <c r="K9253" s="58"/>
      <c r="L9253" s="91"/>
      <c r="M9253" s="78"/>
    </row>
    <row r="9254">
      <c r="C9254" s="85"/>
      <c r="D9254" s="25"/>
      <c r="E9254" s="77"/>
      <c r="F9254" s="88"/>
      <c r="G9254" s="88"/>
      <c r="H9254" s="89"/>
      <c r="K9254" s="58"/>
      <c r="L9254" s="91"/>
      <c r="M9254" s="78"/>
    </row>
    <row r="9255">
      <c r="C9255" s="85"/>
      <c r="D9255" s="25"/>
      <c r="E9255" s="77"/>
      <c r="F9255" s="88"/>
      <c r="G9255" s="88"/>
      <c r="H9255" s="89"/>
      <c r="K9255" s="58"/>
      <c r="L9255" s="91"/>
      <c r="M9255" s="78"/>
    </row>
    <row r="9256">
      <c r="C9256" s="85"/>
      <c r="D9256" s="25"/>
      <c r="E9256" s="77"/>
      <c r="F9256" s="88"/>
      <c r="G9256" s="88"/>
      <c r="H9256" s="89"/>
      <c r="K9256" s="58"/>
      <c r="L9256" s="91"/>
      <c r="M9256" s="78"/>
    </row>
    <row r="9257">
      <c r="C9257" s="85"/>
      <c r="D9257" s="25"/>
      <c r="E9257" s="77"/>
      <c r="F9257" s="88"/>
      <c r="G9257" s="88"/>
      <c r="H9257" s="89"/>
      <c r="K9257" s="58"/>
      <c r="L9257" s="91"/>
      <c r="M9257" s="78"/>
    </row>
    <row r="9258">
      <c r="C9258" s="85"/>
      <c r="D9258" s="25"/>
      <c r="E9258" s="77"/>
      <c r="F9258" s="88"/>
      <c r="G9258" s="88"/>
      <c r="H9258" s="89"/>
      <c r="K9258" s="58"/>
      <c r="L9258" s="91"/>
      <c r="M9258" s="78"/>
    </row>
    <row r="9259">
      <c r="C9259" s="85"/>
      <c r="D9259" s="25"/>
      <c r="E9259" s="77"/>
      <c r="F9259" s="88"/>
      <c r="G9259" s="88"/>
      <c r="H9259" s="89"/>
      <c r="K9259" s="58"/>
      <c r="L9259" s="91"/>
      <c r="M9259" s="78"/>
    </row>
    <row r="9260">
      <c r="C9260" s="85"/>
      <c r="D9260" s="25"/>
      <c r="E9260" s="77"/>
      <c r="F9260" s="88"/>
      <c r="G9260" s="88"/>
      <c r="H9260" s="89"/>
      <c r="K9260" s="58"/>
      <c r="L9260" s="91"/>
      <c r="M9260" s="78"/>
    </row>
    <row r="9261">
      <c r="C9261" s="85"/>
      <c r="D9261" s="25"/>
      <c r="E9261" s="77"/>
      <c r="F9261" s="88"/>
      <c r="G9261" s="88"/>
      <c r="H9261" s="89"/>
      <c r="K9261" s="58"/>
      <c r="L9261" s="91"/>
      <c r="M9261" s="78"/>
    </row>
    <row r="9262">
      <c r="C9262" s="85"/>
      <c r="D9262" s="25"/>
      <c r="E9262" s="77"/>
      <c r="F9262" s="88"/>
      <c r="G9262" s="88"/>
      <c r="H9262" s="89"/>
      <c r="K9262" s="58"/>
      <c r="L9262" s="91"/>
      <c r="M9262" s="78"/>
    </row>
    <row r="9263">
      <c r="C9263" s="85"/>
      <c r="D9263" s="25"/>
      <c r="E9263" s="77"/>
      <c r="F9263" s="88"/>
      <c r="G9263" s="88"/>
      <c r="H9263" s="89"/>
      <c r="K9263" s="58"/>
      <c r="L9263" s="91"/>
      <c r="M9263" s="78"/>
    </row>
    <row r="9264">
      <c r="C9264" s="85"/>
      <c r="D9264" s="25"/>
      <c r="E9264" s="77"/>
      <c r="F9264" s="88"/>
      <c r="G9264" s="88"/>
      <c r="H9264" s="89"/>
      <c r="K9264" s="58"/>
      <c r="L9264" s="91"/>
      <c r="M9264" s="78"/>
    </row>
    <row r="9265">
      <c r="C9265" s="85"/>
      <c r="D9265" s="25"/>
      <c r="E9265" s="77"/>
      <c r="F9265" s="88"/>
      <c r="G9265" s="88"/>
      <c r="H9265" s="89"/>
      <c r="K9265" s="58"/>
      <c r="L9265" s="91"/>
      <c r="M9265" s="78"/>
    </row>
    <row r="9266">
      <c r="C9266" s="85"/>
      <c r="D9266" s="25"/>
      <c r="E9266" s="77"/>
      <c r="F9266" s="88"/>
      <c r="G9266" s="88"/>
      <c r="H9266" s="89"/>
      <c r="K9266" s="58"/>
      <c r="L9266" s="91"/>
      <c r="M9266" s="78"/>
    </row>
    <row r="9267">
      <c r="C9267" s="85"/>
      <c r="D9267" s="25"/>
      <c r="E9267" s="77"/>
      <c r="F9267" s="88"/>
      <c r="G9267" s="88"/>
      <c r="H9267" s="89"/>
      <c r="K9267" s="58"/>
      <c r="L9267" s="91"/>
      <c r="M9267" s="78"/>
    </row>
    <row r="9268">
      <c r="C9268" s="85"/>
      <c r="D9268" s="25"/>
      <c r="E9268" s="77"/>
      <c r="F9268" s="88"/>
      <c r="G9268" s="88"/>
      <c r="H9268" s="89"/>
      <c r="K9268" s="58"/>
      <c r="L9268" s="91"/>
      <c r="M9268" s="78"/>
    </row>
    <row r="9269">
      <c r="C9269" s="85"/>
      <c r="D9269" s="25"/>
      <c r="E9269" s="77"/>
      <c r="F9269" s="88"/>
      <c r="G9269" s="88"/>
      <c r="H9269" s="89"/>
      <c r="K9269" s="58"/>
      <c r="L9269" s="91"/>
      <c r="M9269" s="78"/>
    </row>
    <row r="9270">
      <c r="C9270" s="85"/>
      <c r="D9270" s="25"/>
      <c r="E9270" s="77"/>
      <c r="F9270" s="88"/>
      <c r="G9270" s="88"/>
      <c r="H9270" s="89"/>
      <c r="K9270" s="58"/>
      <c r="L9270" s="91"/>
      <c r="M9270" s="78"/>
    </row>
    <row r="9271">
      <c r="C9271" s="85"/>
      <c r="D9271" s="25"/>
      <c r="E9271" s="77"/>
      <c r="F9271" s="88"/>
      <c r="G9271" s="88"/>
      <c r="H9271" s="89"/>
      <c r="K9271" s="58"/>
      <c r="L9271" s="91"/>
      <c r="M9271" s="78"/>
    </row>
    <row r="9272">
      <c r="C9272" s="85"/>
      <c r="D9272" s="25"/>
      <c r="E9272" s="77"/>
      <c r="F9272" s="88"/>
      <c r="G9272" s="88"/>
      <c r="H9272" s="89"/>
      <c r="K9272" s="58"/>
      <c r="L9272" s="91"/>
      <c r="M9272" s="78"/>
    </row>
    <row r="9273">
      <c r="C9273" s="85"/>
      <c r="D9273" s="25"/>
      <c r="E9273" s="77"/>
      <c r="F9273" s="88"/>
      <c r="G9273" s="88"/>
      <c r="H9273" s="89"/>
      <c r="K9273" s="58"/>
      <c r="L9273" s="91"/>
      <c r="M9273" s="78"/>
    </row>
    <row r="9274">
      <c r="C9274" s="85"/>
      <c r="D9274" s="25"/>
      <c r="E9274" s="77"/>
      <c r="F9274" s="88"/>
      <c r="G9274" s="88"/>
      <c r="H9274" s="89"/>
      <c r="K9274" s="58"/>
      <c r="L9274" s="91"/>
      <c r="M9274" s="78"/>
    </row>
    <row r="9275">
      <c r="C9275" s="85"/>
      <c r="D9275" s="25"/>
      <c r="E9275" s="77"/>
      <c r="F9275" s="88"/>
      <c r="G9275" s="88"/>
      <c r="H9275" s="89"/>
      <c r="K9275" s="58"/>
      <c r="L9275" s="91"/>
      <c r="M9275" s="78"/>
    </row>
    <row r="9276">
      <c r="C9276" s="85"/>
      <c r="D9276" s="25"/>
      <c r="E9276" s="77"/>
      <c r="F9276" s="88"/>
      <c r="G9276" s="88"/>
      <c r="H9276" s="89"/>
      <c r="K9276" s="58"/>
      <c r="L9276" s="91"/>
      <c r="M9276" s="78"/>
    </row>
    <row r="9277">
      <c r="C9277" s="85"/>
      <c r="D9277" s="25"/>
      <c r="E9277" s="77"/>
      <c r="F9277" s="88"/>
      <c r="G9277" s="88"/>
      <c r="H9277" s="89"/>
      <c r="K9277" s="58"/>
      <c r="L9277" s="91"/>
      <c r="M9277" s="78"/>
    </row>
    <row r="9278">
      <c r="C9278" s="85"/>
      <c r="D9278" s="25"/>
      <c r="E9278" s="77"/>
      <c r="F9278" s="88"/>
      <c r="G9278" s="88"/>
      <c r="H9278" s="89"/>
      <c r="K9278" s="58"/>
      <c r="L9278" s="91"/>
      <c r="M9278" s="78"/>
    </row>
    <row r="9279">
      <c r="C9279" s="85"/>
      <c r="D9279" s="25"/>
      <c r="E9279" s="77"/>
      <c r="F9279" s="88"/>
      <c r="G9279" s="88"/>
      <c r="H9279" s="89"/>
      <c r="K9279" s="58"/>
      <c r="L9279" s="91"/>
      <c r="M9279" s="78"/>
    </row>
    <row r="9280">
      <c r="C9280" s="85"/>
      <c r="D9280" s="25"/>
      <c r="E9280" s="77"/>
      <c r="F9280" s="88"/>
      <c r="G9280" s="88"/>
      <c r="H9280" s="89"/>
      <c r="K9280" s="58"/>
      <c r="L9280" s="91"/>
      <c r="M9280" s="78"/>
    </row>
    <row r="9281">
      <c r="C9281" s="85"/>
      <c r="D9281" s="25"/>
      <c r="E9281" s="77"/>
      <c r="F9281" s="88"/>
      <c r="G9281" s="88"/>
      <c r="H9281" s="89"/>
      <c r="K9281" s="58"/>
      <c r="L9281" s="91"/>
      <c r="M9281" s="78"/>
    </row>
    <row r="9282">
      <c r="C9282" s="85"/>
      <c r="D9282" s="25"/>
      <c r="E9282" s="77"/>
      <c r="F9282" s="88"/>
      <c r="G9282" s="88"/>
      <c r="H9282" s="89"/>
      <c r="K9282" s="58"/>
      <c r="L9282" s="91"/>
      <c r="M9282" s="78"/>
    </row>
    <row r="9283">
      <c r="C9283" s="85"/>
      <c r="D9283" s="25"/>
      <c r="E9283" s="77"/>
      <c r="F9283" s="88"/>
      <c r="G9283" s="88"/>
      <c r="H9283" s="89"/>
      <c r="K9283" s="58"/>
      <c r="L9283" s="91"/>
      <c r="M9283" s="78"/>
    </row>
    <row r="9284">
      <c r="C9284" s="85"/>
      <c r="D9284" s="25"/>
      <c r="E9284" s="77"/>
      <c r="F9284" s="88"/>
      <c r="G9284" s="88"/>
      <c r="H9284" s="89"/>
      <c r="K9284" s="58"/>
      <c r="L9284" s="91"/>
      <c r="M9284" s="78"/>
    </row>
    <row r="9285">
      <c r="C9285" s="85"/>
      <c r="D9285" s="25"/>
      <c r="E9285" s="77"/>
      <c r="F9285" s="88"/>
      <c r="G9285" s="88"/>
      <c r="H9285" s="89"/>
      <c r="K9285" s="58"/>
      <c r="L9285" s="91"/>
      <c r="M9285" s="78"/>
    </row>
    <row r="9286">
      <c r="C9286" s="85"/>
      <c r="D9286" s="25"/>
      <c r="E9286" s="77"/>
      <c r="F9286" s="88"/>
      <c r="G9286" s="88"/>
      <c r="H9286" s="89"/>
      <c r="K9286" s="58"/>
      <c r="L9286" s="91"/>
      <c r="M9286" s="78"/>
    </row>
    <row r="9287">
      <c r="C9287" s="85"/>
      <c r="D9287" s="25"/>
      <c r="E9287" s="77"/>
      <c r="F9287" s="88"/>
      <c r="G9287" s="88"/>
      <c r="H9287" s="89"/>
      <c r="K9287" s="58"/>
      <c r="L9287" s="91"/>
      <c r="M9287" s="78"/>
    </row>
    <row r="9288">
      <c r="C9288" s="85"/>
      <c r="D9288" s="25"/>
      <c r="E9288" s="77"/>
      <c r="F9288" s="88"/>
      <c r="G9288" s="88"/>
      <c r="H9288" s="89"/>
      <c r="K9288" s="58"/>
      <c r="L9288" s="91"/>
      <c r="M9288" s="78"/>
    </row>
    <row r="9289">
      <c r="C9289" s="85"/>
      <c r="D9289" s="25"/>
      <c r="E9289" s="77"/>
      <c r="F9289" s="88"/>
      <c r="G9289" s="88"/>
      <c r="H9289" s="89"/>
      <c r="K9289" s="58"/>
      <c r="L9289" s="91"/>
      <c r="M9289" s="78"/>
    </row>
    <row r="9290">
      <c r="C9290" s="85"/>
      <c r="D9290" s="25"/>
      <c r="E9290" s="77"/>
      <c r="F9290" s="88"/>
      <c r="G9290" s="88"/>
      <c r="H9290" s="89"/>
      <c r="K9290" s="58"/>
      <c r="L9290" s="91"/>
      <c r="M9290" s="78"/>
    </row>
    <row r="9291">
      <c r="C9291" s="85"/>
      <c r="D9291" s="25"/>
      <c r="E9291" s="77"/>
      <c r="F9291" s="88"/>
      <c r="G9291" s="88"/>
      <c r="H9291" s="89"/>
      <c r="K9291" s="58"/>
      <c r="L9291" s="91"/>
      <c r="M9291" s="78"/>
    </row>
    <row r="9292">
      <c r="C9292" s="85"/>
      <c r="D9292" s="25"/>
      <c r="E9292" s="77"/>
      <c r="F9292" s="88"/>
      <c r="G9292" s="88"/>
      <c r="H9292" s="89"/>
      <c r="K9292" s="58"/>
      <c r="L9292" s="91"/>
      <c r="M9292" s="78"/>
    </row>
    <row r="9293">
      <c r="C9293" s="85"/>
      <c r="D9293" s="25"/>
      <c r="E9293" s="77"/>
      <c r="F9293" s="88"/>
      <c r="G9293" s="88"/>
      <c r="H9293" s="89"/>
      <c r="K9293" s="58"/>
      <c r="L9293" s="91"/>
      <c r="M9293" s="78"/>
    </row>
    <row r="9294">
      <c r="C9294" s="85"/>
      <c r="D9294" s="25"/>
      <c r="E9294" s="77"/>
      <c r="F9294" s="88"/>
      <c r="G9294" s="88"/>
      <c r="H9294" s="89"/>
      <c r="K9294" s="58"/>
      <c r="L9294" s="91"/>
      <c r="M9294" s="78"/>
    </row>
    <row r="9295">
      <c r="C9295" s="85"/>
      <c r="D9295" s="25"/>
      <c r="E9295" s="77"/>
      <c r="F9295" s="88"/>
      <c r="G9295" s="88"/>
      <c r="H9295" s="89"/>
      <c r="K9295" s="58"/>
      <c r="L9295" s="91"/>
      <c r="M9295" s="78"/>
    </row>
    <row r="9296">
      <c r="C9296" s="85"/>
      <c r="D9296" s="25"/>
      <c r="E9296" s="77"/>
      <c r="F9296" s="88"/>
      <c r="G9296" s="88"/>
      <c r="H9296" s="89"/>
      <c r="K9296" s="58"/>
      <c r="L9296" s="91"/>
      <c r="M9296" s="78"/>
    </row>
    <row r="9297">
      <c r="C9297" s="85"/>
      <c r="D9297" s="25"/>
      <c r="E9297" s="77"/>
      <c r="F9297" s="88"/>
      <c r="G9297" s="88"/>
      <c r="H9297" s="89"/>
      <c r="K9297" s="58"/>
      <c r="L9297" s="91"/>
      <c r="M9297" s="78"/>
    </row>
    <row r="9298">
      <c r="C9298" s="85"/>
      <c r="D9298" s="25"/>
      <c r="E9298" s="77"/>
      <c r="F9298" s="88"/>
      <c r="G9298" s="88"/>
      <c r="H9298" s="89"/>
      <c r="K9298" s="58"/>
      <c r="L9298" s="91"/>
      <c r="M9298" s="78"/>
    </row>
    <row r="9299">
      <c r="C9299" s="85"/>
      <c r="D9299" s="25"/>
      <c r="E9299" s="77"/>
      <c r="F9299" s="88"/>
      <c r="G9299" s="88"/>
      <c r="H9299" s="89"/>
      <c r="K9299" s="58"/>
      <c r="L9299" s="91"/>
      <c r="M9299" s="78"/>
    </row>
    <row r="9300">
      <c r="C9300" s="85"/>
      <c r="D9300" s="25"/>
      <c r="E9300" s="77"/>
      <c r="F9300" s="88"/>
      <c r="G9300" s="88"/>
      <c r="H9300" s="89"/>
      <c r="K9300" s="58"/>
      <c r="L9300" s="91"/>
      <c r="M9300" s="78"/>
    </row>
    <row r="9301">
      <c r="C9301" s="85"/>
      <c r="D9301" s="25"/>
      <c r="E9301" s="77"/>
      <c r="F9301" s="88"/>
      <c r="G9301" s="88"/>
      <c r="H9301" s="89"/>
      <c r="K9301" s="58"/>
      <c r="L9301" s="91"/>
      <c r="M9301" s="78"/>
    </row>
    <row r="9302">
      <c r="C9302" s="85"/>
      <c r="D9302" s="25"/>
      <c r="E9302" s="77"/>
      <c r="F9302" s="88"/>
      <c r="G9302" s="88"/>
      <c r="H9302" s="89"/>
      <c r="K9302" s="58"/>
      <c r="L9302" s="91"/>
      <c r="M9302" s="78"/>
    </row>
    <row r="9303">
      <c r="C9303" s="85"/>
      <c r="D9303" s="25"/>
      <c r="E9303" s="77"/>
      <c r="F9303" s="88"/>
      <c r="G9303" s="88"/>
      <c r="H9303" s="89"/>
      <c r="K9303" s="58"/>
      <c r="L9303" s="91"/>
      <c r="M9303" s="78"/>
    </row>
    <row r="9304">
      <c r="C9304" s="85"/>
      <c r="D9304" s="25"/>
      <c r="E9304" s="77"/>
      <c r="F9304" s="88"/>
      <c r="G9304" s="88"/>
      <c r="H9304" s="89"/>
      <c r="K9304" s="58"/>
      <c r="L9304" s="91"/>
      <c r="M9304" s="78"/>
    </row>
    <row r="9305">
      <c r="C9305" s="85"/>
      <c r="D9305" s="25"/>
      <c r="E9305" s="77"/>
      <c r="F9305" s="88"/>
      <c r="G9305" s="88"/>
      <c r="H9305" s="89"/>
      <c r="K9305" s="58"/>
      <c r="L9305" s="91"/>
      <c r="M9305" s="78"/>
    </row>
    <row r="9306">
      <c r="C9306" s="85"/>
      <c r="D9306" s="25"/>
      <c r="E9306" s="77"/>
      <c r="F9306" s="88"/>
      <c r="G9306" s="88"/>
      <c r="H9306" s="89"/>
      <c r="K9306" s="58"/>
      <c r="L9306" s="91"/>
      <c r="M9306" s="78"/>
    </row>
    <row r="9307">
      <c r="C9307" s="85"/>
      <c r="D9307" s="25"/>
      <c r="E9307" s="77"/>
      <c r="F9307" s="88"/>
      <c r="G9307" s="88"/>
      <c r="H9307" s="89"/>
      <c r="K9307" s="58"/>
      <c r="L9307" s="91"/>
      <c r="M9307" s="78"/>
    </row>
    <row r="9308">
      <c r="C9308" s="85"/>
      <c r="D9308" s="25"/>
      <c r="E9308" s="77"/>
      <c r="F9308" s="88"/>
      <c r="G9308" s="88"/>
      <c r="H9308" s="89"/>
      <c r="K9308" s="58"/>
      <c r="L9308" s="91"/>
      <c r="M9308" s="78"/>
    </row>
    <row r="9309">
      <c r="C9309" s="85"/>
      <c r="D9309" s="25"/>
      <c r="E9309" s="77"/>
      <c r="F9309" s="88"/>
      <c r="G9309" s="88"/>
      <c r="H9309" s="89"/>
      <c r="K9309" s="58"/>
      <c r="L9309" s="91"/>
      <c r="M9309" s="78"/>
    </row>
    <row r="9310">
      <c r="C9310" s="85"/>
      <c r="D9310" s="25"/>
      <c r="E9310" s="77"/>
      <c r="F9310" s="88"/>
      <c r="G9310" s="88"/>
      <c r="H9310" s="89"/>
      <c r="K9310" s="58"/>
      <c r="L9310" s="91"/>
      <c r="M9310" s="78"/>
    </row>
    <row r="9311">
      <c r="C9311" s="85"/>
      <c r="D9311" s="25"/>
      <c r="E9311" s="77"/>
      <c r="F9311" s="88"/>
      <c r="G9311" s="88"/>
      <c r="H9311" s="89"/>
      <c r="K9311" s="58"/>
      <c r="L9311" s="91"/>
      <c r="M9311" s="78"/>
    </row>
    <row r="9312">
      <c r="C9312" s="85"/>
      <c r="D9312" s="25"/>
      <c r="E9312" s="77"/>
      <c r="F9312" s="88"/>
      <c r="G9312" s="88"/>
      <c r="H9312" s="89"/>
      <c r="K9312" s="58"/>
      <c r="L9312" s="91"/>
      <c r="M9312" s="78"/>
    </row>
    <row r="9313">
      <c r="C9313" s="85"/>
      <c r="D9313" s="25"/>
      <c r="E9313" s="77"/>
      <c r="F9313" s="88"/>
      <c r="G9313" s="88"/>
      <c r="H9313" s="89"/>
      <c r="K9313" s="58"/>
      <c r="L9313" s="91"/>
      <c r="M9313" s="78"/>
    </row>
    <row r="9314">
      <c r="C9314" s="85"/>
      <c r="D9314" s="25"/>
      <c r="E9314" s="77"/>
      <c r="F9314" s="88"/>
      <c r="G9314" s="88"/>
      <c r="H9314" s="89"/>
      <c r="K9314" s="58"/>
      <c r="L9314" s="91"/>
      <c r="M9314" s="78"/>
    </row>
    <row r="9315">
      <c r="C9315" s="85"/>
      <c r="D9315" s="25"/>
      <c r="E9315" s="77"/>
      <c r="F9315" s="88"/>
      <c r="G9315" s="88"/>
      <c r="H9315" s="89"/>
      <c r="K9315" s="58"/>
      <c r="L9315" s="91"/>
      <c r="M9315" s="78"/>
    </row>
    <row r="9316">
      <c r="C9316" s="85"/>
      <c r="D9316" s="25"/>
      <c r="E9316" s="77"/>
      <c r="F9316" s="88"/>
      <c r="G9316" s="88"/>
      <c r="H9316" s="89"/>
      <c r="K9316" s="58"/>
      <c r="L9316" s="91"/>
      <c r="M9316" s="78"/>
    </row>
    <row r="9317">
      <c r="C9317" s="85"/>
      <c r="D9317" s="25"/>
      <c r="E9317" s="77"/>
      <c r="F9317" s="88"/>
      <c r="G9317" s="88"/>
      <c r="H9317" s="89"/>
      <c r="K9317" s="58"/>
      <c r="L9317" s="91"/>
      <c r="M9317" s="78"/>
    </row>
    <row r="9318">
      <c r="C9318" s="85"/>
      <c r="D9318" s="25"/>
      <c r="E9318" s="77"/>
      <c r="F9318" s="88"/>
      <c r="G9318" s="88"/>
      <c r="H9318" s="89"/>
      <c r="K9318" s="58"/>
      <c r="L9318" s="91"/>
      <c r="M9318" s="78"/>
    </row>
    <row r="9319">
      <c r="C9319" s="85"/>
      <c r="D9319" s="25"/>
      <c r="E9319" s="77"/>
      <c r="F9319" s="88"/>
      <c r="G9319" s="88"/>
      <c r="H9319" s="89"/>
      <c r="K9319" s="58"/>
      <c r="L9319" s="91"/>
      <c r="M9319" s="78"/>
    </row>
    <row r="9320">
      <c r="C9320" s="85"/>
      <c r="D9320" s="25"/>
      <c r="E9320" s="77"/>
      <c r="F9320" s="88"/>
      <c r="G9320" s="88"/>
      <c r="H9320" s="89"/>
      <c r="K9320" s="58"/>
      <c r="L9320" s="91"/>
      <c r="M9320" s="78"/>
    </row>
    <row r="9321">
      <c r="C9321" s="85"/>
      <c r="D9321" s="25"/>
      <c r="E9321" s="77"/>
      <c r="F9321" s="88"/>
      <c r="G9321" s="88"/>
      <c r="H9321" s="89"/>
      <c r="K9321" s="58"/>
      <c r="L9321" s="91"/>
      <c r="M9321" s="78"/>
    </row>
    <row r="9322">
      <c r="C9322" s="85"/>
      <c r="D9322" s="25"/>
      <c r="E9322" s="77"/>
      <c r="F9322" s="88"/>
      <c r="G9322" s="88"/>
      <c r="H9322" s="89"/>
      <c r="K9322" s="58"/>
      <c r="L9322" s="91"/>
      <c r="M9322" s="78"/>
    </row>
    <row r="9323">
      <c r="C9323" s="85"/>
      <c r="D9323" s="25"/>
      <c r="E9323" s="77"/>
      <c r="F9323" s="88"/>
      <c r="G9323" s="88"/>
      <c r="H9323" s="89"/>
      <c r="K9323" s="58"/>
      <c r="L9323" s="91"/>
      <c r="M9323" s="78"/>
    </row>
    <row r="9324">
      <c r="C9324" s="85"/>
      <c r="D9324" s="25"/>
      <c r="E9324" s="77"/>
      <c r="F9324" s="88"/>
      <c r="G9324" s="88"/>
      <c r="H9324" s="89"/>
      <c r="K9324" s="58"/>
      <c r="L9324" s="91"/>
      <c r="M9324" s="78"/>
    </row>
    <row r="9325">
      <c r="C9325" s="85"/>
      <c r="D9325" s="25"/>
      <c r="E9325" s="77"/>
      <c r="F9325" s="88"/>
      <c r="G9325" s="88"/>
      <c r="H9325" s="89"/>
      <c r="K9325" s="58"/>
      <c r="L9325" s="91"/>
      <c r="M9325" s="78"/>
    </row>
    <row r="9326">
      <c r="C9326" s="85"/>
      <c r="D9326" s="25"/>
      <c r="E9326" s="77"/>
      <c r="F9326" s="88"/>
      <c r="G9326" s="88"/>
      <c r="H9326" s="89"/>
      <c r="K9326" s="58"/>
      <c r="L9326" s="91"/>
      <c r="M9326" s="78"/>
    </row>
    <row r="9327">
      <c r="C9327" s="85"/>
      <c r="D9327" s="25"/>
      <c r="E9327" s="77"/>
      <c r="F9327" s="88"/>
      <c r="G9327" s="88"/>
      <c r="H9327" s="89"/>
      <c r="K9327" s="58"/>
      <c r="L9327" s="91"/>
      <c r="M9327" s="78"/>
    </row>
    <row r="9328">
      <c r="C9328" s="85"/>
      <c r="D9328" s="25"/>
      <c r="E9328" s="77"/>
      <c r="F9328" s="88"/>
      <c r="G9328" s="88"/>
      <c r="H9328" s="89"/>
      <c r="K9328" s="58"/>
      <c r="L9328" s="91"/>
      <c r="M9328" s="78"/>
    </row>
    <row r="9329">
      <c r="C9329" s="85"/>
      <c r="D9329" s="25"/>
      <c r="E9329" s="77"/>
      <c r="F9329" s="88"/>
      <c r="G9329" s="88"/>
      <c r="H9329" s="89"/>
      <c r="K9329" s="58"/>
      <c r="L9329" s="91"/>
      <c r="M9329" s="78"/>
    </row>
    <row r="9330">
      <c r="C9330" s="85"/>
      <c r="D9330" s="25"/>
      <c r="E9330" s="77"/>
      <c r="F9330" s="88"/>
      <c r="G9330" s="88"/>
      <c r="H9330" s="89"/>
      <c r="K9330" s="58"/>
      <c r="L9330" s="91"/>
      <c r="M9330" s="78"/>
    </row>
    <row r="9331">
      <c r="C9331" s="85"/>
      <c r="D9331" s="25"/>
      <c r="E9331" s="77"/>
      <c r="F9331" s="88"/>
      <c r="G9331" s="88"/>
      <c r="H9331" s="89"/>
      <c r="K9331" s="58"/>
      <c r="L9331" s="91"/>
      <c r="M9331" s="78"/>
    </row>
    <row r="9332">
      <c r="C9332" s="85"/>
      <c r="D9332" s="25"/>
      <c r="E9332" s="77"/>
      <c r="F9332" s="88"/>
      <c r="G9332" s="88"/>
      <c r="H9332" s="89"/>
      <c r="K9332" s="58"/>
      <c r="L9332" s="91"/>
      <c r="M9332" s="78"/>
    </row>
    <row r="9333">
      <c r="C9333" s="85"/>
      <c r="D9333" s="25"/>
      <c r="E9333" s="77"/>
      <c r="F9333" s="88"/>
      <c r="G9333" s="88"/>
      <c r="H9333" s="89"/>
      <c r="K9333" s="58"/>
      <c r="L9333" s="91"/>
      <c r="M9333" s="78"/>
    </row>
    <row r="9334">
      <c r="C9334" s="85"/>
      <c r="D9334" s="25"/>
      <c r="E9334" s="77"/>
      <c r="F9334" s="88"/>
      <c r="G9334" s="88"/>
      <c r="H9334" s="89"/>
      <c r="K9334" s="58"/>
      <c r="L9334" s="91"/>
      <c r="M9334" s="78"/>
    </row>
    <row r="9335">
      <c r="C9335" s="85"/>
      <c r="D9335" s="25"/>
      <c r="E9335" s="77"/>
      <c r="F9335" s="88"/>
      <c r="G9335" s="88"/>
      <c r="H9335" s="89"/>
      <c r="K9335" s="58"/>
      <c r="L9335" s="91"/>
      <c r="M9335" s="78"/>
    </row>
    <row r="9336">
      <c r="C9336" s="85"/>
      <c r="D9336" s="25"/>
      <c r="E9336" s="77"/>
      <c r="F9336" s="88"/>
      <c r="G9336" s="88"/>
      <c r="H9336" s="89"/>
      <c r="K9336" s="58"/>
      <c r="L9336" s="91"/>
      <c r="M9336" s="78"/>
    </row>
    <row r="9337">
      <c r="C9337" s="85"/>
      <c r="D9337" s="25"/>
      <c r="E9337" s="77"/>
      <c r="F9337" s="88"/>
      <c r="G9337" s="88"/>
      <c r="H9337" s="89"/>
      <c r="K9337" s="58"/>
      <c r="L9337" s="91"/>
      <c r="M9337" s="78"/>
    </row>
    <row r="9338">
      <c r="C9338" s="85"/>
      <c r="D9338" s="25"/>
      <c r="E9338" s="77"/>
      <c r="F9338" s="88"/>
      <c r="G9338" s="88"/>
      <c r="H9338" s="89"/>
      <c r="K9338" s="58"/>
      <c r="L9338" s="91"/>
      <c r="M9338" s="78"/>
    </row>
    <row r="9339">
      <c r="C9339" s="85"/>
      <c r="D9339" s="25"/>
      <c r="E9339" s="77"/>
      <c r="F9339" s="88"/>
      <c r="G9339" s="88"/>
      <c r="H9339" s="89"/>
      <c r="K9339" s="58"/>
      <c r="L9339" s="91"/>
      <c r="M9339" s="78"/>
    </row>
    <row r="9340">
      <c r="C9340" s="85"/>
      <c r="D9340" s="25"/>
      <c r="E9340" s="77"/>
      <c r="F9340" s="88"/>
      <c r="G9340" s="88"/>
      <c r="H9340" s="89"/>
      <c r="K9340" s="58"/>
      <c r="L9340" s="91"/>
      <c r="M9340" s="78"/>
    </row>
    <row r="9341">
      <c r="C9341" s="85"/>
      <c r="D9341" s="25"/>
      <c r="E9341" s="77"/>
      <c r="F9341" s="88"/>
      <c r="G9341" s="88"/>
      <c r="H9341" s="89"/>
      <c r="K9341" s="58"/>
      <c r="L9341" s="91"/>
      <c r="M9341" s="78"/>
    </row>
    <row r="9342">
      <c r="C9342" s="85"/>
      <c r="D9342" s="25"/>
      <c r="E9342" s="77"/>
      <c r="F9342" s="88"/>
      <c r="G9342" s="88"/>
      <c r="H9342" s="89"/>
      <c r="K9342" s="58"/>
      <c r="L9342" s="91"/>
      <c r="M9342" s="78"/>
    </row>
    <row r="9343">
      <c r="C9343" s="85"/>
      <c r="D9343" s="25"/>
      <c r="E9343" s="77"/>
      <c r="F9343" s="88"/>
      <c r="G9343" s="88"/>
      <c r="H9343" s="89"/>
      <c r="K9343" s="58"/>
      <c r="L9343" s="91"/>
      <c r="M9343" s="78"/>
    </row>
    <row r="9344">
      <c r="C9344" s="85"/>
      <c r="D9344" s="25"/>
      <c r="E9344" s="77"/>
      <c r="F9344" s="88"/>
      <c r="G9344" s="88"/>
      <c r="H9344" s="89"/>
      <c r="K9344" s="58"/>
      <c r="L9344" s="91"/>
      <c r="M9344" s="78"/>
    </row>
    <row r="9345">
      <c r="C9345" s="85"/>
      <c r="D9345" s="25"/>
      <c r="E9345" s="77"/>
      <c r="F9345" s="88"/>
      <c r="G9345" s="88"/>
      <c r="H9345" s="89"/>
      <c r="K9345" s="58"/>
      <c r="L9345" s="91"/>
      <c r="M9345" s="78"/>
    </row>
    <row r="9346">
      <c r="C9346" s="85"/>
      <c r="D9346" s="25"/>
      <c r="E9346" s="77"/>
      <c r="F9346" s="88"/>
      <c r="G9346" s="88"/>
      <c r="H9346" s="89"/>
      <c r="K9346" s="58"/>
      <c r="L9346" s="91"/>
      <c r="M9346" s="78"/>
    </row>
    <row r="9347">
      <c r="C9347" s="85"/>
      <c r="D9347" s="25"/>
      <c r="E9347" s="77"/>
      <c r="F9347" s="88"/>
      <c r="G9347" s="88"/>
      <c r="H9347" s="89"/>
      <c r="K9347" s="58"/>
      <c r="L9347" s="91"/>
      <c r="M9347" s="78"/>
    </row>
    <row r="9348">
      <c r="C9348" s="85"/>
      <c r="D9348" s="25"/>
      <c r="E9348" s="77"/>
      <c r="F9348" s="88"/>
      <c r="G9348" s="88"/>
      <c r="H9348" s="89"/>
      <c r="K9348" s="58"/>
      <c r="L9348" s="91"/>
      <c r="M9348" s="78"/>
    </row>
    <row r="9349">
      <c r="C9349" s="85"/>
      <c r="D9349" s="25"/>
      <c r="E9349" s="77"/>
      <c r="F9349" s="88"/>
      <c r="G9349" s="88"/>
      <c r="H9349" s="89"/>
      <c r="K9349" s="58"/>
      <c r="L9349" s="91"/>
      <c r="M9349" s="78"/>
    </row>
    <row r="9350">
      <c r="C9350" s="85"/>
      <c r="D9350" s="25"/>
      <c r="E9350" s="77"/>
      <c r="F9350" s="88"/>
      <c r="G9350" s="88"/>
      <c r="H9350" s="89"/>
      <c r="K9350" s="58"/>
      <c r="L9350" s="91"/>
      <c r="M9350" s="78"/>
    </row>
    <row r="9351">
      <c r="C9351" s="85"/>
      <c r="D9351" s="25"/>
      <c r="E9351" s="77"/>
      <c r="F9351" s="88"/>
      <c r="G9351" s="88"/>
      <c r="H9351" s="89"/>
      <c r="K9351" s="58"/>
      <c r="L9351" s="91"/>
      <c r="M9351" s="78"/>
    </row>
    <row r="9352">
      <c r="C9352" s="85"/>
      <c r="D9352" s="25"/>
      <c r="E9352" s="77"/>
      <c r="F9352" s="88"/>
      <c r="G9352" s="88"/>
      <c r="H9352" s="89"/>
      <c r="K9352" s="58"/>
      <c r="L9352" s="91"/>
      <c r="M9352" s="78"/>
    </row>
    <row r="9353">
      <c r="C9353" s="85"/>
      <c r="D9353" s="25"/>
      <c r="E9353" s="77"/>
      <c r="F9353" s="88"/>
      <c r="G9353" s="88"/>
      <c r="H9353" s="89"/>
      <c r="K9353" s="58"/>
      <c r="L9353" s="91"/>
      <c r="M9353" s="78"/>
    </row>
    <row r="9354">
      <c r="C9354" s="85"/>
      <c r="D9354" s="25"/>
      <c r="E9354" s="77"/>
      <c r="F9354" s="88"/>
      <c r="G9354" s="88"/>
      <c r="H9354" s="89"/>
      <c r="K9354" s="58"/>
      <c r="L9354" s="91"/>
      <c r="M9354" s="78"/>
    </row>
    <row r="9355">
      <c r="C9355" s="85"/>
      <c r="D9355" s="25"/>
      <c r="E9355" s="77"/>
      <c r="F9355" s="88"/>
      <c r="G9355" s="88"/>
      <c r="H9355" s="89"/>
      <c r="K9355" s="58"/>
      <c r="L9355" s="91"/>
      <c r="M9355" s="78"/>
    </row>
    <row r="9356">
      <c r="C9356" s="85"/>
      <c r="D9356" s="25"/>
      <c r="E9356" s="77"/>
      <c r="F9356" s="88"/>
      <c r="G9356" s="88"/>
      <c r="H9356" s="89"/>
      <c r="K9356" s="58"/>
      <c r="L9356" s="91"/>
      <c r="M9356" s="78"/>
    </row>
    <row r="9357">
      <c r="C9357" s="85"/>
      <c r="D9357" s="25"/>
      <c r="E9357" s="77"/>
      <c r="F9357" s="88"/>
      <c r="G9357" s="88"/>
      <c r="H9357" s="89"/>
      <c r="K9357" s="58"/>
      <c r="L9357" s="91"/>
      <c r="M9357" s="78"/>
    </row>
    <row r="9358">
      <c r="C9358" s="85"/>
      <c r="D9358" s="25"/>
      <c r="E9358" s="77"/>
      <c r="F9358" s="88"/>
      <c r="G9358" s="88"/>
      <c r="H9358" s="89"/>
      <c r="K9358" s="58"/>
      <c r="L9358" s="91"/>
      <c r="M9358" s="78"/>
    </row>
    <row r="9359">
      <c r="C9359" s="85"/>
      <c r="D9359" s="25"/>
      <c r="E9359" s="77"/>
      <c r="F9359" s="88"/>
      <c r="G9359" s="88"/>
      <c r="H9359" s="89"/>
      <c r="K9359" s="58"/>
      <c r="L9359" s="91"/>
      <c r="M9359" s="78"/>
    </row>
    <row r="9360">
      <c r="C9360" s="85"/>
      <c r="D9360" s="25"/>
      <c r="E9360" s="77"/>
      <c r="F9360" s="88"/>
      <c r="G9360" s="88"/>
      <c r="H9360" s="89"/>
      <c r="K9360" s="58"/>
      <c r="L9360" s="91"/>
      <c r="M9360" s="78"/>
    </row>
    <row r="9361">
      <c r="C9361" s="85"/>
      <c r="D9361" s="25"/>
      <c r="E9361" s="77"/>
      <c r="F9361" s="88"/>
      <c r="G9361" s="88"/>
      <c r="H9361" s="89"/>
      <c r="K9361" s="58"/>
      <c r="L9361" s="91"/>
      <c r="M9361" s="78"/>
    </row>
    <row r="9362">
      <c r="C9362" s="85"/>
      <c r="D9362" s="25"/>
      <c r="E9362" s="77"/>
      <c r="F9362" s="88"/>
      <c r="G9362" s="88"/>
      <c r="H9362" s="89"/>
      <c r="K9362" s="58"/>
      <c r="L9362" s="91"/>
      <c r="M9362" s="78"/>
    </row>
    <row r="9363">
      <c r="C9363" s="85"/>
      <c r="D9363" s="25"/>
      <c r="E9363" s="77"/>
      <c r="F9363" s="88"/>
      <c r="G9363" s="88"/>
      <c r="H9363" s="89"/>
      <c r="K9363" s="58"/>
      <c r="L9363" s="91"/>
      <c r="M9363" s="78"/>
    </row>
    <row r="9364">
      <c r="C9364" s="85"/>
      <c r="D9364" s="25"/>
      <c r="E9364" s="77"/>
      <c r="F9364" s="88"/>
      <c r="G9364" s="88"/>
      <c r="H9364" s="89"/>
      <c r="K9364" s="58"/>
      <c r="L9364" s="91"/>
      <c r="M9364" s="78"/>
    </row>
    <row r="9365">
      <c r="C9365" s="85"/>
      <c r="D9365" s="25"/>
      <c r="E9365" s="77"/>
      <c r="F9365" s="88"/>
      <c r="G9365" s="88"/>
      <c r="H9365" s="89"/>
      <c r="K9365" s="58"/>
      <c r="L9365" s="91"/>
      <c r="M9365" s="78"/>
    </row>
    <row r="9366">
      <c r="C9366" s="85"/>
      <c r="D9366" s="25"/>
      <c r="E9366" s="77"/>
      <c r="F9366" s="88"/>
      <c r="G9366" s="88"/>
      <c r="H9366" s="89"/>
      <c r="K9366" s="58"/>
      <c r="L9366" s="91"/>
      <c r="M9366" s="78"/>
    </row>
    <row r="9367">
      <c r="C9367" s="85"/>
      <c r="D9367" s="25"/>
      <c r="E9367" s="77"/>
      <c r="F9367" s="88"/>
      <c r="G9367" s="88"/>
      <c r="H9367" s="89"/>
      <c r="K9367" s="58"/>
      <c r="L9367" s="91"/>
      <c r="M9367" s="78"/>
    </row>
    <row r="9368">
      <c r="C9368" s="85"/>
      <c r="D9368" s="25"/>
      <c r="E9368" s="77"/>
      <c r="F9368" s="88"/>
      <c r="G9368" s="88"/>
      <c r="H9368" s="89"/>
      <c r="K9368" s="58"/>
      <c r="L9368" s="91"/>
      <c r="M9368" s="78"/>
    </row>
    <row r="9369">
      <c r="C9369" s="85"/>
      <c r="D9369" s="25"/>
      <c r="E9369" s="77"/>
      <c r="F9369" s="88"/>
      <c r="G9369" s="88"/>
      <c r="H9369" s="89"/>
      <c r="K9369" s="58"/>
      <c r="L9369" s="91"/>
      <c r="M9369" s="78"/>
    </row>
    <row r="9370">
      <c r="C9370" s="85"/>
      <c r="D9370" s="25"/>
      <c r="E9370" s="77"/>
      <c r="F9370" s="88"/>
      <c r="G9370" s="88"/>
      <c r="H9370" s="89"/>
      <c r="K9370" s="58"/>
      <c r="L9370" s="91"/>
      <c r="M9370" s="78"/>
    </row>
    <row r="9371">
      <c r="C9371" s="85"/>
      <c r="D9371" s="25"/>
      <c r="E9371" s="77"/>
      <c r="F9371" s="88"/>
      <c r="G9371" s="88"/>
      <c r="H9371" s="89"/>
      <c r="K9371" s="58"/>
      <c r="L9371" s="91"/>
      <c r="M9371" s="78"/>
    </row>
    <row r="9372">
      <c r="C9372" s="85"/>
      <c r="D9372" s="25"/>
      <c r="E9372" s="77"/>
      <c r="F9372" s="88"/>
      <c r="G9372" s="88"/>
      <c r="H9372" s="89"/>
      <c r="K9372" s="58"/>
      <c r="L9372" s="91"/>
      <c r="M9372" s="78"/>
    </row>
    <row r="9373">
      <c r="C9373" s="85"/>
      <c r="D9373" s="25"/>
      <c r="E9373" s="77"/>
      <c r="F9373" s="88"/>
      <c r="G9373" s="88"/>
      <c r="H9373" s="89"/>
      <c r="K9373" s="58"/>
      <c r="L9373" s="91"/>
      <c r="M9373" s="78"/>
    </row>
    <row r="9374">
      <c r="C9374" s="85"/>
      <c r="D9374" s="25"/>
      <c r="E9374" s="77"/>
      <c r="F9374" s="88"/>
      <c r="G9374" s="88"/>
      <c r="H9374" s="89"/>
      <c r="K9374" s="58"/>
      <c r="L9374" s="91"/>
      <c r="M9374" s="78"/>
    </row>
    <row r="9375">
      <c r="C9375" s="85"/>
      <c r="D9375" s="25"/>
      <c r="E9375" s="77"/>
      <c r="F9375" s="88"/>
      <c r="G9375" s="88"/>
      <c r="H9375" s="89"/>
      <c r="K9375" s="58"/>
      <c r="L9375" s="91"/>
      <c r="M9375" s="78"/>
    </row>
    <row r="9376">
      <c r="C9376" s="85"/>
      <c r="D9376" s="25"/>
      <c r="E9376" s="77"/>
      <c r="F9376" s="88"/>
      <c r="G9376" s="88"/>
      <c r="H9376" s="89"/>
      <c r="K9376" s="58"/>
      <c r="L9376" s="91"/>
      <c r="M9376" s="78"/>
    </row>
    <row r="9377">
      <c r="C9377" s="85"/>
      <c r="D9377" s="25"/>
      <c r="E9377" s="77"/>
      <c r="F9377" s="88"/>
      <c r="G9377" s="88"/>
      <c r="H9377" s="89"/>
      <c r="K9377" s="58"/>
      <c r="L9377" s="91"/>
      <c r="M9377" s="78"/>
    </row>
    <row r="9378">
      <c r="C9378" s="85"/>
      <c r="D9378" s="25"/>
      <c r="E9378" s="77"/>
      <c r="F9378" s="88"/>
      <c r="G9378" s="88"/>
      <c r="H9378" s="89"/>
      <c r="K9378" s="58"/>
      <c r="L9378" s="91"/>
      <c r="M9378" s="78"/>
    </row>
    <row r="9379">
      <c r="C9379" s="85"/>
      <c r="D9379" s="25"/>
      <c r="E9379" s="77"/>
      <c r="F9379" s="88"/>
      <c r="G9379" s="88"/>
      <c r="H9379" s="89"/>
      <c r="K9379" s="58"/>
      <c r="L9379" s="91"/>
      <c r="M9379" s="78"/>
    </row>
    <row r="9380">
      <c r="C9380" s="85"/>
      <c r="D9380" s="25"/>
      <c r="E9380" s="77"/>
      <c r="F9380" s="88"/>
      <c r="G9380" s="88"/>
      <c r="H9380" s="89"/>
      <c r="K9380" s="58"/>
      <c r="L9380" s="91"/>
      <c r="M9380" s="78"/>
    </row>
    <row r="9381">
      <c r="C9381" s="85"/>
      <c r="D9381" s="25"/>
      <c r="E9381" s="77"/>
      <c r="F9381" s="88"/>
      <c r="G9381" s="88"/>
      <c r="H9381" s="89"/>
      <c r="K9381" s="58"/>
      <c r="L9381" s="91"/>
      <c r="M9381" s="78"/>
    </row>
    <row r="9382">
      <c r="C9382" s="85"/>
      <c r="D9382" s="25"/>
      <c r="E9382" s="77"/>
      <c r="F9382" s="88"/>
      <c r="G9382" s="88"/>
      <c r="H9382" s="89"/>
      <c r="K9382" s="58"/>
      <c r="L9382" s="91"/>
      <c r="M9382" s="78"/>
    </row>
    <row r="9383">
      <c r="C9383" s="85"/>
      <c r="D9383" s="25"/>
      <c r="E9383" s="77"/>
      <c r="F9383" s="88"/>
      <c r="G9383" s="88"/>
      <c r="H9383" s="89"/>
      <c r="K9383" s="58"/>
      <c r="L9383" s="91"/>
      <c r="M9383" s="78"/>
    </row>
    <row r="9384">
      <c r="C9384" s="85"/>
      <c r="D9384" s="25"/>
      <c r="E9384" s="77"/>
      <c r="F9384" s="88"/>
      <c r="G9384" s="88"/>
      <c r="H9384" s="89"/>
      <c r="K9384" s="58"/>
      <c r="L9384" s="91"/>
      <c r="M9384" s="78"/>
    </row>
    <row r="9385">
      <c r="C9385" s="85"/>
      <c r="D9385" s="25"/>
      <c r="E9385" s="77"/>
      <c r="F9385" s="88"/>
      <c r="G9385" s="88"/>
      <c r="H9385" s="89"/>
      <c r="K9385" s="58"/>
      <c r="L9385" s="91"/>
      <c r="M9385" s="78"/>
    </row>
    <row r="9386">
      <c r="C9386" s="85"/>
      <c r="D9386" s="25"/>
      <c r="E9386" s="77"/>
      <c r="F9386" s="88"/>
      <c r="G9386" s="88"/>
      <c r="H9386" s="89"/>
      <c r="K9386" s="58"/>
      <c r="L9386" s="91"/>
      <c r="M9386" s="78"/>
    </row>
    <row r="9387">
      <c r="C9387" s="85"/>
      <c r="D9387" s="25"/>
      <c r="E9387" s="77"/>
      <c r="F9387" s="88"/>
      <c r="G9387" s="88"/>
      <c r="H9387" s="89"/>
      <c r="K9387" s="58"/>
      <c r="L9387" s="91"/>
      <c r="M9387" s="78"/>
    </row>
    <row r="9388">
      <c r="C9388" s="85"/>
      <c r="D9388" s="25"/>
      <c r="E9388" s="77"/>
      <c r="F9388" s="88"/>
      <c r="G9388" s="88"/>
      <c r="H9388" s="89"/>
      <c r="K9388" s="58"/>
      <c r="L9388" s="91"/>
      <c r="M9388" s="78"/>
    </row>
    <row r="9389">
      <c r="C9389" s="85"/>
      <c r="D9389" s="25"/>
      <c r="E9389" s="77"/>
      <c r="F9389" s="88"/>
      <c r="G9389" s="88"/>
      <c r="H9389" s="89"/>
      <c r="K9389" s="58"/>
      <c r="L9389" s="91"/>
      <c r="M9389" s="78"/>
    </row>
    <row r="9390">
      <c r="C9390" s="85"/>
      <c r="D9390" s="25"/>
      <c r="E9390" s="77"/>
      <c r="F9390" s="88"/>
      <c r="G9390" s="88"/>
      <c r="H9390" s="89"/>
      <c r="K9390" s="58"/>
      <c r="L9390" s="91"/>
      <c r="M9390" s="78"/>
    </row>
    <row r="9391">
      <c r="C9391" s="85"/>
      <c r="D9391" s="25"/>
      <c r="E9391" s="77"/>
      <c r="F9391" s="88"/>
      <c r="G9391" s="88"/>
      <c r="H9391" s="89"/>
      <c r="K9391" s="58"/>
      <c r="L9391" s="91"/>
      <c r="M9391" s="78"/>
    </row>
    <row r="9392">
      <c r="C9392" s="85"/>
      <c r="D9392" s="25"/>
      <c r="E9392" s="77"/>
      <c r="F9392" s="88"/>
      <c r="G9392" s="88"/>
      <c r="H9392" s="89"/>
      <c r="K9392" s="58"/>
      <c r="L9392" s="91"/>
      <c r="M9392" s="78"/>
    </row>
    <row r="9393">
      <c r="C9393" s="85"/>
      <c r="D9393" s="25"/>
      <c r="E9393" s="77"/>
      <c r="F9393" s="88"/>
      <c r="G9393" s="88"/>
      <c r="H9393" s="89"/>
      <c r="K9393" s="58"/>
      <c r="L9393" s="91"/>
      <c r="M9393" s="78"/>
    </row>
    <row r="9394">
      <c r="C9394" s="85"/>
      <c r="D9394" s="25"/>
      <c r="E9394" s="77"/>
      <c r="F9394" s="88"/>
      <c r="G9394" s="88"/>
      <c r="H9394" s="89"/>
      <c r="K9394" s="58"/>
      <c r="L9394" s="91"/>
      <c r="M9394" s="78"/>
    </row>
    <row r="9395">
      <c r="C9395" s="85"/>
      <c r="D9395" s="25"/>
      <c r="E9395" s="77"/>
      <c r="F9395" s="88"/>
      <c r="G9395" s="88"/>
      <c r="H9395" s="89"/>
      <c r="K9395" s="58"/>
      <c r="L9395" s="91"/>
      <c r="M9395" s="78"/>
    </row>
    <row r="9396">
      <c r="C9396" s="85"/>
      <c r="D9396" s="25"/>
      <c r="E9396" s="77"/>
      <c r="F9396" s="88"/>
      <c r="G9396" s="88"/>
      <c r="H9396" s="89"/>
      <c r="K9396" s="58"/>
      <c r="L9396" s="91"/>
      <c r="M9396" s="78"/>
    </row>
    <row r="9397">
      <c r="C9397" s="85"/>
      <c r="D9397" s="25"/>
      <c r="E9397" s="77"/>
      <c r="F9397" s="88"/>
      <c r="G9397" s="88"/>
      <c r="H9397" s="89"/>
      <c r="K9397" s="58"/>
      <c r="L9397" s="91"/>
      <c r="M9397" s="78"/>
    </row>
    <row r="9398">
      <c r="C9398" s="85"/>
      <c r="D9398" s="25"/>
      <c r="E9398" s="77"/>
      <c r="F9398" s="88"/>
      <c r="G9398" s="88"/>
      <c r="H9398" s="89"/>
      <c r="K9398" s="58"/>
      <c r="L9398" s="91"/>
      <c r="M9398" s="78"/>
    </row>
    <row r="9399">
      <c r="C9399" s="85"/>
      <c r="D9399" s="25"/>
      <c r="E9399" s="77"/>
      <c r="F9399" s="88"/>
      <c r="G9399" s="88"/>
      <c r="H9399" s="89"/>
      <c r="K9399" s="58"/>
      <c r="L9399" s="91"/>
      <c r="M9399" s="78"/>
    </row>
    <row r="9400">
      <c r="C9400" s="85"/>
      <c r="D9400" s="25"/>
      <c r="E9400" s="77"/>
      <c r="F9400" s="88"/>
      <c r="G9400" s="88"/>
      <c r="H9400" s="89"/>
      <c r="K9400" s="58"/>
      <c r="L9400" s="91"/>
      <c r="M9400" s="78"/>
    </row>
    <row r="9401">
      <c r="C9401" s="85"/>
      <c r="D9401" s="25"/>
      <c r="E9401" s="77"/>
      <c r="F9401" s="88"/>
      <c r="G9401" s="88"/>
      <c r="H9401" s="89"/>
      <c r="K9401" s="58"/>
      <c r="L9401" s="91"/>
      <c r="M9401" s="78"/>
    </row>
    <row r="9402">
      <c r="C9402" s="85"/>
      <c r="D9402" s="25"/>
      <c r="E9402" s="77"/>
      <c r="F9402" s="88"/>
      <c r="G9402" s="88"/>
      <c r="H9402" s="89"/>
      <c r="K9402" s="58"/>
      <c r="L9402" s="91"/>
      <c r="M9402" s="78"/>
    </row>
    <row r="9403">
      <c r="C9403" s="85"/>
      <c r="D9403" s="25"/>
      <c r="E9403" s="77"/>
      <c r="F9403" s="88"/>
      <c r="G9403" s="88"/>
      <c r="H9403" s="89"/>
      <c r="K9403" s="58"/>
      <c r="L9403" s="91"/>
      <c r="M9403" s="78"/>
    </row>
    <row r="9404">
      <c r="C9404" s="85"/>
      <c r="D9404" s="25"/>
      <c r="E9404" s="77"/>
      <c r="F9404" s="88"/>
      <c r="G9404" s="88"/>
      <c r="H9404" s="89"/>
      <c r="K9404" s="58"/>
      <c r="L9404" s="91"/>
      <c r="M9404" s="78"/>
    </row>
    <row r="9405">
      <c r="C9405" s="85"/>
      <c r="D9405" s="25"/>
      <c r="E9405" s="77"/>
      <c r="F9405" s="88"/>
      <c r="G9405" s="88"/>
      <c r="H9405" s="89"/>
      <c r="K9405" s="58"/>
      <c r="L9405" s="91"/>
      <c r="M9405" s="78"/>
    </row>
    <row r="9406">
      <c r="C9406" s="85"/>
      <c r="D9406" s="25"/>
      <c r="E9406" s="77"/>
      <c r="F9406" s="88"/>
      <c r="G9406" s="88"/>
      <c r="H9406" s="89"/>
      <c r="K9406" s="58"/>
      <c r="L9406" s="91"/>
      <c r="M9406" s="78"/>
    </row>
    <row r="9407">
      <c r="C9407" s="85"/>
      <c r="D9407" s="25"/>
      <c r="E9407" s="77"/>
      <c r="F9407" s="88"/>
      <c r="G9407" s="88"/>
      <c r="H9407" s="89"/>
      <c r="K9407" s="58"/>
      <c r="L9407" s="91"/>
      <c r="M9407" s="78"/>
    </row>
    <row r="9408">
      <c r="C9408" s="85"/>
      <c r="D9408" s="25"/>
      <c r="E9408" s="77"/>
      <c r="F9408" s="88"/>
      <c r="G9408" s="88"/>
      <c r="H9408" s="89"/>
      <c r="K9408" s="58"/>
      <c r="L9408" s="91"/>
      <c r="M9408" s="78"/>
    </row>
    <row r="9409">
      <c r="C9409" s="85"/>
      <c r="D9409" s="25"/>
      <c r="E9409" s="77"/>
      <c r="F9409" s="88"/>
      <c r="G9409" s="88"/>
      <c r="H9409" s="89"/>
      <c r="K9409" s="58"/>
      <c r="L9409" s="91"/>
      <c r="M9409" s="78"/>
    </row>
    <row r="9410">
      <c r="C9410" s="85"/>
      <c r="D9410" s="25"/>
      <c r="E9410" s="77"/>
      <c r="F9410" s="88"/>
      <c r="G9410" s="88"/>
      <c r="H9410" s="89"/>
      <c r="K9410" s="58"/>
      <c r="L9410" s="91"/>
      <c r="M9410" s="78"/>
    </row>
    <row r="9411">
      <c r="C9411" s="85"/>
      <c r="D9411" s="25"/>
      <c r="E9411" s="77"/>
      <c r="F9411" s="88"/>
      <c r="G9411" s="88"/>
      <c r="H9411" s="89"/>
      <c r="K9411" s="58"/>
      <c r="L9411" s="91"/>
      <c r="M9411" s="78"/>
    </row>
    <row r="9412">
      <c r="C9412" s="85"/>
      <c r="D9412" s="25"/>
      <c r="E9412" s="77"/>
      <c r="F9412" s="88"/>
      <c r="G9412" s="88"/>
      <c r="H9412" s="89"/>
      <c r="K9412" s="58"/>
      <c r="L9412" s="91"/>
      <c r="M9412" s="78"/>
    </row>
    <row r="9413">
      <c r="C9413" s="85"/>
      <c r="D9413" s="25"/>
      <c r="E9413" s="77"/>
      <c r="F9413" s="88"/>
      <c r="G9413" s="88"/>
      <c r="H9413" s="89"/>
      <c r="K9413" s="58"/>
      <c r="L9413" s="91"/>
      <c r="M9413" s="78"/>
    </row>
    <row r="9414">
      <c r="C9414" s="85"/>
      <c r="D9414" s="25"/>
      <c r="E9414" s="77"/>
      <c r="F9414" s="88"/>
      <c r="G9414" s="88"/>
      <c r="H9414" s="89"/>
      <c r="K9414" s="58"/>
      <c r="L9414" s="91"/>
      <c r="M9414" s="78"/>
    </row>
    <row r="9415">
      <c r="C9415" s="85"/>
      <c r="D9415" s="25"/>
      <c r="E9415" s="77"/>
      <c r="F9415" s="88"/>
      <c r="G9415" s="88"/>
      <c r="H9415" s="89"/>
      <c r="K9415" s="58"/>
      <c r="L9415" s="91"/>
      <c r="M9415" s="78"/>
    </row>
    <row r="9416">
      <c r="C9416" s="85"/>
      <c r="D9416" s="25"/>
      <c r="E9416" s="77"/>
      <c r="F9416" s="88"/>
      <c r="G9416" s="88"/>
      <c r="H9416" s="89"/>
      <c r="K9416" s="58"/>
      <c r="L9416" s="91"/>
      <c r="M9416" s="78"/>
    </row>
    <row r="9417">
      <c r="C9417" s="85"/>
      <c r="D9417" s="25"/>
      <c r="E9417" s="77"/>
      <c r="F9417" s="88"/>
      <c r="G9417" s="88"/>
      <c r="H9417" s="89"/>
      <c r="K9417" s="58"/>
      <c r="L9417" s="91"/>
      <c r="M9417" s="78"/>
    </row>
    <row r="9418">
      <c r="C9418" s="85"/>
      <c r="D9418" s="25"/>
      <c r="E9418" s="77"/>
      <c r="F9418" s="88"/>
      <c r="G9418" s="88"/>
      <c r="H9418" s="89"/>
      <c r="K9418" s="58"/>
      <c r="L9418" s="91"/>
      <c r="M9418" s="78"/>
    </row>
    <row r="9419">
      <c r="C9419" s="85"/>
      <c r="D9419" s="25"/>
      <c r="E9419" s="77"/>
      <c r="F9419" s="88"/>
      <c r="G9419" s="88"/>
      <c r="H9419" s="89"/>
      <c r="K9419" s="58"/>
      <c r="L9419" s="91"/>
      <c r="M9419" s="78"/>
    </row>
    <row r="9420">
      <c r="C9420" s="85"/>
      <c r="D9420" s="25"/>
      <c r="E9420" s="77"/>
      <c r="F9420" s="88"/>
      <c r="G9420" s="88"/>
      <c r="H9420" s="89"/>
      <c r="K9420" s="58"/>
      <c r="L9420" s="91"/>
      <c r="M9420" s="78"/>
    </row>
    <row r="9421">
      <c r="C9421" s="85"/>
      <c r="D9421" s="25"/>
      <c r="E9421" s="77"/>
      <c r="F9421" s="88"/>
      <c r="G9421" s="88"/>
      <c r="H9421" s="89"/>
      <c r="K9421" s="58"/>
      <c r="L9421" s="91"/>
      <c r="M9421" s="78"/>
    </row>
    <row r="9422">
      <c r="C9422" s="85"/>
      <c r="D9422" s="25"/>
      <c r="E9422" s="77"/>
      <c r="F9422" s="88"/>
      <c r="G9422" s="88"/>
      <c r="H9422" s="89"/>
      <c r="K9422" s="58"/>
      <c r="L9422" s="91"/>
      <c r="M9422" s="78"/>
    </row>
    <row r="9423">
      <c r="C9423" s="85"/>
      <c r="D9423" s="25"/>
      <c r="E9423" s="77"/>
      <c r="F9423" s="88"/>
      <c r="G9423" s="88"/>
      <c r="H9423" s="89"/>
      <c r="K9423" s="58"/>
      <c r="L9423" s="91"/>
      <c r="M9423" s="78"/>
    </row>
    <row r="9424">
      <c r="C9424" s="85"/>
      <c r="D9424" s="25"/>
      <c r="E9424" s="77"/>
      <c r="F9424" s="88"/>
      <c r="G9424" s="88"/>
      <c r="H9424" s="89"/>
      <c r="K9424" s="58"/>
      <c r="L9424" s="91"/>
      <c r="M9424" s="78"/>
    </row>
    <row r="9425">
      <c r="C9425" s="85"/>
      <c r="D9425" s="25"/>
      <c r="E9425" s="77"/>
      <c r="F9425" s="88"/>
      <c r="G9425" s="88"/>
      <c r="H9425" s="89"/>
      <c r="K9425" s="58"/>
      <c r="L9425" s="91"/>
      <c r="M9425" s="78"/>
    </row>
    <row r="9426">
      <c r="C9426" s="85"/>
      <c r="D9426" s="25"/>
      <c r="E9426" s="77"/>
      <c r="F9426" s="88"/>
      <c r="G9426" s="88"/>
      <c r="H9426" s="89"/>
      <c r="K9426" s="58"/>
      <c r="L9426" s="91"/>
      <c r="M9426" s="78"/>
    </row>
    <row r="9427">
      <c r="C9427" s="85"/>
      <c r="D9427" s="25"/>
      <c r="E9427" s="77"/>
      <c r="F9427" s="88"/>
      <c r="G9427" s="88"/>
      <c r="H9427" s="89"/>
      <c r="K9427" s="58"/>
      <c r="L9427" s="91"/>
      <c r="M9427" s="78"/>
    </row>
    <row r="9428">
      <c r="C9428" s="85"/>
      <c r="D9428" s="25"/>
      <c r="E9428" s="77"/>
      <c r="F9428" s="88"/>
      <c r="G9428" s="88"/>
      <c r="H9428" s="89"/>
      <c r="K9428" s="58"/>
      <c r="L9428" s="91"/>
      <c r="M9428" s="78"/>
    </row>
    <row r="9429">
      <c r="C9429" s="85"/>
      <c r="D9429" s="25"/>
      <c r="E9429" s="77"/>
      <c r="F9429" s="88"/>
      <c r="G9429" s="88"/>
      <c r="H9429" s="89"/>
      <c r="K9429" s="58"/>
      <c r="L9429" s="91"/>
      <c r="M9429" s="78"/>
    </row>
    <row r="9430">
      <c r="C9430" s="85"/>
      <c r="D9430" s="25"/>
      <c r="E9430" s="77"/>
      <c r="F9430" s="88"/>
      <c r="G9430" s="88"/>
      <c r="H9430" s="89"/>
      <c r="K9430" s="58"/>
      <c r="L9430" s="91"/>
      <c r="M9430" s="78"/>
    </row>
    <row r="9431">
      <c r="C9431" s="85"/>
      <c r="D9431" s="25"/>
      <c r="E9431" s="77"/>
      <c r="F9431" s="88"/>
      <c r="G9431" s="88"/>
      <c r="H9431" s="89"/>
      <c r="K9431" s="58"/>
      <c r="L9431" s="91"/>
      <c r="M9431" s="78"/>
    </row>
    <row r="9432">
      <c r="C9432" s="85"/>
      <c r="D9432" s="25"/>
      <c r="E9432" s="77"/>
      <c r="F9432" s="88"/>
      <c r="G9432" s="88"/>
      <c r="H9432" s="89"/>
      <c r="K9432" s="58"/>
      <c r="L9432" s="91"/>
      <c r="M9432" s="78"/>
    </row>
    <row r="9433">
      <c r="C9433" s="85"/>
      <c r="D9433" s="25"/>
      <c r="E9433" s="77"/>
      <c r="F9433" s="88"/>
      <c r="G9433" s="88"/>
      <c r="H9433" s="89"/>
      <c r="K9433" s="58"/>
      <c r="L9433" s="91"/>
      <c r="M9433" s="78"/>
    </row>
    <row r="9434">
      <c r="C9434" s="85"/>
      <c r="D9434" s="25"/>
      <c r="E9434" s="77"/>
      <c r="F9434" s="88"/>
      <c r="G9434" s="88"/>
      <c r="H9434" s="89"/>
      <c r="K9434" s="58"/>
      <c r="L9434" s="91"/>
      <c r="M9434" s="78"/>
    </row>
    <row r="9435">
      <c r="C9435" s="85"/>
      <c r="D9435" s="25"/>
      <c r="E9435" s="77"/>
      <c r="F9435" s="88"/>
      <c r="G9435" s="88"/>
      <c r="H9435" s="89"/>
      <c r="K9435" s="58"/>
      <c r="L9435" s="91"/>
      <c r="M9435" s="78"/>
    </row>
    <row r="9436">
      <c r="C9436" s="85"/>
      <c r="D9436" s="25"/>
      <c r="E9436" s="77"/>
      <c r="F9436" s="88"/>
      <c r="G9436" s="88"/>
      <c r="H9436" s="89"/>
      <c r="K9436" s="58"/>
      <c r="L9436" s="91"/>
      <c r="M9436" s="78"/>
    </row>
    <row r="9437">
      <c r="C9437" s="85"/>
      <c r="D9437" s="25"/>
      <c r="E9437" s="77"/>
      <c r="F9437" s="88"/>
      <c r="G9437" s="88"/>
      <c r="H9437" s="89"/>
      <c r="K9437" s="58"/>
      <c r="L9437" s="91"/>
      <c r="M9437" s="78"/>
    </row>
    <row r="9438">
      <c r="C9438" s="85"/>
      <c r="D9438" s="25"/>
      <c r="E9438" s="77"/>
      <c r="F9438" s="88"/>
      <c r="G9438" s="88"/>
      <c r="H9438" s="89"/>
      <c r="K9438" s="58"/>
      <c r="L9438" s="91"/>
      <c r="M9438" s="78"/>
    </row>
    <row r="9439">
      <c r="C9439" s="85"/>
      <c r="D9439" s="25"/>
      <c r="E9439" s="77"/>
      <c r="F9439" s="88"/>
      <c r="G9439" s="88"/>
      <c r="H9439" s="89"/>
      <c r="K9439" s="58"/>
      <c r="L9439" s="91"/>
      <c r="M9439" s="78"/>
    </row>
    <row r="9440">
      <c r="C9440" s="85"/>
      <c r="D9440" s="25"/>
      <c r="E9440" s="77"/>
      <c r="F9440" s="88"/>
      <c r="G9440" s="88"/>
      <c r="H9440" s="89"/>
      <c r="K9440" s="58"/>
      <c r="L9440" s="91"/>
      <c r="M9440" s="78"/>
    </row>
    <row r="9441">
      <c r="C9441" s="85"/>
      <c r="D9441" s="25"/>
      <c r="E9441" s="77"/>
      <c r="F9441" s="88"/>
      <c r="G9441" s="88"/>
      <c r="H9441" s="89"/>
      <c r="K9441" s="58"/>
      <c r="L9441" s="91"/>
      <c r="M9441" s="78"/>
    </row>
    <row r="9442">
      <c r="C9442" s="85"/>
      <c r="D9442" s="25"/>
      <c r="E9442" s="77"/>
      <c r="F9442" s="88"/>
      <c r="G9442" s="88"/>
      <c r="H9442" s="89"/>
      <c r="K9442" s="58"/>
      <c r="L9442" s="91"/>
      <c r="M9442" s="78"/>
    </row>
    <row r="9443">
      <c r="C9443" s="85"/>
      <c r="D9443" s="25"/>
      <c r="E9443" s="77"/>
      <c r="F9443" s="88"/>
      <c r="G9443" s="88"/>
      <c r="H9443" s="89"/>
      <c r="K9443" s="58"/>
      <c r="L9443" s="91"/>
      <c r="M9443" s="78"/>
    </row>
    <row r="9444">
      <c r="C9444" s="85"/>
      <c r="D9444" s="25"/>
      <c r="E9444" s="77"/>
      <c r="F9444" s="88"/>
      <c r="G9444" s="88"/>
      <c r="H9444" s="89"/>
      <c r="K9444" s="58"/>
      <c r="L9444" s="91"/>
      <c r="M9444" s="78"/>
    </row>
    <row r="9445">
      <c r="C9445" s="85"/>
      <c r="D9445" s="25"/>
      <c r="E9445" s="77"/>
      <c r="F9445" s="88"/>
      <c r="G9445" s="88"/>
      <c r="H9445" s="89"/>
      <c r="K9445" s="58"/>
      <c r="L9445" s="91"/>
      <c r="M9445" s="78"/>
    </row>
    <row r="9446">
      <c r="C9446" s="85"/>
      <c r="D9446" s="25"/>
      <c r="E9446" s="77"/>
      <c r="F9446" s="88"/>
      <c r="G9446" s="88"/>
      <c r="H9446" s="89"/>
      <c r="K9446" s="58"/>
      <c r="L9446" s="91"/>
      <c r="M9446" s="78"/>
    </row>
    <row r="9447">
      <c r="C9447" s="85"/>
      <c r="D9447" s="25"/>
      <c r="E9447" s="77"/>
      <c r="F9447" s="88"/>
      <c r="G9447" s="88"/>
      <c r="H9447" s="89"/>
      <c r="K9447" s="58"/>
      <c r="L9447" s="91"/>
      <c r="M9447" s="78"/>
    </row>
    <row r="9448">
      <c r="C9448" s="85"/>
      <c r="D9448" s="25"/>
      <c r="E9448" s="77"/>
      <c r="F9448" s="88"/>
      <c r="G9448" s="88"/>
      <c r="H9448" s="89"/>
      <c r="K9448" s="58"/>
      <c r="L9448" s="91"/>
      <c r="M9448" s="78"/>
    </row>
    <row r="9449">
      <c r="C9449" s="85"/>
      <c r="D9449" s="25"/>
      <c r="E9449" s="77"/>
      <c r="F9449" s="88"/>
      <c r="G9449" s="88"/>
      <c r="H9449" s="89"/>
      <c r="K9449" s="58"/>
      <c r="L9449" s="91"/>
      <c r="M9449" s="78"/>
    </row>
    <row r="9450">
      <c r="C9450" s="85"/>
      <c r="D9450" s="25"/>
      <c r="E9450" s="77"/>
      <c r="F9450" s="88"/>
      <c r="G9450" s="88"/>
      <c r="H9450" s="89"/>
      <c r="K9450" s="58"/>
      <c r="L9450" s="91"/>
      <c r="M9450" s="78"/>
    </row>
    <row r="9451">
      <c r="C9451" s="85"/>
      <c r="D9451" s="25"/>
      <c r="E9451" s="77"/>
      <c r="F9451" s="88"/>
      <c r="G9451" s="88"/>
      <c r="H9451" s="89"/>
      <c r="K9451" s="58"/>
      <c r="L9451" s="91"/>
      <c r="M9451" s="78"/>
    </row>
    <row r="9452">
      <c r="C9452" s="85"/>
      <c r="D9452" s="25"/>
      <c r="E9452" s="77"/>
      <c r="F9452" s="88"/>
      <c r="G9452" s="88"/>
      <c r="H9452" s="89"/>
      <c r="K9452" s="58"/>
      <c r="L9452" s="91"/>
      <c r="M9452" s="78"/>
    </row>
    <row r="9453">
      <c r="C9453" s="85"/>
      <c r="D9453" s="25"/>
      <c r="E9453" s="77"/>
      <c r="F9453" s="88"/>
      <c r="G9453" s="88"/>
      <c r="H9453" s="89"/>
      <c r="K9453" s="58"/>
      <c r="L9453" s="91"/>
      <c r="M9453" s="78"/>
    </row>
    <row r="9454">
      <c r="C9454" s="85"/>
      <c r="D9454" s="25"/>
      <c r="E9454" s="77"/>
      <c r="F9454" s="88"/>
      <c r="G9454" s="88"/>
      <c r="H9454" s="89"/>
      <c r="K9454" s="58"/>
      <c r="L9454" s="91"/>
      <c r="M9454" s="78"/>
    </row>
    <row r="9455">
      <c r="C9455" s="85"/>
      <c r="D9455" s="25"/>
      <c r="E9455" s="77"/>
      <c r="F9455" s="88"/>
      <c r="G9455" s="88"/>
      <c r="H9455" s="89"/>
      <c r="K9455" s="58"/>
      <c r="L9455" s="91"/>
      <c r="M9455" s="78"/>
    </row>
    <row r="9456">
      <c r="C9456" s="85"/>
      <c r="D9456" s="25"/>
      <c r="E9456" s="77"/>
      <c r="F9456" s="88"/>
      <c r="G9456" s="88"/>
      <c r="H9456" s="89"/>
      <c r="K9456" s="58"/>
      <c r="L9456" s="91"/>
      <c r="M9456" s="78"/>
    </row>
    <row r="9457">
      <c r="C9457" s="85"/>
      <c r="D9457" s="25"/>
      <c r="E9457" s="77"/>
      <c r="F9457" s="88"/>
      <c r="G9457" s="88"/>
      <c r="H9457" s="89"/>
      <c r="K9457" s="58"/>
      <c r="L9457" s="91"/>
      <c r="M9457" s="78"/>
    </row>
    <row r="9458">
      <c r="C9458" s="85"/>
      <c r="D9458" s="25"/>
      <c r="E9458" s="77"/>
      <c r="F9458" s="88"/>
      <c r="G9458" s="88"/>
      <c r="H9458" s="89"/>
      <c r="K9458" s="58"/>
      <c r="L9458" s="91"/>
      <c r="M9458" s="78"/>
    </row>
    <row r="9459">
      <c r="C9459" s="85"/>
      <c r="D9459" s="25"/>
      <c r="E9459" s="77"/>
      <c r="F9459" s="88"/>
      <c r="G9459" s="88"/>
      <c r="H9459" s="89"/>
      <c r="K9459" s="58"/>
      <c r="L9459" s="91"/>
      <c r="M9459" s="78"/>
    </row>
    <row r="9460">
      <c r="C9460" s="85"/>
      <c r="D9460" s="25"/>
      <c r="E9460" s="77"/>
      <c r="F9460" s="88"/>
      <c r="G9460" s="88"/>
      <c r="H9460" s="89"/>
      <c r="K9460" s="58"/>
      <c r="L9460" s="91"/>
      <c r="M9460" s="78"/>
    </row>
    <row r="9461">
      <c r="C9461" s="85"/>
      <c r="D9461" s="25"/>
      <c r="E9461" s="77"/>
      <c r="F9461" s="88"/>
      <c r="G9461" s="88"/>
      <c r="H9461" s="89"/>
      <c r="K9461" s="58"/>
      <c r="L9461" s="91"/>
      <c r="M9461" s="78"/>
    </row>
    <row r="9462">
      <c r="C9462" s="85"/>
      <c r="D9462" s="25"/>
      <c r="E9462" s="77"/>
      <c r="F9462" s="88"/>
      <c r="G9462" s="88"/>
      <c r="H9462" s="89"/>
      <c r="K9462" s="58"/>
      <c r="L9462" s="91"/>
      <c r="M9462" s="78"/>
    </row>
    <row r="9463">
      <c r="C9463" s="85"/>
      <c r="D9463" s="25"/>
      <c r="E9463" s="77"/>
      <c r="F9463" s="88"/>
      <c r="G9463" s="88"/>
      <c r="H9463" s="89"/>
      <c r="K9463" s="58"/>
      <c r="L9463" s="91"/>
      <c r="M9463" s="78"/>
    </row>
    <row r="9464">
      <c r="C9464" s="85"/>
      <c r="D9464" s="25"/>
      <c r="E9464" s="77"/>
      <c r="F9464" s="88"/>
      <c r="G9464" s="88"/>
      <c r="H9464" s="89"/>
      <c r="K9464" s="58"/>
      <c r="L9464" s="91"/>
      <c r="M9464" s="78"/>
    </row>
    <row r="9465">
      <c r="C9465" s="85"/>
      <c r="D9465" s="25"/>
      <c r="E9465" s="77"/>
      <c r="F9465" s="88"/>
      <c r="G9465" s="88"/>
      <c r="H9465" s="89"/>
      <c r="K9465" s="58"/>
      <c r="L9465" s="91"/>
      <c r="M9465" s="78"/>
    </row>
    <row r="9466">
      <c r="C9466" s="85"/>
      <c r="D9466" s="25"/>
      <c r="E9466" s="77"/>
      <c r="F9466" s="88"/>
      <c r="G9466" s="88"/>
      <c r="H9466" s="89"/>
      <c r="K9466" s="58"/>
      <c r="L9466" s="91"/>
      <c r="M9466" s="78"/>
    </row>
    <row r="9467">
      <c r="C9467" s="85"/>
      <c r="D9467" s="25"/>
      <c r="E9467" s="77"/>
      <c r="F9467" s="88"/>
      <c r="G9467" s="88"/>
      <c r="H9467" s="89"/>
      <c r="K9467" s="58"/>
      <c r="L9467" s="91"/>
      <c r="M9467" s="78"/>
    </row>
    <row r="9468">
      <c r="C9468" s="85"/>
      <c r="D9468" s="25"/>
      <c r="E9468" s="77"/>
      <c r="F9468" s="88"/>
      <c r="G9468" s="88"/>
      <c r="H9468" s="89"/>
      <c r="K9468" s="58"/>
      <c r="L9468" s="91"/>
      <c r="M9468" s="78"/>
    </row>
    <row r="9469">
      <c r="C9469" s="85"/>
      <c r="D9469" s="25"/>
      <c r="E9469" s="77"/>
      <c r="F9469" s="88"/>
      <c r="G9469" s="88"/>
      <c r="H9469" s="89"/>
      <c r="K9469" s="58"/>
      <c r="L9469" s="91"/>
      <c r="M9469" s="78"/>
    </row>
    <row r="9470">
      <c r="C9470" s="85"/>
      <c r="D9470" s="25"/>
      <c r="E9470" s="77"/>
      <c r="F9470" s="88"/>
      <c r="G9470" s="88"/>
      <c r="H9470" s="89"/>
      <c r="K9470" s="58"/>
      <c r="L9470" s="91"/>
      <c r="M9470" s="78"/>
    </row>
    <row r="9471">
      <c r="C9471" s="85"/>
      <c r="D9471" s="25"/>
      <c r="E9471" s="77"/>
      <c r="F9471" s="88"/>
      <c r="G9471" s="88"/>
      <c r="H9471" s="89"/>
      <c r="K9471" s="58"/>
      <c r="L9471" s="91"/>
      <c r="M9471" s="78"/>
    </row>
    <row r="9472">
      <c r="C9472" s="85"/>
      <c r="D9472" s="25"/>
      <c r="E9472" s="77"/>
      <c r="F9472" s="88"/>
      <c r="G9472" s="88"/>
      <c r="H9472" s="89"/>
      <c r="K9472" s="58"/>
      <c r="L9472" s="91"/>
      <c r="M9472" s="78"/>
    </row>
    <row r="9473">
      <c r="C9473" s="85"/>
      <c r="D9473" s="25"/>
      <c r="E9473" s="77"/>
      <c r="F9473" s="88"/>
      <c r="G9473" s="88"/>
      <c r="H9473" s="89"/>
      <c r="K9473" s="58"/>
      <c r="L9473" s="91"/>
      <c r="M9473" s="78"/>
    </row>
    <row r="9474">
      <c r="C9474" s="85"/>
      <c r="D9474" s="25"/>
      <c r="E9474" s="77"/>
      <c r="F9474" s="88"/>
      <c r="G9474" s="88"/>
      <c r="H9474" s="89"/>
      <c r="K9474" s="58"/>
      <c r="L9474" s="91"/>
      <c r="M9474" s="78"/>
    </row>
    <row r="9475">
      <c r="C9475" s="85"/>
      <c r="D9475" s="25"/>
      <c r="E9475" s="77"/>
      <c r="F9475" s="88"/>
      <c r="G9475" s="88"/>
      <c r="H9475" s="89"/>
      <c r="K9475" s="58"/>
      <c r="L9475" s="91"/>
      <c r="M9475" s="78"/>
    </row>
    <row r="9476">
      <c r="C9476" s="85"/>
      <c r="D9476" s="25"/>
      <c r="E9476" s="77"/>
      <c r="F9476" s="88"/>
      <c r="G9476" s="88"/>
      <c r="H9476" s="89"/>
      <c r="K9476" s="58"/>
      <c r="L9476" s="91"/>
      <c r="M9476" s="78"/>
    </row>
    <row r="9477">
      <c r="C9477" s="85"/>
      <c r="D9477" s="25"/>
      <c r="E9477" s="77"/>
      <c r="F9477" s="88"/>
      <c r="G9477" s="88"/>
      <c r="H9477" s="89"/>
      <c r="K9477" s="58"/>
      <c r="L9477" s="91"/>
      <c r="M9477" s="78"/>
    </row>
    <row r="9478">
      <c r="C9478" s="85"/>
      <c r="D9478" s="25"/>
      <c r="E9478" s="77"/>
      <c r="F9478" s="88"/>
      <c r="G9478" s="88"/>
      <c r="H9478" s="89"/>
      <c r="K9478" s="58"/>
      <c r="L9478" s="91"/>
      <c r="M9478" s="78"/>
    </row>
    <row r="9479">
      <c r="C9479" s="85"/>
      <c r="D9479" s="25"/>
      <c r="E9479" s="77"/>
      <c r="F9479" s="88"/>
      <c r="G9479" s="88"/>
      <c r="H9479" s="89"/>
      <c r="K9479" s="58"/>
      <c r="L9479" s="91"/>
      <c r="M9479" s="78"/>
    </row>
    <row r="9480">
      <c r="C9480" s="85"/>
      <c r="D9480" s="25"/>
      <c r="E9480" s="77"/>
      <c r="F9480" s="88"/>
      <c r="G9480" s="88"/>
      <c r="H9480" s="89"/>
      <c r="K9480" s="58"/>
      <c r="L9480" s="91"/>
      <c r="M9480" s="78"/>
    </row>
    <row r="9481">
      <c r="C9481" s="85"/>
      <c r="D9481" s="25"/>
      <c r="E9481" s="77"/>
      <c r="F9481" s="88"/>
      <c r="G9481" s="88"/>
      <c r="H9481" s="89"/>
      <c r="K9481" s="58"/>
      <c r="L9481" s="91"/>
      <c r="M9481" s="78"/>
    </row>
    <row r="9482">
      <c r="C9482" s="85"/>
      <c r="D9482" s="25"/>
      <c r="E9482" s="77"/>
      <c r="F9482" s="88"/>
      <c r="G9482" s="88"/>
      <c r="H9482" s="89"/>
      <c r="K9482" s="58"/>
      <c r="L9482" s="91"/>
      <c r="M9482" s="78"/>
    </row>
    <row r="9483">
      <c r="C9483" s="85"/>
      <c r="D9483" s="25"/>
      <c r="E9483" s="77"/>
      <c r="F9483" s="88"/>
      <c r="G9483" s="88"/>
      <c r="H9483" s="89"/>
      <c r="K9483" s="58"/>
      <c r="L9483" s="91"/>
      <c r="M9483" s="78"/>
    </row>
    <row r="9484">
      <c r="C9484" s="85"/>
      <c r="D9484" s="25"/>
      <c r="E9484" s="77"/>
      <c r="F9484" s="88"/>
      <c r="G9484" s="88"/>
      <c r="H9484" s="89"/>
      <c r="K9484" s="58"/>
      <c r="L9484" s="91"/>
      <c r="M9484" s="78"/>
    </row>
    <row r="9485">
      <c r="C9485" s="85"/>
      <c r="D9485" s="25"/>
      <c r="E9485" s="77"/>
      <c r="F9485" s="88"/>
      <c r="G9485" s="88"/>
      <c r="H9485" s="89"/>
      <c r="K9485" s="58"/>
      <c r="L9485" s="91"/>
      <c r="M9485" s="78"/>
    </row>
    <row r="9486">
      <c r="C9486" s="85"/>
      <c r="D9486" s="25"/>
      <c r="E9486" s="77"/>
      <c r="F9486" s="88"/>
      <c r="G9486" s="88"/>
      <c r="H9486" s="89"/>
      <c r="K9486" s="58"/>
      <c r="L9486" s="91"/>
      <c r="M9486" s="78"/>
    </row>
    <row r="9487">
      <c r="C9487" s="85"/>
      <c r="D9487" s="25"/>
      <c r="E9487" s="77"/>
      <c r="F9487" s="88"/>
      <c r="G9487" s="88"/>
      <c r="H9487" s="89"/>
      <c r="K9487" s="58"/>
      <c r="L9487" s="91"/>
      <c r="M9487" s="78"/>
    </row>
    <row r="9488">
      <c r="C9488" s="85"/>
      <c r="D9488" s="25"/>
      <c r="E9488" s="77"/>
      <c r="F9488" s="88"/>
      <c r="G9488" s="88"/>
      <c r="H9488" s="89"/>
      <c r="K9488" s="58"/>
      <c r="L9488" s="91"/>
      <c r="M9488" s="78"/>
    </row>
    <row r="9489">
      <c r="C9489" s="85"/>
      <c r="D9489" s="25"/>
      <c r="E9489" s="77"/>
      <c r="F9489" s="88"/>
      <c r="G9489" s="88"/>
      <c r="H9489" s="89"/>
      <c r="K9489" s="58"/>
      <c r="L9489" s="91"/>
      <c r="M9489" s="78"/>
    </row>
    <row r="9490">
      <c r="C9490" s="85"/>
      <c r="D9490" s="25"/>
      <c r="E9490" s="77"/>
      <c r="F9490" s="88"/>
      <c r="G9490" s="88"/>
      <c r="H9490" s="89"/>
      <c r="K9490" s="58"/>
      <c r="L9490" s="91"/>
      <c r="M9490" s="78"/>
    </row>
    <row r="9491">
      <c r="C9491" s="85"/>
      <c r="D9491" s="25"/>
      <c r="E9491" s="77"/>
      <c r="F9491" s="88"/>
      <c r="G9491" s="88"/>
      <c r="H9491" s="89"/>
      <c r="K9491" s="58"/>
      <c r="L9491" s="91"/>
      <c r="M9491" s="78"/>
    </row>
    <row r="9492">
      <c r="C9492" s="85"/>
      <c r="D9492" s="25"/>
      <c r="E9492" s="77"/>
      <c r="F9492" s="88"/>
      <c r="G9492" s="88"/>
      <c r="H9492" s="89"/>
      <c r="K9492" s="58"/>
      <c r="L9492" s="91"/>
      <c r="M9492" s="78"/>
    </row>
    <row r="9493">
      <c r="C9493" s="85"/>
      <c r="D9493" s="25"/>
      <c r="E9493" s="77"/>
      <c r="F9493" s="88"/>
      <c r="G9493" s="88"/>
      <c r="H9493" s="89"/>
      <c r="K9493" s="58"/>
      <c r="L9493" s="91"/>
      <c r="M9493" s="78"/>
    </row>
    <row r="9494">
      <c r="C9494" s="85"/>
      <c r="D9494" s="25"/>
      <c r="E9494" s="77"/>
      <c r="F9494" s="88"/>
      <c r="G9494" s="88"/>
      <c r="H9494" s="89"/>
      <c r="K9494" s="58"/>
      <c r="L9494" s="91"/>
      <c r="M9494" s="78"/>
    </row>
    <row r="9495">
      <c r="C9495" s="85"/>
      <c r="D9495" s="25"/>
      <c r="E9495" s="77"/>
      <c r="F9495" s="88"/>
      <c r="G9495" s="88"/>
      <c r="H9495" s="89"/>
      <c r="K9495" s="58"/>
      <c r="L9495" s="91"/>
      <c r="M9495" s="78"/>
    </row>
    <row r="9496">
      <c r="C9496" s="85"/>
      <c r="D9496" s="25"/>
      <c r="E9496" s="77"/>
      <c r="F9496" s="88"/>
      <c r="G9496" s="88"/>
      <c r="H9496" s="89"/>
      <c r="K9496" s="58"/>
      <c r="L9496" s="91"/>
      <c r="M9496" s="78"/>
    </row>
    <row r="9497">
      <c r="C9497" s="85"/>
      <c r="D9497" s="25"/>
      <c r="E9497" s="77"/>
      <c r="F9497" s="88"/>
      <c r="G9497" s="88"/>
      <c r="H9497" s="89"/>
      <c r="K9497" s="58"/>
      <c r="L9497" s="91"/>
      <c r="M9497" s="78"/>
    </row>
    <row r="9498">
      <c r="C9498" s="85"/>
      <c r="D9498" s="25"/>
      <c r="E9498" s="77"/>
      <c r="F9498" s="88"/>
      <c r="G9498" s="88"/>
      <c r="H9498" s="89"/>
      <c r="K9498" s="58"/>
      <c r="L9498" s="91"/>
      <c r="M9498" s="78"/>
    </row>
    <row r="9499">
      <c r="C9499" s="85"/>
      <c r="D9499" s="25"/>
      <c r="E9499" s="77"/>
      <c r="F9499" s="88"/>
      <c r="G9499" s="88"/>
      <c r="H9499" s="89"/>
      <c r="K9499" s="58"/>
      <c r="L9499" s="91"/>
      <c r="M9499" s="78"/>
    </row>
    <row r="9500">
      <c r="C9500" s="85"/>
      <c r="D9500" s="25"/>
      <c r="E9500" s="77"/>
      <c r="F9500" s="88"/>
      <c r="G9500" s="88"/>
      <c r="H9500" s="89"/>
      <c r="K9500" s="58"/>
      <c r="L9500" s="91"/>
      <c r="M9500" s="78"/>
    </row>
    <row r="9501">
      <c r="C9501" s="85"/>
      <c r="D9501" s="25"/>
      <c r="E9501" s="77"/>
      <c r="F9501" s="88"/>
      <c r="G9501" s="88"/>
      <c r="H9501" s="89"/>
      <c r="K9501" s="58"/>
      <c r="L9501" s="91"/>
      <c r="M9501" s="78"/>
    </row>
    <row r="9502">
      <c r="C9502" s="85"/>
      <c r="D9502" s="25"/>
      <c r="E9502" s="77"/>
      <c r="F9502" s="88"/>
      <c r="G9502" s="88"/>
      <c r="H9502" s="89"/>
      <c r="K9502" s="58"/>
      <c r="L9502" s="91"/>
      <c r="M9502" s="78"/>
    </row>
    <row r="9503">
      <c r="C9503" s="85"/>
      <c r="D9503" s="25"/>
      <c r="E9503" s="77"/>
      <c r="F9503" s="88"/>
      <c r="G9503" s="88"/>
      <c r="H9503" s="89"/>
      <c r="K9503" s="58"/>
      <c r="L9503" s="91"/>
      <c r="M9503" s="78"/>
    </row>
    <row r="9504">
      <c r="C9504" s="85"/>
      <c r="D9504" s="25"/>
      <c r="E9504" s="77"/>
      <c r="F9504" s="88"/>
      <c r="G9504" s="88"/>
      <c r="H9504" s="89"/>
      <c r="K9504" s="58"/>
      <c r="L9504" s="91"/>
      <c r="M9504" s="78"/>
    </row>
    <row r="9505">
      <c r="C9505" s="85"/>
      <c r="D9505" s="25"/>
      <c r="E9505" s="77"/>
      <c r="F9505" s="88"/>
      <c r="G9505" s="88"/>
      <c r="H9505" s="89"/>
      <c r="K9505" s="58"/>
      <c r="L9505" s="91"/>
      <c r="M9505" s="78"/>
    </row>
    <row r="9506">
      <c r="C9506" s="85"/>
      <c r="D9506" s="25"/>
      <c r="E9506" s="77"/>
      <c r="F9506" s="88"/>
      <c r="G9506" s="88"/>
      <c r="H9506" s="89"/>
      <c r="K9506" s="58"/>
      <c r="L9506" s="91"/>
      <c r="M9506" s="78"/>
    </row>
    <row r="9507">
      <c r="C9507" s="85"/>
      <c r="D9507" s="25"/>
      <c r="E9507" s="77"/>
      <c r="F9507" s="88"/>
      <c r="G9507" s="88"/>
      <c r="H9507" s="89"/>
      <c r="K9507" s="58"/>
      <c r="L9507" s="91"/>
      <c r="M9507" s="78"/>
    </row>
    <row r="9508">
      <c r="C9508" s="85"/>
      <c r="D9508" s="25"/>
      <c r="E9508" s="77"/>
      <c r="F9508" s="88"/>
      <c r="G9508" s="88"/>
      <c r="H9508" s="89"/>
      <c r="K9508" s="58"/>
      <c r="L9508" s="91"/>
      <c r="M9508" s="78"/>
    </row>
    <row r="9509">
      <c r="C9509" s="85"/>
      <c r="D9509" s="25"/>
      <c r="E9509" s="77"/>
      <c r="F9509" s="88"/>
      <c r="G9509" s="88"/>
      <c r="H9509" s="89"/>
      <c r="K9509" s="58"/>
      <c r="L9509" s="91"/>
      <c r="M9509" s="78"/>
    </row>
    <row r="9510">
      <c r="C9510" s="85"/>
      <c r="D9510" s="25"/>
      <c r="E9510" s="77"/>
      <c r="F9510" s="88"/>
      <c r="G9510" s="88"/>
      <c r="H9510" s="89"/>
      <c r="K9510" s="58"/>
      <c r="L9510" s="91"/>
      <c r="M9510" s="78"/>
    </row>
    <row r="9511">
      <c r="C9511" s="85"/>
      <c r="D9511" s="25"/>
      <c r="E9511" s="77"/>
      <c r="F9511" s="88"/>
      <c r="G9511" s="88"/>
      <c r="H9511" s="89"/>
      <c r="K9511" s="58"/>
      <c r="L9511" s="91"/>
      <c r="M9511" s="78"/>
    </row>
    <row r="9512">
      <c r="C9512" s="85"/>
      <c r="D9512" s="25"/>
      <c r="E9512" s="77"/>
      <c r="F9512" s="88"/>
      <c r="G9512" s="88"/>
      <c r="H9512" s="89"/>
      <c r="K9512" s="58"/>
      <c r="L9512" s="91"/>
      <c r="M9512" s="78"/>
    </row>
    <row r="9513">
      <c r="C9513" s="85"/>
      <c r="D9513" s="25"/>
      <c r="E9513" s="77"/>
      <c r="F9513" s="88"/>
      <c r="G9513" s="88"/>
      <c r="H9513" s="89"/>
      <c r="K9513" s="58"/>
      <c r="L9513" s="91"/>
      <c r="M9513" s="78"/>
    </row>
    <row r="9514">
      <c r="C9514" s="85"/>
      <c r="D9514" s="25"/>
      <c r="E9514" s="77"/>
      <c r="F9514" s="88"/>
      <c r="G9514" s="88"/>
      <c r="H9514" s="89"/>
      <c r="K9514" s="58"/>
      <c r="L9514" s="91"/>
      <c r="M9514" s="78"/>
    </row>
    <row r="9515">
      <c r="C9515" s="85"/>
      <c r="D9515" s="25"/>
      <c r="E9515" s="77"/>
      <c r="F9515" s="88"/>
      <c r="G9515" s="88"/>
      <c r="H9515" s="89"/>
      <c r="K9515" s="58"/>
      <c r="L9515" s="91"/>
      <c r="M9515" s="78"/>
    </row>
    <row r="9516">
      <c r="C9516" s="85"/>
      <c r="D9516" s="25"/>
      <c r="E9516" s="77"/>
      <c r="F9516" s="88"/>
      <c r="G9516" s="88"/>
      <c r="H9516" s="89"/>
      <c r="K9516" s="58"/>
      <c r="L9516" s="91"/>
      <c r="M9516" s="78"/>
    </row>
    <row r="9517">
      <c r="C9517" s="85"/>
      <c r="D9517" s="25"/>
      <c r="E9517" s="77"/>
      <c r="F9517" s="88"/>
      <c r="G9517" s="88"/>
      <c r="H9517" s="89"/>
      <c r="K9517" s="58"/>
      <c r="L9517" s="91"/>
      <c r="M9517" s="78"/>
    </row>
    <row r="9518">
      <c r="C9518" s="85"/>
      <c r="D9518" s="25"/>
      <c r="E9518" s="77"/>
      <c r="F9518" s="88"/>
      <c r="G9518" s="88"/>
      <c r="H9518" s="89"/>
      <c r="K9518" s="58"/>
      <c r="L9518" s="91"/>
      <c r="M9518" s="78"/>
    </row>
    <row r="9519">
      <c r="C9519" s="85"/>
      <c r="D9519" s="25"/>
      <c r="E9519" s="77"/>
      <c r="F9519" s="88"/>
      <c r="G9519" s="88"/>
      <c r="H9519" s="89"/>
      <c r="K9519" s="58"/>
      <c r="L9519" s="91"/>
      <c r="M9519" s="78"/>
    </row>
    <row r="9520">
      <c r="C9520" s="85"/>
      <c r="D9520" s="25"/>
      <c r="E9520" s="77"/>
      <c r="F9520" s="88"/>
      <c r="G9520" s="88"/>
      <c r="H9520" s="89"/>
      <c r="K9520" s="58"/>
      <c r="L9520" s="91"/>
      <c r="M9520" s="78"/>
    </row>
    <row r="9521">
      <c r="C9521" s="85"/>
      <c r="D9521" s="25"/>
      <c r="E9521" s="77"/>
      <c r="F9521" s="88"/>
      <c r="G9521" s="88"/>
      <c r="H9521" s="89"/>
      <c r="K9521" s="58"/>
      <c r="L9521" s="91"/>
      <c r="M9521" s="78"/>
    </row>
    <row r="9522">
      <c r="C9522" s="85"/>
      <c r="D9522" s="25"/>
      <c r="E9522" s="77"/>
      <c r="F9522" s="88"/>
      <c r="G9522" s="88"/>
      <c r="H9522" s="89"/>
      <c r="K9522" s="58"/>
      <c r="L9522" s="91"/>
      <c r="M9522" s="78"/>
    </row>
    <row r="9523">
      <c r="C9523" s="85"/>
      <c r="D9523" s="25"/>
      <c r="E9523" s="77"/>
      <c r="F9523" s="88"/>
      <c r="G9523" s="88"/>
      <c r="H9523" s="89"/>
      <c r="K9523" s="58"/>
      <c r="L9523" s="91"/>
      <c r="M9523" s="78"/>
    </row>
    <row r="9524">
      <c r="C9524" s="85"/>
      <c r="D9524" s="25"/>
      <c r="E9524" s="77"/>
      <c r="F9524" s="88"/>
      <c r="G9524" s="88"/>
      <c r="H9524" s="89"/>
      <c r="K9524" s="58"/>
      <c r="L9524" s="91"/>
      <c r="M9524" s="78"/>
    </row>
    <row r="9525">
      <c r="C9525" s="85"/>
      <c r="D9525" s="25"/>
      <c r="E9525" s="77"/>
      <c r="F9525" s="88"/>
      <c r="G9525" s="88"/>
      <c r="H9525" s="89"/>
      <c r="K9525" s="58"/>
      <c r="L9525" s="91"/>
      <c r="M9525" s="78"/>
    </row>
    <row r="9526">
      <c r="C9526" s="85"/>
      <c r="D9526" s="25"/>
      <c r="E9526" s="77"/>
      <c r="F9526" s="88"/>
      <c r="G9526" s="88"/>
      <c r="H9526" s="89"/>
      <c r="K9526" s="58"/>
      <c r="L9526" s="91"/>
      <c r="M9526" s="78"/>
    </row>
    <row r="9527">
      <c r="C9527" s="85"/>
      <c r="D9527" s="25"/>
      <c r="E9527" s="77"/>
      <c r="F9527" s="88"/>
      <c r="G9527" s="88"/>
      <c r="H9527" s="89"/>
      <c r="K9527" s="58"/>
      <c r="L9527" s="91"/>
      <c r="M9527" s="78"/>
    </row>
    <row r="9528">
      <c r="C9528" s="85"/>
      <c r="D9528" s="25"/>
      <c r="E9528" s="77"/>
      <c r="F9528" s="88"/>
      <c r="G9528" s="88"/>
      <c r="H9528" s="89"/>
      <c r="K9528" s="58"/>
      <c r="L9528" s="91"/>
      <c r="M9528" s="78"/>
    </row>
    <row r="9529">
      <c r="C9529" s="85"/>
      <c r="D9529" s="25"/>
      <c r="E9529" s="77"/>
      <c r="F9529" s="88"/>
      <c r="G9529" s="88"/>
      <c r="H9529" s="89"/>
      <c r="K9529" s="58"/>
      <c r="L9529" s="91"/>
      <c r="M9529" s="78"/>
    </row>
    <row r="9530">
      <c r="C9530" s="85"/>
      <c r="D9530" s="25"/>
      <c r="E9530" s="77"/>
      <c r="F9530" s="88"/>
      <c r="G9530" s="88"/>
      <c r="H9530" s="89"/>
      <c r="K9530" s="58"/>
      <c r="L9530" s="91"/>
      <c r="M9530" s="78"/>
    </row>
    <row r="9531">
      <c r="C9531" s="85"/>
      <c r="D9531" s="25"/>
      <c r="E9531" s="77"/>
      <c r="F9531" s="88"/>
      <c r="G9531" s="88"/>
      <c r="H9531" s="89"/>
      <c r="K9531" s="58"/>
      <c r="L9531" s="91"/>
      <c r="M9531" s="78"/>
    </row>
    <row r="9532">
      <c r="C9532" s="85"/>
      <c r="D9532" s="25"/>
      <c r="E9532" s="77"/>
      <c r="F9532" s="88"/>
      <c r="G9532" s="88"/>
      <c r="H9532" s="89"/>
      <c r="K9532" s="58"/>
      <c r="L9532" s="91"/>
      <c r="M9532" s="78"/>
    </row>
    <row r="9533">
      <c r="C9533" s="85"/>
      <c r="D9533" s="25"/>
      <c r="E9533" s="77"/>
      <c r="F9533" s="88"/>
      <c r="G9533" s="88"/>
      <c r="H9533" s="89"/>
      <c r="K9533" s="58"/>
      <c r="L9533" s="91"/>
      <c r="M9533" s="78"/>
    </row>
    <row r="9534">
      <c r="C9534" s="85"/>
      <c r="D9534" s="25"/>
      <c r="E9534" s="77"/>
      <c r="F9534" s="88"/>
      <c r="G9534" s="88"/>
      <c r="H9534" s="89"/>
      <c r="K9534" s="58"/>
      <c r="L9534" s="91"/>
      <c r="M9534" s="78"/>
    </row>
    <row r="9535">
      <c r="C9535" s="85"/>
      <c r="D9535" s="25"/>
      <c r="E9535" s="77"/>
      <c r="F9535" s="88"/>
      <c r="G9535" s="88"/>
      <c r="H9535" s="89"/>
      <c r="K9535" s="58"/>
      <c r="L9535" s="91"/>
      <c r="M9535" s="78"/>
    </row>
    <row r="9536">
      <c r="C9536" s="85"/>
      <c r="D9536" s="25"/>
      <c r="E9536" s="77"/>
      <c r="F9536" s="88"/>
      <c r="G9536" s="88"/>
      <c r="H9536" s="89"/>
      <c r="K9536" s="58"/>
      <c r="L9536" s="91"/>
      <c r="M9536" s="78"/>
    </row>
    <row r="9537">
      <c r="C9537" s="85"/>
      <c r="D9537" s="25"/>
      <c r="E9537" s="77"/>
      <c r="F9537" s="88"/>
      <c r="G9537" s="88"/>
      <c r="H9537" s="89"/>
      <c r="K9537" s="58"/>
      <c r="L9537" s="91"/>
      <c r="M9537" s="78"/>
    </row>
    <row r="9538">
      <c r="C9538" s="85"/>
      <c r="D9538" s="25"/>
      <c r="E9538" s="77"/>
      <c r="F9538" s="88"/>
      <c r="G9538" s="88"/>
      <c r="H9538" s="89"/>
      <c r="K9538" s="58"/>
      <c r="L9538" s="91"/>
      <c r="M9538" s="78"/>
    </row>
    <row r="9539">
      <c r="C9539" s="85"/>
      <c r="D9539" s="25"/>
      <c r="E9539" s="77"/>
      <c r="F9539" s="88"/>
      <c r="G9539" s="88"/>
      <c r="H9539" s="89"/>
      <c r="K9539" s="58"/>
      <c r="L9539" s="91"/>
      <c r="M9539" s="78"/>
    </row>
    <row r="9540">
      <c r="C9540" s="85"/>
      <c r="D9540" s="25"/>
      <c r="E9540" s="77"/>
      <c r="F9540" s="88"/>
      <c r="G9540" s="88"/>
      <c r="H9540" s="89"/>
      <c r="K9540" s="58"/>
      <c r="L9540" s="91"/>
      <c r="M9540" s="78"/>
    </row>
    <row r="9541">
      <c r="C9541" s="85"/>
      <c r="D9541" s="25"/>
      <c r="E9541" s="77"/>
      <c r="F9541" s="88"/>
      <c r="G9541" s="88"/>
      <c r="H9541" s="89"/>
      <c r="K9541" s="58"/>
      <c r="L9541" s="91"/>
      <c r="M9541" s="78"/>
    </row>
    <row r="9542">
      <c r="C9542" s="85"/>
      <c r="D9542" s="25"/>
      <c r="E9542" s="77"/>
      <c r="F9542" s="88"/>
      <c r="G9542" s="88"/>
      <c r="H9542" s="89"/>
      <c r="K9542" s="58"/>
      <c r="L9542" s="91"/>
      <c r="M9542" s="78"/>
    </row>
    <row r="9543">
      <c r="C9543" s="85"/>
      <c r="D9543" s="25"/>
      <c r="E9543" s="77"/>
      <c r="F9543" s="88"/>
      <c r="G9543" s="88"/>
      <c r="H9543" s="89"/>
      <c r="K9543" s="58"/>
      <c r="L9543" s="91"/>
      <c r="M9543" s="78"/>
    </row>
    <row r="9544">
      <c r="C9544" s="85"/>
      <c r="D9544" s="25"/>
      <c r="E9544" s="77"/>
      <c r="F9544" s="88"/>
      <c r="G9544" s="88"/>
      <c r="H9544" s="89"/>
      <c r="K9544" s="58"/>
      <c r="L9544" s="91"/>
      <c r="M9544" s="78"/>
    </row>
    <row r="9545">
      <c r="C9545" s="85"/>
      <c r="D9545" s="25"/>
      <c r="E9545" s="77"/>
      <c r="F9545" s="88"/>
      <c r="G9545" s="88"/>
      <c r="H9545" s="89"/>
      <c r="K9545" s="58"/>
      <c r="L9545" s="91"/>
      <c r="M9545" s="78"/>
    </row>
    <row r="9546">
      <c r="C9546" s="85"/>
      <c r="D9546" s="25"/>
      <c r="E9546" s="77"/>
      <c r="F9546" s="88"/>
      <c r="G9546" s="88"/>
      <c r="H9546" s="89"/>
      <c r="K9546" s="58"/>
      <c r="L9546" s="91"/>
      <c r="M9546" s="78"/>
    </row>
    <row r="9547">
      <c r="C9547" s="85"/>
      <c r="D9547" s="25"/>
      <c r="E9547" s="77"/>
      <c r="F9547" s="88"/>
      <c r="G9547" s="88"/>
      <c r="H9547" s="89"/>
      <c r="K9547" s="58"/>
      <c r="L9547" s="91"/>
      <c r="M9547" s="78"/>
    </row>
    <row r="9548">
      <c r="C9548" s="85"/>
      <c r="D9548" s="25"/>
      <c r="E9548" s="77"/>
      <c r="F9548" s="88"/>
      <c r="G9548" s="88"/>
      <c r="H9548" s="89"/>
      <c r="K9548" s="58"/>
      <c r="L9548" s="91"/>
      <c r="M9548" s="78"/>
    </row>
    <row r="9549">
      <c r="C9549" s="85"/>
      <c r="D9549" s="25"/>
      <c r="E9549" s="77"/>
      <c r="F9549" s="88"/>
      <c r="G9549" s="88"/>
      <c r="H9549" s="89"/>
      <c r="K9549" s="58"/>
      <c r="L9549" s="91"/>
      <c r="M9549" s="78"/>
    </row>
    <row r="9550">
      <c r="C9550" s="85"/>
      <c r="D9550" s="25"/>
      <c r="E9550" s="77"/>
      <c r="F9550" s="88"/>
      <c r="G9550" s="88"/>
      <c r="H9550" s="89"/>
      <c r="K9550" s="58"/>
      <c r="L9550" s="91"/>
      <c r="M9550" s="78"/>
    </row>
    <row r="9551">
      <c r="C9551" s="85"/>
      <c r="D9551" s="25"/>
      <c r="E9551" s="77"/>
      <c r="F9551" s="88"/>
      <c r="G9551" s="88"/>
      <c r="H9551" s="89"/>
      <c r="K9551" s="58"/>
      <c r="L9551" s="91"/>
      <c r="M9551" s="78"/>
    </row>
    <row r="9552">
      <c r="C9552" s="85"/>
      <c r="D9552" s="25"/>
      <c r="E9552" s="77"/>
      <c r="F9552" s="88"/>
      <c r="G9552" s="88"/>
      <c r="H9552" s="89"/>
      <c r="K9552" s="58"/>
      <c r="L9552" s="91"/>
      <c r="M9552" s="78"/>
    </row>
    <row r="9553">
      <c r="C9553" s="85"/>
      <c r="D9553" s="25"/>
      <c r="E9553" s="77"/>
      <c r="F9553" s="88"/>
      <c r="G9553" s="88"/>
      <c r="H9553" s="89"/>
      <c r="K9553" s="58"/>
      <c r="L9553" s="91"/>
      <c r="M9553" s="78"/>
    </row>
    <row r="9554">
      <c r="C9554" s="85"/>
      <c r="D9554" s="25"/>
      <c r="E9554" s="77"/>
      <c r="F9554" s="88"/>
      <c r="G9554" s="88"/>
      <c r="H9554" s="89"/>
      <c r="K9554" s="58"/>
      <c r="L9554" s="91"/>
      <c r="M9554" s="78"/>
    </row>
    <row r="9555">
      <c r="C9555" s="85"/>
      <c r="D9555" s="25"/>
      <c r="E9555" s="77"/>
      <c r="F9555" s="88"/>
      <c r="G9555" s="88"/>
      <c r="H9555" s="89"/>
      <c r="K9555" s="58"/>
      <c r="L9555" s="91"/>
      <c r="M9555" s="78"/>
    </row>
    <row r="9556">
      <c r="C9556" s="85"/>
      <c r="D9556" s="25"/>
      <c r="E9556" s="77"/>
      <c r="F9556" s="88"/>
      <c r="G9556" s="88"/>
      <c r="H9556" s="89"/>
      <c r="K9556" s="58"/>
      <c r="L9556" s="91"/>
      <c r="M9556" s="78"/>
    </row>
    <row r="9557">
      <c r="C9557" s="85"/>
      <c r="D9557" s="25"/>
      <c r="E9557" s="77"/>
      <c r="F9557" s="88"/>
      <c r="G9557" s="88"/>
      <c r="H9557" s="89"/>
      <c r="K9557" s="58"/>
      <c r="L9557" s="91"/>
      <c r="M9557" s="78"/>
    </row>
    <row r="9558">
      <c r="C9558" s="85"/>
      <c r="D9558" s="25"/>
      <c r="E9558" s="77"/>
      <c r="F9558" s="88"/>
      <c r="G9558" s="88"/>
      <c r="H9558" s="89"/>
      <c r="K9558" s="58"/>
      <c r="L9558" s="91"/>
      <c r="M9558" s="78"/>
    </row>
    <row r="9559">
      <c r="C9559" s="85"/>
      <c r="D9559" s="25"/>
      <c r="E9559" s="77"/>
      <c r="F9559" s="88"/>
      <c r="G9559" s="88"/>
      <c r="H9559" s="89"/>
      <c r="K9559" s="58"/>
      <c r="L9559" s="91"/>
      <c r="M9559" s="78"/>
    </row>
    <row r="9560">
      <c r="C9560" s="85"/>
      <c r="D9560" s="25"/>
      <c r="E9560" s="77"/>
      <c r="F9560" s="88"/>
      <c r="G9560" s="88"/>
      <c r="H9560" s="89"/>
      <c r="K9560" s="58"/>
      <c r="L9560" s="91"/>
      <c r="M9560" s="78"/>
    </row>
    <row r="9561">
      <c r="C9561" s="85"/>
      <c r="D9561" s="25"/>
      <c r="E9561" s="77"/>
      <c r="F9561" s="88"/>
      <c r="G9561" s="88"/>
      <c r="H9561" s="89"/>
      <c r="K9561" s="58"/>
      <c r="L9561" s="91"/>
      <c r="M9561" s="78"/>
    </row>
    <row r="9562">
      <c r="C9562" s="85"/>
      <c r="D9562" s="25"/>
      <c r="E9562" s="77"/>
      <c r="F9562" s="88"/>
      <c r="G9562" s="88"/>
      <c r="H9562" s="89"/>
      <c r="K9562" s="58"/>
      <c r="L9562" s="91"/>
      <c r="M9562" s="78"/>
    </row>
    <row r="9563">
      <c r="C9563" s="85"/>
      <c r="D9563" s="25"/>
      <c r="E9563" s="77"/>
      <c r="F9563" s="88"/>
      <c r="G9563" s="88"/>
      <c r="H9563" s="89"/>
      <c r="K9563" s="58"/>
      <c r="L9563" s="91"/>
      <c r="M9563" s="78"/>
    </row>
    <row r="9564">
      <c r="C9564" s="85"/>
      <c r="D9564" s="25"/>
      <c r="E9564" s="77"/>
      <c r="F9564" s="88"/>
      <c r="G9564" s="88"/>
      <c r="H9564" s="89"/>
      <c r="K9564" s="58"/>
      <c r="L9564" s="91"/>
      <c r="M9564" s="78"/>
    </row>
    <row r="9565">
      <c r="C9565" s="85"/>
      <c r="D9565" s="25"/>
      <c r="E9565" s="77"/>
      <c r="F9565" s="88"/>
      <c r="G9565" s="88"/>
      <c r="H9565" s="89"/>
      <c r="K9565" s="58"/>
      <c r="L9565" s="91"/>
      <c r="M9565" s="78"/>
    </row>
    <row r="9566">
      <c r="C9566" s="85"/>
      <c r="D9566" s="25"/>
      <c r="E9566" s="77"/>
      <c r="F9566" s="88"/>
      <c r="G9566" s="88"/>
      <c r="H9566" s="89"/>
      <c r="K9566" s="58"/>
      <c r="L9566" s="91"/>
      <c r="M9566" s="78"/>
    </row>
    <row r="9567">
      <c r="C9567" s="85"/>
      <c r="D9567" s="25"/>
      <c r="E9567" s="77"/>
      <c r="F9567" s="88"/>
      <c r="G9567" s="88"/>
      <c r="H9567" s="89"/>
      <c r="K9567" s="58"/>
      <c r="L9567" s="91"/>
      <c r="M9567" s="78"/>
    </row>
    <row r="9568">
      <c r="C9568" s="85"/>
      <c r="D9568" s="25"/>
      <c r="E9568" s="77"/>
      <c r="F9568" s="88"/>
      <c r="G9568" s="88"/>
      <c r="H9568" s="89"/>
      <c r="K9568" s="58"/>
      <c r="L9568" s="91"/>
      <c r="M9568" s="78"/>
    </row>
    <row r="9569">
      <c r="C9569" s="85"/>
      <c r="D9569" s="25"/>
      <c r="E9569" s="77"/>
      <c r="F9569" s="88"/>
      <c r="G9569" s="88"/>
      <c r="H9569" s="89"/>
      <c r="K9569" s="58"/>
      <c r="L9569" s="91"/>
      <c r="M9569" s="78"/>
    </row>
    <row r="9570">
      <c r="C9570" s="85"/>
      <c r="D9570" s="25"/>
      <c r="E9570" s="77"/>
      <c r="F9570" s="88"/>
      <c r="G9570" s="88"/>
      <c r="H9570" s="89"/>
      <c r="K9570" s="58"/>
      <c r="L9570" s="91"/>
      <c r="M9570" s="78"/>
    </row>
    <row r="9571">
      <c r="C9571" s="85"/>
      <c r="D9571" s="25"/>
      <c r="E9571" s="77"/>
      <c r="F9571" s="88"/>
      <c r="G9571" s="88"/>
      <c r="H9571" s="89"/>
      <c r="K9571" s="58"/>
      <c r="L9571" s="91"/>
      <c r="M9571" s="78"/>
    </row>
    <row r="9572">
      <c r="C9572" s="85"/>
      <c r="D9572" s="25"/>
      <c r="E9572" s="77"/>
      <c r="F9572" s="88"/>
      <c r="G9572" s="88"/>
      <c r="H9572" s="89"/>
      <c r="K9572" s="58"/>
      <c r="L9572" s="91"/>
      <c r="M9572" s="78"/>
    </row>
    <row r="9573">
      <c r="C9573" s="85"/>
      <c r="D9573" s="25"/>
      <c r="E9573" s="77"/>
      <c r="F9573" s="88"/>
      <c r="G9573" s="88"/>
      <c r="H9573" s="89"/>
      <c r="K9573" s="58"/>
      <c r="L9573" s="91"/>
      <c r="M9573" s="78"/>
    </row>
    <row r="9574">
      <c r="C9574" s="85"/>
      <c r="D9574" s="25"/>
      <c r="E9574" s="77"/>
      <c r="F9574" s="88"/>
      <c r="G9574" s="88"/>
      <c r="H9574" s="89"/>
      <c r="K9574" s="58"/>
      <c r="L9574" s="91"/>
      <c r="M9574" s="78"/>
    </row>
    <row r="9575">
      <c r="C9575" s="85"/>
      <c r="D9575" s="25"/>
      <c r="E9575" s="77"/>
      <c r="F9575" s="88"/>
      <c r="G9575" s="88"/>
      <c r="H9575" s="89"/>
      <c r="K9575" s="58"/>
      <c r="L9575" s="91"/>
      <c r="M9575" s="78"/>
    </row>
    <row r="9576">
      <c r="C9576" s="85"/>
      <c r="D9576" s="25"/>
      <c r="E9576" s="77"/>
      <c r="F9576" s="88"/>
      <c r="G9576" s="88"/>
      <c r="H9576" s="89"/>
      <c r="K9576" s="58"/>
      <c r="L9576" s="91"/>
      <c r="M9576" s="78"/>
    </row>
    <row r="9577">
      <c r="C9577" s="85"/>
      <c r="D9577" s="25"/>
      <c r="E9577" s="77"/>
      <c r="F9577" s="88"/>
      <c r="G9577" s="88"/>
      <c r="H9577" s="89"/>
      <c r="K9577" s="58"/>
      <c r="L9577" s="91"/>
      <c r="M9577" s="78"/>
    </row>
    <row r="9578">
      <c r="C9578" s="85"/>
      <c r="D9578" s="25"/>
      <c r="E9578" s="77"/>
      <c r="F9578" s="88"/>
      <c r="G9578" s="88"/>
      <c r="H9578" s="89"/>
      <c r="K9578" s="58"/>
      <c r="L9578" s="91"/>
      <c r="M9578" s="78"/>
    </row>
    <row r="9579">
      <c r="C9579" s="85"/>
      <c r="D9579" s="25"/>
      <c r="E9579" s="77"/>
      <c r="F9579" s="88"/>
      <c r="G9579" s="88"/>
      <c r="H9579" s="89"/>
      <c r="K9579" s="58"/>
      <c r="L9579" s="91"/>
      <c r="M9579" s="78"/>
    </row>
    <row r="9580">
      <c r="C9580" s="85"/>
      <c r="D9580" s="25"/>
      <c r="E9580" s="77"/>
      <c r="F9580" s="88"/>
      <c r="G9580" s="88"/>
      <c r="H9580" s="89"/>
      <c r="K9580" s="58"/>
      <c r="L9580" s="91"/>
      <c r="M9580" s="78"/>
    </row>
    <row r="9581">
      <c r="C9581" s="85"/>
      <c r="D9581" s="25"/>
      <c r="E9581" s="77"/>
      <c r="F9581" s="88"/>
      <c r="G9581" s="88"/>
      <c r="H9581" s="89"/>
      <c r="K9581" s="58"/>
      <c r="L9581" s="91"/>
      <c r="M9581" s="78"/>
    </row>
    <row r="9582">
      <c r="C9582" s="85"/>
      <c r="D9582" s="25"/>
      <c r="E9582" s="77"/>
      <c r="F9582" s="88"/>
      <c r="G9582" s="88"/>
      <c r="H9582" s="89"/>
      <c r="K9582" s="58"/>
      <c r="L9582" s="91"/>
      <c r="M9582" s="78"/>
    </row>
    <row r="9583">
      <c r="C9583" s="85"/>
      <c r="D9583" s="25"/>
      <c r="E9583" s="77"/>
      <c r="F9583" s="88"/>
      <c r="G9583" s="88"/>
      <c r="H9583" s="89"/>
      <c r="K9583" s="58"/>
      <c r="L9583" s="91"/>
      <c r="M9583" s="78"/>
    </row>
    <row r="9584">
      <c r="C9584" s="85"/>
      <c r="D9584" s="25"/>
      <c r="E9584" s="77"/>
      <c r="F9584" s="88"/>
      <c r="G9584" s="88"/>
      <c r="H9584" s="89"/>
      <c r="K9584" s="58"/>
      <c r="L9584" s="91"/>
      <c r="M9584" s="78"/>
    </row>
    <row r="9585">
      <c r="C9585" s="85"/>
      <c r="D9585" s="25"/>
      <c r="E9585" s="77"/>
      <c r="F9585" s="88"/>
      <c r="G9585" s="88"/>
      <c r="H9585" s="89"/>
      <c r="K9585" s="58"/>
      <c r="L9585" s="91"/>
      <c r="M9585" s="78"/>
    </row>
    <row r="9586">
      <c r="C9586" s="85"/>
      <c r="D9586" s="25"/>
      <c r="E9586" s="77"/>
      <c r="F9586" s="88"/>
      <c r="G9586" s="88"/>
      <c r="H9586" s="89"/>
      <c r="K9586" s="58"/>
      <c r="L9586" s="91"/>
      <c r="M9586" s="78"/>
    </row>
    <row r="9587">
      <c r="C9587" s="85"/>
      <c r="D9587" s="25"/>
      <c r="E9587" s="77"/>
      <c r="F9587" s="88"/>
      <c r="G9587" s="88"/>
      <c r="H9587" s="89"/>
      <c r="K9587" s="58"/>
      <c r="L9587" s="91"/>
      <c r="M9587" s="78"/>
    </row>
    <row r="9588">
      <c r="C9588" s="85"/>
      <c r="D9588" s="25"/>
      <c r="E9588" s="77"/>
      <c r="F9588" s="88"/>
      <c r="G9588" s="88"/>
      <c r="H9588" s="89"/>
      <c r="K9588" s="58"/>
      <c r="L9588" s="91"/>
      <c r="M9588" s="78"/>
    </row>
    <row r="9589">
      <c r="C9589" s="85"/>
      <c r="D9589" s="25"/>
      <c r="E9589" s="77"/>
      <c r="F9589" s="88"/>
      <c r="G9589" s="88"/>
      <c r="H9589" s="89"/>
      <c r="K9589" s="58"/>
      <c r="L9589" s="91"/>
      <c r="M9589" s="78"/>
    </row>
    <row r="9590">
      <c r="C9590" s="85"/>
      <c r="D9590" s="25"/>
      <c r="E9590" s="77"/>
      <c r="F9590" s="88"/>
      <c r="G9590" s="88"/>
      <c r="H9590" s="89"/>
      <c r="K9590" s="58"/>
      <c r="L9590" s="91"/>
      <c r="M9590" s="78"/>
    </row>
    <row r="9591">
      <c r="C9591" s="85"/>
      <c r="D9591" s="25"/>
      <c r="E9591" s="77"/>
      <c r="F9591" s="88"/>
      <c r="G9591" s="88"/>
      <c r="H9591" s="89"/>
      <c r="K9591" s="58"/>
      <c r="L9591" s="91"/>
      <c r="M9591" s="78"/>
    </row>
    <row r="9592">
      <c r="C9592" s="85"/>
      <c r="D9592" s="25"/>
      <c r="E9592" s="77"/>
      <c r="F9592" s="88"/>
      <c r="G9592" s="88"/>
      <c r="H9592" s="89"/>
      <c r="K9592" s="58"/>
      <c r="L9592" s="91"/>
      <c r="M9592" s="78"/>
    </row>
    <row r="9593">
      <c r="C9593" s="85"/>
      <c r="D9593" s="25"/>
      <c r="E9593" s="77"/>
      <c r="F9593" s="88"/>
      <c r="G9593" s="88"/>
      <c r="H9593" s="89"/>
      <c r="K9593" s="58"/>
      <c r="L9593" s="91"/>
      <c r="M9593" s="78"/>
    </row>
    <row r="9594">
      <c r="C9594" s="85"/>
      <c r="D9594" s="25"/>
      <c r="E9594" s="77"/>
      <c r="F9594" s="88"/>
      <c r="G9594" s="88"/>
      <c r="H9594" s="89"/>
      <c r="K9594" s="58"/>
      <c r="L9594" s="91"/>
      <c r="M9594" s="78"/>
    </row>
    <row r="9595">
      <c r="C9595" s="85"/>
      <c r="D9595" s="25"/>
      <c r="E9595" s="77"/>
      <c r="F9595" s="88"/>
      <c r="G9595" s="88"/>
      <c r="H9595" s="89"/>
      <c r="K9595" s="58"/>
      <c r="L9595" s="91"/>
      <c r="M9595" s="78"/>
    </row>
    <row r="9596">
      <c r="C9596" s="85"/>
      <c r="D9596" s="25"/>
      <c r="E9596" s="77"/>
      <c r="F9596" s="88"/>
      <c r="G9596" s="88"/>
      <c r="H9596" s="89"/>
      <c r="K9596" s="58"/>
      <c r="L9596" s="91"/>
      <c r="M9596" s="78"/>
    </row>
    <row r="9597">
      <c r="C9597" s="85"/>
      <c r="D9597" s="25"/>
      <c r="E9597" s="77"/>
      <c r="F9597" s="88"/>
      <c r="G9597" s="88"/>
      <c r="H9597" s="89"/>
      <c r="K9597" s="58"/>
      <c r="L9597" s="91"/>
      <c r="M9597" s="78"/>
    </row>
    <row r="9598">
      <c r="C9598" s="85"/>
      <c r="D9598" s="25"/>
      <c r="E9598" s="77"/>
      <c r="F9598" s="88"/>
      <c r="G9598" s="88"/>
      <c r="H9598" s="89"/>
      <c r="K9598" s="58"/>
      <c r="L9598" s="91"/>
      <c r="M9598" s="78"/>
    </row>
    <row r="9599">
      <c r="C9599" s="85"/>
      <c r="D9599" s="25"/>
      <c r="E9599" s="77"/>
      <c r="F9599" s="88"/>
      <c r="G9599" s="88"/>
      <c r="H9599" s="89"/>
      <c r="K9599" s="58"/>
      <c r="L9599" s="91"/>
      <c r="M9599" s="78"/>
    </row>
    <row r="9600">
      <c r="C9600" s="85"/>
      <c r="D9600" s="25"/>
      <c r="E9600" s="77"/>
      <c r="F9600" s="88"/>
      <c r="G9600" s="88"/>
      <c r="H9600" s="89"/>
      <c r="K9600" s="58"/>
      <c r="L9600" s="91"/>
      <c r="M9600" s="78"/>
    </row>
    <row r="9601">
      <c r="C9601" s="85"/>
      <c r="D9601" s="25"/>
      <c r="E9601" s="77"/>
      <c r="F9601" s="88"/>
      <c r="G9601" s="88"/>
      <c r="H9601" s="89"/>
      <c r="K9601" s="58"/>
      <c r="L9601" s="91"/>
      <c r="M9601" s="78"/>
    </row>
    <row r="9602">
      <c r="C9602" s="85"/>
      <c r="D9602" s="25"/>
      <c r="E9602" s="77"/>
      <c r="F9602" s="88"/>
      <c r="G9602" s="88"/>
      <c r="H9602" s="89"/>
      <c r="K9602" s="58"/>
      <c r="L9602" s="91"/>
      <c r="M9602" s="78"/>
    </row>
    <row r="9603">
      <c r="C9603" s="85"/>
      <c r="D9603" s="25"/>
      <c r="E9603" s="77"/>
      <c r="F9603" s="88"/>
      <c r="G9603" s="88"/>
      <c r="H9603" s="89"/>
      <c r="K9603" s="58"/>
      <c r="L9603" s="91"/>
      <c r="M9603" s="78"/>
    </row>
    <row r="9604">
      <c r="C9604" s="85"/>
      <c r="D9604" s="25"/>
      <c r="E9604" s="77"/>
      <c r="F9604" s="88"/>
      <c r="G9604" s="88"/>
      <c r="H9604" s="89"/>
      <c r="K9604" s="58"/>
      <c r="L9604" s="91"/>
      <c r="M9604" s="78"/>
    </row>
    <row r="9605">
      <c r="C9605" s="85"/>
      <c r="D9605" s="25"/>
      <c r="E9605" s="77"/>
      <c r="F9605" s="88"/>
      <c r="G9605" s="88"/>
      <c r="H9605" s="89"/>
      <c r="K9605" s="58"/>
      <c r="L9605" s="91"/>
      <c r="M9605" s="78"/>
    </row>
    <row r="9606">
      <c r="C9606" s="85"/>
      <c r="D9606" s="25"/>
      <c r="E9606" s="77"/>
      <c r="F9606" s="88"/>
      <c r="G9606" s="88"/>
      <c r="H9606" s="89"/>
      <c r="K9606" s="58"/>
      <c r="L9606" s="91"/>
      <c r="M9606" s="78"/>
    </row>
    <row r="9607">
      <c r="C9607" s="85"/>
      <c r="D9607" s="25"/>
      <c r="E9607" s="77"/>
      <c r="F9607" s="88"/>
      <c r="G9607" s="88"/>
      <c r="H9607" s="89"/>
      <c r="K9607" s="58"/>
      <c r="L9607" s="91"/>
      <c r="M9607" s="78"/>
    </row>
    <row r="9608">
      <c r="C9608" s="85"/>
      <c r="D9608" s="25"/>
      <c r="E9608" s="77"/>
      <c r="F9608" s="88"/>
      <c r="G9608" s="88"/>
      <c r="H9608" s="89"/>
      <c r="K9608" s="58"/>
      <c r="L9608" s="91"/>
      <c r="M9608" s="78"/>
    </row>
    <row r="9609">
      <c r="C9609" s="85"/>
      <c r="D9609" s="25"/>
      <c r="E9609" s="77"/>
      <c r="F9609" s="88"/>
      <c r="G9609" s="88"/>
      <c r="H9609" s="89"/>
      <c r="K9609" s="58"/>
      <c r="L9609" s="91"/>
      <c r="M9609" s="78"/>
    </row>
    <row r="9610">
      <c r="C9610" s="85"/>
      <c r="D9610" s="25"/>
      <c r="E9610" s="77"/>
      <c r="F9610" s="88"/>
      <c r="G9610" s="88"/>
      <c r="H9610" s="89"/>
      <c r="K9610" s="58"/>
      <c r="L9610" s="91"/>
      <c r="M9610" s="78"/>
    </row>
    <row r="9611">
      <c r="C9611" s="85"/>
      <c r="D9611" s="25"/>
      <c r="E9611" s="77"/>
      <c r="F9611" s="88"/>
      <c r="G9611" s="88"/>
      <c r="H9611" s="89"/>
      <c r="K9611" s="58"/>
      <c r="L9611" s="91"/>
      <c r="M9611" s="78"/>
    </row>
    <row r="9612">
      <c r="C9612" s="85"/>
      <c r="D9612" s="25"/>
      <c r="E9612" s="77"/>
      <c r="F9612" s="88"/>
      <c r="G9612" s="88"/>
      <c r="H9612" s="89"/>
      <c r="K9612" s="58"/>
      <c r="L9612" s="91"/>
      <c r="M9612" s="78"/>
    </row>
    <row r="9613">
      <c r="C9613" s="85"/>
      <c r="D9613" s="25"/>
      <c r="E9613" s="77"/>
      <c r="F9613" s="88"/>
      <c r="G9613" s="88"/>
      <c r="H9613" s="89"/>
      <c r="K9613" s="58"/>
      <c r="L9613" s="91"/>
      <c r="M9613" s="78"/>
    </row>
    <row r="9614">
      <c r="C9614" s="85"/>
      <c r="D9614" s="25"/>
      <c r="E9614" s="77"/>
      <c r="F9614" s="88"/>
      <c r="G9614" s="88"/>
      <c r="H9614" s="89"/>
      <c r="K9614" s="58"/>
      <c r="L9614" s="91"/>
      <c r="M9614" s="78"/>
    </row>
    <row r="9615">
      <c r="C9615" s="85"/>
      <c r="D9615" s="25"/>
      <c r="E9615" s="77"/>
      <c r="F9615" s="88"/>
      <c r="G9615" s="88"/>
      <c r="H9615" s="89"/>
      <c r="K9615" s="58"/>
      <c r="L9615" s="91"/>
      <c r="M9615" s="78"/>
    </row>
    <row r="9616">
      <c r="C9616" s="85"/>
      <c r="D9616" s="25"/>
      <c r="E9616" s="77"/>
      <c r="F9616" s="88"/>
      <c r="G9616" s="88"/>
      <c r="H9616" s="89"/>
      <c r="K9616" s="58"/>
      <c r="L9616" s="91"/>
      <c r="M9616" s="78"/>
    </row>
    <row r="9617">
      <c r="C9617" s="85"/>
      <c r="D9617" s="25"/>
      <c r="E9617" s="77"/>
      <c r="F9617" s="88"/>
      <c r="G9617" s="88"/>
      <c r="H9617" s="89"/>
      <c r="K9617" s="58"/>
      <c r="L9617" s="91"/>
      <c r="M9617" s="78"/>
    </row>
    <row r="9618">
      <c r="C9618" s="85"/>
      <c r="D9618" s="25"/>
      <c r="E9618" s="77"/>
      <c r="F9618" s="88"/>
      <c r="G9618" s="88"/>
      <c r="H9618" s="89"/>
      <c r="K9618" s="58"/>
      <c r="L9618" s="91"/>
      <c r="M9618" s="78"/>
    </row>
    <row r="9619">
      <c r="C9619" s="85"/>
      <c r="D9619" s="25"/>
      <c r="E9619" s="77"/>
      <c r="F9619" s="88"/>
      <c r="G9619" s="88"/>
      <c r="H9619" s="89"/>
      <c r="K9619" s="58"/>
      <c r="L9619" s="91"/>
      <c r="M9619" s="78"/>
    </row>
    <row r="9620">
      <c r="C9620" s="85"/>
      <c r="D9620" s="25"/>
      <c r="E9620" s="77"/>
      <c r="F9620" s="88"/>
      <c r="G9620" s="88"/>
      <c r="H9620" s="89"/>
      <c r="K9620" s="58"/>
      <c r="L9620" s="91"/>
      <c r="M9620" s="78"/>
    </row>
    <row r="9621">
      <c r="C9621" s="85"/>
      <c r="D9621" s="25"/>
      <c r="E9621" s="77"/>
      <c r="F9621" s="88"/>
      <c r="G9621" s="88"/>
      <c r="H9621" s="89"/>
      <c r="K9621" s="58"/>
      <c r="L9621" s="91"/>
      <c r="M9621" s="78"/>
    </row>
    <row r="9622">
      <c r="C9622" s="85"/>
      <c r="D9622" s="25"/>
      <c r="E9622" s="77"/>
      <c r="F9622" s="88"/>
      <c r="G9622" s="88"/>
      <c r="H9622" s="89"/>
      <c r="K9622" s="58"/>
      <c r="L9622" s="91"/>
      <c r="M9622" s="78"/>
    </row>
    <row r="9623">
      <c r="C9623" s="85"/>
      <c r="D9623" s="25"/>
      <c r="E9623" s="77"/>
      <c r="F9623" s="88"/>
      <c r="G9623" s="88"/>
      <c r="H9623" s="89"/>
      <c r="K9623" s="58"/>
      <c r="L9623" s="91"/>
      <c r="M9623" s="78"/>
    </row>
    <row r="9624">
      <c r="C9624" s="85"/>
      <c r="D9624" s="25"/>
      <c r="E9624" s="77"/>
      <c r="F9624" s="88"/>
      <c r="G9624" s="88"/>
      <c r="H9624" s="89"/>
      <c r="K9624" s="58"/>
      <c r="L9624" s="91"/>
      <c r="M9624" s="78"/>
    </row>
    <row r="9625">
      <c r="C9625" s="85"/>
      <c r="D9625" s="25"/>
      <c r="E9625" s="77"/>
      <c r="F9625" s="88"/>
      <c r="G9625" s="88"/>
      <c r="H9625" s="89"/>
      <c r="K9625" s="58"/>
      <c r="L9625" s="91"/>
      <c r="M9625" s="78"/>
    </row>
    <row r="9626">
      <c r="C9626" s="85"/>
      <c r="D9626" s="25"/>
      <c r="E9626" s="77"/>
      <c r="F9626" s="88"/>
      <c r="G9626" s="88"/>
      <c r="H9626" s="89"/>
      <c r="K9626" s="58"/>
      <c r="L9626" s="91"/>
      <c r="M9626" s="78"/>
    </row>
    <row r="9627">
      <c r="C9627" s="85"/>
      <c r="D9627" s="25"/>
      <c r="E9627" s="77"/>
      <c r="F9627" s="88"/>
      <c r="G9627" s="88"/>
      <c r="H9627" s="89"/>
      <c r="K9627" s="58"/>
      <c r="L9627" s="91"/>
      <c r="M9627" s="78"/>
    </row>
    <row r="9628">
      <c r="C9628" s="85"/>
      <c r="D9628" s="25"/>
      <c r="E9628" s="77"/>
      <c r="F9628" s="88"/>
      <c r="G9628" s="88"/>
      <c r="H9628" s="89"/>
      <c r="K9628" s="58"/>
      <c r="L9628" s="91"/>
      <c r="M9628" s="78"/>
    </row>
    <row r="9629">
      <c r="C9629" s="85"/>
      <c r="D9629" s="25"/>
      <c r="E9629" s="77"/>
      <c r="F9629" s="88"/>
      <c r="G9629" s="88"/>
      <c r="H9629" s="89"/>
      <c r="K9629" s="58"/>
      <c r="L9629" s="91"/>
      <c r="M9629" s="78"/>
    </row>
    <row r="9630">
      <c r="C9630" s="85"/>
      <c r="D9630" s="25"/>
      <c r="E9630" s="77"/>
      <c r="F9630" s="88"/>
      <c r="G9630" s="88"/>
      <c r="H9630" s="89"/>
      <c r="K9630" s="58"/>
      <c r="L9630" s="91"/>
      <c r="M9630" s="78"/>
    </row>
    <row r="9631">
      <c r="C9631" s="85"/>
      <c r="D9631" s="25"/>
      <c r="E9631" s="77"/>
      <c r="F9631" s="88"/>
      <c r="G9631" s="88"/>
      <c r="H9631" s="89"/>
      <c r="K9631" s="58"/>
      <c r="L9631" s="91"/>
      <c r="M9631" s="78"/>
    </row>
    <row r="9632">
      <c r="C9632" s="85"/>
      <c r="D9632" s="25"/>
      <c r="E9632" s="77"/>
      <c r="F9632" s="88"/>
      <c r="G9632" s="88"/>
      <c r="H9632" s="89"/>
      <c r="K9632" s="58"/>
      <c r="L9632" s="91"/>
      <c r="M9632" s="78"/>
    </row>
    <row r="9633">
      <c r="C9633" s="85"/>
      <c r="D9633" s="25"/>
      <c r="E9633" s="77"/>
      <c r="F9633" s="88"/>
      <c r="G9633" s="88"/>
      <c r="H9633" s="89"/>
      <c r="K9633" s="58"/>
      <c r="L9633" s="91"/>
      <c r="M9633" s="78"/>
    </row>
    <row r="9634">
      <c r="C9634" s="85"/>
      <c r="D9634" s="25"/>
      <c r="E9634" s="77"/>
      <c r="F9634" s="88"/>
      <c r="G9634" s="88"/>
      <c r="H9634" s="89"/>
      <c r="K9634" s="58"/>
      <c r="L9634" s="91"/>
      <c r="M9634" s="78"/>
    </row>
    <row r="9635">
      <c r="C9635" s="85"/>
      <c r="D9635" s="25"/>
      <c r="E9635" s="77"/>
      <c r="F9635" s="88"/>
      <c r="G9635" s="88"/>
      <c r="H9635" s="89"/>
      <c r="K9635" s="58"/>
      <c r="L9635" s="91"/>
      <c r="M9635" s="78"/>
    </row>
    <row r="9636">
      <c r="C9636" s="85"/>
      <c r="D9636" s="25"/>
      <c r="E9636" s="77"/>
      <c r="F9636" s="88"/>
      <c r="G9636" s="88"/>
      <c r="H9636" s="89"/>
      <c r="K9636" s="58"/>
      <c r="L9636" s="91"/>
      <c r="M9636" s="78"/>
    </row>
    <row r="9637">
      <c r="C9637" s="85"/>
      <c r="D9637" s="25"/>
      <c r="E9637" s="77"/>
      <c r="F9637" s="88"/>
      <c r="G9637" s="88"/>
      <c r="H9637" s="89"/>
      <c r="K9637" s="58"/>
      <c r="L9637" s="91"/>
      <c r="M9637" s="78"/>
    </row>
    <row r="9638">
      <c r="C9638" s="85"/>
      <c r="D9638" s="25"/>
      <c r="E9638" s="77"/>
      <c r="F9638" s="88"/>
      <c r="G9638" s="88"/>
      <c r="H9638" s="89"/>
      <c r="K9638" s="58"/>
      <c r="L9638" s="91"/>
      <c r="M9638" s="78"/>
    </row>
    <row r="9639">
      <c r="C9639" s="85"/>
      <c r="D9639" s="25"/>
      <c r="E9639" s="77"/>
      <c r="F9639" s="88"/>
      <c r="G9639" s="88"/>
      <c r="H9639" s="89"/>
      <c r="K9639" s="58"/>
      <c r="L9639" s="91"/>
      <c r="M9639" s="78"/>
    </row>
    <row r="9640">
      <c r="C9640" s="85"/>
      <c r="D9640" s="25"/>
      <c r="E9640" s="77"/>
      <c r="F9640" s="88"/>
      <c r="G9640" s="88"/>
      <c r="H9640" s="89"/>
      <c r="K9640" s="58"/>
      <c r="L9640" s="91"/>
      <c r="M9640" s="78"/>
    </row>
    <row r="9641">
      <c r="C9641" s="85"/>
      <c r="D9641" s="25"/>
      <c r="E9641" s="77"/>
      <c r="F9641" s="88"/>
      <c r="G9641" s="88"/>
      <c r="H9641" s="89"/>
      <c r="K9641" s="58"/>
      <c r="L9641" s="91"/>
      <c r="M9641" s="78"/>
    </row>
    <row r="9642">
      <c r="C9642" s="85"/>
      <c r="D9642" s="25"/>
      <c r="E9642" s="77"/>
      <c r="F9642" s="88"/>
      <c r="G9642" s="88"/>
      <c r="H9642" s="89"/>
      <c r="K9642" s="58"/>
      <c r="L9642" s="91"/>
      <c r="M9642" s="78"/>
    </row>
    <row r="9643">
      <c r="C9643" s="85"/>
      <c r="D9643" s="25"/>
      <c r="E9643" s="77"/>
      <c r="F9643" s="88"/>
      <c r="G9643" s="88"/>
      <c r="H9643" s="89"/>
      <c r="K9643" s="58"/>
      <c r="L9643" s="91"/>
      <c r="M9643" s="78"/>
    </row>
    <row r="9644">
      <c r="C9644" s="85"/>
      <c r="D9644" s="25"/>
      <c r="E9644" s="77"/>
      <c r="F9644" s="88"/>
      <c r="G9644" s="88"/>
      <c r="H9644" s="89"/>
      <c r="K9644" s="58"/>
      <c r="L9644" s="91"/>
      <c r="M9644" s="78"/>
    </row>
    <row r="9645">
      <c r="C9645" s="85"/>
      <c r="D9645" s="25"/>
      <c r="E9645" s="77"/>
      <c r="F9645" s="88"/>
      <c r="G9645" s="88"/>
      <c r="H9645" s="89"/>
      <c r="K9645" s="58"/>
      <c r="L9645" s="91"/>
      <c r="M9645" s="78"/>
    </row>
    <row r="9646">
      <c r="C9646" s="85"/>
      <c r="D9646" s="25"/>
      <c r="E9646" s="77"/>
      <c r="F9646" s="88"/>
      <c r="G9646" s="88"/>
      <c r="H9646" s="89"/>
      <c r="K9646" s="58"/>
      <c r="L9646" s="91"/>
      <c r="M9646" s="78"/>
    </row>
    <row r="9647">
      <c r="C9647" s="85"/>
      <c r="D9647" s="25"/>
      <c r="E9647" s="77"/>
      <c r="F9647" s="88"/>
      <c r="G9647" s="88"/>
      <c r="H9647" s="89"/>
      <c r="K9647" s="58"/>
      <c r="L9647" s="91"/>
      <c r="M9647" s="78"/>
    </row>
    <row r="9648">
      <c r="C9648" s="85"/>
      <c r="D9648" s="25"/>
      <c r="E9648" s="77"/>
      <c r="F9648" s="88"/>
      <c r="G9648" s="88"/>
      <c r="H9648" s="89"/>
      <c r="K9648" s="58"/>
      <c r="L9648" s="91"/>
      <c r="M9648" s="78"/>
    </row>
    <row r="9649">
      <c r="C9649" s="85"/>
      <c r="D9649" s="25"/>
      <c r="E9649" s="77"/>
      <c r="F9649" s="88"/>
      <c r="G9649" s="88"/>
      <c r="H9649" s="89"/>
      <c r="K9649" s="58"/>
      <c r="L9649" s="91"/>
      <c r="M9649" s="78"/>
    </row>
    <row r="9650">
      <c r="C9650" s="85"/>
      <c r="D9650" s="25"/>
      <c r="E9650" s="77"/>
      <c r="F9650" s="88"/>
      <c r="G9650" s="88"/>
      <c r="H9650" s="89"/>
      <c r="K9650" s="58"/>
      <c r="L9650" s="91"/>
      <c r="M9650" s="78"/>
    </row>
    <row r="9651">
      <c r="C9651" s="85"/>
      <c r="D9651" s="25"/>
      <c r="E9651" s="77"/>
      <c r="F9651" s="88"/>
      <c r="G9651" s="88"/>
      <c r="H9651" s="89"/>
      <c r="K9651" s="58"/>
      <c r="L9651" s="91"/>
      <c r="M9651" s="78"/>
    </row>
    <row r="9652">
      <c r="C9652" s="85"/>
      <c r="D9652" s="25"/>
      <c r="E9652" s="77"/>
      <c r="F9652" s="88"/>
      <c r="G9652" s="88"/>
      <c r="H9652" s="89"/>
      <c r="K9652" s="58"/>
      <c r="L9652" s="91"/>
      <c r="M9652" s="78"/>
    </row>
    <row r="9653">
      <c r="C9653" s="85"/>
      <c r="D9653" s="25"/>
      <c r="E9653" s="77"/>
      <c r="F9653" s="88"/>
      <c r="G9653" s="88"/>
      <c r="H9653" s="89"/>
      <c r="K9653" s="58"/>
      <c r="L9653" s="91"/>
      <c r="M9653" s="78"/>
    </row>
    <row r="9654">
      <c r="C9654" s="85"/>
      <c r="D9654" s="25"/>
      <c r="E9654" s="77"/>
      <c r="F9654" s="88"/>
      <c r="G9654" s="88"/>
      <c r="H9654" s="89"/>
      <c r="K9654" s="58"/>
      <c r="L9654" s="91"/>
      <c r="M9654" s="78"/>
    </row>
    <row r="9655">
      <c r="C9655" s="85"/>
      <c r="D9655" s="25"/>
      <c r="E9655" s="77"/>
      <c r="F9655" s="88"/>
      <c r="G9655" s="88"/>
      <c r="H9655" s="89"/>
      <c r="K9655" s="58"/>
      <c r="L9655" s="91"/>
      <c r="M9655" s="78"/>
    </row>
    <row r="9656">
      <c r="C9656" s="85"/>
      <c r="D9656" s="25"/>
      <c r="E9656" s="77"/>
      <c r="F9656" s="88"/>
      <c r="G9656" s="88"/>
      <c r="H9656" s="89"/>
      <c r="K9656" s="58"/>
      <c r="L9656" s="91"/>
      <c r="M9656" s="78"/>
    </row>
    <row r="9657">
      <c r="C9657" s="85"/>
      <c r="D9657" s="25"/>
      <c r="E9657" s="77"/>
      <c r="F9657" s="88"/>
      <c r="G9657" s="88"/>
      <c r="H9657" s="89"/>
      <c r="K9657" s="58"/>
      <c r="L9657" s="91"/>
      <c r="M9657" s="78"/>
    </row>
    <row r="9658">
      <c r="C9658" s="85"/>
      <c r="D9658" s="25"/>
      <c r="E9658" s="77"/>
      <c r="F9658" s="88"/>
      <c r="G9658" s="88"/>
      <c r="H9658" s="89"/>
      <c r="K9658" s="58"/>
      <c r="L9658" s="91"/>
      <c r="M9658" s="78"/>
    </row>
    <row r="9659">
      <c r="C9659" s="85"/>
      <c r="D9659" s="25"/>
      <c r="E9659" s="77"/>
      <c r="F9659" s="88"/>
      <c r="G9659" s="88"/>
      <c r="H9659" s="89"/>
      <c r="K9659" s="58"/>
      <c r="L9659" s="91"/>
      <c r="M9659" s="78"/>
    </row>
    <row r="9660">
      <c r="C9660" s="85"/>
      <c r="D9660" s="25"/>
      <c r="E9660" s="77"/>
      <c r="F9660" s="88"/>
      <c r="G9660" s="88"/>
      <c r="H9660" s="89"/>
      <c r="K9660" s="58"/>
      <c r="L9660" s="91"/>
      <c r="M9660" s="78"/>
    </row>
    <row r="9661">
      <c r="C9661" s="85"/>
      <c r="D9661" s="25"/>
      <c r="E9661" s="77"/>
      <c r="F9661" s="88"/>
      <c r="G9661" s="88"/>
      <c r="H9661" s="89"/>
      <c r="K9661" s="58"/>
      <c r="L9661" s="91"/>
      <c r="M9661" s="78"/>
    </row>
    <row r="9662">
      <c r="C9662" s="85"/>
      <c r="D9662" s="25"/>
      <c r="E9662" s="77"/>
      <c r="F9662" s="88"/>
      <c r="G9662" s="88"/>
      <c r="H9662" s="89"/>
      <c r="K9662" s="58"/>
      <c r="L9662" s="91"/>
      <c r="M9662" s="78"/>
    </row>
    <row r="9663">
      <c r="C9663" s="85"/>
      <c r="D9663" s="25"/>
      <c r="E9663" s="77"/>
      <c r="F9663" s="88"/>
      <c r="G9663" s="88"/>
      <c r="H9663" s="89"/>
      <c r="K9663" s="58"/>
      <c r="L9663" s="91"/>
      <c r="M9663" s="78"/>
    </row>
    <row r="9664">
      <c r="C9664" s="85"/>
      <c r="D9664" s="25"/>
      <c r="E9664" s="77"/>
      <c r="F9664" s="88"/>
      <c r="G9664" s="88"/>
      <c r="H9664" s="89"/>
      <c r="K9664" s="58"/>
      <c r="L9664" s="91"/>
      <c r="M9664" s="78"/>
    </row>
    <row r="9665">
      <c r="C9665" s="85"/>
      <c r="D9665" s="25"/>
      <c r="E9665" s="77"/>
      <c r="F9665" s="88"/>
      <c r="G9665" s="88"/>
      <c r="H9665" s="89"/>
      <c r="K9665" s="58"/>
      <c r="L9665" s="91"/>
      <c r="M9665" s="78"/>
    </row>
    <row r="9666">
      <c r="C9666" s="85"/>
      <c r="D9666" s="25"/>
      <c r="E9666" s="77"/>
      <c r="F9666" s="88"/>
      <c r="G9666" s="88"/>
      <c r="H9666" s="89"/>
      <c r="K9666" s="58"/>
      <c r="L9666" s="91"/>
      <c r="M9666" s="78"/>
    </row>
    <row r="9667">
      <c r="C9667" s="85"/>
      <c r="D9667" s="25"/>
      <c r="E9667" s="77"/>
      <c r="F9667" s="88"/>
      <c r="G9667" s="88"/>
      <c r="H9667" s="89"/>
      <c r="K9667" s="58"/>
      <c r="L9667" s="91"/>
      <c r="M9667" s="78"/>
    </row>
    <row r="9668">
      <c r="C9668" s="85"/>
      <c r="D9668" s="25"/>
      <c r="E9668" s="77"/>
      <c r="F9668" s="88"/>
      <c r="G9668" s="88"/>
      <c r="H9668" s="89"/>
      <c r="K9668" s="58"/>
      <c r="L9668" s="91"/>
      <c r="M9668" s="78"/>
    </row>
    <row r="9669">
      <c r="C9669" s="85"/>
      <c r="D9669" s="25"/>
      <c r="E9669" s="77"/>
      <c r="F9669" s="88"/>
      <c r="G9669" s="88"/>
      <c r="H9669" s="89"/>
      <c r="K9669" s="58"/>
      <c r="L9669" s="91"/>
      <c r="M9669" s="78"/>
    </row>
    <row r="9670">
      <c r="C9670" s="85"/>
      <c r="D9670" s="25"/>
      <c r="E9670" s="77"/>
      <c r="F9670" s="88"/>
      <c r="G9670" s="88"/>
      <c r="H9670" s="89"/>
      <c r="K9670" s="58"/>
      <c r="L9670" s="91"/>
      <c r="M9670" s="78"/>
    </row>
    <row r="9671">
      <c r="C9671" s="85"/>
      <c r="D9671" s="25"/>
      <c r="E9671" s="77"/>
      <c r="F9671" s="88"/>
      <c r="G9671" s="88"/>
      <c r="H9671" s="89"/>
      <c r="K9671" s="58"/>
      <c r="L9671" s="91"/>
      <c r="M9671" s="78"/>
    </row>
    <row r="9672">
      <c r="C9672" s="85"/>
      <c r="D9672" s="25"/>
      <c r="E9672" s="77"/>
      <c r="F9672" s="88"/>
      <c r="G9672" s="88"/>
      <c r="H9672" s="89"/>
      <c r="K9672" s="58"/>
      <c r="L9672" s="91"/>
      <c r="M9672" s="78"/>
    </row>
    <row r="9673">
      <c r="C9673" s="85"/>
      <c r="D9673" s="25"/>
      <c r="E9673" s="77"/>
      <c r="F9673" s="88"/>
      <c r="G9673" s="88"/>
      <c r="H9673" s="89"/>
      <c r="K9673" s="58"/>
      <c r="L9673" s="91"/>
      <c r="M9673" s="78"/>
    </row>
    <row r="9674">
      <c r="C9674" s="85"/>
      <c r="D9674" s="25"/>
      <c r="E9674" s="77"/>
      <c r="F9674" s="88"/>
      <c r="G9674" s="88"/>
      <c r="H9674" s="89"/>
      <c r="K9674" s="58"/>
      <c r="L9674" s="91"/>
      <c r="M9674" s="78"/>
    </row>
    <row r="9675">
      <c r="C9675" s="85"/>
      <c r="D9675" s="25"/>
      <c r="E9675" s="77"/>
      <c r="F9675" s="88"/>
      <c r="G9675" s="88"/>
      <c r="H9675" s="89"/>
      <c r="K9675" s="58"/>
      <c r="L9675" s="91"/>
      <c r="M9675" s="78"/>
    </row>
    <row r="9676">
      <c r="C9676" s="85"/>
      <c r="D9676" s="25"/>
      <c r="E9676" s="77"/>
      <c r="F9676" s="88"/>
      <c r="G9676" s="88"/>
      <c r="H9676" s="89"/>
      <c r="K9676" s="58"/>
      <c r="L9676" s="91"/>
      <c r="M9676" s="78"/>
    </row>
    <row r="9677">
      <c r="C9677" s="85"/>
      <c r="D9677" s="25"/>
      <c r="E9677" s="77"/>
      <c r="F9677" s="88"/>
      <c r="G9677" s="88"/>
      <c r="H9677" s="89"/>
      <c r="K9677" s="58"/>
      <c r="L9677" s="91"/>
      <c r="M9677" s="78"/>
    </row>
    <row r="9678">
      <c r="C9678" s="85"/>
      <c r="D9678" s="25"/>
      <c r="E9678" s="77"/>
      <c r="F9678" s="88"/>
      <c r="G9678" s="88"/>
      <c r="H9678" s="89"/>
      <c r="K9678" s="58"/>
      <c r="L9678" s="91"/>
      <c r="M9678" s="78"/>
    </row>
    <row r="9679">
      <c r="C9679" s="85"/>
      <c r="D9679" s="25"/>
      <c r="E9679" s="77"/>
      <c r="F9679" s="88"/>
      <c r="G9679" s="88"/>
      <c r="H9679" s="89"/>
      <c r="K9679" s="58"/>
      <c r="L9679" s="91"/>
      <c r="M9679" s="78"/>
    </row>
    <row r="9680">
      <c r="C9680" s="85"/>
      <c r="D9680" s="25"/>
      <c r="E9680" s="77"/>
      <c r="F9680" s="88"/>
      <c r="G9680" s="88"/>
      <c r="H9680" s="89"/>
      <c r="K9680" s="58"/>
      <c r="L9680" s="91"/>
      <c r="M9680" s="78"/>
    </row>
    <row r="9681">
      <c r="C9681" s="85"/>
      <c r="D9681" s="25"/>
      <c r="E9681" s="77"/>
      <c r="F9681" s="88"/>
      <c r="G9681" s="88"/>
      <c r="H9681" s="89"/>
      <c r="K9681" s="58"/>
      <c r="L9681" s="91"/>
      <c r="M9681" s="78"/>
    </row>
    <row r="9682">
      <c r="C9682" s="85"/>
      <c r="D9682" s="25"/>
      <c r="E9682" s="77"/>
      <c r="F9682" s="88"/>
      <c r="G9682" s="88"/>
      <c r="H9682" s="89"/>
      <c r="K9682" s="58"/>
      <c r="L9682" s="91"/>
      <c r="M9682" s="78"/>
    </row>
    <row r="9683">
      <c r="C9683" s="85"/>
      <c r="D9683" s="25"/>
      <c r="E9683" s="77"/>
      <c r="F9683" s="88"/>
      <c r="G9683" s="88"/>
      <c r="H9683" s="89"/>
      <c r="K9683" s="58"/>
      <c r="L9683" s="91"/>
      <c r="M9683" s="78"/>
    </row>
    <row r="9684">
      <c r="C9684" s="85"/>
      <c r="D9684" s="25"/>
      <c r="E9684" s="77"/>
      <c r="F9684" s="88"/>
      <c r="G9684" s="88"/>
      <c r="H9684" s="89"/>
      <c r="K9684" s="58"/>
      <c r="L9684" s="91"/>
      <c r="M9684" s="78"/>
    </row>
    <row r="9685">
      <c r="C9685" s="85"/>
      <c r="D9685" s="25"/>
      <c r="E9685" s="77"/>
      <c r="F9685" s="88"/>
      <c r="G9685" s="88"/>
      <c r="H9685" s="89"/>
      <c r="K9685" s="58"/>
      <c r="L9685" s="91"/>
      <c r="M9685" s="78"/>
    </row>
    <row r="9686">
      <c r="C9686" s="85"/>
      <c r="D9686" s="25"/>
      <c r="E9686" s="77"/>
      <c r="F9686" s="88"/>
      <c r="G9686" s="88"/>
      <c r="H9686" s="89"/>
      <c r="K9686" s="58"/>
      <c r="L9686" s="91"/>
      <c r="M9686" s="78"/>
    </row>
    <row r="9687">
      <c r="C9687" s="85"/>
      <c r="D9687" s="25"/>
      <c r="E9687" s="77"/>
      <c r="F9687" s="88"/>
      <c r="G9687" s="88"/>
      <c r="H9687" s="89"/>
      <c r="K9687" s="58"/>
      <c r="L9687" s="91"/>
      <c r="M9687" s="78"/>
    </row>
    <row r="9688">
      <c r="C9688" s="85"/>
      <c r="D9688" s="25"/>
      <c r="E9688" s="77"/>
      <c r="F9688" s="88"/>
      <c r="G9688" s="88"/>
      <c r="H9688" s="89"/>
      <c r="K9688" s="58"/>
      <c r="L9688" s="91"/>
      <c r="M9688" s="78"/>
    </row>
    <row r="9689">
      <c r="C9689" s="85"/>
      <c r="D9689" s="25"/>
      <c r="E9689" s="77"/>
      <c r="F9689" s="88"/>
      <c r="G9689" s="88"/>
      <c r="H9689" s="89"/>
      <c r="K9689" s="58"/>
      <c r="L9689" s="91"/>
      <c r="M9689" s="78"/>
    </row>
    <row r="9690">
      <c r="C9690" s="85"/>
      <c r="D9690" s="25"/>
      <c r="E9690" s="77"/>
      <c r="F9690" s="88"/>
      <c r="G9690" s="88"/>
      <c r="H9690" s="89"/>
      <c r="K9690" s="58"/>
      <c r="L9690" s="91"/>
      <c r="M9690" s="78"/>
    </row>
    <row r="9691">
      <c r="C9691" s="85"/>
      <c r="D9691" s="25"/>
      <c r="E9691" s="77"/>
      <c r="F9691" s="88"/>
      <c r="G9691" s="88"/>
      <c r="H9691" s="89"/>
      <c r="K9691" s="58"/>
      <c r="L9691" s="91"/>
      <c r="M9691" s="78"/>
    </row>
    <row r="9692">
      <c r="C9692" s="85"/>
      <c r="D9692" s="25"/>
      <c r="E9692" s="77"/>
      <c r="F9692" s="88"/>
      <c r="G9692" s="88"/>
      <c r="H9692" s="89"/>
      <c r="K9692" s="58"/>
      <c r="L9692" s="91"/>
      <c r="M9692" s="78"/>
    </row>
    <row r="9693">
      <c r="C9693" s="85"/>
      <c r="D9693" s="25"/>
      <c r="E9693" s="77"/>
      <c r="F9693" s="88"/>
      <c r="G9693" s="88"/>
      <c r="H9693" s="89"/>
      <c r="K9693" s="58"/>
      <c r="L9693" s="91"/>
      <c r="M9693" s="78"/>
    </row>
    <row r="9694">
      <c r="C9694" s="85"/>
      <c r="D9694" s="25"/>
      <c r="E9694" s="77"/>
      <c r="F9694" s="88"/>
      <c r="G9694" s="88"/>
      <c r="H9694" s="89"/>
      <c r="K9694" s="58"/>
      <c r="L9694" s="91"/>
      <c r="M9694" s="78"/>
    </row>
    <row r="9695">
      <c r="C9695" s="85"/>
      <c r="D9695" s="25"/>
      <c r="E9695" s="77"/>
      <c r="F9695" s="88"/>
      <c r="G9695" s="88"/>
      <c r="H9695" s="89"/>
      <c r="K9695" s="58"/>
      <c r="L9695" s="91"/>
      <c r="M9695" s="78"/>
    </row>
    <row r="9696">
      <c r="C9696" s="85"/>
      <c r="D9696" s="25"/>
      <c r="E9696" s="77"/>
      <c r="F9696" s="88"/>
      <c r="G9696" s="88"/>
      <c r="H9696" s="89"/>
      <c r="K9696" s="58"/>
      <c r="L9696" s="91"/>
      <c r="M9696" s="78"/>
    </row>
    <row r="9697">
      <c r="C9697" s="85"/>
      <c r="D9697" s="25"/>
      <c r="E9697" s="77"/>
      <c r="F9697" s="88"/>
      <c r="G9697" s="88"/>
      <c r="H9697" s="89"/>
      <c r="K9697" s="58"/>
      <c r="L9697" s="91"/>
      <c r="M9697" s="78"/>
    </row>
    <row r="9698">
      <c r="C9698" s="85"/>
      <c r="D9698" s="25"/>
      <c r="E9698" s="77"/>
      <c r="F9698" s="88"/>
      <c r="G9698" s="88"/>
      <c r="H9698" s="89"/>
      <c r="K9698" s="58"/>
      <c r="L9698" s="91"/>
      <c r="M9698" s="78"/>
    </row>
    <row r="9699">
      <c r="C9699" s="85"/>
      <c r="D9699" s="25"/>
      <c r="E9699" s="77"/>
      <c r="F9699" s="88"/>
      <c r="G9699" s="88"/>
      <c r="H9699" s="89"/>
      <c r="K9699" s="58"/>
      <c r="L9699" s="91"/>
      <c r="M9699" s="78"/>
    </row>
    <row r="9700">
      <c r="C9700" s="85"/>
      <c r="D9700" s="25"/>
      <c r="E9700" s="77"/>
      <c r="F9700" s="88"/>
      <c r="G9700" s="88"/>
      <c r="H9700" s="89"/>
      <c r="K9700" s="58"/>
      <c r="L9700" s="91"/>
      <c r="M9700" s="78"/>
    </row>
    <row r="9701">
      <c r="C9701" s="85"/>
      <c r="D9701" s="25"/>
      <c r="E9701" s="77"/>
      <c r="F9701" s="88"/>
      <c r="G9701" s="88"/>
      <c r="H9701" s="89"/>
      <c r="K9701" s="58"/>
      <c r="L9701" s="91"/>
      <c r="M9701" s="78"/>
    </row>
    <row r="9702">
      <c r="C9702" s="85"/>
      <c r="D9702" s="25"/>
      <c r="E9702" s="77"/>
      <c r="F9702" s="88"/>
      <c r="G9702" s="88"/>
      <c r="H9702" s="89"/>
      <c r="K9702" s="58"/>
      <c r="L9702" s="91"/>
      <c r="M9702" s="78"/>
    </row>
    <row r="9703">
      <c r="C9703" s="85"/>
      <c r="D9703" s="25"/>
      <c r="E9703" s="77"/>
      <c r="F9703" s="88"/>
      <c r="G9703" s="88"/>
      <c r="H9703" s="89"/>
      <c r="K9703" s="58"/>
      <c r="L9703" s="91"/>
      <c r="M9703" s="78"/>
    </row>
    <row r="9704">
      <c r="C9704" s="85"/>
      <c r="D9704" s="25"/>
      <c r="E9704" s="77"/>
      <c r="F9704" s="88"/>
      <c r="G9704" s="88"/>
      <c r="H9704" s="89"/>
      <c r="K9704" s="58"/>
      <c r="L9704" s="91"/>
      <c r="M9704" s="78"/>
    </row>
    <row r="9705">
      <c r="C9705" s="85"/>
      <c r="D9705" s="25"/>
      <c r="E9705" s="77"/>
      <c r="F9705" s="88"/>
      <c r="G9705" s="88"/>
      <c r="H9705" s="89"/>
      <c r="K9705" s="58"/>
      <c r="L9705" s="91"/>
      <c r="M9705" s="78"/>
    </row>
    <row r="9706">
      <c r="C9706" s="85"/>
      <c r="D9706" s="25"/>
      <c r="E9706" s="77"/>
      <c r="F9706" s="88"/>
      <c r="G9706" s="88"/>
      <c r="H9706" s="89"/>
      <c r="K9706" s="58"/>
      <c r="L9706" s="91"/>
      <c r="M9706" s="78"/>
    </row>
    <row r="9707">
      <c r="C9707" s="85"/>
      <c r="D9707" s="25"/>
      <c r="E9707" s="77"/>
      <c r="F9707" s="88"/>
      <c r="G9707" s="88"/>
      <c r="H9707" s="89"/>
      <c r="K9707" s="58"/>
      <c r="L9707" s="91"/>
      <c r="M9707" s="78"/>
    </row>
    <row r="9708">
      <c r="C9708" s="85"/>
      <c r="D9708" s="25"/>
      <c r="E9708" s="77"/>
      <c r="F9708" s="88"/>
      <c r="G9708" s="88"/>
      <c r="H9708" s="89"/>
      <c r="K9708" s="58"/>
      <c r="L9708" s="91"/>
      <c r="M9708" s="78"/>
    </row>
    <row r="9709">
      <c r="C9709" s="85"/>
      <c r="D9709" s="25"/>
      <c r="E9709" s="77"/>
      <c r="F9709" s="88"/>
      <c r="G9709" s="88"/>
      <c r="H9709" s="89"/>
      <c r="K9709" s="58"/>
      <c r="L9709" s="91"/>
      <c r="M9709" s="78"/>
    </row>
    <row r="9710">
      <c r="C9710" s="85"/>
      <c r="D9710" s="25"/>
      <c r="E9710" s="77"/>
      <c r="F9710" s="88"/>
      <c r="G9710" s="88"/>
      <c r="H9710" s="89"/>
      <c r="K9710" s="58"/>
      <c r="L9710" s="91"/>
      <c r="M9710" s="78"/>
    </row>
    <row r="9711">
      <c r="C9711" s="85"/>
      <c r="D9711" s="25"/>
      <c r="E9711" s="77"/>
      <c r="F9711" s="88"/>
      <c r="G9711" s="88"/>
      <c r="H9711" s="89"/>
      <c r="K9711" s="58"/>
      <c r="L9711" s="91"/>
      <c r="M9711" s="78"/>
    </row>
    <row r="9712">
      <c r="C9712" s="85"/>
      <c r="D9712" s="25"/>
      <c r="E9712" s="77"/>
      <c r="F9712" s="88"/>
      <c r="G9712" s="88"/>
      <c r="H9712" s="89"/>
      <c r="K9712" s="58"/>
      <c r="L9712" s="91"/>
      <c r="M9712" s="78"/>
    </row>
    <row r="9713">
      <c r="C9713" s="85"/>
      <c r="D9713" s="25"/>
      <c r="E9713" s="77"/>
      <c r="F9713" s="88"/>
      <c r="G9713" s="88"/>
      <c r="H9713" s="89"/>
      <c r="K9713" s="58"/>
      <c r="L9713" s="91"/>
      <c r="M9713" s="78"/>
    </row>
    <row r="9714">
      <c r="C9714" s="85"/>
      <c r="D9714" s="25"/>
      <c r="E9714" s="77"/>
      <c r="F9714" s="88"/>
      <c r="G9714" s="88"/>
      <c r="H9714" s="89"/>
      <c r="K9714" s="58"/>
      <c r="L9714" s="91"/>
      <c r="M9714" s="78"/>
    </row>
    <row r="9715">
      <c r="C9715" s="85"/>
      <c r="D9715" s="25"/>
      <c r="E9715" s="77"/>
      <c r="F9715" s="88"/>
      <c r="G9715" s="88"/>
      <c r="H9715" s="89"/>
      <c r="K9715" s="58"/>
      <c r="L9715" s="91"/>
      <c r="M9715" s="78"/>
    </row>
    <row r="9716">
      <c r="C9716" s="85"/>
      <c r="D9716" s="25"/>
      <c r="E9716" s="77"/>
      <c r="F9716" s="88"/>
      <c r="G9716" s="88"/>
      <c r="H9716" s="89"/>
      <c r="K9716" s="58"/>
      <c r="L9716" s="91"/>
      <c r="M9716" s="78"/>
    </row>
    <row r="9717">
      <c r="C9717" s="85"/>
      <c r="D9717" s="25"/>
      <c r="E9717" s="77"/>
      <c r="F9717" s="88"/>
      <c r="G9717" s="88"/>
      <c r="H9717" s="89"/>
      <c r="K9717" s="58"/>
      <c r="L9717" s="91"/>
      <c r="M9717" s="78"/>
    </row>
    <row r="9718">
      <c r="C9718" s="85"/>
      <c r="D9718" s="25"/>
      <c r="E9718" s="77"/>
      <c r="F9718" s="88"/>
      <c r="G9718" s="88"/>
      <c r="H9718" s="89"/>
      <c r="K9718" s="58"/>
      <c r="L9718" s="91"/>
      <c r="M9718" s="78"/>
    </row>
    <row r="9719">
      <c r="C9719" s="85"/>
      <c r="D9719" s="25"/>
      <c r="E9719" s="77"/>
      <c r="F9719" s="88"/>
      <c r="G9719" s="88"/>
      <c r="H9719" s="89"/>
      <c r="K9719" s="58"/>
      <c r="L9719" s="91"/>
      <c r="M9719" s="78"/>
    </row>
    <row r="9720">
      <c r="C9720" s="85"/>
      <c r="D9720" s="25"/>
      <c r="E9720" s="77"/>
      <c r="F9720" s="88"/>
      <c r="G9720" s="88"/>
      <c r="H9720" s="89"/>
      <c r="K9720" s="58"/>
      <c r="L9720" s="91"/>
      <c r="M9720" s="78"/>
    </row>
    <row r="9721">
      <c r="C9721" s="85"/>
      <c r="D9721" s="25"/>
      <c r="E9721" s="77"/>
      <c r="F9721" s="88"/>
      <c r="G9721" s="88"/>
      <c r="H9721" s="89"/>
      <c r="K9721" s="58"/>
      <c r="L9721" s="91"/>
      <c r="M9721" s="78"/>
    </row>
    <row r="9722">
      <c r="C9722" s="85"/>
      <c r="D9722" s="25"/>
      <c r="E9722" s="77"/>
      <c r="F9722" s="88"/>
      <c r="G9722" s="88"/>
      <c r="H9722" s="89"/>
      <c r="K9722" s="58"/>
      <c r="L9722" s="91"/>
      <c r="M9722" s="78"/>
    </row>
    <row r="9723">
      <c r="C9723" s="85"/>
      <c r="D9723" s="25"/>
      <c r="E9723" s="77"/>
      <c r="F9723" s="88"/>
      <c r="G9723" s="88"/>
      <c r="H9723" s="89"/>
      <c r="K9723" s="58"/>
      <c r="L9723" s="91"/>
      <c r="M9723" s="78"/>
    </row>
    <row r="9724">
      <c r="C9724" s="85"/>
      <c r="D9724" s="25"/>
      <c r="E9724" s="77"/>
      <c r="F9724" s="88"/>
      <c r="G9724" s="88"/>
      <c r="H9724" s="89"/>
      <c r="K9724" s="58"/>
      <c r="L9724" s="91"/>
      <c r="M9724" s="78"/>
    </row>
    <row r="9725">
      <c r="C9725" s="85"/>
      <c r="D9725" s="25"/>
      <c r="E9725" s="77"/>
      <c r="F9725" s="88"/>
      <c r="G9725" s="88"/>
      <c r="H9725" s="89"/>
      <c r="K9725" s="58"/>
      <c r="L9725" s="91"/>
      <c r="M9725" s="78"/>
    </row>
    <row r="9726">
      <c r="C9726" s="85"/>
      <c r="D9726" s="25"/>
      <c r="E9726" s="77"/>
      <c r="F9726" s="88"/>
      <c r="G9726" s="88"/>
      <c r="H9726" s="89"/>
      <c r="K9726" s="58"/>
      <c r="L9726" s="91"/>
      <c r="M9726" s="78"/>
    </row>
    <row r="9727">
      <c r="C9727" s="85"/>
      <c r="D9727" s="25"/>
      <c r="E9727" s="77"/>
      <c r="F9727" s="88"/>
      <c r="G9727" s="88"/>
      <c r="H9727" s="89"/>
      <c r="K9727" s="58"/>
      <c r="L9727" s="91"/>
      <c r="M9727" s="78"/>
    </row>
    <row r="9728">
      <c r="C9728" s="85"/>
      <c r="D9728" s="25"/>
      <c r="E9728" s="77"/>
      <c r="F9728" s="88"/>
      <c r="G9728" s="88"/>
      <c r="H9728" s="89"/>
      <c r="K9728" s="58"/>
      <c r="L9728" s="91"/>
      <c r="M9728" s="78"/>
    </row>
    <row r="9729">
      <c r="C9729" s="85"/>
      <c r="D9729" s="25"/>
      <c r="E9729" s="77"/>
      <c r="F9729" s="88"/>
      <c r="G9729" s="88"/>
      <c r="H9729" s="89"/>
      <c r="K9729" s="58"/>
      <c r="L9729" s="91"/>
      <c r="M9729" s="78"/>
    </row>
    <row r="9730">
      <c r="C9730" s="85"/>
      <c r="D9730" s="25"/>
      <c r="E9730" s="77"/>
      <c r="F9730" s="88"/>
      <c r="G9730" s="88"/>
      <c r="H9730" s="89"/>
      <c r="K9730" s="58"/>
      <c r="L9730" s="91"/>
      <c r="M9730" s="78"/>
    </row>
    <row r="9731">
      <c r="C9731" s="85"/>
      <c r="D9731" s="25"/>
      <c r="E9731" s="77"/>
      <c r="F9731" s="88"/>
      <c r="G9731" s="88"/>
      <c r="H9731" s="89"/>
      <c r="K9731" s="58"/>
      <c r="L9731" s="91"/>
      <c r="M9731" s="78"/>
    </row>
    <row r="9732">
      <c r="C9732" s="85"/>
      <c r="D9732" s="25"/>
      <c r="E9732" s="77"/>
      <c r="F9732" s="88"/>
      <c r="G9732" s="88"/>
      <c r="H9732" s="89"/>
      <c r="K9732" s="58"/>
      <c r="L9732" s="91"/>
      <c r="M9732" s="78"/>
    </row>
    <row r="9733">
      <c r="C9733" s="85"/>
      <c r="D9733" s="25"/>
      <c r="E9733" s="77"/>
      <c r="F9733" s="88"/>
      <c r="G9733" s="88"/>
      <c r="H9733" s="89"/>
      <c r="K9733" s="58"/>
      <c r="L9733" s="91"/>
      <c r="M9733" s="78"/>
    </row>
    <row r="9734">
      <c r="C9734" s="85"/>
      <c r="D9734" s="25"/>
      <c r="E9734" s="77"/>
      <c r="F9734" s="88"/>
      <c r="G9734" s="88"/>
      <c r="H9734" s="89"/>
      <c r="K9734" s="58"/>
      <c r="L9734" s="91"/>
      <c r="M9734" s="78"/>
    </row>
    <row r="9735">
      <c r="C9735" s="85"/>
      <c r="D9735" s="25"/>
      <c r="E9735" s="77"/>
      <c r="F9735" s="88"/>
      <c r="G9735" s="88"/>
      <c r="H9735" s="89"/>
      <c r="K9735" s="58"/>
      <c r="L9735" s="91"/>
      <c r="M9735" s="78"/>
    </row>
    <row r="9736">
      <c r="C9736" s="85"/>
      <c r="D9736" s="25"/>
      <c r="E9736" s="77"/>
      <c r="F9736" s="88"/>
      <c r="G9736" s="88"/>
      <c r="H9736" s="89"/>
      <c r="K9736" s="58"/>
      <c r="L9736" s="91"/>
      <c r="M9736" s="78"/>
    </row>
    <row r="9737">
      <c r="C9737" s="85"/>
      <c r="D9737" s="25"/>
      <c r="E9737" s="77"/>
      <c r="F9737" s="88"/>
      <c r="G9737" s="88"/>
      <c r="H9737" s="89"/>
      <c r="K9737" s="58"/>
      <c r="L9737" s="91"/>
      <c r="M9737" s="78"/>
    </row>
    <row r="9738">
      <c r="C9738" s="85"/>
      <c r="D9738" s="25"/>
      <c r="E9738" s="77"/>
      <c r="F9738" s="88"/>
      <c r="G9738" s="88"/>
      <c r="H9738" s="89"/>
      <c r="K9738" s="58"/>
      <c r="L9738" s="91"/>
      <c r="M9738" s="78"/>
    </row>
    <row r="9739">
      <c r="C9739" s="85"/>
      <c r="D9739" s="25"/>
      <c r="E9739" s="77"/>
      <c r="F9739" s="88"/>
      <c r="G9739" s="88"/>
      <c r="H9739" s="89"/>
      <c r="K9739" s="58"/>
      <c r="L9739" s="91"/>
      <c r="M9739" s="78"/>
    </row>
    <row r="9740">
      <c r="C9740" s="85"/>
      <c r="D9740" s="25"/>
      <c r="E9740" s="77"/>
      <c r="F9740" s="88"/>
      <c r="G9740" s="88"/>
      <c r="H9740" s="89"/>
      <c r="K9740" s="58"/>
      <c r="L9740" s="91"/>
      <c r="M9740" s="78"/>
    </row>
    <row r="9741">
      <c r="C9741" s="85"/>
      <c r="D9741" s="25"/>
      <c r="E9741" s="77"/>
      <c r="F9741" s="88"/>
      <c r="G9741" s="88"/>
      <c r="H9741" s="89"/>
      <c r="K9741" s="58"/>
      <c r="L9741" s="91"/>
      <c r="M9741" s="78"/>
    </row>
    <row r="9742">
      <c r="C9742" s="85"/>
      <c r="D9742" s="25"/>
      <c r="E9742" s="77"/>
      <c r="F9742" s="88"/>
      <c r="G9742" s="88"/>
      <c r="H9742" s="89"/>
      <c r="K9742" s="58"/>
      <c r="L9742" s="91"/>
      <c r="M9742" s="78"/>
    </row>
    <row r="9743">
      <c r="C9743" s="85"/>
      <c r="D9743" s="25"/>
      <c r="E9743" s="77"/>
      <c r="F9743" s="88"/>
      <c r="G9743" s="88"/>
      <c r="H9743" s="89"/>
      <c r="K9743" s="58"/>
      <c r="L9743" s="91"/>
      <c r="M9743" s="78"/>
    </row>
    <row r="9744">
      <c r="C9744" s="85"/>
      <c r="D9744" s="25"/>
      <c r="E9744" s="77"/>
      <c r="F9744" s="88"/>
      <c r="G9744" s="88"/>
      <c r="H9744" s="89"/>
      <c r="K9744" s="58"/>
      <c r="L9744" s="91"/>
      <c r="M9744" s="78"/>
    </row>
    <row r="9745">
      <c r="C9745" s="85"/>
      <c r="D9745" s="25"/>
      <c r="E9745" s="77"/>
      <c r="F9745" s="88"/>
      <c r="G9745" s="88"/>
      <c r="H9745" s="89"/>
      <c r="K9745" s="58"/>
      <c r="L9745" s="91"/>
      <c r="M9745" s="78"/>
    </row>
    <row r="9746">
      <c r="C9746" s="85"/>
      <c r="D9746" s="25"/>
      <c r="E9746" s="77"/>
      <c r="F9746" s="88"/>
      <c r="G9746" s="88"/>
      <c r="H9746" s="89"/>
      <c r="K9746" s="58"/>
      <c r="L9746" s="91"/>
      <c r="M9746" s="78"/>
    </row>
    <row r="9747">
      <c r="C9747" s="85"/>
      <c r="D9747" s="25"/>
      <c r="E9747" s="77"/>
      <c r="F9747" s="88"/>
      <c r="G9747" s="88"/>
      <c r="H9747" s="89"/>
      <c r="K9747" s="58"/>
      <c r="L9747" s="91"/>
      <c r="M9747" s="78"/>
    </row>
    <row r="9748">
      <c r="C9748" s="85"/>
      <c r="D9748" s="25"/>
      <c r="E9748" s="77"/>
      <c r="F9748" s="88"/>
      <c r="G9748" s="88"/>
      <c r="H9748" s="89"/>
      <c r="K9748" s="58"/>
      <c r="L9748" s="91"/>
      <c r="M9748" s="78"/>
    </row>
    <row r="9749">
      <c r="C9749" s="85"/>
      <c r="D9749" s="25"/>
      <c r="E9749" s="77"/>
      <c r="F9749" s="88"/>
      <c r="G9749" s="88"/>
      <c r="H9749" s="89"/>
      <c r="K9749" s="58"/>
      <c r="L9749" s="91"/>
      <c r="M9749" s="78"/>
    </row>
    <row r="9750">
      <c r="C9750" s="85"/>
      <c r="D9750" s="25"/>
      <c r="E9750" s="77"/>
      <c r="F9750" s="88"/>
      <c r="G9750" s="88"/>
      <c r="H9750" s="89"/>
      <c r="K9750" s="58"/>
      <c r="L9750" s="91"/>
      <c r="M9750" s="78"/>
    </row>
    <row r="9751">
      <c r="C9751" s="85"/>
      <c r="D9751" s="25"/>
      <c r="E9751" s="77"/>
      <c r="F9751" s="88"/>
      <c r="G9751" s="88"/>
      <c r="H9751" s="89"/>
      <c r="K9751" s="58"/>
      <c r="L9751" s="91"/>
      <c r="M9751" s="78"/>
    </row>
    <row r="9752">
      <c r="C9752" s="85"/>
      <c r="D9752" s="25"/>
      <c r="E9752" s="77"/>
      <c r="F9752" s="88"/>
      <c r="G9752" s="88"/>
      <c r="H9752" s="89"/>
      <c r="K9752" s="58"/>
      <c r="L9752" s="91"/>
      <c r="M9752" s="78"/>
    </row>
    <row r="9753">
      <c r="C9753" s="85"/>
      <c r="D9753" s="25"/>
      <c r="E9753" s="77"/>
      <c r="F9753" s="88"/>
      <c r="G9753" s="88"/>
      <c r="H9753" s="89"/>
      <c r="K9753" s="58"/>
      <c r="L9753" s="91"/>
      <c r="M9753" s="78"/>
    </row>
    <row r="9754">
      <c r="C9754" s="85"/>
      <c r="D9754" s="25"/>
      <c r="E9754" s="77"/>
      <c r="F9754" s="88"/>
      <c r="G9754" s="88"/>
      <c r="H9754" s="89"/>
      <c r="K9754" s="58"/>
      <c r="L9754" s="91"/>
      <c r="M9754" s="78"/>
    </row>
    <row r="9755">
      <c r="C9755" s="85"/>
      <c r="D9755" s="25"/>
      <c r="E9755" s="77"/>
      <c r="F9755" s="88"/>
      <c r="G9755" s="88"/>
      <c r="H9755" s="89"/>
      <c r="K9755" s="58"/>
      <c r="L9755" s="91"/>
      <c r="M9755" s="78"/>
    </row>
    <row r="9756">
      <c r="C9756" s="85"/>
      <c r="D9756" s="25"/>
      <c r="E9756" s="77"/>
      <c r="F9756" s="88"/>
      <c r="G9756" s="88"/>
      <c r="H9756" s="89"/>
      <c r="K9756" s="58"/>
      <c r="L9756" s="91"/>
      <c r="M9756" s="78"/>
    </row>
    <row r="9757">
      <c r="C9757" s="85"/>
      <c r="D9757" s="25"/>
      <c r="E9757" s="77"/>
      <c r="F9757" s="88"/>
      <c r="G9757" s="88"/>
      <c r="H9757" s="89"/>
      <c r="K9757" s="58"/>
      <c r="L9757" s="91"/>
      <c r="M9757" s="78"/>
    </row>
    <row r="9758">
      <c r="C9758" s="85"/>
      <c r="D9758" s="25"/>
      <c r="E9758" s="77"/>
      <c r="F9758" s="88"/>
      <c r="G9758" s="88"/>
      <c r="H9758" s="89"/>
      <c r="K9758" s="58"/>
      <c r="L9758" s="91"/>
      <c r="M9758" s="78"/>
    </row>
    <row r="9759">
      <c r="C9759" s="85"/>
      <c r="D9759" s="25"/>
      <c r="E9759" s="77"/>
      <c r="F9759" s="88"/>
      <c r="G9759" s="88"/>
      <c r="H9759" s="89"/>
      <c r="K9759" s="58"/>
      <c r="L9759" s="91"/>
      <c r="M9759" s="78"/>
    </row>
    <row r="9760">
      <c r="C9760" s="85"/>
      <c r="D9760" s="25"/>
      <c r="E9760" s="77"/>
      <c r="F9760" s="88"/>
      <c r="G9760" s="88"/>
      <c r="H9760" s="89"/>
      <c r="K9760" s="58"/>
      <c r="L9760" s="91"/>
      <c r="M9760" s="78"/>
    </row>
    <row r="9761">
      <c r="C9761" s="85"/>
      <c r="D9761" s="25"/>
      <c r="E9761" s="77"/>
      <c r="F9761" s="88"/>
      <c r="G9761" s="88"/>
      <c r="H9761" s="89"/>
      <c r="K9761" s="58"/>
      <c r="L9761" s="91"/>
      <c r="M9761" s="78"/>
    </row>
    <row r="9762">
      <c r="C9762" s="85"/>
      <c r="D9762" s="25"/>
      <c r="E9762" s="77"/>
      <c r="F9762" s="88"/>
      <c r="G9762" s="88"/>
      <c r="H9762" s="89"/>
      <c r="K9762" s="58"/>
      <c r="L9762" s="91"/>
      <c r="M9762" s="78"/>
    </row>
    <row r="9763">
      <c r="C9763" s="85"/>
      <c r="D9763" s="25"/>
      <c r="E9763" s="77"/>
      <c r="F9763" s="88"/>
      <c r="G9763" s="88"/>
      <c r="H9763" s="89"/>
      <c r="K9763" s="58"/>
      <c r="L9763" s="91"/>
      <c r="M9763" s="78"/>
    </row>
    <row r="9764">
      <c r="C9764" s="85"/>
      <c r="D9764" s="25"/>
      <c r="E9764" s="77"/>
      <c r="F9764" s="88"/>
      <c r="G9764" s="88"/>
      <c r="H9764" s="89"/>
      <c r="K9764" s="58"/>
      <c r="L9764" s="91"/>
      <c r="M9764" s="78"/>
    </row>
    <row r="9765">
      <c r="C9765" s="85"/>
      <c r="D9765" s="25"/>
      <c r="E9765" s="77"/>
      <c r="F9765" s="88"/>
      <c r="G9765" s="88"/>
      <c r="H9765" s="89"/>
      <c r="K9765" s="58"/>
      <c r="L9765" s="91"/>
      <c r="M9765" s="78"/>
    </row>
    <row r="9766">
      <c r="C9766" s="85"/>
      <c r="D9766" s="25"/>
      <c r="E9766" s="77"/>
      <c r="F9766" s="88"/>
      <c r="G9766" s="88"/>
      <c r="H9766" s="89"/>
      <c r="K9766" s="58"/>
      <c r="L9766" s="91"/>
      <c r="M9766" s="78"/>
    </row>
    <row r="9767">
      <c r="C9767" s="85"/>
      <c r="D9767" s="25"/>
      <c r="E9767" s="77"/>
      <c r="F9767" s="88"/>
      <c r="G9767" s="88"/>
      <c r="H9767" s="89"/>
      <c r="K9767" s="58"/>
      <c r="L9767" s="91"/>
      <c r="M9767" s="78"/>
    </row>
    <row r="9768">
      <c r="C9768" s="85"/>
      <c r="D9768" s="25"/>
      <c r="E9768" s="77"/>
      <c r="F9768" s="88"/>
      <c r="G9768" s="88"/>
      <c r="H9768" s="89"/>
      <c r="K9768" s="58"/>
      <c r="L9768" s="91"/>
      <c r="M9768" s="78"/>
    </row>
    <row r="9769">
      <c r="C9769" s="85"/>
      <c r="D9769" s="25"/>
      <c r="E9769" s="77"/>
      <c r="F9769" s="88"/>
      <c r="G9769" s="88"/>
      <c r="H9769" s="89"/>
      <c r="K9769" s="58"/>
      <c r="L9769" s="91"/>
      <c r="M9769" s="78"/>
    </row>
    <row r="9770">
      <c r="C9770" s="85"/>
      <c r="D9770" s="25"/>
      <c r="E9770" s="77"/>
      <c r="F9770" s="88"/>
      <c r="G9770" s="88"/>
      <c r="H9770" s="89"/>
      <c r="K9770" s="58"/>
      <c r="L9770" s="91"/>
      <c r="M9770" s="78"/>
    </row>
    <row r="9771">
      <c r="C9771" s="85"/>
      <c r="D9771" s="25"/>
      <c r="E9771" s="77"/>
      <c r="F9771" s="88"/>
      <c r="G9771" s="88"/>
      <c r="H9771" s="89"/>
      <c r="K9771" s="58"/>
      <c r="L9771" s="91"/>
      <c r="M9771" s="78"/>
    </row>
    <row r="9772">
      <c r="C9772" s="85"/>
      <c r="D9772" s="25"/>
      <c r="E9772" s="77"/>
      <c r="F9772" s="88"/>
      <c r="G9772" s="88"/>
      <c r="H9772" s="89"/>
      <c r="K9772" s="58"/>
      <c r="L9772" s="91"/>
      <c r="M9772" s="78"/>
    </row>
    <row r="9773">
      <c r="C9773" s="85"/>
      <c r="D9773" s="25"/>
      <c r="E9773" s="77"/>
      <c r="F9773" s="88"/>
      <c r="G9773" s="88"/>
      <c r="H9773" s="89"/>
      <c r="K9773" s="58"/>
      <c r="L9773" s="91"/>
      <c r="M9773" s="78"/>
    </row>
    <row r="9774">
      <c r="C9774" s="85"/>
      <c r="D9774" s="25"/>
      <c r="E9774" s="77"/>
      <c r="F9774" s="88"/>
      <c r="G9774" s="88"/>
      <c r="H9774" s="89"/>
      <c r="K9774" s="58"/>
      <c r="L9774" s="91"/>
      <c r="M9774" s="78"/>
    </row>
    <row r="9775">
      <c r="C9775" s="85"/>
      <c r="D9775" s="25"/>
      <c r="E9775" s="77"/>
      <c r="F9775" s="88"/>
      <c r="G9775" s="88"/>
      <c r="H9775" s="89"/>
      <c r="K9775" s="58"/>
      <c r="L9775" s="91"/>
      <c r="M9775" s="78"/>
    </row>
    <row r="9776">
      <c r="C9776" s="85"/>
      <c r="D9776" s="25"/>
      <c r="E9776" s="77"/>
      <c r="F9776" s="88"/>
      <c r="G9776" s="88"/>
      <c r="H9776" s="89"/>
      <c r="K9776" s="58"/>
      <c r="L9776" s="91"/>
      <c r="M9776" s="78"/>
    </row>
    <row r="9777">
      <c r="C9777" s="85"/>
      <c r="D9777" s="25"/>
      <c r="E9777" s="77"/>
      <c r="F9777" s="88"/>
      <c r="G9777" s="88"/>
      <c r="H9777" s="89"/>
      <c r="K9777" s="58"/>
      <c r="L9777" s="91"/>
      <c r="M9777" s="78"/>
    </row>
    <row r="9778">
      <c r="C9778" s="85"/>
      <c r="D9778" s="25"/>
      <c r="E9778" s="77"/>
      <c r="F9778" s="88"/>
      <c r="G9778" s="88"/>
      <c r="H9778" s="89"/>
      <c r="K9778" s="58"/>
      <c r="L9778" s="91"/>
      <c r="M9778" s="78"/>
    </row>
    <row r="9779">
      <c r="C9779" s="85"/>
      <c r="D9779" s="25"/>
      <c r="E9779" s="77"/>
      <c r="F9779" s="88"/>
      <c r="G9779" s="88"/>
      <c r="H9779" s="89"/>
      <c r="K9779" s="58"/>
      <c r="L9779" s="91"/>
      <c r="M9779" s="78"/>
    </row>
    <row r="9780">
      <c r="C9780" s="85"/>
      <c r="D9780" s="25"/>
      <c r="E9780" s="77"/>
      <c r="F9780" s="88"/>
      <c r="G9780" s="88"/>
      <c r="H9780" s="89"/>
      <c r="K9780" s="58"/>
      <c r="L9780" s="91"/>
      <c r="M9780" s="78"/>
    </row>
    <row r="9781">
      <c r="C9781" s="85"/>
      <c r="D9781" s="25"/>
      <c r="E9781" s="77"/>
      <c r="F9781" s="88"/>
      <c r="G9781" s="88"/>
      <c r="H9781" s="89"/>
      <c r="K9781" s="58"/>
      <c r="L9781" s="91"/>
      <c r="M9781" s="78"/>
    </row>
    <row r="9782">
      <c r="C9782" s="85"/>
      <c r="D9782" s="25"/>
      <c r="E9782" s="77"/>
      <c r="F9782" s="88"/>
      <c r="G9782" s="88"/>
      <c r="H9782" s="89"/>
      <c r="K9782" s="58"/>
      <c r="L9782" s="91"/>
      <c r="M9782" s="78"/>
    </row>
    <row r="9783">
      <c r="C9783" s="85"/>
      <c r="D9783" s="25"/>
      <c r="E9783" s="77"/>
      <c r="F9783" s="88"/>
      <c r="G9783" s="88"/>
      <c r="H9783" s="89"/>
      <c r="K9783" s="58"/>
      <c r="L9783" s="91"/>
      <c r="M9783" s="78"/>
    </row>
    <row r="9784">
      <c r="C9784" s="85"/>
      <c r="D9784" s="25"/>
      <c r="E9784" s="77"/>
      <c r="F9784" s="88"/>
      <c r="G9784" s="88"/>
      <c r="H9784" s="89"/>
      <c r="K9784" s="58"/>
      <c r="L9784" s="91"/>
      <c r="M9784" s="78"/>
    </row>
    <row r="9785">
      <c r="C9785" s="85"/>
      <c r="D9785" s="25"/>
      <c r="E9785" s="77"/>
      <c r="F9785" s="88"/>
      <c r="G9785" s="88"/>
      <c r="H9785" s="89"/>
      <c r="K9785" s="58"/>
      <c r="L9785" s="91"/>
      <c r="M9785" s="78"/>
    </row>
    <row r="9786">
      <c r="C9786" s="85"/>
      <c r="D9786" s="25"/>
      <c r="E9786" s="77"/>
      <c r="F9786" s="88"/>
      <c r="G9786" s="88"/>
      <c r="H9786" s="89"/>
      <c r="K9786" s="58"/>
      <c r="L9786" s="91"/>
      <c r="M9786" s="78"/>
    </row>
    <row r="9787">
      <c r="C9787" s="85"/>
      <c r="D9787" s="25"/>
      <c r="E9787" s="77"/>
      <c r="F9787" s="88"/>
      <c r="G9787" s="88"/>
      <c r="H9787" s="89"/>
      <c r="K9787" s="58"/>
      <c r="L9787" s="91"/>
      <c r="M9787" s="78"/>
    </row>
    <row r="9788">
      <c r="C9788" s="85"/>
      <c r="D9788" s="25"/>
      <c r="E9788" s="77"/>
      <c r="F9788" s="88"/>
      <c r="G9788" s="88"/>
      <c r="H9788" s="89"/>
      <c r="K9788" s="58"/>
      <c r="L9788" s="91"/>
      <c r="M9788" s="78"/>
    </row>
    <row r="9789">
      <c r="C9789" s="85"/>
      <c r="D9789" s="25"/>
      <c r="E9789" s="77"/>
      <c r="F9789" s="88"/>
      <c r="G9789" s="88"/>
      <c r="H9789" s="89"/>
      <c r="K9789" s="58"/>
      <c r="L9789" s="91"/>
      <c r="M9789" s="78"/>
    </row>
    <row r="9790">
      <c r="C9790" s="85"/>
      <c r="D9790" s="25"/>
      <c r="E9790" s="77"/>
      <c r="F9790" s="88"/>
      <c r="G9790" s="88"/>
      <c r="H9790" s="89"/>
      <c r="K9790" s="58"/>
      <c r="L9790" s="91"/>
      <c r="M9790" s="78"/>
    </row>
    <row r="9791">
      <c r="C9791" s="85"/>
      <c r="D9791" s="25"/>
      <c r="E9791" s="77"/>
      <c r="F9791" s="88"/>
      <c r="G9791" s="88"/>
      <c r="H9791" s="89"/>
      <c r="K9791" s="58"/>
      <c r="L9791" s="91"/>
      <c r="M9791" s="78"/>
    </row>
    <row r="9792">
      <c r="C9792" s="85"/>
      <c r="D9792" s="25"/>
      <c r="E9792" s="77"/>
      <c r="F9792" s="88"/>
      <c r="G9792" s="88"/>
      <c r="H9792" s="89"/>
      <c r="K9792" s="58"/>
      <c r="L9792" s="91"/>
      <c r="M9792" s="78"/>
    </row>
    <row r="9793">
      <c r="C9793" s="85"/>
      <c r="D9793" s="25"/>
      <c r="E9793" s="77"/>
      <c r="F9793" s="88"/>
      <c r="G9793" s="88"/>
      <c r="H9793" s="89"/>
      <c r="K9793" s="58"/>
      <c r="L9793" s="91"/>
      <c r="M9793" s="78"/>
    </row>
    <row r="9794">
      <c r="C9794" s="85"/>
      <c r="D9794" s="25"/>
      <c r="E9794" s="77"/>
      <c r="F9794" s="88"/>
      <c r="G9794" s="88"/>
      <c r="H9794" s="89"/>
      <c r="K9794" s="58"/>
      <c r="L9794" s="91"/>
      <c r="M9794" s="78"/>
    </row>
    <row r="9795">
      <c r="C9795" s="85"/>
      <c r="D9795" s="25"/>
      <c r="E9795" s="77"/>
      <c r="F9795" s="88"/>
      <c r="G9795" s="88"/>
      <c r="H9795" s="89"/>
      <c r="K9795" s="58"/>
      <c r="L9795" s="91"/>
      <c r="M9795" s="78"/>
    </row>
    <row r="9796">
      <c r="C9796" s="85"/>
      <c r="D9796" s="25"/>
      <c r="E9796" s="77"/>
      <c r="F9796" s="88"/>
      <c r="G9796" s="88"/>
      <c r="H9796" s="89"/>
      <c r="K9796" s="58"/>
      <c r="L9796" s="91"/>
      <c r="M9796" s="78"/>
    </row>
    <row r="9797">
      <c r="C9797" s="85"/>
      <c r="D9797" s="25"/>
      <c r="E9797" s="77"/>
      <c r="F9797" s="88"/>
      <c r="G9797" s="88"/>
      <c r="H9797" s="89"/>
      <c r="K9797" s="58"/>
      <c r="L9797" s="91"/>
      <c r="M9797" s="78"/>
    </row>
    <row r="9798">
      <c r="C9798" s="85"/>
      <c r="D9798" s="25"/>
      <c r="E9798" s="77"/>
      <c r="F9798" s="88"/>
      <c r="G9798" s="88"/>
      <c r="H9798" s="89"/>
      <c r="K9798" s="58"/>
      <c r="L9798" s="91"/>
      <c r="M9798" s="78"/>
    </row>
    <row r="9799">
      <c r="C9799" s="85"/>
      <c r="D9799" s="25"/>
      <c r="E9799" s="77"/>
      <c r="F9799" s="88"/>
      <c r="G9799" s="88"/>
      <c r="H9799" s="89"/>
      <c r="K9799" s="58"/>
      <c r="L9799" s="91"/>
      <c r="M9799" s="78"/>
    </row>
    <row r="9800">
      <c r="C9800" s="85"/>
      <c r="D9800" s="25"/>
      <c r="E9800" s="77"/>
      <c r="F9800" s="88"/>
      <c r="G9800" s="88"/>
      <c r="H9800" s="89"/>
      <c r="K9800" s="58"/>
      <c r="L9800" s="91"/>
      <c r="M9800" s="78"/>
    </row>
    <row r="9801">
      <c r="C9801" s="85"/>
      <c r="D9801" s="25"/>
      <c r="E9801" s="77"/>
      <c r="F9801" s="88"/>
      <c r="G9801" s="88"/>
      <c r="H9801" s="89"/>
      <c r="K9801" s="58"/>
      <c r="L9801" s="91"/>
      <c r="M9801" s="78"/>
    </row>
    <row r="9802">
      <c r="C9802" s="85"/>
      <c r="D9802" s="25"/>
      <c r="E9802" s="77"/>
      <c r="F9802" s="88"/>
      <c r="G9802" s="88"/>
      <c r="H9802" s="89"/>
      <c r="K9802" s="58"/>
      <c r="L9802" s="91"/>
      <c r="M9802" s="78"/>
    </row>
    <row r="9803">
      <c r="C9803" s="85"/>
      <c r="D9803" s="25"/>
      <c r="E9803" s="77"/>
      <c r="F9803" s="88"/>
      <c r="G9803" s="88"/>
      <c r="H9803" s="89"/>
      <c r="K9803" s="58"/>
      <c r="L9803" s="91"/>
      <c r="M9803" s="78"/>
    </row>
    <row r="9804">
      <c r="C9804" s="85"/>
      <c r="D9804" s="25"/>
      <c r="E9804" s="77"/>
      <c r="F9804" s="88"/>
      <c r="G9804" s="88"/>
      <c r="H9804" s="89"/>
      <c r="K9804" s="58"/>
      <c r="L9804" s="91"/>
      <c r="M9804" s="78"/>
    </row>
    <row r="9805">
      <c r="C9805" s="85"/>
      <c r="D9805" s="25"/>
      <c r="E9805" s="77"/>
      <c r="F9805" s="88"/>
      <c r="G9805" s="88"/>
      <c r="H9805" s="89"/>
      <c r="K9805" s="58"/>
      <c r="L9805" s="91"/>
      <c r="M9805" s="78"/>
    </row>
    <row r="9806">
      <c r="C9806" s="85"/>
      <c r="D9806" s="25"/>
      <c r="E9806" s="77"/>
      <c r="F9806" s="88"/>
      <c r="G9806" s="88"/>
      <c r="H9806" s="89"/>
      <c r="K9806" s="58"/>
      <c r="L9806" s="91"/>
      <c r="M9806" s="78"/>
    </row>
    <row r="9807">
      <c r="C9807" s="85"/>
      <c r="D9807" s="25"/>
      <c r="E9807" s="77"/>
      <c r="F9807" s="88"/>
      <c r="G9807" s="88"/>
      <c r="H9807" s="89"/>
      <c r="K9807" s="58"/>
      <c r="L9807" s="91"/>
      <c r="M9807" s="78"/>
    </row>
    <row r="9808">
      <c r="C9808" s="85"/>
      <c r="D9808" s="25"/>
      <c r="E9808" s="77"/>
      <c r="F9808" s="88"/>
      <c r="G9808" s="88"/>
      <c r="H9808" s="89"/>
      <c r="K9808" s="58"/>
      <c r="L9808" s="91"/>
      <c r="M9808" s="78"/>
    </row>
    <row r="9809">
      <c r="C9809" s="85"/>
      <c r="D9809" s="25"/>
      <c r="E9809" s="77"/>
      <c r="F9809" s="88"/>
      <c r="G9809" s="88"/>
      <c r="H9809" s="89"/>
      <c r="K9809" s="58"/>
      <c r="L9809" s="91"/>
      <c r="M9809" s="78"/>
    </row>
    <row r="9810">
      <c r="C9810" s="85"/>
      <c r="D9810" s="25"/>
      <c r="E9810" s="77"/>
      <c r="F9810" s="88"/>
      <c r="G9810" s="88"/>
      <c r="H9810" s="89"/>
      <c r="K9810" s="58"/>
      <c r="L9810" s="91"/>
      <c r="M9810" s="78"/>
    </row>
    <row r="9811">
      <c r="C9811" s="85"/>
      <c r="D9811" s="25"/>
      <c r="E9811" s="77"/>
      <c r="F9811" s="88"/>
      <c r="G9811" s="88"/>
      <c r="H9811" s="89"/>
      <c r="K9811" s="58"/>
      <c r="L9811" s="91"/>
      <c r="M9811" s="78"/>
    </row>
    <row r="9812">
      <c r="C9812" s="85"/>
      <c r="D9812" s="25"/>
      <c r="E9812" s="77"/>
      <c r="F9812" s="88"/>
      <c r="G9812" s="88"/>
      <c r="H9812" s="89"/>
      <c r="K9812" s="58"/>
      <c r="L9812" s="91"/>
      <c r="M9812" s="78"/>
    </row>
    <row r="9813">
      <c r="C9813" s="85"/>
      <c r="D9813" s="25"/>
      <c r="E9813" s="77"/>
      <c r="F9813" s="88"/>
      <c r="G9813" s="88"/>
      <c r="H9813" s="89"/>
      <c r="K9813" s="58"/>
      <c r="L9813" s="91"/>
      <c r="M9813" s="78"/>
    </row>
    <row r="9814">
      <c r="C9814" s="85"/>
      <c r="D9814" s="25"/>
      <c r="E9814" s="77"/>
      <c r="F9814" s="88"/>
      <c r="G9814" s="88"/>
      <c r="H9814" s="89"/>
      <c r="K9814" s="58"/>
      <c r="L9814" s="91"/>
      <c r="M9814" s="78"/>
    </row>
    <row r="9815">
      <c r="C9815" s="85"/>
      <c r="D9815" s="25"/>
      <c r="E9815" s="77"/>
      <c r="F9815" s="88"/>
      <c r="G9815" s="88"/>
      <c r="H9815" s="89"/>
      <c r="K9815" s="58"/>
      <c r="L9815" s="91"/>
      <c r="M9815" s="78"/>
    </row>
    <row r="9816">
      <c r="C9816" s="85"/>
      <c r="D9816" s="25"/>
      <c r="E9816" s="77"/>
      <c r="F9816" s="88"/>
      <c r="G9816" s="88"/>
      <c r="H9816" s="89"/>
      <c r="K9816" s="58"/>
      <c r="L9816" s="91"/>
      <c r="M9816" s="78"/>
    </row>
    <row r="9817">
      <c r="C9817" s="85"/>
      <c r="D9817" s="25"/>
      <c r="E9817" s="77"/>
      <c r="F9817" s="88"/>
      <c r="G9817" s="88"/>
      <c r="H9817" s="89"/>
      <c r="K9817" s="58"/>
      <c r="L9817" s="91"/>
      <c r="M9817" s="78"/>
    </row>
    <row r="9818">
      <c r="C9818" s="85"/>
      <c r="D9818" s="25"/>
      <c r="E9818" s="77"/>
      <c r="F9818" s="88"/>
      <c r="G9818" s="88"/>
      <c r="H9818" s="89"/>
      <c r="K9818" s="58"/>
      <c r="L9818" s="91"/>
      <c r="M9818" s="78"/>
    </row>
    <row r="9819">
      <c r="C9819" s="85"/>
      <c r="D9819" s="25"/>
      <c r="E9819" s="77"/>
      <c r="F9819" s="88"/>
      <c r="G9819" s="88"/>
      <c r="H9819" s="89"/>
      <c r="K9819" s="58"/>
      <c r="L9819" s="91"/>
      <c r="M9819" s="78"/>
    </row>
    <row r="9820">
      <c r="C9820" s="85"/>
      <c r="D9820" s="25"/>
      <c r="E9820" s="77"/>
      <c r="F9820" s="88"/>
      <c r="G9820" s="88"/>
      <c r="H9820" s="89"/>
      <c r="K9820" s="58"/>
      <c r="L9820" s="91"/>
      <c r="M9820" s="78"/>
    </row>
    <row r="9821">
      <c r="C9821" s="85"/>
      <c r="D9821" s="25"/>
      <c r="E9821" s="77"/>
      <c r="F9821" s="88"/>
      <c r="G9821" s="88"/>
      <c r="H9821" s="89"/>
      <c r="K9821" s="58"/>
      <c r="L9821" s="91"/>
      <c r="M9821" s="78"/>
    </row>
    <row r="9822">
      <c r="C9822" s="85"/>
      <c r="D9822" s="25"/>
      <c r="E9822" s="77"/>
      <c r="F9822" s="88"/>
      <c r="G9822" s="88"/>
      <c r="H9822" s="89"/>
      <c r="K9822" s="58"/>
      <c r="L9822" s="91"/>
      <c r="M9822" s="78"/>
    </row>
    <row r="9823">
      <c r="C9823" s="85"/>
      <c r="D9823" s="25"/>
      <c r="E9823" s="77"/>
      <c r="F9823" s="88"/>
      <c r="G9823" s="88"/>
      <c r="H9823" s="89"/>
      <c r="K9823" s="58"/>
      <c r="L9823" s="91"/>
      <c r="M9823" s="78"/>
    </row>
    <row r="9824">
      <c r="C9824" s="85"/>
      <c r="D9824" s="25"/>
      <c r="E9824" s="77"/>
      <c r="F9824" s="88"/>
      <c r="G9824" s="88"/>
      <c r="H9824" s="89"/>
      <c r="K9824" s="58"/>
      <c r="L9824" s="91"/>
      <c r="M9824" s="78"/>
    </row>
    <row r="9825">
      <c r="C9825" s="85"/>
      <c r="D9825" s="25"/>
      <c r="E9825" s="77"/>
      <c r="F9825" s="88"/>
      <c r="G9825" s="88"/>
      <c r="H9825" s="89"/>
      <c r="K9825" s="58"/>
      <c r="L9825" s="91"/>
      <c r="M9825" s="78"/>
    </row>
    <row r="9826">
      <c r="C9826" s="85"/>
      <c r="D9826" s="25"/>
      <c r="E9826" s="77"/>
      <c r="F9826" s="88"/>
      <c r="G9826" s="88"/>
      <c r="H9826" s="89"/>
      <c r="K9826" s="58"/>
      <c r="L9826" s="91"/>
      <c r="M9826" s="78"/>
    </row>
    <row r="9827">
      <c r="C9827" s="85"/>
      <c r="D9827" s="25"/>
      <c r="E9827" s="77"/>
      <c r="F9827" s="88"/>
      <c r="G9827" s="88"/>
      <c r="H9827" s="89"/>
      <c r="K9827" s="58"/>
      <c r="L9827" s="91"/>
      <c r="M9827" s="78"/>
    </row>
    <row r="9828">
      <c r="C9828" s="85"/>
      <c r="D9828" s="25"/>
      <c r="E9828" s="77"/>
      <c r="F9828" s="88"/>
      <c r="G9828" s="88"/>
      <c r="H9828" s="89"/>
      <c r="K9828" s="58"/>
      <c r="L9828" s="91"/>
      <c r="M9828" s="78"/>
    </row>
    <row r="9829">
      <c r="C9829" s="85"/>
      <c r="D9829" s="25"/>
      <c r="E9829" s="77"/>
      <c r="F9829" s="88"/>
      <c r="G9829" s="88"/>
      <c r="H9829" s="89"/>
      <c r="K9829" s="58"/>
      <c r="L9829" s="91"/>
      <c r="M9829" s="78"/>
    </row>
    <row r="9830">
      <c r="C9830" s="85"/>
      <c r="D9830" s="25"/>
      <c r="E9830" s="77"/>
      <c r="F9830" s="88"/>
      <c r="G9830" s="88"/>
      <c r="H9830" s="89"/>
      <c r="K9830" s="58"/>
      <c r="L9830" s="91"/>
      <c r="M9830" s="78"/>
    </row>
    <row r="9831">
      <c r="C9831" s="85"/>
      <c r="D9831" s="25"/>
      <c r="E9831" s="77"/>
      <c r="F9831" s="88"/>
      <c r="G9831" s="88"/>
      <c r="H9831" s="89"/>
      <c r="K9831" s="58"/>
      <c r="L9831" s="91"/>
      <c r="M9831" s="78"/>
    </row>
    <row r="9832">
      <c r="C9832" s="85"/>
      <c r="D9832" s="25"/>
      <c r="E9832" s="77"/>
      <c r="F9832" s="88"/>
      <c r="G9832" s="88"/>
      <c r="H9832" s="89"/>
      <c r="K9832" s="58"/>
      <c r="L9832" s="91"/>
      <c r="M9832" s="78"/>
    </row>
    <row r="9833">
      <c r="C9833" s="85"/>
      <c r="D9833" s="25"/>
      <c r="E9833" s="77"/>
      <c r="F9833" s="88"/>
      <c r="G9833" s="88"/>
      <c r="H9833" s="89"/>
      <c r="K9833" s="58"/>
      <c r="L9833" s="91"/>
      <c r="M9833" s="78"/>
    </row>
    <row r="9834">
      <c r="C9834" s="85"/>
      <c r="D9834" s="25"/>
      <c r="E9834" s="77"/>
      <c r="F9834" s="88"/>
      <c r="G9834" s="88"/>
      <c r="H9834" s="89"/>
      <c r="K9834" s="58"/>
      <c r="L9834" s="91"/>
      <c r="M9834" s="78"/>
    </row>
    <row r="9835">
      <c r="C9835" s="85"/>
      <c r="D9835" s="25"/>
      <c r="E9835" s="77"/>
      <c r="F9835" s="88"/>
      <c r="G9835" s="88"/>
      <c r="H9835" s="89"/>
      <c r="K9835" s="58"/>
      <c r="L9835" s="91"/>
      <c r="M9835" s="78"/>
    </row>
    <row r="9836">
      <c r="C9836" s="85"/>
      <c r="D9836" s="25"/>
      <c r="E9836" s="77"/>
      <c r="F9836" s="88"/>
      <c r="G9836" s="88"/>
      <c r="H9836" s="89"/>
      <c r="K9836" s="58"/>
      <c r="L9836" s="91"/>
      <c r="M9836" s="78"/>
    </row>
    <row r="9837">
      <c r="C9837" s="85"/>
      <c r="D9837" s="25"/>
      <c r="E9837" s="77"/>
      <c r="F9837" s="88"/>
      <c r="G9837" s="88"/>
      <c r="H9837" s="89"/>
      <c r="K9837" s="58"/>
      <c r="L9837" s="91"/>
      <c r="M9837" s="78"/>
    </row>
    <row r="9838">
      <c r="C9838" s="85"/>
      <c r="D9838" s="25"/>
      <c r="E9838" s="77"/>
      <c r="F9838" s="88"/>
      <c r="G9838" s="88"/>
      <c r="H9838" s="89"/>
      <c r="K9838" s="58"/>
      <c r="L9838" s="91"/>
      <c r="M9838" s="78"/>
    </row>
    <row r="9839">
      <c r="C9839" s="85"/>
      <c r="D9839" s="25"/>
      <c r="E9839" s="77"/>
      <c r="F9839" s="88"/>
      <c r="G9839" s="88"/>
      <c r="H9839" s="89"/>
      <c r="K9839" s="58"/>
      <c r="L9839" s="91"/>
      <c r="M9839" s="78"/>
    </row>
    <row r="9840">
      <c r="C9840" s="85"/>
      <c r="D9840" s="25"/>
      <c r="E9840" s="77"/>
      <c r="F9840" s="88"/>
      <c r="G9840" s="88"/>
      <c r="H9840" s="89"/>
      <c r="K9840" s="58"/>
      <c r="L9840" s="91"/>
      <c r="M9840" s="78"/>
    </row>
    <row r="9841">
      <c r="C9841" s="85"/>
      <c r="D9841" s="25"/>
      <c r="E9841" s="77"/>
      <c r="F9841" s="88"/>
      <c r="G9841" s="88"/>
      <c r="H9841" s="89"/>
      <c r="K9841" s="58"/>
      <c r="L9841" s="91"/>
      <c r="M9841" s="78"/>
    </row>
    <row r="9842">
      <c r="C9842" s="85"/>
      <c r="D9842" s="25"/>
      <c r="E9842" s="77"/>
      <c r="F9842" s="88"/>
      <c r="G9842" s="88"/>
      <c r="H9842" s="89"/>
      <c r="K9842" s="58"/>
      <c r="L9842" s="91"/>
      <c r="M9842" s="78"/>
    </row>
    <row r="9843">
      <c r="C9843" s="85"/>
      <c r="D9843" s="25"/>
      <c r="E9843" s="77"/>
      <c r="F9843" s="88"/>
      <c r="G9843" s="88"/>
      <c r="H9843" s="89"/>
      <c r="K9843" s="58"/>
      <c r="L9843" s="91"/>
      <c r="M9843" s="78"/>
    </row>
    <row r="9844">
      <c r="C9844" s="85"/>
      <c r="D9844" s="25"/>
      <c r="E9844" s="77"/>
      <c r="F9844" s="88"/>
      <c r="G9844" s="88"/>
      <c r="H9844" s="89"/>
      <c r="K9844" s="58"/>
      <c r="L9844" s="91"/>
      <c r="M9844" s="78"/>
    </row>
    <row r="9845">
      <c r="C9845" s="85"/>
      <c r="D9845" s="25"/>
      <c r="E9845" s="77"/>
      <c r="F9845" s="88"/>
      <c r="G9845" s="88"/>
      <c r="H9845" s="89"/>
      <c r="K9845" s="58"/>
      <c r="L9845" s="91"/>
      <c r="M9845" s="78"/>
    </row>
    <row r="9846">
      <c r="C9846" s="85"/>
      <c r="D9846" s="25"/>
      <c r="E9846" s="77"/>
      <c r="F9846" s="88"/>
      <c r="G9846" s="88"/>
      <c r="H9846" s="89"/>
      <c r="K9846" s="58"/>
      <c r="L9846" s="91"/>
      <c r="M9846" s="78"/>
    </row>
    <row r="9847">
      <c r="C9847" s="85"/>
      <c r="D9847" s="25"/>
      <c r="E9847" s="77"/>
      <c r="F9847" s="88"/>
      <c r="G9847" s="88"/>
      <c r="H9847" s="89"/>
      <c r="K9847" s="58"/>
      <c r="L9847" s="91"/>
      <c r="M9847" s="78"/>
    </row>
    <row r="9848">
      <c r="C9848" s="85"/>
      <c r="D9848" s="25"/>
      <c r="E9848" s="77"/>
      <c r="F9848" s="88"/>
      <c r="G9848" s="88"/>
      <c r="H9848" s="89"/>
      <c r="K9848" s="58"/>
      <c r="L9848" s="91"/>
      <c r="M9848" s="78"/>
    </row>
    <row r="9849">
      <c r="C9849" s="85"/>
      <c r="D9849" s="25"/>
      <c r="E9849" s="77"/>
      <c r="F9849" s="88"/>
      <c r="G9849" s="88"/>
      <c r="H9849" s="89"/>
      <c r="K9849" s="58"/>
      <c r="L9849" s="91"/>
      <c r="M9849" s="78"/>
    </row>
    <row r="9850">
      <c r="C9850" s="85"/>
      <c r="D9850" s="25"/>
      <c r="E9850" s="77"/>
      <c r="F9850" s="88"/>
      <c r="G9850" s="88"/>
      <c r="H9850" s="89"/>
      <c r="K9850" s="58"/>
      <c r="L9850" s="91"/>
      <c r="M9850" s="78"/>
    </row>
    <row r="9851">
      <c r="C9851" s="85"/>
      <c r="D9851" s="25"/>
      <c r="E9851" s="77"/>
      <c r="F9851" s="88"/>
      <c r="G9851" s="88"/>
      <c r="H9851" s="89"/>
      <c r="K9851" s="58"/>
      <c r="L9851" s="91"/>
      <c r="M9851" s="78"/>
    </row>
    <row r="9852">
      <c r="C9852" s="85"/>
      <c r="D9852" s="25"/>
      <c r="E9852" s="77"/>
      <c r="F9852" s="88"/>
      <c r="G9852" s="88"/>
      <c r="H9852" s="89"/>
      <c r="K9852" s="58"/>
      <c r="L9852" s="91"/>
      <c r="M9852" s="78"/>
    </row>
    <row r="9853">
      <c r="C9853" s="85"/>
      <c r="D9853" s="25"/>
      <c r="E9853" s="77"/>
      <c r="F9853" s="88"/>
      <c r="G9853" s="88"/>
      <c r="H9853" s="89"/>
      <c r="K9853" s="58"/>
      <c r="L9853" s="91"/>
      <c r="M9853" s="78"/>
    </row>
    <row r="9854">
      <c r="C9854" s="85"/>
      <c r="D9854" s="25"/>
      <c r="E9854" s="77"/>
      <c r="F9854" s="88"/>
      <c r="G9854" s="88"/>
      <c r="H9854" s="89"/>
      <c r="K9854" s="58"/>
      <c r="L9854" s="91"/>
      <c r="M9854" s="78"/>
    </row>
    <row r="9855">
      <c r="C9855" s="85"/>
      <c r="D9855" s="25"/>
      <c r="E9855" s="77"/>
      <c r="F9855" s="88"/>
      <c r="G9855" s="88"/>
      <c r="H9855" s="89"/>
      <c r="K9855" s="58"/>
      <c r="L9855" s="91"/>
      <c r="M9855" s="78"/>
    </row>
    <row r="9856">
      <c r="C9856" s="85"/>
      <c r="D9856" s="25"/>
      <c r="E9856" s="77"/>
      <c r="F9856" s="88"/>
      <c r="G9856" s="88"/>
      <c r="H9856" s="89"/>
      <c r="K9856" s="58"/>
      <c r="L9856" s="91"/>
      <c r="M9856" s="78"/>
    </row>
    <row r="9857">
      <c r="C9857" s="85"/>
      <c r="D9857" s="25"/>
      <c r="E9857" s="77"/>
      <c r="F9857" s="88"/>
      <c r="G9857" s="88"/>
      <c r="H9857" s="89"/>
      <c r="K9857" s="58"/>
      <c r="L9857" s="91"/>
      <c r="M9857" s="78"/>
    </row>
    <row r="9858">
      <c r="C9858" s="85"/>
      <c r="D9858" s="25"/>
      <c r="E9858" s="77"/>
      <c r="F9858" s="88"/>
      <c r="G9858" s="88"/>
      <c r="H9858" s="89"/>
      <c r="K9858" s="58"/>
      <c r="L9858" s="91"/>
      <c r="M9858" s="78"/>
    </row>
    <row r="9859">
      <c r="C9859" s="85"/>
      <c r="D9859" s="25"/>
      <c r="E9859" s="77"/>
      <c r="F9859" s="88"/>
      <c r="G9859" s="88"/>
      <c r="H9859" s="89"/>
      <c r="K9859" s="58"/>
      <c r="L9859" s="91"/>
      <c r="M9859" s="78"/>
    </row>
    <row r="9860">
      <c r="C9860" s="85"/>
      <c r="D9860" s="25"/>
      <c r="E9860" s="77"/>
      <c r="F9860" s="88"/>
      <c r="G9860" s="88"/>
      <c r="H9860" s="89"/>
      <c r="K9860" s="58"/>
      <c r="L9860" s="91"/>
      <c r="M9860" s="78"/>
    </row>
    <row r="9861">
      <c r="C9861" s="85"/>
      <c r="D9861" s="25"/>
      <c r="E9861" s="77"/>
      <c r="F9861" s="88"/>
      <c r="G9861" s="88"/>
      <c r="H9861" s="89"/>
      <c r="K9861" s="58"/>
      <c r="L9861" s="91"/>
      <c r="M9861" s="78"/>
    </row>
    <row r="9862">
      <c r="C9862" s="85"/>
      <c r="D9862" s="25"/>
      <c r="E9862" s="77"/>
      <c r="F9862" s="88"/>
      <c r="G9862" s="88"/>
      <c r="H9862" s="89"/>
      <c r="K9862" s="58"/>
      <c r="L9862" s="91"/>
      <c r="M9862" s="78"/>
    </row>
    <row r="9863">
      <c r="C9863" s="85"/>
      <c r="D9863" s="25"/>
      <c r="E9863" s="77"/>
      <c r="F9863" s="88"/>
      <c r="G9863" s="88"/>
      <c r="H9863" s="89"/>
      <c r="K9863" s="58"/>
      <c r="L9863" s="91"/>
      <c r="M9863" s="78"/>
    </row>
    <row r="9864">
      <c r="C9864" s="85"/>
      <c r="D9864" s="25"/>
      <c r="E9864" s="77"/>
      <c r="F9864" s="88"/>
      <c r="G9864" s="88"/>
      <c r="H9864" s="89"/>
      <c r="K9864" s="58"/>
      <c r="L9864" s="91"/>
      <c r="M9864" s="78"/>
    </row>
    <row r="9865">
      <c r="C9865" s="85"/>
      <c r="D9865" s="25"/>
      <c r="E9865" s="77"/>
      <c r="F9865" s="88"/>
      <c r="G9865" s="88"/>
      <c r="H9865" s="89"/>
      <c r="K9865" s="58"/>
      <c r="L9865" s="91"/>
      <c r="M9865" s="78"/>
    </row>
    <row r="9866">
      <c r="C9866" s="85"/>
      <c r="D9866" s="25"/>
      <c r="E9866" s="77"/>
      <c r="F9866" s="88"/>
      <c r="G9866" s="88"/>
      <c r="H9866" s="89"/>
      <c r="K9866" s="58"/>
      <c r="L9866" s="91"/>
      <c r="M9866" s="78"/>
    </row>
    <row r="9867">
      <c r="C9867" s="85"/>
      <c r="D9867" s="25"/>
      <c r="E9867" s="77"/>
      <c r="F9867" s="88"/>
      <c r="G9867" s="88"/>
      <c r="H9867" s="89"/>
      <c r="K9867" s="58"/>
      <c r="L9867" s="91"/>
      <c r="M9867" s="78"/>
    </row>
    <row r="9868">
      <c r="C9868" s="85"/>
      <c r="D9868" s="25"/>
      <c r="E9868" s="77"/>
      <c r="F9868" s="88"/>
      <c r="G9868" s="88"/>
      <c r="H9868" s="89"/>
      <c r="K9868" s="58"/>
      <c r="L9868" s="91"/>
      <c r="M9868" s="78"/>
    </row>
    <row r="9869">
      <c r="C9869" s="85"/>
      <c r="D9869" s="25"/>
      <c r="E9869" s="77"/>
      <c r="F9869" s="88"/>
      <c r="G9869" s="88"/>
      <c r="H9869" s="89"/>
      <c r="K9869" s="58"/>
      <c r="L9869" s="91"/>
      <c r="M9869" s="78"/>
    </row>
    <row r="9870">
      <c r="C9870" s="85"/>
      <c r="D9870" s="25"/>
      <c r="E9870" s="77"/>
      <c r="F9870" s="88"/>
      <c r="G9870" s="88"/>
      <c r="H9870" s="89"/>
      <c r="K9870" s="58"/>
      <c r="L9870" s="91"/>
      <c r="M9870" s="78"/>
    </row>
    <row r="9871">
      <c r="C9871" s="85"/>
      <c r="D9871" s="25"/>
      <c r="E9871" s="77"/>
      <c r="F9871" s="88"/>
      <c r="G9871" s="88"/>
      <c r="H9871" s="89"/>
      <c r="K9871" s="58"/>
      <c r="L9871" s="91"/>
      <c r="M9871" s="78"/>
    </row>
    <row r="9872">
      <c r="C9872" s="85"/>
      <c r="D9872" s="25"/>
      <c r="E9872" s="77"/>
      <c r="F9872" s="88"/>
      <c r="G9872" s="88"/>
      <c r="H9872" s="89"/>
      <c r="K9872" s="58"/>
      <c r="L9872" s="91"/>
      <c r="M9872" s="78"/>
    </row>
    <row r="9873">
      <c r="C9873" s="85"/>
      <c r="D9873" s="25"/>
      <c r="E9873" s="77"/>
      <c r="F9873" s="88"/>
      <c r="G9873" s="88"/>
      <c r="H9873" s="89"/>
      <c r="K9873" s="58"/>
      <c r="L9873" s="91"/>
      <c r="M9873" s="78"/>
    </row>
    <row r="9874">
      <c r="C9874" s="85"/>
      <c r="D9874" s="25"/>
      <c r="E9874" s="77"/>
      <c r="F9874" s="88"/>
      <c r="G9874" s="88"/>
      <c r="H9874" s="89"/>
      <c r="K9874" s="58"/>
      <c r="L9874" s="91"/>
      <c r="M9874" s="78"/>
    </row>
    <row r="9875">
      <c r="C9875" s="85"/>
      <c r="D9875" s="25"/>
      <c r="E9875" s="77"/>
      <c r="F9875" s="88"/>
      <c r="G9875" s="88"/>
      <c r="H9875" s="89"/>
      <c r="K9875" s="58"/>
      <c r="L9875" s="91"/>
      <c r="M9875" s="78"/>
    </row>
    <row r="9876">
      <c r="C9876" s="85"/>
      <c r="D9876" s="25"/>
      <c r="E9876" s="77"/>
      <c r="F9876" s="88"/>
      <c r="G9876" s="88"/>
      <c r="H9876" s="89"/>
      <c r="K9876" s="58"/>
      <c r="L9876" s="91"/>
      <c r="M9876" s="78"/>
    </row>
    <row r="9877">
      <c r="C9877" s="85"/>
      <c r="D9877" s="25"/>
      <c r="E9877" s="77"/>
      <c r="F9877" s="88"/>
      <c r="G9877" s="88"/>
      <c r="H9877" s="89"/>
      <c r="K9877" s="58"/>
      <c r="L9877" s="91"/>
      <c r="M9877" s="78"/>
    </row>
    <row r="9878">
      <c r="C9878" s="85"/>
      <c r="D9878" s="25"/>
      <c r="E9878" s="77"/>
      <c r="F9878" s="88"/>
      <c r="G9878" s="88"/>
      <c r="H9878" s="89"/>
      <c r="K9878" s="58"/>
      <c r="L9878" s="91"/>
      <c r="M9878" s="78"/>
    </row>
    <row r="9879">
      <c r="C9879" s="85"/>
      <c r="D9879" s="25"/>
      <c r="E9879" s="77"/>
      <c r="F9879" s="88"/>
      <c r="G9879" s="88"/>
      <c r="H9879" s="89"/>
      <c r="K9879" s="58"/>
      <c r="L9879" s="91"/>
      <c r="M9879" s="78"/>
    </row>
    <row r="9880">
      <c r="C9880" s="85"/>
      <c r="D9880" s="25"/>
      <c r="E9880" s="77"/>
      <c r="F9880" s="88"/>
      <c r="G9880" s="88"/>
      <c r="H9880" s="89"/>
      <c r="K9880" s="58"/>
      <c r="L9880" s="91"/>
      <c r="M9880" s="78"/>
    </row>
    <row r="9881">
      <c r="C9881" s="85"/>
      <c r="D9881" s="25"/>
      <c r="E9881" s="77"/>
      <c r="F9881" s="88"/>
      <c r="G9881" s="88"/>
      <c r="H9881" s="89"/>
      <c r="K9881" s="58"/>
      <c r="L9881" s="91"/>
      <c r="M9881" s="78"/>
    </row>
    <row r="9882">
      <c r="C9882" s="85"/>
      <c r="D9882" s="25"/>
      <c r="E9882" s="77"/>
      <c r="F9882" s="88"/>
      <c r="G9882" s="88"/>
      <c r="H9882" s="89"/>
      <c r="K9882" s="58"/>
      <c r="L9882" s="91"/>
      <c r="M9882" s="78"/>
    </row>
    <row r="9883">
      <c r="C9883" s="85"/>
      <c r="D9883" s="25"/>
      <c r="E9883" s="77"/>
      <c r="F9883" s="88"/>
      <c r="G9883" s="88"/>
      <c r="H9883" s="89"/>
      <c r="K9883" s="58"/>
      <c r="L9883" s="91"/>
      <c r="M9883" s="78"/>
    </row>
    <row r="9884">
      <c r="C9884" s="85"/>
      <c r="D9884" s="25"/>
      <c r="E9884" s="77"/>
      <c r="F9884" s="88"/>
      <c r="G9884" s="88"/>
      <c r="H9884" s="89"/>
      <c r="K9884" s="58"/>
      <c r="L9884" s="91"/>
      <c r="M9884" s="78"/>
    </row>
    <row r="9885">
      <c r="C9885" s="85"/>
      <c r="D9885" s="25"/>
      <c r="E9885" s="77"/>
      <c r="F9885" s="88"/>
      <c r="G9885" s="88"/>
      <c r="H9885" s="89"/>
      <c r="K9885" s="58"/>
      <c r="L9885" s="91"/>
      <c r="M9885" s="78"/>
    </row>
    <row r="9886">
      <c r="C9886" s="85"/>
      <c r="D9886" s="25"/>
      <c r="E9886" s="77"/>
      <c r="F9886" s="88"/>
      <c r="G9886" s="88"/>
      <c r="H9886" s="89"/>
      <c r="K9886" s="58"/>
      <c r="L9886" s="91"/>
      <c r="M9886" s="78"/>
    </row>
    <row r="9887">
      <c r="C9887" s="85"/>
      <c r="D9887" s="25"/>
      <c r="E9887" s="77"/>
      <c r="F9887" s="88"/>
      <c r="G9887" s="88"/>
      <c r="H9887" s="89"/>
      <c r="K9887" s="58"/>
      <c r="L9887" s="91"/>
      <c r="M9887" s="78"/>
    </row>
    <row r="9888">
      <c r="C9888" s="85"/>
      <c r="D9888" s="25"/>
      <c r="E9888" s="77"/>
      <c r="F9888" s="88"/>
      <c r="G9888" s="88"/>
      <c r="H9888" s="89"/>
      <c r="K9888" s="58"/>
      <c r="L9888" s="91"/>
      <c r="M9888" s="78"/>
    </row>
    <row r="9889">
      <c r="C9889" s="85"/>
      <c r="D9889" s="25"/>
      <c r="E9889" s="77"/>
      <c r="F9889" s="88"/>
      <c r="G9889" s="88"/>
      <c r="H9889" s="89"/>
      <c r="K9889" s="58"/>
      <c r="L9889" s="91"/>
      <c r="M9889" s="78"/>
    </row>
    <row r="9890">
      <c r="C9890" s="85"/>
      <c r="D9890" s="25"/>
      <c r="E9890" s="77"/>
      <c r="F9890" s="88"/>
      <c r="G9890" s="88"/>
      <c r="H9890" s="89"/>
      <c r="K9890" s="58"/>
      <c r="L9890" s="91"/>
      <c r="M9890" s="78"/>
    </row>
    <row r="9891">
      <c r="C9891" s="85"/>
      <c r="D9891" s="25"/>
      <c r="E9891" s="77"/>
      <c r="F9891" s="88"/>
      <c r="G9891" s="88"/>
      <c r="H9891" s="89"/>
      <c r="K9891" s="58"/>
      <c r="L9891" s="91"/>
      <c r="M9891" s="78"/>
    </row>
    <row r="9892">
      <c r="C9892" s="85"/>
      <c r="D9892" s="25"/>
      <c r="E9892" s="77"/>
      <c r="F9892" s="88"/>
      <c r="G9892" s="88"/>
      <c r="H9892" s="89"/>
      <c r="K9892" s="58"/>
      <c r="L9892" s="91"/>
      <c r="M9892" s="78"/>
    </row>
    <row r="9893">
      <c r="C9893" s="85"/>
      <c r="D9893" s="25"/>
      <c r="E9893" s="77"/>
      <c r="F9893" s="88"/>
      <c r="G9893" s="88"/>
      <c r="H9893" s="89"/>
      <c r="K9893" s="58"/>
      <c r="L9893" s="91"/>
      <c r="M9893" s="78"/>
    </row>
    <row r="9894">
      <c r="C9894" s="85"/>
      <c r="D9894" s="25"/>
      <c r="E9894" s="77"/>
      <c r="F9894" s="88"/>
      <c r="G9894" s="88"/>
      <c r="H9894" s="89"/>
      <c r="K9894" s="58"/>
      <c r="L9894" s="91"/>
      <c r="M9894" s="78"/>
    </row>
    <row r="9895">
      <c r="C9895" s="85"/>
      <c r="D9895" s="25"/>
      <c r="E9895" s="77"/>
      <c r="F9895" s="88"/>
      <c r="G9895" s="88"/>
      <c r="H9895" s="89"/>
      <c r="K9895" s="58"/>
      <c r="L9895" s="91"/>
      <c r="M9895" s="78"/>
    </row>
    <row r="9896">
      <c r="C9896" s="85"/>
      <c r="D9896" s="25"/>
      <c r="E9896" s="77"/>
      <c r="F9896" s="88"/>
      <c r="G9896" s="88"/>
      <c r="H9896" s="89"/>
      <c r="K9896" s="58"/>
      <c r="L9896" s="91"/>
      <c r="M9896" s="78"/>
    </row>
    <row r="9897">
      <c r="C9897" s="85"/>
      <c r="D9897" s="25"/>
      <c r="E9897" s="77"/>
      <c r="F9897" s="88"/>
      <c r="G9897" s="88"/>
      <c r="H9897" s="89"/>
      <c r="K9897" s="58"/>
      <c r="L9897" s="91"/>
      <c r="M9897" s="78"/>
    </row>
    <row r="9898">
      <c r="C9898" s="85"/>
      <c r="D9898" s="25"/>
      <c r="E9898" s="77"/>
      <c r="F9898" s="88"/>
      <c r="G9898" s="88"/>
      <c r="H9898" s="89"/>
      <c r="K9898" s="58"/>
      <c r="L9898" s="91"/>
      <c r="M9898" s="78"/>
    </row>
    <row r="9899">
      <c r="C9899" s="85"/>
      <c r="D9899" s="25"/>
      <c r="E9899" s="77"/>
      <c r="F9899" s="88"/>
      <c r="G9899" s="88"/>
      <c r="H9899" s="89"/>
      <c r="K9899" s="58"/>
      <c r="L9899" s="91"/>
      <c r="M9899" s="78"/>
    </row>
    <row r="9900">
      <c r="C9900" s="85"/>
      <c r="D9900" s="25"/>
      <c r="E9900" s="77"/>
      <c r="F9900" s="88"/>
      <c r="G9900" s="88"/>
      <c r="H9900" s="89"/>
      <c r="K9900" s="58"/>
      <c r="L9900" s="91"/>
      <c r="M9900" s="78"/>
    </row>
    <row r="9901">
      <c r="C9901" s="85"/>
      <c r="D9901" s="25"/>
      <c r="E9901" s="77"/>
      <c r="F9901" s="88"/>
      <c r="G9901" s="88"/>
      <c r="H9901" s="89"/>
      <c r="K9901" s="58"/>
      <c r="L9901" s="91"/>
      <c r="M9901" s="78"/>
    </row>
    <row r="9902">
      <c r="C9902" s="85"/>
      <c r="D9902" s="25"/>
      <c r="E9902" s="77"/>
      <c r="F9902" s="88"/>
      <c r="G9902" s="88"/>
      <c r="H9902" s="89"/>
      <c r="K9902" s="58"/>
      <c r="L9902" s="91"/>
      <c r="M9902" s="78"/>
    </row>
    <row r="9903">
      <c r="C9903" s="85"/>
      <c r="D9903" s="25"/>
      <c r="E9903" s="77"/>
      <c r="F9903" s="88"/>
      <c r="G9903" s="88"/>
      <c r="H9903" s="89"/>
      <c r="K9903" s="58"/>
      <c r="L9903" s="91"/>
      <c r="M9903" s="78"/>
    </row>
    <row r="9904">
      <c r="C9904" s="85"/>
      <c r="D9904" s="25"/>
      <c r="E9904" s="77"/>
      <c r="F9904" s="88"/>
      <c r="G9904" s="88"/>
      <c r="H9904" s="89"/>
      <c r="K9904" s="58"/>
      <c r="L9904" s="91"/>
      <c r="M9904" s="78"/>
    </row>
    <row r="9905">
      <c r="C9905" s="85"/>
      <c r="D9905" s="25"/>
      <c r="E9905" s="77"/>
      <c r="F9905" s="88"/>
      <c r="G9905" s="88"/>
      <c r="H9905" s="89"/>
      <c r="K9905" s="58"/>
      <c r="L9905" s="91"/>
      <c r="M9905" s="78"/>
    </row>
    <row r="9906">
      <c r="C9906" s="85"/>
      <c r="D9906" s="25"/>
      <c r="E9906" s="77"/>
      <c r="F9906" s="88"/>
      <c r="G9906" s="88"/>
      <c r="H9906" s="89"/>
      <c r="K9906" s="58"/>
      <c r="L9906" s="91"/>
      <c r="M9906" s="78"/>
    </row>
    <row r="9907">
      <c r="C9907" s="85"/>
      <c r="D9907" s="25"/>
      <c r="E9907" s="77"/>
      <c r="F9907" s="88"/>
      <c r="G9907" s="88"/>
      <c r="H9907" s="89"/>
      <c r="K9907" s="58"/>
      <c r="L9907" s="91"/>
      <c r="M9907" s="78"/>
    </row>
    <row r="9908">
      <c r="C9908" s="85"/>
      <c r="D9908" s="25"/>
      <c r="E9908" s="77"/>
      <c r="F9908" s="88"/>
      <c r="G9908" s="88"/>
      <c r="H9908" s="89"/>
      <c r="K9908" s="58"/>
      <c r="L9908" s="91"/>
      <c r="M9908" s="78"/>
    </row>
    <row r="9909">
      <c r="C9909" s="85"/>
      <c r="D9909" s="25"/>
      <c r="E9909" s="77"/>
      <c r="F9909" s="88"/>
      <c r="G9909" s="88"/>
      <c r="H9909" s="89"/>
      <c r="K9909" s="58"/>
      <c r="L9909" s="91"/>
      <c r="M9909" s="78"/>
    </row>
    <row r="9910">
      <c r="C9910" s="85"/>
      <c r="D9910" s="25"/>
      <c r="E9910" s="77"/>
      <c r="F9910" s="88"/>
      <c r="G9910" s="88"/>
      <c r="H9910" s="89"/>
      <c r="K9910" s="58"/>
      <c r="L9910" s="91"/>
      <c r="M9910" s="78"/>
    </row>
    <row r="9911">
      <c r="C9911" s="85"/>
      <c r="D9911" s="25"/>
      <c r="E9911" s="77"/>
      <c r="F9911" s="88"/>
      <c r="G9911" s="88"/>
      <c r="H9911" s="89"/>
      <c r="K9911" s="58"/>
      <c r="L9911" s="91"/>
      <c r="M9911" s="78"/>
    </row>
    <row r="9912">
      <c r="C9912" s="85"/>
      <c r="D9912" s="25"/>
      <c r="E9912" s="77"/>
      <c r="F9912" s="88"/>
      <c r="G9912" s="88"/>
      <c r="H9912" s="89"/>
      <c r="K9912" s="58"/>
      <c r="L9912" s="91"/>
      <c r="M9912" s="78"/>
    </row>
    <row r="9913">
      <c r="C9913" s="85"/>
      <c r="D9913" s="25"/>
      <c r="E9913" s="77"/>
      <c r="F9913" s="88"/>
      <c r="G9913" s="88"/>
      <c r="H9913" s="89"/>
      <c r="K9913" s="58"/>
      <c r="L9913" s="91"/>
      <c r="M9913" s="78"/>
    </row>
    <row r="9914">
      <c r="C9914" s="85"/>
      <c r="D9914" s="25"/>
      <c r="E9914" s="77"/>
      <c r="F9914" s="88"/>
      <c r="G9914" s="88"/>
      <c r="H9914" s="89"/>
      <c r="K9914" s="58"/>
      <c r="L9914" s="91"/>
      <c r="M9914" s="78"/>
    </row>
    <row r="9915">
      <c r="C9915" s="85"/>
      <c r="D9915" s="25"/>
      <c r="E9915" s="77"/>
      <c r="F9915" s="88"/>
      <c r="G9915" s="88"/>
      <c r="H9915" s="89"/>
      <c r="K9915" s="58"/>
      <c r="L9915" s="91"/>
      <c r="M9915" s="78"/>
    </row>
    <row r="9916">
      <c r="C9916" s="85"/>
      <c r="D9916" s="25"/>
      <c r="E9916" s="77"/>
      <c r="F9916" s="88"/>
      <c r="G9916" s="88"/>
      <c r="H9916" s="89"/>
      <c r="K9916" s="58"/>
      <c r="L9916" s="91"/>
      <c r="M9916" s="78"/>
    </row>
    <row r="9917">
      <c r="C9917" s="85"/>
      <c r="D9917" s="25"/>
      <c r="E9917" s="77"/>
      <c r="F9917" s="88"/>
      <c r="G9917" s="88"/>
      <c r="H9917" s="89"/>
      <c r="K9917" s="58"/>
      <c r="L9917" s="91"/>
      <c r="M9917" s="78"/>
    </row>
    <row r="9918">
      <c r="C9918" s="85"/>
      <c r="D9918" s="25"/>
      <c r="E9918" s="77"/>
      <c r="F9918" s="88"/>
      <c r="G9918" s="88"/>
      <c r="H9918" s="89"/>
      <c r="K9918" s="58"/>
      <c r="L9918" s="91"/>
      <c r="M9918" s="78"/>
    </row>
    <row r="9919">
      <c r="C9919" s="85"/>
      <c r="D9919" s="25"/>
      <c r="E9919" s="77"/>
      <c r="F9919" s="88"/>
      <c r="G9919" s="88"/>
      <c r="H9919" s="89"/>
      <c r="K9919" s="58"/>
      <c r="L9919" s="91"/>
      <c r="M9919" s="78"/>
    </row>
    <row r="9920">
      <c r="C9920" s="85"/>
      <c r="D9920" s="25"/>
      <c r="E9920" s="77"/>
      <c r="F9920" s="88"/>
      <c r="G9920" s="88"/>
      <c r="H9920" s="89"/>
      <c r="K9920" s="58"/>
      <c r="L9920" s="91"/>
      <c r="M9920" s="78"/>
    </row>
    <row r="9921">
      <c r="C9921" s="85"/>
      <c r="D9921" s="25"/>
      <c r="E9921" s="77"/>
      <c r="F9921" s="88"/>
      <c r="G9921" s="88"/>
      <c r="H9921" s="89"/>
      <c r="K9921" s="58"/>
      <c r="L9921" s="91"/>
      <c r="M9921" s="78"/>
    </row>
    <row r="9922">
      <c r="C9922" s="85"/>
      <c r="D9922" s="25"/>
      <c r="E9922" s="77"/>
      <c r="F9922" s="88"/>
      <c r="G9922" s="88"/>
      <c r="H9922" s="89"/>
      <c r="K9922" s="58"/>
      <c r="L9922" s="91"/>
      <c r="M9922" s="78"/>
    </row>
    <row r="9923">
      <c r="C9923" s="85"/>
      <c r="D9923" s="25"/>
      <c r="E9923" s="77"/>
      <c r="F9923" s="88"/>
      <c r="G9923" s="88"/>
      <c r="H9923" s="89"/>
      <c r="K9923" s="58"/>
      <c r="L9923" s="91"/>
      <c r="M9923" s="78"/>
    </row>
    <row r="9924">
      <c r="C9924" s="85"/>
      <c r="D9924" s="25"/>
      <c r="E9924" s="77"/>
      <c r="F9924" s="88"/>
      <c r="G9924" s="88"/>
      <c r="H9924" s="89"/>
      <c r="K9924" s="58"/>
      <c r="L9924" s="91"/>
      <c r="M9924" s="78"/>
    </row>
    <row r="9925">
      <c r="C9925" s="85"/>
      <c r="D9925" s="25"/>
      <c r="E9925" s="77"/>
      <c r="F9925" s="88"/>
      <c r="G9925" s="88"/>
      <c r="H9925" s="89"/>
      <c r="K9925" s="58"/>
      <c r="L9925" s="91"/>
      <c r="M9925" s="78"/>
    </row>
    <row r="9926">
      <c r="C9926" s="85"/>
      <c r="D9926" s="25"/>
      <c r="E9926" s="77"/>
      <c r="F9926" s="88"/>
      <c r="G9926" s="88"/>
      <c r="H9926" s="89"/>
      <c r="K9926" s="58"/>
      <c r="L9926" s="91"/>
      <c r="M9926" s="78"/>
    </row>
    <row r="9927">
      <c r="C9927" s="85"/>
      <c r="D9927" s="25"/>
      <c r="E9927" s="77"/>
      <c r="F9927" s="88"/>
      <c r="G9927" s="88"/>
      <c r="H9927" s="89"/>
      <c r="K9927" s="58"/>
      <c r="L9927" s="91"/>
      <c r="M9927" s="78"/>
    </row>
    <row r="9928">
      <c r="C9928" s="85"/>
      <c r="D9928" s="25"/>
      <c r="E9928" s="77"/>
      <c r="F9928" s="88"/>
      <c r="G9928" s="88"/>
      <c r="H9928" s="89"/>
      <c r="K9928" s="58"/>
      <c r="L9928" s="91"/>
      <c r="M9928" s="78"/>
    </row>
    <row r="9929">
      <c r="C9929" s="85"/>
      <c r="D9929" s="25"/>
      <c r="E9929" s="77"/>
      <c r="F9929" s="88"/>
      <c r="G9929" s="88"/>
      <c r="H9929" s="89"/>
      <c r="K9929" s="58"/>
      <c r="L9929" s="91"/>
      <c r="M9929" s="78"/>
    </row>
    <row r="9930">
      <c r="C9930" s="85"/>
      <c r="D9930" s="25"/>
      <c r="E9930" s="77"/>
      <c r="F9930" s="88"/>
      <c r="G9930" s="88"/>
      <c r="H9930" s="89"/>
      <c r="K9930" s="58"/>
      <c r="L9930" s="91"/>
      <c r="M9930" s="78"/>
    </row>
    <row r="9931">
      <c r="C9931" s="85"/>
      <c r="D9931" s="25"/>
      <c r="E9931" s="77"/>
      <c r="F9931" s="88"/>
      <c r="G9931" s="88"/>
      <c r="H9931" s="89"/>
      <c r="K9931" s="58"/>
      <c r="L9931" s="91"/>
      <c r="M9931" s="78"/>
    </row>
    <row r="9932">
      <c r="C9932" s="85"/>
      <c r="D9932" s="25"/>
      <c r="E9932" s="77"/>
      <c r="F9932" s="88"/>
      <c r="G9932" s="88"/>
      <c r="H9932" s="89"/>
      <c r="K9932" s="58"/>
      <c r="L9932" s="91"/>
      <c r="M9932" s="78"/>
    </row>
    <row r="9933">
      <c r="C9933" s="85"/>
      <c r="D9933" s="25"/>
      <c r="E9933" s="77"/>
      <c r="F9933" s="88"/>
      <c r="G9933" s="88"/>
      <c r="H9933" s="89"/>
      <c r="K9933" s="58"/>
      <c r="L9933" s="91"/>
      <c r="M9933" s="78"/>
    </row>
    <row r="9934">
      <c r="C9934" s="85"/>
      <c r="D9934" s="25"/>
      <c r="E9934" s="77"/>
      <c r="F9934" s="88"/>
      <c r="G9934" s="88"/>
      <c r="H9934" s="89"/>
      <c r="K9934" s="58"/>
      <c r="L9934" s="91"/>
      <c r="M9934" s="78"/>
    </row>
    <row r="9935">
      <c r="C9935" s="85"/>
      <c r="D9935" s="25"/>
      <c r="E9935" s="77"/>
      <c r="F9935" s="88"/>
      <c r="G9935" s="88"/>
      <c r="H9935" s="89"/>
      <c r="K9935" s="58"/>
      <c r="L9935" s="91"/>
      <c r="M9935" s="78"/>
    </row>
    <row r="9936">
      <c r="C9936" s="85"/>
      <c r="D9936" s="25"/>
      <c r="E9936" s="77"/>
      <c r="F9936" s="88"/>
      <c r="G9936" s="88"/>
      <c r="H9936" s="89"/>
      <c r="K9936" s="58"/>
      <c r="L9936" s="91"/>
      <c r="M9936" s="78"/>
    </row>
    <row r="9937">
      <c r="C9937" s="85"/>
      <c r="D9937" s="25"/>
      <c r="E9937" s="77"/>
      <c r="F9937" s="88"/>
      <c r="G9937" s="88"/>
      <c r="H9937" s="89"/>
      <c r="K9937" s="58"/>
      <c r="L9937" s="91"/>
      <c r="M9937" s="78"/>
    </row>
    <row r="9938">
      <c r="C9938" s="85"/>
      <c r="D9938" s="25"/>
      <c r="E9938" s="77"/>
      <c r="F9938" s="88"/>
      <c r="G9938" s="88"/>
      <c r="H9938" s="89"/>
      <c r="K9938" s="58"/>
      <c r="L9938" s="91"/>
      <c r="M9938" s="78"/>
    </row>
    <row r="9939">
      <c r="C9939" s="85"/>
      <c r="D9939" s="25"/>
      <c r="E9939" s="77"/>
      <c r="F9939" s="88"/>
      <c r="G9939" s="88"/>
      <c r="H9939" s="89"/>
      <c r="K9939" s="58"/>
      <c r="L9939" s="91"/>
      <c r="M9939" s="78"/>
    </row>
    <row r="9940">
      <c r="C9940" s="85"/>
      <c r="D9940" s="25"/>
      <c r="E9940" s="77"/>
      <c r="F9940" s="88"/>
      <c r="G9940" s="88"/>
      <c r="H9940" s="89"/>
      <c r="K9940" s="58"/>
      <c r="L9940" s="91"/>
      <c r="M9940" s="78"/>
    </row>
    <row r="9941">
      <c r="C9941" s="85"/>
      <c r="D9941" s="25"/>
      <c r="E9941" s="77"/>
      <c r="F9941" s="88"/>
      <c r="G9941" s="88"/>
      <c r="H9941" s="89"/>
      <c r="K9941" s="58"/>
      <c r="L9941" s="91"/>
      <c r="M9941" s="78"/>
    </row>
    <row r="9942">
      <c r="C9942" s="85"/>
      <c r="D9942" s="25"/>
      <c r="E9942" s="77"/>
      <c r="F9942" s="88"/>
      <c r="G9942" s="88"/>
      <c r="H9942" s="89"/>
      <c r="K9942" s="58"/>
      <c r="L9942" s="91"/>
      <c r="M9942" s="78"/>
    </row>
    <row r="9943">
      <c r="C9943" s="85"/>
      <c r="D9943" s="25"/>
      <c r="E9943" s="77"/>
      <c r="F9943" s="88"/>
      <c r="G9943" s="88"/>
      <c r="H9943" s="89"/>
      <c r="K9943" s="58"/>
      <c r="L9943" s="91"/>
      <c r="M9943" s="78"/>
    </row>
    <row r="9944">
      <c r="C9944" s="85"/>
      <c r="D9944" s="25"/>
      <c r="E9944" s="77"/>
      <c r="F9944" s="88"/>
      <c r="G9944" s="88"/>
      <c r="H9944" s="89"/>
      <c r="K9944" s="58"/>
      <c r="L9944" s="91"/>
      <c r="M9944" s="78"/>
    </row>
    <row r="9945">
      <c r="C9945" s="85"/>
      <c r="D9945" s="25"/>
      <c r="E9945" s="77"/>
      <c r="F9945" s="88"/>
      <c r="G9945" s="88"/>
      <c r="H9945" s="89"/>
      <c r="K9945" s="58"/>
      <c r="L9945" s="91"/>
      <c r="M9945" s="78"/>
    </row>
    <row r="9946">
      <c r="C9946" s="85"/>
      <c r="D9946" s="25"/>
      <c r="E9946" s="77"/>
      <c r="F9946" s="88"/>
      <c r="G9946" s="88"/>
      <c r="H9946" s="89"/>
      <c r="K9946" s="58"/>
      <c r="L9946" s="91"/>
      <c r="M9946" s="78"/>
    </row>
    <row r="9947">
      <c r="C9947" s="85"/>
      <c r="D9947" s="25"/>
      <c r="E9947" s="77"/>
      <c r="F9947" s="88"/>
      <c r="G9947" s="88"/>
      <c r="H9947" s="89"/>
      <c r="K9947" s="58"/>
      <c r="L9947" s="91"/>
      <c r="M9947" s="78"/>
    </row>
    <row r="9948">
      <c r="C9948" s="85"/>
      <c r="D9948" s="25"/>
      <c r="E9948" s="77"/>
      <c r="F9948" s="88"/>
      <c r="G9948" s="88"/>
      <c r="H9948" s="89"/>
      <c r="K9948" s="58"/>
      <c r="L9948" s="91"/>
      <c r="M9948" s="78"/>
    </row>
    <row r="9949">
      <c r="C9949" s="85"/>
      <c r="D9949" s="25"/>
      <c r="E9949" s="77"/>
      <c r="F9949" s="88"/>
      <c r="G9949" s="88"/>
      <c r="H9949" s="89"/>
      <c r="K9949" s="58"/>
      <c r="L9949" s="91"/>
      <c r="M9949" s="78"/>
    </row>
    <row r="9950">
      <c r="C9950" s="85"/>
      <c r="D9950" s="25"/>
      <c r="E9950" s="77"/>
      <c r="F9950" s="88"/>
      <c r="G9950" s="88"/>
      <c r="H9950" s="89"/>
      <c r="K9950" s="58"/>
      <c r="L9950" s="91"/>
      <c r="M9950" s="78"/>
    </row>
    <row r="9951">
      <c r="C9951" s="85"/>
      <c r="D9951" s="25"/>
      <c r="E9951" s="77"/>
      <c r="F9951" s="88"/>
      <c r="G9951" s="88"/>
      <c r="H9951" s="89"/>
      <c r="K9951" s="58"/>
      <c r="L9951" s="91"/>
      <c r="M9951" s="78"/>
    </row>
    <row r="9952">
      <c r="C9952" s="85"/>
      <c r="D9952" s="25"/>
      <c r="E9952" s="77"/>
      <c r="F9952" s="88"/>
      <c r="G9952" s="88"/>
      <c r="H9952" s="89"/>
      <c r="K9952" s="58"/>
      <c r="L9952" s="91"/>
      <c r="M9952" s="78"/>
    </row>
    <row r="9953">
      <c r="C9953" s="85"/>
      <c r="D9953" s="25"/>
      <c r="E9953" s="77"/>
      <c r="F9953" s="88"/>
      <c r="G9953" s="88"/>
      <c r="H9953" s="89"/>
      <c r="K9953" s="58"/>
      <c r="L9953" s="91"/>
      <c r="M9953" s="78"/>
    </row>
    <row r="9954">
      <c r="C9954" s="85"/>
      <c r="D9954" s="25"/>
      <c r="E9954" s="77"/>
      <c r="F9954" s="88"/>
      <c r="G9954" s="88"/>
      <c r="H9954" s="89"/>
      <c r="K9954" s="58"/>
      <c r="L9954" s="91"/>
      <c r="M9954" s="78"/>
    </row>
    <row r="9955">
      <c r="C9955" s="85"/>
      <c r="D9955" s="25"/>
      <c r="E9955" s="77"/>
      <c r="F9955" s="88"/>
      <c r="G9955" s="88"/>
      <c r="H9955" s="89"/>
      <c r="K9955" s="58"/>
      <c r="L9955" s="91"/>
      <c r="M9955" s="78"/>
    </row>
    <row r="9956">
      <c r="C9956" s="85"/>
      <c r="D9956" s="25"/>
      <c r="E9956" s="77"/>
      <c r="F9956" s="88"/>
      <c r="G9956" s="88"/>
      <c r="H9956" s="89"/>
      <c r="K9956" s="58"/>
      <c r="L9956" s="91"/>
      <c r="M9956" s="78"/>
    </row>
    <row r="9957">
      <c r="C9957" s="85"/>
      <c r="D9957" s="25"/>
      <c r="E9957" s="77"/>
      <c r="F9957" s="88"/>
      <c r="G9957" s="88"/>
      <c r="H9957" s="89"/>
      <c r="K9957" s="58"/>
      <c r="L9957" s="91"/>
      <c r="M9957" s="78"/>
    </row>
    <row r="9958">
      <c r="C9958" s="85"/>
      <c r="D9958" s="25"/>
      <c r="E9958" s="77"/>
      <c r="F9958" s="88"/>
      <c r="G9958" s="88"/>
      <c r="H9958" s="89"/>
      <c r="K9958" s="58"/>
      <c r="L9958" s="91"/>
      <c r="M9958" s="78"/>
    </row>
    <row r="9959">
      <c r="C9959" s="85"/>
      <c r="D9959" s="25"/>
      <c r="E9959" s="77"/>
      <c r="F9959" s="88"/>
      <c r="G9959" s="88"/>
      <c r="H9959" s="89"/>
      <c r="K9959" s="58"/>
      <c r="L9959" s="91"/>
      <c r="M9959" s="78"/>
    </row>
    <row r="9960">
      <c r="C9960" s="85"/>
      <c r="D9960" s="25"/>
      <c r="E9960" s="77"/>
      <c r="F9960" s="88"/>
      <c r="G9960" s="88"/>
      <c r="H9960" s="89"/>
      <c r="K9960" s="58"/>
      <c r="L9960" s="91"/>
      <c r="M9960" s="78"/>
    </row>
    <row r="9961">
      <c r="C9961" s="85"/>
      <c r="D9961" s="25"/>
      <c r="E9961" s="77"/>
      <c r="F9961" s="88"/>
      <c r="G9961" s="88"/>
      <c r="H9961" s="89"/>
      <c r="K9961" s="58"/>
      <c r="L9961" s="91"/>
      <c r="M9961" s="78"/>
    </row>
    <row r="9962">
      <c r="C9962" s="85"/>
      <c r="D9962" s="25"/>
      <c r="E9962" s="77"/>
      <c r="F9962" s="88"/>
      <c r="G9962" s="88"/>
      <c r="H9962" s="89"/>
      <c r="K9962" s="58"/>
      <c r="L9962" s="91"/>
      <c r="M9962" s="78"/>
    </row>
    <row r="9963">
      <c r="C9963" s="85"/>
      <c r="D9963" s="25"/>
      <c r="E9963" s="77"/>
      <c r="F9963" s="88"/>
      <c r="G9963" s="88"/>
      <c r="H9963" s="89"/>
      <c r="K9963" s="58"/>
      <c r="L9963" s="91"/>
      <c r="M9963" s="78"/>
    </row>
    <row r="9964">
      <c r="C9964" s="85"/>
      <c r="D9964" s="25"/>
      <c r="E9964" s="77"/>
      <c r="F9964" s="88"/>
      <c r="G9964" s="88"/>
      <c r="H9964" s="89"/>
      <c r="K9964" s="58"/>
      <c r="L9964" s="91"/>
      <c r="M9964" s="78"/>
    </row>
    <row r="9965">
      <c r="C9965" s="85"/>
      <c r="D9965" s="25"/>
      <c r="E9965" s="77"/>
      <c r="F9965" s="88"/>
      <c r="G9965" s="88"/>
      <c r="H9965" s="89"/>
      <c r="K9965" s="58"/>
      <c r="L9965" s="91"/>
      <c r="M9965" s="78"/>
    </row>
    <row r="9966">
      <c r="C9966" s="85"/>
      <c r="D9966" s="25"/>
      <c r="E9966" s="77"/>
      <c r="F9966" s="88"/>
      <c r="G9966" s="88"/>
      <c r="H9966" s="89"/>
      <c r="K9966" s="58"/>
      <c r="L9966" s="91"/>
      <c r="M9966" s="78"/>
    </row>
    <row r="9967">
      <c r="C9967" s="85"/>
      <c r="D9967" s="25"/>
      <c r="E9967" s="77"/>
      <c r="F9967" s="88"/>
      <c r="G9967" s="88"/>
      <c r="H9967" s="89"/>
      <c r="K9967" s="58"/>
      <c r="L9967" s="91"/>
      <c r="M9967" s="78"/>
    </row>
    <row r="9968">
      <c r="C9968" s="85"/>
      <c r="D9968" s="25"/>
      <c r="E9968" s="77"/>
      <c r="F9968" s="88"/>
      <c r="G9968" s="88"/>
      <c r="H9968" s="89"/>
      <c r="K9968" s="58"/>
      <c r="L9968" s="91"/>
      <c r="M9968" s="78"/>
    </row>
    <row r="9969">
      <c r="C9969" s="85"/>
      <c r="D9969" s="25"/>
      <c r="E9969" s="77"/>
      <c r="F9969" s="88"/>
      <c r="G9969" s="88"/>
      <c r="H9969" s="89"/>
      <c r="K9969" s="58"/>
      <c r="L9969" s="91"/>
      <c r="M9969" s="78"/>
    </row>
    <row r="9970">
      <c r="C9970" s="85"/>
      <c r="D9970" s="25"/>
      <c r="E9970" s="77"/>
      <c r="F9970" s="88"/>
      <c r="G9970" s="88"/>
      <c r="H9970" s="89"/>
      <c r="K9970" s="58"/>
      <c r="L9970" s="91"/>
      <c r="M9970" s="78"/>
    </row>
    <row r="9971">
      <c r="C9971" s="85"/>
      <c r="D9971" s="25"/>
      <c r="E9971" s="77"/>
      <c r="F9971" s="88"/>
      <c r="G9971" s="88"/>
      <c r="H9971" s="89"/>
      <c r="K9971" s="58"/>
      <c r="L9971" s="91"/>
      <c r="M9971" s="78"/>
    </row>
    <row r="9972">
      <c r="C9972" s="85"/>
      <c r="D9972" s="25"/>
      <c r="E9972" s="77"/>
      <c r="F9972" s="88"/>
      <c r="G9972" s="88"/>
      <c r="H9972" s="89"/>
      <c r="K9972" s="58"/>
      <c r="L9972" s="91"/>
      <c r="M9972" s="78"/>
    </row>
    <row r="9973">
      <c r="C9973" s="85"/>
      <c r="D9973" s="25"/>
      <c r="E9973" s="77"/>
      <c r="F9973" s="88"/>
      <c r="G9973" s="88"/>
      <c r="H9973" s="89"/>
      <c r="K9973" s="58"/>
      <c r="L9973" s="91"/>
      <c r="M9973" s="78"/>
    </row>
    <row r="9974">
      <c r="C9974" s="85"/>
      <c r="D9974" s="25"/>
      <c r="E9974" s="77"/>
      <c r="F9974" s="88"/>
      <c r="G9974" s="88"/>
      <c r="H9974" s="89"/>
      <c r="K9974" s="58"/>
      <c r="L9974" s="91"/>
      <c r="M9974" s="78"/>
    </row>
    <row r="9975">
      <c r="C9975" s="85"/>
      <c r="D9975" s="25"/>
      <c r="E9975" s="77"/>
      <c r="F9975" s="88"/>
      <c r="G9975" s="88"/>
      <c r="H9975" s="89"/>
      <c r="K9975" s="58"/>
      <c r="L9975" s="91"/>
      <c r="M9975" s="78"/>
    </row>
    <row r="9976">
      <c r="C9976" s="85"/>
      <c r="D9976" s="25"/>
      <c r="E9976" s="77"/>
      <c r="F9976" s="88"/>
      <c r="G9976" s="88"/>
      <c r="H9976" s="89"/>
      <c r="K9976" s="58"/>
      <c r="L9976" s="91"/>
      <c r="M9976" s="78"/>
    </row>
    <row r="9977">
      <c r="C9977" s="85"/>
      <c r="D9977" s="25"/>
      <c r="E9977" s="77"/>
      <c r="F9977" s="88"/>
      <c r="G9977" s="88"/>
      <c r="H9977" s="89"/>
      <c r="K9977" s="58"/>
      <c r="L9977" s="91"/>
      <c r="M9977" s="78"/>
    </row>
    <row r="9978">
      <c r="C9978" s="85"/>
      <c r="D9978" s="25"/>
      <c r="E9978" s="77"/>
      <c r="F9978" s="88"/>
      <c r="G9978" s="88"/>
      <c r="H9978" s="89"/>
      <c r="K9978" s="58"/>
      <c r="L9978" s="91"/>
      <c r="M9978" s="78"/>
    </row>
    <row r="9979">
      <c r="C9979" s="85"/>
      <c r="D9979" s="25"/>
      <c r="E9979" s="77"/>
      <c r="F9979" s="88"/>
      <c r="G9979" s="88"/>
      <c r="H9979" s="89"/>
      <c r="K9979" s="58"/>
      <c r="L9979" s="91"/>
      <c r="M9979" s="78"/>
    </row>
    <row r="9980">
      <c r="C9980" s="85"/>
      <c r="D9980" s="25"/>
      <c r="E9980" s="77"/>
      <c r="F9980" s="88"/>
      <c r="G9980" s="88"/>
      <c r="H9980" s="89"/>
      <c r="K9980" s="58"/>
      <c r="L9980" s="91"/>
      <c r="M9980" s="78"/>
    </row>
    <row r="9981">
      <c r="C9981" s="85"/>
      <c r="D9981" s="25"/>
      <c r="E9981" s="77"/>
      <c r="F9981" s="88"/>
      <c r="G9981" s="88"/>
      <c r="H9981" s="89"/>
      <c r="K9981" s="58"/>
      <c r="L9981" s="91"/>
      <c r="M9981" s="78"/>
    </row>
    <row r="9982">
      <c r="C9982" s="85"/>
      <c r="D9982" s="25"/>
      <c r="E9982" s="77"/>
      <c r="F9982" s="88"/>
      <c r="G9982" s="88"/>
      <c r="H9982" s="89"/>
      <c r="K9982" s="58"/>
      <c r="L9982" s="91"/>
      <c r="M9982" s="78"/>
    </row>
    <row r="9983">
      <c r="C9983" s="85"/>
      <c r="D9983" s="25"/>
      <c r="E9983" s="77"/>
      <c r="F9983" s="88"/>
      <c r="G9983" s="88"/>
      <c r="H9983" s="89"/>
      <c r="K9983" s="58"/>
      <c r="L9983" s="91"/>
      <c r="M9983" s="78"/>
    </row>
    <row r="9984">
      <c r="C9984" s="85"/>
      <c r="D9984" s="25"/>
      <c r="E9984" s="77"/>
      <c r="F9984" s="88"/>
      <c r="G9984" s="88"/>
      <c r="H9984" s="89"/>
      <c r="K9984" s="58"/>
      <c r="L9984" s="91"/>
      <c r="M9984" s="78"/>
    </row>
    <row r="9985">
      <c r="C9985" s="85"/>
      <c r="D9985" s="25"/>
      <c r="E9985" s="77"/>
      <c r="F9985" s="88"/>
      <c r="G9985" s="88"/>
      <c r="H9985" s="89"/>
      <c r="K9985" s="58"/>
      <c r="L9985" s="91"/>
      <c r="M9985" s="78"/>
    </row>
    <row r="9986">
      <c r="C9986" s="85"/>
      <c r="D9986" s="25"/>
      <c r="E9986" s="77"/>
      <c r="F9986" s="88"/>
      <c r="G9986" s="88"/>
      <c r="H9986" s="89"/>
      <c r="K9986" s="58"/>
      <c r="L9986" s="91"/>
      <c r="M9986" s="78"/>
    </row>
    <row r="9987">
      <c r="C9987" s="85"/>
      <c r="D9987" s="25"/>
      <c r="E9987" s="77"/>
      <c r="F9987" s="88"/>
      <c r="G9987" s="88"/>
      <c r="H9987" s="89"/>
      <c r="K9987" s="58"/>
      <c r="L9987" s="91"/>
      <c r="M9987" s="78"/>
    </row>
    <row r="9988">
      <c r="C9988" s="85"/>
      <c r="D9988" s="25"/>
      <c r="E9988" s="77"/>
      <c r="F9988" s="88"/>
      <c r="G9988" s="88"/>
      <c r="H9988" s="89"/>
      <c r="K9988" s="58"/>
      <c r="L9988" s="91"/>
      <c r="M9988" s="78"/>
    </row>
    <row r="9989">
      <c r="C9989" s="85"/>
      <c r="D9989" s="25"/>
      <c r="E9989" s="77"/>
      <c r="F9989" s="88"/>
      <c r="G9989" s="88"/>
      <c r="H9989" s="89"/>
      <c r="K9989" s="58"/>
      <c r="L9989" s="91"/>
      <c r="M9989" s="78"/>
    </row>
    <row r="9990">
      <c r="C9990" s="85"/>
      <c r="D9990" s="25"/>
      <c r="E9990" s="77"/>
      <c r="F9990" s="88"/>
      <c r="G9990" s="88"/>
      <c r="H9990" s="89"/>
      <c r="K9990" s="58"/>
      <c r="L9990" s="91"/>
      <c r="M9990" s="78"/>
    </row>
    <row r="9991">
      <c r="C9991" s="85"/>
      <c r="D9991" s="25"/>
      <c r="E9991" s="77"/>
      <c r="F9991" s="88"/>
      <c r="G9991" s="88"/>
      <c r="H9991" s="89"/>
      <c r="K9991" s="58"/>
      <c r="L9991" s="91"/>
      <c r="M9991" s="78"/>
    </row>
    <row r="9992">
      <c r="C9992" s="85"/>
      <c r="D9992" s="25"/>
      <c r="E9992" s="77"/>
      <c r="F9992" s="88"/>
      <c r="G9992" s="88"/>
      <c r="H9992" s="89"/>
      <c r="K9992" s="58"/>
      <c r="L9992" s="91"/>
      <c r="M9992" s="78"/>
    </row>
    <row r="9993">
      <c r="C9993" s="85"/>
      <c r="D9993" s="25"/>
      <c r="E9993" s="77"/>
      <c r="F9993" s="88"/>
      <c r="G9993" s="88"/>
      <c r="H9993" s="89"/>
      <c r="K9993" s="58"/>
      <c r="L9993" s="91"/>
      <c r="M9993" s="78"/>
    </row>
    <row r="9994">
      <c r="C9994" s="85"/>
      <c r="D9994" s="25"/>
      <c r="E9994" s="77"/>
      <c r="F9994" s="88"/>
      <c r="G9994" s="88"/>
      <c r="H9994" s="89"/>
      <c r="K9994" s="58"/>
      <c r="L9994" s="91"/>
      <c r="M9994" s="78"/>
    </row>
    <row r="9995">
      <c r="C9995" s="85"/>
      <c r="D9995" s="25"/>
      <c r="E9995" s="77"/>
      <c r="F9995" s="88"/>
      <c r="G9995" s="88"/>
      <c r="H9995" s="89"/>
      <c r="K9995" s="58"/>
      <c r="L9995" s="91"/>
      <c r="M9995" s="78"/>
    </row>
    <row r="9996">
      <c r="C9996" s="85"/>
      <c r="D9996" s="25"/>
      <c r="E9996" s="77"/>
      <c r="F9996" s="88"/>
      <c r="G9996" s="88"/>
      <c r="H9996" s="89"/>
      <c r="K9996" s="58"/>
      <c r="L9996" s="91"/>
      <c r="M9996" s="78"/>
    </row>
    <row r="9997">
      <c r="C9997" s="85"/>
      <c r="D9997" s="25"/>
      <c r="E9997" s="77"/>
      <c r="F9997" s="88"/>
      <c r="G9997" s="88"/>
      <c r="H9997" s="89"/>
      <c r="K9997" s="58"/>
      <c r="L9997" s="91"/>
      <c r="M9997" s="78"/>
    </row>
    <row r="9998">
      <c r="C9998" s="85"/>
      <c r="D9998" s="25"/>
      <c r="E9998" s="77"/>
      <c r="F9998" s="88"/>
      <c r="G9998" s="88"/>
      <c r="H9998" s="89"/>
      <c r="K9998" s="58"/>
      <c r="L9998" s="91"/>
      <c r="M9998" s="78"/>
    </row>
    <row r="9999">
      <c r="C9999" s="85"/>
      <c r="D9999" s="25"/>
      <c r="E9999" s="77"/>
      <c r="F9999" s="88"/>
      <c r="G9999" s="88"/>
      <c r="H9999" s="89"/>
      <c r="K9999" s="58"/>
      <c r="L9999" s="91"/>
      <c r="M9999" s="78"/>
    </row>
    <row r="10000">
      <c r="C10000" s="85"/>
      <c r="D10000" s="25"/>
      <c r="E10000" s="77"/>
      <c r="F10000" s="88"/>
      <c r="G10000" s="88"/>
      <c r="H10000" s="89"/>
      <c r="K10000" s="58"/>
      <c r="L10000" s="91"/>
      <c r="M10000" s="78"/>
    </row>
    <row r="10001">
      <c r="C10001" s="85"/>
      <c r="D10001" s="25"/>
      <c r="E10001" s="77"/>
      <c r="F10001" s="88"/>
      <c r="G10001" s="88"/>
      <c r="H10001" s="89"/>
      <c r="K10001" s="58"/>
      <c r="L10001" s="91"/>
      <c r="M10001" s="78"/>
    </row>
    <row r="10002">
      <c r="C10002" s="85"/>
      <c r="D10002" s="25"/>
      <c r="E10002" s="77"/>
      <c r="F10002" s="88"/>
      <c r="G10002" s="88"/>
      <c r="H10002" s="89"/>
      <c r="K10002" s="58"/>
      <c r="L10002" s="91"/>
      <c r="M10002" s="78"/>
    </row>
    <row r="10003">
      <c r="C10003" s="85"/>
      <c r="D10003" s="25"/>
      <c r="E10003" s="77"/>
      <c r="F10003" s="88"/>
      <c r="G10003" s="88"/>
      <c r="H10003" s="89"/>
      <c r="K10003" s="58"/>
      <c r="L10003" s="91"/>
      <c r="M10003" s="78"/>
    </row>
    <row r="10004">
      <c r="C10004" s="85"/>
      <c r="D10004" s="25"/>
      <c r="E10004" s="77"/>
      <c r="F10004" s="88"/>
      <c r="G10004" s="88"/>
      <c r="H10004" s="89"/>
      <c r="K10004" s="58"/>
      <c r="L10004" s="91"/>
      <c r="M10004" s="78"/>
    </row>
    <row r="10005">
      <c r="C10005" s="85"/>
      <c r="D10005" s="25"/>
      <c r="E10005" s="77"/>
      <c r="F10005" s="88"/>
      <c r="G10005" s="88"/>
      <c r="H10005" s="89"/>
      <c r="K10005" s="58"/>
      <c r="L10005" s="91"/>
      <c r="M10005" s="78"/>
    </row>
    <row r="10006">
      <c r="C10006" s="85"/>
      <c r="D10006" s="25"/>
      <c r="E10006" s="77"/>
      <c r="F10006" s="88"/>
      <c r="G10006" s="88"/>
      <c r="H10006" s="89"/>
      <c r="K10006" s="58"/>
      <c r="L10006" s="91"/>
      <c r="M10006" s="78"/>
    </row>
    <row r="10007">
      <c r="C10007" s="85"/>
      <c r="D10007" s="25"/>
      <c r="E10007" s="77"/>
      <c r="F10007" s="88"/>
      <c r="G10007" s="88"/>
      <c r="H10007" s="89"/>
      <c r="K10007" s="58"/>
      <c r="L10007" s="91"/>
      <c r="M10007" s="78"/>
    </row>
    <row r="10008">
      <c r="C10008" s="85"/>
      <c r="D10008" s="25"/>
      <c r="E10008" s="77"/>
      <c r="F10008" s="88"/>
      <c r="G10008" s="88"/>
      <c r="H10008" s="89"/>
      <c r="K10008" s="58"/>
      <c r="L10008" s="91"/>
      <c r="M10008" s="78"/>
    </row>
    <row r="10009">
      <c r="C10009" s="85"/>
      <c r="D10009" s="25"/>
      <c r="E10009" s="77"/>
      <c r="F10009" s="88"/>
      <c r="G10009" s="88"/>
      <c r="H10009" s="89"/>
      <c r="K10009" s="58"/>
      <c r="L10009" s="91"/>
      <c r="M10009" s="78"/>
    </row>
    <row r="10010">
      <c r="C10010" s="85"/>
      <c r="D10010" s="25"/>
      <c r="E10010" s="77"/>
      <c r="F10010" s="88"/>
      <c r="G10010" s="88"/>
      <c r="H10010" s="89"/>
      <c r="K10010" s="58"/>
      <c r="L10010" s="91"/>
      <c r="M10010" s="78"/>
    </row>
    <row r="10011">
      <c r="C10011" s="85"/>
      <c r="D10011" s="25"/>
      <c r="E10011" s="77"/>
      <c r="F10011" s="88"/>
      <c r="G10011" s="88"/>
      <c r="H10011" s="89"/>
      <c r="K10011" s="58"/>
      <c r="L10011" s="91"/>
      <c r="M10011" s="78"/>
    </row>
    <row r="10012">
      <c r="C10012" s="85"/>
      <c r="D10012" s="25"/>
      <c r="E10012" s="77"/>
      <c r="F10012" s="88"/>
      <c r="G10012" s="88"/>
      <c r="H10012" s="89"/>
      <c r="K10012" s="58"/>
      <c r="L10012" s="91"/>
      <c r="M10012" s="78"/>
    </row>
    <row r="10013">
      <c r="C10013" s="85"/>
      <c r="D10013" s="25"/>
      <c r="E10013" s="77"/>
      <c r="F10013" s="88"/>
      <c r="G10013" s="88"/>
      <c r="H10013" s="89"/>
      <c r="K10013" s="58"/>
      <c r="L10013" s="91"/>
      <c r="M10013" s="78"/>
    </row>
    <row r="10014">
      <c r="C10014" s="85"/>
      <c r="D10014" s="25"/>
      <c r="E10014" s="77"/>
      <c r="F10014" s="88"/>
      <c r="G10014" s="88"/>
      <c r="H10014" s="89"/>
      <c r="K10014" s="58"/>
      <c r="L10014" s="91"/>
      <c r="M10014" s="78"/>
    </row>
    <row r="10015">
      <c r="C10015" s="85"/>
      <c r="D10015" s="25"/>
      <c r="E10015" s="77"/>
      <c r="F10015" s="88"/>
      <c r="G10015" s="88"/>
      <c r="H10015" s="89"/>
      <c r="K10015" s="58"/>
      <c r="L10015" s="91"/>
      <c r="M10015" s="78"/>
    </row>
    <row r="10016">
      <c r="C10016" s="85"/>
      <c r="D10016" s="25"/>
      <c r="E10016" s="77"/>
      <c r="F10016" s="88"/>
      <c r="G10016" s="88"/>
      <c r="H10016" s="89"/>
      <c r="K10016" s="58"/>
      <c r="L10016" s="91"/>
      <c r="M10016" s="78"/>
    </row>
    <row r="10017">
      <c r="C10017" s="85"/>
      <c r="D10017" s="25"/>
      <c r="E10017" s="77"/>
      <c r="F10017" s="88"/>
      <c r="G10017" s="88"/>
      <c r="H10017" s="89"/>
      <c r="K10017" s="58"/>
      <c r="L10017" s="91"/>
      <c r="M10017" s="78"/>
    </row>
    <row r="10018">
      <c r="C10018" s="85"/>
      <c r="D10018" s="25"/>
      <c r="E10018" s="77"/>
      <c r="F10018" s="88"/>
      <c r="G10018" s="88"/>
      <c r="H10018" s="89"/>
      <c r="K10018" s="58"/>
      <c r="L10018" s="91"/>
      <c r="M10018" s="78"/>
    </row>
    <row r="10019">
      <c r="C10019" s="85"/>
      <c r="D10019" s="25"/>
      <c r="E10019" s="77"/>
      <c r="F10019" s="88"/>
      <c r="G10019" s="88"/>
      <c r="H10019" s="89"/>
      <c r="K10019" s="58"/>
      <c r="L10019" s="91"/>
      <c r="M10019" s="78"/>
    </row>
    <row r="10020">
      <c r="C10020" s="85"/>
      <c r="D10020" s="25"/>
      <c r="E10020" s="77"/>
      <c r="F10020" s="88"/>
      <c r="G10020" s="88"/>
      <c r="H10020" s="89"/>
      <c r="K10020" s="58"/>
      <c r="L10020" s="91"/>
      <c r="M10020" s="78"/>
    </row>
    <row r="10021">
      <c r="C10021" s="85"/>
      <c r="D10021" s="25"/>
      <c r="E10021" s="77"/>
      <c r="F10021" s="88"/>
      <c r="G10021" s="88"/>
      <c r="H10021" s="89"/>
      <c r="K10021" s="58"/>
      <c r="L10021" s="91"/>
      <c r="M10021" s="78"/>
    </row>
    <row r="10022">
      <c r="C10022" s="85"/>
      <c r="D10022" s="25"/>
      <c r="E10022" s="77"/>
      <c r="F10022" s="88"/>
      <c r="G10022" s="88"/>
      <c r="H10022" s="89"/>
      <c r="K10022" s="58"/>
      <c r="L10022" s="91"/>
      <c r="M10022" s="78"/>
    </row>
    <row r="10023">
      <c r="C10023" s="85"/>
      <c r="D10023" s="25"/>
      <c r="E10023" s="77"/>
      <c r="F10023" s="88"/>
      <c r="G10023" s="88"/>
      <c r="H10023" s="89"/>
      <c r="K10023" s="58"/>
      <c r="L10023" s="91"/>
      <c r="M10023" s="78"/>
    </row>
    <row r="10024">
      <c r="C10024" s="85"/>
      <c r="D10024" s="25"/>
      <c r="E10024" s="77"/>
      <c r="F10024" s="88"/>
      <c r="G10024" s="88"/>
      <c r="H10024" s="89"/>
      <c r="K10024" s="58"/>
      <c r="L10024" s="91"/>
      <c r="M10024" s="78"/>
    </row>
    <row r="10025">
      <c r="C10025" s="85"/>
      <c r="D10025" s="25"/>
      <c r="E10025" s="77"/>
      <c r="F10025" s="88"/>
      <c r="G10025" s="88"/>
      <c r="H10025" s="89"/>
      <c r="K10025" s="58"/>
      <c r="L10025" s="91"/>
      <c r="M10025" s="78"/>
    </row>
    <row r="10026">
      <c r="C10026" s="85"/>
      <c r="D10026" s="25"/>
      <c r="E10026" s="77"/>
      <c r="F10026" s="88"/>
      <c r="G10026" s="88"/>
      <c r="H10026" s="89"/>
      <c r="K10026" s="58"/>
      <c r="L10026" s="91"/>
      <c r="M10026" s="78"/>
    </row>
    <row r="10027">
      <c r="C10027" s="85"/>
      <c r="D10027" s="25"/>
      <c r="E10027" s="77"/>
      <c r="F10027" s="88"/>
      <c r="G10027" s="88"/>
      <c r="H10027" s="89"/>
      <c r="K10027" s="58"/>
      <c r="L10027" s="91"/>
      <c r="M10027" s="78"/>
    </row>
    <row r="10028">
      <c r="C10028" s="85"/>
      <c r="D10028" s="25"/>
      <c r="E10028" s="77"/>
      <c r="F10028" s="88"/>
      <c r="G10028" s="88"/>
      <c r="H10028" s="89"/>
      <c r="K10028" s="58"/>
      <c r="L10028" s="91"/>
      <c r="M10028" s="78"/>
    </row>
    <row r="10029">
      <c r="C10029" s="85"/>
      <c r="D10029" s="25"/>
      <c r="E10029" s="77"/>
      <c r="F10029" s="88"/>
      <c r="G10029" s="88"/>
      <c r="H10029" s="89"/>
      <c r="K10029" s="58"/>
      <c r="L10029" s="91"/>
      <c r="M10029" s="78"/>
    </row>
    <row r="10030">
      <c r="C10030" s="85"/>
      <c r="D10030" s="25"/>
      <c r="E10030" s="77"/>
      <c r="F10030" s="88"/>
      <c r="G10030" s="88"/>
      <c r="H10030" s="89"/>
      <c r="K10030" s="58"/>
      <c r="L10030" s="91"/>
      <c r="M10030" s="78"/>
    </row>
    <row r="10031">
      <c r="C10031" s="85"/>
      <c r="D10031" s="25"/>
      <c r="E10031" s="77"/>
      <c r="F10031" s="88"/>
      <c r="G10031" s="88"/>
      <c r="H10031" s="89"/>
      <c r="K10031" s="58"/>
      <c r="L10031" s="91"/>
      <c r="M10031" s="78"/>
    </row>
    <row r="10032">
      <c r="C10032" s="85"/>
      <c r="D10032" s="25"/>
      <c r="E10032" s="77"/>
      <c r="F10032" s="88"/>
      <c r="G10032" s="88"/>
      <c r="H10032" s="89"/>
      <c r="K10032" s="58"/>
      <c r="L10032" s="91"/>
      <c r="M10032" s="78"/>
    </row>
    <row r="10033">
      <c r="C10033" s="85"/>
      <c r="D10033" s="25"/>
      <c r="E10033" s="77"/>
      <c r="F10033" s="88"/>
      <c r="G10033" s="88"/>
      <c r="H10033" s="89"/>
      <c r="K10033" s="58"/>
      <c r="L10033" s="91"/>
      <c r="M10033" s="78"/>
    </row>
    <row r="10034">
      <c r="C10034" s="85"/>
      <c r="D10034" s="25"/>
      <c r="E10034" s="77"/>
      <c r="F10034" s="88"/>
      <c r="G10034" s="88"/>
      <c r="H10034" s="89"/>
      <c r="K10034" s="58"/>
      <c r="L10034" s="91"/>
      <c r="M10034" s="78"/>
    </row>
    <row r="10035">
      <c r="C10035" s="85"/>
      <c r="D10035" s="25"/>
      <c r="E10035" s="77"/>
      <c r="F10035" s="88"/>
      <c r="G10035" s="88"/>
      <c r="H10035" s="89"/>
      <c r="K10035" s="58"/>
      <c r="L10035" s="91"/>
      <c r="M10035" s="78"/>
    </row>
    <row r="10036">
      <c r="C10036" s="85"/>
      <c r="D10036" s="25"/>
      <c r="E10036" s="77"/>
      <c r="F10036" s="88"/>
      <c r="G10036" s="88"/>
      <c r="H10036" s="89"/>
      <c r="K10036" s="58"/>
      <c r="L10036" s="91"/>
      <c r="M10036" s="78"/>
    </row>
    <row r="10037">
      <c r="C10037" s="85"/>
      <c r="D10037" s="25"/>
      <c r="E10037" s="77"/>
      <c r="F10037" s="88"/>
      <c r="G10037" s="88"/>
      <c r="H10037" s="89"/>
      <c r="K10037" s="58"/>
      <c r="L10037" s="91"/>
      <c r="M10037" s="78"/>
    </row>
    <row r="10038">
      <c r="C10038" s="85"/>
      <c r="D10038" s="25"/>
      <c r="E10038" s="77"/>
      <c r="F10038" s="88"/>
      <c r="G10038" s="88"/>
      <c r="H10038" s="89"/>
      <c r="K10038" s="58"/>
      <c r="L10038" s="91"/>
      <c r="M10038" s="78"/>
    </row>
    <row r="10039">
      <c r="C10039" s="85"/>
      <c r="D10039" s="25"/>
      <c r="E10039" s="77"/>
      <c r="F10039" s="88"/>
      <c r="G10039" s="88"/>
      <c r="H10039" s="89"/>
      <c r="K10039" s="58"/>
      <c r="L10039" s="91"/>
      <c r="M10039" s="78"/>
    </row>
    <row r="10040">
      <c r="C10040" s="85"/>
      <c r="D10040" s="25"/>
      <c r="E10040" s="77"/>
      <c r="F10040" s="88"/>
      <c r="G10040" s="88"/>
      <c r="H10040" s="89"/>
      <c r="K10040" s="58"/>
      <c r="L10040" s="91"/>
      <c r="M10040" s="78"/>
    </row>
    <row r="10041">
      <c r="C10041" s="85"/>
      <c r="D10041" s="25"/>
      <c r="E10041" s="77"/>
      <c r="F10041" s="88"/>
      <c r="G10041" s="88"/>
      <c r="H10041" s="89"/>
      <c r="K10041" s="58"/>
      <c r="L10041" s="91"/>
      <c r="M10041" s="78"/>
    </row>
    <row r="10042">
      <c r="C10042" s="85"/>
      <c r="D10042" s="25"/>
      <c r="E10042" s="77"/>
      <c r="F10042" s="88"/>
      <c r="G10042" s="88"/>
      <c r="H10042" s="89"/>
      <c r="K10042" s="58"/>
      <c r="L10042" s="91"/>
      <c r="M10042" s="78"/>
    </row>
    <row r="10043">
      <c r="C10043" s="85"/>
      <c r="D10043" s="25"/>
      <c r="E10043" s="77"/>
      <c r="F10043" s="88"/>
      <c r="G10043" s="88"/>
      <c r="H10043" s="89"/>
      <c r="K10043" s="58"/>
      <c r="L10043" s="91"/>
      <c r="M10043" s="78"/>
    </row>
    <row r="10044">
      <c r="C10044" s="85"/>
      <c r="D10044" s="25"/>
      <c r="E10044" s="77"/>
      <c r="F10044" s="88"/>
      <c r="G10044" s="88"/>
      <c r="H10044" s="89"/>
      <c r="K10044" s="58"/>
      <c r="L10044" s="91"/>
      <c r="M10044" s="78"/>
    </row>
    <row r="10045">
      <c r="C10045" s="85"/>
      <c r="D10045" s="25"/>
      <c r="E10045" s="77"/>
      <c r="F10045" s="88"/>
      <c r="G10045" s="88"/>
      <c r="H10045" s="89"/>
      <c r="K10045" s="58"/>
      <c r="L10045" s="91"/>
      <c r="M10045" s="78"/>
    </row>
    <row r="10046">
      <c r="C10046" s="85"/>
      <c r="D10046" s="25"/>
      <c r="E10046" s="77"/>
      <c r="F10046" s="88"/>
      <c r="G10046" s="88"/>
      <c r="H10046" s="89"/>
      <c r="K10046" s="58"/>
      <c r="L10046" s="91"/>
      <c r="M10046" s="78"/>
    </row>
    <row r="10047">
      <c r="C10047" s="85"/>
      <c r="D10047" s="25"/>
      <c r="E10047" s="77"/>
      <c r="F10047" s="88"/>
      <c r="G10047" s="88"/>
      <c r="H10047" s="89"/>
      <c r="K10047" s="58"/>
      <c r="L10047" s="91"/>
      <c r="M10047" s="78"/>
    </row>
    <row r="10048">
      <c r="C10048" s="85"/>
      <c r="D10048" s="25"/>
      <c r="E10048" s="77"/>
      <c r="F10048" s="88"/>
      <c r="G10048" s="88"/>
      <c r="H10048" s="89"/>
      <c r="K10048" s="58"/>
      <c r="L10048" s="91"/>
      <c r="M10048" s="78"/>
    </row>
    <row r="10049">
      <c r="C10049" s="85"/>
      <c r="D10049" s="25"/>
      <c r="E10049" s="77"/>
      <c r="F10049" s="88"/>
      <c r="G10049" s="88"/>
      <c r="H10049" s="89"/>
      <c r="K10049" s="58"/>
      <c r="L10049" s="91"/>
      <c r="M10049" s="78"/>
    </row>
    <row r="10050">
      <c r="C10050" s="85"/>
      <c r="D10050" s="25"/>
      <c r="E10050" s="77"/>
      <c r="F10050" s="88"/>
      <c r="G10050" s="88"/>
      <c r="H10050" s="89"/>
      <c r="K10050" s="58"/>
      <c r="L10050" s="91"/>
      <c r="M10050" s="78"/>
    </row>
    <row r="10051">
      <c r="C10051" s="85"/>
      <c r="D10051" s="25"/>
      <c r="E10051" s="77"/>
      <c r="F10051" s="88"/>
      <c r="G10051" s="88"/>
      <c r="H10051" s="89"/>
      <c r="K10051" s="58"/>
      <c r="L10051" s="91"/>
      <c r="M10051" s="78"/>
    </row>
    <row r="10052">
      <c r="C10052" s="85"/>
      <c r="D10052" s="25"/>
      <c r="E10052" s="77"/>
      <c r="F10052" s="88"/>
      <c r="G10052" s="88"/>
      <c r="H10052" s="89"/>
      <c r="K10052" s="58"/>
      <c r="L10052" s="91"/>
      <c r="M10052" s="78"/>
    </row>
    <row r="10053">
      <c r="C10053" s="85"/>
      <c r="D10053" s="25"/>
      <c r="E10053" s="77"/>
      <c r="F10053" s="88"/>
      <c r="G10053" s="88"/>
      <c r="H10053" s="89"/>
      <c r="K10053" s="58"/>
      <c r="L10053" s="91"/>
      <c r="M10053" s="78"/>
    </row>
    <row r="10054">
      <c r="C10054" s="85"/>
      <c r="D10054" s="25"/>
      <c r="E10054" s="77"/>
      <c r="F10054" s="88"/>
      <c r="G10054" s="88"/>
      <c r="H10054" s="89"/>
      <c r="K10054" s="58"/>
      <c r="L10054" s="91"/>
      <c r="M10054" s="78"/>
    </row>
    <row r="10055">
      <c r="C10055" s="85"/>
      <c r="D10055" s="25"/>
      <c r="E10055" s="77"/>
      <c r="F10055" s="88"/>
      <c r="G10055" s="88"/>
      <c r="H10055" s="89"/>
      <c r="K10055" s="58"/>
      <c r="L10055" s="91"/>
      <c r="M10055" s="78"/>
    </row>
    <row r="10056">
      <c r="C10056" s="85"/>
      <c r="D10056" s="25"/>
      <c r="E10056" s="77"/>
      <c r="F10056" s="88"/>
      <c r="G10056" s="88"/>
      <c r="H10056" s="89"/>
      <c r="K10056" s="58"/>
      <c r="L10056" s="91"/>
      <c r="M10056" s="78"/>
    </row>
    <row r="10057">
      <c r="C10057" s="85"/>
      <c r="D10057" s="25"/>
      <c r="E10057" s="77"/>
      <c r="F10057" s="88"/>
      <c r="G10057" s="88"/>
      <c r="H10057" s="89"/>
      <c r="K10057" s="58"/>
      <c r="L10057" s="91"/>
      <c r="M10057" s="78"/>
    </row>
    <row r="10058">
      <c r="C10058" s="85"/>
      <c r="D10058" s="25"/>
      <c r="E10058" s="77"/>
      <c r="F10058" s="88"/>
      <c r="G10058" s="88"/>
      <c r="H10058" s="89"/>
      <c r="K10058" s="58"/>
      <c r="L10058" s="91"/>
      <c r="M10058" s="78"/>
    </row>
    <row r="10059">
      <c r="C10059" s="85"/>
      <c r="D10059" s="25"/>
      <c r="E10059" s="77"/>
      <c r="F10059" s="88"/>
      <c r="G10059" s="88"/>
      <c r="H10059" s="89"/>
      <c r="K10059" s="58"/>
      <c r="L10059" s="91"/>
      <c r="M10059" s="78"/>
    </row>
    <row r="10060">
      <c r="C10060" s="85"/>
      <c r="D10060" s="25"/>
      <c r="E10060" s="77"/>
      <c r="F10060" s="88"/>
      <c r="G10060" s="88"/>
      <c r="H10060" s="89"/>
      <c r="K10060" s="58"/>
      <c r="L10060" s="91"/>
      <c r="M10060" s="78"/>
    </row>
    <row r="10061">
      <c r="C10061" s="85"/>
      <c r="D10061" s="25"/>
      <c r="E10061" s="77"/>
      <c r="F10061" s="88"/>
      <c r="G10061" s="88"/>
      <c r="H10061" s="89"/>
      <c r="K10061" s="58"/>
      <c r="L10061" s="91"/>
      <c r="M10061" s="78"/>
    </row>
    <row r="10062">
      <c r="C10062" s="85"/>
      <c r="D10062" s="25"/>
      <c r="E10062" s="77"/>
      <c r="F10062" s="88"/>
      <c r="G10062" s="88"/>
      <c r="H10062" s="89"/>
      <c r="K10062" s="58"/>
      <c r="L10062" s="91"/>
      <c r="M10062" s="78"/>
    </row>
    <row r="10063">
      <c r="C10063" s="85"/>
      <c r="D10063" s="25"/>
      <c r="E10063" s="77"/>
      <c r="F10063" s="88"/>
      <c r="G10063" s="88"/>
      <c r="H10063" s="89"/>
      <c r="K10063" s="58"/>
      <c r="L10063" s="91"/>
      <c r="M10063" s="78"/>
    </row>
    <row r="10064">
      <c r="C10064" s="85"/>
      <c r="D10064" s="25"/>
      <c r="E10064" s="77"/>
      <c r="F10064" s="88"/>
      <c r="G10064" s="88"/>
      <c r="H10064" s="89"/>
      <c r="K10064" s="58"/>
      <c r="L10064" s="91"/>
      <c r="M10064" s="78"/>
    </row>
    <row r="10065">
      <c r="C10065" s="85"/>
      <c r="D10065" s="25"/>
      <c r="E10065" s="77"/>
      <c r="F10065" s="88"/>
      <c r="G10065" s="88"/>
      <c r="H10065" s="89"/>
      <c r="K10065" s="58"/>
      <c r="L10065" s="91"/>
      <c r="M10065" s="78"/>
    </row>
    <row r="10066">
      <c r="C10066" s="85"/>
      <c r="D10066" s="25"/>
      <c r="E10066" s="77"/>
      <c r="F10066" s="88"/>
      <c r="G10066" s="88"/>
      <c r="H10066" s="89"/>
      <c r="K10066" s="58"/>
      <c r="L10066" s="91"/>
      <c r="M10066" s="78"/>
    </row>
    <row r="10067">
      <c r="C10067" s="85"/>
      <c r="D10067" s="25"/>
      <c r="E10067" s="77"/>
      <c r="F10067" s="88"/>
      <c r="G10067" s="88"/>
      <c r="H10067" s="89"/>
      <c r="K10067" s="58"/>
      <c r="L10067" s="91"/>
      <c r="M10067" s="78"/>
    </row>
    <row r="10068">
      <c r="C10068" s="85"/>
      <c r="D10068" s="25"/>
      <c r="E10068" s="77"/>
      <c r="F10068" s="88"/>
      <c r="G10068" s="88"/>
      <c r="H10068" s="89"/>
      <c r="K10068" s="58"/>
      <c r="L10068" s="91"/>
      <c r="M10068" s="78"/>
    </row>
    <row r="10069">
      <c r="C10069" s="85"/>
      <c r="D10069" s="25"/>
      <c r="E10069" s="77"/>
      <c r="F10069" s="88"/>
      <c r="G10069" s="88"/>
      <c r="H10069" s="89"/>
      <c r="K10069" s="58"/>
      <c r="L10069" s="91"/>
      <c r="M10069" s="78"/>
    </row>
    <row r="10070">
      <c r="C10070" s="85"/>
      <c r="D10070" s="25"/>
      <c r="E10070" s="77"/>
      <c r="F10070" s="88"/>
      <c r="G10070" s="88"/>
      <c r="H10070" s="89"/>
      <c r="K10070" s="58"/>
      <c r="L10070" s="91"/>
      <c r="M10070" s="78"/>
    </row>
    <row r="10071">
      <c r="C10071" s="85"/>
      <c r="D10071" s="25"/>
      <c r="E10071" s="77"/>
      <c r="F10071" s="88"/>
      <c r="G10071" s="88"/>
      <c r="H10071" s="89"/>
      <c r="K10071" s="58"/>
      <c r="L10071" s="91"/>
      <c r="M10071" s="78"/>
    </row>
    <row r="10072">
      <c r="C10072" s="85"/>
      <c r="D10072" s="25"/>
      <c r="E10072" s="77"/>
      <c r="F10072" s="88"/>
      <c r="G10072" s="88"/>
      <c r="H10072" s="89"/>
      <c r="K10072" s="58"/>
      <c r="L10072" s="91"/>
      <c r="M10072" s="78"/>
    </row>
    <row r="10073">
      <c r="C10073" s="85"/>
      <c r="D10073" s="25"/>
      <c r="E10073" s="77"/>
      <c r="F10073" s="88"/>
      <c r="G10073" s="88"/>
      <c r="H10073" s="89"/>
      <c r="K10073" s="58"/>
      <c r="L10073" s="91"/>
      <c r="M10073" s="78"/>
    </row>
    <row r="10074">
      <c r="C10074" s="85"/>
      <c r="D10074" s="25"/>
      <c r="E10074" s="77"/>
      <c r="F10074" s="88"/>
      <c r="G10074" s="88"/>
      <c r="H10074" s="89"/>
      <c r="K10074" s="58"/>
      <c r="L10074" s="91"/>
      <c r="M10074" s="78"/>
    </row>
    <row r="10075">
      <c r="C10075" s="85"/>
      <c r="D10075" s="25"/>
      <c r="E10075" s="77"/>
      <c r="F10075" s="88"/>
      <c r="G10075" s="88"/>
      <c r="H10075" s="89"/>
      <c r="K10075" s="58"/>
      <c r="L10075" s="91"/>
      <c r="M10075" s="78"/>
    </row>
    <row r="10076">
      <c r="C10076" s="85"/>
      <c r="D10076" s="25"/>
      <c r="E10076" s="77"/>
      <c r="F10076" s="88"/>
      <c r="G10076" s="88"/>
      <c r="H10076" s="89"/>
      <c r="K10076" s="58"/>
      <c r="L10076" s="91"/>
      <c r="M10076" s="78"/>
    </row>
    <row r="10077">
      <c r="C10077" s="85"/>
      <c r="D10077" s="25"/>
      <c r="E10077" s="77"/>
      <c r="F10077" s="88"/>
      <c r="G10077" s="88"/>
      <c r="H10077" s="89"/>
      <c r="K10077" s="58"/>
      <c r="L10077" s="91"/>
      <c r="M10077" s="78"/>
    </row>
    <row r="10078">
      <c r="C10078" s="85"/>
      <c r="D10078" s="25"/>
      <c r="E10078" s="77"/>
      <c r="F10078" s="88"/>
      <c r="G10078" s="88"/>
      <c r="H10078" s="89"/>
      <c r="K10078" s="58"/>
      <c r="L10078" s="91"/>
      <c r="M10078" s="78"/>
    </row>
    <row r="10079">
      <c r="C10079" s="85"/>
      <c r="D10079" s="25"/>
      <c r="E10079" s="77"/>
      <c r="F10079" s="88"/>
      <c r="G10079" s="88"/>
      <c r="H10079" s="89"/>
      <c r="K10079" s="58"/>
      <c r="L10079" s="91"/>
      <c r="M10079" s="78"/>
    </row>
    <row r="10080">
      <c r="C10080" s="85"/>
      <c r="D10080" s="25"/>
      <c r="E10080" s="77"/>
      <c r="F10080" s="88"/>
      <c r="G10080" s="88"/>
      <c r="H10080" s="89"/>
      <c r="K10080" s="58"/>
      <c r="L10080" s="91"/>
      <c r="M10080" s="78"/>
    </row>
    <row r="10081">
      <c r="C10081" s="85"/>
      <c r="D10081" s="25"/>
      <c r="E10081" s="77"/>
      <c r="F10081" s="88"/>
      <c r="G10081" s="88"/>
      <c r="H10081" s="89"/>
      <c r="K10081" s="58"/>
      <c r="L10081" s="91"/>
      <c r="M10081" s="78"/>
    </row>
    <row r="10082">
      <c r="C10082" s="85"/>
      <c r="D10082" s="25"/>
      <c r="E10082" s="77"/>
      <c r="F10082" s="88"/>
      <c r="G10082" s="88"/>
      <c r="H10082" s="89"/>
      <c r="K10082" s="58"/>
      <c r="L10082" s="91"/>
      <c r="M10082" s="78"/>
    </row>
    <row r="10083">
      <c r="C10083" s="85"/>
      <c r="D10083" s="25"/>
      <c r="E10083" s="77"/>
      <c r="F10083" s="88"/>
      <c r="G10083" s="88"/>
      <c r="H10083" s="89"/>
      <c r="K10083" s="58"/>
      <c r="L10083" s="91"/>
      <c r="M10083" s="78"/>
    </row>
    <row r="10084">
      <c r="C10084" s="85"/>
      <c r="D10084" s="25"/>
      <c r="E10084" s="77"/>
      <c r="F10084" s="88"/>
      <c r="G10084" s="88"/>
      <c r="H10084" s="89"/>
      <c r="K10084" s="58"/>
      <c r="L10084" s="91"/>
      <c r="M10084" s="78"/>
    </row>
    <row r="10085">
      <c r="C10085" s="85"/>
      <c r="D10085" s="25"/>
      <c r="E10085" s="77"/>
      <c r="F10085" s="88"/>
      <c r="G10085" s="88"/>
      <c r="H10085" s="89"/>
      <c r="K10085" s="58"/>
      <c r="L10085" s="91"/>
      <c r="M10085" s="78"/>
    </row>
    <row r="10086">
      <c r="C10086" s="85"/>
      <c r="D10086" s="25"/>
      <c r="E10086" s="77"/>
      <c r="F10086" s="88"/>
      <c r="G10086" s="88"/>
      <c r="H10086" s="89"/>
      <c r="K10086" s="58"/>
      <c r="L10086" s="91"/>
      <c r="M10086" s="78"/>
    </row>
    <row r="10087">
      <c r="C10087" s="85"/>
      <c r="D10087" s="25"/>
      <c r="E10087" s="77"/>
      <c r="F10087" s="88"/>
      <c r="G10087" s="88"/>
      <c r="H10087" s="89"/>
      <c r="K10087" s="58"/>
      <c r="L10087" s="91"/>
      <c r="M10087" s="78"/>
    </row>
    <row r="10088">
      <c r="C10088" s="85"/>
      <c r="D10088" s="25"/>
      <c r="E10088" s="77"/>
      <c r="F10088" s="88"/>
      <c r="G10088" s="88"/>
      <c r="H10088" s="89"/>
      <c r="K10088" s="58"/>
      <c r="L10088" s="91"/>
      <c r="M10088" s="78"/>
    </row>
    <row r="10089">
      <c r="C10089" s="85"/>
      <c r="D10089" s="25"/>
      <c r="E10089" s="77"/>
      <c r="F10089" s="88"/>
      <c r="G10089" s="88"/>
      <c r="H10089" s="89"/>
      <c r="K10089" s="58"/>
      <c r="L10089" s="91"/>
      <c r="M10089" s="78"/>
    </row>
    <row r="10090">
      <c r="C10090" s="85"/>
      <c r="D10090" s="25"/>
      <c r="E10090" s="77"/>
      <c r="F10090" s="88"/>
      <c r="G10090" s="88"/>
      <c r="H10090" s="89"/>
      <c r="K10090" s="58"/>
      <c r="L10090" s="91"/>
      <c r="M10090" s="78"/>
    </row>
    <row r="10091">
      <c r="C10091" s="85"/>
      <c r="D10091" s="25"/>
      <c r="E10091" s="77"/>
      <c r="F10091" s="88"/>
      <c r="G10091" s="88"/>
      <c r="H10091" s="89"/>
      <c r="K10091" s="58"/>
      <c r="L10091" s="91"/>
      <c r="M10091" s="78"/>
    </row>
    <row r="10092">
      <c r="C10092" s="85"/>
      <c r="D10092" s="25"/>
      <c r="E10092" s="77"/>
      <c r="F10092" s="88"/>
      <c r="G10092" s="88"/>
      <c r="H10092" s="89"/>
      <c r="K10092" s="58"/>
      <c r="L10092" s="91"/>
      <c r="M10092" s="78"/>
    </row>
    <row r="10093">
      <c r="C10093" s="85"/>
      <c r="D10093" s="25"/>
      <c r="E10093" s="77"/>
      <c r="F10093" s="88"/>
      <c r="G10093" s="88"/>
      <c r="H10093" s="89"/>
      <c r="K10093" s="58"/>
      <c r="L10093" s="91"/>
      <c r="M10093" s="78"/>
    </row>
    <row r="10094">
      <c r="C10094" s="85"/>
      <c r="D10094" s="25"/>
      <c r="E10094" s="77"/>
      <c r="F10094" s="88"/>
      <c r="G10094" s="88"/>
      <c r="H10094" s="89"/>
      <c r="K10094" s="58"/>
      <c r="L10094" s="91"/>
      <c r="M10094" s="78"/>
    </row>
    <row r="10095">
      <c r="C10095" s="85"/>
      <c r="D10095" s="25"/>
      <c r="E10095" s="77"/>
      <c r="F10095" s="88"/>
      <c r="G10095" s="88"/>
      <c r="H10095" s="89"/>
      <c r="K10095" s="58"/>
      <c r="L10095" s="91"/>
      <c r="M10095" s="78"/>
    </row>
    <row r="10096">
      <c r="C10096" s="85"/>
      <c r="D10096" s="25"/>
      <c r="E10096" s="77"/>
      <c r="F10096" s="88"/>
      <c r="G10096" s="88"/>
      <c r="H10096" s="89"/>
      <c r="K10096" s="58"/>
      <c r="L10096" s="91"/>
      <c r="M10096" s="78"/>
    </row>
    <row r="10097">
      <c r="C10097" s="85"/>
      <c r="D10097" s="25"/>
      <c r="E10097" s="77"/>
      <c r="F10097" s="88"/>
      <c r="G10097" s="88"/>
      <c r="H10097" s="89"/>
      <c r="K10097" s="58"/>
      <c r="L10097" s="91"/>
      <c r="M10097" s="78"/>
    </row>
    <row r="10098">
      <c r="C10098" s="85"/>
      <c r="D10098" s="25"/>
      <c r="E10098" s="77"/>
      <c r="F10098" s="88"/>
      <c r="G10098" s="88"/>
      <c r="H10098" s="89"/>
      <c r="K10098" s="58"/>
      <c r="L10098" s="91"/>
      <c r="M10098" s="78"/>
    </row>
    <row r="10099">
      <c r="C10099" s="85"/>
      <c r="D10099" s="25"/>
      <c r="E10099" s="77"/>
      <c r="F10099" s="88"/>
      <c r="G10099" s="88"/>
      <c r="H10099" s="89"/>
      <c r="K10099" s="58"/>
      <c r="L10099" s="91"/>
      <c r="M10099" s="78"/>
    </row>
    <row r="10100">
      <c r="C10100" s="85"/>
      <c r="D10100" s="25"/>
      <c r="E10100" s="77"/>
      <c r="F10100" s="88"/>
      <c r="G10100" s="88"/>
      <c r="H10100" s="89"/>
      <c r="K10100" s="58"/>
      <c r="L10100" s="91"/>
      <c r="M10100" s="78"/>
    </row>
    <row r="10101">
      <c r="C10101" s="85"/>
      <c r="D10101" s="25"/>
      <c r="E10101" s="77"/>
      <c r="F10101" s="88"/>
      <c r="G10101" s="88"/>
      <c r="H10101" s="89"/>
      <c r="K10101" s="58"/>
      <c r="L10101" s="91"/>
      <c r="M10101" s="78"/>
    </row>
    <row r="10102">
      <c r="C10102" s="85"/>
      <c r="D10102" s="25"/>
      <c r="E10102" s="77"/>
      <c r="F10102" s="88"/>
      <c r="G10102" s="88"/>
      <c r="H10102" s="89"/>
      <c r="K10102" s="58"/>
      <c r="L10102" s="91"/>
      <c r="M10102" s="78"/>
    </row>
    <row r="10103">
      <c r="C10103" s="85"/>
      <c r="D10103" s="25"/>
      <c r="E10103" s="77"/>
      <c r="F10103" s="88"/>
      <c r="G10103" s="88"/>
      <c r="H10103" s="89"/>
      <c r="K10103" s="58"/>
      <c r="L10103" s="91"/>
      <c r="M10103" s="78"/>
    </row>
    <row r="10104">
      <c r="C10104" s="85"/>
      <c r="D10104" s="25"/>
      <c r="E10104" s="77"/>
      <c r="F10104" s="88"/>
      <c r="G10104" s="88"/>
      <c r="H10104" s="89"/>
      <c r="K10104" s="58"/>
      <c r="L10104" s="91"/>
      <c r="M10104" s="78"/>
    </row>
    <row r="10105">
      <c r="C10105" s="85"/>
      <c r="D10105" s="25"/>
      <c r="E10105" s="77"/>
      <c r="F10105" s="88"/>
      <c r="G10105" s="88"/>
      <c r="H10105" s="89"/>
      <c r="K10105" s="58"/>
      <c r="L10105" s="91"/>
      <c r="M10105" s="78"/>
    </row>
    <row r="10106">
      <c r="C10106" s="85"/>
      <c r="D10106" s="25"/>
      <c r="E10106" s="77"/>
      <c r="F10106" s="88"/>
      <c r="G10106" s="88"/>
      <c r="H10106" s="89"/>
      <c r="K10106" s="58"/>
      <c r="L10106" s="91"/>
      <c r="M10106" s="78"/>
    </row>
    <row r="10107">
      <c r="C10107" s="85"/>
      <c r="D10107" s="25"/>
      <c r="E10107" s="77"/>
      <c r="F10107" s="88"/>
      <c r="G10107" s="88"/>
      <c r="H10107" s="89"/>
      <c r="K10107" s="58"/>
      <c r="L10107" s="91"/>
      <c r="M10107" s="78"/>
    </row>
    <row r="10108">
      <c r="C10108" s="85"/>
      <c r="D10108" s="25"/>
      <c r="E10108" s="77"/>
      <c r="F10108" s="88"/>
      <c r="G10108" s="88"/>
      <c r="H10108" s="89"/>
      <c r="K10108" s="58"/>
      <c r="L10108" s="91"/>
      <c r="M10108" s="78"/>
    </row>
    <row r="10109">
      <c r="C10109" s="85"/>
      <c r="D10109" s="25"/>
      <c r="E10109" s="77"/>
      <c r="F10109" s="88"/>
      <c r="G10109" s="88"/>
      <c r="H10109" s="89"/>
      <c r="K10109" s="58"/>
      <c r="L10109" s="91"/>
      <c r="M10109" s="78"/>
    </row>
    <row r="10110">
      <c r="C10110" s="85"/>
      <c r="D10110" s="25"/>
      <c r="E10110" s="77"/>
      <c r="F10110" s="88"/>
      <c r="G10110" s="88"/>
      <c r="H10110" s="89"/>
      <c r="K10110" s="58"/>
      <c r="L10110" s="91"/>
      <c r="M10110" s="78"/>
    </row>
    <row r="10111">
      <c r="C10111" s="85"/>
      <c r="D10111" s="25"/>
      <c r="E10111" s="77"/>
      <c r="F10111" s="88"/>
      <c r="G10111" s="88"/>
      <c r="H10111" s="89"/>
      <c r="K10111" s="58"/>
      <c r="L10111" s="91"/>
      <c r="M10111" s="78"/>
    </row>
    <row r="10112">
      <c r="C10112" s="85"/>
      <c r="D10112" s="25"/>
      <c r="E10112" s="77"/>
      <c r="F10112" s="88"/>
      <c r="G10112" s="88"/>
      <c r="H10112" s="89"/>
      <c r="K10112" s="58"/>
      <c r="L10112" s="91"/>
      <c r="M10112" s="78"/>
    </row>
    <row r="10113">
      <c r="C10113" s="85"/>
      <c r="D10113" s="25"/>
      <c r="E10113" s="77"/>
      <c r="F10113" s="88"/>
      <c r="G10113" s="88"/>
      <c r="H10113" s="89"/>
      <c r="K10113" s="58"/>
      <c r="L10113" s="91"/>
      <c r="M10113" s="78"/>
    </row>
    <row r="10114">
      <c r="C10114" s="85"/>
      <c r="D10114" s="25"/>
      <c r="E10114" s="77"/>
      <c r="F10114" s="88"/>
      <c r="G10114" s="88"/>
      <c r="H10114" s="89"/>
      <c r="K10114" s="58"/>
      <c r="L10114" s="91"/>
      <c r="M10114" s="78"/>
    </row>
    <row r="10115">
      <c r="C10115" s="85"/>
      <c r="D10115" s="25"/>
      <c r="E10115" s="77"/>
      <c r="F10115" s="88"/>
      <c r="G10115" s="88"/>
      <c r="H10115" s="89"/>
      <c r="K10115" s="58"/>
      <c r="L10115" s="91"/>
      <c r="M10115" s="78"/>
    </row>
    <row r="10116">
      <c r="C10116" s="85"/>
      <c r="D10116" s="25"/>
      <c r="E10116" s="77"/>
      <c r="F10116" s="88"/>
      <c r="G10116" s="88"/>
      <c r="H10116" s="89"/>
      <c r="K10116" s="58"/>
      <c r="L10116" s="91"/>
      <c r="M10116" s="78"/>
    </row>
    <row r="10117">
      <c r="C10117" s="85"/>
      <c r="D10117" s="25"/>
      <c r="E10117" s="77"/>
      <c r="F10117" s="88"/>
      <c r="G10117" s="88"/>
      <c r="H10117" s="89"/>
      <c r="K10117" s="58"/>
      <c r="L10117" s="91"/>
      <c r="M10117" s="78"/>
    </row>
    <row r="10118">
      <c r="C10118" s="85"/>
      <c r="D10118" s="25"/>
      <c r="E10118" s="77"/>
      <c r="F10118" s="88"/>
      <c r="G10118" s="88"/>
      <c r="H10118" s="89"/>
      <c r="K10118" s="58"/>
      <c r="L10118" s="91"/>
      <c r="M10118" s="78"/>
    </row>
    <row r="10119">
      <c r="C10119" s="85"/>
      <c r="D10119" s="25"/>
      <c r="E10119" s="77"/>
      <c r="F10119" s="88"/>
      <c r="G10119" s="88"/>
      <c r="H10119" s="89"/>
      <c r="K10119" s="58"/>
      <c r="L10119" s="91"/>
      <c r="M10119" s="78"/>
    </row>
    <row r="10120">
      <c r="C10120" s="85"/>
      <c r="D10120" s="25"/>
      <c r="E10120" s="77"/>
      <c r="F10120" s="88"/>
      <c r="G10120" s="88"/>
      <c r="H10120" s="89"/>
      <c r="K10120" s="58"/>
      <c r="L10120" s="91"/>
      <c r="M10120" s="78"/>
    </row>
    <row r="10121">
      <c r="C10121" s="85"/>
      <c r="D10121" s="25"/>
      <c r="E10121" s="77"/>
      <c r="F10121" s="88"/>
      <c r="G10121" s="88"/>
      <c r="H10121" s="89"/>
      <c r="K10121" s="58"/>
      <c r="L10121" s="91"/>
      <c r="M10121" s="78"/>
    </row>
    <row r="10122">
      <c r="C10122" s="85"/>
      <c r="D10122" s="25"/>
      <c r="E10122" s="77"/>
      <c r="F10122" s="88"/>
      <c r="G10122" s="88"/>
      <c r="H10122" s="89"/>
      <c r="K10122" s="58"/>
      <c r="L10122" s="91"/>
      <c r="M10122" s="78"/>
    </row>
    <row r="10123">
      <c r="C10123" s="85"/>
      <c r="D10123" s="25"/>
      <c r="E10123" s="77"/>
      <c r="F10123" s="88"/>
      <c r="G10123" s="88"/>
      <c r="H10123" s="89"/>
      <c r="K10123" s="58"/>
      <c r="L10123" s="91"/>
      <c r="M10123" s="78"/>
    </row>
    <row r="10124">
      <c r="C10124" s="85"/>
      <c r="D10124" s="25"/>
      <c r="E10124" s="77"/>
      <c r="F10124" s="88"/>
      <c r="G10124" s="88"/>
      <c r="H10124" s="89"/>
      <c r="K10124" s="58"/>
      <c r="L10124" s="91"/>
      <c r="M10124" s="78"/>
    </row>
    <row r="10125">
      <c r="C10125" s="85"/>
      <c r="D10125" s="25"/>
      <c r="E10125" s="77"/>
      <c r="F10125" s="88"/>
      <c r="G10125" s="88"/>
      <c r="H10125" s="89"/>
      <c r="K10125" s="58"/>
      <c r="L10125" s="91"/>
      <c r="M10125" s="78"/>
    </row>
    <row r="10126">
      <c r="C10126" s="85"/>
      <c r="D10126" s="25"/>
      <c r="E10126" s="77"/>
      <c r="F10126" s="88"/>
      <c r="G10126" s="88"/>
      <c r="H10126" s="89"/>
      <c r="K10126" s="58"/>
      <c r="L10126" s="91"/>
      <c r="M10126" s="78"/>
    </row>
    <row r="10127">
      <c r="C10127" s="85"/>
      <c r="D10127" s="25"/>
      <c r="E10127" s="77"/>
      <c r="F10127" s="88"/>
      <c r="G10127" s="88"/>
      <c r="H10127" s="89"/>
      <c r="K10127" s="58"/>
      <c r="L10127" s="91"/>
      <c r="M10127" s="78"/>
    </row>
    <row r="10128">
      <c r="C10128" s="85"/>
      <c r="D10128" s="25"/>
      <c r="E10128" s="77"/>
      <c r="F10128" s="88"/>
      <c r="G10128" s="88"/>
      <c r="H10128" s="89"/>
      <c r="K10128" s="58"/>
      <c r="L10128" s="91"/>
      <c r="M10128" s="78"/>
    </row>
    <row r="10129">
      <c r="C10129" s="85"/>
      <c r="D10129" s="25"/>
      <c r="E10129" s="77"/>
      <c r="F10129" s="88"/>
      <c r="G10129" s="88"/>
      <c r="H10129" s="89"/>
      <c r="K10129" s="58"/>
      <c r="L10129" s="91"/>
      <c r="M10129" s="78"/>
    </row>
    <row r="10130">
      <c r="C10130" s="85"/>
      <c r="D10130" s="25"/>
      <c r="E10130" s="77"/>
      <c r="F10130" s="88"/>
      <c r="G10130" s="88"/>
      <c r="H10130" s="89"/>
      <c r="K10130" s="58"/>
      <c r="L10130" s="91"/>
      <c r="M10130" s="78"/>
    </row>
    <row r="10131">
      <c r="C10131" s="85"/>
      <c r="D10131" s="25"/>
      <c r="E10131" s="77"/>
      <c r="F10131" s="88"/>
      <c r="G10131" s="88"/>
      <c r="H10131" s="89"/>
      <c r="K10131" s="58"/>
      <c r="L10131" s="91"/>
      <c r="M10131" s="78"/>
    </row>
    <row r="10132">
      <c r="C10132" s="85"/>
      <c r="D10132" s="25"/>
      <c r="E10132" s="77"/>
      <c r="F10132" s="88"/>
      <c r="G10132" s="88"/>
      <c r="H10132" s="89"/>
      <c r="K10132" s="58"/>
      <c r="L10132" s="91"/>
      <c r="M10132" s="78"/>
    </row>
    <row r="10133">
      <c r="C10133" s="85"/>
      <c r="D10133" s="25"/>
      <c r="E10133" s="77"/>
      <c r="F10133" s="88"/>
      <c r="G10133" s="88"/>
      <c r="H10133" s="89"/>
      <c r="K10133" s="58"/>
      <c r="L10133" s="91"/>
      <c r="M10133" s="78"/>
    </row>
    <row r="10134">
      <c r="C10134" s="85"/>
      <c r="D10134" s="25"/>
      <c r="E10134" s="77"/>
      <c r="F10134" s="88"/>
      <c r="G10134" s="88"/>
      <c r="H10134" s="89"/>
      <c r="K10134" s="58"/>
      <c r="L10134" s="91"/>
      <c r="M10134" s="78"/>
    </row>
    <row r="10135">
      <c r="C10135" s="85"/>
      <c r="D10135" s="25"/>
      <c r="E10135" s="77"/>
      <c r="F10135" s="88"/>
      <c r="G10135" s="88"/>
      <c r="H10135" s="89"/>
      <c r="K10135" s="58"/>
      <c r="L10135" s="91"/>
      <c r="M10135" s="78"/>
    </row>
    <row r="10136">
      <c r="C10136" s="85"/>
      <c r="D10136" s="25"/>
      <c r="E10136" s="77"/>
      <c r="F10136" s="88"/>
      <c r="G10136" s="88"/>
      <c r="H10136" s="89"/>
      <c r="K10136" s="58"/>
      <c r="L10136" s="91"/>
      <c r="M10136" s="78"/>
    </row>
    <row r="10137">
      <c r="C10137" s="85"/>
      <c r="D10137" s="25"/>
      <c r="E10137" s="77"/>
      <c r="F10137" s="88"/>
      <c r="G10137" s="88"/>
      <c r="H10137" s="89"/>
      <c r="K10137" s="58"/>
      <c r="L10137" s="91"/>
      <c r="M10137" s="78"/>
    </row>
    <row r="10138">
      <c r="C10138" s="85"/>
      <c r="D10138" s="25"/>
      <c r="E10138" s="77"/>
      <c r="F10138" s="88"/>
      <c r="G10138" s="88"/>
      <c r="H10138" s="89"/>
      <c r="K10138" s="58"/>
      <c r="L10138" s="91"/>
      <c r="M10138" s="78"/>
    </row>
    <row r="10139">
      <c r="C10139" s="85"/>
      <c r="D10139" s="25"/>
      <c r="E10139" s="77"/>
      <c r="F10139" s="88"/>
      <c r="G10139" s="88"/>
      <c r="H10139" s="89"/>
      <c r="K10139" s="58"/>
      <c r="L10139" s="91"/>
      <c r="M10139" s="78"/>
    </row>
    <row r="10140">
      <c r="C10140" s="85"/>
      <c r="D10140" s="25"/>
      <c r="E10140" s="77"/>
      <c r="F10140" s="88"/>
      <c r="G10140" s="88"/>
      <c r="H10140" s="89"/>
      <c r="K10140" s="58"/>
      <c r="L10140" s="91"/>
      <c r="M10140" s="78"/>
    </row>
    <row r="10141">
      <c r="C10141" s="85"/>
      <c r="D10141" s="25"/>
      <c r="E10141" s="77"/>
      <c r="F10141" s="88"/>
      <c r="G10141" s="88"/>
      <c r="H10141" s="89"/>
      <c r="K10141" s="58"/>
      <c r="L10141" s="91"/>
      <c r="M10141" s="78"/>
    </row>
    <row r="10142">
      <c r="C10142" s="85"/>
      <c r="D10142" s="25"/>
      <c r="E10142" s="77"/>
      <c r="F10142" s="88"/>
      <c r="G10142" s="88"/>
      <c r="H10142" s="89"/>
      <c r="K10142" s="58"/>
      <c r="L10142" s="91"/>
      <c r="M10142" s="78"/>
    </row>
    <row r="10143">
      <c r="C10143" s="85"/>
      <c r="D10143" s="25"/>
      <c r="E10143" s="77"/>
      <c r="F10143" s="88"/>
      <c r="G10143" s="88"/>
      <c r="H10143" s="89"/>
      <c r="K10143" s="58"/>
      <c r="L10143" s="91"/>
      <c r="M10143" s="78"/>
    </row>
    <row r="10144">
      <c r="C10144" s="85"/>
      <c r="D10144" s="25"/>
      <c r="E10144" s="77"/>
      <c r="F10144" s="88"/>
      <c r="G10144" s="88"/>
      <c r="H10144" s="89"/>
      <c r="K10144" s="58"/>
      <c r="L10144" s="91"/>
      <c r="M10144" s="78"/>
    </row>
    <row r="10145">
      <c r="C10145" s="85"/>
      <c r="D10145" s="25"/>
      <c r="E10145" s="77"/>
      <c r="F10145" s="88"/>
      <c r="G10145" s="88"/>
      <c r="H10145" s="89"/>
      <c r="K10145" s="58"/>
      <c r="L10145" s="91"/>
      <c r="M10145" s="78"/>
    </row>
    <row r="10146">
      <c r="C10146" s="85"/>
      <c r="D10146" s="25"/>
      <c r="E10146" s="77"/>
      <c r="F10146" s="88"/>
      <c r="G10146" s="88"/>
      <c r="H10146" s="89"/>
      <c r="K10146" s="58"/>
      <c r="L10146" s="91"/>
      <c r="M10146" s="78"/>
    </row>
    <row r="10147">
      <c r="C10147" s="85"/>
      <c r="D10147" s="25"/>
      <c r="E10147" s="77"/>
      <c r="F10147" s="88"/>
      <c r="G10147" s="88"/>
      <c r="H10147" s="89"/>
      <c r="K10147" s="58"/>
      <c r="L10147" s="91"/>
      <c r="M10147" s="78"/>
    </row>
    <row r="10148">
      <c r="C10148" s="85"/>
      <c r="D10148" s="25"/>
      <c r="E10148" s="77"/>
      <c r="F10148" s="88"/>
      <c r="G10148" s="88"/>
      <c r="H10148" s="89"/>
      <c r="K10148" s="58"/>
      <c r="L10148" s="91"/>
      <c r="M10148" s="78"/>
    </row>
    <row r="10149">
      <c r="C10149" s="85"/>
      <c r="D10149" s="25"/>
      <c r="E10149" s="77"/>
      <c r="F10149" s="88"/>
      <c r="G10149" s="88"/>
      <c r="H10149" s="89"/>
      <c r="K10149" s="58"/>
      <c r="L10149" s="91"/>
      <c r="M10149" s="78"/>
    </row>
    <row r="10150">
      <c r="C10150" s="85"/>
      <c r="D10150" s="25"/>
      <c r="E10150" s="77"/>
      <c r="F10150" s="88"/>
      <c r="G10150" s="88"/>
      <c r="H10150" s="89"/>
      <c r="K10150" s="58"/>
      <c r="L10150" s="91"/>
      <c r="M10150" s="78"/>
    </row>
    <row r="10151">
      <c r="C10151" s="85"/>
      <c r="D10151" s="25"/>
      <c r="E10151" s="77"/>
      <c r="F10151" s="88"/>
      <c r="G10151" s="88"/>
      <c r="H10151" s="89"/>
      <c r="K10151" s="58"/>
      <c r="L10151" s="91"/>
      <c r="M10151" s="78"/>
    </row>
    <row r="10152">
      <c r="C10152" s="85"/>
      <c r="D10152" s="25"/>
      <c r="E10152" s="77"/>
      <c r="F10152" s="88"/>
      <c r="G10152" s="88"/>
      <c r="H10152" s="89"/>
      <c r="K10152" s="58"/>
      <c r="L10152" s="91"/>
      <c r="M10152" s="78"/>
    </row>
    <row r="10153">
      <c r="C10153" s="85"/>
      <c r="D10153" s="25"/>
      <c r="E10153" s="77"/>
      <c r="F10153" s="88"/>
      <c r="G10153" s="88"/>
      <c r="H10153" s="89"/>
      <c r="K10153" s="58"/>
      <c r="L10153" s="91"/>
      <c r="M10153" s="78"/>
    </row>
    <row r="10154">
      <c r="C10154" s="85"/>
      <c r="D10154" s="25"/>
      <c r="E10154" s="77"/>
      <c r="F10154" s="88"/>
      <c r="G10154" s="88"/>
      <c r="H10154" s="89"/>
      <c r="K10154" s="58"/>
      <c r="L10154" s="91"/>
      <c r="M10154" s="78"/>
    </row>
    <row r="10155">
      <c r="C10155" s="85"/>
      <c r="D10155" s="25"/>
      <c r="E10155" s="77"/>
      <c r="F10155" s="88"/>
      <c r="G10155" s="88"/>
      <c r="H10155" s="89"/>
      <c r="K10155" s="58"/>
      <c r="L10155" s="91"/>
      <c r="M10155" s="78"/>
    </row>
    <row r="10156">
      <c r="C10156" s="85"/>
      <c r="D10156" s="25"/>
      <c r="E10156" s="77"/>
      <c r="F10156" s="88"/>
      <c r="G10156" s="88"/>
      <c r="H10156" s="89"/>
      <c r="K10156" s="58"/>
      <c r="L10156" s="91"/>
      <c r="M10156" s="78"/>
    </row>
    <row r="10157">
      <c r="C10157" s="85"/>
      <c r="D10157" s="25"/>
      <c r="E10157" s="77"/>
      <c r="F10157" s="88"/>
      <c r="G10157" s="88"/>
      <c r="H10157" s="89"/>
      <c r="K10157" s="58"/>
      <c r="L10157" s="91"/>
      <c r="M10157" s="78"/>
    </row>
    <row r="10158">
      <c r="C10158" s="85"/>
      <c r="D10158" s="25"/>
      <c r="E10158" s="77"/>
      <c r="F10158" s="88"/>
      <c r="G10158" s="88"/>
      <c r="H10158" s="89"/>
      <c r="K10158" s="58"/>
      <c r="L10158" s="91"/>
      <c r="M10158" s="78"/>
    </row>
    <row r="10159">
      <c r="C10159" s="85"/>
      <c r="D10159" s="25"/>
      <c r="E10159" s="77"/>
      <c r="F10159" s="88"/>
      <c r="G10159" s="88"/>
      <c r="H10159" s="89"/>
      <c r="K10159" s="58"/>
      <c r="L10159" s="91"/>
      <c r="M10159" s="78"/>
    </row>
    <row r="10160">
      <c r="C10160" s="85"/>
      <c r="D10160" s="25"/>
      <c r="E10160" s="77"/>
      <c r="F10160" s="88"/>
      <c r="G10160" s="88"/>
      <c r="H10160" s="89"/>
      <c r="K10160" s="58"/>
      <c r="L10160" s="91"/>
      <c r="M10160" s="78"/>
    </row>
    <row r="10161">
      <c r="C10161" s="85"/>
      <c r="D10161" s="25"/>
      <c r="E10161" s="77"/>
      <c r="F10161" s="88"/>
      <c r="G10161" s="88"/>
      <c r="H10161" s="89"/>
      <c r="K10161" s="58"/>
      <c r="L10161" s="91"/>
      <c r="M10161" s="78"/>
    </row>
    <row r="10162">
      <c r="C10162" s="85"/>
      <c r="D10162" s="25"/>
      <c r="E10162" s="77"/>
      <c r="F10162" s="88"/>
      <c r="G10162" s="88"/>
      <c r="H10162" s="89"/>
      <c r="K10162" s="58"/>
      <c r="L10162" s="91"/>
      <c r="M10162" s="78"/>
    </row>
    <row r="10163">
      <c r="C10163" s="85"/>
      <c r="D10163" s="25"/>
      <c r="E10163" s="77"/>
      <c r="F10163" s="88"/>
      <c r="G10163" s="88"/>
      <c r="H10163" s="89"/>
      <c r="K10163" s="58"/>
      <c r="L10163" s="91"/>
      <c r="M10163" s="78"/>
    </row>
    <row r="10164">
      <c r="C10164" s="85"/>
      <c r="D10164" s="25"/>
      <c r="E10164" s="77"/>
      <c r="F10164" s="88"/>
      <c r="G10164" s="88"/>
      <c r="H10164" s="89"/>
      <c r="K10164" s="58"/>
      <c r="L10164" s="91"/>
      <c r="M10164" s="78"/>
    </row>
    <row r="10165">
      <c r="C10165" s="85"/>
      <c r="D10165" s="25"/>
      <c r="E10165" s="77"/>
      <c r="F10165" s="88"/>
      <c r="G10165" s="88"/>
      <c r="H10165" s="89"/>
      <c r="K10165" s="58"/>
      <c r="L10165" s="91"/>
      <c r="M10165" s="78"/>
    </row>
    <row r="10166">
      <c r="C10166" s="85"/>
      <c r="D10166" s="25"/>
      <c r="E10166" s="77"/>
      <c r="F10166" s="88"/>
      <c r="G10166" s="88"/>
      <c r="H10166" s="89"/>
      <c r="K10166" s="58"/>
      <c r="L10166" s="91"/>
      <c r="M10166" s="78"/>
    </row>
    <row r="10167">
      <c r="C10167" s="85"/>
      <c r="D10167" s="25"/>
      <c r="E10167" s="77"/>
      <c r="F10167" s="88"/>
      <c r="G10167" s="88"/>
      <c r="H10167" s="89"/>
      <c r="K10167" s="58"/>
      <c r="L10167" s="91"/>
      <c r="M10167" s="78"/>
    </row>
    <row r="10168">
      <c r="C10168" s="85"/>
      <c r="D10168" s="25"/>
      <c r="E10168" s="77"/>
      <c r="F10168" s="88"/>
      <c r="G10168" s="88"/>
      <c r="H10168" s="89"/>
      <c r="K10168" s="58"/>
      <c r="L10168" s="91"/>
      <c r="M10168" s="78"/>
    </row>
    <row r="10169">
      <c r="C10169" s="85"/>
      <c r="D10169" s="25"/>
      <c r="E10169" s="77"/>
      <c r="F10169" s="88"/>
      <c r="G10169" s="88"/>
      <c r="H10169" s="89"/>
      <c r="K10169" s="58"/>
      <c r="L10169" s="91"/>
      <c r="M10169" s="78"/>
    </row>
    <row r="10170">
      <c r="C10170" s="85"/>
      <c r="D10170" s="25"/>
      <c r="E10170" s="77"/>
      <c r="F10170" s="88"/>
      <c r="G10170" s="88"/>
      <c r="H10170" s="89"/>
      <c r="K10170" s="58"/>
      <c r="L10170" s="91"/>
      <c r="M10170" s="78"/>
    </row>
    <row r="10171">
      <c r="C10171" s="85"/>
      <c r="D10171" s="25"/>
      <c r="E10171" s="77"/>
      <c r="F10171" s="88"/>
      <c r="G10171" s="88"/>
      <c r="H10171" s="89"/>
      <c r="K10171" s="58"/>
      <c r="L10171" s="91"/>
      <c r="M10171" s="78"/>
    </row>
    <row r="10172">
      <c r="C10172" s="85"/>
      <c r="D10172" s="25"/>
      <c r="E10172" s="77"/>
      <c r="F10172" s="88"/>
      <c r="G10172" s="88"/>
      <c r="H10172" s="89"/>
      <c r="K10172" s="58"/>
      <c r="L10172" s="91"/>
      <c r="M10172" s="78"/>
    </row>
    <row r="10173">
      <c r="C10173" s="85"/>
      <c r="D10173" s="25"/>
      <c r="E10173" s="77"/>
      <c r="F10173" s="88"/>
      <c r="G10173" s="88"/>
      <c r="H10173" s="89"/>
      <c r="K10173" s="58"/>
      <c r="L10173" s="91"/>
      <c r="M10173" s="78"/>
    </row>
    <row r="10174">
      <c r="C10174" s="85"/>
      <c r="D10174" s="25"/>
      <c r="E10174" s="77"/>
      <c r="F10174" s="88"/>
      <c r="G10174" s="88"/>
      <c r="H10174" s="89"/>
      <c r="K10174" s="58"/>
      <c r="L10174" s="91"/>
      <c r="M10174" s="78"/>
    </row>
    <row r="10175">
      <c r="C10175" s="85"/>
      <c r="D10175" s="25"/>
      <c r="E10175" s="77"/>
      <c r="F10175" s="88"/>
      <c r="G10175" s="88"/>
      <c r="H10175" s="89"/>
      <c r="K10175" s="58"/>
      <c r="L10175" s="91"/>
      <c r="M10175" s="78"/>
    </row>
    <row r="10176">
      <c r="C10176" s="85"/>
      <c r="D10176" s="25"/>
      <c r="E10176" s="77"/>
      <c r="F10176" s="88"/>
      <c r="G10176" s="88"/>
      <c r="H10176" s="89"/>
      <c r="K10176" s="58"/>
      <c r="L10176" s="91"/>
      <c r="M10176" s="78"/>
    </row>
    <row r="10177">
      <c r="C10177" s="85"/>
      <c r="D10177" s="25"/>
      <c r="E10177" s="77"/>
      <c r="F10177" s="88"/>
      <c r="G10177" s="88"/>
      <c r="H10177" s="89"/>
      <c r="K10177" s="58"/>
      <c r="L10177" s="91"/>
      <c r="M10177" s="78"/>
    </row>
    <row r="10178">
      <c r="C10178" s="85"/>
      <c r="D10178" s="25"/>
      <c r="E10178" s="77"/>
      <c r="F10178" s="88"/>
      <c r="G10178" s="88"/>
      <c r="H10178" s="89"/>
      <c r="K10178" s="58"/>
      <c r="L10178" s="91"/>
      <c r="M10178" s="78"/>
    </row>
    <row r="10179">
      <c r="C10179" s="85"/>
      <c r="D10179" s="25"/>
      <c r="E10179" s="77"/>
      <c r="F10179" s="88"/>
      <c r="G10179" s="88"/>
      <c r="H10179" s="89"/>
      <c r="K10179" s="58"/>
      <c r="L10179" s="91"/>
      <c r="M10179" s="78"/>
    </row>
    <row r="10180">
      <c r="C10180" s="85"/>
      <c r="D10180" s="25"/>
      <c r="E10180" s="77"/>
      <c r="F10180" s="88"/>
      <c r="G10180" s="88"/>
      <c r="H10180" s="89"/>
      <c r="K10180" s="58"/>
      <c r="L10180" s="91"/>
      <c r="M10180" s="78"/>
    </row>
    <row r="10181">
      <c r="C10181" s="85"/>
      <c r="D10181" s="25"/>
      <c r="E10181" s="77"/>
      <c r="F10181" s="88"/>
      <c r="G10181" s="88"/>
      <c r="H10181" s="89"/>
      <c r="K10181" s="58"/>
      <c r="L10181" s="91"/>
      <c r="M10181" s="78"/>
    </row>
    <row r="10182">
      <c r="C10182" s="85"/>
      <c r="D10182" s="25"/>
      <c r="E10182" s="77"/>
      <c r="F10182" s="88"/>
      <c r="G10182" s="88"/>
      <c r="H10182" s="89"/>
      <c r="K10182" s="58"/>
      <c r="L10182" s="91"/>
      <c r="M10182" s="78"/>
    </row>
    <row r="10183">
      <c r="C10183" s="85"/>
      <c r="D10183" s="25"/>
      <c r="E10183" s="77"/>
      <c r="F10183" s="88"/>
      <c r="G10183" s="88"/>
      <c r="H10183" s="89"/>
      <c r="K10183" s="58"/>
      <c r="L10183" s="91"/>
      <c r="M10183" s="78"/>
    </row>
    <row r="10184">
      <c r="C10184" s="85"/>
      <c r="D10184" s="25"/>
      <c r="E10184" s="77"/>
      <c r="F10184" s="88"/>
      <c r="G10184" s="88"/>
      <c r="H10184" s="89"/>
      <c r="K10184" s="58"/>
      <c r="L10184" s="91"/>
      <c r="M10184" s="78"/>
    </row>
    <row r="10185">
      <c r="C10185" s="85"/>
      <c r="D10185" s="25"/>
      <c r="E10185" s="77"/>
      <c r="F10185" s="88"/>
      <c r="G10185" s="88"/>
      <c r="H10185" s="89"/>
      <c r="K10185" s="58"/>
      <c r="L10185" s="91"/>
      <c r="M10185" s="78"/>
    </row>
    <row r="10186">
      <c r="C10186" s="85"/>
      <c r="D10186" s="25"/>
      <c r="E10186" s="77"/>
      <c r="F10186" s="88"/>
      <c r="G10186" s="88"/>
      <c r="H10186" s="89"/>
      <c r="K10186" s="58"/>
      <c r="L10186" s="91"/>
      <c r="M10186" s="78"/>
    </row>
    <row r="10187">
      <c r="C10187" s="85"/>
      <c r="D10187" s="25"/>
      <c r="E10187" s="77"/>
      <c r="F10187" s="88"/>
      <c r="G10187" s="88"/>
      <c r="H10187" s="89"/>
      <c r="K10187" s="58"/>
      <c r="L10187" s="91"/>
      <c r="M10187" s="78"/>
    </row>
    <row r="10188">
      <c r="C10188" s="85"/>
      <c r="D10188" s="25"/>
      <c r="E10188" s="77"/>
      <c r="F10188" s="88"/>
      <c r="G10188" s="88"/>
      <c r="H10188" s="89"/>
      <c r="K10188" s="58"/>
      <c r="L10188" s="91"/>
      <c r="M10188" s="78"/>
    </row>
    <row r="10189">
      <c r="C10189" s="85"/>
      <c r="D10189" s="25"/>
      <c r="E10189" s="77"/>
      <c r="F10189" s="88"/>
      <c r="G10189" s="88"/>
      <c r="H10189" s="89"/>
      <c r="K10189" s="58"/>
      <c r="L10189" s="91"/>
      <c r="M10189" s="78"/>
    </row>
    <row r="10190">
      <c r="C10190" s="85"/>
      <c r="D10190" s="25"/>
      <c r="E10190" s="77"/>
      <c r="F10190" s="88"/>
      <c r="G10190" s="88"/>
      <c r="H10190" s="89"/>
      <c r="K10190" s="58"/>
      <c r="L10190" s="91"/>
      <c r="M10190" s="78"/>
    </row>
    <row r="10191">
      <c r="C10191" s="85"/>
      <c r="D10191" s="25"/>
      <c r="E10191" s="77"/>
      <c r="F10191" s="88"/>
      <c r="G10191" s="88"/>
      <c r="H10191" s="89"/>
      <c r="K10191" s="58"/>
      <c r="L10191" s="91"/>
      <c r="M10191" s="78"/>
    </row>
    <row r="10192">
      <c r="C10192" s="85"/>
      <c r="D10192" s="25"/>
      <c r="E10192" s="77"/>
      <c r="F10192" s="88"/>
      <c r="G10192" s="88"/>
      <c r="H10192" s="89"/>
      <c r="K10192" s="58"/>
      <c r="L10192" s="91"/>
      <c r="M10192" s="78"/>
    </row>
    <row r="10193">
      <c r="C10193" s="85"/>
      <c r="D10193" s="25"/>
      <c r="E10193" s="77"/>
      <c r="F10193" s="88"/>
      <c r="G10193" s="88"/>
      <c r="H10193" s="89"/>
      <c r="K10193" s="58"/>
      <c r="L10193" s="91"/>
      <c r="M10193" s="78"/>
    </row>
    <row r="10194">
      <c r="C10194" s="85"/>
      <c r="D10194" s="25"/>
      <c r="E10194" s="77"/>
      <c r="F10194" s="88"/>
      <c r="G10194" s="88"/>
      <c r="H10194" s="89"/>
      <c r="K10194" s="58"/>
      <c r="L10194" s="91"/>
      <c r="M10194" s="78"/>
    </row>
    <row r="10195">
      <c r="C10195" s="85"/>
      <c r="D10195" s="25"/>
      <c r="E10195" s="77"/>
      <c r="F10195" s="88"/>
      <c r="G10195" s="88"/>
      <c r="H10195" s="89"/>
      <c r="K10195" s="58"/>
      <c r="L10195" s="91"/>
      <c r="M10195" s="78"/>
    </row>
    <row r="10196">
      <c r="C10196" s="85"/>
      <c r="D10196" s="25"/>
      <c r="E10196" s="77"/>
      <c r="F10196" s="88"/>
      <c r="G10196" s="88"/>
      <c r="H10196" s="89"/>
      <c r="K10196" s="58"/>
      <c r="L10196" s="91"/>
      <c r="M10196" s="78"/>
    </row>
    <row r="10197">
      <c r="C10197" s="85"/>
      <c r="D10197" s="25"/>
      <c r="E10197" s="77"/>
      <c r="F10197" s="88"/>
      <c r="G10197" s="88"/>
      <c r="H10197" s="89"/>
      <c r="K10197" s="58"/>
      <c r="L10197" s="91"/>
      <c r="M10197" s="78"/>
    </row>
    <row r="10198">
      <c r="C10198" s="85"/>
      <c r="D10198" s="25"/>
      <c r="E10198" s="77"/>
      <c r="F10198" s="88"/>
      <c r="G10198" s="88"/>
      <c r="H10198" s="89"/>
      <c r="K10198" s="58"/>
      <c r="L10198" s="91"/>
      <c r="M10198" s="78"/>
    </row>
    <row r="10199">
      <c r="C10199" s="85"/>
      <c r="D10199" s="25"/>
      <c r="E10199" s="77"/>
      <c r="F10199" s="88"/>
      <c r="G10199" s="88"/>
      <c r="H10199" s="89"/>
      <c r="K10199" s="58"/>
      <c r="L10199" s="91"/>
      <c r="M10199" s="78"/>
    </row>
    <row r="10200">
      <c r="C10200" s="85"/>
      <c r="D10200" s="25"/>
      <c r="E10200" s="77"/>
      <c r="F10200" s="88"/>
      <c r="G10200" s="88"/>
      <c r="H10200" s="89"/>
      <c r="K10200" s="58"/>
      <c r="L10200" s="91"/>
      <c r="M10200" s="78"/>
    </row>
    <row r="10201">
      <c r="C10201" s="85"/>
      <c r="D10201" s="25"/>
      <c r="E10201" s="77"/>
      <c r="F10201" s="88"/>
      <c r="G10201" s="88"/>
      <c r="H10201" s="89"/>
      <c r="K10201" s="58"/>
      <c r="L10201" s="91"/>
      <c r="M10201" s="78"/>
    </row>
    <row r="10202">
      <c r="C10202" s="85"/>
      <c r="D10202" s="25"/>
      <c r="E10202" s="77"/>
      <c r="F10202" s="88"/>
      <c r="G10202" s="88"/>
      <c r="H10202" s="89"/>
      <c r="K10202" s="58"/>
      <c r="L10202" s="91"/>
      <c r="M10202" s="78"/>
    </row>
    <row r="10203">
      <c r="C10203" s="85"/>
      <c r="D10203" s="25"/>
      <c r="E10203" s="77"/>
      <c r="F10203" s="88"/>
      <c r="G10203" s="88"/>
      <c r="H10203" s="89"/>
      <c r="K10203" s="58"/>
      <c r="L10203" s="91"/>
      <c r="M10203" s="78"/>
    </row>
    <row r="10204">
      <c r="C10204" s="85"/>
      <c r="D10204" s="25"/>
      <c r="E10204" s="77"/>
      <c r="F10204" s="88"/>
      <c r="G10204" s="88"/>
      <c r="H10204" s="89"/>
      <c r="K10204" s="58"/>
      <c r="L10204" s="91"/>
      <c r="M10204" s="78"/>
    </row>
    <row r="10205">
      <c r="C10205" s="85"/>
      <c r="D10205" s="25"/>
      <c r="E10205" s="77"/>
      <c r="F10205" s="88"/>
      <c r="G10205" s="88"/>
      <c r="H10205" s="89"/>
      <c r="K10205" s="58"/>
      <c r="L10205" s="91"/>
      <c r="M10205" s="78"/>
    </row>
    <row r="10206">
      <c r="C10206" s="85"/>
      <c r="D10206" s="25"/>
      <c r="E10206" s="77"/>
      <c r="F10206" s="88"/>
      <c r="G10206" s="88"/>
      <c r="H10206" s="89"/>
      <c r="K10206" s="58"/>
      <c r="L10206" s="91"/>
      <c r="M10206" s="78"/>
    </row>
    <row r="10207">
      <c r="C10207" s="85"/>
      <c r="D10207" s="25"/>
      <c r="E10207" s="77"/>
      <c r="F10207" s="88"/>
      <c r="G10207" s="88"/>
      <c r="H10207" s="89"/>
      <c r="K10207" s="58"/>
      <c r="L10207" s="91"/>
      <c r="M10207" s="78"/>
    </row>
    <row r="10208">
      <c r="C10208" s="85"/>
      <c r="D10208" s="25"/>
      <c r="E10208" s="77"/>
      <c r="F10208" s="88"/>
      <c r="G10208" s="88"/>
      <c r="H10208" s="89"/>
      <c r="K10208" s="58"/>
      <c r="L10208" s="91"/>
      <c r="M10208" s="78"/>
    </row>
    <row r="10209">
      <c r="C10209" s="85"/>
      <c r="D10209" s="25"/>
      <c r="E10209" s="77"/>
      <c r="F10209" s="88"/>
      <c r="G10209" s="88"/>
      <c r="H10209" s="89"/>
      <c r="K10209" s="58"/>
      <c r="L10209" s="91"/>
      <c r="M10209" s="78"/>
    </row>
    <row r="10210">
      <c r="C10210" s="85"/>
      <c r="D10210" s="25"/>
      <c r="E10210" s="77"/>
      <c r="F10210" s="88"/>
      <c r="G10210" s="88"/>
      <c r="H10210" s="89"/>
      <c r="K10210" s="58"/>
      <c r="L10210" s="91"/>
      <c r="M10210" s="78"/>
    </row>
    <row r="10211">
      <c r="C10211" s="85"/>
      <c r="D10211" s="25"/>
      <c r="E10211" s="77"/>
      <c r="F10211" s="88"/>
      <c r="G10211" s="88"/>
      <c r="H10211" s="89"/>
      <c r="K10211" s="58"/>
      <c r="L10211" s="91"/>
      <c r="M10211" s="78"/>
    </row>
    <row r="10212">
      <c r="C10212" s="85"/>
      <c r="D10212" s="25"/>
      <c r="E10212" s="77"/>
      <c r="F10212" s="88"/>
      <c r="G10212" s="88"/>
      <c r="H10212" s="89"/>
      <c r="K10212" s="58"/>
      <c r="L10212" s="91"/>
      <c r="M10212" s="78"/>
    </row>
    <row r="10213">
      <c r="C10213" s="85"/>
      <c r="D10213" s="25"/>
      <c r="E10213" s="77"/>
      <c r="F10213" s="88"/>
      <c r="G10213" s="88"/>
      <c r="H10213" s="89"/>
      <c r="K10213" s="58"/>
      <c r="L10213" s="91"/>
      <c r="M10213" s="78"/>
    </row>
    <row r="10214">
      <c r="C10214" s="85"/>
      <c r="D10214" s="25"/>
      <c r="E10214" s="77"/>
      <c r="F10214" s="88"/>
      <c r="G10214" s="88"/>
      <c r="H10214" s="89"/>
      <c r="K10214" s="58"/>
      <c r="L10214" s="91"/>
      <c r="M10214" s="78"/>
    </row>
    <row r="10215">
      <c r="C10215" s="85"/>
      <c r="D10215" s="25"/>
      <c r="E10215" s="77"/>
      <c r="F10215" s="88"/>
      <c r="G10215" s="88"/>
      <c r="H10215" s="89"/>
      <c r="K10215" s="58"/>
      <c r="L10215" s="91"/>
      <c r="M10215" s="78"/>
    </row>
    <row r="10216">
      <c r="C10216" s="85"/>
      <c r="D10216" s="25"/>
      <c r="E10216" s="77"/>
      <c r="F10216" s="88"/>
      <c r="G10216" s="88"/>
      <c r="H10216" s="89"/>
      <c r="K10216" s="58"/>
      <c r="L10216" s="91"/>
      <c r="M10216" s="78"/>
    </row>
    <row r="10217">
      <c r="C10217" s="85"/>
      <c r="D10217" s="25"/>
      <c r="E10217" s="77"/>
      <c r="F10217" s="88"/>
      <c r="G10217" s="88"/>
      <c r="H10217" s="89"/>
      <c r="K10217" s="58"/>
      <c r="L10217" s="91"/>
      <c r="M10217" s="78"/>
    </row>
    <row r="10218">
      <c r="C10218" s="85"/>
      <c r="D10218" s="25"/>
      <c r="E10218" s="77"/>
      <c r="F10218" s="88"/>
      <c r="G10218" s="88"/>
      <c r="H10218" s="89"/>
      <c r="K10218" s="58"/>
      <c r="L10218" s="91"/>
      <c r="M10218" s="78"/>
    </row>
    <row r="10219">
      <c r="C10219" s="85"/>
      <c r="D10219" s="25"/>
      <c r="E10219" s="77"/>
      <c r="F10219" s="88"/>
      <c r="G10219" s="88"/>
      <c r="H10219" s="89"/>
      <c r="K10219" s="58"/>
      <c r="L10219" s="91"/>
      <c r="M10219" s="78"/>
    </row>
    <row r="10220">
      <c r="C10220" s="85"/>
      <c r="D10220" s="25"/>
      <c r="E10220" s="77"/>
      <c r="F10220" s="88"/>
      <c r="G10220" s="88"/>
      <c r="H10220" s="89"/>
      <c r="K10220" s="58"/>
      <c r="L10220" s="91"/>
      <c r="M10220" s="78"/>
    </row>
    <row r="10221">
      <c r="C10221" s="85"/>
      <c r="D10221" s="25"/>
      <c r="E10221" s="77"/>
      <c r="F10221" s="88"/>
      <c r="G10221" s="88"/>
      <c r="H10221" s="89"/>
      <c r="K10221" s="58"/>
      <c r="L10221" s="91"/>
      <c r="M10221" s="78"/>
    </row>
    <row r="10222">
      <c r="C10222" s="85"/>
      <c r="D10222" s="25"/>
      <c r="E10222" s="77"/>
      <c r="F10222" s="88"/>
      <c r="G10222" s="88"/>
      <c r="H10222" s="89"/>
      <c r="K10222" s="58"/>
      <c r="L10222" s="91"/>
      <c r="M10222" s="78"/>
    </row>
    <row r="10223">
      <c r="C10223" s="85"/>
      <c r="D10223" s="25"/>
      <c r="E10223" s="77"/>
      <c r="F10223" s="88"/>
      <c r="G10223" s="88"/>
      <c r="H10223" s="89"/>
      <c r="K10223" s="58"/>
      <c r="L10223" s="91"/>
      <c r="M10223" s="78"/>
    </row>
    <row r="10224">
      <c r="C10224" s="85"/>
      <c r="D10224" s="25"/>
      <c r="E10224" s="77"/>
      <c r="F10224" s="88"/>
      <c r="G10224" s="88"/>
      <c r="H10224" s="89"/>
      <c r="K10224" s="58"/>
      <c r="L10224" s="91"/>
      <c r="M10224" s="78"/>
    </row>
    <row r="10225">
      <c r="C10225" s="85"/>
      <c r="D10225" s="25"/>
      <c r="E10225" s="77"/>
      <c r="F10225" s="88"/>
      <c r="G10225" s="88"/>
      <c r="H10225" s="89"/>
      <c r="K10225" s="58"/>
      <c r="L10225" s="91"/>
      <c r="M10225" s="78"/>
    </row>
    <row r="10226">
      <c r="C10226" s="85"/>
      <c r="D10226" s="25"/>
      <c r="E10226" s="77"/>
      <c r="F10226" s="88"/>
      <c r="G10226" s="88"/>
      <c r="H10226" s="89"/>
      <c r="K10226" s="58"/>
      <c r="L10226" s="91"/>
      <c r="M10226" s="78"/>
    </row>
    <row r="10227">
      <c r="C10227" s="85"/>
      <c r="D10227" s="25"/>
      <c r="E10227" s="77"/>
      <c r="F10227" s="88"/>
      <c r="G10227" s="88"/>
      <c r="H10227" s="89"/>
      <c r="K10227" s="58"/>
      <c r="L10227" s="91"/>
      <c r="M10227" s="78"/>
    </row>
    <row r="10228">
      <c r="C10228" s="85"/>
      <c r="D10228" s="25"/>
      <c r="E10228" s="77"/>
      <c r="F10228" s="88"/>
      <c r="G10228" s="88"/>
      <c r="H10228" s="89"/>
      <c r="K10228" s="58"/>
      <c r="L10228" s="91"/>
      <c r="M10228" s="78"/>
    </row>
    <row r="10229">
      <c r="C10229" s="85"/>
      <c r="D10229" s="25"/>
      <c r="E10229" s="77"/>
      <c r="F10229" s="88"/>
      <c r="G10229" s="88"/>
      <c r="H10229" s="89"/>
      <c r="K10229" s="58"/>
      <c r="L10229" s="91"/>
      <c r="M10229" s="78"/>
    </row>
    <row r="10230">
      <c r="C10230" s="85"/>
      <c r="D10230" s="25"/>
      <c r="E10230" s="77"/>
      <c r="F10230" s="88"/>
      <c r="G10230" s="88"/>
      <c r="H10230" s="89"/>
      <c r="K10230" s="58"/>
      <c r="L10230" s="91"/>
      <c r="M10230" s="78"/>
    </row>
    <row r="10231">
      <c r="C10231" s="85"/>
      <c r="D10231" s="25"/>
      <c r="E10231" s="77"/>
      <c r="F10231" s="88"/>
      <c r="G10231" s="88"/>
      <c r="H10231" s="89"/>
      <c r="K10231" s="58"/>
      <c r="L10231" s="91"/>
      <c r="M10231" s="78"/>
    </row>
    <row r="10232">
      <c r="C10232" s="85"/>
      <c r="D10232" s="25"/>
      <c r="E10232" s="77"/>
      <c r="F10232" s="88"/>
      <c r="G10232" s="88"/>
      <c r="H10232" s="89"/>
      <c r="K10232" s="58"/>
      <c r="L10232" s="91"/>
      <c r="M10232" s="78"/>
    </row>
    <row r="10233">
      <c r="C10233" s="85"/>
      <c r="D10233" s="25"/>
      <c r="E10233" s="77"/>
      <c r="F10233" s="88"/>
      <c r="G10233" s="88"/>
      <c r="H10233" s="89"/>
      <c r="K10233" s="58"/>
      <c r="L10233" s="91"/>
      <c r="M10233" s="78"/>
    </row>
    <row r="10234">
      <c r="C10234" s="85"/>
      <c r="D10234" s="25"/>
      <c r="E10234" s="77"/>
      <c r="F10234" s="88"/>
      <c r="G10234" s="88"/>
      <c r="H10234" s="89"/>
      <c r="K10234" s="58"/>
      <c r="L10234" s="91"/>
      <c r="M10234" s="78"/>
    </row>
    <row r="10235">
      <c r="C10235" s="85"/>
      <c r="D10235" s="25"/>
      <c r="E10235" s="77"/>
      <c r="F10235" s="88"/>
      <c r="G10235" s="88"/>
      <c r="H10235" s="89"/>
      <c r="K10235" s="58"/>
      <c r="L10235" s="91"/>
      <c r="M10235" s="78"/>
    </row>
    <row r="10236">
      <c r="C10236" s="85"/>
      <c r="D10236" s="25"/>
      <c r="E10236" s="77"/>
      <c r="F10236" s="88"/>
      <c r="G10236" s="88"/>
      <c r="H10236" s="89"/>
      <c r="K10236" s="58"/>
      <c r="L10236" s="91"/>
      <c r="M10236" s="78"/>
    </row>
    <row r="10237">
      <c r="C10237" s="85"/>
      <c r="D10237" s="25"/>
      <c r="E10237" s="77"/>
      <c r="F10237" s="88"/>
      <c r="G10237" s="88"/>
      <c r="H10237" s="89"/>
      <c r="K10237" s="58"/>
      <c r="L10237" s="91"/>
      <c r="M10237" s="78"/>
    </row>
    <row r="10238">
      <c r="C10238" s="85"/>
      <c r="D10238" s="25"/>
      <c r="E10238" s="77"/>
      <c r="F10238" s="88"/>
      <c r="G10238" s="88"/>
      <c r="H10238" s="89"/>
      <c r="K10238" s="58"/>
      <c r="L10238" s="91"/>
      <c r="M10238" s="78"/>
    </row>
    <row r="10239">
      <c r="C10239" s="85"/>
      <c r="D10239" s="25"/>
      <c r="E10239" s="77"/>
      <c r="F10239" s="88"/>
      <c r="G10239" s="88"/>
      <c r="H10239" s="89"/>
      <c r="K10239" s="58"/>
      <c r="L10239" s="91"/>
      <c r="M10239" s="78"/>
    </row>
    <row r="10240">
      <c r="C10240" s="85"/>
      <c r="D10240" s="25"/>
      <c r="E10240" s="77"/>
      <c r="F10240" s="88"/>
      <c r="G10240" s="88"/>
      <c r="H10240" s="89"/>
      <c r="K10240" s="58"/>
      <c r="L10240" s="91"/>
      <c r="M10240" s="78"/>
    </row>
    <row r="10241">
      <c r="C10241" s="85"/>
      <c r="D10241" s="25"/>
      <c r="E10241" s="77"/>
      <c r="F10241" s="88"/>
      <c r="G10241" s="88"/>
      <c r="H10241" s="89"/>
      <c r="K10241" s="58"/>
      <c r="L10241" s="91"/>
      <c r="M10241" s="78"/>
    </row>
    <row r="10242">
      <c r="C10242" s="85"/>
      <c r="D10242" s="25"/>
      <c r="E10242" s="77"/>
      <c r="F10242" s="88"/>
      <c r="G10242" s="88"/>
      <c r="H10242" s="89"/>
      <c r="K10242" s="58"/>
      <c r="L10242" s="91"/>
      <c r="M10242" s="78"/>
    </row>
    <row r="10243">
      <c r="C10243" s="85"/>
      <c r="D10243" s="25"/>
      <c r="E10243" s="77"/>
      <c r="F10243" s="88"/>
      <c r="G10243" s="88"/>
      <c r="H10243" s="89"/>
      <c r="K10243" s="58"/>
      <c r="L10243" s="91"/>
      <c r="M10243" s="78"/>
    </row>
    <row r="10244">
      <c r="C10244" s="85"/>
      <c r="D10244" s="25"/>
      <c r="E10244" s="77"/>
      <c r="F10244" s="88"/>
      <c r="G10244" s="88"/>
      <c r="H10244" s="89"/>
      <c r="K10244" s="58"/>
      <c r="L10244" s="91"/>
      <c r="M10244" s="78"/>
    </row>
    <row r="10245">
      <c r="C10245" s="85"/>
      <c r="D10245" s="25"/>
      <c r="E10245" s="77"/>
      <c r="F10245" s="88"/>
      <c r="G10245" s="88"/>
      <c r="H10245" s="89"/>
      <c r="K10245" s="58"/>
      <c r="L10245" s="91"/>
      <c r="M10245" s="78"/>
    </row>
    <row r="10246">
      <c r="C10246" s="85"/>
      <c r="D10246" s="25"/>
      <c r="E10246" s="77"/>
      <c r="F10246" s="88"/>
      <c r="G10246" s="88"/>
      <c r="H10246" s="89"/>
      <c r="K10246" s="58"/>
      <c r="L10246" s="91"/>
      <c r="M10246" s="78"/>
    </row>
    <row r="10247">
      <c r="C10247" s="85"/>
      <c r="D10247" s="25"/>
      <c r="E10247" s="77"/>
      <c r="F10247" s="88"/>
      <c r="G10247" s="88"/>
      <c r="H10247" s="89"/>
      <c r="K10247" s="58"/>
      <c r="L10247" s="91"/>
      <c r="M10247" s="78"/>
    </row>
    <row r="10248">
      <c r="C10248" s="85"/>
      <c r="D10248" s="25"/>
      <c r="E10248" s="77"/>
      <c r="F10248" s="88"/>
      <c r="G10248" s="88"/>
      <c r="H10248" s="89"/>
      <c r="K10248" s="58"/>
      <c r="L10248" s="91"/>
      <c r="M10248" s="78"/>
    </row>
    <row r="10249">
      <c r="C10249" s="85"/>
      <c r="D10249" s="25"/>
      <c r="E10249" s="77"/>
      <c r="F10249" s="88"/>
      <c r="G10249" s="88"/>
      <c r="H10249" s="89"/>
      <c r="K10249" s="58"/>
      <c r="L10249" s="91"/>
      <c r="M10249" s="78"/>
    </row>
    <row r="10250">
      <c r="C10250" s="85"/>
      <c r="D10250" s="25"/>
      <c r="E10250" s="77"/>
      <c r="F10250" s="88"/>
      <c r="G10250" s="88"/>
      <c r="H10250" s="89"/>
      <c r="K10250" s="58"/>
      <c r="L10250" s="91"/>
      <c r="M10250" s="78"/>
    </row>
    <row r="10251">
      <c r="C10251" s="85"/>
      <c r="D10251" s="25"/>
      <c r="E10251" s="77"/>
      <c r="F10251" s="88"/>
      <c r="G10251" s="88"/>
      <c r="H10251" s="89"/>
      <c r="K10251" s="58"/>
      <c r="L10251" s="91"/>
      <c r="M10251" s="78"/>
    </row>
    <row r="10252">
      <c r="C10252" s="85"/>
      <c r="D10252" s="25"/>
      <c r="E10252" s="77"/>
      <c r="F10252" s="88"/>
      <c r="G10252" s="88"/>
      <c r="H10252" s="89"/>
      <c r="K10252" s="58"/>
      <c r="L10252" s="91"/>
      <c r="M10252" s="78"/>
    </row>
    <row r="10253">
      <c r="C10253" s="85"/>
      <c r="D10253" s="25"/>
      <c r="E10253" s="77"/>
      <c r="F10253" s="88"/>
      <c r="G10253" s="88"/>
      <c r="H10253" s="89"/>
      <c r="K10253" s="58"/>
      <c r="L10253" s="91"/>
      <c r="M10253" s="78"/>
    </row>
    <row r="10254">
      <c r="C10254" s="85"/>
      <c r="D10254" s="25"/>
      <c r="E10254" s="77"/>
      <c r="F10254" s="88"/>
      <c r="G10254" s="88"/>
      <c r="H10254" s="89"/>
      <c r="K10254" s="58"/>
      <c r="L10254" s="91"/>
      <c r="M10254" s="78"/>
    </row>
    <row r="10255">
      <c r="C10255" s="85"/>
      <c r="D10255" s="25"/>
      <c r="E10255" s="77"/>
      <c r="F10255" s="88"/>
      <c r="G10255" s="88"/>
      <c r="H10255" s="89"/>
      <c r="K10255" s="58"/>
      <c r="L10255" s="91"/>
      <c r="M10255" s="78"/>
    </row>
    <row r="10256">
      <c r="C10256" s="85"/>
      <c r="D10256" s="25"/>
      <c r="E10256" s="77"/>
      <c r="F10256" s="88"/>
      <c r="G10256" s="88"/>
      <c r="H10256" s="89"/>
      <c r="K10256" s="58"/>
      <c r="L10256" s="91"/>
      <c r="M10256" s="78"/>
    </row>
    <row r="10257">
      <c r="C10257" s="85"/>
      <c r="D10257" s="25"/>
      <c r="E10257" s="77"/>
      <c r="F10257" s="88"/>
      <c r="G10257" s="88"/>
      <c r="H10257" s="89"/>
      <c r="K10257" s="58"/>
      <c r="L10257" s="91"/>
      <c r="M10257" s="78"/>
    </row>
    <row r="10258">
      <c r="C10258" s="85"/>
      <c r="D10258" s="25"/>
      <c r="E10258" s="77"/>
      <c r="F10258" s="88"/>
      <c r="G10258" s="88"/>
      <c r="H10258" s="89"/>
      <c r="K10258" s="58"/>
      <c r="L10258" s="91"/>
      <c r="M10258" s="78"/>
    </row>
    <row r="10259">
      <c r="C10259" s="85"/>
      <c r="D10259" s="25"/>
      <c r="E10259" s="77"/>
      <c r="F10259" s="88"/>
      <c r="G10259" s="88"/>
      <c r="H10259" s="89"/>
      <c r="K10259" s="58"/>
      <c r="L10259" s="91"/>
      <c r="M10259" s="78"/>
    </row>
    <row r="10260">
      <c r="C10260" s="85"/>
      <c r="D10260" s="25"/>
      <c r="E10260" s="77"/>
      <c r="F10260" s="88"/>
      <c r="G10260" s="88"/>
      <c r="H10260" s="89"/>
      <c r="K10260" s="58"/>
      <c r="L10260" s="91"/>
      <c r="M10260" s="78"/>
    </row>
    <row r="10261">
      <c r="C10261" s="85"/>
      <c r="D10261" s="25"/>
      <c r="E10261" s="77"/>
      <c r="F10261" s="88"/>
      <c r="G10261" s="88"/>
      <c r="H10261" s="89"/>
      <c r="K10261" s="58"/>
      <c r="L10261" s="91"/>
      <c r="M10261" s="78"/>
    </row>
    <row r="10262">
      <c r="C10262" s="85"/>
      <c r="D10262" s="25"/>
      <c r="E10262" s="77"/>
      <c r="F10262" s="88"/>
      <c r="G10262" s="88"/>
      <c r="H10262" s="89"/>
      <c r="K10262" s="58"/>
      <c r="L10262" s="91"/>
      <c r="M10262" s="78"/>
    </row>
    <row r="10263">
      <c r="C10263" s="85"/>
      <c r="D10263" s="25"/>
      <c r="E10263" s="77"/>
      <c r="F10263" s="88"/>
      <c r="G10263" s="88"/>
      <c r="H10263" s="89"/>
      <c r="K10263" s="58"/>
      <c r="L10263" s="91"/>
      <c r="M10263" s="78"/>
    </row>
    <row r="10264">
      <c r="C10264" s="85"/>
      <c r="D10264" s="25"/>
      <c r="E10264" s="77"/>
      <c r="F10264" s="88"/>
      <c r="G10264" s="88"/>
      <c r="H10264" s="89"/>
      <c r="K10264" s="58"/>
      <c r="L10264" s="91"/>
      <c r="M10264" s="78"/>
    </row>
    <row r="10265">
      <c r="C10265" s="85"/>
      <c r="D10265" s="25"/>
      <c r="E10265" s="77"/>
      <c r="F10265" s="88"/>
      <c r="G10265" s="88"/>
      <c r="H10265" s="89"/>
      <c r="K10265" s="58"/>
      <c r="L10265" s="91"/>
      <c r="M10265" s="78"/>
    </row>
    <row r="10266">
      <c r="C10266" s="85"/>
      <c r="D10266" s="25"/>
      <c r="E10266" s="77"/>
      <c r="F10266" s="88"/>
      <c r="G10266" s="88"/>
      <c r="H10266" s="89"/>
      <c r="K10266" s="58"/>
      <c r="L10266" s="91"/>
      <c r="M10266" s="78"/>
    </row>
    <row r="10267">
      <c r="C10267" s="85"/>
      <c r="D10267" s="25"/>
      <c r="E10267" s="77"/>
      <c r="F10267" s="88"/>
      <c r="G10267" s="88"/>
      <c r="H10267" s="89"/>
      <c r="K10267" s="58"/>
      <c r="L10267" s="91"/>
      <c r="M10267" s="78"/>
    </row>
    <row r="10268">
      <c r="C10268" s="85"/>
      <c r="D10268" s="25"/>
      <c r="E10268" s="77"/>
      <c r="F10268" s="88"/>
      <c r="G10268" s="88"/>
      <c r="H10268" s="89"/>
      <c r="K10268" s="58"/>
      <c r="L10268" s="91"/>
      <c r="M10268" s="78"/>
    </row>
    <row r="10269">
      <c r="C10269" s="85"/>
      <c r="D10269" s="25"/>
      <c r="E10269" s="77"/>
      <c r="F10269" s="88"/>
      <c r="G10269" s="88"/>
      <c r="H10269" s="89"/>
      <c r="K10269" s="58"/>
      <c r="L10269" s="91"/>
      <c r="M10269" s="78"/>
    </row>
    <row r="10270">
      <c r="C10270" s="85"/>
      <c r="D10270" s="25"/>
      <c r="E10270" s="77"/>
      <c r="F10270" s="88"/>
      <c r="G10270" s="88"/>
      <c r="H10270" s="89"/>
      <c r="K10270" s="58"/>
      <c r="L10270" s="91"/>
      <c r="M10270" s="78"/>
    </row>
    <row r="10271">
      <c r="C10271" s="85"/>
      <c r="D10271" s="25"/>
      <c r="E10271" s="77"/>
      <c r="F10271" s="88"/>
      <c r="G10271" s="88"/>
      <c r="H10271" s="89"/>
      <c r="K10271" s="58"/>
      <c r="L10271" s="91"/>
      <c r="M10271" s="78"/>
    </row>
    <row r="10272">
      <c r="C10272" s="85"/>
      <c r="D10272" s="25"/>
      <c r="E10272" s="77"/>
      <c r="F10272" s="88"/>
      <c r="G10272" s="88"/>
      <c r="H10272" s="89"/>
      <c r="K10272" s="58"/>
      <c r="L10272" s="91"/>
      <c r="M10272" s="78"/>
    </row>
    <row r="10273">
      <c r="C10273" s="85"/>
      <c r="D10273" s="25"/>
      <c r="E10273" s="77"/>
      <c r="F10273" s="88"/>
      <c r="G10273" s="88"/>
      <c r="H10273" s="89"/>
      <c r="K10273" s="58"/>
      <c r="L10273" s="91"/>
      <c r="M10273" s="78"/>
    </row>
    <row r="10274">
      <c r="C10274" s="85"/>
      <c r="D10274" s="25"/>
      <c r="E10274" s="77"/>
      <c r="F10274" s="88"/>
      <c r="G10274" s="88"/>
      <c r="H10274" s="89"/>
      <c r="K10274" s="58"/>
      <c r="L10274" s="91"/>
      <c r="M10274" s="78"/>
    </row>
    <row r="10275">
      <c r="C10275" s="85"/>
      <c r="D10275" s="25"/>
      <c r="E10275" s="77"/>
      <c r="F10275" s="88"/>
      <c r="G10275" s="88"/>
      <c r="H10275" s="89"/>
      <c r="K10275" s="58"/>
      <c r="L10275" s="91"/>
      <c r="M10275" s="78"/>
    </row>
    <row r="10276">
      <c r="C10276" s="85"/>
      <c r="D10276" s="25"/>
      <c r="E10276" s="77"/>
      <c r="F10276" s="88"/>
      <c r="G10276" s="88"/>
      <c r="H10276" s="89"/>
      <c r="K10276" s="58"/>
      <c r="L10276" s="91"/>
      <c r="M10276" s="78"/>
    </row>
    <row r="10277">
      <c r="C10277" s="85"/>
      <c r="D10277" s="25"/>
      <c r="E10277" s="77"/>
      <c r="F10277" s="88"/>
      <c r="G10277" s="88"/>
      <c r="H10277" s="89"/>
      <c r="K10277" s="58"/>
      <c r="L10277" s="91"/>
      <c r="M10277" s="78"/>
    </row>
    <row r="10278">
      <c r="C10278" s="85"/>
      <c r="D10278" s="25"/>
      <c r="E10278" s="77"/>
      <c r="F10278" s="88"/>
      <c r="G10278" s="88"/>
      <c r="H10278" s="89"/>
      <c r="K10278" s="58"/>
      <c r="L10278" s="91"/>
      <c r="M10278" s="78"/>
    </row>
    <row r="10279">
      <c r="C10279" s="85"/>
      <c r="D10279" s="25"/>
      <c r="E10279" s="77"/>
      <c r="F10279" s="88"/>
      <c r="G10279" s="88"/>
      <c r="H10279" s="89"/>
      <c r="K10279" s="58"/>
      <c r="L10279" s="91"/>
      <c r="M10279" s="78"/>
    </row>
    <row r="10280">
      <c r="C10280" s="85"/>
      <c r="D10280" s="25"/>
      <c r="E10280" s="77"/>
      <c r="F10280" s="88"/>
      <c r="G10280" s="88"/>
      <c r="H10280" s="89"/>
      <c r="K10280" s="58"/>
      <c r="L10280" s="91"/>
      <c r="M10280" s="78"/>
    </row>
    <row r="10281">
      <c r="C10281" s="85"/>
      <c r="D10281" s="25"/>
      <c r="E10281" s="77"/>
      <c r="F10281" s="88"/>
      <c r="G10281" s="88"/>
      <c r="H10281" s="89"/>
      <c r="K10281" s="58"/>
      <c r="L10281" s="91"/>
      <c r="M10281" s="78"/>
    </row>
    <row r="10282">
      <c r="C10282" s="85"/>
      <c r="D10282" s="25"/>
      <c r="E10282" s="77"/>
      <c r="F10282" s="88"/>
      <c r="G10282" s="88"/>
      <c r="H10282" s="89"/>
      <c r="K10282" s="58"/>
      <c r="L10282" s="91"/>
      <c r="M10282" s="78"/>
    </row>
    <row r="10283">
      <c r="C10283" s="85"/>
      <c r="D10283" s="25"/>
      <c r="E10283" s="77"/>
      <c r="F10283" s="88"/>
      <c r="G10283" s="88"/>
      <c r="H10283" s="89"/>
      <c r="K10283" s="58"/>
      <c r="L10283" s="91"/>
      <c r="M10283" s="78"/>
    </row>
    <row r="10284">
      <c r="C10284" s="85"/>
      <c r="D10284" s="25"/>
      <c r="E10284" s="77"/>
      <c r="F10284" s="88"/>
      <c r="G10284" s="88"/>
      <c r="H10284" s="89"/>
      <c r="K10284" s="58"/>
      <c r="L10284" s="91"/>
      <c r="M10284" s="78"/>
    </row>
    <row r="10285">
      <c r="C10285" s="85"/>
      <c r="D10285" s="25"/>
      <c r="E10285" s="77"/>
      <c r="F10285" s="88"/>
      <c r="G10285" s="88"/>
      <c r="H10285" s="89"/>
      <c r="K10285" s="58"/>
      <c r="L10285" s="91"/>
      <c r="M10285" s="78"/>
    </row>
    <row r="10286">
      <c r="C10286" s="85"/>
      <c r="D10286" s="25"/>
      <c r="E10286" s="77"/>
      <c r="F10286" s="88"/>
      <c r="G10286" s="88"/>
      <c r="H10286" s="89"/>
      <c r="K10286" s="58"/>
      <c r="L10286" s="91"/>
      <c r="M10286" s="78"/>
    </row>
    <row r="10287">
      <c r="C10287" s="85"/>
      <c r="D10287" s="25"/>
      <c r="E10287" s="77"/>
      <c r="F10287" s="88"/>
      <c r="G10287" s="88"/>
      <c r="H10287" s="89"/>
      <c r="K10287" s="58"/>
      <c r="L10287" s="91"/>
      <c r="M10287" s="78"/>
    </row>
    <row r="10288">
      <c r="C10288" s="85"/>
      <c r="D10288" s="25"/>
      <c r="E10288" s="77"/>
      <c r="F10288" s="88"/>
      <c r="G10288" s="88"/>
      <c r="H10288" s="89"/>
      <c r="K10288" s="58"/>
      <c r="L10288" s="91"/>
      <c r="M10288" s="78"/>
    </row>
    <row r="10289">
      <c r="C10289" s="85"/>
      <c r="D10289" s="25"/>
      <c r="E10289" s="77"/>
      <c r="F10289" s="88"/>
      <c r="G10289" s="88"/>
      <c r="H10289" s="89"/>
      <c r="K10289" s="58"/>
      <c r="L10289" s="91"/>
      <c r="M10289" s="78"/>
    </row>
    <row r="10290">
      <c r="C10290" s="85"/>
      <c r="D10290" s="25"/>
      <c r="E10290" s="77"/>
      <c r="F10290" s="88"/>
      <c r="G10290" s="88"/>
      <c r="H10290" s="89"/>
      <c r="K10290" s="58"/>
      <c r="L10290" s="91"/>
      <c r="M10290" s="78"/>
    </row>
    <row r="10291">
      <c r="C10291" s="85"/>
      <c r="D10291" s="25"/>
      <c r="E10291" s="77"/>
      <c r="F10291" s="88"/>
      <c r="G10291" s="88"/>
      <c r="H10291" s="89"/>
      <c r="K10291" s="58"/>
      <c r="L10291" s="91"/>
      <c r="M10291" s="78"/>
    </row>
    <row r="10292">
      <c r="C10292" s="85"/>
      <c r="D10292" s="25"/>
      <c r="E10292" s="77"/>
      <c r="F10292" s="88"/>
      <c r="G10292" s="88"/>
      <c r="H10292" s="89"/>
      <c r="K10292" s="58"/>
      <c r="L10292" s="91"/>
      <c r="M10292" s="78"/>
    </row>
    <row r="10293">
      <c r="C10293" s="85"/>
      <c r="D10293" s="25"/>
      <c r="E10293" s="77"/>
      <c r="F10293" s="88"/>
      <c r="G10293" s="88"/>
      <c r="H10293" s="89"/>
      <c r="K10293" s="58"/>
      <c r="L10293" s="91"/>
      <c r="M10293" s="78"/>
    </row>
    <row r="10294">
      <c r="C10294" s="85"/>
      <c r="D10294" s="25"/>
      <c r="E10294" s="77"/>
      <c r="F10294" s="88"/>
      <c r="G10294" s="88"/>
      <c r="H10294" s="89"/>
      <c r="K10294" s="58"/>
      <c r="L10294" s="91"/>
      <c r="M10294" s="78"/>
    </row>
    <row r="10295">
      <c r="C10295" s="85"/>
      <c r="D10295" s="25"/>
      <c r="E10295" s="77"/>
      <c r="F10295" s="88"/>
      <c r="G10295" s="88"/>
      <c r="H10295" s="89"/>
      <c r="K10295" s="58"/>
      <c r="L10295" s="91"/>
      <c r="M10295" s="78"/>
    </row>
    <row r="10296">
      <c r="C10296" s="85"/>
      <c r="D10296" s="25"/>
      <c r="E10296" s="77"/>
      <c r="F10296" s="88"/>
      <c r="G10296" s="88"/>
      <c r="H10296" s="89"/>
      <c r="K10296" s="58"/>
      <c r="L10296" s="91"/>
      <c r="M10296" s="78"/>
    </row>
    <row r="10297">
      <c r="C10297" s="85"/>
      <c r="D10297" s="25"/>
      <c r="E10297" s="77"/>
      <c r="F10297" s="88"/>
      <c r="G10297" s="88"/>
      <c r="H10297" s="89"/>
      <c r="K10297" s="58"/>
      <c r="L10297" s="91"/>
      <c r="M10297" s="78"/>
    </row>
    <row r="10298">
      <c r="C10298" s="85"/>
      <c r="D10298" s="25"/>
      <c r="E10298" s="77"/>
      <c r="F10298" s="88"/>
      <c r="G10298" s="88"/>
      <c r="H10298" s="89"/>
      <c r="K10298" s="58"/>
      <c r="L10298" s="91"/>
      <c r="M10298" s="78"/>
    </row>
    <row r="10299">
      <c r="C10299" s="85"/>
      <c r="D10299" s="25"/>
      <c r="E10299" s="77"/>
      <c r="F10299" s="88"/>
      <c r="G10299" s="88"/>
      <c r="H10299" s="89"/>
      <c r="K10299" s="58"/>
      <c r="L10299" s="91"/>
      <c r="M10299" s="78"/>
    </row>
    <row r="10300">
      <c r="C10300" s="85"/>
      <c r="D10300" s="25"/>
      <c r="E10300" s="77"/>
      <c r="F10300" s="88"/>
      <c r="G10300" s="88"/>
      <c r="H10300" s="89"/>
      <c r="K10300" s="58"/>
      <c r="L10300" s="91"/>
      <c r="M10300" s="78"/>
    </row>
    <row r="10301">
      <c r="C10301" s="85"/>
      <c r="D10301" s="25"/>
      <c r="E10301" s="77"/>
      <c r="F10301" s="88"/>
      <c r="G10301" s="88"/>
      <c r="H10301" s="89"/>
      <c r="K10301" s="58"/>
      <c r="L10301" s="91"/>
      <c r="M10301" s="78"/>
    </row>
    <row r="10302">
      <c r="C10302" s="85"/>
      <c r="D10302" s="25"/>
      <c r="E10302" s="77"/>
      <c r="F10302" s="88"/>
      <c r="G10302" s="88"/>
      <c r="H10302" s="89"/>
      <c r="K10302" s="58"/>
      <c r="L10302" s="91"/>
      <c r="M10302" s="78"/>
    </row>
    <row r="10303">
      <c r="C10303" s="85"/>
      <c r="D10303" s="25"/>
      <c r="E10303" s="77"/>
      <c r="F10303" s="88"/>
      <c r="G10303" s="88"/>
      <c r="H10303" s="89"/>
      <c r="K10303" s="58"/>
      <c r="L10303" s="91"/>
      <c r="M10303" s="78"/>
    </row>
    <row r="10304">
      <c r="C10304" s="85"/>
      <c r="D10304" s="25"/>
      <c r="E10304" s="77"/>
      <c r="F10304" s="88"/>
      <c r="G10304" s="88"/>
      <c r="H10304" s="89"/>
      <c r="K10304" s="58"/>
      <c r="L10304" s="91"/>
      <c r="M10304" s="78"/>
    </row>
    <row r="10305">
      <c r="C10305" s="85"/>
      <c r="D10305" s="25"/>
      <c r="E10305" s="77"/>
      <c r="F10305" s="88"/>
      <c r="G10305" s="88"/>
      <c r="H10305" s="89"/>
      <c r="K10305" s="58"/>
      <c r="L10305" s="91"/>
      <c r="M10305" s="78"/>
    </row>
    <row r="10306">
      <c r="C10306" s="85"/>
      <c r="D10306" s="25"/>
      <c r="E10306" s="77"/>
      <c r="F10306" s="88"/>
      <c r="G10306" s="88"/>
      <c r="H10306" s="89"/>
      <c r="K10306" s="58"/>
      <c r="L10306" s="91"/>
      <c r="M10306" s="78"/>
    </row>
    <row r="10307">
      <c r="C10307" s="85"/>
      <c r="D10307" s="25"/>
      <c r="E10307" s="77"/>
      <c r="F10307" s="88"/>
      <c r="G10307" s="88"/>
      <c r="H10307" s="89"/>
      <c r="K10307" s="58"/>
      <c r="L10307" s="91"/>
      <c r="M10307" s="78"/>
    </row>
    <row r="10308">
      <c r="C10308" s="85"/>
      <c r="D10308" s="25"/>
      <c r="E10308" s="77"/>
      <c r="F10308" s="88"/>
      <c r="G10308" s="88"/>
      <c r="H10308" s="89"/>
      <c r="K10308" s="58"/>
      <c r="L10308" s="91"/>
      <c r="M10308" s="78"/>
    </row>
    <row r="10309">
      <c r="C10309" s="85"/>
      <c r="D10309" s="25"/>
      <c r="E10309" s="77"/>
      <c r="F10309" s="88"/>
      <c r="G10309" s="88"/>
      <c r="H10309" s="89"/>
      <c r="K10309" s="58"/>
      <c r="L10309" s="91"/>
      <c r="M10309" s="78"/>
    </row>
    <row r="10310">
      <c r="C10310" s="85"/>
      <c r="D10310" s="25"/>
      <c r="E10310" s="77"/>
      <c r="F10310" s="88"/>
      <c r="G10310" s="88"/>
      <c r="H10310" s="89"/>
      <c r="K10310" s="58"/>
      <c r="L10310" s="91"/>
      <c r="M10310" s="78"/>
    </row>
    <row r="10311">
      <c r="C10311" s="85"/>
      <c r="D10311" s="25"/>
      <c r="E10311" s="77"/>
      <c r="F10311" s="88"/>
      <c r="G10311" s="88"/>
      <c r="H10311" s="89"/>
      <c r="K10311" s="58"/>
      <c r="L10311" s="91"/>
      <c r="M10311" s="78"/>
    </row>
    <row r="10312">
      <c r="C10312" s="85"/>
      <c r="D10312" s="25"/>
      <c r="E10312" s="77"/>
      <c r="F10312" s="88"/>
      <c r="G10312" s="88"/>
      <c r="H10312" s="89"/>
      <c r="K10312" s="58"/>
      <c r="L10312" s="91"/>
      <c r="M10312" s="78"/>
    </row>
    <row r="10313">
      <c r="C10313" s="85"/>
      <c r="D10313" s="25"/>
      <c r="E10313" s="77"/>
      <c r="F10313" s="88"/>
      <c r="G10313" s="88"/>
      <c r="H10313" s="89"/>
      <c r="K10313" s="58"/>
      <c r="L10313" s="91"/>
      <c r="M10313" s="78"/>
    </row>
    <row r="10314">
      <c r="C10314" s="85"/>
      <c r="D10314" s="25"/>
      <c r="E10314" s="77"/>
      <c r="F10314" s="88"/>
      <c r="G10314" s="88"/>
      <c r="H10314" s="89"/>
      <c r="K10314" s="58"/>
      <c r="L10314" s="91"/>
      <c r="M10314" s="78"/>
    </row>
    <row r="10315">
      <c r="C10315" s="85"/>
      <c r="D10315" s="25"/>
      <c r="E10315" s="77"/>
      <c r="F10315" s="88"/>
      <c r="G10315" s="88"/>
      <c r="H10315" s="89"/>
      <c r="K10315" s="58"/>
      <c r="L10315" s="91"/>
      <c r="M10315" s="78"/>
    </row>
    <row r="10316">
      <c r="C10316" s="85"/>
      <c r="D10316" s="25"/>
      <c r="E10316" s="77"/>
      <c r="F10316" s="88"/>
      <c r="G10316" s="88"/>
      <c r="H10316" s="89"/>
      <c r="K10316" s="58"/>
      <c r="L10316" s="91"/>
      <c r="M10316" s="78"/>
    </row>
    <row r="10317">
      <c r="C10317" s="85"/>
      <c r="D10317" s="25"/>
      <c r="E10317" s="77"/>
      <c r="F10317" s="88"/>
      <c r="G10317" s="88"/>
      <c r="H10317" s="89"/>
      <c r="K10317" s="58"/>
      <c r="L10317" s="91"/>
      <c r="M10317" s="78"/>
    </row>
    <row r="10318">
      <c r="C10318" s="85"/>
      <c r="D10318" s="25"/>
      <c r="E10318" s="77"/>
      <c r="F10318" s="88"/>
      <c r="G10318" s="88"/>
      <c r="H10318" s="89"/>
      <c r="K10318" s="58"/>
      <c r="L10318" s="91"/>
      <c r="M10318" s="78"/>
    </row>
    <row r="10319">
      <c r="C10319" s="85"/>
      <c r="D10319" s="25"/>
      <c r="E10319" s="77"/>
      <c r="F10319" s="88"/>
      <c r="G10319" s="88"/>
      <c r="H10319" s="89"/>
      <c r="K10319" s="58"/>
      <c r="L10319" s="91"/>
      <c r="M10319" s="78"/>
    </row>
    <row r="10320">
      <c r="C10320" s="85"/>
      <c r="D10320" s="25"/>
      <c r="E10320" s="77"/>
      <c r="F10320" s="88"/>
      <c r="G10320" s="88"/>
      <c r="H10320" s="89"/>
      <c r="K10320" s="58"/>
      <c r="L10320" s="91"/>
      <c r="M10320" s="78"/>
    </row>
    <row r="10321">
      <c r="C10321" s="85"/>
      <c r="D10321" s="25"/>
      <c r="E10321" s="77"/>
      <c r="F10321" s="88"/>
      <c r="G10321" s="88"/>
      <c r="H10321" s="89"/>
      <c r="K10321" s="58"/>
      <c r="L10321" s="91"/>
      <c r="M10321" s="78"/>
    </row>
    <row r="10322">
      <c r="C10322" s="85"/>
      <c r="D10322" s="25"/>
      <c r="E10322" s="77"/>
      <c r="F10322" s="88"/>
      <c r="G10322" s="88"/>
      <c r="H10322" s="89"/>
      <c r="K10322" s="58"/>
      <c r="L10322" s="91"/>
      <c r="M10322" s="78"/>
    </row>
    <row r="10323">
      <c r="C10323" s="85"/>
      <c r="D10323" s="25"/>
      <c r="E10323" s="77"/>
      <c r="F10323" s="88"/>
      <c r="G10323" s="88"/>
      <c r="H10323" s="89"/>
      <c r="K10323" s="58"/>
      <c r="L10323" s="91"/>
      <c r="M10323" s="78"/>
    </row>
    <row r="10324">
      <c r="C10324" s="85"/>
      <c r="D10324" s="25"/>
      <c r="E10324" s="77"/>
      <c r="F10324" s="88"/>
      <c r="G10324" s="88"/>
      <c r="H10324" s="89"/>
      <c r="K10324" s="58"/>
      <c r="L10324" s="91"/>
      <c r="M10324" s="78"/>
    </row>
    <row r="10325">
      <c r="C10325" s="85"/>
      <c r="D10325" s="25"/>
      <c r="E10325" s="77"/>
      <c r="F10325" s="88"/>
      <c r="G10325" s="88"/>
      <c r="H10325" s="89"/>
      <c r="K10325" s="58"/>
      <c r="L10325" s="91"/>
      <c r="M10325" s="78"/>
    </row>
    <row r="10326">
      <c r="C10326" s="85"/>
      <c r="D10326" s="25"/>
      <c r="E10326" s="77"/>
      <c r="F10326" s="88"/>
      <c r="G10326" s="88"/>
      <c r="H10326" s="89"/>
      <c r="K10326" s="58"/>
      <c r="L10326" s="91"/>
      <c r="M10326" s="78"/>
    </row>
    <row r="10327">
      <c r="C10327" s="85"/>
      <c r="D10327" s="25"/>
      <c r="E10327" s="77"/>
      <c r="F10327" s="88"/>
      <c r="G10327" s="88"/>
      <c r="H10327" s="89"/>
      <c r="K10327" s="58"/>
      <c r="L10327" s="91"/>
      <c r="M10327" s="78"/>
    </row>
    <row r="10328">
      <c r="C10328" s="85"/>
      <c r="D10328" s="25"/>
      <c r="E10328" s="77"/>
      <c r="F10328" s="88"/>
      <c r="G10328" s="88"/>
      <c r="H10328" s="89"/>
      <c r="K10328" s="58"/>
      <c r="L10328" s="91"/>
      <c r="M10328" s="78"/>
    </row>
    <row r="10329">
      <c r="C10329" s="85"/>
      <c r="D10329" s="25"/>
      <c r="E10329" s="77"/>
      <c r="F10329" s="88"/>
      <c r="G10329" s="88"/>
      <c r="H10329" s="89"/>
      <c r="K10329" s="58"/>
      <c r="L10329" s="91"/>
      <c r="M10329" s="78"/>
    </row>
    <row r="10330">
      <c r="C10330" s="85"/>
      <c r="D10330" s="25"/>
      <c r="E10330" s="77"/>
      <c r="F10330" s="88"/>
      <c r="G10330" s="88"/>
      <c r="H10330" s="89"/>
      <c r="K10330" s="58"/>
      <c r="L10330" s="91"/>
      <c r="M10330" s="78"/>
    </row>
    <row r="10331">
      <c r="C10331" s="85"/>
      <c r="D10331" s="25"/>
      <c r="E10331" s="77"/>
      <c r="F10331" s="88"/>
      <c r="G10331" s="88"/>
      <c r="H10331" s="89"/>
      <c r="K10331" s="58"/>
      <c r="L10331" s="91"/>
      <c r="M10331" s="78"/>
    </row>
    <row r="10332">
      <c r="C10332" s="85"/>
      <c r="D10332" s="25"/>
      <c r="E10332" s="77"/>
      <c r="F10332" s="88"/>
      <c r="G10332" s="88"/>
      <c r="H10332" s="89"/>
      <c r="K10332" s="58"/>
      <c r="L10332" s="91"/>
      <c r="M10332" s="78"/>
    </row>
    <row r="10333">
      <c r="C10333" s="85"/>
      <c r="D10333" s="25"/>
      <c r="E10333" s="77"/>
      <c r="F10333" s="88"/>
      <c r="G10333" s="88"/>
      <c r="H10333" s="89"/>
      <c r="K10333" s="58"/>
      <c r="L10333" s="91"/>
      <c r="M10333" s="78"/>
    </row>
    <row r="10334">
      <c r="C10334" s="85"/>
      <c r="D10334" s="25"/>
      <c r="E10334" s="77"/>
      <c r="F10334" s="88"/>
      <c r="G10334" s="88"/>
      <c r="H10334" s="89"/>
      <c r="K10334" s="58"/>
      <c r="L10334" s="91"/>
      <c r="M10334" s="78"/>
    </row>
    <row r="10335">
      <c r="C10335" s="85"/>
      <c r="D10335" s="25"/>
      <c r="E10335" s="77"/>
      <c r="F10335" s="88"/>
      <c r="G10335" s="88"/>
      <c r="H10335" s="89"/>
      <c r="K10335" s="58"/>
      <c r="L10335" s="91"/>
      <c r="M10335" s="78"/>
    </row>
    <row r="10336">
      <c r="C10336" s="85"/>
      <c r="D10336" s="25"/>
      <c r="E10336" s="77"/>
      <c r="F10336" s="88"/>
      <c r="G10336" s="88"/>
      <c r="H10336" s="89"/>
      <c r="K10336" s="58"/>
      <c r="L10336" s="91"/>
      <c r="M10336" s="78"/>
    </row>
    <row r="10337">
      <c r="C10337" s="85"/>
      <c r="D10337" s="25"/>
      <c r="E10337" s="77"/>
      <c r="F10337" s="88"/>
      <c r="G10337" s="88"/>
      <c r="H10337" s="89"/>
      <c r="K10337" s="58"/>
      <c r="L10337" s="91"/>
      <c r="M10337" s="78"/>
    </row>
    <row r="10338">
      <c r="C10338" s="85"/>
      <c r="D10338" s="25"/>
      <c r="E10338" s="77"/>
      <c r="F10338" s="88"/>
      <c r="G10338" s="88"/>
      <c r="H10338" s="89"/>
      <c r="K10338" s="58"/>
      <c r="L10338" s="91"/>
      <c r="M10338" s="78"/>
    </row>
    <row r="10339">
      <c r="C10339" s="85"/>
      <c r="D10339" s="25"/>
      <c r="E10339" s="77"/>
      <c r="F10339" s="88"/>
      <c r="G10339" s="88"/>
      <c r="H10339" s="89"/>
      <c r="K10339" s="58"/>
      <c r="L10339" s="91"/>
      <c r="M10339" s="78"/>
    </row>
    <row r="10340">
      <c r="C10340" s="85"/>
      <c r="D10340" s="25"/>
      <c r="E10340" s="77"/>
      <c r="F10340" s="88"/>
      <c r="G10340" s="88"/>
      <c r="H10340" s="89"/>
      <c r="K10340" s="58"/>
      <c r="L10340" s="91"/>
      <c r="M10340" s="78"/>
    </row>
    <row r="10341">
      <c r="C10341" s="85"/>
      <c r="D10341" s="25"/>
      <c r="E10341" s="77"/>
      <c r="F10341" s="88"/>
      <c r="G10341" s="88"/>
      <c r="H10341" s="89"/>
      <c r="K10341" s="58"/>
      <c r="L10341" s="91"/>
      <c r="M10341" s="78"/>
    </row>
    <row r="10342">
      <c r="C10342" s="85"/>
      <c r="D10342" s="25"/>
      <c r="E10342" s="77"/>
      <c r="F10342" s="88"/>
      <c r="G10342" s="88"/>
      <c r="H10342" s="89"/>
      <c r="K10342" s="58"/>
      <c r="L10342" s="91"/>
      <c r="M10342" s="78"/>
    </row>
    <row r="10343">
      <c r="C10343" s="85"/>
      <c r="D10343" s="25"/>
      <c r="E10343" s="77"/>
      <c r="F10343" s="88"/>
      <c r="G10343" s="88"/>
      <c r="H10343" s="89"/>
      <c r="K10343" s="58"/>
      <c r="L10343" s="91"/>
      <c r="M10343" s="78"/>
    </row>
    <row r="10344">
      <c r="C10344" s="85"/>
      <c r="D10344" s="25"/>
      <c r="E10344" s="77"/>
      <c r="F10344" s="88"/>
      <c r="G10344" s="88"/>
      <c r="H10344" s="89"/>
      <c r="K10344" s="58"/>
      <c r="L10344" s="91"/>
      <c r="M10344" s="78"/>
    </row>
    <row r="10345">
      <c r="C10345" s="85"/>
      <c r="D10345" s="25"/>
      <c r="E10345" s="77"/>
      <c r="F10345" s="88"/>
      <c r="G10345" s="88"/>
      <c r="H10345" s="89"/>
      <c r="K10345" s="58"/>
      <c r="L10345" s="91"/>
      <c r="M10345" s="78"/>
    </row>
    <row r="10346">
      <c r="C10346" s="85"/>
      <c r="D10346" s="25"/>
      <c r="E10346" s="77"/>
      <c r="F10346" s="88"/>
      <c r="G10346" s="88"/>
      <c r="H10346" s="89"/>
      <c r="K10346" s="58"/>
      <c r="L10346" s="91"/>
      <c r="M10346" s="78"/>
    </row>
    <row r="10347">
      <c r="C10347" s="85"/>
      <c r="D10347" s="25"/>
      <c r="E10347" s="77"/>
      <c r="F10347" s="88"/>
      <c r="G10347" s="88"/>
      <c r="H10347" s="89"/>
      <c r="K10347" s="58"/>
      <c r="L10347" s="91"/>
      <c r="M10347" s="78"/>
    </row>
    <row r="10348">
      <c r="C10348" s="85"/>
      <c r="D10348" s="25"/>
      <c r="E10348" s="77"/>
      <c r="F10348" s="88"/>
      <c r="G10348" s="88"/>
      <c r="H10348" s="89"/>
      <c r="K10348" s="58"/>
      <c r="L10348" s="91"/>
      <c r="M10348" s="78"/>
    </row>
    <row r="10349">
      <c r="C10349" s="85"/>
      <c r="D10349" s="25"/>
      <c r="E10349" s="77"/>
      <c r="F10349" s="88"/>
      <c r="G10349" s="88"/>
      <c r="H10349" s="89"/>
      <c r="K10349" s="58"/>
      <c r="L10349" s="91"/>
      <c r="M10349" s="78"/>
    </row>
    <row r="10350">
      <c r="C10350" s="85"/>
      <c r="D10350" s="25"/>
      <c r="E10350" s="77"/>
      <c r="F10350" s="88"/>
      <c r="G10350" s="88"/>
      <c r="H10350" s="89"/>
      <c r="K10350" s="58"/>
      <c r="L10350" s="91"/>
      <c r="M10350" s="78"/>
    </row>
    <row r="10351">
      <c r="C10351" s="85"/>
      <c r="D10351" s="25"/>
      <c r="E10351" s="77"/>
      <c r="F10351" s="88"/>
      <c r="G10351" s="88"/>
      <c r="H10351" s="89"/>
      <c r="K10351" s="58"/>
      <c r="L10351" s="91"/>
      <c r="M10351" s="78"/>
    </row>
    <row r="10352">
      <c r="C10352" s="85"/>
      <c r="D10352" s="25"/>
      <c r="E10352" s="77"/>
      <c r="F10352" s="88"/>
      <c r="G10352" s="88"/>
      <c r="H10352" s="89"/>
      <c r="K10352" s="58"/>
      <c r="L10352" s="91"/>
      <c r="M10352" s="78"/>
    </row>
    <row r="10353">
      <c r="C10353" s="85"/>
      <c r="D10353" s="25"/>
      <c r="E10353" s="77"/>
      <c r="F10353" s="88"/>
      <c r="G10353" s="88"/>
      <c r="H10353" s="89"/>
      <c r="K10353" s="58"/>
      <c r="L10353" s="91"/>
      <c r="M10353" s="78"/>
    </row>
    <row r="10354">
      <c r="C10354" s="85"/>
      <c r="D10354" s="25"/>
      <c r="E10354" s="77"/>
      <c r="F10354" s="88"/>
      <c r="G10354" s="88"/>
      <c r="H10354" s="89"/>
      <c r="K10354" s="58"/>
      <c r="L10354" s="91"/>
      <c r="M10354" s="78"/>
    </row>
    <row r="10355">
      <c r="C10355" s="85"/>
      <c r="D10355" s="25"/>
      <c r="E10355" s="77"/>
      <c r="F10355" s="88"/>
      <c r="G10355" s="88"/>
      <c r="H10355" s="89"/>
      <c r="K10355" s="58"/>
      <c r="L10355" s="91"/>
      <c r="M10355" s="78"/>
    </row>
    <row r="10356">
      <c r="C10356" s="85"/>
      <c r="D10356" s="25"/>
      <c r="E10356" s="77"/>
      <c r="F10356" s="88"/>
      <c r="G10356" s="88"/>
      <c r="H10356" s="89"/>
      <c r="K10356" s="58"/>
      <c r="L10356" s="91"/>
      <c r="M10356" s="78"/>
    </row>
    <row r="10357">
      <c r="C10357" s="85"/>
      <c r="D10357" s="25"/>
      <c r="E10357" s="77"/>
      <c r="F10357" s="88"/>
      <c r="G10357" s="88"/>
      <c r="H10357" s="89"/>
      <c r="K10357" s="58"/>
      <c r="L10357" s="91"/>
      <c r="M10357" s="78"/>
    </row>
    <row r="10358">
      <c r="C10358" s="85"/>
      <c r="D10358" s="25"/>
      <c r="E10358" s="77"/>
      <c r="F10358" s="88"/>
      <c r="G10358" s="88"/>
      <c r="H10358" s="89"/>
      <c r="K10358" s="58"/>
      <c r="L10358" s="91"/>
      <c r="M10358" s="78"/>
    </row>
    <row r="10359">
      <c r="C10359" s="85"/>
      <c r="D10359" s="25"/>
      <c r="E10359" s="77"/>
      <c r="F10359" s="88"/>
      <c r="G10359" s="88"/>
      <c r="H10359" s="89"/>
      <c r="K10359" s="58"/>
      <c r="L10359" s="91"/>
      <c r="M10359" s="78"/>
    </row>
    <row r="10360">
      <c r="C10360" s="85"/>
      <c r="D10360" s="25"/>
      <c r="E10360" s="77"/>
      <c r="F10360" s="88"/>
      <c r="G10360" s="88"/>
      <c r="H10360" s="89"/>
      <c r="K10360" s="58"/>
      <c r="L10360" s="91"/>
      <c r="M10360" s="78"/>
    </row>
    <row r="10361">
      <c r="C10361" s="85"/>
      <c r="D10361" s="25"/>
      <c r="E10361" s="77"/>
      <c r="F10361" s="88"/>
      <c r="G10361" s="88"/>
      <c r="H10361" s="89"/>
      <c r="K10361" s="58"/>
      <c r="L10361" s="91"/>
      <c r="M10361" s="78"/>
    </row>
    <row r="10362">
      <c r="C10362" s="85"/>
      <c r="D10362" s="25"/>
      <c r="E10362" s="77"/>
      <c r="F10362" s="88"/>
      <c r="G10362" s="88"/>
      <c r="H10362" s="89"/>
      <c r="K10362" s="58"/>
      <c r="L10362" s="91"/>
      <c r="M10362" s="78"/>
    </row>
    <row r="10363">
      <c r="C10363" s="85"/>
      <c r="D10363" s="25"/>
      <c r="E10363" s="77"/>
      <c r="F10363" s="88"/>
      <c r="G10363" s="88"/>
      <c r="H10363" s="89"/>
      <c r="K10363" s="58"/>
      <c r="L10363" s="91"/>
      <c r="M10363" s="78"/>
    </row>
    <row r="10364">
      <c r="C10364" s="85"/>
      <c r="D10364" s="25"/>
      <c r="E10364" s="77"/>
      <c r="F10364" s="88"/>
      <c r="G10364" s="88"/>
      <c r="H10364" s="89"/>
      <c r="K10364" s="58"/>
      <c r="L10364" s="91"/>
      <c r="M10364" s="78"/>
    </row>
    <row r="10365">
      <c r="C10365" s="85"/>
      <c r="D10365" s="25"/>
      <c r="E10365" s="77"/>
      <c r="F10365" s="88"/>
      <c r="G10365" s="88"/>
      <c r="H10365" s="89"/>
      <c r="K10365" s="58"/>
      <c r="L10365" s="91"/>
      <c r="M10365" s="78"/>
    </row>
    <row r="10366">
      <c r="C10366" s="85"/>
      <c r="D10366" s="25"/>
      <c r="E10366" s="77"/>
      <c r="F10366" s="88"/>
      <c r="G10366" s="88"/>
      <c r="H10366" s="89"/>
      <c r="K10366" s="58"/>
      <c r="L10366" s="91"/>
      <c r="M10366" s="78"/>
    </row>
    <row r="10367">
      <c r="C10367" s="85"/>
      <c r="D10367" s="25"/>
      <c r="E10367" s="77"/>
      <c r="F10367" s="88"/>
      <c r="G10367" s="88"/>
      <c r="H10367" s="89"/>
      <c r="K10367" s="58"/>
      <c r="L10367" s="91"/>
      <c r="M10367" s="78"/>
    </row>
    <row r="10368">
      <c r="C10368" s="85"/>
      <c r="D10368" s="25"/>
      <c r="E10368" s="77"/>
      <c r="F10368" s="88"/>
      <c r="G10368" s="88"/>
      <c r="H10368" s="89"/>
      <c r="K10368" s="58"/>
      <c r="L10368" s="91"/>
      <c r="M10368" s="78"/>
    </row>
    <row r="10369">
      <c r="C10369" s="85"/>
      <c r="D10369" s="25"/>
      <c r="E10369" s="77"/>
      <c r="F10369" s="88"/>
      <c r="G10369" s="88"/>
      <c r="H10369" s="89"/>
      <c r="K10369" s="58"/>
      <c r="L10369" s="91"/>
      <c r="M10369" s="78"/>
    </row>
    <row r="10370">
      <c r="C10370" s="85"/>
      <c r="D10370" s="25"/>
      <c r="E10370" s="77"/>
      <c r="F10370" s="88"/>
      <c r="G10370" s="88"/>
      <c r="H10370" s="89"/>
      <c r="K10370" s="58"/>
      <c r="L10370" s="91"/>
      <c r="M10370" s="78"/>
    </row>
    <row r="10371">
      <c r="C10371" s="85"/>
      <c r="D10371" s="25"/>
      <c r="E10371" s="77"/>
      <c r="F10371" s="88"/>
      <c r="G10371" s="88"/>
      <c r="H10371" s="89"/>
      <c r="K10371" s="58"/>
      <c r="L10371" s="91"/>
      <c r="M10371" s="78"/>
    </row>
    <row r="10372">
      <c r="C10372" s="85"/>
      <c r="D10372" s="25"/>
      <c r="E10372" s="77"/>
      <c r="F10372" s="88"/>
      <c r="G10372" s="88"/>
      <c r="H10372" s="89"/>
      <c r="K10372" s="58"/>
      <c r="L10372" s="91"/>
      <c r="M10372" s="78"/>
    </row>
    <row r="10373">
      <c r="C10373" s="85"/>
      <c r="D10373" s="25"/>
      <c r="E10373" s="77"/>
      <c r="F10373" s="88"/>
      <c r="G10373" s="88"/>
      <c r="H10373" s="89"/>
      <c r="K10373" s="58"/>
      <c r="L10373" s="91"/>
      <c r="M10373" s="78"/>
    </row>
    <row r="10374">
      <c r="C10374" s="85"/>
      <c r="D10374" s="25"/>
      <c r="E10374" s="77"/>
      <c r="F10374" s="88"/>
      <c r="G10374" s="88"/>
      <c r="H10374" s="89"/>
      <c r="K10374" s="58"/>
      <c r="L10374" s="91"/>
      <c r="M10374" s="78"/>
    </row>
    <row r="10375">
      <c r="C10375" s="85"/>
      <c r="D10375" s="25"/>
      <c r="E10375" s="77"/>
      <c r="F10375" s="88"/>
      <c r="G10375" s="88"/>
      <c r="H10375" s="89"/>
      <c r="K10375" s="58"/>
      <c r="L10375" s="91"/>
      <c r="M10375" s="78"/>
    </row>
    <row r="10376">
      <c r="C10376" s="85"/>
      <c r="D10376" s="25"/>
      <c r="E10376" s="77"/>
      <c r="F10376" s="88"/>
      <c r="G10376" s="88"/>
      <c r="H10376" s="89"/>
      <c r="K10376" s="58"/>
      <c r="L10376" s="91"/>
      <c r="M10376" s="78"/>
    </row>
    <row r="10377">
      <c r="C10377" s="85"/>
      <c r="D10377" s="25"/>
      <c r="E10377" s="77"/>
      <c r="F10377" s="88"/>
      <c r="G10377" s="88"/>
      <c r="H10377" s="89"/>
      <c r="K10377" s="58"/>
      <c r="L10377" s="91"/>
      <c r="M10377" s="78"/>
    </row>
    <row r="10378">
      <c r="C10378" s="85"/>
      <c r="D10378" s="25"/>
      <c r="E10378" s="77"/>
      <c r="F10378" s="88"/>
      <c r="G10378" s="88"/>
      <c r="H10378" s="89"/>
      <c r="K10378" s="58"/>
      <c r="L10378" s="91"/>
      <c r="M10378" s="78"/>
    </row>
    <row r="10379">
      <c r="C10379" s="85"/>
      <c r="D10379" s="25"/>
      <c r="E10379" s="77"/>
      <c r="F10379" s="88"/>
      <c r="G10379" s="88"/>
      <c r="H10379" s="89"/>
      <c r="K10379" s="58"/>
      <c r="L10379" s="91"/>
      <c r="M10379" s="78"/>
    </row>
    <row r="10380">
      <c r="C10380" s="85"/>
      <c r="D10380" s="25"/>
      <c r="E10380" s="77"/>
      <c r="F10380" s="88"/>
      <c r="G10380" s="88"/>
      <c r="H10380" s="89"/>
      <c r="K10380" s="58"/>
      <c r="L10380" s="91"/>
      <c r="M10380" s="78"/>
    </row>
    <row r="10381">
      <c r="C10381" s="85"/>
      <c r="D10381" s="25"/>
      <c r="E10381" s="77"/>
      <c r="F10381" s="88"/>
      <c r="G10381" s="88"/>
      <c r="H10381" s="89"/>
      <c r="K10381" s="58"/>
      <c r="L10381" s="91"/>
      <c r="M10381" s="78"/>
    </row>
    <row r="10382">
      <c r="C10382" s="85"/>
      <c r="D10382" s="25"/>
      <c r="E10382" s="77"/>
      <c r="F10382" s="88"/>
      <c r="G10382" s="88"/>
      <c r="H10382" s="89"/>
      <c r="K10382" s="58"/>
      <c r="L10382" s="91"/>
      <c r="M10382" s="78"/>
    </row>
    <row r="10383">
      <c r="C10383" s="85"/>
      <c r="D10383" s="25"/>
      <c r="E10383" s="77"/>
      <c r="F10383" s="88"/>
      <c r="G10383" s="88"/>
      <c r="H10383" s="89"/>
      <c r="K10383" s="58"/>
      <c r="L10383" s="91"/>
      <c r="M10383" s="78"/>
    </row>
    <row r="10384">
      <c r="C10384" s="85"/>
      <c r="D10384" s="25"/>
      <c r="E10384" s="77"/>
      <c r="F10384" s="88"/>
      <c r="G10384" s="88"/>
      <c r="H10384" s="89"/>
      <c r="K10384" s="58"/>
      <c r="L10384" s="91"/>
      <c r="M10384" s="78"/>
    </row>
    <row r="10385">
      <c r="C10385" s="85"/>
      <c r="D10385" s="25"/>
      <c r="E10385" s="77"/>
      <c r="F10385" s="88"/>
      <c r="G10385" s="88"/>
      <c r="H10385" s="89"/>
      <c r="K10385" s="58"/>
      <c r="L10385" s="91"/>
      <c r="M10385" s="78"/>
    </row>
    <row r="10386">
      <c r="C10386" s="85"/>
      <c r="D10386" s="25"/>
      <c r="E10386" s="77"/>
      <c r="F10386" s="88"/>
      <c r="G10386" s="88"/>
      <c r="H10386" s="89"/>
      <c r="K10386" s="58"/>
      <c r="L10386" s="91"/>
      <c r="M10386" s="78"/>
    </row>
    <row r="10387">
      <c r="C10387" s="85"/>
      <c r="D10387" s="25"/>
      <c r="E10387" s="77"/>
      <c r="F10387" s="88"/>
      <c r="G10387" s="88"/>
      <c r="H10387" s="89"/>
      <c r="K10387" s="58"/>
      <c r="L10387" s="91"/>
      <c r="M10387" s="78"/>
    </row>
    <row r="10388">
      <c r="C10388" s="85"/>
      <c r="D10388" s="25"/>
      <c r="E10388" s="77"/>
      <c r="F10388" s="88"/>
      <c r="G10388" s="88"/>
      <c r="H10388" s="89"/>
      <c r="K10388" s="58"/>
      <c r="L10388" s="91"/>
      <c r="M10388" s="78"/>
    </row>
    <row r="10389">
      <c r="C10389" s="85"/>
      <c r="D10389" s="25"/>
      <c r="E10389" s="77"/>
      <c r="F10389" s="88"/>
      <c r="G10389" s="88"/>
      <c r="H10389" s="89"/>
      <c r="K10389" s="58"/>
      <c r="L10389" s="91"/>
      <c r="M10389" s="78"/>
    </row>
    <row r="10390">
      <c r="C10390" s="85"/>
      <c r="D10390" s="25"/>
      <c r="E10390" s="77"/>
      <c r="F10390" s="88"/>
      <c r="G10390" s="88"/>
      <c r="H10390" s="89"/>
      <c r="K10390" s="58"/>
      <c r="L10390" s="91"/>
      <c r="M10390" s="78"/>
    </row>
    <row r="10391">
      <c r="C10391" s="85"/>
      <c r="D10391" s="25"/>
      <c r="E10391" s="77"/>
      <c r="F10391" s="88"/>
      <c r="G10391" s="88"/>
      <c r="H10391" s="89"/>
      <c r="K10391" s="58"/>
      <c r="L10391" s="91"/>
      <c r="M10391" s="78"/>
    </row>
    <row r="10392">
      <c r="C10392" s="85"/>
      <c r="D10392" s="25"/>
      <c r="E10392" s="77"/>
      <c r="F10392" s="88"/>
      <c r="G10392" s="88"/>
      <c r="H10392" s="89"/>
      <c r="K10392" s="58"/>
      <c r="L10392" s="91"/>
      <c r="M10392" s="78"/>
    </row>
    <row r="10393">
      <c r="C10393" s="85"/>
      <c r="D10393" s="25"/>
      <c r="E10393" s="77"/>
      <c r="F10393" s="88"/>
      <c r="G10393" s="88"/>
      <c r="H10393" s="89"/>
      <c r="K10393" s="58"/>
      <c r="L10393" s="91"/>
      <c r="M10393" s="78"/>
    </row>
    <row r="10394">
      <c r="C10394" s="85"/>
      <c r="D10394" s="25"/>
      <c r="E10394" s="77"/>
      <c r="F10394" s="88"/>
      <c r="G10394" s="88"/>
      <c r="H10394" s="89"/>
      <c r="K10394" s="58"/>
      <c r="L10394" s="91"/>
      <c r="M10394" s="78"/>
    </row>
    <row r="10395">
      <c r="C10395" s="85"/>
      <c r="D10395" s="25"/>
      <c r="E10395" s="77"/>
      <c r="F10395" s="88"/>
      <c r="G10395" s="88"/>
      <c r="H10395" s="89"/>
      <c r="K10395" s="58"/>
      <c r="L10395" s="91"/>
      <c r="M10395" s="78"/>
    </row>
    <row r="10396">
      <c r="C10396" s="85"/>
      <c r="D10396" s="25"/>
      <c r="E10396" s="77"/>
      <c r="F10396" s="88"/>
      <c r="G10396" s="88"/>
      <c r="H10396" s="89"/>
      <c r="K10396" s="58"/>
      <c r="L10396" s="91"/>
      <c r="M10396" s="78"/>
    </row>
    <row r="10397">
      <c r="C10397" s="85"/>
      <c r="D10397" s="25"/>
      <c r="E10397" s="77"/>
      <c r="F10397" s="88"/>
      <c r="G10397" s="88"/>
      <c r="H10397" s="89"/>
      <c r="K10397" s="58"/>
      <c r="L10397" s="91"/>
      <c r="M10397" s="78"/>
    </row>
    <row r="10398">
      <c r="C10398" s="85"/>
      <c r="D10398" s="25"/>
      <c r="E10398" s="77"/>
      <c r="F10398" s="88"/>
      <c r="G10398" s="88"/>
      <c r="H10398" s="89"/>
      <c r="K10398" s="58"/>
      <c r="L10398" s="91"/>
      <c r="M10398" s="78"/>
    </row>
    <row r="10399">
      <c r="C10399" s="85"/>
      <c r="D10399" s="25"/>
      <c r="E10399" s="77"/>
      <c r="F10399" s="88"/>
      <c r="G10399" s="88"/>
      <c r="H10399" s="89"/>
      <c r="K10399" s="58"/>
      <c r="L10399" s="91"/>
      <c r="M10399" s="78"/>
    </row>
    <row r="10400">
      <c r="C10400" s="85"/>
      <c r="D10400" s="25"/>
      <c r="E10400" s="77"/>
      <c r="F10400" s="88"/>
      <c r="G10400" s="88"/>
      <c r="H10400" s="89"/>
      <c r="K10400" s="58"/>
      <c r="L10400" s="91"/>
      <c r="M10400" s="78"/>
    </row>
    <row r="10401">
      <c r="C10401" s="85"/>
      <c r="D10401" s="25"/>
      <c r="E10401" s="77"/>
      <c r="F10401" s="88"/>
      <c r="G10401" s="88"/>
      <c r="H10401" s="89"/>
      <c r="K10401" s="58"/>
      <c r="L10401" s="91"/>
      <c r="M10401" s="78"/>
    </row>
    <row r="10402">
      <c r="C10402" s="85"/>
      <c r="D10402" s="25"/>
      <c r="E10402" s="77"/>
      <c r="F10402" s="88"/>
      <c r="G10402" s="88"/>
      <c r="H10402" s="89"/>
      <c r="K10402" s="58"/>
      <c r="L10402" s="91"/>
      <c r="M10402" s="78"/>
    </row>
    <row r="10403">
      <c r="C10403" s="85"/>
      <c r="D10403" s="25"/>
      <c r="E10403" s="77"/>
      <c r="F10403" s="88"/>
      <c r="G10403" s="88"/>
      <c r="H10403" s="89"/>
      <c r="K10403" s="58"/>
      <c r="L10403" s="91"/>
      <c r="M10403" s="78"/>
    </row>
    <row r="10404">
      <c r="C10404" s="85"/>
      <c r="D10404" s="25"/>
      <c r="E10404" s="77"/>
      <c r="F10404" s="88"/>
      <c r="G10404" s="88"/>
      <c r="H10404" s="89"/>
      <c r="K10404" s="58"/>
      <c r="L10404" s="91"/>
      <c r="M10404" s="78"/>
    </row>
    <row r="10405">
      <c r="C10405" s="85"/>
      <c r="D10405" s="25"/>
      <c r="E10405" s="77"/>
      <c r="F10405" s="88"/>
      <c r="G10405" s="88"/>
      <c r="H10405" s="89"/>
      <c r="K10405" s="58"/>
      <c r="L10405" s="91"/>
      <c r="M10405" s="78"/>
    </row>
    <row r="10406">
      <c r="C10406" s="85"/>
      <c r="D10406" s="25"/>
      <c r="E10406" s="77"/>
      <c r="F10406" s="88"/>
      <c r="G10406" s="88"/>
      <c r="H10406" s="89"/>
      <c r="K10406" s="58"/>
      <c r="L10406" s="91"/>
      <c r="M10406" s="78"/>
    </row>
    <row r="10407">
      <c r="C10407" s="85"/>
      <c r="D10407" s="25"/>
      <c r="E10407" s="77"/>
      <c r="F10407" s="88"/>
      <c r="G10407" s="88"/>
      <c r="H10407" s="89"/>
      <c r="K10407" s="58"/>
      <c r="L10407" s="91"/>
      <c r="M10407" s="78"/>
    </row>
    <row r="10408">
      <c r="C10408" s="85"/>
      <c r="D10408" s="25"/>
      <c r="E10408" s="77"/>
      <c r="F10408" s="88"/>
      <c r="G10408" s="88"/>
      <c r="H10408" s="89"/>
      <c r="K10408" s="58"/>
      <c r="L10408" s="91"/>
      <c r="M10408" s="78"/>
    </row>
    <row r="10409">
      <c r="C10409" s="85"/>
      <c r="D10409" s="25"/>
      <c r="E10409" s="77"/>
      <c r="F10409" s="88"/>
      <c r="G10409" s="88"/>
      <c r="H10409" s="89"/>
      <c r="K10409" s="58"/>
      <c r="L10409" s="91"/>
      <c r="M10409" s="78"/>
    </row>
    <row r="10410">
      <c r="C10410" s="85"/>
      <c r="D10410" s="25"/>
      <c r="E10410" s="77"/>
      <c r="F10410" s="88"/>
      <c r="G10410" s="88"/>
      <c r="H10410" s="89"/>
      <c r="K10410" s="58"/>
      <c r="L10410" s="91"/>
      <c r="M10410" s="78"/>
    </row>
    <row r="10411">
      <c r="C10411" s="85"/>
      <c r="D10411" s="25"/>
      <c r="E10411" s="77"/>
      <c r="F10411" s="88"/>
      <c r="G10411" s="88"/>
      <c r="H10411" s="89"/>
      <c r="K10411" s="58"/>
      <c r="L10411" s="91"/>
      <c r="M10411" s="78"/>
    </row>
    <row r="10412">
      <c r="C10412" s="85"/>
      <c r="D10412" s="25"/>
      <c r="E10412" s="77"/>
      <c r="F10412" s="88"/>
      <c r="G10412" s="88"/>
      <c r="H10412" s="89"/>
      <c r="K10412" s="58"/>
      <c r="L10412" s="91"/>
      <c r="M10412" s="78"/>
    </row>
    <row r="10413">
      <c r="C10413" s="85"/>
      <c r="D10413" s="25"/>
      <c r="E10413" s="77"/>
      <c r="F10413" s="88"/>
      <c r="G10413" s="88"/>
      <c r="H10413" s="89"/>
      <c r="K10413" s="58"/>
      <c r="L10413" s="91"/>
      <c r="M10413" s="78"/>
    </row>
    <row r="10414">
      <c r="C10414" s="85"/>
      <c r="D10414" s="25"/>
      <c r="E10414" s="77"/>
      <c r="F10414" s="88"/>
      <c r="G10414" s="88"/>
      <c r="H10414" s="89"/>
      <c r="K10414" s="58"/>
      <c r="L10414" s="91"/>
      <c r="M10414" s="78"/>
    </row>
    <row r="10415">
      <c r="C10415" s="85"/>
      <c r="D10415" s="25"/>
      <c r="E10415" s="77"/>
      <c r="F10415" s="88"/>
      <c r="G10415" s="88"/>
      <c r="H10415" s="89"/>
      <c r="K10415" s="58"/>
      <c r="L10415" s="91"/>
      <c r="M10415" s="78"/>
    </row>
    <row r="10416">
      <c r="C10416" s="85"/>
      <c r="D10416" s="25"/>
      <c r="E10416" s="77"/>
      <c r="F10416" s="88"/>
      <c r="G10416" s="88"/>
      <c r="H10416" s="89"/>
      <c r="K10416" s="58"/>
      <c r="L10416" s="91"/>
      <c r="M10416" s="78"/>
    </row>
    <row r="10417">
      <c r="C10417" s="85"/>
      <c r="D10417" s="25"/>
      <c r="E10417" s="77"/>
      <c r="F10417" s="88"/>
      <c r="G10417" s="88"/>
      <c r="H10417" s="89"/>
      <c r="K10417" s="58"/>
      <c r="L10417" s="91"/>
      <c r="M10417" s="78"/>
    </row>
    <row r="10418">
      <c r="C10418" s="85"/>
      <c r="D10418" s="25"/>
      <c r="E10418" s="77"/>
      <c r="F10418" s="88"/>
      <c r="G10418" s="88"/>
      <c r="H10418" s="89"/>
      <c r="K10418" s="58"/>
      <c r="L10418" s="91"/>
      <c r="M10418" s="78"/>
    </row>
    <row r="10419">
      <c r="C10419" s="85"/>
      <c r="D10419" s="25"/>
      <c r="E10419" s="77"/>
      <c r="F10419" s="88"/>
      <c r="G10419" s="88"/>
      <c r="H10419" s="89"/>
      <c r="K10419" s="58"/>
      <c r="L10419" s="91"/>
      <c r="M10419" s="78"/>
    </row>
    <row r="10420">
      <c r="C10420" s="85"/>
      <c r="D10420" s="25"/>
      <c r="E10420" s="77"/>
      <c r="F10420" s="88"/>
      <c r="G10420" s="88"/>
      <c r="H10420" s="89"/>
      <c r="K10420" s="58"/>
      <c r="L10420" s="91"/>
      <c r="M10420" s="78"/>
    </row>
    <row r="10421">
      <c r="C10421" s="85"/>
      <c r="D10421" s="25"/>
      <c r="E10421" s="77"/>
      <c r="F10421" s="88"/>
      <c r="G10421" s="88"/>
      <c r="H10421" s="89"/>
      <c r="K10421" s="58"/>
      <c r="L10421" s="91"/>
      <c r="M10421" s="78"/>
    </row>
    <row r="10422">
      <c r="C10422" s="85"/>
      <c r="D10422" s="25"/>
      <c r="E10422" s="77"/>
      <c r="F10422" s="88"/>
      <c r="G10422" s="88"/>
      <c r="H10422" s="89"/>
      <c r="K10422" s="58"/>
      <c r="L10422" s="91"/>
      <c r="M10422" s="78"/>
    </row>
    <row r="10423">
      <c r="C10423" s="85"/>
      <c r="D10423" s="25"/>
      <c r="E10423" s="77"/>
      <c r="F10423" s="88"/>
      <c r="G10423" s="88"/>
      <c r="H10423" s="89"/>
      <c r="K10423" s="58"/>
      <c r="L10423" s="91"/>
      <c r="M10423" s="78"/>
    </row>
    <row r="10424">
      <c r="C10424" s="85"/>
      <c r="D10424" s="25"/>
      <c r="E10424" s="77"/>
      <c r="F10424" s="88"/>
      <c r="G10424" s="88"/>
      <c r="H10424" s="89"/>
      <c r="K10424" s="58"/>
      <c r="L10424" s="91"/>
      <c r="M10424" s="78"/>
    </row>
    <row r="10425">
      <c r="C10425" s="85"/>
      <c r="D10425" s="25"/>
      <c r="E10425" s="77"/>
      <c r="F10425" s="88"/>
      <c r="G10425" s="88"/>
      <c r="H10425" s="89"/>
      <c r="K10425" s="58"/>
      <c r="L10425" s="91"/>
      <c r="M10425" s="78"/>
    </row>
    <row r="10426">
      <c r="C10426" s="85"/>
      <c r="D10426" s="25"/>
      <c r="E10426" s="77"/>
      <c r="F10426" s="88"/>
      <c r="G10426" s="88"/>
      <c r="H10426" s="89"/>
      <c r="K10426" s="58"/>
      <c r="L10426" s="91"/>
      <c r="M10426" s="78"/>
    </row>
    <row r="10427">
      <c r="C10427" s="85"/>
      <c r="D10427" s="25"/>
      <c r="E10427" s="77"/>
      <c r="F10427" s="88"/>
      <c r="G10427" s="88"/>
      <c r="H10427" s="89"/>
      <c r="K10427" s="58"/>
      <c r="L10427" s="91"/>
      <c r="M10427" s="78"/>
    </row>
    <row r="10428">
      <c r="C10428" s="85"/>
      <c r="D10428" s="25"/>
      <c r="E10428" s="77"/>
      <c r="F10428" s="88"/>
      <c r="G10428" s="88"/>
      <c r="H10428" s="89"/>
      <c r="K10428" s="58"/>
      <c r="L10428" s="91"/>
      <c r="M10428" s="78"/>
    </row>
    <row r="10429">
      <c r="C10429" s="85"/>
      <c r="D10429" s="25"/>
      <c r="E10429" s="77"/>
      <c r="F10429" s="88"/>
      <c r="G10429" s="88"/>
      <c r="H10429" s="89"/>
      <c r="K10429" s="58"/>
      <c r="L10429" s="91"/>
      <c r="M10429" s="78"/>
    </row>
    <row r="10430">
      <c r="C10430" s="85"/>
      <c r="D10430" s="25"/>
      <c r="E10430" s="77"/>
      <c r="F10430" s="88"/>
      <c r="G10430" s="88"/>
      <c r="H10430" s="89"/>
      <c r="K10430" s="58"/>
      <c r="L10430" s="91"/>
      <c r="M10430" s="78"/>
    </row>
    <row r="10431">
      <c r="C10431" s="85"/>
      <c r="D10431" s="25"/>
      <c r="E10431" s="77"/>
      <c r="F10431" s="88"/>
      <c r="G10431" s="88"/>
      <c r="H10431" s="89"/>
      <c r="K10431" s="58"/>
      <c r="L10431" s="91"/>
      <c r="M10431" s="78"/>
    </row>
    <row r="10432">
      <c r="C10432" s="85"/>
      <c r="D10432" s="25"/>
      <c r="E10432" s="77"/>
      <c r="F10432" s="88"/>
      <c r="G10432" s="88"/>
      <c r="H10432" s="89"/>
      <c r="K10432" s="58"/>
      <c r="L10432" s="91"/>
      <c r="M10432" s="78"/>
    </row>
    <row r="10433">
      <c r="C10433" s="85"/>
      <c r="D10433" s="25"/>
      <c r="E10433" s="77"/>
      <c r="F10433" s="88"/>
      <c r="G10433" s="88"/>
      <c r="H10433" s="89"/>
      <c r="K10433" s="58"/>
      <c r="L10433" s="91"/>
      <c r="M10433" s="78"/>
    </row>
    <row r="10434">
      <c r="C10434" s="85"/>
      <c r="D10434" s="25"/>
      <c r="E10434" s="77"/>
      <c r="F10434" s="88"/>
      <c r="G10434" s="88"/>
      <c r="H10434" s="89"/>
      <c r="K10434" s="58"/>
      <c r="L10434" s="91"/>
      <c r="M10434" s="78"/>
    </row>
    <row r="10435">
      <c r="C10435" s="85"/>
      <c r="D10435" s="25"/>
      <c r="E10435" s="77"/>
      <c r="F10435" s="88"/>
      <c r="G10435" s="88"/>
      <c r="H10435" s="89"/>
      <c r="K10435" s="58"/>
      <c r="L10435" s="91"/>
      <c r="M10435" s="78"/>
    </row>
    <row r="10436">
      <c r="C10436" s="85"/>
      <c r="D10436" s="25"/>
      <c r="E10436" s="77"/>
      <c r="F10436" s="88"/>
      <c r="G10436" s="88"/>
      <c r="H10436" s="89"/>
      <c r="K10436" s="58"/>
      <c r="L10436" s="91"/>
      <c r="M10436" s="78"/>
    </row>
    <row r="10437">
      <c r="C10437" s="85"/>
      <c r="D10437" s="25"/>
      <c r="E10437" s="77"/>
      <c r="F10437" s="88"/>
      <c r="G10437" s="88"/>
      <c r="H10437" s="89"/>
      <c r="K10437" s="58"/>
      <c r="L10437" s="91"/>
      <c r="M10437" s="78"/>
    </row>
    <row r="10438">
      <c r="C10438" s="85"/>
      <c r="D10438" s="25"/>
      <c r="E10438" s="77"/>
      <c r="F10438" s="88"/>
      <c r="G10438" s="88"/>
      <c r="H10438" s="89"/>
      <c r="K10438" s="58"/>
      <c r="L10438" s="91"/>
      <c r="M10438" s="78"/>
    </row>
    <row r="10439">
      <c r="C10439" s="85"/>
      <c r="D10439" s="25"/>
      <c r="E10439" s="77"/>
      <c r="F10439" s="88"/>
      <c r="G10439" s="88"/>
      <c r="H10439" s="89"/>
      <c r="K10439" s="58"/>
      <c r="L10439" s="91"/>
      <c r="M10439" s="78"/>
    </row>
    <row r="10440">
      <c r="C10440" s="85"/>
      <c r="D10440" s="25"/>
      <c r="E10440" s="77"/>
      <c r="F10440" s="88"/>
      <c r="G10440" s="88"/>
      <c r="H10440" s="89"/>
      <c r="K10440" s="58"/>
      <c r="L10440" s="91"/>
      <c r="M10440" s="78"/>
    </row>
    <row r="10441">
      <c r="C10441" s="85"/>
      <c r="D10441" s="25"/>
      <c r="E10441" s="77"/>
      <c r="F10441" s="88"/>
      <c r="G10441" s="88"/>
      <c r="H10441" s="89"/>
      <c r="K10441" s="58"/>
      <c r="L10441" s="91"/>
      <c r="M10441" s="78"/>
    </row>
    <row r="10442">
      <c r="C10442" s="85"/>
      <c r="D10442" s="25"/>
      <c r="E10442" s="77"/>
      <c r="F10442" s="88"/>
      <c r="G10442" s="88"/>
      <c r="H10442" s="89"/>
      <c r="K10442" s="58"/>
      <c r="L10442" s="91"/>
      <c r="M10442" s="78"/>
    </row>
    <row r="10443">
      <c r="C10443" s="85"/>
      <c r="D10443" s="25"/>
      <c r="E10443" s="77"/>
      <c r="F10443" s="88"/>
      <c r="G10443" s="88"/>
      <c r="H10443" s="89"/>
      <c r="K10443" s="58"/>
      <c r="L10443" s="91"/>
      <c r="M10443" s="78"/>
    </row>
    <row r="10444">
      <c r="C10444" s="85"/>
      <c r="D10444" s="25"/>
      <c r="E10444" s="77"/>
      <c r="F10444" s="88"/>
      <c r="G10444" s="88"/>
      <c r="H10444" s="89"/>
      <c r="K10444" s="58"/>
      <c r="L10444" s="91"/>
      <c r="M10444" s="78"/>
    </row>
    <row r="10445">
      <c r="C10445" s="85"/>
      <c r="D10445" s="25"/>
      <c r="E10445" s="77"/>
      <c r="F10445" s="88"/>
      <c r="G10445" s="88"/>
      <c r="H10445" s="89"/>
      <c r="K10445" s="58"/>
      <c r="L10445" s="91"/>
      <c r="M10445" s="78"/>
    </row>
    <row r="10446">
      <c r="C10446" s="85"/>
      <c r="D10446" s="25"/>
      <c r="E10446" s="77"/>
      <c r="F10446" s="88"/>
      <c r="G10446" s="88"/>
      <c r="H10446" s="89"/>
      <c r="K10446" s="58"/>
      <c r="L10446" s="91"/>
      <c r="M10446" s="78"/>
    </row>
    <row r="10447">
      <c r="C10447" s="85"/>
      <c r="D10447" s="25"/>
      <c r="E10447" s="77"/>
      <c r="F10447" s="88"/>
      <c r="G10447" s="88"/>
      <c r="H10447" s="89"/>
      <c r="K10447" s="58"/>
      <c r="L10447" s="91"/>
      <c r="M10447" s="78"/>
    </row>
    <row r="10448">
      <c r="C10448" s="85"/>
      <c r="D10448" s="25"/>
      <c r="E10448" s="77"/>
      <c r="F10448" s="88"/>
      <c r="G10448" s="88"/>
      <c r="H10448" s="89"/>
      <c r="K10448" s="58"/>
      <c r="L10448" s="91"/>
      <c r="M10448" s="78"/>
    </row>
    <row r="10449">
      <c r="C10449" s="85"/>
      <c r="D10449" s="25"/>
      <c r="E10449" s="77"/>
      <c r="F10449" s="88"/>
      <c r="G10449" s="88"/>
      <c r="H10449" s="89"/>
      <c r="K10449" s="58"/>
      <c r="L10449" s="91"/>
      <c r="M10449" s="78"/>
    </row>
    <row r="10450">
      <c r="C10450" s="85"/>
      <c r="D10450" s="25"/>
      <c r="E10450" s="77"/>
      <c r="F10450" s="88"/>
      <c r="G10450" s="88"/>
      <c r="H10450" s="89"/>
      <c r="K10450" s="58"/>
      <c r="L10450" s="91"/>
      <c r="M10450" s="78"/>
    </row>
    <row r="10451">
      <c r="C10451" s="85"/>
      <c r="D10451" s="25"/>
      <c r="E10451" s="77"/>
      <c r="F10451" s="88"/>
      <c r="G10451" s="88"/>
      <c r="H10451" s="89"/>
      <c r="K10451" s="58"/>
      <c r="L10451" s="91"/>
      <c r="M10451" s="78"/>
    </row>
    <row r="10452">
      <c r="C10452" s="85"/>
      <c r="D10452" s="25"/>
      <c r="E10452" s="77"/>
      <c r="F10452" s="88"/>
      <c r="G10452" s="88"/>
      <c r="H10452" s="89"/>
      <c r="K10452" s="58"/>
      <c r="L10452" s="91"/>
      <c r="M10452" s="78"/>
    </row>
    <row r="10453">
      <c r="C10453" s="85"/>
      <c r="D10453" s="25"/>
      <c r="E10453" s="77"/>
      <c r="F10453" s="88"/>
      <c r="G10453" s="88"/>
      <c r="H10453" s="89"/>
      <c r="K10453" s="58"/>
      <c r="L10453" s="91"/>
      <c r="M10453" s="78"/>
    </row>
    <row r="10454">
      <c r="C10454" s="85"/>
      <c r="D10454" s="25"/>
      <c r="E10454" s="77"/>
      <c r="F10454" s="88"/>
      <c r="G10454" s="88"/>
      <c r="H10454" s="89"/>
      <c r="K10454" s="58"/>
      <c r="L10454" s="91"/>
      <c r="M10454" s="78"/>
    </row>
    <row r="10455">
      <c r="C10455" s="85"/>
      <c r="D10455" s="25"/>
      <c r="E10455" s="77"/>
      <c r="F10455" s="88"/>
      <c r="G10455" s="88"/>
      <c r="H10455" s="89"/>
      <c r="K10455" s="58"/>
      <c r="L10455" s="91"/>
      <c r="M10455" s="78"/>
    </row>
    <row r="10456">
      <c r="C10456" s="85"/>
      <c r="D10456" s="25"/>
      <c r="E10456" s="77"/>
      <c r="F10456" s="88"/>
      <c r="G10456" s="88"/>
      <c r="H10456" s="89"/>
      <c r="K10456" s="58"/>
      <c r="L10456" s="91"/>
      <c r="M10456" s="78"/>
    </row>
    <row r="10457">
      <c r="C10457" s="85"/>
      <c r="D10457" s="25"/>
      <c r="E10457" s="77"/>
      <c r="F10457" s="88"/>
      <c r="G10457" s="88"/>
      <c r="H10457" s="89"/>
      <c r="K10457" s="58"/>
      <c r="L10457" s="91"/>
      <c r="M10457" s="78"/>
    </row>
    <row r="10458">
      <c r="C10458" s="85"/>
      <c r="D10458" s="25"/>
      <c r="E10458" s="77"/>
      <c r="F10458" s="88"/>
      <c r="G10458" s="88"/>
      <c r="H10458" s="89"/>
      <c r="K10458" s="58"/>
      <c r="L10458" s="91"/>
      <c r="M10458" s="78"/>
    </row>
    <row r="10459">
      <c r="C10459" s="85"/>
      <c r="D10459" s="25"/>
      <c r="E10459" s="77"/>
      <c r="F10459" s="88"/>
      <c r="G10459" s="88"/>
      <c r="H10459" s="89"/>
      <c r="K10459" s="58"/>
      <c r="L10459" s="91"/>
      <c r="M10459" s="78"/>
    </row>
    <row r="10460">
      <c r="C10460" s="85"/>
      <c r="D10460" s="25"/>
      <c r="E10460" s="77"/>
      <c r="F10460" s="88"/>
      <c r="G10460" s="88"/>
      <c r="H10460" s="89"/>
      <c r="K10460" s="58"/>
      <c r="L10460" s="91"/>
      <c r="M10460" s="78"/>
    </row>
    <row r="10461">
      <c r="C10461" s="85"/>
      <c r="D10461" s="25"/>
      <c r="E10461" s="77"/>
      <c r="F10461" s="88"/>
      <c r="G10461" s="88"/>
      <c r="H10461" s="89"/>
      <c r="K10461" s="58"/>
      <c r="L10461" s="91"/>
      <c r="M10461" s="78"/>
    </row>
    <row r="10462">
      <c r="C10462" s="85"/>
      <c r="D10462" s="25"/>
      <c r="E10462" s="77"/>
      <c r="F10462" s="88"/>
      <c r="G10462" s="88"/>
      <c r="H10462" s="89"/>
      <c r="K10462" s="58"/>
      <c r="L10462" s="91"/>
      <c r="M10462" s="78"/>
    </row>
    <row r="10463">
      <c r="C10463" s="85"/>
      <c r="D10463" s="25"/>
      <c r="E10463" s="77"/>
      <c r="F10463" s="88"/>
      <c r="G10463" s="88"/>
      <c r="H10463" s="89"/>
      <c r="K10463" s="58"/>
      <c r="L10463" s="91"/>
      <c r="M10463" s="78"/>
    </row>
    <row r="10464">
      <c r="C10464" s="85"/>
      <c r="D10464" s="25"/>
      <c r="E10464" s="77"/>
      <c r="F10464" s="88"/>
      <c r="G10464" s="88"/>
      <c r="H10464" s="89"/>
      <c r="K10464" s="58"/>
      <c r="L10464" s="91"/>
      <c r="M10464" s="78"/>
    </row>
    <row r="10465">
      <c r="C10465" s="85"/>
      <c r="D10465" s="25"/>
      <c r="E10465" s="77"/>
      <c r="F10465" s="88"/>
      <c r="G10465" s="88"/>
      <c r="H10465" s="89"/>
      <c r="K10465" s="58"/>
      <c r="L10465" s="91"/>
      <c r="M10465" s="78"/>
    </row>
    <row r="10466">
      <c r="C10466" s="85"/>
      <c r="D10466" s="25"/>
      <c r="E10466" s="77"/>
      <c r="F10466" s="88"/>
      <c r="G10466" s="88"/>
      <c r="H10466" s="89"/>
      <c r="K10466" s="58"/>
      <c r="L10466" s="91"/>
      <c r="M10466" s="78"/>
    </row>
    <row r="10467">
      <c r="C10467" s="85"/>
      <c r="D10467" s="25"/>
      <c r="E10467" s="77"/>
      <c r="F10467" s="88"/>
      <c r="G10467" s="88"/>
      <c r="H10467" s="89"/>
      <c r="K10467" s="58"/>
      <c r="L10467" s="91"/>
      <c r="M10467" s="78"/>
    </row>
    <row r="10468">
      <c r="C10468" s="85"/>
      <c r="D10468" s="25"/>
      <c r="E10468" s="77"/>
      <c r="F10468" s="88"/>
      <c r="G10468" s="88"/>
      <c r="H10468" s="89"/>
      <c r="K10468" s="58"/>
      <c r="L10468" s="91"/>
      <c r="M10468" s="78"/>
    </row>
    <row r="10469">
      <c r="C10469" s="85"/>
      <c r="D10469" s="25"/>
      <c r="E10469" s="77"/>
      <c r="F10469" s="88"/>
      <c r="G10469" s="88"/>
      <c r="H10469" s="89"/>
      <c r="K10469" s="58"/>
      <c r="L10469" s="91"/>
      <c r="M10469" s="78"/>
    </row>
    <row r="10470">
      <c r="C10470" s="85"/>
      <c r="D10470" s="25"/>
      <c r="E10470" s="77"/>
      <c r="F10470" s="88"/>
      <c r="G10470" s="88"/>
      <c r="H10470" s="89"/>
      <c r="K10470" s="58"/>
      <c r="L10470" s="91"/>
      <c r="M10470" s="78"/>
    </row>
    <row r="10471">
      <c r="C10471" s="85"/>
      <c r="D10471" s="25"/>
      <c r="E10471" s="77"/>
      <c r="F10471" s="88"/>
      <c r="G10471" s="88"/>
      <c r="H10471" s="89"/>
      <c r="K10471" s="58"/>
      <c r="L10471" s="91"/>
      <c r="M10471" s="78"/>
    </row>
    <row r="10472">
      <c r="C10472" s="85"/>
      <c r="D10472" s="25"/>
      <c r="E10472" s="77"/>
      <c r="F10472" s="88"/>
      <c r="G10472" s="88"/>
      <c r="H10472" s="89"/>
      <c r="K10472" s="58"/>
      <c r="L10472" s="91"/>
      <c r="M10472" s="78"/>
    </row>
    <row r="10473">
      <c r="C10473" s="85"/>
      <c r="D10473" s="25"/>
      <c r="E10473" s="77"/>
      <c r="F10473" s="88"/>
      <c r="G10473" s="88"/>
      <c r="H10473" s="89"/>
      <c r="K10473" s="58"/>
      <c r="L10473" s="91"/>
      <c r="M10473" s="78"/>
    </row>
    <row r="10474">
      <c r="C10474" s="85"/>
      <c r="D10474" s="25"/>
      <c r="E10474" s="77"/>
      <c r="F10474" s="88"/>
      <c r="G10474" s="88"/>
      <c r="H10474" s="89"/>
      <c r="K10474" s="58"/>
      <c r="L10474" s="91"/>
      <c r="M10474" s="78"/>
    </row>
    <row r="10475">
      <c r="C10475" s="85"/>
      <c r="D10475" s="25"/>
      <c r="E10475" s="77"/>
      <c r="F10475" s="88"/>
      <c r="G10475" s="88"/>
      <c r="H10475" s="89"/>
      <c r="K10475" s="58"/>
      <c r="L10475" s="91"/>
      <c r="M10475" s="78"/>
    </row>
    <row r="10476">
      <c r="C10476" s="85"/>
      <c r="D10476" s="25"/>
      <c r="E10476" s="77"/>
      <c r="F10476" s="88"/>
      <c r="G10476" s="88"/>
      <c r="H10476" s="89"/>
      <c r="K10476" s="58"/>
      <c r="L10476" s="91"/>
      <c r="M10476" s="78"/>
    </row>
    <row r="10477">
      <c r="C10477" s="85"/>
      <c r="D10477" s="25"/>
      <c r="E10477" s="77"/>
      <c r="F10477" s="88"/>
      <c r="G10477" s="88"/>
      <c r="H10477" s="89"/>
      <c r="K10477" s="58"/>
      <c r="L10477" s="91"/>
      <c r="M10477" s="78"/>
    </row>
    <row r="10478">
      <c r="C10478" s="85"/>
      <c r="D10478" s="25"/>
      <c r="E10478" s="77"/>
      <c r="F10478" s="88"/>
      <c r="G10478" s="88"/>
      <c r="H10478" s="89"/>
      <c r="K10478" s="58"/>
      <c r="L10478" s="91"/>
      <c r="M10478" s="78"/>
    </row>
    <row r="10479">
      <c r="C10479" s="85"/>
      <c r="D10479" s="25"/>
      <c r="E10479" s="77"/>
      <c r="F10479" s="88"/>
      <c r="G10479" s="88"/>
      <c r="H10479" s="89"/>
      <c r="K10479" s="58"/>
      <c r="L10479" s="91"/>
      <c r="M10479" s="78"/>
    </row>
    <row r="10480">
      <c r="C10480" s="85"/>
      <c r="D10480" s="25"/>
      <c r="E10480" s="77"/>
      <c r="F10480" s="88"/>
      <c r="G10480" s="88"/>
      <c r="H10480" s="89"/>
      <c r="K10480" s="58"/>
      <c r="L10480" s="91"/>
      <c r="M10480" s="78"/>
    </row>
    <row r="10481">
      <c r="C10481" s="85"/>
      <c r="D10481" s="25"/>
      <c r="E10481" s="77"/>
      <c r="F10481" s="88"/>
      <c r="G10481" s="88"/>
      <c r="H10481" s="89"/>
      <c r="K10481" s="58"/>
      <c r="L10481" s="91"/>
      <c r="M10481" s="78"/>
    </row>
    <row r="10482">
      <c r="C10482" s="85"/>
      <c r="D10482" s="25"/>
      <c r="E10482" s="77"/>
      <c r="F10482" s="88"/>
      <c r="G10482" s="88"/>
      <c r="H10482" s="89"/>
      <c r="K10482" s="58"/>
      <c r="L10482" s="91"/>
      <c r="M10482" s="78"/>
    </row>
    <row r="10483">
      <c r="C10483" s="85"/>
      <c r="D10483" s="25"/>
      <c r="E10483" s="77"/>
      <c r="F10483" s="88"/>
      <c r="G10483" s="88"/>
      <c r="H10483" s="89"/>
      <c r="K10483" s="58"/>
      <c r="L10483" s="91"/>
      <c r="M10483" s="78"/>
    </row>
    <row r="10484">
      <c r="C10484" s="85"/>
      <c r="D10484" s="25"/>
      <c r="E10484" s="77"/>
      <c r="F10484" s="88"/>
      <c r="G10484" s="88"/>
      <c r="H10484" s="89"/>
      <c r="K10484" s="58"/>
      <c r="L10484" s="91"/>
      <c r="M10484" s="78"/>
    </row>
    <row r="10485">
      <c r="C10485" s="85"/>
      <c r="D10485" s="25"/>
      <c r="E10485" s="77"/>
      <c r="F10485" s="88"/>
      <c r="G10485" s="88"/>
      <c r="H10485" s="89"/>
      <c r="K10485" s="58"/>
      <c r="L10485" s="91"/>
      <c r="M10485" s="78"/>
    </row>
    <row r="10486">
      <c r="C10486" s="85"/>
      <c r="D10486" s="25"/>
      <c r="E10486" s="77"/>
      <c r="F10486" s="88"/>
      <c r="G10486" s="88"/>
      <c r="H10486" s="89"/>
      <c r="K10486" s="58"/>
      <c r="L10486" s="91"/>
      <c r="M10486" s="78"/>
    </row>
    <row r="10487">
      <c r="C10487" s="85"/>
      <c r="D10487" s="25"/>
      <c r="E10487" s="77"/>
      <c r="F10487" s="88"/>
      <c r="G10487" s="88"/>
      <c r="H10487" s="89"/>
      <c r="K10487" s="58"/>
      <c r="L10487" s="91"/>
      <c r="M10487" s="78"/>
    </row>
    <row r="10488">
      <c r="C10488" s="85"/>
      <c r="D10488" s="25"/>
      <c r="E10488" s="77"/>
      <c r="F10488" s="88"/>
      <c r="G10488" s="88"/>
      <c r="H10488" s="89"/>
      <c r="K10488" s="58"/>
      <c r="L10488" s="91"/>
      <c r="M10488" s="78"/>
    </row>
    <row r="10489">
      <c r="C10489" s="85"/>
      <c r="D10489" s="25"/>
      <c r="E10489" s="77"/>
      <c r="F10489" s="88"/>
      <c r="G10489" s="88"/>
      <c r="H10489" s="89"/>
      <c r="K10489" s="58"/>
      <c r="L10489" s="91"/>
      <c r="M10489" s="78"/>
    </row>
    <row r="10490">
      <c r="C10490" s="85"/>
      <c r="D10490" s="25"/>
      <c r="E10490" s="77"/>
      <c r="F10490" s="88"/>
      <c r="G10490" s="88"/>
      <c r="H10490" s="89"/>
      <c r="K10490" s="58"/>
      <c r="L10490" s="91"/>
      <c r="M10490" s="78"/>
    </row>
    <row r="10491">
      <c r="C10491" s="85"/>
      <c r="D10491" s="25"/>
      <c r="E10491" s="77"/>
      <c r="F10491" s="88"/>
      <c r="G10491" s="88"/>
      <c r="H10491" s="89"/>
      <c r="K10491" s="58"/>
      <c r="L10491" s="91"/>
      <c r="M10491" s="78"/>
    </row>
    <row r="10492">
      <c r="C10492" s="85"/>
      <c r="D10492" s="25"/>
      <c r="E10492" s="77"/>
      <c r="F10492" s="88"/>
      <c r="G10492" s="88"/>
      <c r="H10492" s="89"/>
      <c r="K10492" s="58"/>
      <c r="L10492" s="91"/>
      <c r="M10492" s="78"/>
    </row>
    <row r="10493">
      <c r="C10493" s="85"/>
      <c r="D10493" s="25"/>
      <c r="E10493" s="77"/>
      <c r="F10493" s="88"/>
      <c r="G10493" s="88"/>
      <c r="H10493" s="89"/>
      <c r="K10493" s="58"/>
      <c r="L10493" s="91"/>
      <c r="M10493" s="78"/>
    </row>
    <row r="10494">
      <c r="C10494" s="85"/>
      <c r="D10494" s="25"/>
      <c r="E10494" s="77"/>
      <c r="F10494" s="88"/>
      <c r="G10494" s="88"/>
      <c r="H10494" s="89"/>
      <c r="K10494" s="58"/>
      <c r="L10494" s="91"/>
      <c r="M10494" s="78"/>
    </row>
    <row r="10495">
      <c r="C10495" s="85"/>
      <c r="D10495" s="25"/>
      <c r="E10495" s="77"/>
      <c r="F10495" s="88"/>
      <c r="G10495" s="88"/>
      <c r="H10495" s="89"/>
      <c r="K10495" s="58"/>
      <c r="L10495" s="91"/>
      <c r="M10495" s="78"/>
    </row>
    <row r="10496">
      <c r="C10496" s="85"/>
      <c r="D10496" s="25"/>
      <c r="E10496" s="77"/>
      <c r="F10496" s="88"/>
      <c r="G10496" s="88"/>
      <c r="H10496" s="89"/>
      <c r="K10496" s="58"/>
      <c r="L10496" s="91"/>
      <c r="M10496" s="78"/>
    </row>
    <row r="10497">
      <c r="C10497" s="85"/>
      <c r="D10497" s="25"/>
      <c r="E10497" s="77"/>
      <c r="F10497" s="88"/>
      <c r="G10497" s="88"/>
      <c r="H10497" s="89"/>
      <c r="K10497" s="58"/>
      <c r="L10497" s="91"/>
      <c r="M10497" s="78"/>
    </row>
    <row r="10498">
      <c r="C10498" s="85"/>
      <c r="D10498" s="25"/>
      <c r="E10498" s="77"/>
      <c r="F10498" s="88"/>
      <c r="G10498" s="88"/>
      <c r="H10498" s="89"/>
      <c r="K10498" s="58"/>
      <c r="L10498" s="91"/>
      <c r="M10498" s="78"/>
    </row>
    <row r="10499">
      <c r="C10499" s="85"/>
      <c r="D10499" s="25"/>
      <c r="E10499" s="77"/>
      <c r="F10499" s="88"/>
      <c r="G10499" s="88"/>
      <c r="H10499" s="89"/>
      <c r="K10499" s="58"/>
      <c r="L10499" s="91"/>
      <c r="M10499" s="78"/>
    </row>
    <row r="10500">
      <c r="C10500" s="85"/>
      <c r="D10500" s="25"/>
      <c r="E10500" s="77"/>
      <c r="F10500" s="88"/>
      <c r="G10500" s="88"/>
      <c r="H10500" s="89"/>
      <c r="K10500" s="58"/>
      <c r="L10500" s="91"/>
      <c r="M10500" s="78"/>
    </row>
    <row r="10501">
      <c r="C10501" s="85"/>
      <c r="D10501" s="25"/>
      <c r="E10501" s="77"/>
      <c r="F10501" s="88"/>
      <c r="G10501" s="88"/>
      <c r="H10501" s="89"/>
      <c r="K10501" s="58"/>
      <c r="L10501" s="91"/>
      <c r="M10501" s="78"/>
    </row>
    <row r="10502">
      <c r="C10502" s="85"/>
      <c r="D10502" s="25"/>
      <c r="E10502" s="77"/>
      <c r="F10502" s="88"/>
      <c r="G10502" s="88"/>
      <c r="H10502" s="89"/>
      <c r="K10502" s="58"/>
      <c r="L10502" s="91"/>
      <c r="M10502" s="78"/>
    </row>
    <row r="10503">
      <c r="C10503" s="85"/>
      <c r="D10503" s="25"/>
      <c r="E10503" s="77"/>
      <c r="F10503" s="88"/>
      <c r="G10503" s="88"/>
      <c r="H10503" s="89"/>
      <c r="K10503" s="58"/>
      <c r="L10503" s="91"/>
      <c r="M10503" s="78"/>
    </row>
    <row r="10504">
      <c r="C10504" s="85"/>
      <c r="D10504" s="25"/>
      <c r="E10504" s="77"/>
      <c r="F10504" s="88"/>
      <c r="G10504" s="88"/>
      <c r="H10504" s="89"/>
      <c r="K10504" s="58"/>
      <c r="L10504" s="91"/>
      <c r="M10504" s="78"/>
    </row>
    <row r="10505">
      <c r="C10505" s="85"/>
      <c r="D10505" s="25"/>
      <c r="E10505" s="77"/>
      <c r="F10505" s="88"/>
      <c r="G10505" s="88"/>
      <c r="H10505" s="89"/>
      <c r="K10505" s="58"/>
      <c r="L10505" s="91"/>
      <c r="M10505" s="78"/>
    </row>
    <row r="10506">
      <c r="C10506" s="85"/>
      <c r="D10506" s="25"/>
      <c r="E10506" s="77"/>
      <c r="F10506" s="88"/>
      <c r="G10506" s="88"/>
      <c r="H10506" s="89"/>
      <c r="K10506" s="58"/>
      <c r="L10506" s="91"/>
      <c r="M10506" s="78"/>
    </row>
    <row r="10507">
      <c r="C10507" s="85"/>
      <c r="D10507" s="25"/>
      <c r="E10507" s="77"/>
      <c r="F10507" s="88"/>
      <c r="G10507" s="88"/>
      <c r="H10507" s="89"/>
      <c r="K10507" s="58"/>
      <c r="L10507" s="91"/>
      <c r="M10507" s="78"/>
    </row>
    <row r="10508">
      <c r="C10508" s="85"/>
      <c r="D10508" s="25"/>
      <c r="E10508" s="77"/>
      <c r="F10508" s="88"/>
      <c r="G10508" s="88"/>
      <c r="H10508" s="89"/>
      <c r="K10508" s="58"/>
      <c r="L10508" s="91"/>
      <c r="M10508" s="78"/>
    </row>
    <row r="10509">
      <c r="C10509" s="85"/>
      <c r="D10509" s="25"/>
      <c r="E10509" s="77"/>
      <c r="F10509" s="88"/>
      <c r="G10509" s="88"/>
      <c r="H10509" s="89"/>
      <c r="K10509" s="58"/>
      <c r="L10509" s="91"/>
      <c r="M10509" s="78"/>
    </row>
    <row r="10510">
      <c r="C10510" s="85"/>
      <c r="D10510" s="25"/>
      <c r="E10510" s="77"/>
      <c r="F10510" s="88"/>
      <c r="G10510" s="88"/>
      <c r="H10510" s="89"/>
      <c r="K10510" s="58"/>
      <c r="L10510" s="91"/>
      <c r="M10510" s="78"/>
    </row>
    <row r="10511">
      <c r="C10511" s="85"/>
      <c r="D10511" s="25"/>
      <c r="E10511" s="77"/>
      <c r="F10511" s="88"/>
      <c r="G10511" s="88"/>
      <c r="H10511" s="89"/>
      <c r="K10511" s="58"/>
      <c r="L10511" s="91"/>
      <c r="M10511" s="78"/>
    </row>
    <row r="10512">
      <c r="C10512" s="85"/>
      <c r="D10512" s="25"/>
      <c r="E10512" s="77"/>
      <c r="F10512" s="88"/>
      <c r="G10512" s="88"/>
      <c r="H10512" s="89"/>
      <c r="K10512" s="58"/>
      <c r="L10512" s="91"/>
      <c r="M10512" s="78"/>
    </row>
    <row r="10513">
      <c r="C10513" s="85"/>
      <c r="D10513" s="25"/>
      <c r="E10513" s="77"/>
      <c r="F10513" s="88"/>
      <c r="G10513" s="88"/>
      <c r="H10513" s="89"/>
      <c r="K10513" s="58"/>
      <c r="L10513" s="91"/>
      <c r="M10513" s="78"/>
    </row>
    <row r="10514">
      <c r="C10514" s="85"/>
      <c r="D10514" s="25"/>
      <c r="E10514" s="77"/>
      <c r="F10514" s="88"/>
      <c r="G10514" s="88"/>
      <c r="H10514" s="89"/>
      <c r="K10514" s="58"/>
      <c r="L10514" s="91"/>
      <c r="M10514" s="78"/>
    </row>
    <row r="10515">
      <c r="C10515" s="85"/>
      <c r="D10515" s="25"/>
      <c r="E10515" s="77"/>
      <c r="F10515" s="88"/>
      <c r="G10515" s="88"/>
      <c r="H10515" s="89"/>
      <c r="K10515" s="58"/>
      <c r="L10515" s="91"/>
      <c r="M10515" s="78"/>
    </row>
    <row r="10516">
      <c r="C10516" s="85"/>
      <c r="D10516" s="25"/>
      <c r="E10516" s="77"/>
      <c r="F10516" s="88"/>
      <c r="G10516" s="88"/>
      <c r="H10516" s="89"/>
      <c r="K10516" s="58"/>
      <c r="L10516" s="91"/>
      <c r="M10516" s="78"/>
    </row>
    <row r="10517">
      <c r="C10517" s="85"/>
      <c r="D10517" s="25"/>
      <c r="E10517" s="77"/>
      <c r="F10517" s="88"/>
      <c r="G10517" s="88"/>
      <c r="H10517" s="89"/>
      <c r="K10517" s="58"/>
      <c r="L10517" s="91"/>
      <c r="M10517" s="78"/>
    </row>
    <row r="10518">
      <c r="C10518" s="85"/>
      <c r="D10518" s="25"/>
      <c r="E10518" s="77"/>
      <c r="F10518" s="88"/>
      <c r="G10518" s="88"/>
      <c r="H10518" s="89"/>
      <c r="K10518" s="58"/>
      <c r="L10518" s="91"/>
      <c r="M10518" s="78"/>
    </row>
    <row r="10519">
      <c r="C10519" s="85"/>
      <c r="D10519" s="25"/>
      <c r="E10519" s="77"/>
      <c r="F10519" s="88"/>
      <c r="G10519" s="88"/>
      <c r="H10519" s="89"/>
      <c r="K10519" s="58"/>
      <c r="L10519" s="91"/>
      <c r="M10519" s="78"/>
    </row>
    <row r="10520">
      <c r="C10520" s="85"/>
      <c r="D10520" s="25"/>
      <c r="E10520" s="77"/>
      <c r="F10520" s="88"/>
      <c r="G10520" s="88"/>
      <c r="H10520" s="89"/>
      <c r="K10520" s="58"/>
      <c r="L10520" s="91"/>
      <c r="M10520" s="78"/>
    </row>
    <row r="10521">
      <c r="C10521" s="85"/>
      <c r="D10521" s="25"/>
      <c r="E10521" s="77"/>
      <c r="F10521" s="88"/>
      <c r="G10521" s="88"/>
      <c r="H10521" s="89"/>
      <c r="K10521" s="58"/>
      <c r="L10521" s="91"/>
      <c r="M10521" s="78"/>
    </row>
    <row r="10522">
      <c r="C10522" s="85"/>
      <c r="D10522" s="25"/>
      <c r="E10522" s="77"/>
      <c r="F10522" s="88"/>
      <c r="G10522" s="88"/>
      <c r="H10522" s="89"/>
      <c r="K10522" s="58"/>
      <c r="L10522" s="91"/>
      <c r="M10522" s="78"/>
    </row>
    <row r="10523">
      <c r="C10523" s="85"/>
      <c r="D10523" s="25"/>
      <c r="E10523" s="77"/>
      <c r="F10523" s="88"/>
      <c r="G10523" s="88"/>
      <c r="H10523" s="89"/>
      <c r="K10523" s="58"/>
      <c r="L10523" s="91"/>
      <c r="M10523" s="78"/>
    </row>
    <row r="10524">
      <c r="C10524" s="85"/>
      <c r="D10524" s="25"/>
      <c r="E10524" s="77"/>
      <c r="F10524" s="88"/>
      <c r="G10524" s="88"/>
      <c r="H10524" s="89"/>
      <c r="K10524" s="58"/>
      <c r="L10524" s="91"/>
      <c r="M10524" s="78"/>
    </row>
    <row r="10525">
      <c r="C10525" s="85"/>
      <c r="D10525" s="25"/>
      <c r="E10525" s="77"/>
      <c r="F10525" s="88"/>
      <c r="G10525" s="88"/>
      <c r="H10525" s="89"/>
      <c r="K10525" s="58"/>
      <c r="L10525" s="91"/>
      <c r="M10525" s="78"/>
    </row>
    <row r="10526">
      <c r="C10526" s="85"/>
      <c r="D10526" s="25"/>
      <c r="E10526" s="77"/>
      <c r="F10526" s="88"/>
      <c r="G10526" s="88"/>
      <c r="H10526" s="89"/>
      <c r="K10526" s="58"/>
      <c r="L10526" s="91"/>
      <c r="M10526" s="78"/>
    </row>
    <row r="10527">
      <c r="C10527" s="85"/>
      <c r="D10527" s="25"/>
      <c r="E10527" s="77"/>
      <c r="F10527" s="88"/>
      <c r="G10527" s="88"/>
      <c r="H10527" s="89"/>
      <c r="K10527" s="58"/>
      <c r="L10527" s="91"/>
      <c r="M10527" s="78"/>
    </row>
    <row r="10528">
      <c r="C10528" s="85"/>
      <c r="D10528" s="25"/>
      <c r="E10528" s="77"/>
      <c r="F10528" s="88"/>
      <c r="G10528" s="88"/>
      <c r="H10528" s="89"/>
      <c r="K10528" s="58"/>
      <c r="L10528" s="91"/>
      <c r="M10528" s="78"/>
    </row>
    <row r="10529">
      <c r="C10529" s="85"/>
      <c r="D10529" s="25"/>
      <c r="E10529" s="77"/>
      <c r="F10529" s="88"/>
      <c r="G10529" s="88"/>
      <c r="H10529" s="89"/>
      <c r="K10529" s="58"/>
      <c r="L10529" s="91"/>
      <c r="M10529" s="78"/>
    </row>
    <row r="10530">
      <c r="C10530" s="85"/>
      <c r="D10530" s="25"/>
      <c r="E10530" s="77"/>
      <c r="F10530" s="88"/>
      <c r="G10530" s="88"/>
      <c r="H10530" s="89"/>
      <c r="K10530" s="58"/>
      <c r="L10530" s="91"/>
      <c r="M10530" s="78"/>
    </row>
    <row r="10531">
      <c r="C10531" s="85"/>
      <c r="D10531" s="25"/>
      <c r="E10531" s="77"/>
      <c r="F10531" s="88"/>
      <c r="G10531" s="88"/>
      <c r="H10531" s="89"/>
      <c r="K10531" s="58"/>
      <c r="L10531" s="91"/>
      <c r="M10531" s="78"/>
    </row>
    <row r="10532">
      <c r="C10532" s="85"/>
      <c r="D10532" s="25"/>
      <c r="E10532" s="77"/>
      <c r="F10532" s="88"/>
      <c r="G10532" s="88"/>
      <c r="H10532" s="89"/>
      <c r="K10532" s="58"/>
      <c r="L10532" s="91"/>
      <c r="M10532" s="78"/>
    </row>
    <row r="10533">
      <c r="C10533" s="85"/>
      <c r="D10533" s="25"/>
      <c r="E10533" s="77"/>
      <c r="F10533" s="88"/>
      <c r="G10533" s="88"/>
      <c r="H10533" s="89"/>
      <c r="K10533" s="58"/>
      <c r="L10533" s="91"/>
      <c r="M10533" s="78"/>
    </row>
    <row r="10534">
      <c r="C10534" s="85"/>
      <c r="D10534" s="25"/>
      <c r="E10534" s="77"/>
      <c r="F10534" s="88"/>
      <c r="G10534" s="88"/>
      <c r="H10534" s="89"/>
      <c r="K10534" s="58"/>
      <c r="L10534" s="91"/>
      <c r="M10534" s="78"/>
    </row>
    <row r="10535">
      <c r="C10535" s="85"/>
      <c r="D10535" s="25"/>
      <c r="E10535" s="77"/>
      <c r="F10535" s="88"/>
      <c r="G10535" s="88"/>
      <c r="H10535" s="89"/>
      <c r="K10535" s="58"/>
      <c r="L10535" s="91"/>
      <c r="M10535" s="78"/>
    </row>
    <row r="10536">
      <c r="C10536" s="85"/>
      <c r="D10536" s="25"/>
      <c r="E10536" s="77"/>
      <c r="F10536" s="88"/>
      <c r="G10536" s="88"/>
      <c r="H10536" s="89"/>
      <c r="K10536" s="58"/>
      <c r="L10536" s="91"/>
      <c r="M10536" s="78"/>
    </row>
    <row r="10537">
      <c r="C10537" s="85"/>
      <c r="D10537" s="25"/>
      <c r="E10537" s="77"/>
      <c r="F10537" s="88"/>
      <c r="G10537" s="88"/>
      <c r="H10537" s="89"/>
      <c r="K10537" s="58"/>
      <c r="L10537" s="91"/>
      <c r="M10537" s="78"/>
    </row>
    <row r="10538">
      <c r="C10538" s="85"/>
      <c r="D10538" s="25"/>
      <c r="E10538" s="77"/>
      <c r="F10538" s="88"/>
      <c r="G10538" s="88"/>
      <c r="H10538" s="89"/>
      <c r="K10538" s="58"/>
      <c r="L10538" s="91"/>
      <c r="M10538" s="78"/>
    </row>
    <row r="10539">
      <c r="C10539" s="85"/>
      <c r="D10539" s="25"/>
      <c r="E10539" s="77"/>
      <c r="F10539" s="88"/>
      <c r="G10539" s="88"/>
      <c r="H10539" s="89"/>
      <c r="K10539" s="58"/>
      <c r="L10539" s="91"/>
      <c r="M10539" s="78"/>
    </row>
    <row r="10540">
      <c r="C10540" s="85"/>
      <c r="D10540" s="25"/>
      <c r="E10540" s="77"/>
      <c r="F10540" s="88"/>
      <c r="G10540" s="88"/>
      <c r="H10540" s="89"/>
      <c r="K10540" s="58"/>
      <c r="L10540" s="91"/>
      <c r="M10540" s="78"/>
    </row>
    <row r="10541">
      <c r="C10541" s="85"/>
      <c r="D10541" s="25"/>
      <c r="E10541" s="77"/>
      <c r="F10541" s="88"/>
      <c r="G10541" s="88"/>
      <c r="H10541" s="89"/>
      <c r="K10541" s="58"/>
      <c r="L10541" s="91"/>
      <c r="M10541" s="78"/>
    </row>
    <row r="10542">
      <c r="C10542" s="85"/>
      <c r="D10542" s="25"/>
      <c r="E10542" s="77"/>
      <c r="F10542" s="88"/>
      <c r="G10542" s="88"/>
      <c r="H10542" s="89"/>
      <c r="K10542" s="58"/>
      <c r="L10542" s="91"/>
      <c r="M10542" s="78"/>
    </row>
    <row r="10543">
      <c r="C10543" s="85"/>
      <c r="D10543" s="25"/>
      <c r="E10543" s="77"/>
      <c r="F10543" s="88"/>
      <c r="G10543" s="88"/>
      <c r="H10543" s="89"/>
      <c r="K10543" s="58"/>
      <c r="L10543" s="91"/>
      <c r="M10543" s="78"/>
    </row>
    <row r="10544">
      <c r="C10544" s="85"/>
      <c r="D10544" s="25"/>
      <c r="E10544" s="77"/>
      <c r="F10544" s="88"/>
      <c r="G10544" s="88"/>
      <c r="H10544" s="89"/>
      <c r="K10544" s="58"/>
      <c r="L10544" s="91"/>
      <c r="M10544" s="78"/>
    </row>
    <row r="10545">
      <c r="C10545" s="85"/>
      <c r="D10545" s="25"/>
      <c r="E10545" s="77"/>
      <c r="F10545" s="88"/>
      <c r="G10545" s="88"/>
      <c r="H10545" s="89"/>
      <c r="K10545" s="58"/>
      <c r="L10545" s="91"/>
      <c r="M10545" s="78"/>
    </row>
    <row r="10546">
      <c r="C10546" s="85"/>
      <c r="D10546" s="25"/>
      <c r="E10546" s="77"/>
      <c r="F10546" s="88"/>
      <c r="G10546" s="88"/>
      <c r="H10546" s="89"/>
      <c r="K10546" s="58"/>
      <c r="L10546" s="91"/>
      <c r="M10546" s="78"/>
    </row>
    <row r="10547">
      <c r="C10547" s="85"/>
      <c r="D10547" s="25"/>
      <c r="E10547" s="77"/>
      <c r="F10547" s="88"/>
      <c r="G10547" s="88"/>
      <c r="H10547" s="89"/>
      <c r="K10547" s="58"/>
      <c r="L10547" s="91"/>
      <c r="M10547" s="78"/>
    </row>
    <row r="10548">
      <c r="C10548" s="85"/>
      <c r="D10548" s="25"/>
      <c r="E10548" s="77"/>
      <c r="F10548" s="88"/>
      <c r="G10548" s="88"/>
      <c r="H10548" s="89"/>
      <c r="K10548" s="58"/>
      <c r="L10548" s="91"/>
      <c r="M10548" s="78"/>
    </row>
    <row r="10549">
      <c r="C10549" s="85"/>
      <c r="D10549" s="25"/>
      <c r="E10549" s="77"/>
      <c r="F10549" s="88"/>
      <c r="G10549" s="88"/>
      <c r="H10549" s="89"/>
      <c r="K10549" s="58"/>
      <c r="L10549" s="91"/>
      <c r="M10549" s="78"/>
    </row>
    <row r="10550">
      <c r="C10550" s="85"/>
      <c r="D10550" s="25"/>
      <c r="E10550" s="77"/>
      <c r="F10550" s="88"/>
      <c r="G10550" s="88"/>
      <c r="H10550" s="89"/>
      <c r="K10550" s="58"/>
      <c r="L10550" s="91"/>
      <c r="M10550" s="78"/>
    </row>
    <row r="10551">
      <c r="C10551" s="85"/>
      <c r="D10551" s="25"/>
      <c r="E10551" s="77"/>
      <c r="F10551" s="88"/>
      <c r="G10551" s="88"/>
      <c r="H10551" s="89"/>
      <c r="K10551" s="58"/>
      <c r="L10551" s="91"/>
      <c r="M10551" s="78"/>
    </row>
    <row r="10552">
      <c r="C10552" s="85"/>
      <c r="D10552" s="25"/>
      <c r="E10552" s="77"/>
      <c r="F10552" s="88"/>
      <c r="G10552" s="88"/>
      <c r="H10552" s="89"/>
      <c r="K10552" s="58"/>
      <c r="L10552" s="91"/>
      <c r="M10552" s="78"/>
    </row>
    <row r="10553">
      <c r="C10553" s="85"/>
      <c r="D10553" s="25"/>
      <c r="E10553" s="77"/>
      <c r="F10553" s="88"/>
      <c r="G10553" s="88"/>
      <c r="H10553" s="89"/>
      <c r="K10553" s="58"/>
      <c r="L10553" s="91"/>
      <c r="M10553" s="78"/>
    </row>
    <row r="10554">
      <c r="C10554" s="85"/>
      <c r="D10554" s="25"/>
      <c r="E10554" s="77"/>
      <c r="F10554" s="88"/>
      <c r="G10554" s="88"/>
      <c r="H10554" s="89"/>
      <c r="K10554" s="58"/>
      <c r="L10554" s="91"/>
      <c r="M10554" s="78"/>
    </row>
    <row r="10555">
      <c r="C10555" s="85"/>
      <c r="D10555" s="25"/>
      <c r="E10555" s="77"/>
      <c r="F10555" s="88"/>
      <c r="G10555" s="88"/>
      <c r="H10555" s="89"/>
      <c r="K10555" s="58"/>
      <c r="L10555" s="91"/>
      <c r="M10555" s="78"/>
    </row>
    <row r="10556">
      <c r="C10556" s="85"/>
      <c r="D10556" s="25"/>
      <c r="E10556" s="77"/>
      <c r="F10556" s="88"/>
      <c r="G10556" s="88"/>
      <c r="H10556" s="89"/>
      <c r="K10556" s="58"/>
      <c r="L10556" s="91"/>
      <c r="M10556" s="78"/>
    </row>
    <row r="10557">
      <c r="C10557" s="85"/>
      <c r="D10557" s="25"/>
      <c r="E10557" s="77"/>
      <c r="F10557" s="88"/>
      <c r="G10557" s="88"/>
      <c r="H10557" s="89"/>
      <c r="K10557" s="58"/>
      <c r="L10557" s="91"/>
      <c r="M10557" s="78"/>
    </row>
    <row r="10558">
      <c r="C10558" s="85"/>
      <c r="D10558" s="25"/>
      <c r="E10558" s="77"/>
      <c r="F10558" s="88"/>
      <c r="G10558" s="88"/>
      <c r="H10558" s="89"/>
      <c r="K10558" s="58"/>
      <c r="L10558" s="91"/>
      <c r="M10558" s="78"/>
    </row>
    <row r="10559">
      <c r="C10559" s="85"/>
      <c r="D10559" s="25"/>
      <c r="E10559" s="77"/>
      <c r="F10559" s="88"/>
      <c r="G10559" s="88"/>
      <c r="H10559" s="89"/>
      <c r="K10559" s="58"/>
      <c r="L10559" s="91"/>
      <c r="M10559" s="78"/>
    </row>
    <row r="10560">
      <c r="C10560" s="85"/>
      <c r="D10560" s="25"/>
      <c r="E10560" s="77"/>
      <c r="F10560" s="88"/>
      <c r="G10560" s="88"/>
      <c r="H10560" s="89"/>
      <c r="K10560" s="58"/>
      <c r="L10560" s="91"/>
      <c r="M10560" s="78"/>
    </row>
    <row r="10561">
      <c r="C10561" s="85"/>
      <c r="D10561" s="25"/>
      <c r="E10561" s="77"/>
      <c r="F10561" s="88"/>
      <c r="G10561" s="88"/>
      <c r="H10561" s="89"/>
      <c r="K10561" s="58"/>
      <c r="L10561" s="91"/>
      <c r="M10561" s="78"/>
    </row>
    <row r="10562">
      <c r="C10562" s="85"/>
      <c r="D10562" s="25"/>
      <c r="E10562" s="77"/>
      <c r="F10562" s="88"/>
      <c r="G10562" s="88"/>
      <c r="H10562" s="89"/>
      <c r="K10562" s="58"/>
      <c r="L10562" s="91"/>
      <c r="M10562" s="78"/>
    </row>
    <row r="10563">
      <c r="C10563" s="85"/>
      <c r="D10563" s="25"/>
      <c r="E10563" s="77"/>
      <c r="F10563" s="88"/>
      <c r="G10563" s="88"/>
      <c r="H10563" s="89"/>
      <c r="K10563" s="58"/>
      <c r="L10563" s="91"/>
      <c r="M10563" s="78"/>
    </row>
    <row r="10564">
      <c r="C10564" s="85"/>
      <c r="D10564" s="25"/>
      <c r="E10564" s="77"/>
      <c r="F10564" s="88"/>
      <c r="G10564" s="88"/>
      <c r="H10564" s="89"/>
      <c r="K10564" s="58"/>
      <c r="L10564" s="91"/>
      <c r="M10564" s="78"/>
    </row>
    <row r="10565">
      <c r="C10565" s="85"/>
      <c r="D10565" s="25"/>
      <c r="E10565" s="77"/>
      <c r="F10565" s="88"/>
      <c r="G10565" s="88"/>
      <c r="H10565" s="89"/>
      <c r="K10565" s="58"/>
      <c r="L10565" s="91"/>
      <c r="M10565" s="78"/>
    </row>
    <row r="10566">
      <c r="C10566" s="85"/>
      <c r="D10566" s="25"/>
      <c r="E10566" s="77"/>
      <c r="F10566" s="88"/>
      <c r="G10566" s="88"/>
      <c r="H10566" s="89"/>
      <c r="K10566" s="58"/>
      <c r="L10566" s="91"/>
      <c r="M10566" s="78"/>
    </row>
    <row r="10567">
      <c r="C10567" s="85"/>
      <c r="D10567" s="25"/>
      <c r="E10567" s="77"/>
      <c r="F10567" s="88"/>
      <c r="G10567" s="88"/>
      <c r="H10567" s="89"/>
      <c r="K10567" s="58"/>
      <c r="L10567" s="91"/>
      <c r="M10567" s="78"/>
    </row>
    <row r="10568">
      <c r="C10568" s="85"/>
      <c r="D10568" s="25"/>
      <c r="E10568" s="77"/>
      <c r="F10568" s="88"/>
      <c r="G10568" s="88"/>
      <c r="H10568" s="89"/>
      <c r="K10568" s="58"/>
      <c r="L10568" s="91"/>
      <c r="M10568" s="78"/>
    </row>
    <row r="10569">
      <c r="C10569" s="85"/>
      <c r="D10569" s="25"/>
      <c r="E10569" s="77"/>
      <c r="F10569" s="88"/>
      <c r="G10569" s="88"/>
      <c r="H10569" s="89"/>
      <c r="K10569" s="58"/>
      <c r="L10569" s="91"/>
      <c r="M10569" s="78"/>
    </row>
    <row r="10570">
      <c r="C10570" s="85"/>
      <c r="D10570" s="25"/>
      <c r="E10570" s="77"/>
      <c r="F10570" s="88"/>
      <c r="G10570" s="88"/>
      <c r="H10570" s="89"/>
      <c r="K10570" s="58"/>
      <c r="L10570" s="91"/>
      <c r="M10570" s="78"/>
    </row>
    <row r="10571">
      <c r="C10571" s="85"/>
      <c r="D10571" s="25"/>
      <c r="E10571" s="77"/>
      <c r="F10571" s="88"/>
      <c r="G10571" s="88"/>
      <c r="H10571" s="89"/>
      <c r="K10571" s="58"/>
      <c r="L10571" s="91"/>
      <c r="M10571" s="78"/>
    </row>
    <row r="10572">
      <c r="C10572" s="85"/>
      <c r="D10572" s="25"/>
      <c r="E10572" s="77"/>
      <c r="F10572" s="88"/>
      <c r="G10572" s="88"/>
      <c r="H10572" s="89"/>
      <c r="K10572" s="58"/>
      <c r="L10572" s="91"/>
      <c r="M10572" s="78"/>
    </row>
    <row r="10573">
      <c r="C10573" s="85"/>
      <c r="D10573" s="25"/>
      <c r="E10573" s="77"/>
      <c r="F10573" s="88"/>
      <c r="G10573" s="88"/>
      <c r="H10573" s="89"/>
      <c r="K10573" s="58"/>
      <c r="L10573" s="91"/>
      <c r="M10573" s="78"/>
    </row>
    <row r="10574">
      <c r="C10574" s="85"/>
      <c r="D10574" s="25"/>
      <c r="E10574" s="77"/>
      <c r="F10574" s="88"/>
      <c r="G10574" s="88"/>
      <c r="H10574" s="89"/>
      <c r="K10574" s="58"/>
      <c r="L10574" s="91"/>
      <c r="M10574" s="78"/>
    </row>
    <row r="10575">
      <c r="C10575" s="85"/>
      <c r="D10575" s="25"/>
      <c r="E10575" s="77"/>
      <c r="F10575" s="88"/>
      <c r="G10575" s="88"/>
      <c r="H10575" s="89"/>
      <c r="K10575" s="58"/>
      <c r="L10575" s="91"/>
      <c r="M10575" s="78"/>
    </row>
    <row r="10576">
      <c r="C10576" s="85"/>
      <c r="D10576" s="25"/>
      <c r="E10576" s="77"/>
      <c r="F10576" s="88"/>
      <c r="G10576" s="88"/>
      <c r="H10576" s="89"/>
      <c r="K10576" s="58"/>
      <c r="L10576" s="91"/>
      <c r="M10576" s="78"/>
    </row>
    <row r="10577">
      <c r="C10577" s="85"/>
      <c r="D10577" s="25"/>
      <c r="E10577" s="77"/>
      <c r="F10577" s="88"/>
      <c r="G10577" s="88"/>
      <c r="H10577" s="89"/>
      <c r="K10577" s="58"/>
      <c r="L10577" s="91"/>
      <c r="M10577" s="78"/>
    </row>
    <row r="10578">
      <c r="C10578" s="85"/>
      <c r="D10578" s="25"/>
      <c r="E10578" s="77"/>
      <c r="F10578" s="88"/>
      <c r="G10578" s="88"/>
      <c r="H10578" s="89"/>
      <c r="K10578" s="58"/>
      <c r="L10578" s="91"/>
      <c r="M10578" s="78"/>
    </row>
    <row r="10579">
      <c r="C10579" s="85"/>
      <c r="D10579" s="25"/>
      <c r="E10579" s="77"/>
      <c r="F10579" s="88"/>
      <c r="G10579" s="88"/>
      <c r="H10579" s="89"/>
      <c r="K10579" s="58"/>
      <c r="L10579" s="91"/>
      <c r="M10579" s="78"/>
    </row>
    <row r="10580">
      <c r="C10580" s="85"/>
      <c r="D10580" s="25"/>
      <c r="E10580" s="77"/>
      <c r="F10580" s="88"/>
      <c r="G10580" s="88"/>
      <c r="H10580" s="89"/>
      <c r="K10580" s="58"/>
      <c r="L10580" s="91"/>
      <c r="M10580" s="78"/>
    </row>
    <row r="10581">
      <c r="C10581" s="85"/>
      <c r="D10581" s="25"/>
      <c r="E10581" s="77"/>
      <c r="F10581" s="88"/>
      <c r="G10581" s="88"/>
      <c r="H10581" s="89"/>
      <c r="K10581" s="58"/>
      <c r="L10581" s="91"/>
      <c r="M10581" s="78"/>
    </row>
    <row r="10582">
      <c r="C10582" s="85"/>
      <c r="D10582" s="25"/>
      <c r="E10582" s="77"/>
      <c r="F10582" s="88"/>
      <c r="G10582" s="88"/>
      <c r="H10582" s="89"/>
      <c r="K10582" s="58"/>
      <c r="L10582" s="91"/>
      <c r="M10582" s="78"/>
    </row>
    <row r="10583">
      <c r="C10583" s="85"/>
      <c r="D10583" s="25"/>
      <c r="E10583" s="77"/>
      <c r="F10583" s="88"/>
      <c r="G10583" s="88"/>
      <c r="H10583" s="89"/>
      <c r="K10583" s="58"/>
      <c r="L10583" s="91"/>
      <c r="M10583" s="78"/>
    </row>
    <row r="10584">
      <c r="C10584" s="85"/>
      <c r="D10584" s="25"/>
      <c r="E10584" s="77"/>
      <c r="F10584" s="88"/>
      <c r="G10584" s="88"/>
      <c r="H10584" s="89"/>
      <c r="K10584" s="58"/>
      <c r="L10584" s="91"/>
      <c r="M10584" s="78"/>
    </row>
    <row r="10585">
      <c r="C10585" s="85"/>
      <c r="D10585" s="25"/>
      <c r="E10585" s="77"/>
      <c r="F10585" s="88"/>
      <c r="G10585" s="88"/>
      <c r="H10585" s="89"/>
      <c r="K10585" s="58"/>
      <c r="L10585" s="91"/>
      <c r="M10585" s="78"/>
    </row>
    <row r="10586">
      <c r="C10586" s="85"/>
      <c r="D10586" s="25"/>
      <c r="E10586" s="77"/>
      <c r="F10586" s="88"/>
      <c r="G10586" s="88"/>
      <c r="H10586" s="89"/>
      <c r="K10586" s="58"/>
      <c r="L10586" s="91"/>
      <c r="M10586" s="78"/>
    </row>
    <row r="10587">
      <c r="C10587" s="85"/>
      <c r="D10587" s="25"/>
      <c r="E10587" s="77"/>
      <c r="F10587" s="88"/>
      <c r="G10587" s="88"/>
      <c r="H10587" s="89"/>
      <c r="K10587" s="58"/>
      <c r="L10587" s="91"/>
      <c r="M10587" s="78"/>
    </row>
    <row r="10588">
      <c r="C10588" s="85"/>
      <c r="D10588" s="25"/>
      <c r="E10588" s="77"/>
      <c r="F10588" s="88"/>
      <c r="G10588" s="88"/>
      <c r="H10588" s="89"/>
      <c r="K10588" s="58"/>
      <c r="L10588" s="91"/>
      <c r="M10588" s="78"/>
    </row>
    <row r="10589">
      <c r="C10589" s="85"/>
      <c r="D10589" s="25"/>
      <c r="E10589" s="77"/>
      <c r="F10589" s="88"/>
      <c r="G10589" s="88"/>
      <c r="H10589" s="89"/>
      <c r="K10589" s="58"/>
      <c r="L10589" s="91"/>
      <c r="M10589" s="78"/>
    </row>
    <row r="10590">
      <c r="C10590" s="85"/>
      <c r="D10590" s="25"/>
      <c r="E10590" s="77"/>
      <c r="F10590" s="88"/>
      <c r="G10590" s="88"/>
      <c r="H10590" s="89"/>
      <c r="K10590" s="58"/>
      <c r="L10590" s="91"/>
      <c r="M10590" s="78"/>
    </row>
    <row r="10591">
      <c r="C10591" s="85"/>
      <c r="D10591" s="25"/>
      <c r="E10591" s="77"/>
      <c r="F10591" s="88"/>
      <c r="G10591" s="88"/>
      <c r="H10591" s="89"/>
      <c r="K10591" s="58"/>
      <c r="L10591" s="91"/>
      <c r="M10591" s="78"/>
    </row>
    <row r="10592">
      <c r="C10592" s="85"/>
      <c r="D10592" s="25"/>
      <c r="E10592" s="77"/>
      <c r="F10592" s="88"/>
      <c r="G10592" s="88"/>
      <c r="H10592" s="89"/>
      <c r="K10592" s="58"/>
      <c r="L10592" s="91"/>
      <c r="M10592" s="78"/>
    </row>
    <row r="10593">
      <c r="C10593" s="85"/>
      <c r="D10593" s="25"/>
      <c r="E10593" s="77"/>
      <c r="F10593" s="88"/>
      <c r="G10593" s="88"/>
      <c r="H10593" s="89"/>
      <c r="K10593" s="58"/>
      <c r="L10593" s="91"/>
      <c r="M10593" s="78"/>
    </row>
    <row r="10594">
      <c r="C10594" s="85"/>
      <c r="D10594" s="25"/>
      <c r="E10594" s="77"/>
      <c r="F10594" s="88"/>
      <c r="G10594" s="88"/>
      <c r="H10594" s="89"/>
      <c r="K10594" s="58"/>
      <c r="L10594" s="91"/>
      <c r="M10594" s="78"/>
    </row>
    <row r="10595">
      <c r="C10595" s="85"/>
      <c r="D10595" s="25"/>
      <c r="E10595" s="77"/>
      <c r="F10595" s="88"/>
      <c r="G10595" s="88"/>
      <c r="H10595" s="89"/>
      <c r="K10595" s="58"/>
      <c r="L10595" s="91"/>
      <c r="M10595" s="78"/>
    </row>
    <row r="10596">
      <c r="C10596" s="85"/>
      <c r="D10596" s="25"/>
      <c r="E10596" s="77"/>
      <c r="F10596" s="88"/>
      <c r="G10596" s="88"/>
      <c r="H10596" s="89"/>
      <c r="K10596" s="58"/>
      <c r="L10596" s="91"/>
      <c r="M10596" s="78"/>
    </row>
    <row r="10597">
      <c r="C10597" s="85"/>
      <c r="D10597" s="25"/>
      <c r="E10597" s="77"/>
      <c r="F10597" s="88"/>
      <c r="G10597" s="88"/>
      <c r="H10597" s="89"/>
      <c r="K10597" s="58"/>
      <c r="L10597" s="91"/>
      <c r="M10597" s="78"/>
    </row>
    <row r="10598">
      <c r="C10598" s="85"/>
      <c r="D10598" s="25"/>
      <c r="E10598" s="77"/>
      <c r="F10598" s="88"/>
      <c r="G10598" s="88"/>
      <c r="H10598" s="89"/>
      <c r="K10598" s="58"/>
      <c r="L10598" s="91"/>
      <c r="M10598" s="78"/>
    </row>
    <row r="10599">
      <c r="C10599" s="85"/>
      <c r="D10599" s="25"/>
      <c r="E10599" s="77"/>
      <c r="F10599" s="88"/>
      <c r="G10599" s="88"/>
      <c r="H10599" s="89"/>
      <c r="K10599" s="58"/>
      <c r="L10599" s="91"/>
      <c r="M10599" s="78"/>
    </row>
    <row r="10600">
      <c r="C10600" s="85"/>
      <c r="D10600" s="25"/>
      <c r="E10600" s="77"/>
      <c r="F10600" s="88"/>
      <c r="G10600" s="88"/>
      <c r="H10600" s="89"/>
      <c r="K10600" s="58"/>
      <c r="L10600" s="91"/>
      <c r="M10600" s="78"/>
    </row>
    <row r="10601">
      <c r="C10601" s="85"/>
      <c r="D10601" s="25"/>
      <c r="E10601" s="77"/>
      <c r="F10601" s="88"/>
      <c r="G10601" s="88"/>
      <c r="H10601" s="89"/>
      <c r="K10601" s="58"/>
      <c r="L10601" s="91"/>
      <c r="M10601" s="78"/>
    </row>
    <row r="10602">
      <c r="C10602" s="85"/>
      <c r="D10602" s="25"/>
      <c r="E10602" s="77"/>
      <c r="F10602" s="88"/>
      <c r="G10602" s="88"/>
      <c r="H10602" s="89"/>
      <c r="K10602" s="58"/>
      <c r="L10602" s="91"/>
      <c r="M10602" s="78"/>
    </row>
    <row r="10603">
      <c r="C10603" s="85"/>
      <c r="D10603" s="25"/>
      <c r="E10603" s="77"/>
      <c r="F10603" s="88"/>
      <c r="G10603" s="88"/>
      <c r="H10603" s="89"/>
      <c r="K10603" s="58"/>
      <c r="L10603" s="91"/>
      <c r="M10603" s="78"/>
    </row>
    <row r="10604">
      <c r="C10604" s="85"/>
      <c r="D10604" s="25"/>
      <c r="E10604" s="77"/>
      <c r="F10604" s="88"/>
      <c r="G10604" s="88"/>
      <c r="H10604" s="89"/>
      <c r="K10604" s="58"/>
      <c r="L10604" s="91"/>
      <c r="M10604" s="78"/>
    </row>
    <row r="10605">
      <c r="C10605" s="85"/>
      <c r="D10605" s="25"/>
      <c r="E10605" s="77"/>
      <c r="F10605" s="88"/>
      <c r="G10605" s="88"/>
      <c r="H10605" s="89"/>
      <c r="K10605" s="58"/>
      <c r="L10605" s="91"/>
      <c r="M10605" s="78"/>
    </row>
    <row r="10606">
      <c r="C10606" s="85"/>
      <c r="D10606" s="25"/>
      <c r="E10606" s="77"/>
      <c r="F10606" s="88"/>
      <c r="G10606" s="88"/>
      <c r="H10606" s="89"/>
      <c r="K10606" s="58"/>
      <c r="L10606" s="91"/>
      <c r="M10606" s="78"/>
    </row>
    <row r="10607">
      <c r="C10607" s="85"/>
      <c r="D10607" s="25"/>
      <c r="E10607" s="77"/>
      <c r="F10607" s="88"/>
      <c r="G10607" s="88"/>
      <c r="H10607" s="89"/>
      <c r="K10607" s="58"/>
      <c r="L10607" s="91"/>
      <c r="M10607" s="78"/>
    </row>
    <row r="10608">
      <c r="C10608" s="85"/>
      <c r="D10608" s="25"/>
      <c r="E10608" s="77"/>
      <c r="F10608" s="88"/>
      <c r="G10608" s="88"/>
      <c r="H10608" s="89"/>
      <c r="K10608" s="58"/>
      <c r="L10608" s="91"/>
      <c r="M10608" s="78"/>
    </row>
    <row r="10609">
      <c r="C10609" s="85"/>
      <c r="D10609" s="25"/>
      <c r="E10609" s="77"/>
      <c r="F10609" s="88"/>
      <c r="G10609" s="88"/>
      <c r="H10609" s="89"/>
      <c r="K10609" s="58"/>
      <c r="L10609" s="91"/>
      <c r="M10609" s="78"/>
    </row>
    <row r="10610">
      <c r="C10610" s="85"/>
      <c r="D10610" s="25"/>
      <c r="E10610" s="77"/>
      <c r="F10610" s="88"/>
      <c r="G10610" s="88"/>
      <c r="H10610" s="89"/>
      <c r="K10610" s="58"/>
      <c r="L10610" s="91"/>
      <c r="M10610" s="78"/>
    </row>
    <row r="10611">
      <c r="C10611" s="85"/>
      <c r="D10611" s="25"/>
      <c r="E10611" s="77"/>
      <c r="F10611" s="88"/>
      <c r="G10611" s="88"/>
      <c r="H10611" s="89"/>
      <c r="K10611" s="58"/>
      <c r="L10611" s="91"/>
      <c r="M10611" s="78"/>
    </row>
    <row r="10612">
      <c r="C10612" s="85"/>
      <c r="D10612" s="25"/>
      <c r="E10612" s="77"/>
      <c r="F10612" s="88"/>
      <c r="G10612" s="88"/>
      <c r="H10612" s="89"/>
      <c r="K10612" s="58"/>
      <c r="L10612" s="91"/>
      <c r="M10612" s="78"/>
    </row>
    <row r="10613">
      <c r="C10613" s="85"/>
      <c r="D10613" s="25"/>
      <c r="E10613" s="77"/>
      <c r="F10613" s="88"/>
      <c r="G10613" s="88"/>
      <c r="H10613" s="89"/>
      <c r="K10613" s="58"/>
      <c r="L10613" s="91"/>
      <c r="M10613" s="78"/>
    </row>
    <row r="10614">
      <c r="C10614" s="85"/>
      <c r="D10614" s="25"/>
      <c r="E10614" s="77"/>
      <c r="F10614" s="88"/>
      <c r="G10614" s="88"/>
      <c r="H10614" s="89"/>
      <c r="K10614" s="58"/>
      <c r="L10614" s="91"/>
      <c r="M10614" s="78"/>
    </row>
    <row r="10615">
      <c r="C10615" s="85"/>
      <c r="D10615" s="25"/>
      <c r="E10615" s="77"/>
      <c r="F10615" s="88"/>
      <c r="G10615" s="88"/>
      <c r="H10615" s="89"/>
      <c r="K10615" s="58"/>
      <c r="L10615" s="91"/>
      <c r="M10615" s="78"/>
    </row>
    <row r="10616">
      <c r="C10616" s="85"/>
      <c r="D10616" s="25"/>
      <c r="E10616" s="77"/>
      <c r="F10616" s="88"/>
      <c r="G10616" s="88"/>
      <c r="H10616" s="89"/>
      <c r="K10616" s="58"/>
      <c r="L10616" s="91"/>
      <c r="M10616" s="78"/>
    </row>
    <row r="10617">
      <c r="C10617" s="85"/>
      <c r="D10617" s="25"/>
      <c r="E10617" s="77"/>
      <c r="F10617" s="88"/>
      <c r="G10617" s="88"/>
      <c r="H10617" s="89"/>
      <c r="K10617" s="58"/>
      <c r="L10617" s="91"/>
      <c r="M10617" s="78"/>
    </row>
    <row r="10618">
      <c r="C10618" s="85"/>
      <c r="D10618" s="25"/>
      <c r="E10618" s="77"/>
      <c r="F10618" s="88"/>
      <c r="G10618" s="88"/>
      <c r="H10618" s="89"/>
      <c r="K10618" s="58"/>
      <c r="L10618" s="91"/>
      <c r="M10618" s="78"/>
    </row>
    <row r="10619">
      <c r="C10619" s="85"/>
      <c r="D10619" s="25"/>
      <c r="E10619" s="77"/>
      <c r="F10619" s="88"/>
      <c r="G10619" s="88"/>
      <c r="H10619" s="89"/>
      <c r="K10619" s="58"/>
      <c r="L10619" s="91"/>
      <c r="M10619" s="78"/>
    </row>
    <row r="10620">
      <c r="C10620" s="85"/>
      <c r="D10620" s="25"/>
      <c r="E10620" s="77"/>
      <c r="F10620" s="88"/>
      <c r="G10620" s="88"/>
      <c r="H10620" s="89"/>
      <c r="K10620" s="58"/>
      <c r="L10620" s="91"/>
      <c r="M10620" s="78"/>
    </row>
    <row r="10621">
      <c r="C10621" s="85"/>
      <c r="D10621" s="25"/>
      <c r="E10621" s="77"/>
      <c r="F10621" s="88"/>
      <c r="G10621" s="88"/>
      <c r="H10621" s="89"/>
      <c r="K10621" s="58"/>
      <c r="L10621" s="91"/>
      <c r="M10621" s="78"/>
    </row>
    <row r="10622">
      <c r="C10622" s="85"/>
      <c r="D10622" s="25"/>
      <c r="E10622" s="77"/>
      <c r="F10622" s="88"/>
      <c r="G10622" s="88"/>
      <c r="H10622" s="89"/>
      <c r="K10622" s="58"/>
      <c r="L10622" s="91"/>
      <c r="M10622" s="78"/>
    </row>
    <row r="10623">
      <c r="C10623" s="85"/>
      <c r="D10623" s="25"/>
      <c r="E10623" s="77"/>
      <c r="F10623" s="88"/>
      <c r="G10623" s="88"/>
      <c r="H10623" s="89"/>
      <c r="K10623" s="58"/>
      <c r="L10623" s="91"/>
      <c r="M10623" s="78"/>
    </row>
    <row r="10624">
      <c r="C10624" s="85"/>
      <c r="D10624" s="25"/>
      <c r="E10624" s="77"/>
      <c r="F10624" s="88"/>
      <c r="G10624" s="88"/>
      <c r="H10624" s="89"/>
      <c r="K10624" s="58"/>
      <c r="L10624" s="91"/>
      <c r="M10624" s="78"/>
    </row>
    <row r="10625">
      <c r="C10625" s="85"/>
      <c r="D10625" s="25"/>
      <c r="E10625" s="77"/>
      <c r="F10625" s="88"/>
      <c r="G10625" s="88"/>
      <c r="H10625" s="89"/>
      <c r="K10625" s="58"/>
      <c r="L10625" s="91"/>
      <c r="M10625" s="78"/>
    </row>
    <row r="10626">
      <c r="C10626" s="85"/>
      <c r="D10626" s="25"/>
      <c r="E10626" s="77"/>
      <c r="F10626" s="88"/>
      <c r="G10626" s="88"/>
      <c r="H10626" s="89"/>
      <c r="K10626" s="58"/>
      <c r="L10626" s="91"/>
      <c r="M10626" s="78"/>
    </row>
    <row r="10627">
      <c r="C10627" s="85"/>
      <c r="D10627" s="25"/>
      <c r="E10627" s="77"/>
      <c r="F10627" s="88"/>
      <c r="G10627" s="88"/>
      <c r="H10627" s="89"/>
      <c r="K10627" s="58"/>
      <c r="L10627" s="91"/>
      <c r="M10627" s="78"/>
    </row>
    <row r="10628">
      <c r="C10628" s="85"/>
      <c r="D10628" s="25"/>
      <c r="E10628" s="77"/>
      <c r="F10628" s="88"/>
      <c r="G10628" s="88"/>
      <c r="H10628" s="89"/>
      <c r="K10628" s="58"/>
      <c r="L10628" s="91"/>
      <c r="M10628" s="78"/>
    </row>
    <row r="10629">
      <c r="C10629" s="85"/>
      <c r="D10629" s="25"/>
      <c r="E10629" s="77"/>
      <c r="F10629" s="88"/>
      <c r="G10629" s="88"/>
      <c r="H10629" s="89"/>
      <c r="K10629" s="58"/>
      <c r="L10629" s="91"/>
      <c r="M10629" s="78"/>
    </row>
    <row r="10630">
      <c r="C10630" s="85"/>
      <c r="D10630" s="25"/>
      <c r="E10630" s="77"/>
      <c r="F10630" s="88"/>
      <c r="G10630" s="88"/>
      <c r="H10630" s="89"/>
      <c r="K10630" s="58"/>
      <c r="L10630" s="91"/>
      <c r="M10630" s="78"/>
    </row>
    <row r="10631">
      <c r="C10631" s="85"/>
      <c r="D10631" s="25"/>
      <c r="E10631" s="77"/>
      <c r="F10631" s="88"/>
      <c r="G10631" s="88"/>
      <c r="H10631" s="89"/>
      <c r="K10631" s="58"/>
      <c r="L10631" s="91"/>
      <c r="M10631" s="78"/>
    </row>
    <row r="10632">
      <c r="C10632" s="85"/>
      <c r="D10632" s="25"/>
      <c r="E10632" s="77"/>
      <c r="F10632" s="88"/>
      <c r="G10632" s="88"/>
      <c r="H10632" s="89"/>
      <c r="K10632" s="58"/>
      <c r="L10632" s="91"/>
      <c r="M10632" s="78"/>
    </row>
    <row r="10633">
      <c r="C10633" s="85"/>
      <c r="D10633" s="25"/>
      <c r="E10633" s="77"/>
      <c r="F10633" s="88"/>
      <c r="G10633" s="88"/>
      <c r="H10633" s="89"/>
      <c r="K10633" s="58"/>
      <c r="L10633" s="91"/>
      <c r="M10633" s="78"/>
    </row>
    <row r="10634">
      <c r="C10634" s="85"/>
      <c r="D10634" s="25"/>
      <c r="E10634" s="77"/>
      <c r="F10634" s="88"/>
      <c r="G10634" s="88"/>
      <c r="H10634" s="89"/>
      <c r="K10634" s="58"/>
      <c r="L10634" s="91"/>
      <c r="M10634" s="78"/>
    </row>
    <row r="10635">
      <c r="C10635" s="85"/>
      <c r="D10635" s="25"/>
      <c r="E10635" s="77"/>
      <c r="F10635" s="88"/>
      <c r="G10635" s="88"/>
      <c r="H10635" s="89"/>
      <c r="K10635" s="58"/>
      <c r="L10635" s="91"/>
      <c r="M10635" s="78"/>
    </row>
    <row r="10636">
      <c r="C10636" s="85"/>
      <c r="D10636" s="25"/>
      <c r="E10636" s="77"/>
      <c r="F10636" s="88"/>
      <c r="G10636" s="88"/>
      <c r="H10636" s="89"/>
      <c r="K10636" s="58"/>
      <c r="L10636" s="91"/>
      <c r="M10636" s="78"/>
    </row>
    <row r="10637">
      <c r="C10637" s="85"/>
      <c r="D10637" s="25"/>
      <c r="E10637" s="77"/>
      <c r="F10637" s="88"/>
      <c r="G10637" s="88"/>
      <c r="H10637" s="89"/>
      <c r="K10637" s="58"/>
      <c r="L10637" s="91"/>
      <c r="M10637" s="78"/>
    </row>
    <row r="10638">
      <c r="C10638" s="85"/>
      <c r="D10638" s="25"/>
      <c r="E10638" s="77"/>
      <c r="F10638" s="88"/>
      <c r="G10638" s="88"/>
      <c r="H10638" s="89"/>
      <c r="K10638" s="58"/>
      <c r="L10638" s="91"/>
      <c r="M10638" s="78"/>
    </row>
    <row r="10639">
      <c r="C10639" s="85"/>
      <c r="D10639" s="25"/>
      <c r="E10639" s="77"/>
      <c r="F10639" s="88"/>
      <c r="G10639" s="88"/>
      <c r="H10639" s="89"/>
      <c r="K10639" s="58"/>
      <c r="L10639" s="91"/>
      <c r="M10639" s="78"/>
    </row>
    <row r="10640">
      <c r="C10640" s="85"/>
      <c r="D10640" s="25"/>
      <c r="E10640" s="77"/>
      <c r="F10640" s="88"/>
      <c r="G10640" s="88"/>
      <c r="H10640" s="89"/>
      <c r="K10640" s="58"/>
      <c r="L10640" s="91"/>
      <c r="M10640" s="78"/>
    </row>
    <row r="10641">
      <c r="C10641" s="85"/>
      <c r="D10641" s="25"/>
      <c r="E10641" s="77"/>
      <c r="F10641" s="88"/>
      <c r="G10641" s="88"/>
      <c r="H10641" s="89"/>
      <c r="K10641" s="58"/>
      <c r="L10641" s="91"/>
      <c r="M10641" s="78"/>
    </row>
    <row r="10642">
      <c r="C10642" s="85"/>
      <c r="D10642" s="25"/>
      <c r="E10642" s="77"/>
      <c r="F10642" s="88"/>
      <c r="G10642" s="88"/>
      <c r="H10642" s="89"/>
      <c r="K10642" s="58"/>
      <c r="L10642" s="91"/>
      <c r="M10642" s="78"/>
    </row>
    <row r="10643">
      <c r="C10643" s="85"/>
      <c r="D10643" s="25"/>
      <c r="E10643" s="77"/>
      <c r="F10643" s="88"/>
      <c r="G10643" s="88"/>
      <c r="H10643" s="89"/>
      <c r="K10643" s="58"/>
      <c r="L10643" s="91"/>
      <c r="M10643" s="78"/>
    </row>
    <row r="10644">
      <c r="C10644" s="85"/>
      <c r="D10644" s="25"/>
      <c r="E10644" s="77"/>
      <c r="F10644" s="88"/>
      <c r="G10644" s="88"/>
      <c r="H10644" s="89"/>
      <c r="K10644" s="58"/>
      <c r="L10644" s="91"/>
      <c r="M10644" s="78"/>
    </row>
    <row r="10645">
      <c r="C10645" s="85"/>
      <c r="D10645" s="25"/>
      <c r="E10645" s="77"/>
      <c r="F10645" s="88"/>
      <c r="G10645" s="88"/>
      <c r="H10645" s="89"/>
      <c r="K10645" s="58"/>
      <c r="L10645" s="91"/>
      <c r="M10645" s="78"/>
    </row>
    <row r="10646">
      <c r="C10646" s="85"/>
      <c r="D10646" s="25"/>
      <c r="E10646" s="77"/>
      <c r="F10646" s="88"/>
      <c r="G10646" s="88"/>
      <c r="H10646" s="89"/>
      <c r="K10646" s="58"/>
      <c r="L10646" s="91"/>
      <c r="M10646" s="78"/>
    </row>
    <row r="10647">
      <c r="C10647" s="85"/>
      <c r="D10647" s="25"/>
      <c r="E10647" s="77"/>
      <c r="F10647" s="88"/>
      <c r="G10647" s="88"/>
      <c r="H10647" s="89"/>
      <c r="K10647" s="58"/>
      <c r="L10647" s="91"/>
      <c r="M10647" s="78"/>
    </row>
    <row r="10648">
      <c r="C10648" s="85"/>
      <c r="D10648" s="25"/>
      <c r="E10648" s="77"/>
      <c r="F10648" s="88"/>
      <c r="G10648" s="88"/>
      <c r="H10648" s="89"/>
      <c r="K10648" s="58"/>
      <c r="L10648" s="91"/>
      <c r="M10648" s="78"/>
    </row>
    <row r="10649">
      <c r="C10649" s="85"/>
      <c r="D10649" s="25"/>
      <c r="E10649" s="77"/>
      <c r="F10649" s="88"/>
      <c r="G10649" s="88"/>
      <c r="H10649" s="89"/>
      <c r="K10649" s="58"/>
      <c r="L10649" s="91"/>
      <c r="M10649" s="78"/>
    </row>
    <row r="10650">
      <c r="C10650" s="85"/>
      <c r="D10650" s="25"/>
      <c r="E10650" s="77"/>
      <c r="F10650" s="88"/>
      <c r="G10650" s="88"/>
      <c r="H10650" s="89"/>
      <c r="K10650" s="58"/>
      <c r="L10650" s="91"/>
      <c r="M10650" s="78"/>
    </row>
    <row r="10651">
      <c r="C10651" s="85"/>
      <c r="D10651" s="25"/>
      <c r="E10651" s="77"/>
      <c r="F10651" s="88"/>
      <c r="G10651" s="88"/>
      <c r="H10651" s="89"/>
      <c r="K10651" s="58"/>
      <c r="L10651" s="91"/>
      <c r="M10651" s="78"/>
    </row>
    <row r="10652">
      <c r="C10652" s="85"/>
      <c r="D10652" s="25"/>
      <c r="E10652" s="77"/>
      <c r="F10652" s="88"/>
      <c r="G10652" s="88"/>
      <c r="H10652" s="89"/>
      <c r="K10652" s="58"/>
      <c r="L10652" s="91"/>
      <c r="M10652" s="78"/>
    </row>
    <row r="10653">
      <c r="C10653" s="85"/>
      <c r="D10653" s="25"/>
      <c r="E10653" s="77"/>
      <c r="F10653" s="88"/>
      <c r="G10653" s="88"/>
      <c r="H10653" s="89"/>
      <c r="K10653" s="58"/>
      <c r="L10653" s="91"/>
      <c r="M10653" s="78"/>
    </row>
    <row r="10654">
      <c r="C10654" s="85"/>
      <c r="D10654" s="25"/>
      <c r="E10654" s="77"/>
      <c r="F10654" s="88"/>
      <c r="G10654" s="88"/>
      <c r="H10654" s="89"/>
      <c r="K10654" s="58"/>
      <c r="L10654" s="91"/>
      <c r="M10654" s="78"/>
    </row>
    <row r="10655">
      <c r="C10655" s="85"/>
      <c r="D10655" s="25"/>
      <c r="E10655" s="77"/>
      <c r="F10655" s="88"/>
      <c r="G10655" s="88"/>
      <c r="H10655" s="89"/>
      <c r="K10655" s="58"/>
      <c r="L10655" s="91"/>
      <c r="M10655" s="78"/>
    </row>
    <row r="10656">
      <c r="C10656" s="85"/>
      <c r="D10656" s="25"/>
      <c r="E10656" s="77"/>
      <c r="F10656" s="88"/>
      <c r="G10656" s="88"/>
      <c r="H10656" s="89"/>
      <c r="K10656" s="58"/>
      <c r="L10656" s="91"/>
      <c r="M10656" s="78"/>
    </row>
    <row r="10657">
      <c r="C10657" s="85"/>
      <c r="D10657" s="25"/>
      <c r="E10657" s="77"/>
      <c r="F10657" s="88"/>
      <c r="G10657" s="88"/>
      <c r="H10657" s="89"/>
      <c r="K10657" s="58"/>
      <c r="L10657" s="91"/>
      <c r="M10657" s="78"/>
    </row>
    <row r="10658">
      <c r="C10658" s="85"/>
      <c r="D10658" s="25"/>
      <c r="E10658" s="77"/>
      <c r="F10658" s="88"/>
      <c r="G10658" s="88"/>
      <c r="H10658" s="89"/>
      <c r="K10658" s="58"/>
      <c r="L10658" s="91"/>
      <c r="M10658" s="78"/>
    </row>
    <row r="10659">
      <c r="C10659" s="85"/>
      <c r="D10659" s="25"/>
      <c r="E10659" s="77"/>
      <c r="F10659" s="88"/>
      <c r="G10659" s="88"/>
      <c r="H10659" s="89"/>
      <c r="K10659" s="58"/>
      <c r="L10659" s="91"/>
      <c r="M10659" s="78"/>
    </row>
    <row r="10660">
      <c r="C10660" s="85"/>
      <c r="D10660" s="25"/>
      <c r="E10660" s="77"/>
      <c r="F10660" s="88"/>
      <c r="G10660" s="88"/>
      <c r="H10660" s="89"/>
      <c r="K10660" s="58"/>
      <c r="L10660" s="91"/>
      <c r="M10660" s="78"/>
    </row>
    <row r="10661">
      <c r="C10661" s="85"/>
      <c r="D10661" s="25"/>
      <c r="E10661" s="77"/>
      <c r="F10661" s="88"/>
      <c r="G10661" s="88"/>
      <c r="H10661" s="89"/>
      <c r="K10661" s="58"/>
      <c r="L10661" s="91"/>
      <c r="M10661" s="78"/>
    </row>
    <row r="10662">
      <c r="C10662" s="85"/>
      <c r="D10662" s="25"/>
      <c r="E10662" s="77"/>
      <c r="F10662" s="88"/>
      <c r="G10662" s="88"/>
      <c r="H10662" s="89"/>
      <c r="K10662" s="58"/>
      <c r="L10662" s="91"/>
      <c r="M10662" s="78"/>
    </row>
    <row r="10663">
      <c r="C10663" s="85"/>
      <c r="D10663" s="25"/>
      <c r="E10663" s="77"/>
      <c r="F10663" s="88"/>
      <c r="G10663" s="88"/>
      <c r="H10663" s="89"/>
      <c r="K10663" s="58"/>
      <c r="L10663" s="91"/>
      <c r="M10663" s="78"/>
    </row>
    <row r="10664">
      <c r="C10664" s="85"/>
      <c r="D10664" s="25"/>
      <c r="E10664" s="77"/>
      <c r="F10664" s="88"/>
      <c r="G10664" s="88"/>
      <c r="H10664" s="89"/>
      <c r="K10664" s="58"/>
      <c r="L10664" s="91"/>
      <c r="M10664" s="78"/>
    </row>
    <row r="10665">
      <c r="C10665" s="85"/>
      <c r="D10665" s="25"/>
      <c r="E10665" s="77"/>
      <c r="F10665" s="88"/>
      <c r="G10665" s="88"/>
      <c r="H10665" s="89"/>
      <c r="K10665" s="58"/>
      <c r="L10665" s="91"/>
      <c r="M10665" s="78"/>
    </row>
    <row r="10666">
      <c r="C10666" s="85"/>
      <c r="D10666" s="25"/>
      <c r="E10666" s="77"/>
      <c r="F10666" s="88"/>
      <c r="G10666" s="88"/>
      <c r="H10666" s="89"/>
      <c r="K10666" s="58"/>
      <c r="L10666" s="91"/>
      <c r="M10666" s="78"/>
    </row>
    <row r="10667">
      <c r="C10667" s="85"/>
      <c r="D10667" s="25"/>
      <c r="E10667" s="77"/>
      <c r="F10667" s="88"/>
      <c r="G10667" s="88"/>
      <c r="H10667" s="89"/>
      <c r="K10667" s="58"/>
      <c r="L10667" s="91"/>
      <c r="M10667" s="78"/>
    </row>
    <row r="10668">
      <c r="C10668" s="85"/>
      <c r="D10668" s="25"/>
      <c r="E10668" s="77"/>
      <c r="F10668" s="88"/>
      <c r="G10668" s="88"/>
      <c r="H10668" s="89"/>
      <c r="K10668" s="58"/>
      <c r="L10668" s="91"/>
      <c r="M10668" s="78"/>
    </row>
    <row r="10669">
      <c r="C10669" s="85"/>
      <c r="D10669" s="25"/>
      <c r="E10669" s="77"/>
      <c r="F10669" s="88"/>
      <c r="G10669" s="88"/>
      <c r="H10669" s="89"/>
      <c r="K10669" s="58"/>
      <c r="L10669" s="91"/>
      <c r="M10669" s="78"/>
    </row>
    <row r="10670">
      <c r="C10670" s="85"/>
      <c r="D10670" s="25"/>
      <c r="E10670" s="77"/>
      <c r="F10670" s="88"/>
      <c r="G10670" s="88"/>
      <c r="H10670" s="89"/>
      <c r="K10670" s="58"/>
      <c r="L10670" s="91"/>
      <c r="M10670" s="78"/>
    </row>
    <row r="10671">
      <c r="C10671" s="85"/>
      <c r="D10671" s="25"/>
      <c r="E10671" s="77"/>
      <c r="F10671" s="88"/>
      <c r="G10671" s="88"/>
      <c r="H10671" s="89"/>
      <c r="K10671" s="58"/>
      <c r="L10671" s="91"/>
      <c r="M10671" s="78"/>
    </row>
    <row r="10672">
      <c r="C10672" s="85"/>
      <c r="D10672" s="25"/>
      <c r="E10672" s="77"/>
      <c r="F10672" s="88"/>
      <c r="G10672" s="88"/>
      <c r="H10672" s="89"/>
      <c r="K10672" s="58"/>
      <c r="L10672" s="91"/>
      <c r="M10672" s="78"/>
    </row>
    <row r="10673">
      <c r="C10673" s="85"/>
      <c r="D10673" s="25"/>
      <c r="E10673" s="77"/>
      <c r="F10673" s="88"/>
      <c r="G10673" s="88"/>
      <c r="H10673" s="89"/>
      <c r="K10673" s="58"/>
      <c r="L10673" s="91"/>
      <c r="M10673" s="78"/>
    </row>
    <row r="10674">
      <c r="C10674" s="85"/>
      <c r="D10674" s="25"/>
      <c r="E10674" s="77"/>
      <c r="F10674" s="88"/>
      <c r="G10674" s="88"/>
      <c r="H10674" s="89"/>
      <c r="K10674" s="58"/>
      <c r="L10674" s="91"/>
      <c r="M10674" s="78"/>
    </row>
    <row r="10675">
      <c r="C10675" s="85"/>
      <c r="D10675" s="25"/>
      <c r="E10675" s="77"/>
      <c r="F10675" s="88"/>
      <c r="G10675" s="88"/>
      <c r="H10675" s="89"/>
      <c r="K10675" s="58"/>
      <c r="L10675" s="91"/>
      <c r="M10675" s="78"/>
    </row>
    <row r="10676">
      <c r="C10676" s="85"/>
      <c r="D10676" s="25"/>
      <c r="E10676" s="77"/>
      <c r="F10676" s="88"/>
      <c r="G10676" s="88"/>
      <c r="H10676" s="89"/>
      <c r="K10676" s="58"/>
      <c r="L10676" s="91"/>
      <c r="M10676" s="78"/>
    </row>
    <row r="10677">
      <c r="C10677" s="85"/>
      <c r="D10677" s="25"/>
      <c r="E10677" s="77"/>
      <c r="F10677" s="88"/>
      <c r="G10677" s="88"/>
      <c r="H10677" s="89"/>
      <c r="K10677" s="58"/>
      <c r="L10677" s="91"/>
      <c r="M10677" s="78"/>
    </row>
    <row r="10678">
      <c r="C10678" s="85"/>
      <c r="D10678" s="25"/>
      <c r="E10678" s="77"/>
      <c r="F10678" s="88"/>
      <c r="G10678" s="88"/>
      <c r="H10678" s="89"/>
      <c r="K10678" s="58"/>
      <c r="L10678" s="91"/>
      <c r="M10678" s="78"/>
    </row>
    <row r="10679">
      <c r="C10679" s="85"/>
      <c r="D10679" s="25"/>
      <c r="E10679" s="77"/>
      <c r="F10679" s="88"/>
      <c r="G10679" s="88"/>
      <c r="H10679" s="89"/>
      <c r="K10679" s="58"/>
      <c r="L10679" s="91"/>
      <c r="M10679" s="78"/>
    </row>
    <row r="10680">
      <c r="C10680" s="85"/>
      <c r="D10680" s="25"/>
      <c r="E10680" s="77"/>
      <c r="F10680" s="88"/>
      <c r="G10680" s="88"/>
      <c r="H10680" s="89"/>
      <c r="K10680" s="58"/>
      <c r="L10680" s="91"/>
      <c r="M10680" s="78"/>
    </row>
    <row r="10681">
      <c r="C10681" s="85"/>
      <c r="D10681" s="25"/>
      <c r="E10681" s="77"/>
      <c r="F10681" s="88"/>
      <c r="G10681" s="88"/>
      <c r="H10681" s="89"/>
      <c r="K10681" s="58"/>
      <c r="L10681" s="91"/>
      <c r="M10681" s="78"/>
    </row>
    <row r="10682">
      <c r="C10682" s="85"/>
      <c r="D10682" s="25"/>
      <c r="E10682" s="77"/>
      <c r="F10682" s="88"/>
      <c r="G10682" s="88"/>
      <c r="H10682" s="89"/>
      <c r="K10682" s="58"/>
      <c r="L10682" s="91"/>
      <c r="M10682" s="78"/>
    </row>
    <row r="10683">
      <c r="C10683" s="85"/>
      <c r="D10683" s="25"/>
      <c r="E10683" s="77"/>
      <c r="F10683" s="88"/>
      <c r="G10683" s="88"/>
      <c r="H10683" s="89"/>
      <c r="K10683" s="58"/>
      <c r="L10683" s="91"/>
      <c r="M10683" s="78"/>
    </row>
    <row r="10684">
      <c r="C10684" s="85"/>
      <c r="D10684" s="25"/>
      <c r="E10684" s="77"/>
      <c r="F10684" s="88"/>
      <c r="G10684" s="88"/>
      <c r="H10684" s="89"/>
      <c r="K10684" s="58"/>
      <c r="L10684" s="91"/>
      <c r="M10684" s="78"/>
    </row>
    <row r="10685">
      <c r="C10685" s="85"/>
      <c r="D10685" s="25"/>
      <c r="E10685" s="77"/>
      <c r="F10685" s="88"/>
      <c r="G10685" s="88"/>
      <c r="H10685" s="89"/>
      <c r="K10685" s="58"/>
      <c r="L10685" s="91"/>
      <c r="M10685" s="78"/>
    </row>
    <row r="10686">
      <c r="C10686" s="85"/>
      <c r="D10686" s="25"/>
      <c r="E10686" s="77"/>
      <c r="F10686" s="88"/>
      <c r="G10686" s="88"/>
      <c r="H10686" s="89"/>
      <c r="K10686" s="58"/>
      <c r="L10686" s="91"/>
      <c r="M10686" s="78"/>
    </row>
    <row r="10687">
      <c r="C10687" s="85"/>
      <c r="D10687" s="25"/>
      <c r="E10687" s="77"/>
      <c r="F10687" s="88"/>
      <c r="G10687" s="88"/>
      <c r="H10687" s="89"/>
      <c r="K10687" s="58"/>
      <c r="L10687" s="91"/>
      <c r="M10687" s="78"/>
    </row>
    <row r="10688">
      <c r="C10688" s="85"/>
      <c r="D10688" s="25"/>
      <c r="E10688" s="77"/>
      <c r="F10688" s="88"/>
      <c r="G10688" s="88"/>
      <c r="H10688" s="89"/>
      <c r="K10688" s="58"/>
      <c r="L10688" s="91"/>
      <c r="M10688" s="78"/>
    </row>
    <row r="10689">
      <c r="C10689" s="85"/>
      <c r="D10689" s="25"/>
      <c r="E10689" s="77"/>
      <c r="F10689" s="88"/>
      <c r="G10689" s="88"/>
      <c r="H10689" s="89"/>
      <c r="K10689" s="58"/>
      <c r="L10689" s="91"/>
      <c r="M10689" s="78"/>
    </row>
    <row r="10690">
      <c r="C10690" s="85"/>
      <c r="D10690" s="25"/>
      <c r="E10690" s="77"/>
      <c r="F10690" s="88"/>
      <c r="G10690" s="88"/>
      <c r="H10690" s="89"/>
      <c r="K10690" s="58"/>
      <c r="L10690" s="91"/>
      <c r="M10690" s="78"/>
    </row>
    <row r="10691">
      <c r="C10691" s="85"/>
      <c r="D10691" s="25"/>
      <c r="E10691" s="77"/>
      <c r="F10691" s="88"/>
      <c r="G10691" s="88"/>
      <c r="H10691" s="89"/>
      <c r="K10691" s="58"/>
      <c r="L10691" s="91"/>
      <c r="M10691" s="78"/>
    </row>
    <row r="10692">
      <c r="C10692" s="85"/>
      <c r="D10692" s="25"/>
      <c r="E10692" s="77"/>
      <c r="F10692" s="88"/>
      <c r="G10692" s="88"/>
      <c r="H10692" s="89"/>
      <c r="K10692" s="58"/>
      <c r="L10692" s="91"/>
      <c r="M10692" s="78"/>
    </row>
    <row r="10693">
      <c r="C10693" s="85"/>
      <c r="D10693" s="25"/>
      <c r="E10693" s="77"/>
      <c r="F10693" s="88"/>
      <c r="G10693" s="88"/>
      <c r="H10693" s="89"/>
      <c r="K10693" s="58"/>
      <c r="L10693" s="91"/>
      <c r="M10693" s="78"/>
    </row>
    <row r="10694">
      <c r="C10694" s="85"/>
      <c r="D10694" s="25"/>
      <c r="E10694" s="77"/>
      <c r="F10694" s="88"/>
      <c r="G10694" s="88"/>
      <c r="H10694" s="89"/>
      <c r="K10694" s="58"/>
      <c r="L10694" s="91"/>
      <c r="M10694" s="78"/>
    </row>
    <row r="10695">
      <c r="C10695" s="85"/>
      <c r="D10695" s="25"/>
      <c r="E10695" s="77"/>
      <c r="F10695" s="88"/>
      <c r="G10695" s="88"/>
      <c r="H10695" s="89"/>
      <c r="K10695" s="58"/>
      <c r="L10695" s="91"/>
      <c r="M10695" s="78"/>
    </row>
    <row r="10696">
      <c r="C10696" s="85"/>
      <c r="D10696" s="25"/>
      <c r="E10696" s="77"/>
      <c r="F10696" s="88"/>
      <c r="G10696" s="88"/>
      <c r="H10696" s="89"/>
      <c r="K10696" s="58"/>
      <c r="L10696" s="91"/>
      <c r="M10696" s="78"/>
    </row>
    <row r="10697">
      <c r="C10697" s="85"/>
      <c r="D10697" s="25"/>
      <c r="E10697" s="77"/>
      <c r="F10697" s="88"/>
      <c r="G10697" s="88"/>
      <c r="H10697" s="89"/>
      <c r="K10697" s="58"/>
      <c r="L10697" s="91"/>
      <c r="M10697" s="78"/>
    </row>
    <row r="10698">
      <c r="C10698" s="85"/>
      <c r="D10698" s="25"/>
      <c r="E10698" s="77"/>
      <c r="F10698" s="88"/>
      <c r="G10698" s="88"/>
      <c r="H10698" s="89"/>
      <c r="K10698" s="58"/>
      <c r="L10698" s="91"/>
      <c r="M10698" s="78"/>
    </row>
    <row r="10699">
      <c r="C10699" s="85"/>
      <c r="D10699" s="25"/>
      <c r="E10699" s="77"/>
      <c r="F10699" s="88"/>
      <c r="G10699" s="88"/>
      <c r="H10699" s="89"/>
      <c r="K10699" s="58"/>
      <c r="L10699" s="91"/>
      <c r="M10699" s="78"/>
    </row>
    <row r="10700">
      <c r="C10700" s="85"/>
      <c r="D10700" s="25"/>
      <c r="E10700" s="77"/>
      <c r="F10700" s="88"/>
      <c r="G10700" s="88"/>
      <c r="H10700" s="89"/>
      <c r="K10700" s="58"/>
      <c r="L10700" s="91"/>
      <c r="M10700" s="78"/>
    </row>
    <row r="10701">
      <c r="C10701" s="85"/>
      <c r="D10701" s="25"/>
      <c r="E10701" s="77"/>
      <c r="F10701" s="88"/>
      <c r="G10701" s="88"/>
      <c r="H10701" s="89"/>
      <c r="K10701" s="58"/>
      <c r="L10701" s="91"/>
      <c r="M10701" s="78"/>
    </row>
    <row r="10702">
      <c r="C10702" s="85"/>
      <c r="D10702" s="25"/>
      <c r="E10702" s="77"/>
      <c r="F10702" s="88"/>
      <c r="G10702" s="88"/>
      <c r="H10702" s="89"/>
      <c r="K10702" s="58"/>
      <c r="L10702" s="91"/>
      <c r="M10702" s="78"/>
    </row>
    <row r="10703">
      <c r="C10703" s="85"/>
      <c r="D10703" s="25"/>
      <c r="E10703" s="77"/>
      <c r="F10703" s="88"/>
      <c r="G10703" s="88"/>
      <c r="H10703" s="89"/>
      <c r="K10703" s="58"/>
      <c r="L10703" s="91"/>
      <c r="M10703" s="78"/>
    </row>
    <row r="10704">
      <c r="C10704" s="85"/>
      <c r="D10704" s="25"/>
      <c r="E10704" s="77"/>
      <c r="F10704" s="88"/>
      <c r="G10704" s="88"/>
      <c r="H10704" s="89"/>
      <c r="K10704" s="58"/>
      <c r="L10704" s="91"/>
      <c r="M10704" s="78"/>
    </row>
    <row r="10705">
      <c r="C10705" s="85"/>
      <c r="D10705" s="25"/>
      <c r="E10705" s="77"/>
      <c r="F10705" s="88"/>
      <c r="G10705" s="88"/>
      <c r="H10705" s="89"/>
      <c r="K10705" s="58"/>
      <c r="L10705" s="91"/>
      <c r="M10705" s="78"/>
    </row>
    <row r="10706">
      <c r="C10706" s="85"/>
      <c r="D10706" s="25"/>
      <c r="E10706" s="77"/>
      <c r="F10706" s="88"/>
      <c r="G10706" s="88"/>
      <c r="H10706" s="89"/>
      <c r="K10706" s="58"/>
      <c r="L10706" s="91"/>
      <c r="M10706" s="78"/>
    </row>
    <row r="10707">
      <c r="C10707" s="85"/>
      <c r="D10707" s="25"/>
      <c r="E10707" s="77"/>
      <c r="F10707" s="88"/>
      <c r="G10707" s="88"/>
      <c r="H10707" s="89"/>
      <c r="K10707" s="58"/>
      <c r="L10707" s="91"/>
      <c r="M10707" s="78"/>
    </row>
    <row r="10708">
      <c r="C10708" s="85"/>
      <c r="D10708" s="25"/>
      <c r="E10708" s="77"/>
      <c r="F10708" s="88"/>
      <c r="G10708" s="88"/>
      <c r="H10708" s="89"/>
      <c r="K10708" s="58"/>
      <c r="L10708" s="91"/>
      <c r="M10708" s="78"/>
    </row>
    <row r="10709">
      <c r="C10709" s="85"/>
      <c r="D10709" s="25"/>
      <c r="E10709" s="77"/>
      <c r="F10709" s="88"/>
      <c r="G10709" s="88"/>
      <c r="H10709" s="89"/>
      <c r="K10709" s="58"/>
      <c r="L10709" s="91"/>
      <c r="M10709" s="78"/>
    </row>
    <row r="10710">
      <c r="C10710" s="85"/>
      <c r="D10710" s="25"/>
      <c r="E10710" s="77"/>
      <c r="F10710" s="88"/>
      <c r="G10710" s="88"/>
      <c r="H10710" s="89"/>
      <c r="K10710" s="58"/>
      <c r="L10710" s="91"/>
      <c r="M10710" s="78"/>
    </row>
    <row r="10711">
      <c r="C10711" s="85"/>
      <c r="D10711" s="25"/>
      <c r="E10711" s="77"/>
      <c r="F10711" s="88"/>
      <c r="G10711" s="88"/>
      <c r="H10711" s="89"/>
      <c r="K10711" s="58"/>
      <c r="L10711" s="91"/>
      <c r="M10711" s="78"/>
    </row>
    <row r="10712">
      <c r="C10712" s="85"/>
      <c r="D10712" s="25"/>
      <c r="E10712" s="77"/>
      <c r="F10712" s="88"/>
      <c r="G10712" s="88"/>
      <c r="H10712" s="89"/>
      <c r="K10712" s="58"/>
      <c r="L10712" s="91"/>
      <c r="M10712" s="78"/>
    </row>
    <row r="10713">
      <c r="C10713" s="85"/>
      <c r="D10713" s="25"/>
      <c r="E10713" s="77"/>
      <c r="F10713" s="88"/>
      <c r="G10713" s="88"/>
      <c r="H10713" s="89"/>
      <c r="K10713" s="58"/>
      <c r="L10713" s="91"/>
      <c r="M10713" s="78"/>
    </row>
    <row r="10714">
      <c r="C10714" s="85"/>
      <c r="D10714" s="25"/>
      <c r="E10714" s="77"/>
      <c r="F10714" s="88"/>
      <c r="G10714" s="88"/>
      <c r="H10714" s="89"/>
      <c r="K10714" s="58"/>
      <c r="L10714" s="91"/>
      <c r="M10714" s="78"/>
    </row>
    <row r="10715">
      <c r="C10715" s="85"/>
      <c r="D10715" s="25"/>
      <c r="E10715" s="77"/>
      <c r="F10715" s="88"/>
      <c r="G10715" s="88"/>
      <c r="H10715" s="89"/>
      <c r="K10715" s="58"/>
      <c r="L10715" s="91"/>
      <c r="M10715" s="78"/>
    </row>
    <row r="10716">
      <c r="C10716" s="85"/>
      <c r="D10716" s="25"/>
      <c r="E10716" s="77"/>
      <c r="F10716" s="88"/>
      <c r="G10716" s="88"/>
      <c r="H10716" s="89"/>
      <c r="K10716" s="58"/>
      <c r="L10716" s="91"/>
      <c r="M10716" s="78"/>
    </row>
    <row r="10717">
      <c r="C10717" s="85"/>
      <c r="D10717" s="25"/>
      <c r="E10717" s="77"/>
      <c r="F10717" s="88"/>
      <c r="G10717" s="88"/>
      <c r="H10717" s="89"/>
      <c r="K10717" s="58"/>
      <c r="L10717" s="91"/>
      <c r="M10717" s="78"/>
    </row>
    <row r="10718">
      <c r="C10718" s="85"/>
      <c r="D10718" s="25"/>
      <c r="E10718" s="77"/>
      <c r="F10718" s="88"/>
      <c r="G10718" s="88"/>
      <c r="H10718" s="89"/>
      <c r="K10718" s="58"/>
      <c r="L10718" s="91"/>
      <c r="M10718" s="78"/>
    </row>
    <row r="10719">
      <c r="C10719" s="85"/>
      <c r="D10719" s="25"/>
      <c r="E10719" s="77"/>
      <c r="F10719" s="88"/>
      <c r="G10719" s="88"/>
      <c r="H10719" s="89"/>
      <c r="K10719" s="58"/>
      <c r="L10719" s="91"/>
      <c r="M10719" s="78"/>
    </row>
    <row r="10720">
      <c r="C10720" s="85"/>
      <c r="D10720" s="25"/>
      <c r="E10720" s="77"/>
      <c r="F10720" s="88"/>
      <c r="G10720" s="88"/>
      <c r="H10720" s="89"/>
      <c r="K10720" s="58"/>
      <c r="L10720" s="91"/>
      <c r="M10720" s="78"/>
    </row>
    <row r="10721">
      <c r="C10721" s="85"/>
      <c r="D10721" s="25"/>
      <c r="E10721" s="77"/>
      <c r="F10721" s="88"/>
      <c r="G10721" s="88"/>
      <c r="H10721" s="89"/>
      <c r="K10721" s="58"/>
      <c r="L10721" s="91"/>
      <c r="M10721" s="78"/>
    </row>
    <row r="10722">
      <c r="C10722" s="85"/>
      <c r="D10722" s="25"/>
      <c r="E10722" s="77"/>
      <c r="F10722" s="88"/>
      <c r="G10722" s="88"/>
      <c r="H10722" s="89"/>
      <c r="K10722" s="58"/>
      <c r="L10722" s="91"/>
      <c r="M10722" s="78"/>
    </row>
    <row r="10723">
      <c r="C10723" s="85"/>
      <c r="D10723" s="25"/>
      <c r="E10723" s="77"/>
      <c r="F10723" s="88"/>
      <c r="G10723" s="88"/>
      <c r="H10723" s="89"/>
      <c r="K10723" s="58"/>
      <c r="L10723" s="91"/>
      <c r="M10723" s="78"/>
    </row>
    <row r="10724">
      <c r="C10724" s="85"/>
      <c r="D10724" s="25"/>
      <c r="E10724" s="77"/>
      <c r="F10724" s="88"/>
      <c r="G10724" s="88"/>
      <c r="H10724" s="89"/>
      <c r="K10724" s="58"/>
      <c r="L10724" s="91"/>
      <c r="M10724" s="78"/>
    </row>
    <row r="10725">
      <c r="C10725" s="85"/>
      <c r="D10725" s="25"/>
      <c r="E10725" s="77"/>
      <c r="F10725" s="88"/>
      <c r="G10725" s="88"/>
      <c r="H10725" s="89"/>
      <c r="K10725" s="58"/>
      <c r="L10725" s="91"/>
      <c r="M10725" s="78"/>
    </row>
    <row r="10726">
      <c r="C10726" s="85"/>
      <c r="D10726" s="25"/>
      <c r="E10726" s="77"/>
      <c r="F10726" s="88"/>
      <c r="G10726" s="88"/>
      <c r="H10726" s="89"/>
      <c r="K10726" s="58"/>
      <c r="L10726" s="91"/>
      <c r="M10726" s="78"/>
    </row>
    <row r="10727">
      <c r="C10727" s="85"/>
      <c r="D10727" s="25"/>
      <c r="E10727" s="77"/>
      <c r="F10727" s="88"/>
      <c r="G10727" s="88"/>
      <c r="H10727" s="89"/>
      <c r="K10727" s="58"/>
      <c r="L10727" s="91"/>
      <c r="M10727" s="78"/>
    </row>
    <row r="10728">
      <c r="C10728" s="85"/>
      <c r="D10728" s="25"/>
      <c r="E10728" s="77"/>
      <c r="F10728" s="88"/>
      <c r="G10728" s="88"/>
      <c r="H10728" s="89"/>
      <c r="K10728" s="58"/>
      <c r="L10728" s="91"/>
      <c r="M10728" s="78"/>
    </row>
    <row r="10729">
      <c r="C10729" s="85"/>
      <c r="D10729" s="25"/>
      <c r="E10729" s="77"/>
      <c r="F10729" s="88"/>
      <c r="G10729" s="88"/>
      <c r="H10729" s="89"/>
      <c r="K10729" s="58"/>
      <c r="L10729" s="91"/>
      <c r="M10729" s="78"/>
    </row>
    <row r="10730">
      <c r="C10730" s="85"/>
      <c r="D10730" s="25"/>
      <c r="E10730" s="77"/>
      <c r="F10730" s="88"/>
      <c r="G10730" s="88"/>
      <c r="H10730" s="89"/>
      <c r="K10730" s="58"/>
      <c r="L10730" s="91"/>
      <c r="M10730" s="78"/>
    </row>
    <row r="10731">
      <c r="C10731" s="85"/>
      <c r="D10731" s="25"/>
      <c r="E10731" s="77"/>
      <c r="F10731" s="88"/>
      <c r="G10731" s="88"/>
      <c r="H10731" s="89"/>
      <c r="K10731" s="58"/>
      <c r="L10731" s="91"/>
      <c r="M10731" s="78"/>
    </row>
    <row r="10732">
      <c r="C10732" s="85"/>
      <c r="D10732" s="25"/>
      <c r="E10732" s="77"/>
      <c r="F10732" s="88"/>
      <c r="G10732" s="88"/>
      <c r="H10732" s="89"/>
      <c r="K10732" s="58"/>
      <c r="L10732" s="91"/>
      <c r="M10732" s="78"/>
    </row>
    <row r="10733">
      <c r="C10733" s="85"/>
      <c r="D10733" s="25"/>
      <c r="E10733" s="77"/>
      <c r="F10733" s="88"/>
      <c r="G10733" s="88"/>
      <c r="H10733" s="89"/>
      <c r="K10733" s="58"/>
      <c r="L10733" s="91"/>
      <c r="M10733" s="78"/>
    </row>
    <row r="10734">
      <c r="C10734" s="85"/>
      <c r="D10734" s="25"/>
      <c r="E10734" s="77"/>
      <c r="F10734" s="88"/>
      <c r="G10734" s="88"/>
      <c r="H10734" s="89"/>
      <c r="K10734" s="58"/>
      <c r="L10734" s="91"/>
      <c r="M10734" s="78"/>
    </row>
    <row r="10735">
      <c r="C10735" s="85"/>
      <c r="D10735" s="25"/>
      <c r="E10735" s="77"/>
      <c r="F10735" s="88"/>
      <c r="G10735" s="88"/>
      <c r="H10735" s="89"/>
      <c r="K10735" s="58"/>
      <c r="L10735" s="91"/>
      <c r="M10735" s="78"/>
    </row>
    <row r="10736">
      <c r="C10736" s="85"/>
      <c r="D10736" s="25"/>
      <c r="E10736" s="77"/>
      <c r="F10736" s="88"/>
      <c r="G10736" s="88"/>
      <c r="H10736" s="89"/>
      <c r="K10736" s="58"/>
      <c r="L10736" s="91"/>
      <c r="M10736" s="78"/>
    </row>
    <row r="10737">
      <c r="C10737" s="85"/>
      <c r="D10737" s="25"/>
      <c r="E10737" s="77"/>
      <c r="F10737" s="88"/>
      <c r="G10737" s="88"/>
      <c r="H10737" s="89"/>
      <c r="K10737" s="58"/>
      <c r="L10737" s="91"/>
      <c r="M10737" s="78"/>
    </row>
    <row r="10738">
      <c r="C10738" s="85"/>
      <c r="D10738" s="25"/>
      <c r="E10738" s="77"/>
      <c r="F10738" s="88"/>
      <c r="G10738" s="88"/>
      <c r="H10738" s="89"/>
      <c r="K10738" s="58"/>
      <c r="L10738" s="91"/>
      <c r="M10738" s="78"/>
    </row>
    <row r="10739">
      <c r="C10739" s="85"/>
      <c r="D10739" s="25"/>
      <c r="E10739" s="77"/>
      <c r="F10739" s="88"/>
      <c r="G10739" s="88"/>
      <c r="H10739" s="89"/>
      <c r="K10739" s="58"/>
      <c r="L10739" s="91"/>
      <c r="M10739" s="78"/>
    </row>
    <row r="10740">
      <c r="C10740" s="85"/>
      <c r="D10740" s="25"/>
      <c r="E10740" s="77"/>
      <c r="F10740" s="88"/>
      <c r="G10740" s="88"/>
      <c r="H10740" s="89"/>
      <c r="K10740" s="58"/>
      <c r="L10740" s="91"/>
      <c r="M10740" s="78"/>
    </row>
    <row r="10741">
      <c r="C10741" s="85"/>
      <c r="D10741" s="25"/>
      <c r="E10741" s="77"/>
      <c r="F10741" s="88"/>
      <c r="G10741" s="88"/>
      <c r="H10741" s="89"/>
      <c r="K10741" s="58"/>
      <c r="L10741" s="91"/>
      <c r="M10741" s="78"/>
    </row>
    <row r="10742">
      <c r="C10742" s="85"/>
      <c r="D10742" s="25"/>
      <c r="E10742" s="77"/>
      <c r="F10742" s="88"/>
      <c r="G10742" s="88"/>
      <c r="H10742" s="89"/>
      <c r="K10742" s="58"/>
      <c r="L10742" s="91"/>
      <c r="M10742" s="78"/>
    </row>
    <row r="10743">
      <c r="C10743" s="85"/>
      <c r="D10743" s="25"/>
      <c r="E10743" s="77"/>
      <c r="F10743" s="88"/>
      <c r="G10743" s="88"/>
      <c r="H10743" s="89"/>
      <c r="K10743" s="58"/>
      <c r="L10743" s="91"/>
      <c r="M10743" s="78"/>
    </row>
    <row r="10744">
      <c r="C10744" s="85"/>
      <c r="D10744" s="25"/>
      <c r="E10744" s="77"/>
      <c r="F10744" s="88"/>
      <c r="G10744" s="88"/>
      <c r="H10744" s="89"/>
      <c r="K10744" s="58"/>
      <c r="L10744" s="91"/>
      <c r="M10744" s="78"/>
    </row>
    <row r="10745">
      <c r="C10745" s="85"/>
      <c r="D10745" s="25"/>
      <c r="E10745" s="77"/>
      <c r="F10745" s="88"/>
      <c r="G10745" s="88"/>
      <c r="H10745" s="89"/>
      <c r="K10745" s="58"/>
      <c r="L10745" s="91"/>
      <c r="M10745" s="78"/>
    </row>
    <row r="10746">
      <c r="C10746" s="85"/>
      <c r="D10746" s="25"/>
      <c r="E10746" s="77"/>
      <c r="F10746" s="88"/>
      <c r="G10746" s="88"/>
      <c r="H10746" s="89"/>
      <c r="K10746" s="58"/>
      <c r="L10746" s="91"/>
      <c r="M10746" s="78"/>
    </row>
    <row r="10747">
      <c r="C10747" s="85"/>
      <c r="D10747" s="25"/>
      <c r="E10747" s="77"/>
      <c r="F10747" s="88"/>
      <c r="G10747" s="88"/>
      <c r="H10747" s="89"/>
      <c r="K10747" s="58"/>
      <c r="L10747" s="91"/>
      <c r="M10747" s="78"/>
    </row>
    <row r="10748">
      <c r="C10748" s="85"/>
      <c r="D10748" s="25"/>
      <c r="E10748" s="77"/>
      <c r="F10748" s="88"/>
      <c r="G10748" s="88"/>
      <c r="H10748" s="89"/>
      <c r="K10748" s="58"/>
      <c r="L10748" s="91"/>
      <c r="M10748" s="78"/>
    </row>
    <row r="10749">
      <c r="C10749" s="85"/>
      <c r="D10749" s="25"/>
      <c r="E10749" s="77"/>
      <c r="F10749" s="88"/>
      <c r="G10749" s="88"/>
      <c r="H10749" s="89"/>
      <c r="K10749" s="58"/>
      <c r="L10749" s="91"/>
      <c r="M10749" s="78"/>
    </row>
    <row r="10750">
      <c r="C10750" s="85"/>
      <c r="D10750" s="25"/>
      <c r="E10750" s="77"/>
      <c r="F10750" s="88"/>
      <c r="G10750" s="88"/>
      <c r="H10750" s="89"/>
      <c r="K10750" s="58"/>
      <c r="L10750" s="91"/>
      <c r="M10750" s="78"/>
    </row>
    <row r="10751">
      <c r="C10751" s="85"/>
      <c r="D10751" s="25"/>
      <c r="E10751" s="77"/>
      <c r="F10751" s="88"/>
      <c r="G10751" s="88"/>
      <c r="H10751" s="89"/>
      <c r="K10751" s="58"/>
      <c r="L10751" s="91"/>
      <c r="M10751" s="78"/>
    </row>
    <row r="10752">
      <c r="C10752" s="85"/>
      <c r="D10752" s="25"/>
      <c r="E10752" s="77"/>
      <c r="F10752" s="88"/>
      <c r="G10752" s="88"/>
      <c r="H10752" s="89"/>
      <c r="K10752" s="58"/>
      <c r="L10752" s="91"/>
      <c r="M10752" s="78"/>
    </row>
    <row r="10753">
      <c r="C10753" s="85"/>
      <c r="D10753" s="25"/>
      <c r="E10753" s="77"/>
      <c r="F10753" s="88"/>
      <c r="G10753" s="88"/>
      <c r="H10753" s="89"/>
      <c r="K10753" s="58"/>
      <c r="L10753" s="91"/>
      <c r="M10753" s="78"/>
    </row>
    <row r="10754">
      <c r="C10754" s="85"/>
      <c r="D10754" s="25"/>
      <c r="E10754" s="77"/>
      <c r="F10754" s="88"/>
      <c r="G10754" s="88"/>
      <c r="H10754" s="89"/>
      <c r="K10754" s="58"/>
      <c r="L10754" s="91"/>
      <c r="M10754" s="78"/>
    </row>
    <row r="10755">
      <c r="C10755" s="85"/>
      <c r="D10755" s="25"/>
      <c r="E10755" s="77"/>
      <c r="F10755" s="88"/>
      <c r="G10755" s="88"/>
      <c r="H10755" s="89"/>
      <c r="K10755" s="58"/>
      <c r="L10755" s="91"/>
      <c r="M10755" s="78"/>
    </row>
    <row r="10756">
      <c r="C10756" s="85"/>
      <c r="D10756" s="25"/>
      <c r="E10756" s="77"/>
      <c r="F10756" s="88"/>
      <c r="G10756" s="88"/>
      <c r="H10756" s="89"/>
      <c r="K10756" s="58"/>
      <c r="L10756" s="91"/>
      <c r="M10756" s="78"/>
    </row>
    <row r="10757">
      <c r="C10757" s="85"/>
      <c r="D10757" s="25"/>
      <c r="E10757" s="77"/>
      <c r="F10757" s="88"/>
      <c r="G10757" s="88"/>
      <c r="H10757" s="89"/>
      <c r="K10757" s="58"/>
      <c r="L10757" s="91"/>
      <c r="M10757" s="78"/>
    </row>
    <row r="10758">
      <c r="C10758" s="85"/>
      <c r="D10758" s="25"/>
      <c r="E10758" s="77"/>
      <c r="F10758" s="88"/>
      <c r="G10758" s="88"/>
      <c r="H10758" s="89"/>
      <c r="K10758" s="58"/>
      <c r="L10758" s="91"/>
      <c r="M10758" s="78"/>
    </row>
    <row r="10759">
      <c r="C10759" s="85"/>
      <c r="D10759" s="25"/>
      <c r="E10759" s="77"/>
      <c r="F10759" s="88"/>
      <c r="G10759" s="88"/>
      <c r="H10759" s="89"/>
      <c r="K10759" s="58"/>
      <c r="L10759" s="91"/>
      <c r="M10759" s="78"/>
    </row>
    <row r="10760">
      <c r="C10760" s="85"/>
      <c r="D10760" s="25"/>
      <c r="E10760" s="77"/>
      <c r="F10760" s="88"/>
      <c r="G10760" s="88"/>
      <c r="H10760" s="89"/>
      <c r="K10760" s="58"/>
      <c r="L10760" s="91"/>
      <c r="M10760" s="78"/>
    </row>
    <row r="10761">
      <c r="C10761" s="85"/>
      <c r="D10761" s="25"/>
      <c r="E10761" s="77"/>
      <c r="F10761" s="88"/>
      <c r="G10761" s="88"/>
      <c r="H10761" s="89"/>
      <c r="K10761" s="58"/>
      <c r="L10761" s="91"/>
      <c r="M10761" s="78"/>
    </row>
    <row r="10762">
      <c r="C10762" s="85"/>
      <c r="D10762" s="25"/>
      <c r="E10762" s="77"/>
      <c r="F10762" s="88"/>
      <c r="G10762" s="88"/>
      <c r="H10762" s="89"/>
      <c r="K10762" s="58"/>
      <c r="L10762" s="91"/>
      <c r="M10762" s="78"/>
    </row>
    <row r="10763">
      <c r="C10763" s="85"/>
      <c r="D10763" s="25"/>
      <c r="E10763" s="77"/>
      <c r="F10763" s="88"/>
      <c r="G10763" s="88"/>
      <c r="H10763" s="89"/>
      <c r="K10763" s="58"/>
      <c r="L10763" s="91"/>
      <c r="M10763" s="78"/>
    </row>
    <row r="10764">
      <c r="C10764" s="85"/>
      <c r="D10764" s="25"/>
      <c r="E10764" s="77"/>
      <c r="F10764" s="88"/>
      <c r="G10764" s="88"/>
      <c r="H10764" s="89"/>
      <c r="K10764" s="58"/>
      <c r="L10764" s="91"/>
      <c r="M10764" s="78"/>
    </row>
    <row r="10765">
      <c r="C10765" s="85"/>
      <c r="D10765" s="25"/>
      <c r="E10765" s="77"/>
      <c r="F10765" s="88"/>
      <c r="G10765" s="88"/>
      <c r="H10765" s="89"/>
      <c r="K10765" s="58"/>
      <c r="L10765" s="91"/>
      <c r="M10765" s="78"/>
    </row>
    <row r="10766">
      <c r="C10766" s="85"/>
      <c r="D10766" s="25"/>
      <c r="E10766" s="77"/>
      <c r="F10766" s="88"/>
      <c r="G10766" s="88"/>
      <c r="H10766" s="89"/>
      <c r="K10766" s="58"/>
      <c r="L10766" s="91"/>
      <c r="M10766" s="78"/>
    </row>
    <row r="10767">
      <c r="C10767" s="85"/>
      <c r="D10767" s="25"/>
      <c r="E10767" s="77"/>
      <c r="F10767" s="88"/>
      <c r="G10767" s="88"/>
      <c r="H10767" s="89"/>
      <c r="K10767" s="58"/>
      <c r="L10767" s="91"/>
      <c r="M10767" s="78"/>
    </row>
    <row r="10768">
      <c r="C10768" s="85"/>
      <c r="D10768" s="25"/>
      <c r="E10768" s="77"/>
      <c r="F10768" s="88"/>
      <c r="G10768" s="88"/>
      <c r="H10768" s="89"/>
      <c r="K10768" s="58"/>
      <c r="L10768" s="91"/>
      <c r="M10768" s="78"/>
    </row>
    <row r="10769">
      <c r="C10769" s="85"/>
      <c r="D10769" s="25"/>
      <c r="E10769" s="77"/>
      <c r="F10769" s="88"/>
      <c r="G10769" s="88"/>
      <c r="H10769" s="89"/>
      <c r="K10769" s="58"/>
      <c r="L10769" s="91"/>
      <c r="M10769" s="78"/>
    </row>
    <row r="10770">
      <c r="C10770" s="85"/>
      <c r="D10770" s="25"/>
      <c r="E10770" s="77"/>
      <c r="F10770" s="88"/>
      <c r="G10770" s="88"/>
      <c r="H10770" s="89"/>
      <c r="K10770" s="58"/>
      <c r="L10770" s="91"/>
      <c r="M10770" s="78"/>
    </row>
    <row r="10771">
      <c r="C10771" s="85"/>
      <c r="D10771" s="25"/>
      <c r="E10771" s="77"/>
      <c r="F10771" s="88"/>
      <c r="G10771" s="88"/>
      <c r="H10771" s="89"/>
      <c r="K10771" s="58"/>
      <c r="L10771" s="91"/>
      <c r="M10771" s="78"/>
    </row>
    <row r="10772">
      <c r="C10772" s="85"/>
      <c r="D10772" s="25"/>
      <c r="E10772" s="77"/>
      <c r="F10772" s="88"/>
      <c r="G10772" s="88"/>
      <c r="H10772" s="89"/>
      <c r="K10772" s="58"/>
      <c r="L10772" s="91"/>
      <c r="M10772" s="78"/>
    </row>
    <row r="10773">
      <c r="C10773" s="85"/>
      <c r="D10773" s="25"/>
      <c r="E10773" s="77"/>
      <c r="F10773" s="88"/>
      <c r="G10773" s="88"/>
      <c r="H10773" s="89"/>
      <c r="K10773" s="58"/>
      <c r="L10773" s="91"/>
      <c r="M10773" s="78"/>
    </row>
    <row r="10774">
      <c r="C10774" s="85"/>
      <c r="D10774" s="25"/>
      <c r="E10774" s="77"/>
      <c r="F10774" s="88"/>
      <c r="G10774" s="88"/>
      <c r="H10774" s="89"/>
      <c r="K10774" s="58"/>
      <c r="L10774" s="91"/>
      <c r="M10774" s="78"/>
    </row>
    <row r="10775">
      <c r="C10775" s="85"/>
      <c r="D10775" s="25"/>
      <c r="E10775" s="77"/>
      <c r="F10775" s="88"/>
      <c r="G10775" s="88"/>
      <c r="H10775" s="89"/>
      <c r="K10775" s="58"/>
      <c r="L10775" s="91"/>
      <c r="M10775" s="78"/>
    </row>
    <row r="10776">
      <c r="C10776" s="85"/>
      <c r="D10776" s="25"/>
      <c r="E10776" s="77"/>
      <c r="F10776" s="88"/>
      <c r="G10776" s="88"/>
      <c r="H10776" s="89"/>
      <c r="K10776" s="58"/>
      <c r="L10776" s="91"/>
      <c r="M10776" s="78"/>
    </row>
    <row r="10777">
      <c r="C10777" s="85"/>
      <c r="D10777" s="25"/>
      <c r="E10777" s="77"/>
      <c r="F10777" s="88"/>
      <c r="G10777" s="88"/>
      <c r="H10777" s="89"/>
      <c r="K10777" s="58"/>
      <c r="L10777" s="91"/>
      <c r="M10777" s="78"/>
    </row>
    <row r="10778">
      <c r="C10778" s="85"/>
      <c r="D10778" s="25"/>
      <c r="E10778" s="77"/>
      <c r="F10778" s="88"/>
      <c r="G10778" s="88"/>
      <c r="H10778" s="89"/>
      <c r="K10778" s="58"/>
      <c r="L10778" s="91"/>
      <c r="M10778" s="78"/>
    </row>
    <row r="10779">
      <c r="C10779" s="85"/>
      <c r="D10779" s="25"/>
      <c r="E10779" s="77"/>
      <c r="F10779" s="88"/>
      <c r="G10779" s="88"/>
      <c r="H10779" s="89"/>
      <c r="K10779" s="58"/>
      <c r="L10779" s="91"/>
      <c r="M10779" s="78"/>
    </row>
    <row r="10780">
      <c r="C10780" s="85"/>
      <c r="D10780" s="25"/>
      <c r="E10780" s="77"/>
      <c r="F10780" s="88"/>
      <c r="G10780" s="88"/>
      <c r="H10780" s="89"/>
      <c r="K10780" s="58"/>
      <c r="L10780" s="91"/>
      <c r="M10780" s="78"/>
    </row>
    <row r="10781">
      <c r="C10781" s="85"/>
      <c r="D10781" s="25"/>
      <c r="E10781" s="77"/>
      <c r="F10781" s="88"/>
      <c r="G10781" s="88"/>
      <c r="H10781" s="89"/>
      <c r="K10781" s="58"/>
      <c r="L10781" s="91"/>
      <c r="M10781" s="78"/>
    </row>
    <row r="10782">
      <c r="C10782" s="85"/>
      <c r="D10782" s="25"/>
      <c r="E10782" s="77"/>
      <c r="F10782" s="88"/>
      <c r="G10782" s="88"/>
      <c r="H10782" s="89"/>
      <c r="K10782" s="58"/>
      <c r="L10782" s="91"/>
      <c r="M10782" s="78"/>
    </row>
    <row r="10783">
      <c r="C10783" s="85"/>
      <c r="D10783" s="25"/>
      <c r="E10783" s="77"/>
      <c r="F10783" s="88"/>
      <c r="G10783" s="88"/>
      <c r="H10783" s="89"/>
      <c r="K10783" s="58"/>
      <c r="L10783" s="91"/>
      <c r="M10783" s="78"/>
    </row>
    <row r="10784">
      <c r="C10784" s="85"/>
      <c r="D10784" s="25"/>
      <c r="E10784" s="77"/>
      <c r="F10784" s="88"/>
      <c r="G10784" s="88"/>
      <c r="H10784" s="89"/>
      <c r="K10784" s="58"/>
      <c r="L10784" s="91"/>
      <c r="M10784" s="78"/>
    </row>
    <row r="10785">
      <c r="C10785" s="85"/>
      <c r="D10785" s="25"/>
      <c r="E10785" s="77"/>
      <c r="F10785" s="88"/>
      <c r="G10785" s="88"/>
      <c r="H10785" s="89"/>
      <c r="K10785" s="58"/>
      <c r="L10785" s="91"/>
      <c r="M10785" s="78"/>
    </row>
    <row r="10786">
      <c r="C10786" s="85"/>
      <c r="D10786" s="25"/>
      <c r="E10786" s="77"/>
      <c r="F10786" s="88"/>
      <c r="G10786" s="88"/>
      <c r="H10786" s="89"/>
      <c r="K10786" s="58"/>
      <c r="L10786" s="91"/>
      <c r="M10786" s="78"/>
    </row>
    <row r="10787">
      <c r="C10787" s="85"/>
      <c r="D10787" s="25"/>
      <c r="E10787" s="77"/>
      <c r="F10787" s="88"/>
      <c r="G10787" s="88"/>
      <c r="H10787" s="89"/>
      <c r="K10787" s="58"/>
      <c r="L10787" s="91"/>
      <c r="M10787" s="78"/>
    </row>
    <row r="10788">
      <c r="C10788" s="85"/>
      <c r="D10788" s="25"/>
      <c r="E10788" s="77"/>
      <c r="F10788" s="88"/>
      <c r="G10788" s="88"/>
      <c r="H10788" s="89"/>
      <c r="K10788" s="58"/>
      <c r="L10788" s="91"/>
      <c r="M10788" s="78"/>
    </row>
    <row r="10789">
      <c r="C10789" s="85"/>
      <c r="D10789" s="25"/>
      <c r="E10789" s="77"/>
      <c r="F10789" s="88"/>
      <c r="G10789" s="88"/>
      <c r="H10789" s="89"/>
      <c r="K10789" s="58"/>
      <c r="L10789" s="91"/>
      <c r="M10789" s="78"/>
    </row>
    <row r="10790">
      <c r="C10790" s="85"/>
      <c r="D10790" s="25"/>
      <c r="E10790" s="77"/>
      <c r="F10790" s="88"/>
      <c r="G10790" s="88"/>
      <c r="H10790" s="89"/>
      <c r="K10790" s="58"/>
      <c r="L10790" s="91"/>
      <c r="M10790" s="78"/>
    </row>
    <row r="10791">
      <c r="C10791" s="85"/>
      <c r="D10791" s="25"/>
      <c r="E10791" s="77"/>
      <c r="F10791" s="88"/>
      <c r="G10791" s="88"/>
      <c r="H10791" s="89"/>
      <c r="K10791" s="58"/>
      <c r="L10791" s="91"/>
      <c r="M10791" s="78"/>
    </row>
    <row r="10792">
      <c r="C10792" s="85"/>
      <c r="D10792" s="25"/>
      <c r="E10792" s="77"/>
      <c r="F10792" s="88"/>
      <c r="G10792" s="88"/>
      <c r="H10792" s="89"/>
      <c r="K10792" s="58"/>
      <c r="L10792" s="91"/>
      <c r="M10792" s="78"/>
    </row>
    <row r="10793">
      <c r="C10793" s="85"/>
      <c r="D10793" s="25"/>
      <c r="E10793" s="77"/>
      <c r="F10793" s="88"/>
      <c r="G10793" s="88"/>
      <c r="H10793" s="89"/>
      <c r="K10793" s="58"/>
      <c r="L10793" s="91"/>
      <c r="M10793" s="78"/>
    </row>
    <row r="10794">
      <c r="C10794" s="85"/>
      <c r="D10794" s="25"/>
      <c r="E10794" s="77"/>
      <c r="F10794" s="88"/>
      <c r="G10794" s="88"/>
      <c r="H10794" s="89"/>
      <c r="K10794" s="58"/>
      <c r="L10794" s="91"/>
      <c r="M10794" s="78"/>
    </row>
    <row r="10795">
      <c r="C10795" s="85"/>
      <c r="D10795" s="25"/>
      <c r="E10795" s="77"/>
      <c r="F10795" s="88"/>
      <c r="G10795" s="88"/>
      <c r="H10795" s="89"/>
      <c r="K10795" s="58"/>
      <c r="L10795" s="91"/>
      <c r="M10795" s="78"/>
    </row>
    <row r="10796">
      <c r="C10796" s="85"/>
      <c r="D10796" s="25"/>
      <c r="E10796" s="77"/>
      <c r="F10796" s="88"/>
      <c r="G10796" s="88"/>
      <c r="H10796" s="89"/>
      <c r="K10796" s="58"/>
      <c r="L10796" s="91"/>
      <c r="M10796" s="78"/>
    </row>
    <row r="10797">
      <c r="C10797" s="85"/>
      <c r="D10797" s="25"/>
      <c r="E10797" s="77"/>
      <c r="F10797" s="88"/>
      <c r="G10797" s="88"/>
      <c r="H10797" s="89"/>
      <c r="K10797" s="58"/>
      <c r="L10797" s="91"/>
      <c r="M10797" s="78"/>
    </row>
    <row r="10798">
      <c r="C10798" s="85"/>
      <c r="D10798" s="25"/>
      <c r="E10798" s="77"/>
      <c r="F10798" s="88"/>
      <c r="G10798" s="88"/>
      <c r="H10798" s="89"/>
      <c r="K10798" s="58"/>
      <c r="L10798" s="91"/>
      <c r="M10798" s="78"/>
    </row>
    <row r="10799">
      <c r="C10799" s="85"/>
      <c r="D10799" s="25"/>
      <c r="E10799" s="77"/>
      <c r="F10799" s="88"/>
      <c r="G10799" s="88"/>
      <c r="H10799" s="89"/>
      <c r="K10799" s="58"/>
      <c r="L10799" s="91"/>
      <c r="M10799" s="78"/>
    </row>
    <row r="10800">
      <c r="C10800" s="85"/>
      <c r="D10800" s="25"/>
      <c r="E10800" s="77"/>
      <c r="F10800" s="88"/>
      <c r="G10800" s="88"/>
      <c r="H10800" s="89"/>
      <c r="K10800" s="58"/>
      <c r="L10800" s="91"/>
      <c r="M10800" s="78"/>
    </row>
    <row r="10801">
      <c r="C10801" s="85"/>
      <c r="D10801" s="25"/>
      <c r="E10801" s="77"/>
      <c r="F10801" s="88"/>
      <c r="G10801" s="88"/>
      <c r="H10801" s="89"/>
      <c r="K10801" s="58"/>
      <c r="L10801" s="91"/>
      <c r="M10801" s="78"/>
    </row>
    <row r="10802">
      <c r="C10802" s="85"/>
      <c r="D10802" s="25"/>
      <c r="E10802" s="77"/>
      <c r="F10802" s="88"/>
      <c r="G10802" s="88"/>
      <c r="H10802" s="89"/>
      <c r="K10802" s="58"/>
      <c r="L10802" s="91"/>
      <c r="M10802" s="78"/>
    </row>
    <row r="10803">
      <c r="C10803" s="85"/>
      <c r="D10803" s="25"/>
      <c r="E10803" s="77"/>
      <c r="F10803" s="88"/>
      <c r="G10803" s="88"/>
      <c r="H10803" s="89"/>
      <c r="K10803" s="58"/>
      <c r="L10803" s="91"/>
      <c r="M10803" s="78"/>
    </row>
    <row r="10804">
      <c r="C10804" s="85"/>
      <c r="D10804" s="25"/>
      <c r="E10804" s="77"/>
      <c r="F10804" s="88"/>
      <c r="G10804" s="88"/>
      <c r="H10804" s="89"/>
      <c r="K10804" s="58"/>
      <c r="L10804" s="91"/>
      <c r="M10804" s="78"/>
    </row>
    <row r="10805">
      <c r="C10805" s="85"/>
      <c r="D10805" s="25"/>
      <c r="E10805" s="77"/>
      <c r="F10805" s="88"/>
      <c r="G10805" s="88"/>
      <c r="H10805" s="89"/>
      <c r="K10805" s="58"/>
      <c r="L10805" s="91"/>
      <c r="M10805" s="78"/>
    </row>
    <row r="10806">
      <c r="C10806" s="85"/>
      <c r="D10806" s="25"/>
      <c r="E10806" s="77"/>
      <c r="F10806" s="88"/>
      <c r="G10806" s="88"/>
      <c r="H10806" s="89"/>
      <c r="K10806" s="58"/>
      <c r="L10806" s="91"/>
      <c r="M10806" s="78"/>
    </row>
    <row r="10807">
      <c r="C10807" s="85"/>
      <c r="D10807" s="25"/>
      <c r="E10807" s="77"/>
      <c r="F10807" s="88"/>
      <c r="G10807" s="88"/>
      <c r="H10807" s="89"/>
      <c r="K10807" s="58"/>
      <c r="L10807" s="91"/>
      <c r="M10807" s="78"/>
    </row>
    <row r="10808">
      <c r="C10808" s="85"/>
      <c r="D10808" s="25"/>
      <c r="E10808" s="77"/>
      <c r="F10808" s="88"/>
      <c r="G10808" s="88"/>
      <c r="H10808" s="89"/>
      <c r="K10808" s="58"/>
      <c r="L10808" s="91"/>
      <c r="M10808" s="78"/>
    </row>
    <row r="10809">
      <c r="C10809" s="85"/>
      <c r="D10809" s="25"/>
      <c r="E10809" s="77"/>
      <c r="F10809" s="88"/>
      <c r="G10809" s="88"/>
      <c r="H10809" s="89"/>
      <c r="K10809" s="58"/>
      <c r="L10809" s="91"/>
      <c r="M10809" s="78"/>
    </row>
    <row r="10810">
      <c r="C10810" s="85"/>
      <c r="D10810" s="25"/>
      <c r="E10810" s="77"/>
      <c r="F10810" s="88"/>
      <c r="G10810" s="88"/>
      <c r="H10810" s="89"/>
      <c r="K10810" s="58"/>
      <c r="L10810" s="91"/>
      <c r="M10810" s="78"/>
    </row>
    <row r="10811">
      <c r="C10811" s="85"/>
      <c r="D10811" s="25"/>
      <c r="E10811" s="77"/>
      <c r="F10811" s="88"/>
      <c r="G10811" s="88"/>
      <c r="H10811" s="89"/>
      <c r="K10811" s="58"/>
      <c r="L10811" s="91"/>
      <c r="M10811" s="78"/>
    </row>
    <row r="10812">
      <c r="C10812" s="85"/>
      <c r="D10812" s="25"/>
      <c r="E10812" s="77"/>
      <c r="F10812" s="88"/>
      <c r="G10812" s="88"/>
      <c r="H10812" s="89"/>
      <c r="K10812" s="58"/>
      <c r="L10812" s="91"/>
      <c r="M10812" s="78"/>
    </row>
    <row r="10813">
      <c r="C10813" s="85"/>
      <c r="D10813" s="25"/>
      <c r="E10813" s="77"/>
      <c r="F10813" s="88"/>
      <c r="G10813" s="88"/>
      <c r="H10813" s="89"/>
      <c r="K10813" s="58"/>
      <c r="L10813" s="91"/>
      <c r="M10813" s="78"/>
    </row>
    <row r="10814">
      <c r="C10814" s="85"/>
      <c r="D10814" s="25"/>
      <c r="E10814" s="77"/>
      <c r="F10814" s="88"/>
      <c r="G10814" s="88"/>
      <c r="H10814" s="89"/>
      <c r="K10814" s="58"/>
      <c r="L10814" s="91"/>
      <c r="M10814" s="78"/>
    </row>
    <row r="10815">
      <c r="C10815" s="85"/>
      <c r="D10815" s="25"/>
      <c r="E10815" s="77"/>
      <c r="F10815" s="88"/>
      <c r="G10815" s="88"/>
      <c r="H10815" s="89"/>
      <c r="K10815" s="58"/>
      <c r="L10815" s="91"/>
      <c r="M10815" s="78"/>
    </row>
    <row r="10816">
      <c r="C10816" s="85"/>
      <c r="D10816" s="25"/>
      <c r="E10816" s="77"/>
      <c r="F10816" s="88"/>
      <c r="G10816" s="88"/>
      <c r="H10816" s="89"/>
      <c r="K10816" s="58"/>
      <c r="L10816" s="91"/>
      <c r="M10816" s="78"/>
    </row>
    <row r="10817">
      <c r="C10817" s="85"/>
      <c r="D10817" s="25"/>
      <c r="E10817" s="77"/>
      <c r="F10817" s="88"/>
      <c r="G10817" s="88"/>
      <c r="H10817" s="89"/>
      <c r="K10817" s="58"/>
      <c r="L10817" s="91"/>
      <c r="M10817" s="78"/>
    </row>
    <row r="10818">
      <c r="C10818" s="85"/>
      <c r="D10818" s="25"/>
      <c r="E10818" s="77"/>
      <c r="F10818" s="88"/>
      <c r="G10818" s="88"/>
      <c r="H10818" s="89"/>
      <c r="K10818" s="58"/>
      <c r="L10818" s="91"/>
      <c r="M10818" s="78"/>
    </row>
    <row r="10819">
      <c r="C10819" s="85"/>
      <c r="D10819" s="25"/>
      <c r="E10819" s="77"/>
      <c r="F10819" s="88"/>
      <c r="G10819" s="88"/>
      <c r="H10819" s="89"/>
      <c r="K10819" s="58"/>
      <c r="L10819" s="91"/>
      <c r="M10819" s="78"/>
    </row>
    <row r="10820">
      <c r="C10820" s="85"/>
      <c r="D10820" s="25"/>
      <c r="E10820" s="77"/>
      <c r="F10820" s="88"/>
      <c r="G10820" s="88"/>
      <c r="H10820" s="89"/>
      <c r="K10820" s="58"/>
      <c r="L10820" s="91"/>
      <c r="M10820" s="78"/>
    </row>
    <row r="10821">
      <c r="C10821" s="85"/>
      <c r="D10821" s="25"/>
      <c r="E10821" s="77"/>
      <c r="F10821" s="88"/>
      <c r="G10821" s="88"/>
      <c r="H10821" s="89"/>
      <c r="K10821" s="58"/>
      <c r="L10821" s="91"/>
      <c r="M10821" s="78"/>
    </row>
    <row r="10822">
      <c r="C10822" s="85"/>
      <c r="D10822" s="25"/>
      <c r="E10822" s="77"/>
      <c r="F10822" s="88"/>
      <c r="G10822" s="88"/>
      <c r="H10822" s="89"/>
      <c r="K10822" s="58"/>
      <c r="L10822" s="91"/>
      <c r="M10822" s="78"/>
    </row>
    <row r="10823">
      <c r="C10823" s="85"/>
      <c r="D10823" s="25"/>
      <c r="E10823" s="77"/>
      <c r="F10823" s="88"/>
      <c r="G10823" s="88"/>
      <c r="H10823" s="89"/>
      <c r="K10823" s="58"/>
      <c r="L10823" s="91"/>
      <c r="M10823" s="78"/>
    </row>
    <row r="10824">
      <c r="C10824" s="85"/>
      <c r="D10824" s="25"/>
      <c r="E10824" s="77"/>
      <c r="F10824" s="88"/>
      <c r="G10824" s="88"/>
      <c r="H10824" s="89"/>
      <c r="K10824" s="58"/>
      <c r="L10824" s="91"/>
      <c r="M10824" s="78"/>
    </row>
    <row r="10825">
      <c r="C10825" s="85"/>
      <c r="D10825" s="25"/>
      <c r="E10825" s="77"/>
      <c r="F10825" s="88"/>
      <c r="G10825" s="88"/>
      <c r="H10825" s="89"/>
      <c r="K10825" s="58"/>
      <c r="L10825" s="91"/>
      <c r="M10825" s="78"/>
    </row>
    <row r="10826">
      <c r="C10826" s="85"/>
      <c r="D10826" s="25"/>
      <c r="E10826" s="77"/>
      <c r="F10826" s="88"/>
      <c r="G10826" s="88"/>
      <c r="H10826" s="89"/>
      <c r="K10826" s="58"/>
      <c r="L10826" s="91"/>
      <c r="M10826" s="78"/>
    </row>
    <row r="10827">
      <c r="C10827" s="85"/>
      <c r="D10827" s="25"/>
      <c r="E10827" s="77"/>
      <c r="F10827" s="88"/>
      <c r="G10827" s="88"/>
      <c r="H10827" s="89"/>
      <c r="K10827" s="58"/>
      <c r="L10827" s="91"/>
      <c r="M10827" s="78"/>
    </row>
    <row r="10828">
      <c r="C10828" s="85"/>
      <c r="D10828" s="25"/>
      <c r="E10828" s="77"/>
      <c r="F10828" s="88"/>
      <c r="G10828" s="88"/>
      <c r="H10828" s="89"/>
      <c r="K10828" s="58"/>
      <c r="L10828" s="91"/>
      <c r="M10828" s="78"/>
    </row>
    <row r="10829">
      <c r="C10829" s="85"/>
      <c r="D10829" s="25"/>
      <c r="E10829" s="77"/>
      <c r="F10829" s="88"/>
      <c r="G10829" s="88"/>
      <c r="H10829" s="89"/>
      <c r="K10829" s="58"/>
      <c r="L10829" s="91"/>
      <c r="M10829" s="78"/>
    </row>
    <row r="10830">
      <c r="C10830" s="85"/>
      <c r="D10830" s="25"/>
      <c r="E10830" s="77"/>
      <c r="F10830" s="88"/>
      <c r="G10830" s="88"/>
      <c r="H10830" s="89"/>
      <c r="K10830" s="58"/>
      <c r="L10830" s="91"/>
      <c r="M10830" s="78"/>
    </row>
    <row r="10831">
      <c r="C10831" s="85"/>
      <c r="D10831" s="25"/>
      <c r="E10831" s="77"/>
      <c r="F10831" s="88"/>
      <c r="G10831" s="88"/>
      <c r="H10831" s="89"/>
      <c r="K10831" s="58"/>
      <c r="L10831" s="91"/>
      <c r="M10831" s="78"/>
    </row>
    <row r="10832">
      <c r="C10832" s="85"/>
      <c r="D10832" s="25"/>
      <c r="E10832" s="77"/>
      <c r="F10832" s="88"/>
      <c r="G10832" s="88"/>
      <c r="H10832" s="89"/>
      <c r="K10832" s="58"/>
      <c r="L10832" s="91"/>
      <c r="M10832" s="78"/>
    </row>
    <row r="10833">
      <c r="C10833" s="85"/>
      <c r="D10833" s="25"/>
      <c r="E10833" s="77"/>
      <c r="F10833" s="88"/>
      <c r="G10833" s="88"/>
      <c r="H10833" s="89"/>
      <c r="K10833" s="58"/>
      <c r="L10833" s="91"/>
      <c r="M10833" s="78"/>
    </row>
    <row r="10834">
      <c r="C10834" s="85"/>
      <c r="D10834" s="25"/>
      <c r="E10834" s="77"/>
      <c r="F10834" s="88"/>
      <c r="G10834" s="88"/>
      <c r="H10834" s="89"/>
      <c r="K10834" s="58"/>
      <c r="L10834" s="91"/>
      <c r="M10834" s="78"/>
    </row>
    <row r="10835">
      <c r="C10835" s="85"/>
      <c r="D10835" s="25"/>
      <c r="E10835" s="77"/>
      <c r="F10835" s="88"/>
      <c r="G10835" s="88"/>
      <c r="H10835" s="89"/>
      <c r="K10835" s="58"/>
      <c r="L10835" s="91"/>
      <c r="M10835" s="78"/>
    </row>
    <row r="10836">
      <c r="C10836" s="85"/>
      <c r="D10836" s="25"/>
      <c r="E10836" s="77"/>
      <c r="F10836" s="88"/>
      <c r="G10836" s="88"/>
      <c r="H10836" s="89"/>
      <c r="K10836" s="58"/>
      <c r="L10836" s="91"/>
      <c r="M10836" s="78"/>
    </row>
    <row r="10837">
      <c r="C10837" s="85"/>
      <c r="D10837" s="25"/>
      <c r="E10837" s="77"/>
      <c r="F10837" s="88"/>
      <c r="G10837" s="88"/>
      <c r="H10837" s="89"/>
      <c r="K10837" s="58"/>
      <c r="L10837" s="91"/>
      <c r="M10837" s="78"/>
    </row>
    <row r="10838">
      <c r="C10838" s="85"/>
      <c r="D10838" s="25"/>
      <c r="E10838" s="77"/>
      <c r="F10838" s="88"/>
      <c r="G10838" s="88"/>
      <c r="H10838" s="89"/>
      <c r="K10838" s="58"/>
      <c r="L10838" s="91"/>
      <c r="M10838" s="78"/>
    </row>
    <row r="10839">
      <c r="C10839" s="85"/>
      <c r="D10839" s="25"/>
      <c r="E10839" s="77"/>
      <c r="F10839" s="88"/>
      <c r="G10839" s="88"/>
      <c r="H10839" s="89"/>
      <c r="K10839" s="58"/>
      <c r="L10839" s="91"/>
      <c r="M10839" s="78"/>
    </row>
    <row r="10840">
      <c r="C10840" s="85"/>
      <c r="D10840" s="25"/>
      <c r="E10840" s="77"/>
      <c r="F10840" s="88"/>
      <c r="G10840" s="88"/>
      <c r="H10840" s="89"/>
      <c r="K10840" s="58"/>
      <c r="L10840" s="91"/>
      <c r="M10840" s="78"/>
    </row>
    <row r="10841">
      <c r="C10841" s="85"/>
      <c r="D10841" s="25"/>
      <c r="E10841" s="77"/>
      <c r="F10841" s="88"/>
      <c r="G10841" s="88"/>
      <c r="H10841" s="89"/>
      <c r="K10841" s="58"/>
      <c r="L10841" s="91"/>
      <c r="M10841" s="78"/>
    </row>
    <row r="10842">
      <c r="C10842" s="85"/>
      <c r="D10842" s="25"/>
      <c r="E10842" s="77"/>
      <c r="F10842" s="88"/>
      <c r="G10842" s="88"/>
      <c r="H10842" s="89"/>
      <c r="K10842" s="58"/>
      <c r="L10842" s="91"/>
      <c r="M10842" s="78"/>
    </row>
    <row r="10843">
      <c r="C10843" s="85"/>
      <c r="D10843" s="25"/>
      <c r="E10843" s="77"/>
      <c r="F10843" s="88"/>
      <c r="G10843" s="88"/>
      <c r="H10843" s="89"/>
      <c r="K10843" s="58"/>
      <c r="L10843" s="91"/>
      <c r="M10843" s="78"/>
    </row>
    <row r="10844">
      <c r="C10844" s="85"/>
      <c r="D10844" s="25"/>
      <c r="E10844" s="77"/>
      <c r="F10844" s="88"/>
      <c r="G10844" s="88"/>
      <c r="H10844" s="89"/>
      <c r="K10844" s="58"/>
      <c r="L10844" s="91"/>
      <c r="M10844" s="78"/>
    </row>
    <row r="10845">
      <c r="C10845" s="85"/>
      <c r="D10845" s="25"/>
      <c r="E10845" s="77"/>
      <c r="F10845" s="88"/>
      <c r="G10845" s="88"/>
      <c r="H10845" s="89"/>
      <c r="K10845" s="58"/>
      <c r="L10845" s="91"/>
      <c r="M10845" s="78"/>
    </row>
    <row r="10846">
      <c r="C10846" s="85"/>
      <c r="D10846" s="25"/>
      <c r="E10846" s="77"/>
      <c r="F10846" s="88"/>
      <c r="G10846" s="88"/>
      <c r="H10846" s="89"/>
      <c r="K10846" s="58"/>
      <c r="L10846" s="91"/>
      <c r="M10846" s="78"/>
    </row>
    <row r="10847">
      <c r="C10847" s="85"/>
      <c r="D10847" s="25"/>
      <c r="E10847" s="77"/>
      <c r="F10847" s="88"/>
      <c r="G10847" s="88"/>
      <c r="H10847" s="89"/>
      <c r="K10847" s="58"/>
      <c r="L10847" s="91"/>
      <c r="M10847" s="78"/>
    </row>
    <row r="10848">
      <c r="C10848" s="85"/>
      <c r="D10848" s="25"/>
      <c r="E10848" s="77"/>
      <c r="F10848" s="88"/>
      <c r="G10848" s="88"/>
      <c r="H10848" s="89"/>
      <c r="K10848" s="58"/>
      <c r="L10848" s="91"/>
      <c r="M10848" s="78"/>
    </row>
    <row r="10849">
      <c r="C10849" s="85"/>
      <c r="D10849" s="25"/>
      <c r="E10849" s="77"/>
      <c r="F10849" s="88"/>
      <c r="G10849" s="88"/>
      <c r="H10849" s="89"/>
      <c r="K10849" s="58"/>
      <c r="L10849" s="91"/>
      <c r="M10849" s="78"/>
    </row>
    <row r="10850">
      <c r="C10850" s="85"/>
      <c r="D10850" s="25"/>
      <c r="E10850" s="77"/>
      <c r="F10850" s="88"/>
      <c r="G10850" s="88"/>
      <c r="H10850" s="89"/>
      <c r="K10850" s="58"/>
      <c r="L10850" s="91"/>
      <c r="M10850" s="78"/>
    </row>
    <row r="10851">
      <c r="C10851" s="85"/>
      <c r="D10851" s="25"/>
      <c r="E10851" s="77"/>
      <c r="F10851" s="88"/>
      <c r="G10851" s="88"/>
      <c r="H10851" s="89"/>
      <c r="K10851" s="58"/>
      <c r="L10851" s="91"/>
      <c r="M10851" s="78"/>
    </row>
    <row r="10852">
      <c r="C10852" s="85"/>
      <c r="D10852" s="25"/>
      <c r="E10852" s="77"/>
      <c r="F10852" s="88"/>
      <c r="G10852" s="88"/>
      <c r="H10852" s="89"/>
      <c r="K10852" s="58"/>
      <c r="L10852" s="91"/>
      <c r="M10852" s="78"/>
    </row>
    <row r="10853">
      <c r="C10853" s="85"/>
      <c r="D10853" s="25"/>
      <c r="E10853" s="77"/>
      <c r="F10853" s="88"/>
      <c r="G10853" s="88"/>
      <c r="H10853" s="89"/>
      <c r="K10853" s="58"/>
      <c r="L10853" s="91"/>
      <c r="M10853" s="78"/>
    </row>
    <row r="10854">
      <c r="C10854" s="85"/>
      <c r="D10854" s="25"/>
      <c r="E10854" s="77"/>
      <c r="F10854" s="88"/>
      <c r="G10854" s="88"/>
      <c r="H10854" s="89"/>
      <c r="K10854" s="58"/>
      <c r="L10854" s="91"/>
      <c r="M10854" s="78"/>
    </row>
    <row r="10855">
      <c r="C10855" s="85"/>
      <c r="D10855" s="25"/>
      <c r="E10855" s="77"/>
      <c r="F10855" s="88"/>
      <c r="G10855" s="88"/>
      <c r="H10855" s="89"/>
      <c r="K10855" s="58"/>
      <c r="L10855" s="91"/>
      <c r="M10855" s="78"/>
    </row>
    <row r="10856">
      <c r="C10856" s="85"/>
      <c r="D10856" s="25"/>
      <c r="E10856" s="77"/>
      <c r="F10856" s="88"/>
      <c r="G10856" s="88"/>
      <c r="H10856" s="89"/>
      <c r="K10856" s="58"/>
      <c r="L10856" s="91"/>
      <c r="M10856" s="78"/>
    </row>
    <row r="10857">
      <c r="C10857" s="85"/>
      <c r="D10857" s="25"/>
      <c r="E10857" s="77"/>
      <c r="F10857" s="88"/>
      <c r="G10857" s="88"/>
      <c r="H10857" s="89"/>
      <c r="K10857" s="58"/>
      <c r="L10857" s="91"/>
      <c r="M10857" s="78"/>
    </row>
    <row r="10858">
      <c r="C10858" s="85"/>
      <c r="D10858" s="25"/>
      <c r="E10858" s="77"/>
      <c r="F10858" s="88"/>
      <c r="G10858" s="88"/>
      <c r="H10858" s="89"/>
      <c r="K10858" s="58"/>
      <c r="L10858" s="91"/>
      <c r="M10858" s="78"/>
    </row>
    <row r="10859">
      <c r="C10859" s="85"/>
      <c r="D10859" s="25"/>
      <c r="E10859" s="77"/>
      <c r="F10859" s="88"/>
      <c r="G10859" s="88"/>
      <c r="H10859" s="89"/>
      <c r="K10859" s="58"/>
      <c r="L10859" s="91"/>
      <c r="M10859" s="78"/>
    </row>
    <row r="10860">
      <c r="C10860" s="85"/>
      <c r="D10860" s="25"/>
      <c r="E10860" s="77"/>
      <c r="F10860" s="88"/>
      <c r="G10860" s="88"/>
      <c r="H10860" s="89"/>
      <c r="K10860" s="58"/>
      <c r="L10860" s="91"/>
      <c r="M10860" s="78"/>
    </row>
    <row r="10861">
      <c r="C10861" s="85"/>
      <c r="D10861" s="25"/>
      <c r="E10861" s="77"/>
      <c r="F10861" s="88"/>
      <c r="G10861" s="88"/>
      <c r="H10861" s="89"/>
      <c r="K10861" s="58"/>
      <c r="L10861" s="91"/>
      <c r="M10861" s="78"/>
    </row>
    <row r="10862">
      <c r="C10862" s="85"/>
      <c r="D10862" s="25"/>
      <c r="E10862" s="77"/>
      <c r="F10862" s="88"/>
      <c r="G10862" s="88"/>
      <c r="H10862" s="89"/>
      <c r="K10862" s="58"/>
      <c r="L10862" s="91"/>
      <c r="M10862" s="78"/>
    </row>
    <row r="10863">
      <c r="C10863" s="85"/>
      <c r="D10863" s="25"/>
      <c r="E10863" s="77"/>
      <c r="F10863" s="88"/>
      <c r="G10863" s="88"/>
      <c r="H10863" s="89"/>
      <c r="K10863" s="58"/>
      <c r="L10863" s="91"/>
      <c r="M10863" s="78"/>
    </row>
    <row r="10864">
      <c r="C10864" s="85"/>
      <c r="D10864" s="25"/>
      <c r="E10864" s="77"/>
      <c r="F10864" s="88"/>
      <c r="G10864" s="88"/>
      <c r="H10864" s="89"/>
      <c r="K10864" s="58"/>
      <c r="L10864" s="91"/>
      <c r="M10864" s="78"/>
    </row>
    <row r="10865">
      <c r="C10865" s="85"/>
      <c r="D10865" s="25"/>
      <c r="E10865" s="77"/>
      <c r="F10865" s="88"/>
      <c r="G10865" s="88"/>
      <c r="H10865" s="89"/>
      <c r="K10865" s="58"/>
      <c r="L10865" s="91"/>
      <c r="M10865" s="78"/>
    </row>
    <row r="10866">
      <c r="C10866" s="85"/>
      <c r="D10866" s="25"/>
      <c r="E10866" s="77"/>
      <c r="F10866" s="88"/>
      <c r="G10866" s="88"/>
      <c r="H10866" s="89"/>
      <c r="K10866" s="58"/>
      <c r="L10866" s="91"/>
      <c r="M10866" s="78"/>
    </row>
    <row r="10867">
      <c r="C10867" s="85"/>
      <c r="D10867" s="25"/>
      <c r="E10867" s="77"/>
      <c r="F10867" s="88"/>
      <c r="G10867" s="88"/>
      <c r="H10867" s="89"/>
      <c r="K10867" s="58"/>
      <c r="L10867" s="91"/>
      <c r="M10867" s="78"/>
    </row>
    <row r="10868">
      <c r="C10868" s="85"/>
      <c r="D10868" s="25"/>
      <c r="E10868" s="77"/>
      <c r="F10868" s="88"/>
      <c r="G10868" s="88"/>
      <c r="H10868" s="89"/>
      <c r="K10868" s="58"/>
      <c r="L10868" s="91"/>
      <c r="M10868" s="78"/>
    </row>
    <row r="10869">
      <c r="C10869" s="85"/>
      <c r="D10869" s="25"/>
      <c r="E10869" s="77"/>
      <c r="F10869" s="88"/>
      <c r="G10869" s="88"/>
      <c r="H10869" s="89"/>
      <c r="K10869" s="58"/>
      <c r="L10869" s="91"/>
      <c r="M10869" s="78"/>
    </row>
    <row r="10870">
      <c r="C10870" s="85"/>
      <c r="D10870" s="25"/>
      <c r="E10870" s="77"/>
      <c r="F10870" s="88"/>
      <c r="G10870" s="88"/>
      <c r="H10870" s="89"/>
      <c r="K10870" s="58"/>
      <c r="L10870" s="91"/>
      <c r="M10870" s="78"/>
    </row>
    <row r="10871">
      <c r="C10871" s="85"/>
      <c r="D10871" s="25"/>
      <c r="E10871" s="77"/>
      <c r="F10871" s="88"/>
      <c r="G10871" s="88"/>
      <c r="H10871" s="89"/>
      <c r="K10871" s="58"/>
      <c r="L10871" s="91"/>
      <c r="M10871" s="78"/>
    </row>
    <row r="10872">
      <c r="C10872" s="85"/>
      <c r="D10872" s="25"/>
      <c r="E10872" s="77"/>
      <c r="F10872" s="88"/>
      <c r="G10872" s="88"/>
      <c r="H10872" s="89"/>
      <c r="K10872" s="58"/>
      <c r="L10872" s="91"/>
      <c r="M10872" s="78"/>
    </row>
    <row r="10873">
      <c r="C10873" s="85"/>
      <c r="D10873" s="25"/>
      <c r="E10873" s="77"/>
      <c r="F10873" s="88"/>
      <c r="G10873" s="88"/>
      <c r="H10873" s="89"/>
      <c r="K10873" s="58"/>
      <c r="L10873" s="91"/>
      <c r="M10873" s="78"/>
    </row>
    <row r="10874">
      <c r="C10874" s="85"/>
      <c r="D10874" s="25"/>
      <c r="E10874" s="77"/>
      <c r="F10874" s="88"/>
      <c r="G10874" s="88"/>
      <c r="H10874" s="89"/>
      <c r="K10874" s="58"/>
      <c r="L10874" s="91"/>
      <c r="M10874" s="78"/>
    </row>
    <row r="10875">
      <c r="C10875" s="85"/>
      <c r="D10875" s="25"/>
      <c r="E10875" s="77"/>
      <c r="F10875" s="88"/>
      <c r="G10875" s="88"/>
      <c r="H10875" s="89"/>
      <c r="K10875" s="58"/>
      <c r="L10875" s="91"/>
      <c r="M10875" s="78"/>
    </row>
    <row r="10876">
      <c r="C10876" s="85"/>
      <c r="D10876" s="25"/>
      <c r="E10876" s="77"/>
      <c r="F10876" s="88"/>
      <c r="G10876" s="88"/>
      <c r="H10876" s="89"/>
      <c r="K10876" s="58"/>
      <c r="L10876" s="91"/>
      <c r="M10876" s="78"/>
    </row>
    <row r="10877">
      <c r="C10877" s="85"/>
      <c r="D10877" s="25"/>
      <c r="E10877" s="77"/>
      <c r="F10877" s="88"/>
      <c r="G10877" s="88"/>
      <c r="H10877" s="89"/>
      <c r="K10877" s="58"/>
      <c r="L10877" s="91"/>
      <c r="M10877" s="78"/>
    </row>
    <row r="10878">
      <c r="C10878" s="85"/>
      <c r="D10878" s="25"/>
      <c r="E10878" s="77"/>
      <c r="F10878" s="88"/>
      <c r="G10878" s="88"/>
      <c r="H10878" s="89"/>
      <c r="K10878" s="58"/>
      <c r="L10878" s="91"/>
      <c r="M10878" s="78"/>
    </row>
    <row r="10879">
      <c r="C10879" s="85"/>
      <c r="D10879" s="25"/>
      <c r="E10879" s="77"/>
      <c r="F10879" s="88"/>
      <c r="G10879" s="88"/>
      <c r="H10879" s="89"/>
      <c r="K10879" s="58"/>
      <c r="L10879" s="91"/>
      <c r="M10879" s="78"/>
    </row>
    <row r="10880">
      <c r="C10880" s="85"/>
      <c r="D10880" s="25"/>
      <c r="E10880" s="77"/>
      <c r="F10880" s="88"/>
      <c r="G10880" s="88"/>
      <c r="H10880" s="89"/>
      <c r="K10880" s="58"/>
      <c r="L10880" s="91"/>
      <c r="M10880" s="78"/>
    </row>
    <row r="10881">
      <c r="C10881" s="85"/>
      <c r="D10881" s="25"/>
      <c r="E10881" s="77"/>
      <c r="F10881" s="88"/>
      <c r="G10881" s="88"/>
      <c r="H10881" s="89"/>
      <c r="K10881" s="58"/>
      <c r="L10881" s="91"/>
      <c r="M10881" s="78"/>
    </row>
    <row r="10882">
      <c r="C10882" s="85"/>
      <c r="D10882" s="25"/>
      <c r="E10882" s="77"/>
      <c r="F10882" s="88"/>
      <c r="G10882" s="88"/>
      <c r="H10882" s="89"/>
      <c r="K10882" s="58"/>
      <c r="L10882" s="91"/>
      <c r="M10882" s="78"/>
    </row>
    <row r="10883">
      <c r="C10883" s="85"/>
      <c r="D10883" s="25"/>
      <c r="E10883" s="77"/>
      <c r="F10883" s="88"/>
      <c r="G10883" s="88"/>
      <c r="H10883" s="89"/>
      <c r="K10883" s="58"/>
      <c r="L10883" s="91"/>
      <c r="M10883" s="78"/>
    </row>
    <row r="10884">
      <c r="C10884" s="85"/>
      <c r="D10884" s="25"/>
      <c r="E10884" s="77"/>
      <c r="F10884" s="88"/>
      <c r="G10884" s="88"/>
      <c r="H10884" s="89"/>
      <c r="K10884" s="58"/>
      <c r="L10884" s="91"/>
      <c r="M10884" s="78"/>
    </row>
    <row r="10885">
      <c r="C10885" s="85"/>
      <c r="D10885" s="25"/>
      <c r="E10885" s="77"/>
      <c r="F10885" s="88"/>
      <c r="G10885" s="88"/>
      <c r="H10885" s="89"/>
      <c r="K10885" s="58"/>
      <c r="L10885" s="91"/>
      <c r="M10885" s="78"/>
    </row>
    <row r="10886">
      <c r="C10886" s="85"/>
      <c r="D10886" s="25"/>
      <c r="E10886" s="77"/>
      <c r="F10886" s="88"/>
      <c r="G10886" s="88"/>
      <c r="H10886" s="89"/>
      <c r="K10886" s="58"/>
      <c r="L10886" s="91"/>
      <c r="M10886" s="78"/>
    </row>
    <row r="10887">
      <c r="C10887" s="85"/>
      <c r="D10887" s="25"/>
      <c r="E10887" s="77"/>
      <c r="F10887" s="88"/>
      <c r="G10887" s="88"/>
      <c r="H10887" s="89"/>
      <c r="K10887" s="58"/>
      <c r="L10887" s="91"/>
      <c r="M10887" s="78"/>
    </row>
    <row r="10888">
      <c r="C10888" s="85"/>
      <c r="D10888" s="25"/>
      <c r="E10888" s="77"/>
      <c r="F10888" s="88"/>
      <c r="G10888" s="88"/>
      <c r="H10888" s="89"/>
      <c r="K10888" s="58"/>
      <c r="L10888" s="91"/>
      <c r="M10888" s="78"/>
    </row>
    <row r="10889">
      <c r="C10889" s="85"/>
      <c r="D10889" s="25"/>
      <c r="E10889" s="77"/>
      <c r="F10889" s="88"/>
      <c r="G10889" s="88"/>
      <c r="H10889" s="89"/>
      <c r="K10889" s="58"/>
      <c r="L10889" s="91"/>
      <c r="M10889" s="78"/>
    </row>
    <row r="10890">
      <c r="C10890" s="85"/>
      <c r="D10890" s="25"/>
      <c r="E10890" s="77"/>
      <c r="F10890" s="88"/>
      <c r="G10890" s="88"/>
      <c r="H10890" s="89"/>
      <c r="K10890" s="58"/>
      <c r="L10890" s="91"/>
      <c r="M10890" s="78"/>
    </row>
    <row r="10891">
      <c r="C10891" s="85"/>
      <c r="D10891" s="25"/>
      <c r="E10891" s="77"/>
      <c r="F10891" s="88"/>
      <c r="G10891" s="88"/>
      <c r="H10891" s="89"/>
      <c r="K10891" s="58"/>
      <c r="L10891" s="91"/>
      <c r="M10891" s="78"/>
    </row>
    <row r="10892">
      <c r="C10892" s="85"/>
      <c r="D10892" s="25"/>
      <c r="E10892" s="77"/>
      <c r="F10892" s="88"/>
      <c r="G10892" s="88"/>
      <c r="H10892" s="89"/>
      <c r="K10892" s="58"/>
      <c r="L10892" s="91"/>
      <c r="M10892" s="78"/>
    </row>
    <row r="10893">
      <c r="C10893" s="85"/>
      <c r="D10893" s="25"/>
      <c r="E10893" s="77"/>
      <c r="F10893" s="88"/>
      <c r="G10893" s="88"/>
      <c r="H10893" s="89"/>
      <c r="K10893" s="58"/>
      <c r="L10893" s="91"/>
      <c r="M10893" s="78"/>
    </row>
    <row r="10894">
      <c r="C10894" s="85"/>
      <c r="D10894" s="25"/>
      <c r="E10894" s="77"/>
      <c r="F10894" s="88"/>
      <c r="G10894" s="88"/>
      <c r="H10894" s="89"/>
      <c r="K10894" s="58"/>
      <c r="L10894" s="91"/>
      <c r="M10894" s="78"/>
    </row>
    <row r="10895">
      <c r="C10895" s="85"/>
      <c r="D10895" s="25"/>
      <c r="E10895" s="77"/>
      <c r="F10895" s="88"/>
      <c r="G10895" s="88"/>
      <c r="H10895" s="89"/>
      <c r="K10895" s="58"/>
      <c r="L10895" s="91"/>
      <c r="M10895" s="78"/>
    </row>
    <row r="10896">
      <c r="C10896" s="85"/>
      <c r="D10896" s="25"/>
      <c r="E10896" s="77"/>
      <c r="F10896" s="88"/>
      <c r="G10896" s="88"/>
      <c r="H10896" s="89"/>
      <c r="K10896" s="58"/>
      <c r="L10896" s="91"/>
      <c r="M10896" s="78"/>
    </row>
    <row r="10897">
      <c r="C10897" s="85"/>
      <c r="D10897" s="25"/>
      <c r="E10897" s="77"/>
      <c r="F10897" s="88"/>
      <c r="G10897" s="88"/>
      <c r="H10897" s="89"/>
      <c r="K10897" s="58"/>
      <c r="L10897" s="91"/>
      <c r="M10897" s="78"/>
    </row>
    <row r="10898">
      <c r="C10898" s="85"/>
      <c r="D10898" s="25"/>
      <c r="E10898" s="77"/>
      <c r="F10898" s="88"/>
      <c r="G10898" s="88"/>
      <c r="H10898" s="89"/>
      <c r="K10898" s="58"/>
      <c r="L10898" s="91"/>
      <c r="M10898" s="78"/>
    </row>
    <row r="10899">
      <c r="C10899" s="85"/>
      <c r="D10899" s="25"/>
      <c r="E10899" s="77"/>
      <c r="F10899" s="88"/>
      <c r="G10899" s="88"/>
      <c r="H10899" s="89"/>
      <c r="K10899" s="58"/>
      <c r="L10899" s="91"/>
      <c r="M10899" s="78"/>
    </row>
    <row r="10900">
      <c r="C10900" s="85"/>
      <c r="D10900" s="25"/>
      <c r="E10900" s="77"/>
      <c r="F10900" s="88"/>
      <c r="G10900" s="88"/>
      <c r="H10900" s="89"/>
      <c r="K10900" s="58"/>
      <c r="L10900" s="91"/>
      <c r="M10900" s="78"/>
    </row>
    <row r="10901">
      <c r="C10901" s="85"/>
      <c r="D10901" s="25"/>
      <c r="E10901" s="77"/>
      <c r="F10901" s="88"/>
      <c r="G10901" s="88"/>
      <c r="H10901" s="89"/>
      <c r="K10901" s="58"/>
      <c r="L10901" s="91"/>
      <c r="M10901" s="78"/>
    </row>
    <row r="10902">
      <c r="C10902" s="85"/>
      <c r="D10902" s="25"/>
      <c r="E10902" s="77"/>
      <c r="F10902" s="88"/>
      <c r="G10902" s="88"/>
      <c r="H10902" s="89"/>
      <c r="K10902" s="58"/>
      <c r="L10902" s="91"/>
      <c r="M10902" s="78"/>
    </row>
    <row r="10903">
      <c r="C10903" s="85"/>
      <c r="D10903" s="25"/>
      <c r="E10903" s="77"/>
      <c r="F10903" s="88"/>
      <c r="G10903" s="88"/>
      <c r="H10903" s="89"/>
      <c r="K10903" s="58"/>
      <c r="L10903" s="91"/>
      <c r="M10903" s="78"/>
    </row>
    <row r="10904">
      <c r="C10904" s="85"/>
      <c r="D10904" s="25"/>
      <c r="E10904" s="77"/>
      <c r="F10904" s="88"/>
      <c r="G10904" s="88"/>
      <c r="H10904" s="89"/>
      <c r="K10904" s="58"/>
      <c r="L10904" s="91"/>
      <c r="M10904" s="78"/>
    </row>
    <row r="10905">
      <c r="C10905" s="85"/>
      <c r="D10905" s="25"/>
      <c r="E10905" s="77"/>
      <c r="F10905" s="88"/>
      <c r="G10905" s="88"/>
      <c r="H10905" s="89"/>
      <c r="K10905" s="58"/>
      <c r="L10905" s="91"/>
      <c r="M10905" s="78"/>
    </row>
    <row r="10906">
      <c r="C10906" s="85"/>
      <c r="D10906" s="25"/>
      <c r="E10906" s="77"/>
      <c r="F10906" s="88"/>
      <c r="G10906" s="88"/>
      <c r="H10906" s="89"/>
      <c r="K10906" s="58"/>
      <c r="L10906" s="91"/>
      <c r="M10906" s="78"/>
    </row>
    <row r="10907">
      <c r="C10907" s="85"/>
      <c r="D10907" s="25"/>
      <c r="E10907" s="77"/>
      <c r="F10907" s="88"/>
      <c r="G10907" s="88"/>
      <c r="H10907" s="89"/>
      <c r="K10907" s="58"/>
      <c r="L10907" s="91"/>
      <c r="M10907" s="78"/>
    </row>
    <row r="10908">
      <c r="C10908" s="85"/>
      <c r="D10908" s="25"/>
      <c r="E10908" s="77"/>
      <c r="F10908" s="88"/>
      <c r="G10908" s="88"/>
      <c r="H10908" s="89"/>
      <c r="K10908" s="58"/>
      <c r="L10908" s="91"/>
      <c r="M10908" s="78"/>
    </row>
    <row r="10909">
      <c r="C10909" s="85"/>
      <c r="D10909" s="25"/>
      <c r="E10909" s="77"/>
      <c r="F10909" s="88"/>
      <c r="G10909" s="88"/>
      <c r="H10909" s="89"/>
      <c r="K10909" s="58"/>
      <c r="L10909" s="91"/>
      <c r="M10909" s="78"/>
    </row>
    <row r="10910">
      <c r="C10910" s="85"/>
      <c r="D10910" s="25"/>
      <c r="E10910" s="77"/>
      <c r="F10910" s="88"/>
      <c r="G10910" s="88"/>
      <c r="H10910" s="89"/>
      <c r="K10910" s="58"/>
      <c r="L10910" s="91"/>
      <c r="M10910" s="78"/>
    </row>
    <row r="10911">
      <c r="C10911" s="85"/>
      <c r="D10911" s="25"/>
      <c r="E10911" s="77"/>
      <c r="F10911" s="88"/>
      <c r="G10911" s="88"/>
      <c r="H10911" s="89"/>
      <c r="K10911" s="58"/>
      <c r="L10911" s="91"/>
      <c r="M10911" s="78"/>
    </row>
    <row r="10912">
      <c r="C10912" s="85"/>
      <c r="D10912" s="25"/>
      <c r="E10912" s="77"/>
      <c r="F10912" s="88"/>
      <c r="G10912" s="88"/>
      <c r="H10912" s="89"/>
      <c r="K10912" s="58"/>
      <c r="L10912" s="91"/>
      <c r="M10912" s="78"/>
    </row>
    <row r="10913">
      <c r="C10913" s="85"/>
      <c r="D10913" s="25"/>
      <c r="E10913" s="77"/>
      <c r="F10913" s="88"/>
      <c r="G10913" s="88"/>
      <c r="H10913" s="89"/>
      <c r="K10913" s="58"/>
      <c r="L10913" s="91"/>
      <c r="M10913" s="78"/>
    </row>
    <row r="10914">
      <c r="C10914" s="85"/>
      <c r="D10914" s="25"/>
      <c r="E10914" s="77"/>
      <c r="F10914" s="88"/>
      <c r="G10914" s="88"/>
      <c r="H10914" s="89"/>
      <c r="K10914" s="58"/>
      <c r="L10914" s="91"/>
      <c r="M10914" s="78"/>
    </row>
    <row r="10915">
      <c r="C10915" s="85"/>
      <c r="D10915" s="25"/>
      <c r="E10915" s="77"/>
      <c r="F10915" s="88"/>
      <c r="G10915" s="88"/>
      <c r="H10915" s="89"/>
      <c r="K10915" s="58"/>
      <c r="L10915" s="91"/>
      <c r="M10915" s="78"/>
    </row>
    <row r="10916">
      <c r="C10916" s="85"/>
      <c r="D10916" s="25"/>
      <c r="E10916" s="77"/>
      <c r="F10916" s="88"/>
      <c r="G10916" s="88"/>
      <c r="H10916" s="89"/>
      <c r="K10916" s="58"/>
      <c r="L10916" s="91"/>
      <c r="M10916" s="78"/>
    </row>
    <row r="10917">
      <c r="C10917" s="85"/>
      <c r="D10917" s="25"/>
      <c r="E10917" s="77"/>
      <c r="F10917" s="88"/>
      <c r="G10917" s="88"/>
      <c r="H10917" s="89"/>
      <c r="K10917" s="58"/>
      <c r="L10917" s="91"/>
      <c r="M10917" s="78"/>
    </row>
    <row r="10918">
      <c r="C10918" s="85"/>
      <c r="D10918" s="25"/>
      <c r="E10918" s="77"/>
      <c r="F10918" s="88"/>
      <c r="G10918" s="88"/>
      <c r="H10918" s="89"/>
      <c r="K10918" s="58"/>
      <c r="L10918" s="91"/>
      <c r="M10918" s="78"/>
    </row>
    <row r="10919">
      <c r="C10919" s="85"/>
      <c r="D10919" s="25"/>
      <c r="E10919" s="77"/>
      <c r="F10919" s="88"/>
      <c r="G10919" s="88"/>
      <c r="H10919" s="89"/>
      <c r="K10919" s="58"/>
      <c r="L10919" s="91"/>
      <c r="M10919" s="78"/>
    </row>
    <row r="10920">
      <c r="C10920" s="85"/>
      <c r="D10920" s="25"/>
      <c r="E10920" s="77"/>
      <c r="F10920" s="88"/>
      <c r="G10920" s="88"/>
      <c r="H10920" s="89"/>
      <c r="K10920" s="58"/>
      <c r="L10920" s="91"/>
      <c r="M10920" s="78"/>
    </row>
    <row r="10921">
      <c r="C10921" s="85"/>
      <c r="D10921" s="25"/>
      <c r="E10921" s="77"/>
      <c r="F10921" s="88"/>
      <c r="G10921" s="88"/>
      <c r="H10921" s="89"/>
      <c r="K10921" s="58"/>
      <c r="L10921" s="91"/>
      <c r="M10921" s="78"/>
    </row>
    <row r="10922">
      <c r="C10922" s="85"/>
      <c r="D10922" s="25"/>
      <c r="E10922" s="77"/>
      <c r="F10922" s="88"/>
      <c r="G10922" s="88"/>
      <c r="H10922" s="89"/>
      <c r="K10922" s="58"/>
      <c r="L10922" s="91"/>
      <c r="M10922" s="78"/>
    </row>
    <row r="10923">
      <c r="C10923" s="85"/>
      <c r="D10923" s="25"/>
      <c r="E10923" s="77"/>
      <c r="F10923" s="88"/>
      <c r="G10923" s="88"/>
      <c r="H10923" s="89"/>
      <c r="K10923" s="58"/>
      <c r="L10923" s="91"/>
      <c r="M10923" s="78"/>
    </row>
    <row r="10924">
      <c r="C10924" s="85"/>
      <c r="D10924" s="25"/>
      <c r="E10924" s="77"/>
      <c r="F10924" s="88"/>
      <c r="G10924" s="88"/>
      <c r="H10924" s="89"/>
      <c r="K10924" s="58"/>
      <c r="L10924" s="91"/>
      <c r="M10924" s="78"/>
    </row>
    <row r="10925">
      <c r="C10925" s="85"/>
      <c r="D10925" s="25"/>
      <c r="E10925" s="77"/>
      <c r="F10925" s="88"/>
      <c r="G10925" s="88"/>
      <c r="H10925" s="89"/>
      <c r="K10925" s="58"/>
      <c r="L10925" s="91"/>
      <c r="M10925" s="78"/>
    </row>
    <row r="10926">
      <c r="C10926" s="85"/>
      <c r="D10926" s="25"/>
      <c r="E10926" s="77"/>
      <c r="F10926" s="88"/>
      <c r="G10926" s="88"/>
      <c r="H10926" s="89"/>
      <c r="K10926" s="58"/>
      <c r="L10926" s="91"/>
      <c r="M10926" s="78"/>
    </row>
    <row r="10927">
      <c r="C10927" s="85"/>
      <c r="D10927" s="25"/>
      <c r="E10927" s="77"/>
      <c r="F10927" s="88"/>
      <c r="G10927" s="88"/>
      <c r="H10927" s="89"/>
      <c r="K10927" s="58"/>
      <c r="L10927" s="91"/>
      <c r="M10927" s="78"/>
    </row>
    <row r="10928">
      <c r="C10928" s="85"/>
      <c r="D10928" s="25"/>
      <c r="E10928" s="77"/>
      <c r="F10928" s="88"/>
      <c r="G10928" s="88"/>
      <c r="H10928" s="89"/>
      <c r="K10928" s="58"/>
      <c r="L10928" s="91"/>
      <c r="M10928" s="78"/>
    </row>
    <row r="10929">
      <c r="C10929" s="85"/>
      <c r="D10929" s="25"/>
      <c r="E10929" s="77"/>
      <c r="F10929" s="88"/>
      <c r="G10929" s="88"/>
      <c r="H10929" s="89"/>
      <c r="K10929" s="58"/>
      <c r="L10929" s="91"/>
      <c r="M10929" s="78"/>
    </row>
    <row r="10930">
      <c r="C10930" s="85"/>
      <c r="D10930" s="25"/>
      <c r="E10930" s="77"/>
      <c r="F10930" s="88"/>
      <c r="G10930" s="88"/>
      <c r="H10930" s="89"/>
      <c r="K10930" s="58"/>
      <c r="L10930" s="91"/>
      <c r="M10930" s="78"/>
    </row>
    <row r="10931">
      <c r="C10931" s="85"/>
      <c r="D10931" s="25"/>
      <c r="E10931" s="77"/>
      <c r="F10931" s="88"/>
      <c r="G10931" s="88"/>
      <c r="H10931" s="89"/>
      <c r="K10931" s="58"/>
      <c r="L10931" s="91"/>
      <c r="M10931" s="78"/>
    </row>
    <row r="10932">
      <c r="C10932" s="85"/>
      <c r="D10932" s="25"/>
      <c r="E10932" s="77"/>
      <c r="F10932" s="88"/>
      <c r="G10932" s="88"/>
      <c r="H10932" s="89"/>
      <c r="K10932" s="58"/>
      <c r="L10932" s="91"/>
      <c r="M10932" s="78"/>
    </row>
    <row r="10933">
      <c r="C10933" s="85"/>
      <c r="D10933" s="25"/>
      <c r="E10933" s="77"/>
      <c r="F10933" s="88"/>
      <c r="G10933" s="88"/>
      <c r="H10933" s="89"/>
      <c r="K10933" s="58"/>
      <c r="L10933" s="91"/>
      <c r="M10933" s="78"/>
    </row>
    <row r="10934">
      <c r="C10934" s="85"/>
      <c r="D10934" s="25"/>
      <c r="E10934" s="77"/>
      <c r="F10934" s="88"/>
      <c r="G10934" s="88"/>
      <c r="H10934" s="89"/>
      <c r="K10934" s="58"/>
      <c r="L10934" s="91"/>
      <c r="M10934" s="78"/>
    </row>
    <row r="10935">
      <c r="C10935" s="85"/>
      <c r="D10935" s="25"/>
      <c r="E10935" s="77"/>
      <c r="F10935" s="88"/>
      <c r="G10935" s="88"/>
      <c r="H10935" s="89"/>
      <c r="K10935" s="58"/>
      <c r="L10935" s="91"/>
      <c r="M10935" s="78"/>
    </row>
    <row r="10936">
      <c r="C10936" s="85"/>
      <c r="D10936" s="25"/>
      <c r="E10936" s="77"/>
      <c r="F10936" s="88"/>
      <c r="G10936" s="88"/>
      <c r="H10936" s="89"/>
      <c r="K10936" s="58"/>
      <c r="L10936" s="91"/>
      <c r="M10936" s="78"/>
    </row>
    <row r="10937">
      <c r="C10937" s="85"/>
      <c r="D10937" s="25"/>
      <c r="E10937" s="77"/>
      <c r="F10937" s="88"/>
      <c r="G10937" s="88"/>
      <c r="H10937" s="89"/>
      <c r="K10937" s="58"/>
      <c r="L10937" s="91"/>
      <c r="M10937" s="78"/>
    </row>
    <row r="10938">
      <c r="C10938" s="85"/>
      <c r="D10938" s="25"/>
      <c r="E10938" s="77"/>
      <c r="F10938" s="88"/>
      <c r="G10938" s="88"/>
      <c r="H10938" s="89"/>
      <c r="K10938" s="58"/>
      <c r="L10938" s="91"/>
      <c r="M10938" s="78"/>
    </row>
    <row r="10939">
      <c r="C10939" s="85"/>
      <c r="D10939" s="25"/>
      <c r="E10939" s="77"/>
      <c r="F10939" s="88"/>
      <c r="G10939" s="88"/>
      <c r="H10939" s="89"/>
      <c r="K10939" s="58"/>
      <c r="L10939" s="91"/>
      <c r="M10939" s="78"/>
    </row>
    <row r="10940">
      <c r="C10940" s="85"/>
      <c r="D10940" s="25"/>
      <c r="E10940" s="77"/>
      <c r="F10940" s="88"/>
      <c r="G10940" s="88"/>
      <c r="H10940" s="89"/>
      <c r="K10940" s="58"/>
      <c r="L10940" s="91"/>
      <c r="M10940" s="78"/>
    </row>
    <row r="10941">
      <c r="C10941" s="85"/>
      <c r="D10941" s="25"/>
      <c r="E10941" s="77"/>
      <c r="F10941" s="88"/>
      <c r="G10941" s="88"/>
      <c r="H10941" s="89"/>
      <c r="K10941" s="58"/>
      <c r="L10941" s="91"/>
      <c r="M10941" s="78"/>
    </row>
    <row r="10942">
      <c r="C10942" s="85"/>
      <c r="D10942" s="25"/>
      <c r="E10942" s="77"/>
      <c r="F10942" s="88"/>
      <c r="G10942" s="88"/>
      <c r="H10942" s="89"/>
      <c r="K10942" s="58"/>
      <c r="L10942" s="91"/>
      <c r="M10942" s="78"/>
    </row>
    <row r="10943">
      <c r="C10943" s="85"/>
      <c r="D10943" s="25"/>
      <c r="E10943" s="77"/>
      <c r="F10943" s="88"/>
      <c r="G10943" s="88"/>
      <c r="H10943" s="89"/>
      <c r="K10943" s="58"/>
      <c r="L10943" s="91"/>
      <c r="M10943" s="78"/>
    </row>
    <row r="10944">
      <c r="C10944" s="85"/>
      <c r="D10944" s="25"/>
      <c r="E10944" s="77"/>
      <c r="F10944" s="88"/>
      <c r="G10944" s="88"/>
      <c r="H10944" s="89"/>
      <c r="K10944" s="58"/>
      <c r="L10944" s="91"/>
      <c r="M10944" s="78"/>
    </row>
    <row r="10945">
      <c r="C10945" s="85"/>
      <c r="D10945" s="25"/>
      <c r="E10945" s="77"/>
      <c r="F10945" s="88"/>
      <c r="G10945" s="88"/>
      <c r="H10945" s="89"/>
      <c r="K10945" s="58"/>
      <c r="L10945" s="91"/>
      <c r="M10945" s="78"/>
    </row>
    <row r="10946">
      <c r="C10946" s="85"/>
      <c r="D10946" s="25"/>
      <c r="E10946" s="77"/>
      <c r="F10946" s="88"/>
      <c r="G10946" s="88"/>
      <c r="H10946" s="89"/>
      <c r="K10946" s="58"/>
      <c r="L10946" s="91"/>
      <c r="M10946" s="78"/>
    </row>
    <row r="10947">
      <c r="C10947" s="85"/>
      <c r="D10947" s="25"/>
      <c r="E10947" s="77"/>
      <c r="F10947" s="88"/>
      <c r="G10947" s="88"/>
      <c r="H10947" s="89"/>
      <c r="K10947" s="58"/>
      <c r="L10947" s="91"/>
      <c r="M10947" s="78"/>
    </row>
    <row r="10948">
      <c r="C10948" s="85"/>
      <c r="D10948" s="25"/>
      <c r="E10948" s="77"/>
      <c r="F10948" s="88"/>
      <c r="G10948" s="88"/>
      <c r="H10948" s="89"/>
      <c r="K10948" s="58"/>
      <c r="L10948" s="91"/>
      <c r="M10948" s="78"/>
    </row>
    <row r="10949">
      <c r="C10949" s="85"/>
      <c r="D10949" s="25"/>
      <c r="E10949" s="77"/>
      <c r="F10949" s="88"/>
      <c r="G10949" s="88"/>
      <c r="H10949" s="89"/>
      <c r="K10949" s="58"/>
      <c r="L10949" s="91"/>
      <c r="M10949" s="78"/>
    </row>
    <row r="10950">
      <c r="C10950" s="85"/>
      <c r="D10950" s="25"/>
      <c r="E10950" s="77"/>
      <c r="F10950" s="88"/>
      <c r="G10950" s="88"/>
      <c r="H10950" s="89"/>
      <c r="K10950" s="58"/>
      <c r="L10950" s="91"/>
      <c r="M10950" s="78"/>
    </row>
    <row r="10951">
      <c r="C10951" s="85"/>
      <c r="D10951" s="25"/>
      <c r="E10951" s="77"/>
      <c r="F10951" s="88"/>
      <c r="G10951" s="88"/>
      <c r="H10951" s="89"/>
      <c r="K10951" s="58"/>
      <c r="L10951" s="91"/>
      <c r="M10951" s="78"/>
    </row>
    <row r="10952">
      <c r="C10952" s="85"/>
      <c r="D10952" s="25"/>
      <c r="E10952" s="77"/>
      <c r="F10952" s="88"/>
      <c r="G10952" s="88"/>
      <c r="H10952" s="89"/>
      <c r="K10952" s="58"/>
      <c r="L10952" s="91"/>
      <c r="M10952" s="78"/>
    </row>
    <row r="10953">
      <c r="C10953" s="85"/>
      <c r="D10953" s="25"/>
      <c r="E10953" s="77"/>
      <c r="F10953" s="88"/>
      <c r="G10953" s="88"/>
      <c r="H10953" s="89"/>
      <c r="K10953" s="58"/>
      <c r="L10953" s="91"/>
      <c r="M10953" s="78"/>
    </row>
    <row r="10954">
      <c r="C10954" s="85"/>
      <c r="D10954" s="25"/>
      <c r="E10954" s="77"/>
      <c r="F10954" s="88"/>
      <c r="G10954" s="88"/>
      <c r="H10954" s="89"/>
      <c r="K10954" s="58"/>
      <c r="L10954" s="91"/>
      <c r="M10954" s="78"/>
    </row>
    <row r="10955">
      <c r="C10955" s="85"/>
      <c r="D10955" s="25"/>
      <c r="E10955" s="77"/>
      <c r="F10955" s="88"/>
      <c r="G10955" s="88"/>
      <c r="H10955" s="89"/>
      <c r="K10955" s="58"/>
      <c r="L10955" s="91"/>
      <c r="M10955" s="78"/>
    </row>
    <row r="10956">
      <c r="C10956" s="85"/>
      <c r="D10956" s="25"/>
      <c r="E10956" s="77"/>
      <c r="F10956" s="88"/>
      <c r="G10956" s="88"/>
      <c r="H10956" s="89"/>
      <c r="K10956" s="58"/>
      <c r="L10956" s="91"/>
      <c r="M10956" s="78"/>
    </row>
    <row r="10957">
      <c r="C10957" s="85"/>
      <c r="D10957" s="25"/>
      <c r="E10957" s="77"/>
      <c r="F10957" s="88"/>
      <c r="G10957" s="88"/>
      <c r="H10957" s="89"/>
      <c r="K10957" s="58"/>
      <c r="L10957" s="91"/>
      <c r="M10957" s="78"/>
    </row>
    <row r="10958">
      <c r="C10958" s="85"/>
      <c r="D10958" s="25"/>
      <c r="E10958" s="77"/>
      <c r="F10958" s="88"/>
      <c r="G10958" s="88"/>
      <c r="H10958" s="89"/>
      <c r="K10958" s="58"/>
      <c r="L10958" s="91"/>
      <c r="M10958" s="78"/>
    </row>
    <row r="10959">
      <c r="C10959" s="85"/>
      <c r="D10959" s="25"/>
      <c r="E10959" s="77"/>
      <c r="F10959" s="88"/>
      <c r="G10959" s="88"/>
      <c r="H10959" s="89"/>
      <c r="K10959" s="58"/>
      <c r="L10959" s="91"/>
      <c r="M10959" s="78"/>
    </row>
    <row r="10960">
      <c r="C10960" s="85"/>
      <c r="D10960" s="25"/>
      <c r="E10960" s="77"/>
      <c r="F10960" s="88"/>
      <c r="G10960" s="88"/>
      <c r="H10960" s="89"/>
      <c r="K10960" s="58"/>
      <c r="L10960" s="91"/>
      <c r="M10960" s="78"/>
    </row>
    <row r="10961">
      <c r="C10961" s="85"/>
      <c r="D10961" s="25"/>
      <c r="E10961" s="77"/>
      <c r="F10961" s="88"/>
      <c r="G10961" s="88"/>
      <c r="H10961" s="89"/>
      <c r="K10961" s="58"/>
      <c r="L10961" s="91"/>
      <c r="M10961" s="78"/>
    </row>
    <row r="10962">
      <c r="C10962" s="85"/>
      <c r="D10962" s="25"/>
      <c r="E10962" s="77"/>
      <c r="F10962" s="88"/>
      <c r="G10962" s="88"/>
      <c r="H10962" s="89"/>
      <c r="K10962" s="58"/>
      <c r="L10962" s="91"/>
      <c r="M10962" s="78"/>
    </row>
    <row r="10963">
      <c r="C10963" s="85"/>
      <c r="D10963" s="25"/>
      <c r="E10963" s="77"/>
      <c r="F10963" s="88"/>
      <c r="G10963" s="88"/>
      <c r="H10963" s="89"/>
      <c r="K10963" s="58"/>
      <c r="L10963" s="91"/>
      <c r="M10963" s="78"/>
    </row>
    <row r="10964">
      <c r="C10964" s="85"/>
      <c r="D10964" s="25"/>
      <c r="E10964" s="77"/>
      <c r="F10964" s="88"/>
      <c r="G10964" s="88"/>
      <c r="H10964" s="89"/>
      <c r="K10964" s="58"/>
      <c r="L10964" s="91"/>
      <c r="M10964" s="78"/>
    </row>
    <row r="10965">
      <c r="C10965" s="85"/>
      <c r="D10965" s="25"/>
      <c r="E10965" s="77"/>
      <c r="F10965" s="88"/>
      <c r="G10965" s="88"/>
      <c r="H10965" s="89"/>
      <c r="K10965" s="58"/>
      <c r="L10965" s="91"/>
      <c r="M10965" s="78"/>
    </row>
    <row r="10966">
      <c r="C10966" s="85"/>
      <c r="D10966" s="25"/>
      <c r="E10966" s="77"/>
      <c r="F10966" s="88"/>
      <c r="G10966" s="88"/>
      <c r="H10966" s="89"/>
      <c r="K10966" s="58"/>
      <c r="L10966" s="91"/>
      <c r="M10966" s="78"/>
    </row>
    <row r="10967">
      <c r="C10967" s="85"/>
      <c r="D10967" s="25"/>
      <c r="E10967" s="77"/>
      <c r="F10967" s="88"/>
      <c r="G10967" s="88"/>
      <c r="H10967" s="89"/>
      <c r="K10967" s="58"/>
      <c r="L10967" s="91"/>
      <c r="M10967" s="78"/>
    </row>
    <row r="10968">
      <c r="C10968" s="85"/>
      <c r="D10968" s="25"/>
      <c r="E10968" s="77"/>
      <c r="F10968" s="88"/>
      <c r="G10968" s="88"/>
      <c r="H10968" s="89"/>
      <c r="K10968" s="58"/>
      <c r="L10968" s="91"/>
      <c r="M10968" s="78"/>
    </row>
    <row r="10969">
      <c r="C10969" s="85"/>
      <c r="D10969" s="25"/>
      <c r="E10969" s="77"/>
      <c r="F10969" s="88"/>
      <c r="G10969" s="88"/>
      <c r="H10969" s="89"/>
      <c r="K10969" s="58"/>
      <c r="L10969" s="91"/>
      <c r="M10969" s="78"/>
    </row>
    <row r="10970">
      <c r="C10970" s="85"/>
      <c r="D10970" s="25"/>
      <c r="E10970" s="77"/>
      <c r="F10970" s="88"/>
      <c r="G10970" s="88"/>
      <c r="H10970" s="89"/>
      <c r="K10970" s="58"/>
      <c r="L10970" s="91"/>
      <c r="M10970" s="78"/>
    </row>
    <row r="10971">
      <c r="C10971" s="85"/>
      <c r="D10971" s="25"/>
      <c r="E10971" s="77"/>
      <c r="F10971" s="88"/>
      <c r="G10971" s="88"/>
      <c r="H10971" s="89"/>
      <c r="K10971" s="58"/>
      <c r="L10971" s="91"/>
      <c r="M10971" s="78"/>
    </row>
    <row r="10972">
      <c r="C10972" s="85"/>
      <c r="D10972" s="25"/>
      <c r="E10972" s="77"/>
      <c r="F10972" s="88"/>
      <c r="G10972" s="88"/>
      <c r="H10972" s="89"/>
      <c r="K10972" s="58"/>
      <c r="L10972" s="91"/>
      <c r="M10972" s="78"/>
    </row>
    <row r="10973">
      <c r="C10973" s="85"/>
      <c r="D10973" s="25"/>
      <c r="E10973" s="77"/>
      <c r="F10973" s="88"/>
      <c r="G10973" s="88"/>
      <c r="H10973" s="89"/>
      <c r="K10973" s="58"/>
      <c r="L10973" s="91"/>
      <c r="M10973" s="78"/>
    </row>
    <row r="10974">
      <c r="C10974" s="85"/>
      <c r="D10974" s="25"/>
      <c r="E10974" s="77"/>
      <c r="F10974" s="88"/>
      <c r="G10974" s="88"/>
      <c r="H10974" s="89"/>
      <c r="K10974" s="58"/>
      <c r="L10974" s="91"/>
      <c r="M10974" s="78"/>
    </row>
    <row r="10975">
      <c r="C10975" s="85"/>
      <c r="D10975" s="25"/>
      <c r="E10975" s="77"/>
      <c r="F10975" s="88"/>
      <c r="G10975" s="88"/>
      <c r="H10975" s="89"/>
      <c r="K10975" s="58"/>
      <c r="L10975" s="91"/>
      <c r="M10975" s="78"/>
    </row>
    <row r="10976">
      <c r="C10976" s="85"/>
      <c r="D10976" s="25"/>
      <c r="E10976" s="77"/>
      <c r="F10976" s="88"/>
      <c r="G10976" s="88"/>
      <c r="H10976" s="89"/>
      <c r="K10976" s="58"/>
      <c r="L10976" s="91"/>
      <c r="M10976" s="78"/>
    </row>
    <row r="10977">
      <c r="C10977" s="85"/>
      <c r="D10977" s="25"/>
      <c r="E10977" s="77"/>
      <c r="F10977" s="88"/>
      <c r="G10977" s="88"/>
      <c r="H10977" s="89"/>
      <c r="K10977" s="58"/>
      <c r="L10977" s="91"/>
      <c r="M10977" s="78"/>
    </row>
    <row r="10978">
      <c r="C10978" s="85"/>
      <c r="D10978" s="25"/>
      <c r="E10978" s="77"/>
      <c r="F10978" s="88"/>
      <c r="G10978" s="88"/>
      <c r="H10978" s="89"/>
      <c r="K10978" s="58"/>
      <c r="L10978" s="91"/>
      <c r="M10978" s="78"/>
    </row>
    <row r="10979">
      <c r="C10979" s="85"/>
      <c r="D10979" s="25"/>
      <c r="E10979" s="77"/>
      <c r="F10979" s="88"/>
      <c r="G10979" s="88"/>
      <c r="H10979" s="89"/>
      <c r="K10979" s="58"/>
      <c r="L10979" s="91"/>
      <c r="M10979" s="78"/>
    </row>
    <row r="10980">
      <c r="C10980" s="85"/>
      <c r="D10980" s="25"/>
      <c r="E10980" s="77"/>
      <c r="F10980" s="88"/>
      <c r="G10980" s="88"/>
      <c r="H10980" s="89"/>
      <c r="K10980" s="58"/>
      <c r="L10980" s="91"/>
      <c r="M10980" s="78"/>
    </row>
    <row r="10981">
      <c r="C10981" s="85"/>
      <c r="D10981" s="25"/>
      <c r="E10981" s="77"/>
      <c r="F10981" s="88"/>
      <c r="G10981" s="88"/>
      <c r="H10981" s="89"/>
      <c r="K10981" s="58"/>
      <c r="L10981" s="91"/>
      <c r="M10981" s="78"/>
    </row>
    <row r="10982">
      <c r="C10982" s="85"/>
      <c r="D10982" s="25"/>
      <c r="E10982" s="77"/>
      <c r="F10982" s="88"/>
      <c r="G10982" s="88"/>
      <c r="H10982" s="89"/>
      <c r="K10982" s="58"/>
      <c r="L10982" s="91"/>
      <c r="M10982" s="78"/>
    </row>
    <row r="10983">
      <c r="C10983" s="85"/>
      <c r="D10983" s="25"/>
      <c r="E10983" s="77"/>
      <c r="F10983" s="88"/>
      <c r="G10983" s="88"/>
      <c r="H10983" s="89"/>
      <c r="K10983" s="58"/>
      <c r="L10983" s="91"/>
      <c r="M10983" s="78"/>
    </row>
    <row r="10984">
      <c r="C10984" s="85"/>
      <c r="D10984" s="25"/>
      <c r="E10984" s="77"/>
      <c r="F10984" s="88"/>
      <c r="G10984" s="88"/>
      <c r="H10984" s="89"/>
      <c r="K10984" s="58"/>
      <c r="L10984" s="91"/>
      <c r="M10984" s="78"/>
    </row>
    <row r="10985">
      <c r="C10985" s="85"/>
      <c r="D10985" s="25"/>
      <c r="E10985" s="77"/>
      <c r="F10985" s="88"/>
      <c r="G10985" s="88"/>
      <c r="H10985" s="89"/>
      <c r="K10985" s="58"/>
      <c r="L10985" s="91"/>
      <c r="M10985" s="78"/>
    </row>
    <row r="10986">
      <c r="C10986" s="85"/>
      <c r="D10986" s="25"/>
      <c r="E10986" s="77"/>
      <c r="F10986" s="88"/>
      <c r="G10986" s="88"/>
      <c r="H10986" s="89"/>
      <c r="K10986" s="58"/>
      <c r="L10986" s="91"/>
      <c r="M10986" s="78"/>
    </row>
    <row r="10987">
      <c r="C10987" s="85"/>
      <c r="D10987" s="25"/>
      <c r="E10987" s="77"/>
      <c r="F10987" s="88"/>
      <c r="G10987" s="88"/>
      <c r="H10987" s="89"/>
      <c r="K10987" s="58"/>
      <c r="L10987" s="91"/>
      <c r="M10987" s="78"/>
    </row>
    <row r="10988">
      <c r="C10988" s="85"/>
      <c r="D10988" s="25"/>
      <c r="E10988" s="77"/>
      <c r="F10988" s="88"/>
      <c r="G10988" s="88"/>
      <c r="H10988" s="89"/>
      <c r="K10988" s="58"/>
      <c r="L10988" s="91"/>
      <c r="M10988" s="78"/>
    </row>
    <row r="10989">
      <c r="C10989" s="85"/>
      <c r="D10989" s="25"/>
      <c r="E10989" s="77"/>
      <c r="F10989" s="88"/>
      <c r="G10989" s="88"/>
      <c r="H10989" s="89"/>
      <c r="K10989" s="58"/>
      <c r="L10989" s="91"/>
      <c r="M10989" s="78"/>
    </row>
    <row r="10990">
      <c r="C10990" s="85"/>
      <c r="D10990" s="25"/>
      <c r="E10990" s="77"/>
      <c r="F10990" s="88"/>
      <c r="G10990" s="88"/>
      <c r="H10990" s="89"/>
      <c r="K10990" s="58"/>
      <c r="L10990" s="91"/>
      <c r="M10990" s="78"/>
    </row>
    <row r="10991">
      <c r="C10991" s="85"/>
      <c r="D10991" s="25"/>
      <c r="E10991" s="77"/>
      <c r="F10991" s="88"/>
      <c r="G10991" s="88"/>
      <c r="H10991" s="89"/>
      <c r="K10991" s="58"/>
      <c r="L10991" s="91"/>
      <c r="M10991" s="78"/>
    </row>
    <row r="10992">
      <c r="C10992" s="85"/>
      <c r="D10992" s="25"/>
      <c r="E10992" s="77"/>
      <c r="F10992" s="88"/>
      <c r="G10992" s="88"/>
      <c r="H10992" s="89"/>
      <c r="K10992" s="58"/>
      <c r="L10992" s="91"/>
      <c r="M10992" s="78"/>
    </row>
    <row r="10993">
      <c r="C10993" s="85"/>
      <c r="D10993" s="25"/>
      <c r="E10993" s="77"/>
      <c r="F10993" s="88"/>
      <c r="G10993" s="88"/>
      <c r="H10993" s="89"/>
      <c r="K10993" s="58"/>
      <c r="L10993" s="91"/>
      <c r="M10993" s="78"/>
    </row>
    <row r="10994">
      <c r="C10994" s="85"/>
      <c r="D10994" s="25"/>
      <c r="E10994" s="77"/>
      <c r="F10994" s="88"/>
      <c r="G10994" s="88"/>
      <c r="H10994" s="89"/>
      <c r="K10994" s="58"/>
      <c r="L10994" s="91"/>
      <c r="M10994" s="78"/>
    </row>
    <row r="10995">
      <c r="C10995" s="85"/>
      <c r="D10995" s="25"/>
      <c r="E10995" s="77"/>
      <c r="F10995" s="88"/>
      <c r="G10995" s="88"/>
      <c r="H10995" s="89"/>
      <c r="K10995" s="58"/>
      <c r="L10995" s="91"/>
      <c r="M10995" s="78"/>
    </row>
    <row r="10996">
      <c r="C10996" s="85"/>
      <c r="D10996" s="25"/>
      <c r="E10996" s="77"/>
      <c r="F10996" s="88"/>
      <c r="G10996" s="88"/>
      <c r="H10996" s="89"/>
      <c r="K10996" s="58"/>
      <c r="L10996" s="91"/>
      <c r="M10996" s="78"/>
    </row>
    <row r="10997">
      <c r="C10997" s="85"/>
      <c r="D10997" s="25"/>
      <c r="E10997" s="77"/>
      <c r="F10997" s="88"/>
      <c r="G10997" s="88"/>
      <c r="H10997" s="89"/>
      <c r="K10997" s="58"/>
      <c r="L10997" s="91"/>
      <c r="M10997" s="78"/>
    </row>
    <row r="10998">
      <c r="C10998" s="85"/>
      <c r="D10998" s="25"/>
      <c r="E10998" s="77"/>
      <c r="F10998" s="88"/>
      <c r="G10998" s="88"/>
      <c r="H10998" s="89"/>
      <c r="K10998" s="58"/>
      <c r="L10998" s="91"/>
      <c r="M10998" s="78"/>
    </row>
    <row r="10999">
      <c r="C10999" s="85"/>
      <c r="D10999" s="25"/>
      <c r="E10999" s="77"/>
      <c r="F10999" s="88"/>
      <c r="G10999" s="88"/>
      <c r="H10999" s="89"/>
      <c r="K10999" s="58"/>
      <c r="L10999" s="91"/>
      <c r="M10999" s="78"/>
    </row>
    <row r="11000">
      <c r="C11000" s="85"/>
      <c r="D11000" s="25"/>
      <c r="E11000" s="77"/>
      <c r="F11000" s="88"/>
      <c r="G11000" s="88"/>
      <c r="H11000" s="89"/>
      <c r="K11000" s="58"/>
      <c r="L11000" s="91"/>
      <c r="M11000" s="78"/>
    </row>
    <row r="11001">
      <c r="C11001" s="85"/>
      <c r="D11001" s="25"/>
      <c r="E11001" s="77"/>
      <c r="F11001" s="88"/>
      <c r="G11001" s="88"/>
      <c r="H11001" s="89"/>
      <c r="K11001" s="58"/>
      <c r="L11001" s="91"/>
      <c r="M11001" s="78"/>
    </row>
    <row r="11002">
      <c r="C11002" s="85"/>
      <c r="D11002" s="25"/>
      <c r="E11002" s="77"/>
      <c r="F11002" s="88"/>
      <c r="G11002" s="88"/>
      <c r="H11002" s="89"/>
      <c r="K11002" s="58"/>
      <c r="L11002" s="91"/>
      <c r="M11002" s="78"/>
    </row>
    <row r="11003">
      <c r="C11003" s="85"/>
      <c r="D11003" s="25"/>
      <c r="E11003" s="77"/>
      <c r="F11003" s="88"/>
      <c r="G11003" s="88"/>
      <c r="H11003" s="89"/>
      <c r="K11003" s="58"/>
      <c r="L11003" s="91"/>
      <c r="M11003" s="78"/>
    </row>
    <row r="11004">
      <c r="C11004" s="85"/>
      <c r="D11004" s="25"/>
      <c r="E11004" s="77"/>
      <c r="F11004" s="88"/>
      <c r="G11004" s="88"/>
      <c r="H11004" s="89"/>
      <c r="K11004" s="58"/>
      <c r="L11004" s="91"/>
      <c r="M11004" s="78"/>
    </row>
    <row r="11005">
      <c r="C11005" s="85"/>
      <c r="D11005" s="25"/>
      <c r="E11005" s="77"/>
      <c r="F11005" s="88"/>
      <c r="G11005" s="88"/>
      <c r="H11005" s="89"/>
      <c r="K11005" s="58"/>
      <c r="L11005" s="91"/>
      <c r="M11005" s="78"/>
    </row>
    <row r="11006">
      <c r="C11006" s="85"/>
      <c r="D11006" s="25"/>
      <c r="E11006" s="77"/>
      <c r="F11006" s="88"/>
      <c r="G11006" s="88"/>
      <c r="H11006" s="89"/>
      <c r="K11006" s="58"/>
      <c r="L11006" s="91"/>
      <c r="M11006" s="78"/>
    </row>
    <row r="11007">
      <c r="C11007" s="85"/>
      <c r="D11007" s="25"/>
      <c r="E11007" s="77"/>
      <c r="F11007" s="88"/>
      <c r="G11007" s="88"/>
      <c r="H11007" s="89"/>
      <c r="K11007" s="58"/>
      <c r="L11007" s="91"/>
      <c r="M11007" s="78"/>
    </row>
    <row r="11008">
      <c r="C11008" s="85"/>
      <c r="D11008" s="25"/>
      <c r="E11008" s="77"/>
      <c r="F11008" s="88"/>
      <c r="G11008" s="88"/>
      <c r="H11008" s="89"/>
      <c r="K11008" s="58"/>
      <c r="L11008" s="91"/>
      <c r="M11008" s="78"/>
    </row>
    <row r="11009">
      <c r="C11009" s="85"/>
      <c r="D11009" s="25"/>
      <c r="E11009" s="77"/>
      <c r="F11009" s="88"/>
      <c r="G11009" s="88"/>
      <c r="H11009" s="89"/>
      <c r="K11009" s="58"/>
      <c r="L11009" s="91"/>
      <c r="M11009" s="78"/>
    </row>
    <row r="11010">
      <c r="C11010" s="85"/>
      <c r="D11010" s="25"/>
      <c r="E11010" s="77"/>
      <c r="F11010" s="88"/>
      <c r="G11010" s="88"/>
      <c r="H11010" s="89"/>
      <c r="K11010" s="58"/>
      <c r="L11010" s="91"/>
      <c r="M11010" s="78"/>
    </row>
    <row r="11011">
      <c r="C11011" s="85"/>
      <c r="D11011" s="25"/>
      <c r="E11011" s="77"/>
      <c r="F11011" s="88"/>
      <c r="G11011" s="88"/>
      <c r="H11011" s="89"/>
      <c r="K11011" s="58"/>
      <c r="L11011" s="91"/>
      <c r="M11011" s="78"/>
    </row>
    <row r="11012">
      <c r="C11012" s="85"/>
      <c r="D11012" s="25"/>
      <c r="E11012" s="77"/>
      <c r="F11012" s="88"/>
      <c r="G11012" s="88"/>
      <c r="H11012" s="89"/>
      <c r="K11012" s="58"/>
      <c r="L11012" s="91"/>
      <c r="M11012" s="78"/>
    </row>
    <row r="11013">
      <c r="C11013" s="85"/>
      <c r="D11013" s="25"/>
      <c r="E11013" s="77"/>
      <c r="F11013" s="88"/>
      <c r="G11013" s="88"/>
      <c r="H11013" s="89"/>
      <c r="K11013" s="58"/>
      <c r="L11013" s="91"/>
      <c r="M11013" s="78"/>
    </row>
    <row r="11014">
      <c r="C11014" s="85"/>
      <c r="D11014" s="25"/>
      <c r="E11014" s="77"/>
      <c r="F11014" s="88"/>
      <c r="G11014" s="88"/>
      <c r="H11014" s="89"/>
      <c r="K11014" s="58"/>
      <c r="L11014" s="91"/>
      <c r="M11014" s="78"/>
    </row>
    <row r="11015">
      <c r="C11015" s="85"/>
      <c r="D11015" s="25"/>
      <c r="E11015" s="77"/>
      <c r="F11015" s="88"/>
      <c r="G11015" s="88"/>
      <c r="H11015" s="89"/>
      <c r="K11015" s="58"/>
      <c r="L11015" s="91"/>
      <c r="M11015" s="78"/>
    </row>
    <row r="11016">
      <c r="C11016" s="85"/>
      <c r="D11016" s="25"/>
      <c r="E11016" s="77"/>
      <c r="F11016" s="88"/>
      <c r="G11016" s="88"/>
      <c r="H11016" s="89"/>
      <c r="K11016" s="58"/>
      <c r="L11016" s="91"/>
      <c r="M11016" s="78"/>
    </row>
    <row r="11017">
      <c r="C11017" s="85"/>
      <c r="D11017" s="25"/>
      <c r="E11017" s="77"/>
      <c r="F11017" s="88"/>
      <c r="G11017" s="88"/>
      <c r="H11017" s="89"/>
      <c r="K11017" s="58"/>
      <c r="L11017" s="91"/>
      <c r="M11017" s="78"/>
    </row>
    <row r="11018">
      <c r="C11018" s="85"/>
      <c r="D11018" s="25"/>
      <c r="E11018" s="77"/>
      <c r="F11018" s="88"/>
      <c r="G11018" s="88"/>
      <c r="H11018" s="89"/>
      <c r="K11018" s="58"/>
      <c r="L11018" s="91"/>
      <c r="M11018" s="78"/>
    </row>
    <row r="11019">
      <c r="C11019" s="85"/>
      <c r="D11019" s="25"/>
      <c r="E11019" s="77"/>
      <c r="F11019" s="88"/>
      <c r="G11019" s="88"/>
      <c r="H11019" s="89"/>
      <c r="K11019" s="58"/>
      <c r="L11019" s="91"/>
      <c r="M11019" s="78"/>
    </row>
    <row r="11020">
      <c r="C11020" s="85"/>
      <c r="D11020" s="25"/>
      <c r="E11020" s="77"/>
      <c r="F11020" s="88"/>
      <c r="G11020" s="88"/>
      <c r="H11020" s="89"/>
      <c r="K11020" s="58"/>
      <c r="L11020" s="91"/>
      <c r="M11020" s="78"/>
    </row>
    <row r="11021">
      <c r="C11021" s="85"/>
      <c r="D11021" s="25"/>
      <c r="E11021" s="77"/>
      <c r="F11021" s="88"/>
      <c r="G11021" s="88"/>
      <c r="H11021" s="89"/>
      <c r="K11021" s="58"/>
      <c r="L11021" s="91"/>
      <c r="M11021" s="78"/>
    </row>
    <row r="11022">
      <c r="C11022" s="85"/>
      <c r="D11022" s="25"/>
      <c r="E11022" s="77"/>
      <c r="F11022" s="88"/>
      <c r="G11022" s="88"/>
      <c r="H11022" s="89"/>
      <c r="K11022" s="58"/>
      <c r="L11022" s="91"/>
      <c r="M11022" s="78"/>
    </row>
    <row r="11023">
      <c r="C11023" s="85"/>
      <c r="D11023" s="25"/>
      <c r="E11023" s="77"/>
      <c r="F11023" s="88"/>
      <c r="G11023" s="88"/>
      <c r="H11023" s="89"/>
      <c r="K11023" s="58"/>
      <c r="L11023" s="91"/>
      <c r="M11023" s="78"/>
    </row>
    <row r="11024">
      <c r="C11024" s="85"/>
      <c r="D11024" s="25"/>
      <c r="E11024" s="77"/>
      <c r="F11024" s="88"/>
      <c r="G11024" s="88"/>
      <c r="H11024" s="89"/>
      <c r="K11024" s="58"/>
      <c r="L11024" s="91"/>
      <c r="M11024" s="78"/>
    </row>
    <row r="11025">
      <c r="C11025" s="85"/>
      <c r="D11025" s="25"/>
      <c r="E11025" s="77"/>
      <c r="F11025" s="88"/>
      <c r="G11025" s="88"/>
      <c r="H11025" s="89"/>
      <c r="K11025" s="58"/>
      <c r="L11025" s="91"/>
      <c r="M11025" s="78"/>
    </row>
    <row r="11026">
      <c r="C11026" s="85"/>
      <c r="D11026" s="25"/>
      <c r="E11026" s="77"/>
      <c r="F11026" s="88"/>
      <c r="G11026" s="88"/>
      <c r="H11026" s="89"/>
      <c r="K11026" s="58"/>
      <c r="L11026" s="91"/>
      <c r="M11026" s="78"/>
    </row>
    <row r="11027">
      <c r="C11027" s="85"/>
      <c r="D11027" s="25"/>
      <c r="E11027" s="77"/>
      <c r="F11027" s="88"/>
      <c r="G11027" s="88"/>
      <c r="H11027" s="89"/>
      <c r="K11027" s="58"/>
      <c r="L11027" s="91"/>
      <c r="M11027" s="78"/>
    </row>
    <row r="11028">
      <c r="C11028" s="85"/>
      <c r="D11028" s="25"/>
      <c r="E11028" s="77"/>
      <c r="F11028" s="88"/>
      <c r="G11028" s="88"/>
      <c r="H11028" s="89"/>
      <c r="K11028" s="58"/>
      <c r="L11028" s="91"/>
      <c r="M11028" s="78"/>
    </row>
    <row r="11029">
      <c r="C11029" s="85"/>
      <c r="D11029" s="25"/>
      <c r="E11029" s="77"/>
      <c r="F11029" s="88"/>
      <c r="G11029" s="88"/>
      <c r="H11029" s="89"/>
      <c r="K11029" s="58"/>
      <c r="L11029" s="91"/>
      <c r="M11029" s="78"/>
    </row>
    <row r="11030">
      <c r="C11030" s="85"/>
      <c r="D11030" s="25"/>
      <c r="E11030" s="77"/>
      <c r="F11030" s="88"/>
      <c r="G11030" s="88"/>
      <c r="H11030" s="89"/>
      <c r="K11030" s="58"/>
      <c r="L11030" s="91"/>
      <c r="M11030" s="78"/>
    </row>
    <row r="11031">
      <c r="C11031" s="85"/>
      <c r="D11031" s="25"/>
      <c r="E11031" s="77"/>
      <c r="F11031" s="88"/>
      <c r="G11031" s="88"/>
      <c r="H11031" s="89"/>
      <c r="K11031" s="58"/>
      <c r="L11031" s="91"/>
      <c r="M11031" s="78"/>
    </row>
    <row r="11032">
      <c r="C11032" s="85"/>
      <c r="D11032" s="25"/>
      <c r="E11032" s="77"/>
      <c r="F11032" s="88"/>
      <c r="G11032" s="88"/>
      <c r="H11032" s="89"/>
      <c r="K11032" s="58"/>
      <c r="L11032" s="91"/>
      <c r="M11032" s="78"/>
    </row>
    <row r="11033">
      <c r="C11033" s="85"/>
      <c r="D11033" s="25"/>
      <c r="E11033" s="77"/>
      <c r="F11033" s="88"/>
      <c r="G11033" s="88"/>
      <c r="H11033" s="89"/>
      <c r="K11033" s="58"/>
      <c r="L11033" s="91"/>
      <c r="M11033" s="78"/>
    </row>
    <row r="11034">
      <c r="C11034" s="85"/>
      <c r="D11034" s="25"/>
      <c r="E11034" s="77"/>
      <c r="F11034" s="88"/>
      <c r="G11034" s="88"/>
      <c r="H11034" s="89"/>
      <c r="K11034" s="58"/>
      <c r="L11034" s="91"/>
      <c r="M11034" s="78"/>
    </row>
    <row r="11035">
      <c r="C11035" s="85"/>
      <c r="D11035" s="25"/>
      <c r="E11035" s="77"/>
      <c r="F11035" s="88"/>
      <c r="G11035" s="88"/>
      <c r="H11035" s="89"/>
      <c r="K11035" s="58"/>
      <c r="L11035" s="91"/>
      <c r="M11035" s="78"/>
    </row>
    <row r="11036">
      <c r="C11036" s="85"/>
      <c r="D11036" s="25"/>
      <c r="E11036" s="77"/>
      <c r="F11036" s="88"/>
      <c r="G11036" s="88"/>
      <c r="H11036" s="89"/>
      <c r="K11036" s="58"/>
      <c r="L11036" s="91"/>
      <c r="M11036" s="78"/>
    </row>
    <row r="11037">
      <c r="C11037" s="85"/>
      <c r="D11037" s="25"/>
      <c r="E11037" s="77"/>
      <c r="F11037" s="88"/>
      <c r="G11037" s="88"/>
      <c r="H11037" s="89"/>
      <c r="K11037" s="58"/>
      <c r="L11037" s="91"/>
      <c r="M11037" s="78"/>
    </row>
    <row r="11038">
      <c r="C11038" s="85"/>
      <c r="D11038" s="25"/>
      <c r="E11038" s="77"/>
      <c r="F11038" s="88"/>
      <c r="G11038" s="88"/>
      <c r="H11038" s="89"/>
      <c r="K11038" s="58"/>
      <c r="L11038" s="91"/>
      <c r="M11038" s="78"/>
    </row>
    <row r="11039">
      <c r="C11039" s="85"/>
      <c r="D11039" s="25"/>
      <c r="E11039" s="77"/>
      <c r="F11039" s="88"/>
      <c r="G11039" s="88"/>
      <c r="H11039" s="89"/>
      <c r="K11039" s="58"/>
      <c r="L11039" s="91"/>
      <c r="M11039" s="78"/>
    </row>
    <row r="11040">
      <c r="C11040" s="85"/>
      <c r="D11040" s="25"/>
      <c r="E11040" s="77"/>
      <c r="F11040" s="88"/>
      <c r="G11040" s="88"/>
      <c r="H11040" s="89"/>
      <c r="K11040" s="58"/>
      <c r="L11040" s="91"/>
      <c r="M11040" s="78"/>
    </row>
    <row r="11041">
      <c r="C11041" s="85"/>
      <c r="D11041" s="25"/>
      <c r="E11041" s="77"/>
      <c r="F11041" s="88"/>
      <c r="G11041" s="88"/>
      <c r="H11041" s="89"/>
      <c r="K11041" s="58"/>
      <c r="L11041" s="91"/>
      <c r="M11041" s="78"/>
    </row>
    <row r="11042">
      <c r="C11042" s="85"/>
      <c r="D11042" s="25"/>
      <c r="E11042" s="77"/>
      <c r="F11042" s="88"/>
      <c r="G11042" s="88"/>
      <c r="H11042" s="89"/>
      <c r="K11042" s="58"/>
      <c r="L11042" s="91"/>
      <c r="M11042" s="78"/>
    </row>
    <row r="11043">
      <c r="C11043" s="85"/>
      <c r="D11043" s="25"/>
      <c r="E11043" s="77"/>
      <c r="F11043" s="88"/>
      <c r="G11043" s="88"/>
      <c r="H11043" s="89"/>
      <c r="K11043" s="58"/>
      <c r="L11043" s="91"/>
      <c r="M11043" s="78"/>
    </row>
    <row r="11044">
      <c r="C11044" s="85"/>
      <c r="D11044" s="25"/>
      <c r="E11044" s="77"/>
      <c r="F11044" s="88"/>
      <c r="G11044" s="88"/>
      <c r="H11044" s="89"/>
      <c r="K11044" s="58"/>
      <c r="L11044" s="91"/>
      <c r="M11044" s="78"/>
    </row>
    <row r="11045">
      <c r="C11045" s="85"/>
      <c r="D11045" s="25"/>
      <c r="E11045" s="77"/>
      <c r="F11045" s="88"/>
      <c r="G11045" s="88"/>
      <c r="H11045" s="89"/>
      <c r="K11045" s="58"/>
      <c r="L11045" s="91"/>
      <c r="M11045" s="78"/>
    </row>
    <row r="11046">
      <c r="C11046" s="85"/>
      <c r="D11046" s="25"/>
      <c r="E11046" s="77"/>
      <c r="F11046" s="88"/>
      <c r="G11046" s="88"/>
      <c r="H11046" s="89"/>
      <c r="K11046" s="58"/>
      <c r="L11046" s="91"/>
      <c r="M11046" s="78"/>
    </row>
    <row r="11047">
      <c r="C11047" s="85"/>
      <c r="D11047" s="25"/>
      <c r="E11047" s="77"/>
      <c r="F11047" s="88"/>
      <c r="G11047" s="88"/>
      <c r="H11047" s="89"/>
      <c r="K11047" s="58"/>
      <c r="L11047" s="91"/>
      <c r="M11047" s="78"/>
    </row>
    <row r="11048">
      <c r="C11048" s="85"/>
      <c r="D11048" s="25"/>
      <c r="E11048" s="77"/>
      <c r="F11048" s="88"/>
      <c r="G11048" s="88"/>
      <c r="H11048" s="89"/>
      <c r="K11048" s="58"/>
      <c r="L11048" s="91"/>
      <c r="M11048" s="78"/>
    </row>
    <row r="11049">
      <c r="C11049" s="85"/>
      <c r="D11049" s="25"/>
      <c r="E11049" s="77"/>
      <c r="F11049" s="88"/>
      <c r="G11049" s="88"/>
      <c r="H11049" s="89"/>
      <c r="K11049" s="58"/>
      <c r="L11049" s="91"/>
      <c r="M11049" s="78"/>
    </row>
    <row r="11050">
      <c r="C11050" s="85"/>
      <c r="D11050" s="25"/>
      <c r="E11050" s="77"/>
      <c r="F11050" s="88"/>
      <c r="G11050" s="88"/>
      <c r="H11050" s="89"/>
      <c r="K11050" s="58"/>
      <c r="L11050" s="91"/>
      <c r="M11050" s="78"/>
    </row>
    <row r="11051">
      <c r="C11051" s="85"/>
      <c r="D11051" s="25"/>
      <c r="E11051" s="77"/>
      <c r="F11051" s="88"/>
      <c r="G11051" s="88"/>
      <c r="H11051" s="89"/>
      <c r="K11051" s="58"/>
      <c r="L11051" s="91"/>
      <c r="M11051" s="78"/>
    </row>
    <row r="11052">
      <c r="C11052" s="85"/>
      <c r="D11052" s="25"/>
      <c r="E11052" s="77"/>
      <c r="F11052" s="88"/>
      <c r="G11052" s="88"/>
      <c r="H11052" s="89"/>
      <c r="K11052" s="58"/>
      <c r="L11052" s="91"/>
      <c r="M11052" s="78"/>
    </row>
    <row r="11053">
      <c r="C11053" s="85"/>
      <c r="D11053" s="25"/>
      <c r="E11053" s="77"/>
      <c r="F11053" s="88"/>
      <c r="G11053" s="88"/>
      <c r="H11053" s="89"/>
      <c r="K11053" s="58"/>
      <c r="L11053" s="91"/>
      <c r="M11053" s="78"/>
    </row>
    <row r="11054">
      <c r="C11054" s="85"/>
      <c r="D11054" s="25"/>
      <c r="E11054" s="77"/>
      <c r="F11054" s="88"/>
      <c r="G11054" s="88"/>
      <c r="H11054" s="89"/>
      <c r="K11054" s="58"/>
      <c r="L11054" s="91"/>
      <c r="M11054" s="78"/>
    </row>
    <row r="11055">
      <c r="C11055" s="85"/>
      <c r="D11055" s="25"/>
      <c r="E11055" s="77"/>
      <c r="F11055" s="88"/>
      <c r="G11055" s="88"/>
      <c r="H11055" s="89"/>
      <c r="K11055" s="58"/>
      <c r="L11055" s="91"/>
      <c r="M11055" s="78"/>
    </row>
    <row r="11056">
      <c r="C11056" s="85"/>
      <c r="D11056" s="25"/>
      <c r="E11056" s="77"/>
      <c r="F11056" s="88"/>
      <c r="G11056" s="88"/>
      <c r="H11056" s="89"/>
      <c r="K11056" s="58"/>
      <c r="L11056" s="91"/>
      <c r="M11056" s="78"/>
    </row>
    <row r="11057">
      <c r="C11057" s="85"/>
      <c r="D11057" s="25"/>
      <c r="E11057" s="77"/>
      <c r="F11057" s="88"/>
      <c r="G11057" s="88"/>
      <c r="H11057" s="89"/>
      <c r="K11057" s="58"/>
      <c r="L11057" s="91"/>
      <c r="M11057" s="78"/>
    </row>
    <row r="11058">
      <c r="C11058" s="85"/>
      <c r="D11058" s="25"/>
      <c r="E11058" s="77"/>
      <c r="F11058" s="88"/>
      <c r="G11058" s="88"/>
      <c r="H11058" s="89"/>
      <c r="K11058" s="58"/>
      <c r="L11058" s="91"/>
      <c r="M11058" s="78"/>
    </row>
    <row r="11059">
      <c r="C11059" s="85"/>
      <c r="D11059" s="25"/>
      <c r="E11059" s="77"/>
      <c r="F11059" s="88"/>
      <c r="G11059" s="88"/>
      <c r="H11059" s="89"/>
      <c r="K11059" s="58"/>
      <c r="L11059" s="91"/>
      <c r="M11059" s="78"/>
    </row>
    <row r="11060">
      <c r="C11060" s="85"/>
      <c r="D11060" s="25"/>
      <c r="E11060" s="77"/>
      <c r="F11060" s="88"/>
      <c r="G11060" s="88"/>
      <c r="H11060" s="89"/>
      <c r="K11060" s="58"/>
      <c r="L11060" s="91"/>
      <c r="M11060" s="78"/>
    </row>
    <row r="11061">
      <c r="C11061" s="85"/>
      <c r="D11061" s="25"/>
      <c r="E11061" s="77"/>
      <c r="F11061" s="88"/>
      <c r="G11061" s="88"/>
      <c r="H11061" s="89"/>
      <c r="K11061" s="58"/>
      <c r="L11061" s="91"/>
      <c r="M11061" s="78"/>
    </row>
    <row r="11062">
      <c r="C11062" s="85"/>
      <c r="D11062" s="25"/>
      <c r="E11062" s="77"/>
      <c r="F11062" s="88"/>
      <c r="G11062" s="88"/>
      <c r="H11062" s="89"/>
      <c r="K11062" s="58"/>
      <c r="L11062" s="91"/>
      <c r="M11062" s="78"/>
    </row>
    <row r="11063">
      <c r="C11063" s="85"/>
      <c r="D11063" s="25"/>
      <c r="E11063" s="77"/>
      <c r="F11063" s="88"/>
      <c r="G11063" s="88"/>
      <c r="H11063" s="89"/>
      <c r="K11063" s="58"/>
      <c r="L11063" s="91"/>
      <c r="M11063" s="78"/>
    </row>
    <row r="11064">
      <c r="C11064" s="85"/>
      <c r="D11064" s="25"/>
      <c r="E11064" s="77"/>
      <c r="F11064" s="88"/>
      <c r="G11064" s="88"/>
      <c r="H11064" s="89"/>
      <c r="K11064" s="58"/>
      <c r="L11064" s="91"/>
      <c r="M11064" s="78"/>
    </row>
    <row r="11065">
      <c r="C11065" s="85"/>
      <c r="D11065" s="25"/>
      <c r="E11065" s="77"/>
      <c r="F11065" s="88"/>
      <c r="G11065" s="88"/>
      <c r="H11065" s="89"/>
      <c r="K11065" s="58"/>
      <c r="L11065" s="91"/>
      <c r="M11065" s="78"/>
    </row>
    <row r="11066">
      <c r="C11066" s="85"/>
      <c r="D11066" s="25"/>
      <c r="E11066" s="77"/>
      <c r="F11066" s="88"/>
      <c r="G11066" s="88"/>
      <c r="H11066" s="89"/>
      <c r="K11066" s="58"/>
      <c r="L11066" s="91"/>
      <c r="M11066" s="78"/>
    </row>
    <row r="11067">
      <c r="C11067" s="85"/>
      <c r="D11067" s="25"/>
      <c r="E11067" s="77"/>
      <c r="F11067" s="88"/>
      <c r="G11067" s="88"/>
      <c r="H11067" s="89"/>
      <c r="K11067" s="58"/>
      <c r="L11067" s="91"/>
      <c r="M11067" s="78"/>
    </row>
    <row r="11068">
      <c r="C11068" s="85"/>
      <c r="D11068" s="25"/>
      <c r="E11068" s="77"/>
      <c r="F11068" s="88"/>
      <c r="G11068" s="88"/>
      <c r="H11068" s="89"/>
      <c r="K11068" s="58"/>
      <c r="L11068" s="91"/>
      <c r="M11068" s="78"/>
    </row>
    <row r="11069">
      <c r="C11069" s="85"/>
      <c r="D11069" s="25"/>
      <c r="E11069" s="77"/>
      <c r="F11069" s="88"/>
      <c r="G11069" s="88"/>
      <c r="H11069" s="89"/>
      <c r="K11069" s="58"/>
      <c r="L11069" s="91"/>
      <c r="M11069" s="78"/>
    </row>
    <row r="11070">
      <c r="C11070" s="85"/>
      <c r="D11070" s="25"/>
      <c r="E11070" s="77"/>
      <c r="F11070" s="88"/>
      <c r="G11070" s="88"/>
      <c r="H11070" s="89"/>
      <c r="K11070" s="58"/>
      <c r="L11070" s="91"/>
      <c r="M11070" s="78"/>
    </row>
    <row r="11071">
      <c r="C11071" s="85"/>
      <c r="D11071" s="25"/>
      <c r="E11071" s="77"/>
      <c r="F11071" s="88"/>
      <c r="G11071" s="88"/>
      <c r="H11071" s="89"/>
      <c r="K11071" s="58"/>
      <c r="L11071" s="91"/>
      <c r="M11071" s="78"/>
    </row>
    <row r="11072">
      <c r="C11072" s="85"/>
      <c r="D11072" s="25"/>
      <c r="E11072" s="77"/>
      <c r="F11072" s="88"/>
      <c r="G11072" s="88"/>
      <c r="H11072" s="89"/>
      <c r="K11072" s="58"/>
      <c r="L11072" s="91"/>
      <c r="M11072" s="78"/>
    </row>
    <row r="11073">
      <c r="C11073" s="85"/>
      <c r="D11073" s="25"/>
      <c r="E11073" s="77"/>
      <c r="F11073" s="88"/>
      <c r="G11073" s="88"/>
      <c r="H11073" s="89"/>
      <c r="K11073" s="58"/>
      <c r="L11073" s="91"/>
      <c r="M11073" s="78"/>
    </row>
    <row r="11074">
      <c r="C11074" s="85"/>
      <c r="D11074" s="25"/>
      <c r="E11074" s="77"/>
      <c r="F11074" s="88"/>
      <c r="G11074" s="88"/>
      <c r="H11074" s="89"/>
      <c r="K11074" s="58"/>
      <c r="L11074" s="91"/>
      <c r="M11074" s="78"/>
    </row>
    <row r="11075">
      <c r="C11075" s="85"/>
      <c r="D11075" s="25"/>
      <c r="E11075" s="77"/>
      <c r="F11075" s="88"/>
      <c r="G11075" s="88"/>
      <c r="H11075" s="89"/>
      <c r="K11075" s="58"/>
      <c r="L11075" s="91"/>
      <c r="M11075" s="78"/>
    </row>
    <row r="11076">
      <c r="C11076" s="85"/>
      <c r="D11076" s="25"/>
      <c r="E11076" s="77"/>
      <c r="F11076" s="88"/>
      <c r="G11076" s="88"/>
      <c r="H11076" s="89"/>
      <c r="K11076" s="58"/>
      <c r="L11076" s="91"/>
      <c r="M11076" s="78"/>
    </row>
    <row r="11077">
      <c r="C11077" s="85"/>
      <c r="D11077" s="25"/>
      <c r="E11077" s="77"/>
      <c r="F11077" s="88"/>
      <c r="G11077" s="88"/>
      <c r="H11077" s="89"/>
      <c r="K11077" s="58"/>
      <c r="L11077" s="91"/>
      <c r="M11077" s="78"/>
    </row>
    <row r="11078">
      <c r="C11078" s="85"/>
      <c r="D11078" s="25"/>
      <c r="E11078" s="77"/>
      <c r="F11078" s="88"/>
      <c r="G11078" s="88"/>
      <c r="H11078" s="89"/>
      <c r="K11078" s="58"/>
      <c r="L11078" s="91"/>
      <c r="M11078" s="78"/>
    </row>
    <row r="11079">
      <c r="C11079" s="85"/>
      <c r="D11079" s="25"/>
      <c r="E11079" s="77"/>
      <c r="F11079" s="88"/>
      <c r="G11079" s="88"/>
      <c r="H11079" s="89"/>
      <c r="K11079" s="58"/>
      <c r="L11079" s="91"/>
      <c r="M11079" s="78"/>
    </row>
    <row r="11080">
      <c r="C11080" s="85"/>
      <c r="D11080" s="25"/>
      <c r="E11080" s="77"/>
      <c r="F11080" s="88"/>
      <c r="G11080" s="88"/>
      <c r="H11080" s="89"/>
      <c r="K11080" s="58"/>
      <c r="L11080" s="91"/>
      <c r="M11080" s="78"/>
    </row>
    <row r="11081">
      <c r="C11081" s="85"/>
      <c r="D11081" s="25"/>
      <c r="E11081" s="77"/>
      <c r="F11081" s="88"/>
      <c r="G11081" s="88"/>
      <c r="H11081" s="89"/>
      <c r="K11081" s="58"/>
      <c r="L11081" s="91"/>
      <c r="M11081" s="78"/>
    </row>
    <row r="11082">
      <c r="C11082" s="85"/>
      <c r="D11082" s="25"/>
      <c r="E11082" s="77"/>
      <c r="F11082" s="88"/>
      <c r="G11082" s="88"/>
      <c r="H11082" s="89"/>
      <c r="K11082" s="58"/>
      <c r="L11082" s="91"/>
      <c r="M11082" s="78"/>
    </row>
    <row r="11083">
      <c r="C11083" s="85"/>
      <c r="D11083" s="25"/>
      <c r="E11083" s="77"/>
      <c r="F11083" s="88"/>
      <c r="G11083" s="88"/>
      <c r="H11083" s="89"/>
      <c r="K11083" s="58"/>
      <c r="L11083" s="91"/>
      <c r="M11083" s="78"/>
    </row>
    <row r="11084">
      <c r="C11084" s="85"/>
      <c r="D11084" s="25"/>
      <c r="E11084" s="77"/>
      <c r="F11084" s="88"/>
      <c r="G11084" s="88"/>
      <c r="H11084" s="89"/>
      <c r="K11084" s="58"/>
      <c r="L11084" s="91"/>
      <c r="M11084" s="78"/>
    </row>
    <row r="11085">
      <c r="C11085" s="85"/>
      <c r="D11085" s="25"/>
      <c r="E11085" s="77"/>
      <c r="F11085" s="88"/>
      <c r="G11085" s="88"/>
      <c r="H11085" s="89"/>
      <c r="K11085" s="58"/>
      <c r="L11085" s="91"/>
      <c r="M11085" s="78"/>
    </row>
    <row r="11086">
      <c r="C11086" s="85"/>
      <c r="D11086" s="25"/>
      <c r="E11086" s="77"/>
      <c r="F11086" s="88"/>
      <c r="G11086" s="88"/>
      <c r="H11086" s="89"/>
      <c r="K11086" s="58"/>
      <c r="L11086" s="91"/>
      <c r="M11086" s="78"/>
    </row>
    <row r="11087">
      <c r="C11087" s="85"/>
      <c r="D11087" s="25"/>
      <c r="E11087" s="77"/>
      <c r="F11087" s="88"/>
      <c r="G11087" s="88"/>
      <c r="H11087" s="89"/>
      <c r="K11087" s="58"/>
      <c r="L11087" s="91"/>
      <c r="M11087" s="78"/>
    </row>
    <row r="11088">
      <c r="C11088" s="85"/>
      <c r="D11088" s="25"/>
      <c r="E11088" s="77"/>
      <c r="F11088" s="88"/>
      <c r="G11088" s="88"/>
      <c r="H11088" s="89"/>
      <c r="K11088" s="58"/>
      <c r="L11088" s="91"/>
      <c r="M11088" s="78"/>
    </row>
    <row r="11089">
      <c r="C11089" s="85"/>
      <c r="D11089" s="25"/>
      <c r="E11089" s="77"/>
      <c r="F11089" s="88"/>
      <c r="G11089" s="88"/>
      <c r="H11089" s="89"/>
      <c r="K11089" s="58"/>
      <c r="L11089" s="91"/>
      <c r="M11089" s="78"/>
    </row>
    <row r="11090">
      <c r="C11090" s="85"/>
      <c r="D11090" s="25"/>
      <c r="E11090" s="77"/>
      <c r="F11090" s="88"/>
      <c r="G11090" s="88"/>
      <c r="H11090" s="89"/>
      <c r="K11090" s="58"/>
      <c r="L11090" s="91"/>
      <c r="M11090" s="78"/>
    </row>
    <row r="11091">
      <c r="C11091" s="85"/>
      <c r="D11091" s="25"/>
      <c r="E11091" s="77"/>
      <c r="F11091" s="88"/>
      <c r="G11091" s="88"/>
      <c r="H11091" s="89"/>
      <c r="K11091" s="58"/>
      <c r="L11091" s="91"/>
      <c r="M11091" s="78"/>
    </row>
    <row r="11092">
      <c r="C11092" s="85"/>
      <c r="D11092" s="25"/>
      <c r="E11092" s="77"/>
      <c r="F11092" s="88"/>
      <c r="G11092" s="88"/>
      <c r="H11092" s="89"/>
      <c r="K11092" s="58"/>
      <c r="L11092" s="91"/>
      <c r="M11092" s="78"/>
    </row>
    <row r="11093">
      <c r="C11093" s="85"/>
      <c r="D11093" s="25"/>
      <c r="E11093" s="77"/>
      <c r="F11093" s="88"/>
      <c r="G11093" s="88"/>
      <c r="H11093" s="89"/>
      <c r="K11093" s="58"/>
      <c r="L11093" s="91"/>
      <c r="M11093" s="78"/>
    </row>
    <row r="11094">
      <c r="C11094" s="85"/>
      <c r="D11094" s="25"/>
      <c r="E11094" s="77"/>
      <c r="F11094" s="88"/>
      <c r="G11094" s="88"/>
      <c r="H11094" s="89"/>
      <c r="K11094" s="58"/>
      <c r="L11094" s="91"/>
      <c r="M11094" s="78"/>
    </row>
    <row r="11095">
      <c r="C11095" s="85"/>
      <c r="D11095" s="25"/>
      <c r="E11095" s="77"/>
      <c r="F11095" s="88"/>
      <c r="G11095" s="88"/>
      <c r="H11095" s="89"/>
      <c r="K11095" s="58"/>
      <c r="L11095" s="91"/>
      <c r="M11095" s="78"/>
    </row>
    <row r="11096">
      <c r="C11096" s="85"/>
      <c r="D11096" s="25"/>
      <c r="E11096" s="77"/>
      <c r="F11096" s="88"/>
      <c r="G11096" s="88"/>
      <c r="H11096" s="89"/>
      <c r="K11096" s="58"/>
      <c r="L11096" s="91"/>
      <c r="M11096" s="78"/>
    </row>
    <row r="11097">
      <c r="C11097" s="85"/>
      <c r="D11097" s="25"/>
      <c r="E11097" s="77"/>
      <c r="F11097" s="88"/>
      <c r="G11097" s="88"/>
      <c r="H11097" s="89"/>
      <c r="K11097" s="58"/>
      <c r="L11097" s="91"/>
      <c r="M11097" s="78"/>
    </row>
    <row r="11098">
      <c r="C11098" s="85"/>
      <c r="D11098" s="25"/>
      <c r="E11098" s="77"/>
      <c r="F11098" s="88"/>
      <c r="G11098" s="88"/>
      <c r="H11098" s="89"/>
      <c r="K11098" s="58"/>
      <c r="L11098" s="91"/>
      <c r="M11098" s="78"/>
    </row>
    <row r="11099">
      <c r="C11099" s="85"/>
      <c r="D11099" s="25"/>
      <c r="E11099" s="77"/>
      <c r="F11099" s="88"/>
      <c r="G11099" s="88"/>
      <c r="H11099" s="89"/>
      <c r="K11099" s="58"/>
      <c r="L11099" s="91"/>
      <c r="M11099" s="78"/>
    </row>
    <row r="11100">
      <c r="C11100" s="85"/>
      <c r="D11100" s="25"/>
      <c r="E11100" s="77"/>
      <c r="F11100" s="88"/>
      <c r="G11100" s="88"/>
      <c r="H11100" s="89"/>
      <c r="K11100" s="58"/>
      <c r="L11100" s="91"/>
      <c r="M11100" s="78"/>
    </row>
    <row r="11101">
      <c r="C11101" s="85"/>
      <c r="D11101" s="25"/>
      <c r="E11101" s="77"/>
      <c r="F11101" s="88"/>
      <c r="G11101" s="88"/>
      <c r="H11101" s="89"/>
      <c r="K11101" s="58"/>
      <c r="L11101" s="91"/>
      <c r="M11101" s="78"/>
    </row>
    <row r="11102">
      <c r="C11102" s="85"/>
      <c r="D11102" s="25"/>
      <c r="E11102" s="77"/>
      <c r="F11102" s="88"/>
      <c r="G11102" s="88"/>
      <c r="H11102" s="89"/>
      <c r="K11102" s="58"/>
      <c r="L11102" s="91"/>
      <c r="M11102" s="78"/>
    </row>
    <row r="11103">
      <c r="C11103" s="85"/>
      <c r="D11103" s="25"/>
      <c r="E11103" s="77"/>
      <c r="F11103" s="88"/>
      <c r="G11103" s="88"/>
      <c r="H11103" s="89"/>
      <c r="K11103" s="58"/>
      <c r="L11103" s="91"/>
      <c r="M11103" s="78"/>
    </row>
    <row r="11104">
      <c r="C11104" s="85"/>
      <c r="D11104" s="25"/>
      <c r="E11104" s="77"/>
      <c r="F11104" s="88"/>
      <c r="G11104" s="88"/>
      <c r="H11104" s="89"/>
      <c r="K11104" s="58"/>
      <c r="L11104" s="91"/>
      <c r="M11104" s="78"/>
    </row>
    <row r="11105">
      <c r="C11105" s="85"/>
      <c r="D11105" s="25"/>
      <c r="E11105" s="77"/>
      <c r="F11105" s="88"/>
      <c r="G11105" s="88"/>
      <c r="H11105" s="89"/>
      <c r="K11105" s="58"/>
      <c r="L11105" s="91"/>
      <c r="M11105" s="78"/>
    </row>
    <row r="11106">
      <c r="C11106" s="85"/>
      <c r="D11106" s="25"/>
      <c r="E11106" s="77"/>
      <c r="F11106" s="88"/>
      <c r="G11106" s="88"/>
      <c r="H11106" s="89"/>
      <c r="K11106" s="58"/>
      <c r="L11106" s="91"/>
      <c r="M11106" s="78"/>
    </row>
    <row r="11107">
      <c r="C11107" s="85"/>
      <c r="D11107" s="25"/>
      <c r="E11107" s="77"/>
      <c r="F11107" s="88"/>
      <c r="G11107" s="88"/>
      <c r="H11107" s="89"/>
      <c r="K11107" s="58"/>
      <c r="L11107" s="91"/>
      <c r="M11107" s="78"/>
    </row>
    <row r="11108">
      <c r="C11108" s="85"/>
      <c r="D11108" s="25"/>
      <c r="E11108" s="77"/>
      <c r="F11108" s="88"/>
      <c r="G11108" s="88"/>
      <c r="H11108" s="89"/>
      <c r="K11108" s="58"/>
      <c r="L11108" s="91"/>
      <c r="M11108" s="78"/>
    </row>
    <row r="11109">
      <c r="C11109" s="85"/>
      <c r="D11109" s="25"/>
      <c r="E11109" s="77"/>
      <c r="F11109" s="88"/>
      <c r="G11109" s="88"/>
      <c r="H11109" s="89"/>
      <c r="K11109" s="58"/>
      <c r="L11109" s="91"/>
      <c r="M11109" s="78"/>
    </row>
    <row r="11110">
      <c r="C11110" s="85"/>
      <c r="D11110" s="25"/>
      <c r="E11110" s="77"/>
      <c r="F11110" s="88"/>
      <c r="G11110" s="88"/>
      <c r="H11110" s="89"/>
      <c r="K11110" s="58"/>
      <c r="L11110" s="91"/>
      <c r="M11110" s="78"/>
    </row>
    <row r="11111">
      <c r="C11111" s="85"/>
      <c r="D11111" s="25"/>
      <c r="E11111" s="77"/>
      <c r="F11111" s="88"/>
      <c r="G11111" s="88"/>
      <c r="H11111" s="89"/>
      <c r="K11111" s="58"/>
      <c r="L11111" s="91"/>
      <c r="M11111" s="78"/>
    </row>
    <row r="11112">
      <c r="C11112" s="85"/>
      <c r="D11112" s="25"/>
      <c r="E11112" s="77"/>
      <c r="F11112" s="88"/>
      <c r="G11112" s="88"/>
      <c r="H11112" s="89"/>
      <c r="K11112" s="58"/>
      <c r="L11112" s="91"/>
      <c r="M11112" s="78"/>
    </row>
    <row r="11113">
      <c r="C11113" s="85"/>
      <c r="D11113" s="25"/>
      <c r="E11113" s="77"/>
      <c r="F11113" s="88"/>
      <c r="G11113" s="88"/>
      <c r="H11113" s="89"/>
      <c r="K11113" s="58"/>
      <c r="L11113" s="91"/>
      <c r="M11113" s="78"/>
    </row>
    <row r="11114">
      <c r="C11114" s="85"/>
      <c r="D11114" s="25"/>
      <c r="E11114" s="77"/>
      <c r="F11114" s="88"/>
      <c r="G11114" s="88"/>
      <c r="H11114" s="89"/>
      <c r="K11114" s="58"/>
      <c r="L11114" s="91"/>
      <c r="M11114" s="78"/>
    </row>
    <row r="11115">
      <c r="C11115" s="85"/>
      <c r="D11115" s="25"/>
      <c r="E11115" s="77"/>
      <c r="F11115" s="88"/>
      <c r="G11115" s="88"/>
      <c r="H11115" s="89"/>
      <c r="K11115" s="58"/>
      <c r="L11115" s="91"/>
      <c r="M11115" s="78"/>
    </row>
    <row r="11116">
      <c r="C11116" s="85"/>
      <c r="D11116" s="25"/>
      <c r="E11116" s="77"/>
      <c r="F11116" s="88"/>
      <c r="G11116" s="88"/>
      <c r="H11116" s="89"/>
      <c r="K11116" s="58"/>
      <c r="L11116" s="91"/>
      <c r="M11116" s="78"/>
    </row>
    <row r="11117">
      <c r="C11117" s="85"/>
      <c r="D11117" s="25"/>
      <c r="E11117" s="77"/>
      <c r="F11117" s="88"/>
      <c r="G11117" s="88"/>
      <c r="H11117" s="89"/>
      <c r="K11117" s="58"/>
      <c r="L11117" s="91"/>
      <c r="M11117" s="78"/>
    </row>
    <row r="11118">
      <c r="C11118" s="85"/>
      <c r="D11118" s="25"/>
      <c r="E11118" s="77"/>
      <c r="F11118" s="88"/>
      <c r="G11118" s="88"/>
      <c r="H11118" s="89"/>
      <c r="K11118" s="58"/>
      <c r="L11118" s="91"/>
      <c r="M11118" s="78"/>
    </row>
    <row r="11119">
      <c r="C11119" s="85"/>
      <c r="D11119" s="25"/>
      <c r="E11119" s="77"/>
      <c r="F11119" s="88"/>
      <c r="G11119" s="88"/>
      <c r="H11119" s="89"/>
      <c r="K11119" s="58"/>
      <c r="L11119" s="91"/>
      <c r="M11119" s="78"/>
    </row>
    <row r="11120">
      <c r="C11120" s="85"/>
      <c r="D11120" s="25"/>
      <c r="E11120" s="77"/>
      <c r="F11120" s="88"/>
      <c r="G11120" s="88"/>
      <c r="H11120" s="89"/>
      <c r="K11120" s="58"/>
      <c r="L11120" s="91"/>
      <c r="M11120" s="78"/>
    </row>
    <row r="11121">
      <c r="C11121" s="85"/>
      <c r="D11121" s="25"/>
      <c r="E11121" s="77"/>
      <c r="F11121" s="88"/>
      <c r="G11121" s="88"/>
      <c r="H11121" s="89"/>
      <c r="K11121" s="58"/>
      <c r="L11121" s="91"/>
      <c r="M11121" s="78"/>
    </row>
    <row r="11122">
      <c r="C11122" s="85"/>
      <c r="D11122" s="25"/>
      <c r="E11122" s="77"/>
      <c r="F11122" s="88"/>
      <c r="G11122" s="88"/>
      <c r="H11122" s="89"/>
      <c r="K11122" s="58"/>
      <c r="L11122" s="91"/>
      <c r="M11122" s="78"/>
    </row>
    <row r="11123">
      <c r="C11123" s="85"/>
      <c r="D11123" s="25"/>
      <c r="E11123" s="77"/>
      <c r="F11123" s="88"/>
      <c r="G11123" s="88"/>
      <c r="H11123" s="89"/>
      <c r="K11123" s="58"/>
      <c r="L11123" s="91"/>
      <c r="M11123" s="78"/>
    </row>
    <row r="11124">
      <c r="C11124" s="85"/>
      <c r="D11124" s="25"/>
      <c r="E11124" s="77"/>
      <c r="F11124" s="88"/>
      <c r="G11124" s="88"/>
      <c r="H11124" s="89"/>
      <c r="K11124" s="58"/>
      <c r="L11124" s="91"/>
      <c r="M11124" s="78"/>
    </row>
    <row r="11125">
      <c r="C11125" s="85"/>
      <c r="D11125" s="25"/>
      <c r="E11125" s="77"/>
      <c r="F11125" s="88"/>
      <c r="G11125" s="88"/>
      <c r="H11125" s="89"/>
      <c r="K11125" s="58"/>
      <c r="L11125" s="91"/>
      <c r="M11125" s="78"/>
    </row>
    <row r="11126">
      <c r="C11126" s="85"/>
      <c r="D11126" s="25"/>
      <c r="E11126" s="77"/>
      <c r="F11126" s="88"/>
      <c r="G11126" s="88"/>
      <c r="H11126" s="89"/>
      <c r="K11126" s="58"/>
      <c r="L11126" s="91"/>
      <c r="M11126" s="78"/>
    </row>
    <row r="11127">
      <c r="C11127" s="85"/>
      <c r="D11127" s="25"/>
      <c r="E11127" s="77"/>
      <c r="F11127" s="88"/>
      <c r="G11127" s="88"/>
      <c r="H11127" s="89"/>
      <c r="K11127" s="58"/>
      <c r="L11127" s="91"/>
      <c r="M11127" s="78"/>
    </row>
    <row r="11128">
      <c r="C11128" s="85"/>
      <c r="D11128" s="25"/>
      <c r="E11128" s="77"/>
      <c r="F11128" s="88"/>
      <c r="G11128" s="88"/>
      <c r="H11128" s="89"/>
      <c r="K11128" s="58"/>
      <c r="L11128" s="91"/>
      <c r="M11128" s="78"/>
    </row>
    <row r="11129">
      <c r="C11129" s="85"/>
      <c r="D11129" s="25"/>
      <c r="E11129" s="77"/>
      <c r="F11129" s="88"/>
      <c r="G11129" s="88"/>
      <c r="H11129" s="89"/>
      <c r="K11129" s="58"/>
      <c r="L11129" s="91"/>
      <c r="M11129" s="78"/>
    </row>
    <row r="11130">
      <c r="C11130" s="85"/>
      <c r="D11130" s="25"/>
      <c r="E11130" s="77"/>
      <c r="F11130" s="88"/>
      <c r="G11130" s="88"/>
      <c r="H11130" s="89"/>
      <c r="K11130" s="58"/>
      <c r="L11130" s="91"/>
      <c r="M11130" s="78"/>
    </row>
    <row r="11131">
      <c r="C11131" s="85"/>
      <c r="D11131" s="25"/>
      <c r="E11131" s="77"/>
      <c r="F11131" s="88"/>
      <c r="G11131" s="88"/>
      <c r="H11131" s="89"/>
      <c r="K11131" s="58"/>
      <c r="L11131" s="91"/>
      <c r="M11131" s="78"/>
    </row>
    <row r="11132">
      <c r="C11132" s="85"/>
      <c r="D11132" s="25"/>
      <c r="E11132" s="77"/>
      <c r="F11132" s="88"/>
      <c r="G11132" s="88"/>
      <c r="H11132" s="89"/>
      <c r="K11132" s="58"/>
      <c r="L11132" s="91"/>
      <c r="M11132" s="78"/>
    </row>
    <row r="11133">
      <c r="C11133" s="85"/>
      <c r="D11133" s="25"/>
      <c r="E11133" s="77"/>
      <c r="F11133" s="88"/>
      <c r="G11133" s="88"/>
      <c r="H11133" s="89"/>
      <c r="K11133" s="58"/>
      <c r="L11133" s="91"/>
      <c r="M11133" s="78"/>
    </row>
    <row r="11134">
      <c r="C11134" s="85"/>
      <c r="D11134" s="25"/>
      <c r="E11134" s="77"/>
      <c r="F11134" s="88"/>
      <c r="G11134" s="88"/>
      <c r="H11134" s="89"/>
      <c r="K11134" s="58"/>
      <c r="L11134" s="91"/>
      <c r="M11134" s="78"/>
    </row>
    <row r="11135">
      <c r="C11135" s="85"/>
      <c r="D11135" s="25"/>
      <c r="E11135" s="77"/>
      <c r="F11135" s="88"/>
      <c r="G11135" s="88"/>
      <c r="H11135" s="89"/>
      <c r="K11135" s="58"/>
      <c r="L11135" s="91"/>
      <c r="M11135" s="78"/>
    </row>
    <row r="11136">
      <c r="C11136" s="85"/>
      <c r="D11136" s="25"/>
      <c r="E11136" s="77"/>
      <c r="F11136" s="88"/>
      <c r="G11136" s="88"/>
      <c r="H11136" s="89"/>
      <c r="K11136" s="58"/>
      <c r="L11136" s="91"/>
      <c r="M11136" s="78"/>
    </row>
    <row r="11137">
      <c r="C11137" s="85"/>
      <c r="D11137" s="25"/>
      <c r="E11137" s="77"/>
      <c r="F11137" s="88"/>
      <c r="G11137" s="88"/>
      <c r="H11137" s="89"/>
      <c r="K11137" s="58"/>
      <c r="L11137" s="91"/>
      <c r="M11137" s="78"/>
    </row>
    <row r="11138">
      <c r="C11138" s="85"/>
      <c r="D11138" s="25"/>
      <c r="E11138" s="77"/>
      <c r="F11138" s="88"/>
      <c r="G11138" s="88"/>
      <c r="H11138" s="89"/>
      <c r="K11138" s="58"/>
      <c r="L11138" s="91"/>
      <c r="M11138" s="78"/>
    </row>
    <row r="11139">
      <c r="C11139" s="85"/>
      <c r="D11139" s="25"/>
      <c r="E11139" s="77"/>
      <c r="F11139" s="88"/>
      <c r="G11139" s="88"/>
      <c r="H11139" s="89"/>
      <c r="K11139" s="58"/>
      <c r="L11139" s="91"/>
      <c r="M11139" s="78"/>
    </row>
    <row r="11140">
      <c r="C11140" s="85"/>
      <c r="D11140" s="25"/>
      <c r="E11140" s="77"/>
      <c r="F11140" s="88"/>
      <c r="G11140" s="88"/>
      <c r="H11140" s="89"/>
      <c r="K11140" s="58"/>
      <c r="L11140" s="91"/>
      <c r="M11140" s="78"/>
    </row>
    <row r="11141">
      <c r="C11141" s="85"/>
      <c r="D11141" s="25"/>
      <c r="E11141" s="77"/>
      <c r="F11141" s="88"/>
      <c r="G11141" s="88"/>
      <c r="H11141" s="89"/>
      <c r="K11141" s="58"/>
      <c r="L11141" s="91"/>
      <c r="M11141" s="78"/>
    </row>
    <row r="11142">
      <c r="C11142" s="85"/>
      <c r="D11142" s="25"/>
      <c r="E11142" s="77"/>
      <c r="F11142" s="88"/>
      <c r="G11142" s="88"/>
      <c r="H11142" s="89"/>
      <c r="K11142" s="58"/>
      <c r="L11142" s="91"/>
      <c r="M11142" s="78"/>
    </row>
    <row r="11143">
      <c r="C11143" s="85"/>
      <c r="D11143" s="25"/>
      <c r="E11143" s="77"/>
      <c r="F11143" s="88"/>
      <c r="G11143" s="88"/>
      <c r="H11143" s="89"/>
      <c r="K11143" s="58"/>
      <c r="L11143" s="91"/>
      <c r="M11143" s="78"/>
    </row>
    <row r="11144">
      <c r="C11144" s="85"/>
      <c r="D11144" s="25"/>
      <c r="E11144" s="77"/>
      <c r="F11144" s="88"/>
      <c r="G11144" s="88"/>
      <c r="H11144" s="89"/>
      <c r="K11144" s="58"/>
      <c r="L11144" s="91"/>
      <c r="M11144" s="78"/>
    </row>
    <row r="11145">
      <c r="C11145" s="85"/>
      <c r="D11145" s="25"/>
      <c r="E11145" s="77"/>
      <c r="F11145" s="88"/>
      <c r="G11145" s="88"/>
      <c r="H11145" s="89"/>
      <c r="K11145" s="58"/>
      <c r="L11145" s="91"/>
      <c r="M11145" s="78"/>
    </row>
    <row r="11146">
      <c r="C11146" s="85"/>
      <c r="D11146" s="25"/>
      <c r="E11146" s="77"/>
      <c r="F11146" s="88"/>
      <c r="G11146" s="88"/>
      <c r="H11146" s="89"/>
      <c r="K11146" s="58"/>
      <c r="L11146" s="91"/>
      <c r="M11146" s="78"/>
    </row>
    <row r="11147">
      <c r="C11147" s="85"/>
      <c r="D11147" s="25"/>
      <c r="E11147" s="77"/>
      <c r="F11147" s="88"/>
      <c r="G11147" s="88"/>
      <c r="H11147" s="89"/>
      <c r="K11147" s="58"/>
      <c r="L11147" s="91"/>
      <c r="M11147" s="78"/>
    </row>
    <row r="11148">
      <c r="C11148" s="85"/>
      <c r="D11148" s="25"/>
      <c r="E11148" s="77"/>
      <c r="F11148" s="88"/>
      <c r="G11148" s="88"/>
      <c r="H11148" s="89"/>
      <c r="K11148" s="58"/>
      <c r="L11148" s="91"/>
      <c r="M11148" s="78"/>
    </row>
    <row r="11149">
      <c r="C11149" s="85"/>
      <c r="D11149" s="25"/>
      <c r="E11149" s="77"/>
      <c r="F11149" s="88"/>
      <c r="G11149" s="88"/>
      <c r="H11149" s="89"/>
      <c r="K11149" s="58"/>
      <c r="L11149" s="91"/>
      <c r="M11149" s="78"/>
    </row>
    <row r="11150">
      <c r="C11150" s="85"/>
      <c r="D11150" s="25"/>
      <c r="E11150" s="77"/>
      <c r="F11150" s="88"/>
      <c r="G11150" s="88"/>
      <c r="H11150" s="89"/>
      <c r="K11150" s="58"/>
      <c r="L11150" s="91"/>
      <c r="M11150" s="78"/>
    </row>
    <row r="11151">
      <c r="C11151" s="85"/>
      <c r="D11151" s="25"/>
      <c r="E11151" s="77"/>
      <c r="F11151" s="88"/>
      <c r="G11151" s="88"/>
      <c r="H11151" s="89"/>
      <c r="K11151" s="58"/>
      <c r="L11151" s="91"/>
      <c r="M11151" s="78"/>
    </row>
    <row r="11152">
      <c r="C11152" s="85"/>
      <c r="D11152" s="25"/>
      <c r="E11152" s="77"/>
      <c r="F11152" s="88"/>
      <c r="G11152" s="88"/>
      <c r="H11152" s="89"/>
      <c r="K11152" s="58"/>
      <c r="L11152" s="91"/>
      <c r="M11152" s="78"/>
    </row>
    <row r="11153">
      <c r="C11153" s="85"/>
      <c r="D11153" s="25"/>
      <c r="E11153" s="77"/>
      <c r="F11153" s="88"/>
      <c r="G11153" s="88"/>
      <c r="H11153" s="89"/>
      <c r="K11153" s="58"/>
      <c r="L11153" s="91"/>
      <c r="M11153" s="78"/>
    </row>
    <row r="11154">
      <c r="C11154" s="85"/>
      <c r="D11154" s="25"/>
      <c r="E11154" s="77"/>
      <c r="F11154" s="88"/>
      <c r="G11154" s="88"/>
      <c r="H11154" s="89"/>
      <c r="K11154" s="58"/>
      <c r="L11154" s="91"/>
      <c r="M11154" s="78"/>
    </row>
    <row r="11155">
      <c r="C11155" s="85"/>
      <c r="D11155" s="25"/>
      <c r="E11155" s="77"/>
      <c r="F11155" s="88"/>
      <c r="G11155" s="88"/>
      <c r="H11155" s="89"/>
      <c r="K11155" s="58"/>
      <c r="L11155" s="91"/>
      <c r="M11155" s="78"/>
    </row>
    <row r="11156">
      <c r="C11156" s="85"/>
      <c r="D11156" s="25"/>
      <c r="E11156" s="77"/>
      <c r="F11156" s="88"/>
      <c r="G11156" s="88"/>
      <c r="H11156" s="89"/>
      <c r="K11156" s="58"/>
      <c r="L11156" s="91"/>
      <c r="M11156" s="78"/>
    </row>
    <row r="11157">
      <c r="C11157" s="85"/>
      <c r="D11157" s="25"/>
      <c r="E11157" s="77"/>
      <c r="F11157" s="88"/>
      <c r="G11157" s="88"/>
      <c r="H11157" s="89"/>
      <c r="K11157" s="58"/>
      <c r="L11157" s="91"/>
      <c r="M11157" s="78"/>
    </row>
    <row r="11158">
      <c r="C11158" s="85"/>
      <c r="D11158" s="25"/>
      <c r="E11158" s="77"/>
      <c r="F11158" s="88"/>
      <c r="G11158" s="88"/>
      <c r="H11158" s="89"/>
      <c r="K11158" s="58"/>
      <c r="L11158" s="91"/>
      <c r="M11158" s="78"/>
    </row>
    <row r="11159">
      <c r="C11159" s="85"/>
      <c r="D11159" s="25"/>
      <c r="E11159" s="77"/>
      <c r="F11159" s="88"/>
      <c r="G11159" s="88"/>
      <c r="H11159" s="89"/>
      <c r="K11159" s="58"/>
      <c r="L11159" s="91"/>
      <c r="M11159" s="78"/>
    </row>
    <row r="11160">
      <c r="C11160" s="85"/>
      <c r="D11160" s="25"/>
      <c r="E11160" s="77"/>
      <c r="F11160" s="88"/>
      <c r="G11160" s="88"/>
      <c r="H11160" s="89"/>
      <c r="K11160" s="58"/>
      <c r="L11160" s="91"/>
      <c r="M11160" s="78"/>
    </row>
    <row r="11161">
      <c r="C11161" s="85"/>
      <c r="D11161" s="25"/>
      <c r="E11161" s="77"/>
      <c r="F11161" s="88"/>
      <c r="G11161" s="88"/>
      <c r="H11161" s="89"/>
      <c r="K11161" s="58"/>
      <c r="L11161" s="91"/>
      <c r="M11161" s="78"/>
    </row>
    <row r="11162">
      <c r="C11162" s="85"/>
      <c r="D11162" s="25"/>
      <c r="E11162" s="77"/>
      <c r="F11162" s="88"/>
      <c r="G11162" s="88"/>
      <c r="H11162" s="89"/>
      <c r="K11162" s="58"/>
      <c r="L11162" s="91"/>
      <c r="M11162" s="78"/>
    </row>
    <row r="11163">
      <c r="C11163" s="85"/>
      <c r="D11163" s="25"/>
      <c r="E11163" s="77"/>
      <c r="F11163" s="88"/>
      <c r="G11163" s="88"/>
      <c r="H11163" s="89"/>
      <c r="K11163" s="58"/>
      <c r="L11163" s="91"/>
      <c r="M11163" s="78"/>
    </row>
    <row r="11164">
      <c r="C11164" s="85"/>
      <c r="D11164" s="25"/>
      <c r="E11164" s="77"/>
      <c r="F11164" s="88"/>
      <c r="G11164" s="88"/>
      <c r="H11164" s="89"/>
      <c r="K11164" s="58"/>
      <c r="L11164" s="91"/>
      <c r="M11164" s="78"/>
    </row>
    <row r="11165">
      <c r="C11165" s="85"/>
      <c r="D11165" s="25"/>
      <c r="E11165" s="77"/>
      <c r="F11165" s="88"/>
      <c r="G11165" s="88"/>
      <c r="H11165" s="89"/>
      <c r="K11165" s="58"/>
      <c r="L11165" s="91"/>
      <c r="M11165" s="78"/>
    </row>
    <row r="11166">
      <c r="C11166" s="85"/>
      <c r="D11166" s="25"/>
      <c r="E11166" s="77"/>
      <c r="F11166" s="88"/>
      <c r="G11166" s="88"/>
      <c r="H11166" s="89"/>
      <c r="K11166" s="58"/>
      <c r="L11166" s="91"/>
      <c r="M11166" s="78"/>
    </row>
    <row r="11167">
      <c r="C11167" s="85"/>
      <c r="D11167" s="25"/>
      <c r="E11167" s="77"/>
      <c r="F11167" s="88"/>
      <c r="G11167" s="88"/>
      <c r="H11167" s="89"/>
      <c r="K11167" s="58"/>
      <c r="L11167" s="91"/>
      <c r="M11167" s="78"/>
    </row>
    <row r="11168">
      <c r="C11168" s="85"/>
      <c r="D11168" s="25"/>
      <c r="E11168" s="77"/>
      <c r="F11168" s="88"/>
      <c r="G11168" s="88"/>
      <c r="H11168" s="89"/>
      <c r="K11168" s="58"/>
      <c r="L11168" s="91"/>
      <c r="M11168" s="78"/>
    </row>
    <row r="11169">
      <c r="C11169" s="85"/>
      <c r="D11169" s="25"/>
      <c r="E11169" s="77"/>
      <c r="F11169" s="88"/>
      <c r="G11169" s="88"/>
      <c r="H11169" s="89"/>
      <c r="K11169" s="58"/>
      <c r="L11169" s="91"/>
      <c r="M11169" s="78"/>
    </row>
    <row r="11170">
      <c r="C11170" s="85"/>
      <c r="D11170" s="25"/>
      <c r="E11170" s="77"/>
      <c r="F11170" s="88"/>
      <c r="G11170" s="88"/>
      <c r="H11170" s="89"/>
      <c r="K11170" s="58"/>
      <c r="L11170" s="91"/>
      <c r="M11170" s="78"/>
    </row>
    <row r="11171">
      <c r="C11171" s="85"/>
      <c r="D11171" s="25"/>
      <c r="E11171" s="77"/>
      <c r="F11171" s="88"/>
      <c r="G11171" s="88"/>
      <c r="H11171" s="89"/>
      <c r="K11171" s="58"/>
      <c r="L11171" s="91"/>
      <c r="M11171" s="78"/>
    </row>
    <row r="11172">
      <c r="C11172" s="85"/>
      <c r="D11172" s="25"/>
      <c r="E11172" s="77"/>
      <c r="F11172" s="88"/>
      <c r="G11172" s="88"/>
      <c r="H11172" s="89"/>
      <c r="K11172" s="58"/>
      <c r="L11172" s="91"/>
      <c r="M11172" s="78"/>
    </row>
    <row r="11173">
      <c r="C11173" s="85"/>
      <c r="D11173" s="25"/>
      <c r="E11173" s="77"/>
      <c r="F11173" s="88"/>
      <c r="G11173" s="88"/>
      <c r="H11173" s="89"/>
      <c r="K11173" s="58"/>
      <c r="L11173" s="91"/>
      <c r="M11173" s="78"/>
    </row>
    <row r="11174">
      <c r="C11174" s="85"/>
      <c r="D11174" s="25"/>
      <c r="E11174" s="77"/>
      <c r="F11174" s="88"/>
      <c r="G11174" s="88"/>
      <c r="H11174" s="89"/>
      <c r="K11174" s="58"/>
      <c r="L11174" s="91"/>
      <c r="M11174" s="78"/>
    </row>
    <row r="11175">
      <c r="C11175" s="85"/>
      <c r="D11175" s="25"/>
      <c r="E11175" s="77"/>
      <c r="F11175" s="88"/>
      <c r="G11175" s="88"/>
      <c r="H11175" s="89"/>
      <c r="K11175" s="58"/>
      <c r="L11175" s="91"/>
      <c r="M11175" s="78"/>
    </row>
    <row r="11176">
      <c r="C11176" s="85"/>
      <c r="D11176" s="25"/>
      <c r="E11176" s="77"/>
      <c r="F11176" s="88"/>
      <c r="G11176" s="88"/>
      <c r="H11176" s="89"/>
      <c r="K11176" s="58"/>
      <c r="L11176" s="91"/>
      <c r="M11176" s="78"/>
    </row>
    <row r="11177">
      <c r="C11177" s="85"/>
      <c r="D11177" s="25"/>
      <c r="E11177" s="77"/>
      <c r="F11177" s="88"/>
      <c r="G11177" s="88"/>
      <c r="H11177" s="89"/>
      <c r="K11177" s="58"/>
      <c r="L11177" s="91"/>
      <c r="M11177" s="78"/>
    </row>
    <row r="11178">
      <c r="C11178" s="85"/>
      <c r="D11178" s="25"/>
      <c r="E11178" s="77"/>
      <c r="F11178" s="88"/>
      <c r="G11178" s="88"/>
      <c r="H11178" s="89"/>
      <c r="K11178" s="58"/>
      <c r="L11178" s="91"/>
      <c r="M11178" s="78"/>
    </row>
    <row r="11179">
      <c r="C11179" s="85"/>
      <c r="D11179" s="25"/>
      <c r="E11179" s="77"/>
      <c r="F11179" s="88"/>
      <c r="G11179" s="88"/>
      <c r="H11179" s="89"/>
      <c r="K11179" s="58"/>
      <c r="L11179" s="91"/>
      <c r="M11179" s="78"/>
    </row>
    <row r="11180">
      <c r="C11180" s="85"/>
      <c r="D11180" s="25"/>
      <c r="E11180" s="77"/>
      <c r="F11180" s="88"/>
      <c r="G11180" s="88"/>
      <c r="H11180" s="89"/>
      <c r="K11180" s="58"/>
      <c r="L11180" s="91"/>
      <c r="M11180" s="78"/>
    </row>
    <row r="11181">
      <c r="C11181" s="85"/>
      <c r="D11181" s="25"/>
      <c r="E11181" s="77"/>
      <c r="F11181" s="88"/>
      <c r="G11181" s="88"/>
      <c r="H11181" s="89"/>
      <c r="K11181" s="58"/>
      <c r="L11181" s="91"/>
      <c r="M11181" s="78"/>
    </row>
    <row r="11182">
      <c r="C11182" s="85"/>
      <c r="D11182" s="25"/>
      <c r="E11182" s="77"/>
      <c r="F11182" s="88"/>
      <c r="G11182" s="88"/>
      <c r="H11182" s="89"/>
      <c r="K11182" s="58"/>
      <c r="L11182" s="91"/>
      <c r="M11182" s="78"/>
    </row>
    <row r="11183">
      <c r="C11183" s="85"/>
      <c r="D11183" s="25"/>
      <c r="E11183" s="77"/>
      <c r="F11183" s="88"/>
      <c r="G11183" s="88"/>
      <c r="H11183" s="89"/>
      <c r="K11183" s="58"/>
      <c r="L11183" s="91"/>
      <c r="M11183" s="78"/>
    </row>
    <row r="11184">
      <c r="C11184" s="85"/>
      <c r="D11184" s="25"/>
      <c r="E11184" s="77"/>
      <c r="F11184" s="88"/>
      <c r="G11184" s="88"/>
      <c r="H11184" s="89"/>
      <c r="K11184" s="58"/>
      <c r="L11184" s="91"/>
      <c r="M11184" s="78"/>
    </row>
    <row r="11185">
      <c r="C11185" s="85"/>
      <c r="D11185" s="25"/>
      <c r="E11185" s="77"/>
      <c r="F11185" s="88"/>
      <c r="G11185" s="88"/>
      <c r="H11185" s="89"/>
      <c r="K11185" s="58"/>
      <c r="L11185" s="91"/>
      <c r="M11185" s="78"/>
    </row>
    <row r="11186">
      <c r="C11186" s="85"/>
      <c r="D11186" s="25"/>
      <c r="E11186" s="77"/>
      <c r="F11186" s="88"/>
      <c r="G11186" s="88"/>
      <c r="H11186" s="89"/>
      <c r="K11186" s="58"/>
      <c r="L11186" s="91"/>
      <c r="M11186" s="78"/>
    </row>
    <row r="11187">
      <c r="C11187" s="85"/>
      <c r="D11187" s="25"/>
      <c r="E11187" s="77"/>
      <c r="F11187" s="88"/>
      <c r="G11187" s="88"/>
      <c r="H11187" s="89"/>
      <c r="K11187" s="58"/>
      <c r="L11187" s="91"/>
      <c r="M11187" s="78"/>
    </row>
    <row r="11188">
      <c r="C11188" s="85"/>
      <c r="D11188" s="25"/>
      <c r="E11188" s="77"/>
      <c r="F11188" s="88"/>
      <c r="G11188" s="88"/>
      <c r="H11188" s="89"/>
      <c r="K11188" s="58"/>
      <c r="L11188" s="91"/>
      <c r="M11188" s="78"/>
    </row>
    <row r="11189">
      <c r="C11189" s="85"/>
      <c r="D11189" s="25"/>
      <c r="E11189" s="77"/>
      <c r="F11189" s="88"/>
      <c r="G11189" s="88"/>
      <c r="H11189" s="89"/>
      <c r="K11189" s="58"/>
      <c r="L11189" s="91"/>
      <c r="M11189" s="78"/>
    </row>
    <row r="11190">
      <c r="C11190" s="85"/>
      <c r="D11190" s="25"/>
      <c r="E11190" s="77"/>
      <c r="F11190" s="88"/>
      <c r="G11190" s="88"/>
      <c r="H11190" s="89"/>
      <c r="K11190" s="58"/>
      <c r="L11190" s="91"/>
      <c r="M11190" s="78"/>
    </row>
    <row r="11191">
      <c r="C11191" s="85"/>
      <c r="D11191" s="25"/>
      <c r="E11191" s="77"/>
      <c r="F11191" s="88"/>
      <c r="G11191" s="88"/>
      <c r="H11191" s="89"/>
      <c r="K11191" s="58"/>
      <c r="L11191" s="91"/>
      <c r="M11191" s="78"/>
    </row>
    <row r="11192">
      <c r="C11192" s="85"/>
      <c r="D11192" s="25"/>
      <c r="E11192" s="77"/>
      <c r="F11192" s="88"/>
      <c r="G11192" s="88"/>
      <c r="H11192" s="89"/>
      <c r="K11192" s="58"/>
      <c r="L11192" s="91"/>
      <c r="M11192" s="78"/>
    </row>
    <row r="11193">
      <c r="C11193" s="85"/>
      <c r="D11193" s="25"/>
      <c r="E11193" s="77"/>
      <c r="F11193" s="88"/>
      <c r="G11193" s="88"/>
      <c r="H11193" s="89"/>
      <c r="K11193" s="58"/>
      <c r="L11193" s="91"/>
      <c r="M11193" s="78"/>
    </row>
    <row r="11194">
      <c r="C11194" s="85"/>
      <c r="D11194" s="25"/>
      <c r="E11194" s="77"/>
      <c r="F11194" s="88"/>
      <c r="G11194" s="88"/>
      <c r="H11194" s="89"/>
      <c r="K11194" s="58"/>
      <c r="L11194" s="91"/>
      <c r="M11194" s="78"/>
    </row>
    <row r="11195">
      <c r="C11195" s="85"/>
      <c r="D11195" s="25"/>
      <c r="E11195" s="77"/>
      <c r="F11195" s="88"/>
      <c r="G11195" s="88"/>
      <c r="H11195" s="89"/>
      <c r="K11195" s="58"/>
      <c r="L11195" s="91"/>
      <c r="M11195" s="78"/>
    </row>
    <row r="11196">
      <c r="C11196" s="85"/>
      <c r="D11196" s="25"/>
      <c r="E11196" s="77"/>
      <c r="F11196" s="88"/>
      <c r="G11196" s="88"/>
      <c r="H11196" s="89"/>
      <c r="K11196" s="58"/>
      <c r="L11196" s="91"/>
      <c r="M11196" s="78"/>
    </row>
    <row r="11197">
      <c r="C11197" s="85"/>
      <c r="D11197" s="25"/>
      <c r="E11197" s="77"/>
      <c r="F11197" s="88"/>
      <c r="G11197" s="88"/>
      <c r="H11197" s="89"/>
      <c r="K11197" s="58"/>
      <c r="L11197" s="91"/>
      <c r="M11197" s="78"/>
    </row>
    <row r="11198">
      <c r="C11198" s="85"/>
      <c r="D11198" s="25"/>
      <c r="E11198" s="77"/>
      <c r="F11198" s="88"/>
      <c r="G11198" s="88"/>
      <c r="H11198" s="89"/>
      <c r="K11198" s="58"/>
      <c r="L11198" s="91"/>
      <c r="M11198" s="78"/>
    </row>
    <row r="11199">
      <c r="C11199" s="85"/>
      <c r="D11199" s="25"/>
      <c r="E11199" s="77"/>
      <c r="F11199" s="88"/>
      <c r="G11199" s="88"/>
      <c r="H11199" s="89"/>
      <c r="K11199" s="58"/>
      <c r="L11199" s="91"/>
      <c r="M11199" s="78"/>
    </row>
    <row r="11200">
      <c r="C11200" s="85"/>
      <c r="D11200" s="25"/>
      <c r="E11200" s="77"/>
      <c r="F11200" s="88"/>
      <c r="G11200" s="88"/>
      <c r="H11200" s="89"/>
      <c r="K11200" s="58"/>
      <c r="L11200" s="91"/>
      <c r="M11200" s="78"/>
    </row>
    <row r="11201">
      <c r="C11201" s="85"/>
      <c r="D11201" s="25"/>
      <c r="E11201" s="77"/>
      <c r="F11201" s="88"/>
      <c r="G11201" s="88"/>
      <c r="H11201" s="89"/>
      <c r="K11201" s="58"/>
      <c r="L11201" s="91"/>
      <c r="M11201" s="78"/>
    </row>
    <row r="11202">
      <c r="C11202" s="85"/>
      <c r="D11202" s="25"/>
      <c r="E11202" s="77"/>
      <c r="F11202" s="88"/>
      <c r="G11202" s="88"/>
      <c r="H11202" s="89"/>
      <c r="K11202" s="58"/>
      <c r="L11202" s="91"/>
      <c r="M11202" s="78"/>
    </row>
    <row r="11203">
      <c r="C11203" s="85"/>
      <c r="D11203" s="25"/>
      <c r="E11203" s="77"/>
      <c r="F11203" s="88"/>
      <c r="G11203" s="88"/>
      <c r="H11203" s="89"/>
      <c r="K11203" s="58"/>
      <c r="L11203" s="91"/>
      <c r="M11203" s="78"/>
    </row>
    <row r="11204">
      <c r="C11204" s="85"/>
      <c r="D11204" s="25"/>
      <c r="E11204" s="77"/>
      <c r="F11204" s="88"/>
      <c r="G11204" s="88"/>
      <c r="H11204" s="89"/>
      <c r="K11204" s="58"/>
      <c r="L11204" s="91"/>
      <c r="M11204" s="78"/>
    </row>
    <row r="11205">
      <c r="C11205" s="85"/>
      <c r="D11205" s="25"/>
      <c r="E11205" s="77"/>
      <c r="F11205" s="88"/>
      <c r="G11205" s="88"/>
      <c r="H11205" s="89"/>
      <c r="K11205" s="58"/>
      <c r="L11205" s="91"/>
      <c r="M11205" s="78"/>
    </row>
    <row r="11206">
      <c r="C11206" s="85"/>
      <c r="D11206" s="25"/>
      <c r="E11206" s="77"/>
      <c r="F11206" s="88"/>
      <c r="G11206" s="88"/>
      <c r="H11206" s="89"/>
      <c r="K11206" s="58"/>
      <c r="L11206" s="91"/>
      <c r="M11206" s="78"/>
    </row>
    <row r="11207">
      <c r="C11207" s="85"/>
      <c r="D11207" s="25"/>
      <c r="E11207" s="77"/>
      <c r="F11207" s="88"/>
      <c r="G11207" s="88"/>
      <c r="H11207" s="89"/>
      <c r="K11207" s="58"/>
      <c r="L11207" s="91"/>
      <c r="M11207" s="78"/>
    </row>
    <row r="11208">
      <c r="C11208" s="85"/>
      <c r="D11208" s="25"/>
      <c r="E11208" s="77"/>
      <c r="F11208" s="88"/>
      <c r="G11208" s="88"/>
      <c r="H11208" s="89"/>
      <c r="K11208" s="58"/>
      <c r="L11208" s="91"/>
      <c r="M11208" s="78"/>
    </row>
    <row r="11209">
      <c r="C11209" s="85"/>
      <c r="D11209" s="25"/>
      <c r="E11209" s="77"/>
      <c r="F11209" s="88"/>
      <c r="G11209" s="88"/>
      <c r="H11209" s="89"/>
      <c r="K11209" s="58"/>
      <c r="L11209" s="91"/>
      <c r="M11209" s="78"/>
    </row>
    <row r="11210">
      <c r="C11210" s="85"/>
      <c r="D11210" s="25"/>
      <c r="E11210" s="77"/>
      <c r="F11210" s="88"/>
      <c r="G11210" s="88"/>
      <c r="H11210" s="89"/>
      <c r="K11210" s="58"/>
      <c r="L11210" s="91"/>
      <c r="M11210" s="78"/>
    </row>
    <row r="11211">
      <c r="C11211" s="85"/>
      <c r="D11211" s="25"/>
      <c r="E11211" s="77"/>
      <c r="F11211" s="88"/>
      <c r="G11211" s="88"/>
      <c r="H11211" s="89"/>
      <c r="K11211" s="58"/>
      <c r="L11211" s="91"/>
      <c r="M11211" s="78"/>
    </row>
    <row r="11212">
      <c r="C11212" s="85"/>
      <c r="D11212" s="25"/>
      <c r="E11212" s="77"/>
      <c r="F11212" s="88"/>
      <c r="G11212" s="88"/>
      <c r="H11212" s="89"/>
      <c r="K11212" s="58"/>
      <c r="L11212" s="91"/>
      <c r="M11212" s="78"/>
    </row>
    <row r="11213">
      <c r="C11213" s="85"/>
      <c r="D11213" s="25"/>
      <c r="E11213" s="77"/>
      <c r="F11213" s="88"/>
      <c r="G11213" s="88"/>
      <c r="H11213" s="89"/>
      <c r="K11213" s="58"/>
      <c r="L11213" s="91"/>
      <c r="M11213" s="78"/>
    </row>
    <row r="11214">
      <c r="C11214" s="85"/>
      <c r="D11214" s="25"/>
      <c r="E11214" s="77"/>
      <c r="F11214" s="88"/>
      <c r="G11214" s="88"/>
      <c r="H11214" s="89"/>
      <c r="K11214" s="58"/>
      <c r="L11214" s="91"/>
      <c r="M11214" s="78"/>
    </row>
    <row r="11215">
      <c r="C11215" s="85"/>
      <c r="D11215" s="25"/>
      <c r="E11215" s="77"/>
      <c r="F11215" s="88"/>
      <c r="G11215" s="88"/>
      <c r="H11215" s="89"/>
      <c r="K11215" s="58"/>
      <c r="L11215" s="91"/>
      <c r="M11215" s="78"/>
    </row>
    <row r="11216">
      <c r="C11216" s="85"/>
      <c r="D11216" s="25"/>
      <c r="E11216" s="77"/>
      <c r="F11216" s="88"/>
      <c r="G11216" s="88"/>
      <c r="H11216" s="89"/>
      <c r="K11216" s="58"/>
      <c r="L11216" s="91"/>
      <c r="M11216" s="78"/>
    </row>
    <row r="11217">
      <c r="C11217" s="85"/>
      <c r="D11217" s="25"/>
      <c r="E11217" s="77"/>
      <c r="F11217" s="88"/>
      <c r="G11217" s="88"/>
      <c r="H11217" s="89"/>
      <c r="K11217" s="58"/>
      <c r="L11217" s="91"/>
      <c r="M11217" s="78"/>
    </row>
    <row r="11218">
      <c r="C11218" s="85"/>
      <c r="D11218" s="25"/>
      <c r="E11218" s="77"/>
      <c r="F11218" s="88"/>
      <c r="G11218" s="88"/>
      <c r="H11218" s="89"/>
      <c r="K11218" s="58"/>
      <c r="L11218" s="91"/>
      <c r="M11218" s="78"/>
    </row>
    <row r="11219">
      <c r="C11219" s="85"/>
      <c r="D11219" s="25"/>
      <c r="E11219" s="77"/>
      <c r="F11219" s="88"/>
      <c r="G11219" s="88"/>
      <c r="H11219" s="89"/>
      <c r="K11219" s="58"/>
      <c r="L11219" s="91"/>
      <c r="M11219" s="78"/>
    </row>
    <row r="11220">
      <c r="C11220" s="85"/>
      <c r="D11220" s="25"/>
      <c r="E11220" s="77"/>
      <c r="F11220" s="88"/>
      <c r="G11220" s="88"/>
      <c r="H11220" s="89"/>
      <c r="K11220" s="58"/>
      <c r="L11220" s="91"/>
      <c r="M11220" s="78"/>
    </row>
    <row r="11221">
      <c r="C11221" s="85"/>
      <c r="D11221" s="25"/>
      <c r="E11221" s="77"/>
      <c r="F11221" s="88"/>
      <c r="G11221" s="88"/>
      <c r="H11221" s="89"/>
      <c r="K11221" s="58"/>
      <c r="L11221" s="91"/>
      <c r="M11221" s="78"/>
    </row>
    <row r="11222">
      <c r="C11222" s="85"/>
      <c r="D11222" s="25"/>
      <c r="E11222" s="77"/>
      <c r="F11222" s="88"/>
      <c r="G11222" s="88"/>
      <c r="H11222" s="89"/>
      <c r="K11222" s="58"/>
      <c r="L11222" s="91"/>
      <c r="M11222" s="78"/>
    </row>
    <row r="11223">
      <c r="C11223" s="85"/>
      <c r="D11223" s="25"/>
      <c r="E11223" s="77"/>
      <c r="F11223" s="88"/>
      <c r="G11223" s="88"/>
      <c r="H11223" s="89"/>
      <c r="K11223" s="58"/>
      <c r="L11223" s="91"/>
      <c r="M11223" s="78"/>
    </row>
    <row r="11224">
      <c r="C11224" s="85"/>
      <c r="D11224" s="25"/>
      <c r="E11224" s="77"/>
      <c r="F11224" s="88"/>
      <c r="G11224" s="88"/>
      <c r="H11224" s="89"/>
      <c r="K11224" s="58"/>
      <c r="L11224" s="91"/>
      <c r="M11224" s="78"/>
    </row>
    <row r="11225">
      <c r="C11225" s="85"/>
      <c r="D11225" s="25"/>
      <c r="E11225" s="77"/>
      <c r="F11225" s="88"/>
      <c r="G11225" s="88"/>
      <c r="H11225" s="89"/>
      <c r="K11225" s="58"/>
      <c r="L11225" s="91"/>
      <c r="M11225" s="78"/>
    </row>
    <row r="11226">
      <c r="C11226" s="85"/>
      <c r="D11226" s="25"/>
      <c r="E11226" s="77"/>
      <c r="F11226" s="88"/>
      <c r="G11226" s="88"/>
      <c r="H11226" s="89"/>
      <c r="K11226" s="58"/>
      <c r="L11226" s="91"/>
      <c r="M11226" s="78"/>
    </row>
    <row r="11227">
      <c r="C11227" s="85"/>
      <c r="D11227" s="25"/>
      <c r="E11227" s="77"/>
      <c r="F11227" s="88"/>
      <c r="G11227" s="88"/>
      <c r="H11227" s="89"/>
      <c r="K11227" s="58"/>
      <c r="L11227" s="91"/>
      <c r="M11227" s="78"/>
    </row>
    <row r="11228">
      <c r="C11228" s="85"/>
      <c r="D11228" s="25"/>
      <c r="E11228" s="77"/>
      <c r="F11228" s="88"/>
      <c r="G11228" s="88"/>
      <c r="H11228" s="89"/>
      <c r="K11228" s="58"/>
      <c r="L11228" s="91"/>
      <c r="M11228" s="78"/>
    </row>
    <row r="11229">
      <c r="C11229" s="85"/>
      <c r="D11229" s="25"/>
      <c r="E11229" s="77"/>
      <c r="F11229" s="88"/>
      <c r="G11229" s="88"/>
      <c r="H11229" s="89"/>
      <c r="K11229" s="58"/>
      <c r="L11229" s="91"/>
      <c r="M11229" s="78"/>
    </row>
    <row r="11230">
      <c r="C11230" s="85"/>
      <c r="D11230" s="25"/>
      <c r="E11230" s="77"/>
      <c r="F11230" s="88"/>
      <c r="G11230" s="88"/>
      <c r="H11230" s="89"/>
      <c r="K11230" s="58"/>
      <c r="L11230" s="91"/>
      <c r="M11230" s="78"/>
    </row>
    <row r="11231">
      <c r="C11231" s="85"/>
      <c r="D11231" s="25"/>
      <c r="E11231" s="77"/>
      <c r="F11231" s="88"/>
      <c r="G11231" s="88"/>
      <c r="H11231" s="89"/>
      <c r="K11231" s="58"/>
      <c r="L11231" s="91"/>
      <c r="M11231" s="78"/>
    </row>
    <row r="11232">
      <c r="C11232" s="85"/>
      <c r="D11232" s="25"/>
      <c r="E11232" s="77"/>
      <c r="F11232" s="88"/>
      <c r="G11232" s="88"/>
      <c r="H11232" s="89"/>
      <c r="K11232" s="58"/>
      <c r="L11232" s="91"/>
      <c r="M11232" s="78"/>
    </row>
    <row r="11233">
      <c r="C11233" s="85"/>
      <c r="D11233" s="25"/>
      <c r="E11233" s="77"/>
      <c r="F11233" s="88"/>
      <c r="G11233" s="88"/>
      <c r="H11233" s="89"/>
      <c r="K11233" s="58"/>
      <c r="L11233" s="91"/>
      <c r="M11233" s="78"/>
    </row>
    <row r="11234">
      <c r="C11234" s="85"/>
      <c r="D11234" s="25"/>
      <c r="E11234" s="77"/>
      <c r="F11234" s="88"/>
      <c r="G11234" s="88"/>
      <c r="H11234" s="89"/>
      <c r="K11234" s="58"/>
      <c r="L11234" s="91"/>
      <c r="M11234" s="78"/>
    </row>
    <row r="11235">
      <c r="C11235" s="85"/>
      <c r="D11235" s="25"/>
      <c r="E11235" s="77"/>
      <c r="F11235" s="88"/>
      <c r="G11235" s="88"/>
      <c r="H11235" s="89"/>
      <c r="K11235" s="58"/>
      <c r="L11235" s="91"/>
      <c r="M11235" s="78"/>
    </row>
    <row r="11236">
      <c r="C11236" s="85"/>
      <c r="D11236" s="25"/>
      <c r="E11236" s="77"/>
      <c r="F11236" s="88"/>
      <c r="G11236" s="88"/>
      <c r="H11236" s="89"/>
      <c r="K11236" s="58"/>
      <c r="L11236" s="91"/>
      <c r="M11236" s="78"/>
    </row>
    <row r="11237">
      <c r="C11237" s="85"/>
      <c r="D11237" s="25"/>
      <c r="E11237" s="77"/>
      <c r="F11237" s="88"/>
      <c r="G11237" s="88"/>
      <c r="H11237" s="89"/>
      <c r="K11237" s="58"/>
      <c r="L11237" s="91"/>
      <c r="M11237" s="78"/>
    </row>
    <row r="11238">
      <c r="C11238" s="85"/>
      <c r="D11238" s="25"/>
      <c r="E11238" s="77"/>
      <c r="F11238" s="88"/>
      <c r="G11238" s="88"/>
      <c r="H11238" s="89"/>
      <c r="K11238" s="58"/>
      <c r="L11238" s="91"/>
      <c r="M11238" s="78"/>
    </row>
    <row r="11239">
      <c r="C11239" s="85"/>
      <c r="D11239" s="25"/>
      <c r="E11239" s="77"/>
      <c r="F11239" s="88"/>
      <c r="G11239" s="88"/>
      <c r="H11239" s="89"/>
      <c r="K11239" s="58"/>
      <c r="L11239" s="91"/>
      <c r="M11239" s="78"/>
    </row>
    <row r="11240">
      <c r="C11240" s="85"/>
      <c r="D11240" s="25"/>
      <c r="E11240" s="77"/>
      <c r="F11240" s="88"/>
      <c r="G11240" s="88"/>
      <c r="H11240" s="89"/>
      <c r="K11240" s="58"/>
      <c r="L11240" s="91"/>
      <c r="M11240" s="78"/>
    </row>
    <row r="11241">
      <c r="C11241" s="85"/>
      <c r="D11241" s="25"/>
      <c r="E11241" s="77"/>
      <c r="F11241" s="88"/>
      <c r="G11241" s="88"/>
      <c r="H11241" s="89"/>
      <c r="K11241" s="58"/>
      <c r="L11241" s="91"/>
      <c r="M11241" s="78"/>
    </row>
    <row r="11242">
      <c r="C11242" s="85"/>
      <c r="D11242" s="25"/>
      <c r="E11242" s="77"/>
      <c r="F11242" s="88"/>
      <c r="G11242" s="88"/>
      <c r="H11242" s="89"/>
      <c r="K11242" s="58"/>
      <c r="L11242" s="91"/>
      <c r="M11242" s="78"/>
    </row>
    <row r="11243">
      <c r="C11243" s="85"/>
      <c r="D11243" s="25"/>
      <c r="E11243" s="77"/>
      <c r="F11243" s="88"/>
      <c r="G11243" s="88"/>
      <c r="H11243" s="89"/>
      <c r="K11243" s="58"/>
      <c r="L11243" s="91"/>
      <c r="M11243" s="78"/>
    </row>
    <row r="11244">
      <c r="C11244" s="85"/>
      <c r="D11244" s="25"/>
      <c r="E11244" s="77"/>
      <c r="F11244" s="88"/>
      <c r="G11244" s="88"/>
      <c r="H11244" s="89"/>
      <c r="K11244" s="58"/>
      <c r="L11244" s="91"/>
      <c r="M11244" s="78"/>
    </row>
    <row r="11245">
      <c r="C11245" s="85"/>
      <c r="D11245" s="25"/>
      <c r="E11245" s="77"/>
      <c r="F11245" s="88"/>
      <c r="G11245" s="88"/>
      <c r="H11245" s="89"/>
      <c r="K11245" s="58"/>
      <c r="L11245" s="91"/>
      <c r="M11245" s="78"/>
    </row>
    <row r="11246">
      <c r="C11246" s="85"/>
      <c r="D11246" s="25"/>
      <c r="E11246" s="77"/>
      <c r="F11246" s="88"/>
      <c r="G11246" s="88"/>
      <c r="H11246" s="89"/>
      <c r="K11246" s="58"/>
      <c r="L11246" s="91"/>
      <c r="M11246" s="78"/>
    </row>
    <row r="11247">
      <c r="C11247" s="85"/>
      <c r="D11247" s="25"/>
      <c r="E11247" s="77"/>
      <c r="F11247" s="88"/>
      <c r="G11247" s="88"/>
      <c r="H11247" s="89"/>
      <c r="K11247" s="58"/>
      <c r="L11247" s="91"/>
      <c r="M11247" s="78"/>
    </row>
    <row r="11248">
      <c r="C11248" s="85"/>
      <c r="D11248" s="25"/>
      <c r="E11248" s="77"/>
      <c r="F11248" s="88"/>
      <c r="G11248" s="88"/>
      <c r="H11248" s="89"/>
      <c r="K11248" s="58"/>
      <c r="L11248" s="91"/>
      <c r="M11248" s="78"/>
    </row>
    <row r="11249">
      <c r="C11249" s="85"/>
      <c r="D11249" s="25"/>
      <c r="E11249" s="77"/>
      <c r="F11249" s="88"/>
      <c r="G11249" s="88"/>
      <c r="H11249" s="89"/>
      <c r="K11249" s="58"/>
      <c r="L11249" s="91"/>
      <c r="M11249" s="78"/>
    </row>
    <row r="11250">
      <c r="C11250" s="85"/>
      <c r="D11250" s="25"/>
      <c r="E11250" s="77"/>
      <c r="F11250" s="88"/>
      <c r="G11250" s="88"/>
      <c r="H11250" s="89"/>
      <c r="K11250" s="58"/>
      <c r="L11250" s="91"/>
      <c r="M11250" s="78"/>
    </row>
    <row r="11251">
      <c r="C11251" s="85"/>
      <c r="D11251" s="25"/>
      <c r="E11251" s="77"/>
      <c r="F11251" s="88"/>
      <c r="G11251" s="88"/>
      <c r="H11251" s="89"/>
      <c r="K11251" s="58"/>
      <c r="L11251" s="91"/>
      <c r="M11251" s="78"/>
    </row>
    <row r="11252">
      <c r="C11252" s="85"/>
      <c r="D11252" s="25"/>
      <c r="E11252" s="77"/>
      <c r="F11252" s="88"/>
      <c r="G11252" s="88"/>
      <c r="H11252" s="89"/>
      <c r="K11252" s="58"/>
      <c r="L11252" s="91"/>
      <c r="M11252" s="78"/>
    </row>
    <row r="11253">
      <c r="C11253" s="85"/>
      <c r="D11253" s="25"/>
      <c r="E11253" s="77"/>
      <c r="F11253" s="88"/>
      <c r="G11253" s="88"/>
      <c r="H11253" s="89"/>
      <c r="K11253" s="58"/>
      <c r="L11253" s="91"/>
      <c r="M11253" s="78"/>
    </row>
    <row r="11254">
      <c r="C11254" s="85"/>
      <c r="D11254" s="25"/>
      <c r="E11254" s="77"/>
      <c r="F11254" s="88"/>
      <c r="G11254" s="88"/>
      <c r="H11254" s="89"/>
      <c r="K11254" s="58"/>
      <c r="L11254" s="91"/>
      <c r="M11254" s="78"/>
    </row>
    <row r="11255">
      <c r="C11255" s="85"/>
      <c r="D11255" s="25"/>
      <c r="E11255" s="77"/>
      <c r="F11255" s="88"/>
      <c r="G11255" s="88"/>
      <c r="H11255" s="89"/>
      <c r="K11255" s="58"/>
      <c r="L11255" s="91"/>
      <c r="M11255" s="78"/>
    </row>
    <row r="11256">
      <c r="C11256" s="85"/>
      <c r="D11256" s="25"/>
      <c r="E11256" s="77"/>
      <c r="F11256" s="88"/>
      <c r="G11256" s="88"/>
      <c r="H11256" s="89"/>
      <c r="K11256" s="58"/>
      <c r="L11256" s="91"/>
      <c r="M11256" s="78"/>
    </row>
    <row r="11257">
      <c r="C11257" s="85"/>
      <c r="D11257" s="25"/>
      <c r="E11257" s="77"/>
      <c r="F11257" s="88"/>
      <c r="G11257" s="88"/>
      <c r="H11257" s="89"/>
      <c r="K11257" s="58"/>
      <c r="L11257" s="91"/>
      <c r="M11257" s="78"/>
    </row>
    <row r="11258">
      <c r="C11258" s="85"/>
      <c r="D11258" s="25"/>
      <c r="E11258" s="77"/>
      <c r="F11258" s="88"/>
      <c r="G11258" s="88"/>
      <c r="H11258" s="89"/>
      <c r="K11258" s="58"/>
      <c r="L11258" s="91"/>
      <c r="M11258" s="78"/>
    </row>
    <row r="11259">
      <c r="C11259" s="85"/>
      <c r="D11259" s="25"/>
      <c r="E11259" s="77"/>
      <c r="F11259" s="88"/>
      <c r="G11259" s="88"/>
      <c r="H11259" s="89"/>
      <c r="K11259" s="58"/>
      <c r="L11259" s="91"/>
      <c r="M11259" s="78"/>
    </row>
    <row r="11260">
      <c r="C11260" s="85"/>
      <c r="D11260" s="25"/>
      <c r="E11260" s="77"/>
      <c r="F11260" s="88"/>
      <c r="G11260" s="88"/>
      <c r="H11260" s="89"/>
      <c r="K11260" s="58"/>
      <c r="L11260" s="91"/>
      <c r="M11260" s="78"/>
    </row>
    <row r="11261">
      <c r="C11261" s="85"/>
      <c r="D11261" s="25"/>
      <c r="E11261" s="77"/>
      <c r="F11261" s="88"/>
      <c r="G11261" s="88"/>
      <c r="H11261" s="89"/>
      <c r="K11261" s="58"/>
      <c r="L11261" s="91"/>
      <c r="M11261" s="78"/>
    </row>
    <row r="11262">
      <c r="C11262" s="85"/>
      <c r="D11262" s="25"/>
      <c r="E11262" s="77"/>
      <c r="F11262" s="88"/>
      <c r="G11262" s="88"/>
      <c r="H11262" s="89"/>
      <c r="K11262" s="58"/>
      <c r="L11262" s="91"/>
      <c r="M11262" s="78"/>
    </row>
    <row r="11263">
      <c r="C11263" s="85"/>
      <c r="D11263" s="25"/>
      <c r="E11263" s="77"/>
      <c r="F11263" s="88"/>
      <c r="G11263" s="88"/>
      <c r="H11263" s="89"/>
      <c r="K11263" s="58"/>
      <c r="L11263" s="91"/>
      <c r="M11263" s="78"/>
    </row>
    <row r="11264">
      <c r="C11264" s="85"/>
      <c r="D11264" s="25"/>
      <c r="E11264" s="77"/>
      <c r="F11264" s="88"/>
      <c r="G11264" s="88"/>
      <c r="H11264" s="89"/>
      <c r="K11264" s="58"/>
      <c r="L11264" s="91"/>
      <c r="M11264" s="78"/>
    </row>
    <row r="11265">
      <c r="C11265" s="85"/>
      <c r="D11265" s="25"/>
      <c r="E11265" s="77"/>
      <c r="F11265" s="88"/>
      <c r="G11265" s="88"/>
      <c r="H11265" s="89"/>
      <c r="K11265" s="58"/>
      <c r="L11265" s="91"/>
      <c r="M11265" s="78"/>
    </row>
    <row r="11266">
      <c r="C11266" s="85"/>
      <c r="D11266" s="25"/>
      <c r="E11266" s="77"/>
      <c r="F11266" s="88"/>
      <c r="G11266" s="88"/>
      <c r="H11266" s="89"/>
      <c r="K11266" s="58"/>
      <c r="L11266" s="91"/>
      <c r="M11266" s="78"/>
    </row>
    <row r="11267">
      <c r="C11267" s="85"/>
      <c r="D11267" s="25"/>
      <c r="E11267" s="77"/>
      <c r="F11267" s="88"/>
      <c r="G11267" s="88"/>
      <c r="H11267" s="89"/>
      <c r="K11267" s="58"/>
      <c r="L11267" s="91"/>
      <c r="M11267" s="78"/>
    </row>
    <row r="11268">
      <c r="C11268" s="85"/>
      <c r="D11268" s="25"/>
      <c r="E11268" s="77"/>
      <c r="F11268" s="88"/>
      <c r="G11268" s="88"/>
      <c r="H11268" s="89"/>
      <c r="K11268" s="58"/>
      <c r="L11268" s="91"/>
      <c r="M11268" s="78"/>
    </row>
    <row r="11269">
      <c r="C11269" s="85"/>
      <c r="D11269" s="25"/>
      <c r="E11269" s="77"/>
      <c r="F11269" s="88"/>
      <c r="G11269" s="88"/>
      <c r="H11269" s="89"/>
      <c r="K11269" s="58"/>
      <c r="L11269" s="91"/>
      <c r="M11269" s="78"/>
    </row>
    <row r="11270">
      <c r="C11270" s="85"/>
      <c r="D11270" s="25"/>
      <c r="E11270" s="77"/>
      <c r="F11270" s="88"/>
      <c r="G11270" s="88"/>
      <c r="H11270" s="89"/>
      <c r="K11270" s="58"/>
      <c r="L11270" s="91"/>
      <c r="M11270" s="78"/>
    </row>
    <row r="11271">
      <c r="C11271" s="85"/>
      <c r="D11271" s="25"/>
      <c r="E11271" s="77"/>
      <c r="F11271" s="88"/>
      <c r="G11271" s="88"/>
      <c r="H11271" s="89"/>
      <c r="K11271" s="58"/>
      <c r="L11271" s="91"/>
      <c r="M11271" s="78"/>
    </row>
    <row r="11272">
      <c r="C11272" s="85"/>
      <c r="D11272" s="25"/>
      <c r="E11272" s="77"/>
      <c r="F11272" s="88"/>
      <c r="G11272" s="88"/>
      <c r="H11272" s="89"/>
      <c r="K11272" s="58"/>
      <c r="L11272" s="91"/>
      <c r="M11272" s="78"/>
    </row>
    <row r="11273">
      <c r="C11273" s="85"/>
      <c r="D11273" s="25"/>
      <c r="E11273" s="77"/>
      <c r="F11273" s="88"/>
      <c r="G11273" s="88"/>
      <c r="H11273" s="89"/>
      <c r="K11273" s="58"/>
      <c r="L11273" s="91"/>
      <c r="M11273" s="78"/>
    </row>
    <row r="11274">
      <c r="C11274" s="85"/>
      <c r="D11274" s="25"/>
      <c r="E11274" s="77"/>
      <c r="F11274" s="88"/>
      <c r="G11274" s="88"/>
      <c r="H11274" s="89"/>
      <c r="K11274" s="58"/>
      <c r="L11274" s="91"/>
      <c r="M11274" s="78"/>
    </row>
    <row r="11275">
      <c r="C11275" s="85"/>
      <c r="D11275" s="25"/>
      <c r="E11275" s="77"/>
      <c r="F11275" s="88"/>
      <c r="G11275" s="88"/>
      <c r="H11275" s="89"/>
      <c r="K11275" s="58"/>
      <c r="L11275" s="91"/>
      <c r="M11275" s="78"/>
    </row>
    <row r="11276">
      <c r="C11276" s="85"/>
      <c r="D11276" s="25"/>
      <c r="E11276" s="77"/>
      <c r="F11276" s="88"/>
      <c r="G11276" s="88"/>
      <c r="H11276" s="89"/>
      <c r="K11276" s="58"/>
      <c r="L11276" s="91"/>
      <c r="M11276" s="78"/>
    </row>
    <row r="11277">
      <c r="C11277" s="85"/>
      <c r="D11277" s="25"/>
      <c r="E11277" s="77"/>
      <c r="F11277" s="88"/>
      <c r="G11277" s="88"/>
      <c r="H11277" s="89"/>
      <c r="K11277" s="58"/>
      <c r="L11277" s="91"/>
      <c r="M11277" s="78"/>
    </row>
    <row r="11278">
      <c r="C11278" s="85"/>
      <c r="D11278" s="25"/>
      <c r="E11278" s="77"/>
      <c r="F11278" s="88"/>
      <c r="G11278" s="88"/>
      <c r="H11278" s="89"/>
      <c r="K11278" s="58"/>
      <c r="L11278" s="91"/>
      <c r="M11278" s="78"/>
    </row>
    <row r="11279">
      <c r="C11279" s="85"/>
      <c r="D11279" s="25"/>
      <c r="E11279" s="77"/>
      <c r="F11279" s="88"/>
      <c r="G11279" s="88"/>
      <c r="H11279" s="89"/>
      <c r="K11279" s="58"/>
      <c r="L11279" s="91"/>
      <c r="M11279" s="78"/>
    </row>
    <row r="11280">
      <c r="C11280" s="85"/>
      <c r="D11280" s="25"/>
      <c r="E11280" s="77"/>
      <c r="F11280" s="88"/>
      <c r="G11280" s="88"/>
      <c r="H11280" s="89"/>
      <c r="K11280" s="58"/>
      <c r="L11280" s="91"/>
      <c r="M11280" s="78"/>
    </row>
    <row r="11281">
      <c r="C11281" s="85"/>
      <c r="D11281" s="25"/>
      <c r="E11281" s="77"/>
      <c r="F11281" s="88"/>
      <c r="G11281" s="88"/>
      <c r="H11281" s="89"/>
      <c r="K11281" s="58"/>
      <c r="L11281" s="91"/>
      <c r="M11281" s="78"/>
    </row>
    <row r="11282">
      <c r="C11282" s="85"/>
      <c r="D11282" s="25"/>
      <c r="E11282" s="77"/>
      <c r="F11282" s="88"/>
      <c r="G11282" s="88"/>
      <c r="H11282" s="89"/>
      <c r="K11282" s="58"/>
      <c r="L11282" s="91"/>
      <c r="M11282" s="78"/>
    </row>
    <row r="11283">
      <c r="C11283" s="85"/>
      <c r="D11283" s="25"/>
      <c r="E11283" s="77"/>
      <c r="F11283" s="88"/>
      <c r="G11283" s="88"/>
      <c r="H11283" s="89"/>
      <c r="K11283" s="58"/>
      <c r="L11283" s="91"/>
      <c r="M11283" s="78"/>
    </row>
    <row r="11284">
      <c r="C11284" s="85"/>
      <c r="D11284" s="25"/>
      <c r="E11284" s="77"/>
      <c r="F11284" s="88"/>
      <c r="G11284" s="88"/>
      <c r="H11284" s="89"/>
      <c r="K11284" s="58"/>
      <c r="L11284" s="91"/>
      <c r="M11284" s="78"/>
    </row>
    <row r="11285">
      <c r="C11285" s="85"/>
      <c r="D11285" s="25"/>
      <c r="E11285" s="77"/>
      <c r="F11285" s="88"/>
      <c r="G11285" s="88"/>
      <c r="H11285" s="89"/>
      <c r="K11285" s="58"/>
      <c r="L11285" s="91"/>
      <c r="M11285" s="78"/>
    </row>
    <row r="11286">
      <c r="C11286" s="85"/>
      <c r="D11286" s="25"/>
      <c r="E11286" s="77"/>
      <c r="F11286" s="88"/>
      <c r="G11286" s="88"/>
      <c r="H11286" s="89"/>
      <c r="K11286" s="58"/>
      <c r="L11286" s="91"/>
      <c r="M11286" s="78"/>
    </row>
    <row r="11287">
      <c r="C11287" s="85"/>
      <c r="D11287" s="25"/>
      <c r="E11287" s="77"/>
      <c r="F11287" s="88"/>
      <c r="G11287" s="88"/>
      <c r="H11287" s="89"/>
      <c r="K11287" s="58"/>
      <c r="L11287" s="91"/>
      <c r="M11287" s="78"/>
    </row>
    <row r="11288">
      <c r="C11288" s="85"/>
      <c r="D11288" s="25"/>
      <c r="E11288" s="77"/>
      <c r="F11288" s="88"/>
      <c r="G11288" s="88"/>
      <c r="H11288" s="89"/>
      <c r="K11288" s="58"/>
      <c r="L11288" s="91"/>
      <c r="M11288" s="78"/>
    </row>
    <row r="11289">
      <c r="C11289" s="85"/>
      <c r="D11289" s="25"/>
      <c r="E11289" s="77"/>
      <c r="F11289" s="88"/>
      <c r="G11289" s="88"/>
      <c r="H11289" s="89"/>
      <c r="K11289" s="58"/>
      <c r="L11289" s="91"/>
      <c r="M11289" s="78"/>
    </row>
    <row r="11290">
      <c r="C11290" s="85"/>
      <c r="D11290" s="25"/>
      <c r="E11290" s="77"/>
      <c r="F11290" s="88"/>
      <c r="G11290" s="88"/>
      <c r="H11290" s="89"/>
      <c r="K11290" s="58"/>
      <c r="L11290" s="91"/>
      <c r="M11290" s="78"/>
    </row>
    <row r="11291">
      <c r="C11291" s="85"/>
      <c r="D11291" s="25"/>
      <c r="E11291" s="77"/>
      <c r="F11291" s="88"/>
      <c r="G11291" s="88"/>
      <c r="H11291" s="89"/>
      <c r="K11291" s="58"/>
      <c r="L11291" s="91"/>
      <c r="M11291" s="78"/>
    </row>
    <row r="11292">
      <c r="C11292" s="85"/>
      <c r="D11292" s="25"/>
      <c r="E11292" s="77"/>
      <c r="F11292" s="88"/>
      <c r="G11292" s="88"/>
      <c r="H11292" s="89"/>
      <c r="K11292" s="58"/>
      <c r="L11292" s="91"/>
      <c r="M11292" s="78"/>
    </row>
    <row r="11293">
      <c r="C11293" s="85"/>
      <c r="D11293" s="25"/>
      <c r="E11293" s="77"/>
      <c r="F11293" s="88"/>
      <c r="G11293" s="88"/>
      <c r="H11293" s="89"/>
      <c r="K11293" s="58"/>
      <c r="L11293" s="91"/>
      <c r="M11293" s="78"/>
    </row>
    <row r="11294">
      <c r="C11294" s="85"/>
      <c r="D11294" s="25"/>
      <c r="E11294" s="77"/>
      <c r="F11294" s="88"/>
      <c r="G11294" s="88"/>
      <c r="H11294" s="89"/>
      <c r="K11294" s="58"/>
      <c r="L11294" s="91"/>
      <c r="M11294" s="78"/>
    </row>
    <row r="11295">
      <c r="C11295" s="85"/>
      <c r="D11295" s="25"/>
      <c r="E11295" s="77"/>
      <c r="F11295" s="88"/>
      <c r="G11295" s="88"/>
      <c r="H11295" s="89"/>
      <c r="K11295" s="58"/>
      <c r="L11295" s="91"/>
      <c r="M11295" s="78"/>
    </row>
    <row r="11296">
      <c r="C11296" s="85"/>
      <c r="D11296" s="25"/>
      <c r="E11296" s="77"/>
      <c r="F11296" s="88"/>
      <c r="G11296" s="88"/>
      <c r="H11296" s="89"/>
      <c r="K11296" s="58"/>
      <c r="L11296" s="91"/>
      <c r="M11296" s="78"/>
    </row>
    <row r="11297">
      <c r="C11297" s="85"/>
      <c r="D11297" s="25"/>
      <c r="E11297" s="77"/>
      <c r="F11297" s="88"/>
      <c r="G11297" s="88"/>
      <c r="H11297" s="89"/>
      <c r="K11297" s="58"/>
      <c r="L11297" s="91"/>
      <c r="M11297" s="78"/>
    </row>
    <row r="11298">
      <c r="C11298" s="85"/>
      <c r="D11298" s="25"/>
      <c r="E11298" s="77"/>
      <c r="F11298" s="88"/>
      <c r="G11298" s="88"/>
      <c r="H11298" s="89"/>
      <c r="K11298" s="58"/>
      <c r="L11298" s="91"/>
      <c r="M11298" s="78"/>
    </row>
    <row r="11299">
      <c r="C11299" s="85"/>
      <c r="D11299" s="25"/>
      <c r="E11299" s="77"/>
      <c r="F11299" s="88"/>
      <c r="G11299" s="88"/>
      <c r="H11299" s="89"/>
      <c r="K11299" s="58"/>
      <c r="L11299" s="91"/>
      <c r="M11299" s="78"/>
    </row>
    <row r="11300">
      <c r="C11300" s="85"/>
      <c r="D11300" s="25"/>
      <c r="E11300" s="77"/>
      <c r="F11300" s="88"/>
      <c r="G11300" s="88"/>
      <c r="H11300" s="89"/>
      <c r="K11300" s="58"/>
      <c r="L11300" s="91"/>
      <c r="M11300" s="78"/>
    </row>
    <row r="11301">
      <c r="C11301" s="85"/>
      <c r="D11301" s="25"/>
      <c r="E11301" s="77"/>
      <c r="F11301" s="88"/>
      <c r="G11301" s="88"/>
      <c r="H11301" s="89"/>
      <c r="K11301" s="58"/>
      <c r="L11301" s="91"/>
      <c r="M11301" s="78"/>
    </row>
    <row r="11302">
      <c r="C11302" s="85"/>
      <c r="D11302" s="25"/>
      <c r="E11302" s="77"/>
      <c r="F11302" s="88"/>
      <c r="G11302" s="88"/>
      <c r="H11302" s="89"/>
      <c r="K11302" s="58"/>
      <c r="L11302" s="91"/>
      <c r="M11302" s="78"/>
    </row>
    <row r="11303">
      <c r="C11303" s="85"/>
      <c r="D11303" s="25"/>
      <c r="E11303" s="77"/>
      <c r="F11303" s="88"/>
      <c r="G11303" s="88"/>
      <c r="H11303" s="89"/>
      <c r="K11303" s="58"/>
      <c r="L11303" s="91"/>
      <c r="M11303" s="78"/>
    </row>
    <row r="11304">
      <c r="C11304" s="85"/>
      <c r="D11304" s="25"/>
      <c r="E11304" s="77"/>
      <c r="F11304" s="88"/>
      <c r="G11304" s="88"/>
      <c r="H11304" s="89"/>
      <c r="K11304" s="58"/>
      <c r="L11304" s="91"/>
      <c r="M11304" s="78"/>
    </row>
    <row r="11305">
      <c r="C11305" s="85"/>
      <c r="D11305" s="25"/>
      <c r="E11305" s="77"/>
      <c r="F11305" s="88"/>
      <c r="G11305" s="88"/>
      <c r="H11305" s="89"/>
      <c r="K11305" s="58"/>
      <c r="L11305" s="91"/>
      <c r="M11305" s="78"/>
    </row>
    <row r="11306">
      <c r="C11306" s="85"/>
      <c r="D11306" s="25"/>
      <c r="E11306" s="77"/>
      <c r="F11306" s="88"/>
      <c r="G11306" s="88"/>
      <c r="H11306" s="89"/>
      <c r="K11306" s="58"/>
      <c r="L11306" s="91"/>
      <c r="M11306" s="78"/>
    </row>
    <row r="11307">
      <c r="C11307" s="85"/>
      <c r="D11307" s="25"/>
      <c r="E11307" s="77"/>
      <c r="F11307" s="88"/>
      <c r="G11307" s="88"/>
      <c r="H11307" s="89"/>
      <c r="K11307" s="58"/>
      <c r="L11307" s="91"/>
      <c r="M11307" s="78"/>
    </row>
    <row r="11308">
      <c r="C11308" s="85"/>
      <c r="D11308" s="25"/>
      <c r="E11308" s="77"/>
      <c r="F11308" s="88"/>
      <c r="G11308" s="88"/>
      <c r="H11308" s="89"/>
      <c r="K11308" s="58"/>
      <c r="L11308" s="91"/>
      <c r="M11308" s="78"/>
    </row>
    <row r="11309">
      <c r="C11309" s="85"/>
      <c r="D11309" s="25"/>
      <c r="E11309" s="77"/>
      <c r="F11309" s="88"/>
      <c r="G11309" s="88"/>
      <c r="H11309" s="89"/>
      <c r="K11309" s="58"/>
      <c r="L11309" s="91"/>
      <c r="M11309" s="78"/>
    </row>
    <row r="11310">
      <c r="C11310" s="85"/>
      <c r="D11310" s="25"/>
      <c r="E11310" s="77"/>
      <c r="F11310" s="88"/>
      <c r="G11310" s="88"/>
      <c r="H11310" s="89"/>
      <c r="K11310" s="58"/>
      <c r="L11310" s="91"/>
      <c r="M11310" s="78"/>
    </row>
    <row r="11311">
      <c r="C11311" s="85"/>
      <c r="D11311" s="25"/>
      <c r="E11311" s="77"/>
      <c r="F11311" s="88"/>
      <c r="G11311" s="88"/>
      <c r="H11311" s="89"/>
      <c r="K11311" s="58"/>
      <c r="L11311" s="91"/>
      <c r="M11311" s="78"/>
    </row>
    <row r="11312">
      <c r="C11312" s="85"/>
      <c r="D11312" s="25"/>
      <c r="E11312" s="77"/>
      <c r="F11312" s="88"/>
      <c r="G11312" s="88"/>
      <c r="H11312" s="89"/>
      <c r="K11312" s="58"/>
      <c r="L11312" s="91"/>
      <c r="M11312" s="78"/>
    </row>
    <row r="11313">
      <c r="C11313" s="85"/>
      <c r="D11313" s="25"/>
      <c r="E11313" s="77"/>
      <c r="F11313" s="88"/>
      <c r="G11313" s="88"/>
      <c r="H11313" s="89"/>
      <c r="K11313" s="58"/>
      <c r="L11313" s="91"/>
      <c r="M11313" s="78"/>
    </row>
    <row r="11314">
      <c r="C11314" s="85"/>
      <c r="D11314" s="25"/>
      <c r="E11314" s="77"/>
      <c r="F11314" s="88"/>
      <c r="G11314" s="88"/>
      <c r="H11314" s="89"/>
      <c r="K11314" s="58"/>
      <c r="L11314" s="91"/>
      <c r="M11314" s="78"/>
    </row>
    <row r="11315">
      <c r="C11315" s="85"/>
      <c r="D11315" s="25"/>
      <c r="E11315" s="77"/>
      <c r="F11315" s="88"/>
      <c r="G11315" s="88"/>
      <c r="H11315" s="89"/>
      <c r="K11315" s="58"/>
      <c r="L11315" s="91"/>
      <c r="M11315" s="78"/>
    </row>
    <row r="11316">
      <c r="C11316" s="85"/>
      <c r="D11316" s="25"/>
      <c r="E11316" s="77"/>
      <c r="F11316" s="88"/>
      <c r="G11316" s="88"/>
      <c r="H11316" s="89"/>
      <c r="K11316" s="58"/>
      <c r="L11316" s="91"/>
      <c r="M11316" s="78"/>
    </row>
    <row r="11317">
      <c r="C11317" s="85"/>
      <c r="D11317" s="25"/>
      <c r="E11317" s="77"/>
      <c r="F11317" s="88"/>
      <c r="G11317" s="88"/>
      <c r="H11317" s="89"/>
      <c r="K11317" s="58"/>
      <c r="L11317" s="91"/>
      <c r="M11317" s="78"/>
    </row>
    <row r="11318">
      <c r="C11318" s="85"/>
      <c r="D11318" s="25"/>
      <c r="E11318" s="77"/>
      <c r="F11318" s="88"/>
      <c r="G11318" s="88"/>
      <c r="H11318" s="89"/>
      <c r="K11318" s="58"/>
      <c r="L11318" s="91"/>
      <c r="M11318" s="78"/>
    </row>
    <row r="11319">
      <c r="C11319" s="85"/>
      <c r="D11319" s="25"/>
      <c r="E11319" s="77"/>
      <c r="F11319" s="88"/>
      <c r="G11319" s="88"/>
      <c r="H11319" s="89"/>
      <c r="K11319" s="58"/>
      <c r="L11319" s="91"/>
      <c r="M11319" s="78"/>
    </row>
    <row r="11320">
      <c r="C11320" s="85"/>
      <c r="D11320" s="25"/>
      <c r="E11320" s="77"/>
      <c r="F11320" s="88"/>
      <c r="G11320" s="88"/>
      <c r="H11320" s="89"/>
      <c r="K11320" s="58"/>
      <c r="L11320" s="91"/>
      <c r="M11320" s="78"/>
    </row>
    <row r="11321">
      <c r="C11321" s="85"/>
      <c r="D11321" s="25"/>
      <c r="E11321" s="77"/>
      <c r="F11321" s="88"/>
      <c r="G11321" s="88"/>
      <c r="H11321" s="89"/>
      <c r="K11321" s="58"/>
      <c r="L11321" s="91"/>
      <c r="M11321" s="78"/>
    </row>
    <row r="11322">
      <c r="C11322" s="85"/>
      <c r="D11322" s="25"/>
      <c r="E11322" s="77"/>
      <c r="F11322" s="88"/>
      <c r="G11322" s="88"/>
      <c r="H11322" s="89"/>
      <c r="K11322" s="58"/>
      <c r="L11322" s="91"/>
      <c r="M11322" s="78"/>
    </row>
    <row r="11323">
      <c r="C11323" s="85"/>
      <c r="D11323" s="25"/>
      <c r="E11323" s="77"/>
      <c r="F11323" s="88"/>
      <c r="G11323" s="88"/>
      <c r="H11323" s="89"/>
      <c r="K11323" s="58"/>
      <c r="L11323" s="91"/>
      <c r="M11323" s="78"/>
    </row>
    <row r="11324">
      <c r="C11324" s="85"/>
      <c r="D11324" s="25"/>
      <c r="E11324" s="77"/>
      <c r="F11324" s="88"/>
      <c r="G11324" s="88"/>
      <c r="H11324" s="89"/>
      <c r="K11324" s="58"/>
      <c r="L11324" s="91"/>
      <c r="M11324" s="78"/>
    </row>
    <row r="11325">
      <c r="C11325" s="85"/>
      <c r="D11325" s="25"/>
      <c r="E11325" s="77"/>
      <c r="F11325" s="88"/>
      <c r="G11325" s="88"/>
      <c r="H11325" s="89"/>
      <c r="K11325" s="58"/>
      <c r="L11325" s="91"/>
      <c r="M11325" s="78"/>
    </row>
    <row r="11326">
      <c r="C11326" s="85"/>
      <c r="D11326" s="25"/>
      <c r="E11326" s="77"/>
      <c r="F11326" s="88"/>
      <c r="G11326" s="88"/>
      <c r="H11326" s="89"/>
      <c r="K11326" s="58"/>
      <c r="L11326" s="91"/>
      <c r="M11326" s="78"/>
    </row>
    <row r="11327">
      <c r="C11327" s="85"/>
      <c r="D11327" s="25"/>
      <c r="E11327" s="77"/>
      <c r="F11327" s="88"/>
      <c r="G11327" s="88"/>
      <c r="H11327" s="89"/>
      <c r="K11327" s="58"/>
      <c r="L11327" s="91"/>
      <c r="M11327" s="78"/>
    </row>
    <row r="11328">
      <c r="C11328" s="85"/>
      <c r="D11328" s="25"/>
      <c r="E11328" s="77"/>
      <c r="F11328" s="88"/>
      <c r="G11328" s="88"/>
      <c r="H11328" s="89"/>
      <c r="K11328" s="58"/>
      <c r="L11328" s="91"/>
      <c r="M11328" s="78"/>
    </row>
    <row r="11329">
      <c r="C11329" s="85"/>
      <c r="D11329" s="25"/>
      <c r="E11329" s="77"/>
      <c r="F11329" s="88"/>
      <c r="G11329" s="88"/>
      <c r="H11329" s="89"/>
      <c r="K11329" s="58"/>
      <c r="L11329" s="91"/>
      <c r="M11329" s="78"/>
    </row>
    <row r="11330">
      <c r="C11330" s="85"/>
      <c r="D11330" s="25"/>
      <c r="E11330" s="77"/>
      <c r="F11330" s="88"/>
      <c r="G11330" s="88"/>
      <c r="H11330" s="89"/>
      <c r="K11330" s="58"/>
      <c r="L11330" s="91"/>
      <c r="M11330" s="78"/>
    </row>
    <row r="11331">
      <c r="C11331" s="85"/>
      <c r="D11331" s="25"/>
      <c r="E11331" s="77"/>
      <c r="F11331" s="88"/>
      <c r="G11331" s="88"/>
      <c r="H11331" s="89"/>
      <c r="K11331" s="58"/>
      <c r="L11331" s="91"/>
      <c r="M11331" s="78"/>
    </row>
    <row r="11332">
      <c r="C11332" s="85"/>
      <c r="D11332" s="25"/>
      <c r="E11332" s="77"/>
      <c r="F11332" s="88"/>
      <c r="G11332" s="88"/>
      <c r="H11332" s="89"/>
      <c r="K11332" s="58"/>
      <c r="L11332" s="91"/>
      <c r="M11332" s="78"/>
    </row>
    <row r="11333">
      <c r="C11333" s="85"/>
      <c r="D11333" s="25"/>
      <c r="E11333" s="77"/>
      <c r="F11333" s="88"/>
      <c r="G11333" s="88"/>
      <c r="H11333" s="89"/>
      <c r="K11333" s="58"/>
      <c r="L11333" s="91"/>
      <c r="M11333" s="78"/>
    </row>
    <row r="11334">
      <c r="C11334" s="85"/>
      <c r="D11334" s="25"/>
      <c r="E11334" s="77"/>
      <c r="F11334" s="88"/>
      <c r="G11334" s="88"/>
      <c r="H11334" s="89"/>
      <c r="K11334" s="58"/>
      <c r="L11334" s="91"/>
      <c r="M11334" s="78"/>
    </row>
    <row r="11335">
      <c r="C11335" s="85"/>
      <c r="D11335" s="25"/>
      <c r="E11335" s="77"/>
      <c r="F11335" s="88"/>
      <c r="G11335" s="88"/>
      <c r="H11335" s="89"/>
      <c r="K11335" s="58"/>
      <c r="L11335" s="91"/>
      <c r="M11335" s="78"/>
    </row>
    <row r="11336">
      <c r="C11336" s="85"/>
      <c r="D11336" s="25"/>
      <c r="E11336" s="77"/>
      <c r="F11336" s="88"/>
      <c r="G11336" s="88"/>
      <c r="H11336" s="89"/>
      <c r="K11336" s="58"/>
      <c r="L11336" s="91"/>
      <c r="M11336" s="78"/>
    </row>
    <row r="11337">
      <c r="C11337" s="85"/>
      <c r="D11337" s="25"/>
      <c r="E11337" s="77"/>
      <c r="F11337" s="88"/>
      <c r="G11337" s="88"/>
      <c r="H11337" s="89"/>
      <c r="K11337" s="58"/>
      <c r="L11337" s="91"/>
      <c r="M11337" s="78"/>
    </row>
    <row r="11338">
      <c r="C11338" s="85"/>
      <c r="D11338" s="25"/>
      <c r="E11338" s="77"/>
      <c r="F11338" s="88"/>
      <c r="G11338" s="88"/>
      <c r="H11338" s="89"/>
      <c r="K11338" s="58"/>
      <c r="L11338" s="91"/>
      <c r="M11338" s="78"/>
    </row>
    <row r="11339">
      <c r="C11339" s="85"/>
      <c r="D11339" s="25"/>
      <c r="E11339" s="77"/>
      <c r="F11339" s="88"/>
      <c r="G11339" s="88"/>
      <c r="H11339" s="89"/>
      <c r="K11339" s="58"/>
      <c r="L11339" s="91"/>
      <c r="M11339" s="78"/>
    </row>
    <row r="11340">
      <c r="C11340" s="85"/>
      <c r="D11340" s="25"/>
      <c r="E11340" s="77"/>
      <c r="F11340" s="88"/>
      <c r="G11340" s="88"/>
      <c r="H11340" s="89"/>
      <c r="K11340" s="58"/>
      <c r="L11340" s="91"/>
      <c r="M11340" s="78"/>
    </row>
    <row r="11341">
      <c r="C11341" s="85"/>
      <c r="D11341" s="25"/>
      <c r="E11341" s="77"/>
      <c r="F11341" s="88"/>
      <c r="G11341" s="88"/>
      <c r="H11341" s="89"/>
      <c r="K11341" s="58"/>
      <c r="L11341" s="91"/>
      <c r="M11341" s="78"/>
    </row>
    <row r="11342">
      <c r="C11342" s="85"/>
      <c r="D11342" s="25"/>
      <c r="E11342" s="77"/>
      <c r="F11342" s="88"/>
      <c r="G11342" s="88"/>
      <c r="H11342" s="89"/>
      <c r="K11342" s="58"/>
      <c r="L11342" s="91"/>
      <c r="M11342" s="78"/>
    </row>
    <row r="11343">
      <c r="C11343" s="85"/>
      <c r="D11343" s="25"/>
      <c r="E11343" s="77"/>
      <c r="F11343" s="88"/>
      <c r="G11343" s="88"/>
      <c r="H11343" s="89"/>
      <c r="K11343" s="58"/>
      <c r="L11343" s="91"/>
      <c r="M11343" s="78"/>
    </row>
    <row r="11344">
      <c r="C11344" s="85"/>
      <c r="D11344" s="25"/>
      <c r="E11344" s="77"/>
      <c r="F11344" s="88"/>
      <c r="G11344" s="88"/>
      <c r="H11344" s="89"/>
      <c r="K11344" s="58"/>
      <c r="L11344" s="91"/>
      <c r="M11344" s="78"/>
    </row>
    <row r="11345">
      <c r="C11345" s="85"/>
      <c r="D11345" s="25"/>
      <c r="E11345" s="77"/>
      <c r="F11345" s="88"/>
      <c r="G11345" s="88"/>
      <c r="H11345" s="89"/>
      <c r="K11345" s="58"/>
      <c r="L11345" s="91"/>
      <c r="M11345" s="78"/>
    </row>
    <row r="11346">
      <c r="C11346" s="85"/>
      <c r="D11346" s="25"/>
      <c r="E11346" s="77"/>
      <c r="F11346" s="88"/>
      <c r="G11346" s="88"/>
      <c r="H11346" s="89"/>
      <c r="K11346" s="58"/>
      <c r="L11346" s="91"/>
      <c r="M11346" s="78"/>
    </row>
    <row r="11347">
      <c r="C11347" s="85"/>
      <c r="D11347" s="25"/>
      <c r="E11347" s="77"/>
      <c r="F11347" s="88"/>
      <c r="G11347" s="88"/>
      <c r="H11347" s="89"/>
      <c r="K11347" s="58"/>
      <c r="L11347" s="91"/>
      <c r="M11347" s="78"/>
    </row>
    <row r="11348">
      <c r="C11348" s="85"/>
      <c r="D11348" s="25"/>
      <c r="E11348" s="77"/>
      <c r="F11348" s="88"/>
      <c r="G11348" s="88"/>
      <c r="H11348" s="89"/>
      <c r="K11348" s="58"/>
      <c r="L11348" s="91"/>
      <c r="M11348" s="78"/>
    </row>
    <row r="11349">
      <c r="C11349" s="85"/>
      <c r="D11349" s="25"/>
      <c r="E11349" s="77"/>
      <c r="F11349" s="88"/>
      <c r="G11349" s="88"/>
      <c r="H11349" s="89"/>
      <c r="K11349" s="58"/>
      <c r="L11349" s="91"/>
      <c r="M11349" s="78"/>
    </row>
    <row r="11350">
      <c r="C11350" s="85"/>
      <c r="D11350" s="25"/>
      <c r="E11350" s="77"/>
      <c r="F11350" s="88"/>
      <c r="G11350" s="88"/>
      <c r="H11350" s="89"/>
      <c r="K11350" s="58"/>
      <c r="L11350" s="91"/>
      <c r="M11350" s="78"/>
    </row>
    <row r="11351">
      <c r="C11351" s="85"/>
      <c r="D11351" s="25"/>
      <c r="E11351" s="77"/>
      <c r="F11351" s="88"/>
      <c r="G11351" s="88"/>
      <c r="H11351" s="89"/>
      <c r="K11351" s="58"/>
      <c r="L11351" s="91"/>
      <c r="M11351" s="78"/>
    </row>
    <row r="11352">
      <c r="C11352" s="85"/>
      <c r="D11352" s="25"/>
      <c r="E11352" s="77"/>
      <c r="F11352" s="88"/>
      <c r="G11352" s="88"/>
      <c r="H11352" s="89"/>
      <c r="K11352" s="58"/>
      <c r="L11352" s="91"/>
      <c r="M11352" s="78"/>
    </row>
    <row r="11353">
      <c r="C11353" s="85"/>
      <c r="D11353" s="25"/>
      <c r="E11353" s="77"/>
      <c r="F11353" s="88"/>
      <c r="G11353" s="88"/>
      <c r="H11353" s="89"/>
      <c r="K11353" s="58"/>
      <c r="L11353" s="91"/>
      <c r="M11353" s="78"/>
    </row>
    <row r="11354">
      <c r="C11354" s="85"/>
      <c r="D11354" s="25"/>
      <c r="E11354" s="77"/>
      <c r="F11354" s="88"/>
      <c r="G11354" s="88"/>
      <c r="H11354" s="89"/>
      <c r="K11354" s="58"/>
      <c r="L11354" s="91"/>
      <c r="M11354" s="78"/>
    </row>
    <row r="11355">
      <c r="C11355" s="85"/>
      <c r="D11355" s="25"/>
      <c r="E11355" s="77"/>
      <c r="F11355" s="88"/>
      <c r="G11355" s="88"/>
      <c r="H11355" s="89"/>
      <c r="K11355" s="58"/>
      <c r="L11355" s="91"/>
      <c r="M11355" s="78"/>
    </row>
    <row r="11356">
      <c r="C11356" s="85"/>
      <c r="D11356" s="25"/>
      <c r="E11356" s="77"/>
      <c r="F11356" s="88"/>
      <c r="G11356" s="88"/>
      <c r="H11356" s="89"/>
      <c r="K11356" s="58"/>
      <c r="L11356" s="91"/>
      <c r="M11356" s="78"/>
    </row>
    <row r="11357">
      <c r="C11357" s="85"/>
      <c r="D11357" s="25"/>
      <c r="E11357" s="77"/>
      <c r="F11357" s="88"/>
      <c r="G11357" s="88"/>
      <c r="H11357" s="89"/>
      <c r="K11357" s="58"/>
      <c r="L11357" s="91"/>
      <c r="M11357" s="78"/>
    </row>
    <row r="11358">
      <c r="C11358" s="85"/>
      <c r="D11358" s="25"/>
      <c r="E11358" s="77"/>
      <c r="F11358" s="88"/>
      <c r="G11358" s="88"/>
      <c r="H11358" s="89"/>
      <c r="K11358" s="58"/>
      <c r="L11358" s="91"/>
      <c r="M11358" s="78"/>
    </row>
    <row r="11359">
      <c r="C11359" s="85"/>
      <c r="D11359" s="25"/>
      <c r="E11359" s="77"/>
      <c r="F11359" s="88"/>
      <c r="G11359" s="88"/>
      <c r="H11359" s="89"/>
      <c r="K11359" s="58"/>
      <c r="L11359" s="91"/>
      <c r="M11359" s="78"/>
    </row>
    <row r="11360">
      <c r="C11360" s="85"/>
      <c r="D11360" s="25"/>
      <c r="E11360" s="77"/>
      <c r="F11360" s="88"/>
      <c r="G11360" s="88"/>
      <c r="H11360" s="89"/>
      <c r="K11360" s="58"/>
      <c r="L11360" s="91"/>
      <c r="M11360" s="78"/>
    </row>
    <row r="11361">
      <c r="C11361" s="85"/>
      <c r="D11361" s="25"/>
      <c r="E11361" s="77"/>
      <c r="F11361" s="88"/>
      <c r="G11361" s="88"/>
      <c r="H11361" s="89"/>
      <c r="K11361" s="58"/>
      <c r="L11361" s="91"/>
      <c r="M11361" s="78"/>
    </row>
    <row r="11362">
      <c r="C11362" s="85"/>
      <c r="D11362" s="25"/>
      <c r="E11362" s="77"/>
      <c r="F11362" s="88"/>
      <c r="G11362" s="88"/>
      <c r="H11362" s="89"/>
      <c r="K11362" s="58"/>
      <c r="L11362" s="91"/>
      <c r="M11362" s="78"/>
    </row>
    <row r="11363">
      <c r="C11363" s="85"/>
      <c r="D11363" s="25"/>
      <c r="E11363" s="77"/>
      <c r="F11363" s="88"/>
      <c r="G11363" s="88"/>
      <c r="H11363" s="89"/>
      <c r="K11363" s="58"/>
      <c r="L11363" s="91"/>
      <c r="M11363" s="78"/>
    </row>
    <row r="11364">
      <c r="C11364" s="85"/>
      <c r="D11364" s="25"/>
      <c r="E11364" s="77"/>
      <c r="F11364" s="88"/>
      <c r="G11364" s="88"/>
      <c r="H11364" s="89"/>
      <c r="K11364" s="58"/>
      <c r="L11364" s="91"/>
      <c r="M11364" s="78"/>
    </row>
    <row r="11365">
      <c r="C11365" s="85"/>
      <c r="D11365" s="25"/>
      <c r="E11365" s="77"/>
      <c r="F11365" s="88"/>
      <c r="G11365" s="88"/>
      <c r="H11365" s="89"/>
      <c r="K11365" s="58"/>
      <c r="L11365" s="91"/>
      <c r="M11365" s="78"/>
    </row>
    <row r="11366">
      <c r="C11366" s="85"/>
      <c r="D11366" s="25"/>
      <c r="E11366" s="77"/>
      <c r="F11366" s="88"/>
      <c r="G11366" s="88"/>
      <c r="H11366" s="89"/>
      <c r="K11366" s="58"/>
      <c r="L11366" s="91"/>
      <c r="M11366" s="78"/>
    </row>
    <row r="11367">
      <c r="C11367" s="85"/>
      <c r="D11367" s="25"/>
      <c r="E11367" s="77"/>
      <c r="F11367" s="88"/>
      <c r="G11367" s="88"/>
      <c r="H11367" s="89"/>
      <c r="K11367" s="58"/>
      <c r="L11367" s="91"/>
      <c r="M11367" s="78"/>
    </row>
    <row r="11368">
      <c r="C11368" s="85"/>
      <c r="D11368" s="25"/>
      <c r="E11368" s="77"/>
      <c r="F11368" s="88"/>
      <c r="G11368" s="88"/>
      <c r="H11368" s="89"/>
      <c r="K11368" s="58"/>
      <c r="L11368" s="91"/>
      <c r="M11368" s="78"/>
    </row>
    <row r="11369">
      <c r="C11369" s="85"/>
      <c r="D11369" s="25"/>
      <c r="E11369" s="77"/>
      <c r="F11369" s="88"/>
      <c r="G11369" s="88"/>
      <c r="H11369" s="89"/>
      <c r="K11369" s="58"/>
      <c r="L11369" s="91"/>
      <c r="M11369" s="78"/>
    </row>
    <row r="11370">
      <c r="C11370" s="85"/>
      <c r="D11370" s="25"/>
      <c r="E11370" s="77"/>
      <c r="F11370" s="88"/>
      <c r="G11370" s="88"/>
      <c r="H11370" s="89"/>
      <c r="K11370" s="58"/>
      <c r="L11370" s="91"/>
      <c r="M11370" s="78"/>
    </row>
    <row r="11371">
      <c r="C11371" s="85"/>
      <c r="D11371" s="25"/>
      <c r="E11371" s="77"/>
      <c r="F11371" s="88"/>
      <c r="G11371" s="88"/>
      <c r="H11371" s="89"/>
      <c r="K11371" s="58"/>
      <c r="L11371" s="91"/>
      <c r="M11371" s="78"/>
    </row>
    <row r="11372">
      <c r="C11372" s="85"/>
      <c r="D11372" s="25"/>
      <c r="E11372" s="77"/>
      <c r="F11372" s="88"/>
      <c r="G11372" s="88"/>
      <c r="H11372" s="89"/>
      <c r="K11372" s="58"/>
      <c r="L11372" s="91"/>
      <c r="M11372" s="78"/>
    </row>
    <row r="11373">
      <c r="C11373" s="85"/>
      <c r="D11373" s="25"/>
      <c r="E11373" s="77"/>
      <c r="F11373" s="88"/>
      <c r="G11373" s="88"/>
      <c r="H11373" s="89"/>
      <c r="K11373" s="58"/>
      <c r="L11373" s="91"/>
      <c r="M11373" s="78"/>
    </row>
    <row r="11374">
      <c r="C11374" s="85"/>
      <c r="D11374" s="25"/>
      <c r="E11374" s="77"/>
      <c r="F11374" s="88"/>
      <c r="G11374" s="88"/>
      <c r="H11374" s="89"/>
      <c r="K11374" s="58"/>
      <c r="L11374" s="91"/>
      <c r="M11374" s="78"/>
    </row>
    <row r="11375">
      <c r="C11375" s="85"/>
      <c r="D11375" s="25"/>
      <c r="E11375" s="77"/>
      <c r="F11375" s="88"/>
      <c r="G11375" s="88"/>
      <c r="H11375" s="89"/>
      <c r="K11375" s="58"/>
      <c r="L11375" s="91"/>
      <c r="M11375" s="78"/>
    </row>
    <row r="11376">
      <c r="C11376" s="85"/>
      <c r="D11376" s="25"/>
      <c r="E11376" s="77"/>
      <c r="F11376" s="88"/>
      <c r="G11376" s="88"/>
      <c r="H11376" s="89"/>
      <c r="K11376" s="58"/>
      <c r="L11376" s="91"/>
      <c r="M11376" s="78"/>
    </row>
    <row r="11377">
      <c r="C11377" s="85"/>
      <c r="D11377" s="25"/>
      <c r="E11377" s="77"/>
      <c r="F11377" s="88"/>
      <c r="G11377" s="88"/>
      <c r="H11377" s="89"/>
      <c r="K11377" s="58"/>
      <c r="L11377" s="91"/>
      <c r="M11377" s="78"/>
    </row>
    <row r="11378">
      <c r="C11378" s="85"/>
      <c r="D11378" s="25"/>
      <c r="E11378" s="77"/>
      <c r="F11378" s="88"/>
      <c r="G11378" s="88"/>
      <c r="H11378" s="89"/>
      <c r="K11378" s="58"/>
      <c r="L11378" s="91"/>
      <c r="M11378" s="78"/>
    </row>
    <row r="11379">
      <c r="C11379" s="85"/>
      <c r="D11379" s="25"/>
      <c r="E11379" s="77"/>
      <c r="F11379" s="88"/>
      <c r="G11379" s="88"/>
      <c r="H11379" s="89"/>
      <c r="K11379" s="58"/>
      <c r="L11379" s="91"/>
      <c r="M11379" s="78"/>
    </row>
    <row r="11380">
      <c r="C11380" s="85"/>
      <c r="D11380" s="25"/>
      <c r="E11380" s="77"/>
      <c r="F11380" s="88"/>
      <c r="G11380" s="88"/>
      <c r="H11380" s="89"/>
      <c r="K11380" s="58"/>
      <c r="L11380" s="91"/>
      <c r="M11380" s="78"/>
    </row>
    <row r="11381">
      <c r="C11381" s="85"/>
      <c r="D11381" s="25"/>
      <c r="E11381" s="77"/>
      <c r="F11381" s="88"/>
      <c r="G11381" s="88"/>
      <c r="H11381" s="89"/>
      <c r="K11381" s="58"/>
      <c r="L11381" s="91"/>
      <c r="M11381" s="78"/>
    </row>
    <row r="11382">
      <c r="C11382" s="85"/>
      <c r="D11382" s="25"/>
      <c r="E11382" s="77"/>
      <c r="F11382" s="88"/>
      <c r="G11382" s="88"/>
      <c r="H11382" s="89"/>
      <c r="K11382" s="58"/>
      <c r="L11382" s="91"/>
      <c r="M11382" s="78"/>
    </row>
    <row r="11383">
      <c r="C11383" s="85"/>
      <c r="D11383" s="25"/>
      <c r="E11383" s="77"/>
      <c r="F11383" s="88"/>
      <c r="G11383" s="88"/>
      <c r="H11383" s="89"/>
      <c r="K11383" s="58"/>
      <c r="L11383" s="91"/>
      <c r="M11383" s="78"/>
    </row>
    <row r="11384">
      <c r="C11384" s="85"/>
      <c r="D11384" s="25"/>
      <c r="E11384" s="77"/>
      <c r="F11384" s="88"/>
      <c r="G11384" s="88"/>
      <c r="H11384" s="89"/>
      <c r="K11384" s="58"/>
      <c r="L11384" s="91"/>
      <c r="M11384" s="78"/>
    </row>
    <row r="11385">
      <c r="C11385" s="85"/>
      <c r="D11385" s="25"/>
      <c r="E11385" s="77"/>
      <c r="F11385" s="88"/>
      <c r="G11385" s="88"/>
      <c r="H11385" s="89"/>
      <c r="K11385" s="58"/>
      <c r="L11385" s="91"/>
      <c r="M11385" s="78"/>
    </row>
    <row r="11386">
      <c r="C11386" s="85"/>
      <c r="D11386" s="25"/>
      <c r="E11386" s="77"/>
      <c r="F11386" s="88"/>
      <c r="G11386" s="88"/>
      <c r="H11386" s="89"/>
      <c r="K11386" s="58"/>
      <c r="L11386" s="91"/>
      <c r="M11386" s="78"/>
    </row>
    <row r="11387">
      <c r="C11387" s="85"/>
      <c r="D11387" s="25"/>
      <c r="E11387" s="77"/>
      <c r="F11387" s="88"/>
      <c r="G11387" s="88"/>
      <c r="H11387" s="89"/>
      <c r="K11387" s="58"/>
      <c r="L11387" s="91"/>
      <c r="M11387" s="78"/>
    </row>
    <row r="11388">
      <c r="C11388" s="85"/>
      <c r="D11388" s="25"/>
      <c r="E11388" s="77"/>
      <c r="F11388" s="88"/>
      <c r="G11388" s="88"/>
      <c r="H11388" s="89"/>
      <c r="K11388" s="58"/>
      <c r="L11388" s="91"/>
      <c r="M11388" s="78"/>
    </row>
    <row r="11389">
      <c r="C11389" s="85"/>
      <c r="D11389" s="25"/>
      <c r="E11389" s="77"/>
      <c r="F11389" s="88"/>
      <c r="G11389" s="88"/>
      <c r="H11389" s="89"/>
      <c r="K11389" s="58"/>
      <c r="L11389" s="91"/>
      <c r="M11389" s="78"/>
    </row>
    <row r="11390">
      <c r="C11390" s="85"/>
      <c r="D11390" s="25"/>
      <c r="E11390" s="77"/>
      <c r="F11390" s="88"/>
      <c r="G11390" s="88"/>
      <c r="H11390" s="89"/>
      <c r="K11390" s="58"/>
      <c r="L11390" s="91"/>
      <c r="M11390" s="78"/>
    </row>
    <row r="11391">
      <c r="C11391" s="85"/>
      <c r="D11391" s="25"/>
      <c r="E11391" s="77"/>
      <c r="F11391" s="88"/>
      <c r="G11391" s="88"/>
      <c r="H11391" s="89"/>
      <c r="K11391" s="58"/>
      <c r="L11391" s="91"/>
      <c r="M11391" s="78"/>
    </row>
    <row r="11392">
      <c r="C11392" s="85"/>
      <c r="D11392" s="25"/>
      <c r="E11392" s="77"/>
      <c r="F11392" s="88"/>
      <c r="G11392" s="88"/>
      <c r="H11392" s="89"/>
      <c r="K11392" s="58"/>
      <c r="L11392" s="91"/>
      <c r="M11392" s="78"/>
    </row>
    <row r="11393">
      <c r="C11393" s="85"/>
      <c r="D11393" s="25"/>
      <c r="E11393" s="77"/>
      <c r="F11393" s="88"/>
      <c r="G11393" s="88"/>
      <c r="H11393" s="89"/>
      <c r="K11393" s="58"/>
      <c r="L11393" s="91"/>
      <c r="M11393" s="78"/>
    </row>
    <row r="11394">
      <c r="C11394" s="85"/>
      <c r="D11394" s="25"/>
      <c r="E11394" s="77"/>
      <c r="F11394" s="88"/>
      <c r="G11394" s="88"/>
      <c r="H11394" s="89"/>
      <c r="K11394" s="58"/>
      <c r="L11394" s="91"/>
      <c r="M11394" s="78"/>
    </row>
    <row r="11395">
      <c r="C11395" s="85"/>
      <c r="D11395" s="25"/>
      <c r="E11395" s="77"/>
      <c r="F11395" s="88"/>
      <c r="G11395" s="88"/>
      <c r="H11395" s="89"/>
      <c r="K11395" s="58"/>
      <c r="L11395" s="91"/>
      <c r="M11395" s="78"/>
    </row>
    <row r="11396">
      <c r="C11396" s="85"/>
      <c r="D11396" s="25"/>
      <c r="E11396" s="77"/>
      <c r="F11396" s="88"/>
      <c r="G11396" s="88"/>
      <c r="H11396" s="89"/>
      <c r="K11396" s="58"/>
      <c r="L11396" s="91"/>
      <c r="M11396" s="78"/>
    </row>
    <row r="11397">
      <c r="C11397" s="85"/>
      <c r="D11397" s="25"/>
      <c r="E11397" s="77"/>
      <c r="F11397" s="88"/>
      <c r="G11397" s="88"/>
      <c r="H11397" s="89"/>
      <c r="K11397" s="58"/>
      <c r="L11397" s="91"/>
      <c r="M11397" s="78"/>
    </row>
    <row r="11398">
      <c r="C11398" s="85"/>
      <c r="D11398" s="25"/>
      <c r="E11398" s="77"/>
      <c r="F11398" s="88"/>
      <c r="G11398" s="88"/>
      <c r="H11398" s="89"/>
      <c r="K11398" s="58"/>
      <c r="L11398" s="91"/>
      <c r="M11398" s="78"/>
    </row>
    <row r="11399">
      <c r="C11399" s="85"/>
      <c r="D11399" s="25"/>
      <c r="E11399" s="77"/>
      <c r="F11399" s="88"/>
      <c r="G11399" s="88"/>
      <c r="H11399" s="89"/>
      <c r="K11399" s="58"/>
      <c r="L11399" s="91"/>
      <c r="M11399" s="78"/>
    </row>
    <row r="11400">
      <c r="C11400" s="85"/>
      <c r="D11400" s="25"/>
      <c r="E11400" s="77"/>
      <c r="F11400" s="88"/>
      <c r="G11400" s="88"/>
      <c r="H11400" s="89"/>
      <c r="K11400" s="58"/>
      <c r="L11400" s="91"/>
      <c r="M11400" s="78"/>
    </row>
    <row r="11401">
      <c r="C11401" s="85"/>
      <c r="D11401" s="25"/>
      <c r="E11401" s="77"/>
      <c r="F11401" s="88"/>
      <c r="G11401" s="88"/>
      <c r="H11401" s="89"/>
      <c r="K11401" s="58"/>
      <c r="L11401" s="91"/>
      <c r="M11401" s="78"/>
    </row>
    <row r="11402">
      <c r="C11402" s="85"/>
      <c r="D11402" s="25"/>
      <c r="E11402" s="77"/>
      <c r="F11402" s="88"/>
      <c r="G11402" s="88"/>
      <c r="H11402" s="89"/>
      <c r="K11402" s="58"/>
      <c r="L11402" s="91"/>
      <c r="M11402" s="78"/>
    </row>
    <row r="11403">
      <c r="C11403" s="85"/>
      <c r="D11403" s="25"/>
      <c r="E11403" s="77"/>
      <c r="F11403" s="88"/>
      <c r="G11403" s="88"/>
      <c r="H11403" s="89"/>
      <c r="K11403" s="58"/>
      <c r="L11403" s="91"/>
      <c r="M11403" s="78"/>
    </row>
    <row r="11404">
      <c r="C11404" s="85"/>
      <c r="D11404" s="25"/>
      <c r="E11404" s="77"/>
      <c r="F11404" s="88"/>
      <c r="G11404" s="88"/>
      <c r="H11404" s="89"/>
      <c r="K11404" s="58"/>
      <c r="L11404" s="91"/>
      <c r="M11404" s="78"/>
    </row>
    <row r="11405">
      <c r="C11405" s="85"/>
      <c r="D11405" s="25"/>
      <c r="E11405" s="77"/>
      <c r="F11405" s="88"/>
      <c r="G11405" s="88"/>
      <c r="H11405" s="89"/>
      <c r="K11405" s="58"/>
      <c r="L11405" s="91"/>
      <c r="M11405" s="78"/>
    </row>
    <row r="11406">
      <c r="C11406" s="85"/>
      <c r="D11406" s="25"/>
      <c r="E11406" s="77"/>
      <c r="F11406" s="88"/>
      <c r="G11406" s="88"/>
      <c r="H11406" s="89"/>
      <c r="K11406" s="58"/>
      <c r="L11406" s="91"/>
      <c r="M11406" s="78"/>
    </row>
    <row r="11407">
      <c r="C11407" s="85"/>
      <c r="D11407" s="25"/>
      <c r="E11407" s="77"/>
      <c r="F11407" s="88"/>
      <c r="G11407" s="88"/>
      <c r="H11407" s="89"/>
      <c r="K11407" s="58"/>
      <c r="L11407" s="91"/>
      <c r="M11407" s="78"/>
    </row>
    <row r="11408">
      <c r="C11408" s="85"/>
      <c r="D11408" s="25"/>
      <c r="E11408" s="77"/>
      <c r="F11408" s="88"/>
      <c r="G11408" s="88"/>
      <c r="H11408" s="89"/>
      <c r="K11408" s="58"/>
      <c r="L11408" s="91"/>
      <c r="M11408" s="78"/>
    </row>
    <row r="11409">
      <c r="C11409" s="85"/>
      <c r="D11409" s="25"/>
      <c r="E11409" s="77"/>
      <c r="F11409" s="88"/>
      <c r="G11409" s="88"/>
      <c r="H11409" s="89"/>
      <c r="K11409" s="58"/>
      <c r="L11409" s="91"/>
      <c r="M11409" s="78"/>
    </row>
    <row r="11410">
      <c r="C11410" s="85"/>
      <c r="D11410" s="25"/>
      <c r="E11410" s="77"/>
      <c r="F11410" s="88"/>
      <c r="G11410" s="88"/>
      <c r="H11410" s="89"/>
      <c r="K11410" s="58"/>
      <c r="L11410" s="91"/>
      <c r="M11410" s="78"/>
    </row>
    <row r="11411">
      <c r="C11411" s="85"/>
      <c r="D11411" s="25"/>
      <c r="E11411" s="77"/>
      <c r="F11411" s="88"/>
      <c r="G11411" s="88"/>
      <c r="H11411" s="89"/>
      <c r="K11411" s="58"/>
      <c r="L11411" s="91"/>
      <c r="M11411" s="78"/>
    </row>
    <row r="11412">
      <c r="C11412" s="85"/>
      <c r="D11412" s="25"/>
      <c r="E11412" s="77"/>
      <c r="F11412" s="88"/>
      <c r="G11412" s="88"/>
      <c r="H11412" s="89"/>
      <c r="K11412" s="58"/>
      <c r="L11412" s="91"/>
      <c r="M11412" s="78"/>
    </row>
    <row r="11413">
      <c r="C11413" s="85"/>
      <c r="D11413" s="25"/>
      <c r="E11413" s="77"/>
      <c r="F11413" s="88"/>
      <c r="G11413" s="88"/>
      <c r="H11413" s="89"/>
      <c r="K11413" s="58"/>
      <c r="L11413" s="91"/>
      <c r="M11413" s="78"/>
    </row>
    <row r="11414">
      <c r="C11414" s="85"/>
      <c r="D11414" s="25"/>
      <c r="E11414" s="77"/>
      <c r="F11414" s="88"/>
      <c r="G11414" s="88"/>
      <c r="H11414" s="89"/>
      <c r="K11414" s="58"/>
      <c r="L11414" s="91"/>
      <c r="M11414" s="78"/>
    </row>
    <row r="11415">
      <c r="C11415" s="85"/>
      <c r="D11415" s="25"/>
      <c r="E11415" s="77"/>
      <c r="F11415" s="88"/>
      <c r="G11415" s="88"/>
      <c r="H11415" s="89"/>
      <c r="K11415" s="58"/>
      <c r="L11415" s="91"/>
      <c r="M11415" s="78"/>
    </row>
    <row r="11416">
      <c r="C11416" s="85"/>
      <c r="D11416" s="25"/>
      <c r="E11416" s="77"/>
      <c r="F11416" s="88"/>
      <c r="G11416" s="88"/>
      <c r="H11416" s="89"/>
      <c r="K11416" s="58"/>
      <c r="L11416" s="91"/>
      <c r="M11416" s="78"/>
    </row>
    <row r="11417">
      <c r="C11417" s="85"/>
      <c r="D11417" s="25"/>
      <c r="E11417" s="77"/>
      <c r="F11417" s="88"/>
      <c r="G11417" s="88"/>
      <c r="H11417" s="89"/>
      <c r="K11417" s="58"/>
      <c r="L11417" s="91"/>
      <c r="M11417" s="78"/>
    </row>
    <row r="11418">
      <c r="C11418" s="85"/>
      <c r="D11418" s="25"/>
      <c r="E11418" s="77"/>
      <c r="F11418" s="88"/>
      <c r="G11418" s="88"/>
      <c r="H11418" s="89"/>
      <c r="K11418" s="58"/>
      <c r="L11418" s="91"/>
      <c r="M11418" s="78"/>
    </row>
    <row r="11419">
      <c r="C11419" s="85"/>
      <c r="D11419" s="25"/>
      <c r="E11419" s="77"/>
      <c r="F11419" s="88"/>
      <c r="G11419" s="88"/>
      <c r="H11419" s="89"/>
      <c r="K11419" s="58"/>
      <c r="L11419" s="91"/>
      <c r="M11419" s="78"/>
    </row>
    <row r="11420">
      <c r="C11420" s="85"/>
      <c r="D11420" s="25"/>
      <c r="E11420" s="77"/>
      <c r="F11420" s="88"/>
      <c r="G11420" s="88"/>
      <c r="H11420" s="89"/>
      <c r="K11420" s="58"/>
      <c r="L11420" s="91"/>
      <c r="M11420" s="78"/>
    </row>
    <row r="11421">
      <c r="C11421" s="85"/>
      <c r="D11421" s="25"/>
      <c r="E11421" s="77"/>
      <c r="F11421" s="88"/>
      <c r="G11421" s="88"/>
      <c r="H11421" s="89"/>
      <c r="K11421" s="58"/>
      <c r="L11421" s="91"/>
      <c r="M11421" s="78"/>
    </row>
    <row r="11422">
      <c r="C11422" s="85"/>
      <c r="D11422" s="25"/>
      <c r="E11422" s="77"/>
      <c r="F11422" s="88"/>
      <c r="G11422" s="88"/>
      <c r="H11422" s="89"/>
      <c r="K11422" s="58"/>
      <c r="L11422" s="91"/>
      <c r="M11422" s="78"/>
    </row>
    <row r="11423">
      <c r="C11423" s="85"/>
      <c r="D11423" s="25"/>
      <c r="E11423" s="77"/>
      <c r="F11423" s="88"/>
      <c r="G11423" s="88"/>
      <c r="H11423" s="89"/>
      <c r="K11423" s="58"/>
      <c r="L11423" s="91"/>
      <c r="M11423" s="78"/>
    </row>
    <row r="11424">
      <c r="C11424" s="85"/>
      <c r="D11424" s="25"/>
      <c r="E11424" s="77"/>
      <c r="F11424" s="88"/>
      <c r="G11424" s="88"/>
      <c r="H11424" s="89"/>
      <c r="K11424" s="58"/>
      <c r="L11424" s="91"/>
      <c r="M11424" s="78"/>
    </row>
    <row r="11425">
      <c r="C11425" s="85"/>
      <c r="D11425" s="25"/>
      <c r="E11425" s="77"/>
      <c r="F11425" s="88"/>
      <c r="G11425" s="88"/>
      <c r="H11425" s="89"/>
      <c r="K11425" s="58"/>
      <c r="L11425" s="91"/>
      <c r="M11425" s="78"/>
    </row>
    <row r="11426">
      <c r="C11426" s="85"/>
      <c r="D11426" s="25"/>
      <c r="E11426" s="77"/>
      <c r="F11426" s="88"/>
      <c r="G11426" s="88"/>
      <c r="H11426" s="89"/>
      <c r="K11426" s="58"/>
      <c r="L11426" s="91"/>
      <c r="M11426" s="78"/>
    </row>
    <row r="11427">
      <c r="C11427" s="85"/>
      <c r="D11427" s="25"/>
      <c r="E11427" s="77"/>
      <c r="F11427" s="88"/>
      <c r="G11427" s="88"/>
      <c r="H11427" s="89"/>
      <c r="K11427" s="58"/>
      <c r="L11427" s="91"/>
      <c r="M11427" s="78"/>
    </row>
    <row r="11428">
      <c r="C11428" s="85"/>
      <c r="D11428" s="25"/>
      <c r="E11428" s="77"/>
      <c r="F11428" s="88"/>
      <c r="G11428" s="88"/>
      <c r="H11428" s="89"/>
      <c r="K11428" s="58"/>
      <c r="L11428" s="91"/>
      <c r="M11428" s="78"/>
    </row>
    <row r="11429">
      <c r="C11429" s="85"/>
      <c r="D11429" s="25"/>
      <c r="E11429" s="77"/>
      <c r="F11429" s="88"/>
      <c r="G11429" s="88"/>
      <c r="H11429" s="89"/>
      <c r="K11429" s="58"/>
      <c r="L11429" s="91"/>
      <c r="M11429" s="78"/>
    </row>
    <row r="11430">
      <c r="C11430" s="85"/>
      <c r="D11430" s="25"/>
      <c r="E11430" s="77"/>
      <c r="F11430" s="88"/>
      <c r="G11430" s="88"/>
      <c r="H11430" s="89"/>
      <c r="K11430" s="58"/>
      <c r="L11430" s="91"/>
      <c r="M11430" s="78"/>
    </row>
    <row r="11431">
      <c r="C11431" s="85"/>
      <c r="D11431" s="25"/>
      <c r="E11431" s="77"/>
      <c r="F11431" s="88"/>
      <c r="G11431" s="88"/>
      <c r="H11431" s="89"/>
      <c r="K11431" s="58"/>
      <c r="L11431" s="91"/>
      <c r="M11431" s="78"/>
    </row>
    <row r="11432">
      <c r="C11432" s="85"/>
      <c r="D11432" s="25"/>
      <c r="E11432" s="77"/>
      <c r="F11432" s="88"/>
      <c r="G11432" s="88"/>
      <c r="H11432" s="89"/>
      <c r="K11432" s="58"/>
      <c r="L11432" s="91"/>
      <c r="M11432" s="78"/>
    </row>
    <row r="11433">
      <c r="C11433" s="85"/>
      <c r="D11433" s="25"/>
      <c r="E11433" s="77"/>
      <c r="F11433" s="88"/>
      <c r="G11433" s="88"/>
      <c r="H11433" s="89"/>
      <c r="K11433" s="58"/>
      <c r="L11433" s="91"/>
      <c r="M11433" s="78"/>
    </row>
    <row r="11434">
      <c r="C11434" s="85"/>
      <c r="D11434" s="25"/>
      <c r="E11434" s="77"/>
      <c r="F11434" s="88"/>
      <c r="G11434" s="88"/>
      <c r="H11434" s="89"/>
      <c r="K11434" s="58"/>
      <c r="L11434" s="91"/>
      <c r="M11434" s="78"/>
    </row>
    <row r="11435">
      <c r="C11435" s="85"/>
      <c r="D11435" s="25"/>
      <c r="E11435" s="77"/>
      <c r="F11435" s="88"/>
      <c r="G11435" s="88"/>
      <c r="H11435" s="89"/>
      <c r="K11435" s="58"/>
      <c r="L11435" s="91"/>
      <c r="M11435" s="78"/>
    </row>
    <row r="11436">
      <c r="C11436" s="85"/>
      <c r="D11436" s="25"/>
      <c r="E11436" s="77"/>
      <c r="F11436" s="88"/>
      <c r="G11436" s="88"/>
      <c r="H11436" s="89"/>
      <c r="K11436" s="58"/>
      <c r="L11436" s="91"/>
      <c r="M11436" s="78"/>
    </row>
    <row r="11437">
      <c r="C11437" s="85"/>
      <c r="D11437" s="25"/>
      <c r="E11437" s="77"/>
      <c r="F11437" s="88"/>
      <c r="G11437" s="88"/>
      <c r="H11437" s="89"/>
      <c r="K11437" s="58"/>
      <c r="L11437" s="91"/>
      <c r="M11437" s="78"/>
    </row>
    <row r="11438">
      <c r="C11438" s="85"/>
      <c r="D11438" s="25"/>
      <c r="E11438" s="77"/>
      <c r="F11438" s="88"/>
      <c r="G11438" s="88"/>
      <c r="H11438" s="89"/>
      <c r="K11438" s="58"/>
      <c r="L11438" s="91"/>
      <c r="M11438" s="78"/>
    </row>
    <row r="11439">
      <c r="C11439" s="85"/>
      <c r="D11439" s="25"/>
      <c r="E11439" s="77"/>
      <c r="F11439" s="88"/>
      <c r="G11439" s="88"/>
      <c r="H11439" s="89"/>
      <c r="K11439" s="58"/>
      <c r="L11439" s="91"/>
      <c r="M11439" s="78"/>
    </row>
    <row r="11440">
      <c r="C11440" s="85"/>
      <c r="D11440" s="25"/>
      <c r="E11440" s="77"/>
      <c r="F11440" s="88"/>
      <c r="G11440" s="88"/>
      <c r="H11440" s="89"/>
      <c r="K11440" s="58"/>
      <c r="L11440" s="91"/>
      <c r="M11440" s="78"/>
    </row>
    <row r="11441">
      <c r="C11441" s="85"/>
      <c r="D11441" s="25"/>
      <c r="E11441" s="77"/>
      <c r="F11441" s="88"/>
      <c r="G11441" s="88"/>
      <c r="H11441" s="89"/>
      <c r="K11441" s="58"/>
      <c r="L11441" s="91"/>
      <c r="M11441" s="78"/>
    </row>
    <row r="11442">
      <c r="C11442" s="85"/>
      <c r="D11442" s="25"/>
      <c r="E11442" s="77"/>
      <c r="F11442" s="88"/>
      <c r="G11442" s="88"/>
      <c r="H11442" s="89"/>
      <c r="K11442" s="58"/>
      <c r="L11442" s="91"/>
      <c r="M11442" s="78"/>
    </row>
    <row r="11443">
      <c r="C11443" s="85"/>
      <c r="D11443" s="25"/>
      <c r="E11443" s="77"/>
      <c r="F11443" s="88"/>
      <c r="G11443" s="88"/>
      <c r="H11443" s="89"/>
      <c r="K11443" s="58"/>
      <c r="L11443" s="91"/>
      <c r="M11443" s="78"/>
    </row>
    <row r="11444">
      <c r="C11444" s="85"/>
      <c r="D11444" s="25"/>
      <c r="E11444" s="77"/>
      <c r="F11444" s="88"/>
      <c r="G11444" s="88"/>
      <c r="H11444" s="89"/>
      <c r="K11444" s="58"/>
      <c r="L11444" s="91"/>
      <c r="M11444" s="78"/>
    </row>
    <row r="11445">
      <c r="C11445" s="85"/>
      <c r="D11445" s="25"/>
      <c r="E11445" s="77"/>
      <c r="F11445" s="88"/>
      <c r="G11445" s="88"/>
      <c r="H11445" s="89"/>
      <c r="K11445" s="58"/>
      <c r="L11445" s="91"/>
      <c r="M11445" s="78"/>
    </row>
    <row r="11446">
      <c r="C11446" s="85"/>
      <c r="D11446" s="25"/>
      <c r="E11446" s="77"/>
      <c r="F11446" s="88"/>
      <c r="G11446" s="88"/>
      <c r="H11446" s="89"/>
      <c r="K11446" s="58"/>
      <c r="L11446" s="91"/>
      <c r="M11446" s="78"/>
    </row>
    <row r="11447">
      <c r="C11447" s="85"/>
      <c r="D11447" s="25"/>
      <c r="E11447" s="77"/>
      <c r="F11447" s="88"/>
      <c r="G11447" s="88"/>
      <c r="H11447" s="89"/>
      <c r="K11447" s="58"/>
      <c r="L11447" s="91"/>
      <c r="M11447" s="78"/>
    </row>
    <row r="11448">
      <c r="C11448" s="85"/>
      <c r="D11448" s="25"/>
      <c r="E11448" s="77"/>
      <c r="F11448" s="88"/>
      <c r="G11448" s="88"/>
      <c r="H11448" s="89"/>
      <c r="K11448" s="58"/>
      <c r="L11448" s="91"/>
      <c r="M11448" s="78"/>
    </row>
    <row r="11449">
      <c r="C11449" s="85"/>
      <c r="D11449" s="25"/>
      <c r="E11449" s="77"/>
      <c r="F11449" s="88"/>
      <c r="G11449" s="88"/>
      <c r="H11449" s="89"/>
      <c r="K11449" s="58"/>
      <c r="L11449" s="91"/>
      <c r="M11449" s="78"/>
    </row>
    <row r="11450">
      <c r="C11450" s="85"/>
      <c r="D11450" s="25"/>
      <c r="E11450" s="77"/>
      <c r="F11450" s="88"/>
      <c r="G11450" s="88"/>
      <c r="H11450" s="89"/>
      <c r="K11450" s="58"/>
      <c r="L11450" s="91"/>
      <c r="M11450" s="78"/>
    </row>
    <row r="11451">
      <c r="C11451" s="85"/>
      <c r="D11451" s="25"/>
      <c r="E11451" s="77"/>
      <c r="F11451" s="88"/>
      <c r="G11451" s="88"/>
      <c r="H11451" s="89"/>
      <c r="K11451" s="58"/>
      <c r="L11451" s="91"/>
      <c r="M11451" s="78"/>
    </row>
    <row r="11452">
      <c r="C11452" s="85"/>
      <c r="D11452" s="25"/>
      <c r="E11452" s="77"/>
      <c r="F11452" s="88"/>
      <c r="G11452" s="88"/>
      <c r="H11452" s="89"/>
      <c r="K11452" s="58"/>
      <c r="L11452" s="91"/>
      <c r="M11452" s="78"/>
    </row>
    <row r="11453">
      <c r="C11453" s="85"/>
      <c r="D11453" s="25"/>
      <c r="E11453" s="77"/>
      <c r="F11453" s="88"/>
      <c r="G11453" s="88"/>
      <c r="H11453" s="89"/>
      <c r="K11453" s="58"/>
      <c r="L11453" s="91"/>
      <c r="M11453" s="78"/>
    </row>
    <row r="11454">
      <c r="C11454" s="85"/>
      <c r="D11454" s="25"/>
      <c r="E11454" s="77"/>
      <c r="F11454" s="88"/>
      <c r="G11454" s="88"/>
      <c r="H11454" s="89"/>
      <c r="K11454" s="58"/>
      <c r="L11454" s="91"/>
      <c r="M11454" s="78"/>
    </row>
    <row r="11455">
      <c r="C11455" s="85"/>
      <c r="D11455" s="25"/>
      <c r="E11455" s="77"/>
      <c r="F11455" s="88"/>
      <c r="G11455" s="88"/>
      <c r="H11455" s="89"/>
      <c r="K11455" s="58"/>
      <c r="L11455" s="91"/>
      <c r="M11455" s="78"/>
    </row>
    <row r="11456">
      <c r="C11456" s="85"/>
      <c r="D11456" s="25"/>
      <c r="E11456" s="77"/>
      <c r="F11456" s="88"/>
      <c r="G11456" s="88"/>
      <c r="H11456" s="89"/>
      <c r="K11456" s="58"/>
      <c r="L11456" s="91"/>
      <c r="M11456" s="78"/>
    </row>
    <row r="11457">
      <c r="C11457" s="85"/>
      <c r="D11457" s="25"/>
      <c r="E11457" s="77"/>
      <c r="F11457" s="88"/>
      <c r="G11457" s="88"/>
      <c r="H11457" s="89"/>
      <c r="K11457" s="58"/>
      <c r="L11457" s="91"/>
      <c r="M11457" s="78"/>
    </row>
    <row r="11458">
      <c r="C11458" s="85"/>
      <c r="D11458" s="25"/>
      <c r="E11458" s="77"/>
      <c r="F11458" s="88"/>
      <c r="G11458" s="88"/>
      <c r="H11458" s="89"/>
      <c r="K11458" s="58"/>
      <c r="L11458" s="91"/>
      <c r="M11458" s="78"/>
    </row>
    <row r="11459">
      <c r="C11459" s="85"/>
      <c r="D11459" s="25"/>
      <c r="E11459" s="77"/>
      <c r="F11459" s="88"/>
      <c r="G11459" s="88"/>
      <c r="H11459" s="89"/>
      <c r="K11459" s="58"/>
      <c r="L11459" s="91"/>
      <c r="M11459" s="78"/>
    </row>
    <row r="11460">
      <c r="C11460" s="85"/>
      <c r="D11460" s="25"/>
      <c r="E11460" s="77"/>
      <c r="F11460" s="88"/>
      <c r="G11460" s="88"/>
      <c r="H11460" s="89"/>
      <c r="K11460" s="58"/>
      <c r="L11460" s="91"/>
      <c r="M11460" s="78"/>
    </row>
    <row r="11461">
      <c r="C11461" s="85"/>
      <c r="D11461" s="25"/>
      <c r="E11461" s="77"/>
      <c r="F11461" s="88"/>
      <c r="G11461" s="88"/>
      <c r="H11461" s="89"/>
      <c r="K11461" s="58"/>
      <c r="L11461" s="91"/>
      <c r="M11461" s="78"/>
    </row>
    <row r="11462">
      <c r="C11462" s="85"/>
      <c r="D11462" s="25"/>
      <c r="E11462" s="77"/>
      <c r="F11462" s="88"/>
      <c r="G11462" s="88"/>
      <c r="H11462" s="89"/>
      <c r="K11462" s="58"/>
      <c r="L11462" s="91"/>
      <c r="M11462" s="78"/>
    </row>
    <row r="11463">
      <c r="C11463" s="85"/>
      <c r="D11463" s="25"/>
      <c r="E11463" s="77"/>
      <c r="F11463" s="88"/>
      <c r="G11463" s="88"/>
      <c r="H11463" s="89"/>
      <c r="K11463" s="58"/>
      <c r="L11463" s="91"/>
      <c r="M11463" s="78"/>
    </row>
    <row r="11464">
      <c r="C11464" s="85"/>
      <c r="D11464" s="25"/>
      <c r="E11464" s="77"/>
      <c r="F11464" s="88"/>
      <c r="G11464" s="88"/>
      <c r="H11464" s="89"/>
      <c r="K11464" s="58"/>
      <c r="L11464" s="91"/>
      <c r="M11464" s="78"/>
    </row>
    <row r="11465">
      <c r="C11465" s="85"/>
      <c r="D11465" s="25"/>
      <c r="E11465" s="77"/>
      <c r="F11465" s="88"/>
      <c r="G11465" s="88"/>
      <c r="H11465" s="89"/>
      <c r="K11465" s="58"/>
      <c r="L11465" s="91"/>
      <c r="M11465" s="78"/>
    </row>
    <row r="11466">
      <c r="C11466" s="85"/>
      <c r="D11466" s="25"/>
      <c r="E11466" s="77"/>
      <c r="F11466" s="88"/>
      <c r="G11466" s="88"/>
      <c r="H11466" s="89"/>
      <c r="K11466" s="58"/>
      <c r="L11466" s="91"/>
      <c r="M11466" s="78"/>
    </row>
    <row r="11467">
      <c r="C11467" s="85"/>
      <c r="D11467" s="25"/>
      <c r="E11467" s="77"/>
      <c r="F11467" s="88"/>
      <c r="G11467" s="88"/>
      <c r="H11467" s="89"/>
      <c r="K11467" s="58"/>
      <c r="L11467" s="91"/>
      <c r="M11467" s="78"/>
    </row>
    <row r="11468">
      <c r="C11468" s="85"/>
      <c r="D11468" s="25"/>
      <c r="E11468" s="77"/>
      <c r="F11468" s="88"/>
      <c r="G11468" s="88"/>
      <c r="H11468" s="89"/>
      <c r="K11468" s="58"/>
      <c r="L11468" s="91"/>
      <c r="M11468" s="78"/>
    </row>
    <row r="11469">
      <c r="C11469" s="85"/>
      <c r="D11469" s="25"/>
      <c r="E11469" s="77"/>
      <c r="F11469" s="88"/>
      <c r="G11469" s="88"/>
      <c r="H11469" s="89"/>
      <c r="K11469" s="58"/>
      <c r="L11469" s="91"/>
      <c r="M11469" s="78"/>
    </row>
    <row r="11470">
      <c r="C11470" s="85"/>
      <c r="D11470" s="25"/>
      <c r="E11470" s="77"/>
      <c r="F11470" s="88"/>
      <c r="G11470" s="88"/>
      <c r="H11470" s="89"/>
      <c r="K11470" s="58"/>
      <c r="L11470" s="91"/>
      <c r="M11470" s="78"/>
    </row>
    <row r="11471">
      <c r="C11471" s="85"/>
      <c r="D11471" s="25"/>
      <c r="E11471" s="77"/>
      <c r="F11471" s="88"/>
      <c r="G11471" s="88"/>
      <c r="H11471" s="89"/>
      <c r="K11471" s="58"/>
      <c r="L11471" s="91"/>
      <c r="M11471" s="78"/>
    </row>
    <row r="11472">
      <c r="C11472" s="85"/>
      <c r="D11472" s="25"/>
      <c r="E11472" s="77"/>
      <c r="F11472" s="88"/>
      <c r="G11472" s="88"/>
      <c r="H11472" s="89"/>
      <c r="K11472" s="58"/>
      <c r="L11472" s="91"/>
      <c r="M11472" s="78"/>
    </row>
    <row r="11473">
      <c r="C11473" s="85"/>
      <c r="D11473" s="25"/>
      <c r="E11473" s="77"/>
      <c r="F11473" s="88"/>
      <c r="G11473" s="88"/>
      <c r="H11473" s="89"/>
      <c r="K11473" s="58"/>
      <c r="L11473" s="91"/>
      <c r="M11473" s="78"/>
    </row>
    <row r="11474">
      <c r="C11474" s="85"/>
      <c r="D11474" s="25"/>
      <c r="E11474" s="77"/>
      <c r="F11474" s="88"/>
      <c r="G11474" s="88"/>
      <c r="H11474" s="89"/>
      <c r="K11474" s="58"/>
      <c r="L11474" s="91"/>
      <c r="M11474" s="78"/>
    </row>
    <row r="11475">
      <c r="C11475" s="85"/>
      <c r="D11475" s="25"/>
      <c r="E11475" s="77"/>
      <c r="F11475" s="88"/>
      <c r="G11475" s="88"/>
      <c r="H11475" s="89"/>
      <c r="K11475" s="58"/>
      <c r="L11475" s="91"/>
      <c r="M11475" s="78"/>
    </row>
    <row r="11476">
      <c r="C11476" s="85"/>
      <c r="D11476" s="25"/>
      <c r="E11476" s="77"/>
      <c r="F11476" s="88"/>
      <c r="G11476" s="88"/>
      <c r="H11476" s="89"/>
      <c r="K11476" s="58"/>
      <c r="L11476" s="91"/>
      <c r="M11476" s="78"/>
    </row>
    <row r="11477">
      <c r="C11477" s="85"/>
      <c r="D11477" s="25"/>
      <c r="E11477" s="77"/>
      <c r="F11477" s="88"/>
      <c r="G11477" s="88"/>
      <c r="H11477" s="89"/>
      <c r="K11477" s="58"/>
      <c r="L11477" s="91"/>
      <c r="M11477" s="78"/>
    </row>
    <row r="11478">
      <c r="C11478" s="85"/>
      <c r="D11478" s="25"/>
      <c r="E11478" s="77"/>
      <c r="F11478" s="88"/>
      <c r="G11478" s="88"/>
      <c r="H11478" s="89"/>
      <c r="K11478" s="58"/>
      <c r="L11478" s="91"/>
      <c r="M11478" s="78"/>
    </row>
    <row r="11479">
      <c r="C11479" s="85"/>
      <c r="D11479" s="25"/>
      <c r="E11479" s="77"/>
      <c r="F11479" s="88"/>
      <c r="G11479" s="88"/>
      <c r="H11479" s="89"/>
      <c r="K11479" s="58"/>
      <c r="L11479" s="91"/>
      <c r="M11479" s="78"/>
    </row>
    <row r="11480">
      <c r="C11480" s="85"/>
      <c r="D11480" s="25"/>
      <c r="E11480" s="77"/>
      <c r="F11480" s="88"/>
      <c r="G11480" s="88"/>
      <c r="H11480" s="89"/>
      <c r="K11480" s="58"/>
      <c r="L11480" s="91"/>
      <c r="M11480" s="78"/>
    </row>
    <row r="11481">
      <c r="C11481" s="85"/>
      <c r="D11481" s="25"/>
      <c r="E11481" s="77"/>
      <c r="F11481" s="88"/>
      <c r="G11481" s="88"/>
      <c r="H11481" s="89"/>
      <c r="K11481" s="58"/>
      <c r="L11481" s="91"/>
      <c r="M11481" s="78"/>
    </row>
    <row r="11482">
      <c r="C11482" s="85"/>
      <c r="D11482" s="25"/>
      <c r="E11482" s="77"/>
      <c r="F11482" s="88"/>
      <c r="G11482" s="88"/>
      <c r="H11482" s="89"/>
      <c r="K11482" s="58"/>
      <c r="L11482" s="91"/>
      <c r="M11482" s="78"/>
    </row>
    <row r="11483">
      <c r="C11483" s="85"/>
      <c r="D11483" s="25"/>
      <c r="E11483" s="77"/>
      <c r="F11483" s="88"/>
      <c r="G11483" s="88"/>
      <c r="H11483" s="89"/>
      <c r="K11483" s="58"/>
      <c r="L11483" s="91"/>
      <c r="M11483" s="78"/>
    </row>
    <row r="11484">
      <c r="C11484" s="85"/>
      <c r="D11484" s="25"/>
      <c r="E11484" s="77"/>
      <c r="F11484" s="88"/>
      <c r="G11484" s="88"/>
      <c r="H11484" s="89"/>
      <c r="K11484" s="58"/>
      <c r="L11484" s="91"/>
      <c r="M11484" s="78"/>
    </row>
    <row r="11485">
      <c r="C11485" s="85"/>
      <c r="D11485" s="25"/>
      <c r="E11485" s="77"/>
      <c r="F11485" s="88"/>
      <c r="G11485" s="88"/>
      <c r="H11485" s="89"/>
      <c r="K11485" s="58"/>
      <c r="L11485" s="91"/>
      <c r="M11485" s="78"/>
    </row>
    <row r="11486">
      <c r="C11486" s="85"/>
      <c r="D11486" s="25"/>
      <c r="E11486" s="77"/>
      <c r="F11486" s="88"/>
      <c r="G11486" s="88"/>
      <c r="H11486" s="89"/>
      <c r="K11486" s="58"/>
      <c r="L11486" s="91"/>
      <c r="M11486" s="78"/>
    </row>
    <row r="11487">
      <c r="C11487" s="85"/>
      <c r="D11487" s="25"/>
      <c r="E11487" s="77"/>
      <c r="F11487" s="88"/>
      <c r="G11487" s="88"/>
      <c r="H11487" s="89"/>
      <c r="K11487" s="58"/>
      <c r="L11487" s="91"/>
      <c r="M11487" s="78"/>
    </row>
    <row r="11488">
      <c r="C11488" s="85"/>
      <c r="D11488" s="25"/>
      <c r="E11488" s="77"/>
      <c r="F11488" s="88"/>
      <c r="G11488" s="88"/>
      <c r="H11488" s="89"/>
      <c r="K11488" s="58"/>
      <c r="L11488" s="91"/>
      <c r="M11488" s="78"/>
    </row>
    <row r="11489">
      <c r="C11489" s="85"/>
      <c r="D11489" s="25"/>
      <c r="E11489" s="77"/>
      <c r="F11489" s="88"/>
      <c r="G11489" s="88"/>
      <c r="H11489" s="89"/>
      <c r="K11489" s="58"/>
      <c r="L11489" s="91"/>
      <c r="M11489" s="78"/>
    </row>
    <row r="11490">
      <c r="C11490" s="85"/>
      <c r="D11490" s="25"/>
      <c r="E11490" s="77"/>
      <c r="F11490" s="88"/>
      <c r="G11490" s="88"/>
      <c r="H11490" s="89"/>
      <c r="K11490" s="58"/>
      <c r="L11490" s="91"/>
      <c r="M11490" s="78"/>
    </row>
    <row r="11491">
      <c r="C11491" s="85"/>
      <c r="D11491" s="25"/>
      <c r="E11491" s="77"/>
      <c r="F11491" s="88"/>
      <c r="G11491" s="88"/>
      <c r="H11491" s="89"/>
      <c r="K11491" s="58"/>
      <c r="L11491" s="91"/>
      <c r="M11491" s="78"/>
    </row>
    <row r="11492">
      <c r="C11492" s="85"/>
      <c r="D11492" s="25"/>
      <c r="E11492" s="77"/>
      <c r="F11492" s="88"/>
      <c r="G11492" s="88"/>
      <c r="H11492" s="89"/>
      <c r="K11492" s="58"/>
      <c r="L11492" s="91"/>
      <c r="M11492" s="78"/>
    </row>
    <row r="11493">
      <c r="C11493" s="85"/>
      <c r="D11493" s="25"/>
      <c r="E11493" s="77"/>
      <c r="F11493" s="88"/>
      <c r="G11493" s="88"/>
      <c r="H11493" s="89"/>
      <c r="K11493" s="58"/>
      <c r="L11493" s="91"/>
      <c r="M11493" s="78"/>
    </row>
    <row r="11494">
      <c r="C11494" s="85"/>
      <c r="D11494" s="25"/>
      <c r="E11494" s="77"/>
      <c r="F11494" s="88"/>
      <c r="G11494" s="88"/>
      <c r="H11494" s="89"/>
      <c r="K11494" s="58"/>
      <c r="L11494" s="91"/>
      <c r="M11494" s="78"/>
    </row>
    <row r="11495">
      <c r="C11495" s="85"/>
      <c r="D11495" s="25"/>
      <c r="E11495" s="77"/>
      <c r="F11495" s="88"/>
      <c r="G11495" s="88"/>
      <c r="H11495" s="89"/>
      <c r="K11495" s="58"/>
      <c r="L11495" s="91"/>
      <c r="M11495" s="78"/>
    </row>
    <row r="11496">
      <c r="C11496" s="85"/>
      <c r="D11496" s="25"/>
      <c r="E11496" s="77"/>
      <c r="F11496" s="88"/>
      <c r="G11496" s="88"/>
      <c r="H11496" s="89"/>
      <c r="K11496" s="58"/>
      <c r="L11496" s="91"/>
      <c r="M11496" s="78"/>
    </row>
    <row r="11497">
      <c r="C11497" s="85"/>
      <c r="D11497" s="25"/>
      <c r="E11497" s="77"/>
      <c r="F11497" s="88"/>
      <c r="G11497" s="88"/>
      <c r="H11497" s="89"/>
      <c r="K11497" s="58"/>
      <c r="L11497" s="91"/>
      <c r="M11497" s="78"/>
    </row>
    <row r="11498">
      <c r="C11498" s="85"/>
      <c r="D11498" s="25"/>
      <c r="E11498" s="77"/>
      <c r="F11498" s="88"/>
      <c r="G11498" s="88"/>
      <c r="H11498" s="89"/>
      <c r="K11498" s="58"/>
      <c r="L11498" s="91"/>
      <c r="M11498" s="78"/>
    </row>
    <row r="11499">
      <c r="C11499" s="85"/>
      <c r="D11499" s="25"/>
      <c r="E11499" s="77"/>
      <c r="F11499" s="88"/>
      <c r="G11499" s="88"/>
      <c r="H11499" s="89"/>
      <c r="K11499" s="58"/>
      <c r="L11499" s="91"/>
      <c r="M11499" s="78"/>
    </row>
    <row r="11500">
      <c r="C11500" s="85"/>
      <c r="D11500" s="25"/>
      <c r="E11500" s="77"/>
      <c r="F11500" s="88"/>
      <c r="G11500" s="88"/>
      <c r="H11500" s="89"/>
      <c r="K11500" s="58"/>
      <c r="L11500" s="91"/>
      <c r="M11500" s="78"/>
    </row>
    <row r="11501">
      <c r="C11501" s="85"/>
      <c r="D11501" s="25"/>
      <c r="E11501" s="77"/>
      <c r="F11501" s="88"/>
      <c r="G11501" s="88"/>
      <c r="H11501" s="89"/>
      <c r="K11501" s="58"/>
      <c r="L11501" s="91"/>
      <c r="M11501" s="78"/>
    </row>
    <row r="11502">
      <c r="C11502" s="85"/>
      <c r="D11502" s="25"/>
      <c r="E11502" s="77"/>
      <c r="F11502" s="88"/>
      <c r="G11502" s="88"/>
      <c r="H11502" s="89"/>
      <c r="K11502" s="58"/>
      <c r="L11502" s="91"/>
      <c r="M11502" s="78"/>
    </row>
    <row r="11503">
      <c r="C11503" s="85"/>
      <c r="D11503" s="25"/>
      <c r="E11503" s="77"/>
      <c r="F11503" s="88"/>
      <c r="G11503" s="88"/>
      <c r="H11503" s="89"/>
      <c r="K11503" s="58"/>
      <c r="L11503" s="91"/>
      <c r="M11503" s="78"/>
    </row>
    <row r="11504">
      <c r="C11504" s="85"/>
      <c r="D11504" s="25"/>
      <c r="E11504" s="77"/>
      <c r="F11504" s="88"/>
      <c r="G11504" s="88"/>
      <c r="H11504" s="89"/>
      <c r="K11504" s="58"/>
      <c r="L11504" s="91"/>
      <c r="M11504" s="78"/>
    </row>
    <row r="11505">
      <c r="C11505" s="85"/>
      <c r="D11505" s="25"/>
      <c r="E11505" s="77"/>
      <c r="F11505" s="88"/>
      <c r="G11505" s="88"/>
      <c r="H11505" s="89"/>
      <c r="K11505" s="58"/>
      <c r="L11505" s="91"/>
      <c r="M11505" s="78"/>
    </row>
    <row r="11506">
      <c r="C11506" s="85"/>
      <c r="D11506" s="25"/>
      <c r="E11506" s="77"/>
      <c r="F11506" s="88"/>
      <c r="G11506" s="88"/>
      <c r="H11506" s="89"/>
      <c r="K11506" s="58"/>
      <c r="L11506" s="91"/>
      <c r="M11506" s="78"/>
    </row>
    <row r="11507">
      <c r="C11507" s="85"/>
      <c r="D11507" s="25"/>
      <c r="E11507" s="77"/>
      <c r="F11507" s="88"/>
      <c r="G11507" s="88"/>
      <c r="H11507" s="89"/>
      <c r="K11507" s="58"/>
      <c r="L11507" s="91"/>
      <c r="M11507" s="78"/>
    </row>
    <row r="11508">
      <c r="C11508" s="85"/>
      <c r="D11508" s="25"/>
      <c r="E11508" s="77"/>
      <c r="F11508" s="88"/>
      <c r="G11508" s="88"/>
      <c r="H11508" s="89"/>
      <c r="K11508" s="58"/>
      <c r="L11508" s="91"/>
      <c r="M11508" s="78"/>
    </row>
    <row r="11509">
      <c r="C11509" s="85"/>
      <c r="D11509" s="25"/>
      <c r="E11509" s="77"/>
      <c r="F11509" s="88"/>
      <c r="G11509" s="88"/>
      <c r="H11509" s="89"/>
      <c r="K11509" s="58"/>
      <c r="L11509" s="91"/>
      <c r="M11509" s="78"/>
    </row>
    <row r="11510">
      <c r="C11510" s="85"/>
      <c r="D11510" s="25"/>
      <c r="E11510" s="77"/>
      <c r="F11510" s="88"/>
      <c r="G11510" s="88"/>
      <c r="H11510" s="89"/>
      <c r="K11510" s="58"/>
      <c r="L11510" s="91"/>
      <c r="M11510" s="78"/>
    </row>
    <row r="11511">
      <c r="C11511" s="85"/>
      <c r="D11511" s="25"/>
      <c r="E11511" s="77"/>
      <c r="F11511" s="88"/>
      <c r="G11511" s="88"/>
      <c r="H11511" s="89"/>
      <c r="K11511" s="58"/>
      <c r="L11511" s="91"/>
      <c r="M11511" s="78"/>
    </row>
    <row r="11512">
      <c r="C11512" s="85"/>
      <c r="D11512" s="25"/>
      <c r="E11512" s="77"/>
      <c r="F11512" s="88"/>
      <c r="G11512" s="88"/>
      <c r="H11512" s="89"/>
      <c r="K11512" s="58"/>
      <c r="L11512" s="91"/>
      <c r="M11512" s="78"/>
    </row>
    <row r="11513">
      <c r="C11513" s="85"/>
      <c r="D11513" s="25"/>
      <c r="E11513" s="77"/>
      <c r="F11513" s="88"/>
      <c r="G11513" s="88"/>
      <c r="H11513" s="89"/>
      <c r="K11513" s="58"/>
      <c r="L11513" s="91"/>
      <c r="M11513" s="78"/>
    </row>
    <row r="11514">
      <c r="C11514" s="85"/>
      <c r="D11514" s="25"/>
      <c r="E11514" s="77"/>
      <c r="F11514" s="88"/>
      <c r="G11514" s="88"/>
      <c r="H11514" s="89"/>
      <c r="K11514" s="58"/>
      <c r="L11514" s="91"/>
      <c r="M11514" s="78"/>
    </row>
    <row r="11515">
      <c r="C11515" s="85"/>
      <c r="D11515" s="25"/>
      <c r="E11515" s="77"/>
      <c r="F11515" s="88"/>
      <c r="G11515" s="88"/>
      <c r="H11515" s="89"/>
      <c r="K11515" s="58"/>
      <c r="L11515" s="91"/>
      <c r="M11515" s="78"/>
    </row>
    <row r="11516">
      <c r="C11516" s="85"/>
      <c r="D11516" s="25"/>
      <c r="E11516" s="77"/>
      <c r="F11516" s="88"/>
      <c r="G11516" s="88"/>
      <c r="H11516" s="89"/>
      <c r="K11516" s="58"/>
      <c r="L11516" s="91"/>
      <c r="M11516" s="78"/>
    </row>
    <row r="11517">
      <c r="C11517" s="85"/>
      <c r="D11517" s="25"/>
      <c r="E11517" s="77"/>
      <c r="F11517" s="88"/>
      <c r="G11517" s="88"/>
      <c r="H11517" s="89"/>
      <c r="K11517" s="58"/>
      <c r="L11517" s="91"/>
      <c r="M11517" s="78"/>
    </row>
    <row r="11518">
      <c r="C11518" s="85"/>
      <c r="D11518" s="25"/>
      <c r="E11518" s="77"/>
      <c r="F11518" s="88"/>
      <c r="G11518" s="88"/>
      <c r="H11518" s="89"/>
      <c r="K11518" s="58"/>
      <c r="L11518" s="91"/>
      <c r="M11518" s="78"/>
    </row>
    <row r="11519">
      <c r="C11519" s="85"/>
      <c r="D11519" s="25"/>
      <c r="E11519" s="77"/>
      <c r="F11519" s="88"/>
      <c r="G11519" s="88"/>
      <c r="H11519" s="89"/>
      <c r="K11519" s="58"/>
      <c r="L11519" s="91"/>
      <c r="M11519" s="78"/>
    </row>
    <row r="11520">
      <c r="C11520" s="85"/>
      <c r="D11520" s="25"/>
      <c r="E11520" s="77"/>
      <c r="F11520" s="88"/>
      <c r="G11520" s="88"/>
      <c r="H11520" s="89"/>
      <c r="K11520" s="58"/>
      <c r="L11520" s="91"/>
      <c r="M11520" s="78"/>
    </row>
    <row r="11521">
      <c r="C11521" s="85"/>
      <c r="D11521" s="25"/>
      <c r="E11521" s="77"/>
      <c r="F11521" s="88"/>
      <c r="G11521" s="88"/>
      <c r="H11521" s="89"/>
      <c r="K11521" s="58"/>
      <c r="L11521" s="91"/>
      <c r="M11521" s="78"/>
    </row>
    <row r="11522">
      <c r="C11522" s="85"/>
      <c r="D11522" s="25"/>
      <c r="E11522" s="77"/>
      <c r="F11522" s="88"/>
      <c r="G11522" s="88"/>
      <c r="H11522" s="89"/>
      <c r="K11522" s="58"/>
      <c r="L11522" s="91"/>
      <c r="M11522" s="78"/>
    </row>
    <row r="11523">
      <c r="C11523" s="85"/>
      <c r="D11523" s="25"/>
      <c r="E11523" s="77"/>
      <c r="F11523" s="88"/>
      <c r="G11523" s="88"/>
      <c r="H11523" s="89"/>
      <c r="K11523" s="58"/>
      <c r="L11523" s="91"/>
      <c r="M11523" s="78"/>
    </row>
    <row r="11524">
      <c r="C11524" s="85"/>
      <c r="D11524" s="25"/>
      <c r="E11524" s="77"/>
      <c r="F11524" s="88"/>
      <c r="G11524" s="88"/>
      <c r="H11524" s="89"/>
      <c r="K11524" s="58"/>
      <c r="L11524" s="91"/>
      <c r="M11524" s="78"/>
    </row>
    <row r="11525">
      <c r="C11525" s="85"/>
      <c r="D11525" s="25"/>
      <c r="E11525" s="77"/>
      <c r="F11525" s="88"/>
      <c r="G11525" s="88"/>
      <c r="H11525" s="89"/>
      <c r="K11525" s="58"/>
      <c r="L11525" s="91"/>
      <c r="M11525" s="78"/>
    </row>
    <row r="11526">
      <c r="C11526" s="85"/>
      <c r="D11526" s="25"/>
      <c r="E11526" s="77"/>
      <c r="F11526" s="88"/>
      <c r="G11526" s="88"/>
      <c r="H11526" s="89"/>
      <c r="K11526" s="58"/>
      <c r="L11526" s="91"/>
      <c r="M11526" s="78"/>
    </row>
    <row r="11527">
      <c r="C11527" s="85"/>
      <c r="D11527" s="25"/>
      <c r="E11527" s="77"/>
      <c r="F11527" s="88"/>
      <c r="G11527" s="88"/>
      <c r="H11527" s="89"/>
      <c r="K11527" s="58"/>
      <c r="L11527" s="91"/>
      <c r="M11527" s="78"/>
    </row>
    <row r="11528">
      <c r="C11528" s="85"/>
      <c r="D11528" s="25"/>
      <c r="E11528" s="77"/>
      <c r="F11528" s="88"/>
      <c r="G11528" s="88"/>
      <c r="H11528" s="89"/>
      <c r="K11528" s="58"/>
      <c r="L11528" s="91"/>
      <c r="M11528" s="78"/>
    </row>
    <row r="11529">
      <c r="C11529" s="85"/>
      <c r="D11529" s="25"/>
      <c r="E11529" s="77"/>
      <c r="F11529" s="88"/>
      <c r="G11529" s="88"/>
      <c r="H11529" s="89"/>
      <c r="K11529" s="58"/>
      <c r="L11529" s="91"/>
      <c r="M11529" s="78"/>
    </row>
    <row r="11530">
      <c r="C11530" s="85"/>
      <c r="D11530" s="25"/>
      <c r="E11530" s="77"/>
      <c r="F11530" s="88"/>
      <c r="G11530" s="88"/>
      <c r="H11530" s="89"/>
      <c r="K11530" s="58"/>
      <c r="L11530" s="91"/>
      <c r="M11530" s="78"/>
    </row>
    <row r="11531">
      <c r="C11531" s="85"/>
      <c r="D11531" s="25"/>
      <c r="E11531" s="77"/>
      <c r="F11531" s="88"/>
      <c r="G11531" s="88"/>
      <c r="H11531" s="89"/>
      <c r="K11531" s="58"/>
      <c r="L11531" s="91"/>
      <c r="M11531" s="78"/>
    </row>
    <row r="11532">
      <c r="C11532" s="85"/>
      <c r="D11532" s="25"/>
      <c r="E11532" s="77"/>
      <c r="F11532" s="88"/>
      <c r="G11532" s="88"/>
      <c r="H11532" s="89"/>
      <c r="K11532" s="58"/>
      <c r="L11532" s="91"/>
      <c r="M11532" s="78"/>
    </row>
    <row r="11533">
      <c r="C11533" s="85"/>
      <c r="D11533" s="25"/>
      <c r="E11533" s="77"/>
      <c r="F11533" s="88"/>
      <c r="G11533" s="88"/>
      <c r="H11533" s="89"/>
      <c r="K11533" s="58"/>
      <c r="L11533" s="91"/>
      <c r="M11533" s="78"/>
    </row>
    <row r="11534">
      <c r="C11534" s="85"/>
      <c r="D11534" s="25"/>
      <c r="E11534" s="77"/>
      <c r="F11534" s="88"/>
      <c r="G11534" s="88"/>
      <c r="H11534" s="89"/>
      <c r="K11534" s="58"/>
      <c r="L11534" s="91"/>
      <c r="M11534" s="78"/>
    </row>
    <row r="11535">
      <c r="C11535" s="85"/>
      <c r="D11535" s="25"/>
      <c r="E11535" s="77"/>
      <c r="F11535" s="88"/>
      <c r="G11535" s="88"/>
      <c r="H11535" s="89"/>
      <c r="K11535" s="58"/>
      <c r="L11535" s="91"/>
      <c r="M11535" s="78"/>
    </row>
    <row r="11536">
      <c r="C11536" s="85"/>
      <c r="D11536" s="25"/>
      <c r="E11536" s="77"/>
      <c r="F11536" s="88"/>
      <c r="G11536" s="88"/>
      <c r="H11536" s="89"/>
      <c r="K11536" s="58"/>
      <c r="L11536" s="91"/>
      <c r="M11536" s="78"/>
    </row>
    <row r="11537">
      <c r="C11537" s="85"/>
      <c r="D11537" s="25"/>
      <c r="E11537" s="77"/>
      <c r="F11537" s="88"/>
      <c r="G11537" s="88"/>
      <c r="H11537" s="89"/>
      <c r="K11537" s="58"/>
      <c r="L11537" s="91"/>
      <c r="M11537" s="78"/>
    </row>
    <row r="11538">
      <c r="C11538" s="85"/>
      <c r="D11538" s="25"/>
      <c r="E11538" s="77"/>
      <c r="F11538" s="88"/>
      <c r="G11538" s="88"/>
      <c r="H11538" s="89"/>
      <c r="K11538" s="58"/>
      <c r="L11538" s="91"/>
      <c r="M11538" s="78"/>
    </row>
    <row r="11539">
      <c r="C11539" s="85"/>
      <c r="D11539" s="25"/>
      <c r="E11539" s="77"/>
      <c r="F11539" s="88"/>
      <c r="G11539" s="88"/>
      <c r="H11539" s="89"/>
      <c r="K11539" s="58"/>
      <c r="L11539" s="91"/>
      <c r="M11539" s="78"/>
    </row>
    <row r="11540">
      <c r="C11540" s="85"/>
      <c r="D11540" s="25"/>
      <c r="E11540" s="77"/>
      <c r="F11540" s="88"/>
      <c r="G11540" s="88"/>
      <c r="H11540" s="89"/>
      <c r="K11540" s="58"/>
      <c r="L11540" s="91"/>
      <c r="M11540" s="78"/>
    </row>
    <row r="11541">
      <c r="C11541" s="85"/>
      <c r="D11541" s="25"/>
      <c r="E11541" s="77"/>
      <c r="F11541" s="88"/>
      <c r="G11541" s="88"/>
      <c r="H11541" s="89"/>
      <c r="K11541" s="58"/>
      <c r="L11541" s="91"/>
      <c r="M11541" s="78"/>
    </row>
    <row r="11542">
      <c r="C11542" s="85"/>
      <c r="D11542" s="25"/>
      <c r="E11542" s="77"/>
      <c r="F11542" s="88"/>
      <c r="G11542" s="88"/>
      <c r="H11542" s="89"/>
      <c r="K11542" s="58"/>
      <c r="L11542" s="91"/>
      <c r="M11542" s="78"/>
    </row>
    <row r="11543">
      <c r="C11543" s="85"/>
      <c r="D11543" s="25"/>
      <c r="E11543" s="77"/>
      <c r="F11543" s="88"/>
      <c r="G11543" s="88"/>
      <c r="H11543" s="89"/>
      <c r="K11543" s="58"/>
      <c r="L11543" s="91"/>
      <c r="M11543" s="78"/>
    </row>
    <row r="11544">
      <c r="C11544" s="85"/>
      <c r="D11544" s="25"/>
      <c r="E11544" s="77"/>
      <c r="F11544" s="88"/>
      <c r="G11544" s="88"/>
      <c r="H11544" s="89"/>
      <c r="K11544" s="58"/>
      <c r="L11544" s="91"/>
      <c r="M11544" s="78"/>
    </row>
    <row r="11545">
      <c r="C11545" s="85"/>
      <c r="D11545" s="25"/>
      <c r="E11545" s="77"/>
      <c r="F11545" s="88"/>
      <c r="G11545" s="88"/>
      <c r="H11545" s="89"/>
      <c r="K11545" s="58"/>
      <c r="L11545" s="91"/>
      <c r="M11545" s="78"/>
    </row>
    <row r="11546">
      <c r="C11546" s="85"/>
      <c r="D11546" s="25"/>
      <c r="E11546" s="77"/>
      <c r="F11546" s="88"/>
      <c r="G11546" s="88"/>
      <c r="H11546" s="89"/>
      <c r="K11546" s="58"/>
      <c r="L11546" s="91"/>
      <c r="M11546" s="78"/>
    </row>
    <row r="11547">
      <c r="C11547" s="85"/>
      <c r="D11547" s="25"/>
      <c r="E11547" s="77"/>
      <c r="F11547" s="88"/>
      <c r="G11547" s="88"/>
      <c r="H11547" s="89"/>
      <c r="K11547" s="58"/>
      <c r="L11547" s="91"/>
      <c r="M11547" s="78"/>
    </row>
    <row r="11548">
      <c r="C11548" s="85"/>
      <c r="D11548" s="25"/>
      <c r="E11548" s="77"/>
      <c r="F11548" s="88"/>
      <c r="G11548" s="88"/>
      <c r="H11548" s="89"/>
      <c r="K11548" s="58"/>
      <c r="L11548" s="91"/>
      <c r="M11548" s="78"/>
    </row>
    <row r="11549">
      <c r="C11549" s="85"/>
      <c r="D11549" s="25"/>
      <c r="E11549" s="77"/>
      <c r="F11549" s="88"/>
      <c r="G11549" s="88"/>
      <c r="H11549" s="89"/>
      <c r="K11549" s="58"/>
      <c r="L11549" s="91"/>
      <c r="M11549" s="78"/>
    </row>
    <row r="11550">
      <c r="C11550" s="85"/>
      <c r="D11550" s="25"/>
      <c r="E11550" s="77"/>
      <c r="F11550" s="88"/>
      <c r="G11550" s="88"/>
      <c r="H11550" s="89"/>
      <c r="K11550" s="58"/>
      <c r="L11550" s="91"/>
      <c r="M11550" s="78"/>
    </row>
    <row r="11551">
      <c r="C11551" s="85"/>
      <c r="D11551" s="25"/>
      <c r="E11551" s="77"/>
      <c r="F11551" s="88"/>
      <c r="G11551" s="88"/>
      <c r="H11551" s="89"/>
      <c r="K11551" s="58"/>
      <c r="L11551" s="91"/>
      <c r="M11551" s="78"/>
    </row>
    <row r="11552">
      <c r="C11552" s="85"/>
      <c r="D11552" s="25"/>
      <c r="E11552" s="77"/>
      <c r="F11552" s="88"/>
      <c r="G11552" s="88"/>
      <c r="H11552" s="89"/>
      <c r="K11552" s="58"/>
      <c r="L11552" s="91"/>
      <c r="M11552" s="78"/>
    </row>
    <row r="11553">
      <c r="C11553" s="85"/>
      <c r="D11553" s="25"/>
      <c r="E11553" s="77"/>
      <c r="F11553" s="88"/>
      <c r="G11553" s="88"/>
      <c r="H11553" s="89"/>
      <c r="K11553" s="58"/>
      <c r="L11553" s="91"/>
      <c r="M11553" s="78"/>
    </row>
    <row r="11554">
      <c r="C11554" s="85"/>
      <c r="D11554" s="25"/>
      <c r="E11554" s="77"/>
      <c r="F11554" s="88"/>
      <c r="G11554" s="88"/>
      <c r="H11554" s="89"/>
      <c r="K11554" s="58"/>
      <c r="L11554" s="91"/>
      <c r="M11554" s="78"/>
    </row>
    <row r="11555">
      <c r="C11555" s="85"/>
      <c r="D11555" s="25"/>
      <c r="E11555" s="77"/>
      <c r="F11555" s="88"/>
      <c r="G11555" s="88"/>
      <c r="H11555" s="89"/>
      <c r="K11555" s="58"/>
      <c r="L11555" s="91"/>
      <c r="M11555" s="78"/>
    </row>
    <row r="11556">
      <c r="C11556" s="85"/>
      <c r="D11556" s="25"/>
      <c r="E11556" s="77"/>
      <c r="F11556" s="88"/>
      <c r="G11556" s="88"/>
      <c r="H11556" s="89"/>
      <c r="K11556" s="58"/>
      <c r="L11556" s="91"/>
      <c r="M11556" s="78"/>
    </row>
    <row r="11557">
      <c r="C11557" s="85"/>
      <c r="D11557" s="25"/>
      <c r="E11557" s="77"/>
      <c r="F11557" s="88"/>
      <c r="G11557" s="88"/>
      <c r="H11557" s="89"/>
      <c r="K11557" s="58"/>
      <c r="L11557" s="91"/>
      <c r="M11557" s="78"/>
    </row>
    <row r="11558">
      <c r="C11558" s="85"/>
      <c r="D11558" s="25"/>
      <c r="E11558" s="77"/>
      <c r="F11558" s="88"/>
      <c r="G11558" s="88"/>
      <c r="H11558" s="89"/>
      <c r="K11558" s="58"/>
      <c r="L11558" s="91"/>
      <c r="M11558" s="78"/>
    </row>
    <row r="11559">
      <c r="C11559" s="85"/>
      <c r="D11559" s="25"/>
      <c r="E11559" s="77"/>
      <c r="F11559" s="88"/>
      <c r="G11559" s="88"/>
      <c r="H11559" s="89"/>
      <c r="K11559" s="58"/>
      <c r="L11559" s="91"/>
      <c r="M11559" s="78"/>
    </row>
    <row r="11560">
      <c r="C11560" s="85"/>
      <c r="D11560" s="25"/>
      <c r="E11560" s="77"/>
      <c r="F11560" s="88"/>
      <c r="G11560" s="88"/>
      <c r="H11560" s="89"/>
      <c r="K11560" s="58"/>
      <c r="L11560" s="91"/>
      <c r="M11560" s="78"/>
    </row>
    <row r="11561">
      <c r="C11561" s="85"/>
      <c r="D11561" s="25"/>
      <c r="E11561" s="77"/>
      <c r="F11561" s="88"/>
      <c r="G11561" s="88"/>
      <c r="H11561" s="89"/>
      <c r="K11561" s="58"/>
      <c r="L11561" s="91"/>
      <c r="M11561" s="78"/>
    </row>
    <row r="11562">
      <c r="C11562" s="85"/>
      <c r="D11562" s="25"/>
      <c r="E11562" s="77"/>
      <c r="F11562" s="88"/>
      <c r="G11562" s="88"/>
      <c r="H11562" s="89"/>
      <c r="K11562" s="58"/>
      <c r="L11562" s="91"/>
      <c r="M11562" s="78"/>
    </row>
    <row r="11563">
      <c r="C11563" s="85"/>
      <c r="D11563" s="25"/>
      <c r="E11563" s="77"/>
      <c r="F11563" s="88"/>
      <c r="G11563" s="88"/>
      <c r="H11563" s="89"/>
      <c r="K11563" s="58"/>
      <c r="L11563" s="91"/>
      <c r="M11563" s="78"/>
    </row>
    <row r="11564">
      <c r="C11564" s="85"/>
      <c r="D11564" s="25"/>
      <c r="E11564" s="77"/>
      <c r="F11564" s="88"/>
      <c r="G11564" s="88"/>
      <c r="H11564" s="89"/>
      <c r="K11564" s="58"/>
      <c r="L11564" s="91"/>
      <c r="M11564" s="78"/>
    </row>
    <row r="11565">
      <c r="C11565" s="85"/>
      <c r="D11565" s="25"/>
      <c r="E11565" s="77"/>
      <c r="F11565" s="88"/>
      <c r="G11565" s="88"/>
      <c r="H11565" s="89"/>
      <c r="K11565" s="58"/>
      <c r="L11565" s="91"/>
      <c r="M11565" s="78"/>
    </row>
    <row r="11566">
      <c r="C11566" s="85"/>
      <c r="D11566" s="25"/>
      <c r="E11566" s="77"/>
      <c r="F11566" s="88"/>
      <c r="G11566" s="88"/>
      <c r="H11566" s="89"/>
      <c r="K11566" s="58"/>
      <c r="L11566" s="91"/>
      <c r="M11566" s="78"/>
    </row>
    <row r="11567">
      <c r="C11567" s="85"/>
      <c r="D11567" s="25"/>
      <c r="E11567" s="77"/>
      <c r="F11567" s="88"/>
      <c r="G11567" s="88"/>
      <c r="H11567" s="89"/>
      <c r="K11567" s="58"/>
      <c r="L11567" s="91"/>
      <c r="M11567" s="78"/>
    </row>
    <row r="11568">
      <c r="C11568" s="85"/>
      <c r="D11568" s="25"/>
      <c r="E11568" s="77"/>
      <c r="F11568" s="88"/>
      <c r="G11568" s="88"/>
      <c r="H11568" s="89"/>
      <c r="K11568" s="58"/>
      <c r="L11568" s="91"/>
      <c r="M11568" s="78"/>
    </row>
    <row r="11569">
      <c r="C11569" s="85"/>
      <c r="D11569" s="25"/>
      <c r="E11569" s="77"/>
      <c r="F11569" s="88"/>
      <c r="G11569" s="88"/>
      <c r="H11569" s="89"/>
      <c r="K11569" s="58"/>
      <c r="L11569" s="91"/>
      <c r="M11569" s="78"/>
    </row>
    <row r="11570">
      <c r="C11570" s="85"/>
      <c r="D11570" s="25"/>
      <c r="E11570" s="77"/>
      <c r="F11570" s="88"/>
      <c r="G11570" s="88"/>
      <c r="H11570" s="89"/>
      <c r="K11570" s="58"/>
      <c r="L11570" s="91"/>
      <c r="M11570" s="78"/>
    </row>
    <row r="11571">
      <c r="C11571" s="85"/>
      <c r="D11571" s="25"/>
      <c r="E11571" s="77"/>
      <c r="F11571" s="88"/>
      <c r="G11571" s="88"/>
      <c r="H11571" s="89"/>
      <c r="K11571" s="58"/>
      <c r="L11571" s="91"/>
      <c r="M11571" s="78"/>
    </row>
    <row r="11572">
      <c r="C11572" s="85"/>
      <c r="D11572" s="25"/>
      <c r="E11572" s="77"/>
      <c r="F11572" s="88"/>
      <c r="G11572" s="88"/>
      <c r="H11572" s="89"/>
      <c r="K11572" s="58"/>
      <c r="L11572" s="91"/>
      <c r="M11572" s="78"/>
    </row>
    <row r="11573">
      <c r="C11573" s="85"/>
      <c r="D11573" s="25"/>
      <c r="E11573" s="77"/>
      <c r="F11573" s="88"/>
      <c r="G11573" s="88"/>
      <c r="H11573" s="89"/>
      <c r="K11573" s="58"/>
      <c r="L11573" s="91"/>
      <c r="M11573" s="78"/>
    </row>
    <row r="11574">
      <c r="C11574" s="85"/>
      <c r="D11574" s="25"/>
      <c r="E11574" s="77"/>
      <c r="F11574" s="88"/>
      <c r="G11574" s="88"/>
      <c r="H11574" s="89"/>
      <c r="K11574" s="58"/>
      <c r="L11574" s="91"/>
      <c r="M11574" s="78"/>
    </row>
    <row r="11575">
      <c r="C11575" s="85"/>
      <c r="D11575" s="25"/>
      <c r="E11575" s="77"/>
      <c r="F11575" s="88"/>
      <c r="G11575" s="88"/>
      <c r="H11575" s="89"/>
      <c r="K11575" s="58"/>
      <c r="L11575" s="91"/>
      <c r="M11575" s="78"/>
    </row>
    <row r="11576">
      <c r="C11576" s="85"/>
      <c r="D11576" s="25"/>
      <c r="E11576" s="77"/>
      <c r="F11576" s="88"/>
      <c r="G11576" s="88"/>
      <c r="H11576" s="89"/>
      <c r="K11576" s="58"/>
      <c r="L11576" s="91"/>
      <c r="M11576" s="78"/>
    </row>
    <row r="11577">
      <c r="C11577" s="85"/>
      <c r="D11577" s="25"/>
      <c r="E11577" s="77"/>
      <c r="F11577" s="88"/>
      <c r="G11577" s="88"/>
      <c r="H11577" s="89"/>
      <c r="K11577" s="58"/>
      <c r="L11577" s="91"/>
      <c r="M11577" s="78"/>
    </row>
    <row r="11578">
      <c r="C11578" s="85"/>
      <c r="D11578" s="25"/>
      <c r="E11578" s="77"/>
      <c r="F11578" s="88"/>
      <c r="G11578" s="88"/>
      <c r="H11578" s="89"/>
      <c r="K11578" s="58"/>
      <c r="L11578" s="91"/>
      <c r="M11578" s="78"/>
    </row>
    <row r="11579">
      <c r="C11579" s="85"/>
      <c r="D11579" s="25"/>
      <c r="E11579" s="77"/>
      <c r="F11579" s="88"/>
      <c r="G11579" s="88"/>
      <c r="H11579" s="89"/>
      <c r="K11579" s="58"/>
      <c r="L11579" s="91"/>
      <c r="M11579" s="78"/>
    </row>
    <row r="11580">
      <c r="C11580" s="85"/>
      <c r="D11580" s="25"/>
      <c r="E11580" s="77"/>
      <c r="F11580" s="88"/>
      <c r="G11580" s="88"/>
      <c r="H11580" s="89"/>
      <c r="K11580" s="58"/>
      <c r="L11580" s="91"/>
      <c r="M11580" s="78"/>
    </row>
    <row r="11581">
      <c r="C11581" s="85"/>
      <c r="D11581" s="25"/>
      <c r="E11581" s="77"/>
      <c r="F11581" s="88"/>
      <c r="G11581" s="88"/>
      <c r="H11581" s="89"/>
      <c r="K11581" s="58"/>
      <c r="L11581" s="91"/>
      <c r="M11581" s="78"/>
    </row>
    <row r="11582">
      <c r="C11582" s="85"/>
      <c r="D11582" s="25"/>
      <c r="E11582" s="77"/>
      <c r="F11582" s="88"/>
      <c r="G11582" s="88"/>
      <c r="H11582" s="89"/>
      <c r="K11582" s="58"/>
      <c r="L11582" s="91"/>
      <c r="M11582" s="78"/>
    </row>
    <row r="11583">
      <c r="C11583" s="85"/>
      <c r="D11583" s="25"/>
      <c r="E11583" s="77"/>
      <c r="F11583" s="88"/>
      <c r="G11583" s="88"/>
      <c r="H11583" s="89"/>
      <c r="K11583" s="58"/>
      <c r="L11583" s="91"/>
      <c r="M11583" s="78"/>
    </row>
    <row r="11584">
      <c r="C11584" s="85"/>
      <c r="D11584" s="25"/>
      <c r="E11584" s="77"/>
      <c r="F11584" s="88"/>
      <c r="G11584" s="88"/>
      <c r="H11584" s="89"/>
      <c r="K11584" s="58"/>
      <c r="L11584" s="91"/>
      <c r="M11584" s="78"/>
    </row>
    <row r="11585">
      <c r="C11585" s="85"/>
      <c r="D11585" s="25"/>
      <c r="E11585" s="77"/>
      <c r="F11585" s="88"/>
      <c r="G11585" s="88"/>
      <c r="H11585" s="89"/>
      <c r="K11585" s="58"/>
      <c r="L11585" s="91"/>
      <c r="M11585" s="78"/>
    </row>
    <row r="11586">
      <c r="C11586" s="85"/>
      <c r="D11586" s="25"/>
      <c r="E11586" s="77"/>
      <c r="F11586" s="88"/>
      <c r="G11586" s="88"/>
      <c r="H11586" s="89"/>
      <c r="K11586" s="58"/>
      <c r="L11586" s="91"/>
      <c r="M11586" s="78"/>
    </row>
    <row r="11587">
      <c r="C11587" s="85"/>
      <c r="D11587" s="25"/>
      <c r="E11587" s="77"/>
      <c r="F11587" s="88"/>
      <c r="G11587" s="88"/>
      <c r="H11587" s="89"/>
      <c r="K11587" s="58"/>
      <c r="L11587" s="91"/>
      <c r="M11587" s="78"/>
    </row>
    <row r="11588">
      <c r="C11588" s="85"/>
      <c r="D11588" s="25"/>
      <c r="E11588" s="77"/>
      <c r="F11588" s="88"/>
      <c r="G11588" s="88"/>
      <c r="H11588" s="89"/>
      <c r="K11588" s="58"/>
      <c r="L11588" s="91"/>
      <c r="M11588" s="78"/>
    </row>
    <row r="11589">
      <c r="C11589" s="85"/>
      <c r="D11589" s="25"/>
      <c r="E11589" s="77"/>
      <c r="F11589" s="88"/>
      <c r="G11589" s="88"/>
      <c r="H11589" s="89"/>
      <c r="K11589" s="58"/>
      <c r="L11589" s="91"/>
      <c r="M11589" s="78"/>
    </row>
    <row r="11590">
      <c r="C11590" s="85"/>
      <c r="D11590" s="25"/>
      <c r="E11590" s="77"/>
      <c r="F11590" s="88"/>
      <c r="G11590" s="88"/>
      <c r="H11590" s="89"/>
      <c r="K11590" s="58"/>
      <c r="L11590" s="91"/>
      <c r="M11590" s="78"/>
    </row>
    <row r="11591">
      <c r="C11591" s="85"/>
      <c r="D11591" s="25"/>
      <c r="E11591" s="77"/>
      <c r="F11591" s="88"/>
      <c r="G11591" s="88"/>
      <c r="H11591" s="89"/>
      <c r="K11591" s="58"/>
      <c r="L11591" s="91"/>
      <c r="M11591" s="78"/>
    </row>
    <row r="11592">
      <c r="C11592" s="85"/>
      <c r="D11592" s="25"/>
      <c r="E11592" s="77"/>
      <c r="F11592" s="88"/>
      <c r="G11592" s="88"/>
      <c r="H11592" s="89"/>
      <c r="K11592" s="58"/>
      <c r="L11592" s="91"/>
      <c r="M11592" s="78"/>
    </row>
    <row r="11593">
      <c r="C11593" s="85"/>
      <c r="D11593" s="25"/>
      <c r="E11593" s="77"/>
      <c r="F11593" s="88"/>
      <c r="G11593" s="88"/>
      <c r="H11593" s="89"/>
      <c r="K11593" s="58"/>
      <c r="L11593" s="91"/>
      <c r="M11593" s="78"/>
    </row>
    <row r="11594">
      <c r="C11594" s="85"/>
      <c r="D11594" s="25"/>
      <c r="E11594" s="77"/>
      <c r="F11594" s="88"/>
      <c r="G11594" s="88"/>
      <c r="H11594" s="89"/>
      <c r="K11594" s="58"/>
      <c r="L11594" s="91"/>
      <c r="M11594" s="78"/>
    </row>
    <row r="11595">
      <c r="C11595" s="85"/>
      <c r="D11595" s="25"/>
      <c r="E11595" s="77"/>
      <c r="F11595" s="88"/>
      <c r="G11595" s="88"/>
      <c r="H11595" s="89"/>
      <c r="K11595" s="58"/>
      <c r="L11595" s="91"/>
      <c r="M11595" s="78"/>
    </row>
    <row r="11596">
      <c r="C11596" s="85"/>
      <c r="D11596" s="25"/>
      <c r="E11596" s="77"/>
      <c r="F11596" s="88"/>
      <c r="G11596" s="88"/>
      <c r="H11596" s="89"/>
      <c r="K11596" s="58"/>
      <c r="L11596" s="91"/>
      <c r="M11596" s="78"/>
    </row>
    <row r="11597">
      <c r="C11597" s="85"/>
      <c r="D11597" s="25"/>
      <c r="E11597" s="77"/>
      <c r="F11597" s="88"/>
      <c r="G11597" s="88"/>
      <c r="H11597" s="89"/>
      <c r="K11597" s="58"/>
      <c r="L11597" s="91"/>
      <c r="M11597" s="78"/>
    </row>
    <row r="11598">
      <c r="C11598" s="85"/>
      <c r="D11598" s="25"/>
      <c r="E11598" s="77"/>
      <c r="F11598" s="88"/>
      <c r="G11598" s="88"/>
      <c r="H11598" s="89"/>
      <c r="K11598" s="58"/>
      <c r="L11598" s="91"/>
      <c r="M11598" s="78"/>
    </row>
    <row r="11599">
      <c r="C11599" s="85"/>
      <c r="D11599" s="25"/>
      <c r="E11599" s="77"/>
      <c r="F11599" s="88"/>
      <c r="G11599" s="88"/>
      <c r="H11599" s="89"/>
      <c r="K11599" s="58"/>
      <c r="L11599" s="91"/>
      <c r="M11599" s="78"/>
    </row>
    <row r="11600">
      <c r="C11600" s="85"/>
      <c r="D11600" s="25"/>
      <c r="E11600" s="77"/>
      <c r="F11600" s="88"/>
      <c r="G11600" s="88"/>
      <c r="H11600" s="89"/>
      <c r="K11600" s="58"/>
      <c r="L11600" s="91"/>
      <c r="M11600" s="78"/>
    </row>
    <row r="11601">
      <c r="C11601" s="85"/>
      <c r="D11601" s="25"/>
      <c r="E11601" s="77"/>
      <c r="F11601" s="88"/>
      <c r="G11601" s="88"/>
      <c r="H11601" s="89"/>
      <c r="K11601" s="58"/>
      <c r="L11601" s="91"/>
      <c r="M11601" s="78"/>
    </row>
    <row r="11602">
      <c r="C11602" s="85"/>
      <c r="D11602" s="25"/>
      <c r="E11602" s="77"/>
      <c r="F11602" s="88"/>
      <c r="G11602" s="88"/>
      <c r="H11602" s="89"/>
      <c r="K11602" s="58"/>
      <c r="L11602" s="91"/>
      <c r="M11602" s="78"/>
    </row>
    <row r="11603">
      <c r="C11603" s="85"/>
      <c r="D11603" s="25"/>
      <c r="E11603" s="77"/>
      <c r="F11603" s="88"/>
      <c r="G11603" s="88"/>
      <c r="H11603" s="89"/>
      <c r="K11603" s="58"/>
      <c r="L11603" s="91"/>
      <c r="M11603" s="78"/>
    </row>
    <row r="11604">
      <c r="C11604" s="85"/>
      <c r="D11604" s="25"/>
      <c r="E11604" s="77"/>
      <c r="F11604" s="88"/>
      <c r="G11604" s="88"/>
      <c r="H11604" s="89"/>
      <c r="K11604" s="58"/>
      <c r="L11604" s="91"/>
      <c r="M11604" s="78"/>
    </row>
    <row r="11605">
      <c r="C11605" s="85"/>
      <c r="D11605" s="25"/>
      <c r="E11605" s="77"/>
      <c r="F11605" s="88"/>
      <c r="G11605" s="88"/>
      <c r="H11605" s="89"/>
      <c r="K11605" s="58"/>
      <c r="L11605" s="91"/>
      <c r="M11605" s="78"/>
    </row>
    <row r="11606">
      <c r="C11606" s="85"/>
      <c r="D11606" s="25"/>
      <c r="E11606" s="77"/>
      <c r="F11606" s="88"/>
      <c r="G11606" s="88"/>
      <c r="H11606" s="89"/>
      <c r="K11606" s="58"/>
      <c r="L11606" s="91"/>
      <c r="M11606" s="78"/>
    </row>
    <row r="11607">
      <c r="C11607" s="85"/>
      <c r="D11607" s="25"/>
      <c r="E11607" s="77"/>
      <c r="F11607" s="88"/>
      <c r="G11607" s="88"/>
      <c r="H11607" s="89"/>
      <c r="K11607" s="58"/>
      <c r="L11607" s="91"/>
      <c r="M11607" s="78"/>
    </row>
    <row r="11608">
      <c r="C11608" s="85"/>
      <c r="D11608" s="25"/>
      <c r="E11608" s="77"/>
      <c r="F11608" s="88"/>
      <c r="G11608" s="88"/>
      <c r="H11608" s="89"/>
      <c r="K11608" s="58"/>
      <c r="L11608" s="91"/>
      <c r="M11608" s="78"/>
    </row>
    <row r="11609">
      <c r="C11609" s="85"/>
      <c r="D11609" s="25"/>
      <c r="E11609" s="77"/>
      <c r="F11609" s="88"/>
      <c r="G11609" s="88"/>
      <c r="H11609" s="89"/>
      <c r="K11609" s="58"/>
      <c r="L11609" s="91"/>
      <c r="M11609" s="78"/>
    </row>
    <row r="11610">
      <c r="C11610" s="85"/>
      <c r="D11610" s="25"/>
      <c r="E11610" s="77"/>
      <c r="F11610" s="88"/>
      <c r="G11610" s="88"/>
      <c r="H11610" s="89"/>
      <c r="K11610" s="58"/>
      <c r="L11610" s="91"/>
      <c r="M11610" s="78"/>
    </row>
    <row r="11611">
      <c r="C11611" s="85"/>
      <c r="D11611" s="25"/>
      <c r="E11611" s="77"/>
      <c r="F11611" s="88"/>
      <c r="G11611" s="88"/>
      <c r="H11611" s="89"/>
      <c r="K11611" s="58"/>
      <c r="L11611" s="91"/>
      <c r="M11611" s="78"/>
    </row>
    <row r="11612">
      <c r="C11612" s="85"/>
      <c r="D11612" s="25"/>
      <c r="E11612" s="77"/>
      <c r="F11612" s="88"/>
      <c r="G11612" s="88"/>
      <c r="H11612" s="89"/>
      <c r="K11612" s="58"/>
      <c r="L11612" s="91"/>
      <c r="M11612" s="78"/>
    </row>
    <row r="11613">
      <c r="C11613" s="85"/>
      <c r="D11613" s="25"/>
      <c r="E11613" s="77"/>
      <c r="F11613" s="88"/>
      <c r="G11613" s="88"/>
      <c r="H11613" s="89"/>
      <c r="K11613" s="58"/>
      <c r="L11613" s="91"/>
      <c r="M11613" s="78"/>
    </row>
    <row r="11614">
      <c r="C11614" s="85"/>
      <c r="D11614" s="25"/>
      <c r="E11614" s="77"/>
      <c r="F11614" s="88"/>
      <c r="G11614" s="88"/>
      <c r="H11614" s="89"/>
      <c r="K11614" s="58"/>
      <c r="L11614" s="91"/>
      <c r="M11614" s="78"/>
    </row>
    <row r="11615">
      <c r="C11615" s="85"/>
      <c r="D11615" s="25"/>
      <c r="E11615" s="77"/>
      <c r="F11615" s="88"/>
      <c r="G11615" s="88"/>
      <c r="H11615" s="89"/>
      <c r="K11615" s="58"/>
      <c r="L11615" s="91"/>
      <c r="M11615" s="78"/>
    </row>
    <row r="11616">
      <c r="C11616" s="85"/>
      <c r="D11616" s="25"/>
      <c r="E11616" s="77"/>
      <c r="F11616" s="88"/>
      <c r="G11616" s="88"/>
      <c r="H11616" s="89"/>
      <c r="K11616" s="58"/>
      <c r="L11616" s="91"/>
      <c r="M11616" s="78"/>
    </row>
    <row r="11617">
      <c r="C11617" s="85"/>
      <c r="D11617" s="25"/>
      <c r="E11617" s="77"/>
      <c r="F11617" s="88"/>
      <c r="G11617" s="88"/>
      <c r="H11617" s="89"/>
      <c r="K11617" s="58"/>
      <c r="L11617" s="91"/>
      <c r="M11617" s="78"/>
    </row>
    <row r="11618">
      <c r="C11618" s="85"/>
      <c r="D11618" s="25"/>
      <c r="E11618" s="77"/>
      <c r="F11618" s="88"/>
      <c r="G11618" s="88"/>
      <c r="H11618" s="89"/>
      <c r="K11618" s="58"/>
      <c r="L11618" s="91"/>
      <c r="M11618" s="78"/>
    </row>
    <row r="11619">
      <c r="C11619" s="85"/>
      <c r="D11619" s="25"/>
      <c r="E11619" s="77"/>
      <c r="F11619" s="88"/>
      <c r="G11619" s="88"/>
      <c r="H11619" s="89"/>
      <c r="K11619" s="58"/>
      <c r="L11619" s="91"/>
      <c r="M11619" s="78"/>
    </row>
    <row r="11620">
      <c r="C11620" s="85"/>
      <c r="D11620" s="25"/>
      <c r="E11620" s="77"/>
      <c r="F11620" s="88"/>
      <c r="G11620" s="88"/>
      <c r="H11620" s="89"/>
      <c r="K11620" s="58"/>
      <c r="L11620" s="91"/>
      <c r="M11620" s="78"/>
    </row>
    <row r="11621">
      <c r="C11621" s="85"/>
      <c r="D11621" s="25"/>
      <c r="E11621" s="77"/>
      <c r="F11621" s="88"/>
      <c r="G11621" s="88"/>
      <c r="H11621" s="89"/>
      <c r="K11621" s="58"/>
      <c r="L11621" s="91"/>
      <c r="M11621" s="78"/>
    </row>
    <row r="11622">
      <c r="C11622" s="85"/>
      <c r="D11622" s="25"/>
      <c r="E11622" s="77"/>
      <c r="F11622" s="88"/>
      <c r="G11622" s="88"/>
      <c r="H11622" s="89"/>
      <c r="K11622" s="58"/>
      <c r="L11622" s="91"/>
      <c r="M11622" s="78"/>
    </row>
    <row r="11623">
      <c r="C11623" s="85"/>
      <c r="D11623" s="25"/>
      <c r="E11623" s="77"/>
      <c r="F11623" s="88"/>
      <c r="G11623" s="88"/>
      <c r="H11623" s="89"/>
      <c r="K11623" s="58"/>
      <c r="L11623" s="91"/>
      <c r="M11623" s="78"/>
    </row>
    <row r="11624">
      <c r="C11624" s="85"/>
      <c r="D11624" s="25"/>
      <c r="E11624" s="77"/>
      <c r="F11624" s="88"/>
      <c r="G11624" s="88"/>
      <c r="H11624" s="89"/>
      <c r="K11624" s="58"/>
      <c r="L11624" s="91"/>
      <c r="M11624" s="78"/>
    </row>
    <row r="11625">
      <c r="C11625" s="85"/>
      <c r="D11625" s="25"/>
      <c r="E11625" s="77"/>
      <c r="F11625" s="88"/>
      <c r="G11625" s="88"/>
      <c r="H11625" s="89"/>
      <c r="K11625" s="58"/>
      <c r="L11625" s="91"/>
      <c r="M11625" s="78"/>
    </row>
    <row r="11626">
      <c r="C11626" s="85"/>
      <c r="D11626" s="25"/>
      <c r="E11626" s="77"/>
      <c r="F11626" s="88"/>
      <c r="G11626" s="88"/>
      <c r="H11626" s="89"/>
      <c r="K11626" s="58"/>
      <c r="L11626" s="91"/>
      <c r="M11626" s="78"/>
    </row>
    <row r="11627">
      <c r="C11627" s="85"/>
      <c r="D11627" s="25"/>
      <c r="E11627" s="77"/>
      <c r="F11627" s="88"/>
      <c r="G11627" s="88"/>
      <c r="H11627" s="89"/>
      <c r="K11627" s="58"/>
      <c r="L11627" s="91"/>
      <c r="M11627" s="78"/>
    </row>
    <row r="11628">
      <c r="C11628" s="85"/>
      <c r="D11628" s="25"/>
      <c r="E11628" s="77"/>
      <c r="F11628" s="88"/>
      <c r="G11628" s="88"/>
      <c r="H11628" s="89"/>
      <c r="K11628" s="58"/>
      <c r="L11628" s="91"/>
      <c r="M11628" s="78"/>
    </row>
    <row r="11629">
      <c r="C11629" s="85"/>
      <c r="D11629" s="25"/>
      <c r="E11629" s="77"/>
      <c r="F11629" s="88"/>
      <c r="G11629" s="88"/>
      <c r="H11629" s="89"/>
      <c r="K11629" s="58"/>
      <c r="L11629" s="91"/>
      <c r="M11629" s="78"/>
    </row>
    <row r="11630">
      <c r="C11630" s="85"/>
      <c r="D11630" s="25"/>
      <c r="E11630" s="77"/>
      <c r="F11630" s="88"/>
      <c r="G11630" s="88"/>
      <c r="H11630" s="89"/>
      <c r="K11630" s="58"/>
      <c r="L11630" s="91"/>
      <c r="M11630" s="78"/>
    </row>
    <row r="11631">
      <c r="C11631" s="85"/>
      <c r="D11631" s="25"/>
      <c r="E11631" s="77"/>
      <c r="F11631" s="88"/>
      <c r="G11631" s="88"/>
      <c r="H11631" s="89"/>
      <c r="K11631" s="58"/>
      <c r="L11631" s="91"/>
      <c r="M11631" s="78"/>
    </row>
    <row r="11632">
      <c r="C11632" s="85"/>
      <c r="D11632" s="25"/>
      <c r="E11632" s="77"/>
      <c r="F11632" s="88"/>
      <c r="G11632" s="88"/>
      <c r="H11632" s="89"/>
      <c r="K11632" s="58"/>
      <c r="L11632" s="91"/>
      <c r="M11632" s="78"/>
    </row>
    <row r="11633">
      <c r="C11633" s="85"/>
      <c r="D11633" s="25"/>
      <c r="E11633" s="77"/>
      <c r="F11633" s="88"/>
      <c r="G11633" s="88"/>
      <c r="H11633" s="89"/>
      <c r="K11633" s="58"/>
      <c r="L11633" s="91"/>
      <c r="M11633" s="78"/>
    </row>
    <row r="11634">
      <c r="C11634" s="85"/>
      <c r="D11634" s="25"/>
      <c r="E11634" s="77"/>
      <c r="F11634" s="88"/>
      <c r="G11634" s="88"/>
      <c r="H11634" s="89"/>
      <c r="K11634" s="58"/>
      <c r="L11634" s="91"/>
      <c r="M11634" s="78"/>
    </row>
    <row r="11635">
      <c r="C11635" s="85"/>
      <c r="D11635" s="25"/>
      <c r="E11635" s="77"/>
      <c r="F11635" s="88"/>
      <c r="G11635" s="88"/>
      <c r="H11635" s="89"/>
      <c r="K11635" s="58"/>
      <c r="L11635" s="91"/>
      <c r="M11635" s="78"/>
    </row>
    <row r="11636">
      <c r="C11636" s="85"/>
      <c r="D11636" s="25"/>
      <c r="E11636" s="77"/>
      <c r="F11636" s="88"/>
      <c r="G11636" s="88"/>
      <c r="H11636" s="89"/>
      <c r="K11636" s="58"/>
      <c r="L11636" s="91"/>
      <c r="M11636" s="78"/>
    </row>
    <row r="11637">
      <c r="C11637" s="85"/>
      <c r="D11637" s="25"/>
      <c r="E11637" s="77"/>
      <c r="F11637" s="88"/>
      <c r="G11637" s="88"/>
      <c r="H11637" s="89"/>
      <c r="K11637" s="58"/>
      <c r="L11637" s="91"/>
      <c r="M11637" s="78"/>
    </row>
    <row r="11638">
      <c r="C11638" s="85"/>
      <c r="D11638" s="25"/>
      <c r="E11638" s="77"/>
      <c r="F11638" s="88"/>
      <c r="G11638" s="88"/>
      <c r="H11638" s="89"/>
      <c r="K11638" s="58"/>
      <c r="L11638" s="91"/>
      <c r="M11638" s="78"/>
    </row>
    <row r="11639">
      <c r="C11639" s="85"/>
      <c r="D11639" s="25"/>
      <c r="E11639" s="77"/>
      <c r="F11639" s="88"/>
      <c r="G11639" s="88"/>
      <c r="H11639" s="89"/>
      <c r="K11639" s="58"/>
      <c r="L11639" s="91"/>
      <c r="M11639" s="78"/>
    </row>
    <row r="11640">
      <c r="C11640" s="85"/>
      <c r="D11640" s="25"/>
      <c r="E11640" s="77"/>
      <c r="F11640" s="88"/>
      <c r="G11640" s="88"/>
      <c r="H11640" s="89"/>
      <c r="K11640" s="58"/>
      <c r="L11640" s="91"/>
      <c r="M11640" s="78"/>
    </row>
    <row r="11641">
      <c r="C11641" s="85"/>
      <c r="D11641" s="25"/>
      <c r="E11641" s="77"/>
      <c r="F11641" s="88"/>
      <c r="G11641" s="88"/>
      <c r="H11641" s="89"/>
      <c r="K11641" s="58"/>
      <c r="L11641" s="91"/>
      <c r="M11641" s="78"/>
    </row>
    <row r="11642">
      <c r="C11642" s="85"/>
      <c r="D11642" s="25"/>
      <c r="E11642" s="77"/>
      <c r="F11642" s="88"/>
      <c r="G11642" s="88"/>
      <c r="H11642" s="89"/>
      <c r="K11642" s="58"/>
      <c r="L11642" s="91"/>
      <c r="M11642" s="78"/>
    </row>
    <row r="11643">
      <c r="C11643" s="85"/>
      <c r="D11643" s="25"/>
      <c r="E11643" s="77"/>
      <c r="F11643" s="88"/>
      <c r="G11643" s="88"/>
      <c r="H11643" s="89"/>
      <c r="K11643" s="58"/>
      <c r="L11643" s="91"/>
      <c r="M11643" s="78"/>
    </row>
    <row r="11644">
      <c r="C11644" s="85"/>
      <c r="D11644" s="25"/>
      <c r="E11644" s="77"/>
      <c r="F11644" s="88"/>
      <c r="G11644" s="88"/>
      <c r="H11644" s="89"/>
      <c r="K11644" s="58"/>
      <c r="L11644" s="91"/>
      <c r="M11644" s="78"/>
    </row>
    <row r="11645">
      <c r="C11645" s="85"/>
      <c r="D11645" s="25"/>
      <c r="E11645" s="77"/>
      <c r="F11645" s="88"/>
      <c r="G11645" s="88"/>
      <c r="H11645" s="89"/>
      <c r="K11645" s="58"/>
      <c r="L11645" s="91"/>
      <c r="M11645" s="78"/>
    </row>
    <row r="11646">
      <c r="C11646" s="85"/>
      <c r="D11646" s="25"/>
      <c r="E11646" s="77"/>
      <c r="F11646" s="88"/>
      <c r="G11646" s="88"/>
      <c r="H11646" s="89"/>
      <c r="K11646" s="58"/>
      <c r="L11646" s="91"/>
      <c r="M11646" s="78"/>
    </row>
    <row r="11647">
      <c r="C11647" s="85"/>
      <c r="D11647" s="25"/>
      <c r="E11647" s="77"/>
      <c r="F11647" s="88"/>
      <c r="G11647" s="88"/>
      <c r="H11647" s="89"/>
      <c r="K11647" s="58"/>
      <c r="L11647" s="91"/>
      <c r="M11647" s="78"/>
    </row>
    <row r="11648">
      <c r="C11648" s="85"/>
      <c r="D11648" s="25"/>
      <c r="E11648" s="77"/>
      <c r="F11648" s="88"/>
      <c r="G11648" s="88"/>
      <c r="H11648" s="89"/>
      <c r="K11648" s="58"/>
      <c r="L11648" s="91"/>
      <c r="M11648" s="78"/>
    </row>
    <row r="11649">
      <c r="C11649" s="85"/>
      <c r="D11649" s="25"/>
      <c r="E11649" s="77"/>
      <c r="F11649" s="88"/>
      <c r="G11649" s="88"/>
      <c r="H11649" s="89"/>
      <c r="K11649" s="58"/>
      <c r="L11649" s="91"/>
      <c r="M11649" s="78"/>
    </row>
    <row r="11650">
      <c r="C11650" s="85"/>
      <c r="D11650" s="25"/>
      <c r="E11650" s="77"/>
      <c r="F11650" s="88"/>
      <c r="G11650" s="88"/>
      <c r="H11650" s="89"/>
      <c r="K11650" s="58"/>
      <c r="L11650" s="91"/>
      <c r="M11650" s="78"/>
    </row>
    <row r="11651">
      <c r="C11651" s="85"/>
      <c r="D11651" s="25"/>
      <c r="E11651" s="77"/>
      <c r="F11651" s="88"/>
      <c r="G11651" s="88"/>
      <c r="H11651" s="89"/>
      <c r="K11651" s="58"/>
      <c r="L11651" s="91"/>
      <c r="M11651" s="78"/>
    </row>
    <row r="11652">
      <c r="C11652" s="85"/>
      <c r="D11652" s="25"/>
      <c r="E11652" s="77"/>
      <c r="F11652" s="88"/>
      <c r="G11652" s="88"/>
      <c r="H11652" s="89"/>
      <c r="K11652" s="58"/>
      <c r="L11652" s="91"/>
      <c r="M11652" s="78"/>
    </row>
    <row r="11653">
      <c r="C11653" s="85"/>
      <c r="D11653" s="25"/>
      <c r="E11653" s="77"/>
      <c r="F11653" s="88"/>
      <c r="G11653" s="88"/>
      <c r="H11653" s="89"/>
      <c r="K11653" s="58"/>
      <c r="L11653" s="91"/>
      <c r="M11653" s="78"/>
    </row>
    <row r="11654">
      <c r="C11654" s="85"/>
      <c r="D11654" s="25"/>
      <c r="E11654" s="77"/>
      <c r="F11654" s="88"/>
      <c r="G11654" s="88"/>
      <c r="H11654" s="89"/>
      <c r="K11654" s="58"/>
      <c r="L11654" s="91"/>
      <c r="M11654" s="78"/>
    </row>
    <row r="11655">
      <c r="C11655" s="85"/>
      <c r="D11655" s="25"/>
      <c r="E11655" s="77"/>
      <c r="F11655" s="88"/>
      <c r="G11655" s="88"/>
      <c r="H11655" s="89"/>
      <c r="K11655" s="58"/>
      <c r="L11655" s="91"/>
      <c r="M11655" s="78"/>
    </row>
    <row r="11656">
      <c r="C11656" s="85"/>
      <c r="D11656" s="25"/>
      <c r="E11656" s="77"/>
      <c r="F11656" s="88"/>
      <c r="G11656" s="88"/>
      <c r="H11656" s="89"/>
      <c r="K11656" s="58"/>
      <c r="L11656" s="91"/>
      <c r="M11656" s="78"/>
    </row>
    <row r="11657">
      <c r="C11657" s="85"/>
      <c r="D11657" s="25"/>
      <c r="E11657" s="77"/>
      <c r="F11657" s="88"/>
      <c r="G11657" s="88"/>
      <c r="H11657" s="89"/>
      <c r="K11657" s="58"/>
      <c r="L11657" s="91"/>
      <c r="M11657" s="78"/>
    </row>
    <row r="11658">
      <c r="C11658" s="85"/>
      <c r="D11658" s="25"/>
      <c r="E11658" s="77"/>
      <c r="F11658" s="88"/>
      <c r="G11658" s="88"/>
      <c r="H11658" s="89"/>
      <c r="K11658" s="58"/>
      <c r="L11658" s="91"/>
      <c r="M11658" s="78"/>
    </row>
    <row r="11659">
      <c r="C11659" s="85"/>
      <c r="D11659" s="25"/>
      <c r="E11659" s="77"/>
      <c r="F11659" s="88"/>
      <c r="G11659" s="88"/>
      <c r="H11659" s="89"/>
      <c r="K11659" s="58"/>
      <c r="L11659" s="91"/>
      <c r="M11659" s="78"/>
    </row>
    <row r="11660">
      <c r="C11660" s="85"/>
      <c r="D11660" s="25"/>
      <c r="E11660" s="77"/>
      <c r="F11660" s="88"/>
      <c r="G11660" s="88"/>
      <c r="H11660" s="89"/>
      <c r="K11660" s="58"/>
      <c r="L11660" s="91"/>
      <c r="M11660" s="78"/>
    </row>
    <row r="11661">
      <c r="C11661" s="85"/>
      <c r="D11661" s="25"/>
      <c r="E11661" s="77"/>
      <c r="F11661" s="88"/>
      <c r="G11661" s="88"/>
      <c r="H11661" s="89"/>
      <c r="K11661" s="58"/>
      <c r="L11661" s="91"/>
      <c r="M11661" s="78"/>
    </row>
    <row r="11662">
      <c r="C11662" s="85"/>
      <c r="D11662" s="25"/>
      <c r="E11662" s="77"/>
      <c r="F11662" s="88"/>
      <c r="G11662" s="88"/>
      <c r="H11662" s="89"/>
      <c r="K11662" s="58"/>
      <c r="L11662" s="91"/>
      <c r="M11662" s="78"/>
    </row>
    <row r="11663">
      <c r="C11663" s="85"/>
      <c r="D11663" s="25"/>
      <c r="E11663" s="77"/>
      <c r="F11663" s="88"/>
      <c r="G11663" s="88"/>
      <c r="H11663" s="89"/>
      <c r="K11663" s="58"/>
      <c r="L11663" s="91"/>
      <c r="M11663" s="78"/>
    </row>
    <row r="11664">
      <c r="C11664" s="85"/>
      <c r="D11664" s="25"/>
      <c r="E11664" s="77"/>
      <c r="F11664" s="88"/>
      <c r="G11664" s="88"/>
      <c r="H11664" s="89"/>
      <c r="K11664" s="58"/>
      <c r="L11664" s="91"/>
      <c r="M11664" s="78"/>
    </row>
    <row r="11665">
      <c r="C11665" s="85"/>
      <c r="D11665" s="25"/>
      <c r="E11665" s="77"/>
      <c r="F11665" s="88"/>
      <c r="G11665" s="88"/>
      <c r="H11665" s="89"/>
      <c r="K11665" s="58"/>
      <c r="L11665" s="91"/>
      <c r="M11665" s="78"/>
    </row>
    <row r="11666">
      <c r="C11666" s="85"/>
      <c r="D11666" s="25"/>
      <c r="E11666" s="77"/>
      <c r="F11666" s="88"/>
      <c r="G11666" s="88"/>
      <c r="H11666" s="89"/>
      <c r="K11666" s="58"/>
      <c r="L11666" s="91"/>
      <c r="M11666" s="78"/>
    </row>
    <row r="11667">
      <c r="C11667" s="85"/>
      <c r="D11667" s="25"/>
      <c r="E11667" s="77"/>
      <c r="F11667" s="88"/>
      <c r="G11667" s="88"/>
      <c r="H11667" s="89"/>
      <c r="K11667" s="58"/>
      <c r="L11667" s="91"/>
      <c r="M11667" s="78"/>
    </row>
    <row r="11668">
      <c r="C11668" s="85"/>
      <c r="D11668" s="25"/>
      <c r="E11668" s="77"/>
      <c r="F11668" s="88"/>
      <c r="G11668" s="88"/>
      <c r="H11668" s="89"/>
      <c r="K11668" s="58"/>
      <c r="L11668" s="91"/>
      <c r="M11668" s="78"/>
    </row>
    <row r="11669">
      <c r="C11669" s="85"/>
      <c r="D11669" s="25"/>
      <c r="E11669" s="77"/>
      <c r="F11669" s="88"/>
      <c r="G11669" s="88"/>
      <c r="H11669" s="89"/>
      <c r="K11669" s="58"/>
      <c r="L11669" s="91"/>
      <c r="M11669" s="78"/>
    </row>
    <row r="11670">
      <c r="C11670" s="85"/>
      <c r="D11670" s="25"/>
      <c r="E11670" s="77"/>
      <c r="F11670" s="88"/>
      <c r="G11670" s="88"/>
      <c r="H11670" s="89"/>
      <c r="K11670" s="58"/>
      <c r="L11670" s="91"/>
      <c r="M11670" s="78"/>
    </row>
    <row r="11671">
      <c r="C11671" s="85"/>
      <c r="D11671" s="25"/>
      <c r="E11671" s="77"/>
      <c r="F11671" s="88"/>
      <c r="G11671" s="88"/>
      <c r="H11671" s="89"/>
      <c r="K11671" s="58"/>
      <c r="L11671" s="91"/>
      <c r="M11671" s="78"/>
    </row>
    <row r="11672">
      <c r="C11672" s="85"/>
      <c r="D11672" s="25"/>
      <c r="E11672" s="77"/>
      <c r="F11672" s="88"/>
      <c r="G11672" s="88"/>
      <c r="H11672" s="89"/>
      <c r="K11672" s="58"/>
      <c r="L11672" s="91"/>
      <c r="M11672" s="78"/>
    </row>
    <row r="11673">
      <c r="C11673" s="85"/>
      <c r="D11673" s="25"/>
      <c r="E11673" s="77"/>
      <c r="F11673" s="88"/>
      <c r="G11673" s="88"/>
      <c r="H11673" s="89"/>
      <c r="K11673" s="58"/>
      <c r="L11673" s="91"/>
      <c r="M11673" s="78"/>
    </row>
    <row r="11674">
      <c r="C11674" s="85"/>
      <c r="D11674" s="25"/>
      <c r="E11674" s="77"/>
      <c r="F11674" s="88"/>
      <c r="G11674" s="88"/>
      <c r="H11674" s="89"/>
      <c r="K11674" s="58"/>
      <c r="L11674" s="91"/>
      <c r="M11674" s="78"/>
    </row>
    <row r="11675">
      <c r="C11675" s="85"/>
      <c r="D11675" s="25"/>
      <c r="E11675" s="77"/>
      <c r="F11675" s="88"/>
      <c r="G11675" s="88"/>
      <c r="H11675" s="89"/>
      <c r="K11675" s="58"/>
      <c r="L11675" s="91"/>
      <c r="M11675" s="78"/>
    </row>
    <row r="11676">
      <c r="C11676" s="85"/>
      <c r="D11676" s="25"/>
      <c r="E11676" s="77"/>
      <c r="F11676" s="88"/>
      <c r="G11676" s="88"/>
      <c r="H11676" s="89"/>
      <c r="K11676" s="58"/>
      <c r="L11676" s="91"/>
      <c r="M11676" s="78"/>
    </row>
    <row r="11677">
      <c r="C11677" s="85"/>
      <c r="D11677" s="25"/>
      <c r="E11677" s="77"/>
      <c r="F11677" s="88"/>
      <c r="G11677" s="88"/>
      <c r="H11677" s="89"/>
      <c r="K11677" s="58"/>
      <c r="L11677" s="91"/>
      <c r="M11677" s="78"/>
    </row>
    <row r="11678">
      <c r="C11678" s="85"/>
      <c r="D11678" s="25"/>
      <c r="E11678" s="77"/>
      <c r="F11678" s="88"/>
      <c r="G11678" s="88"/>
      <c r="H11678" s="89"/>
      <c r="K11678" s="58"/>
      <c r="L11678" s="91"/>
      <c r="M11678" s="78"/>
    </row>
    <row r="11679">
      <c r="C11679" s="85"/>
      <c r="D11679" s="25"/>
      <c r="E11679" s="77"/>
      <c r="F11679" s="88"/>
      <c r="G11679" s="88"/>
      <c r="H11679" s="89"/>
      <c r="K11679" s="58"/>
      <c r="L11679" s="91"/>
      <c r="M11679" s="78"/>
    </row>
    <row r="11680">
      <c r="C11680" s="85"/>
      <c r="D11680" s="25"/>
      <c r="E11680" s="77"/>
      <c r="F11680" s="88"/>
      <c r="G11680" s="88"/>
      <c r="H11680" s="89"/>
      <c r="K11680" s="58"/>
      <c r="L11680" s="91"/>
      <c r="M11680" s="78"/>
    </row>
    <row r="11681">
      <c r="C11681" s="85"/>
      <c r="D11681" s="25"/>
      <c r="E11681" s="77"/>
      <c r="F11681" s="88"/>
      <c r="G11681" s="88"/>
      <c r="H11681" s="89"/>
      <c r="K11681" s="58"/>
      <c r="L11681" s="91"/>
      <c r="M11681" s="78"/>
    </row>
    <row r="11682">
      <c r="C11682" s="85"/>
      <c r="D11682" s="25"/>
      <c r="E11682" s="77"/>
      <c r="F11682" s="88"/>
      <c r="G11682" s="88"/>
      <c r="H11682" s="89"/>
      <c r="K11682" s="58"/>
      <c r="L11682" s="91"/>
      <c r="M11682" s="78"/>
    </row>
    <row r="11683">
      <c r="C11683" s="85"/>
      <c r="D11683" s="25"/>
      <c r="E11683" s="77"/>
      <c r="F11683" s="88"/>
      <c r="G11683" s="88"/>
      <c r="H11683" s="89"/>
      <c r="K11683" s="58"/>
      <c r="L11683" s="91"/>
      <c r="M11683" s="78"/>
    </row>
    <row r="11684">
      <c r="C11684" s="85"/>
      <c r="D11684" s="25"/>
      <c r="E11684" s="77"/>
      <c r="F11684" s="88"/>
      <c r="G11684" s="88"/>
      <c r="H11684" s="89"/>
      <c r="K11684" s="58"/>
      <c r="L11684" s="91"/>
      <c r="M11684" s="78"/>
    </row>
    <row r="11685">
      <c r="C11685" s="85"/>
      <c r="D11685" s="25"/>
      <c r="E11685" s="77"/>
      <c r="F11685" s="88"/>
      <c r="G11685" s="88"/>
      <c r="H11685" s="89"/>
      <c r="K11685" s="58"/>
      <c r="L11685" s="91"/>
      <c r="M11685" s="78"/>
    </row>
    <row r="11686">
      <c r="C11686" s="85"/>
      <c r="D11686" s="25"/>
      <c r="E11686" s="77"/>
      <c r="F11686" s="88"/>
      <c r="G11686" s="88"/>
      <c r="H11686" s="89"/>
      <c r="K11686" s="58"/>
      <c r="L11686" s="91"/>
      <c r="M11686" s="78"/>
    </row>
    <row r="11687">
      <c r="C11687" s="85"/>
      <c r="D11687" s="25"/>
      <c r="E11687" s="77"/>
      <c r="F11687" s="88"/>
      <c r="G11687" s="88"/>
      <c r="H11687" s="89"/>
      <c r="K11687" s="58"/>
      <c r="L11687" s="91"/>
      <c r="M11687" s="78"/>
    </row>
    <row r="11688">
      <c r="C11688" s="85"/>
      <c r="D11688" s="25"/>
      <c r="E11688" s="77"/>
      <c r="F11688" s="88"/>
      <c r="G11688" s="88"/>
      <c r="H11688" s="89"/>
      <c r="K11688" s="58"/>
      <c r="L11688" s="91"/>
      <c r="M11688" s="78"/>
    </row>
    <row r="11689">
      <c r="C11689" s="85"/>
      <c r="D11689" s="25"/>
      <c r="E11689" s="77"/>
      <c r="F11689" s="88"/>
      <c r="G11689" s="88"/>
      <c r="H11689" s="89"/>
      <c r="K11689" s="58"/>
      <c r="L11689" s="91"/>
      <c r="M11689" s="78"/>
    </row>
    <row r="11690">
      <c r="C11690" s="85"/>
      <c r="D11690" s="25"/>
      <c r="E11690" s="77"/>
      <c r="F11690" s="88"/>
      <c r="G11690" s="88"/>
      <c r="H11690" s="89"/>
      <c r="K11690" s="58"/>
      <c r="L11690" s="91"/>
      <c r="M11690" s="78"/>
    </row>
    <row r="11691">
      <c r="C11691" s="85"/>
      <c r="D11691" s="25"/>
      <c r="E11691" s="77"/>
      <c r="F11691" s="88"/>
      <c r="G11691" s="88"/>
      <c r="H11691" s="89"/>
      <c r="K11691" s="58"/>
      <c r="L11691" s="91"/>
      <c r="M11691" s="78"/>
    </row>
    <row r="11692">
      <c r="C11692" s="85"/>
      <c r="D11692" s="25"/>
      <c r="E11692" s="77"/>
      <c r="F11692" s="88"/>
      <c r="G11692" s="88"/>
      <c r="H11692" s="89"/>
      <c r="K11692" s="58"/>
      <c r="L11692" s="91"/>
      <c r="M11692" s="78"/>
    </row>
    <row r="11693">
      <c r="C11693" s="85"/>
      <c r="D11693" s="25"/>
      <c r="E11693" s="77"/>
      <c r="F11693" s="88"/>
      <c r="G11693" s="88"/>
      <c r="H11693" s="89"/>
      <c r="K11693" s="58"/>
      <c r="L11693" s="91"/>
      <c r="M11693" s="78"/>
    </row>
    <row r="11694">
      <c r="C11694" s="85"/>
      <c r="D11694" s="25"/>
      <c r="E11694" s="77"/>
      <c r="F11694" s="88"/>
      <c r="G11694" s="88"/>
      <c r="H11694" s="89"/>
      <c r="K11694" s="58"/>
      <c r="L11694" s="91"/>
      <c r="M11694" s="78"/>
    </row>
    <row r="11695">
      <c r="C11695" s="85"/>
      <c r="D11695" s="25"/>
      <c r="E11695" s="77"/>
      <c r="F11695" s="88"/>
      <c r="G11695" s="88"/>
      <c r="H11695" s="89"/>
      <c r="K11695" s="58"/>
      <c r="L11695" s="91"/>
      <c r="M11695" s="78"/>
    </row>
    <row r="11696">
      <c r="C11696" s="85"/>
      <c r="D11696" s="25"/>
      <c r="E11696" s="77"/>
      <c r="F11696" s="88"/>
      <c r="G11696" s="88"/>
      <c r="H11696" s="89"/>
      <c r="K11696" s="58"/>
      <c r="L11696" s="91"/>
      <c r="M11696" s="78"/>
    </row>
    <row r="11697">
      <c r="C11697" s="85"/>
      <c r="D11697" s="25"/>
      <c r="E11697" s="77"/>
      <c r="F11697" s="88"/>
      <c r="G11697" s="88"/>
      <c r="H11697" s="89"/>
      <c r="K11697" s="58"/>
      <c r="L11697" s="91"/>
      <c r="M11697" s="78"/>
    </row>
    <row r="11698">
      <c r="C11698" s="85"/>
      <c r="D11698" s="25"/>
      <c r="E11698" s="77"/>
      <c r="F11698" s="88"/>
      <c r="G11698" s="88"/>
      <c r="H11698" s="89"/>
      <c r="K11698" s="58"/>
      <c r="L11698" s="91"/>
      <c r="M11698" s="78"/>
    </row>
    <row r="11699">
      <c r="C11699" s="85"/>
      <c r="D11699" s="25"/>
      <c r="E11699" s="77"/>
      <c r="F11699" s="88"/>
      <c r="G11699" s="88"/>
      <c r="H11699" s="89"/>
      <c r="K11699" s="58"/>
      <c r="L11699" s="91"/>
      <c r="M11699" s="78"/>
    </row>
    <row r="11700">
      <c r="C11700" s="85"/>
      <c r="D11700" s="25"/>
      <c r="E11700" s="77"/>
      <c r="F11700" s="88"/>
      <c r="G11700" s="88"/>
      <c r="H11700" s="89"/>
      <c r="K11700" s="58"/>
      <c r="L11700" s="91"/>
      <c r="M11700" s="78"/>
    </row>
    <row r="11701">
      <c r="C11701" s="85"/>
      <c r="D11701" s="25"/>
      <c r="E11701" s="77"/>
      <c r="F11701" s="88"/>
      <c r="G11701" s="88"/>
      <c r="H11701" s="89"/>
      <c r="K11701" s="58"/>
      <c r="L11701" s="91"/>
      <c r="M11701" s="78"/>
    </row>
    <row r="11702">
      <c r="C11702" s="85"/>
      <c r="D11702" s="25"/>
      <c r="E11702" s="77"/>
      <c r="F11702" s="88"/>
      <c r="G11702" s="88"/>
      <c r="H11702" s="89"/>
      <c r="K11702" s="58"/>
      <c r="L11702" s="91"/>
      <c r="M11702" s="78"/>
    </row>
    <row r="11703">
      <c r="C11703" s="85"/>
      <c r="D11703" s="25"/>
      <c r="E11703" s="77"/>
      <c r="F11703" s="88"/>
      <c r="G11703" s="88"/>
      <c r="H11703" s="89"/>
      <c r="K11703" s="58"/>
      <c r="L11703" s="91"/>
      <c r="M11703" s="78"/>
    </row>
    <row r="11704">
      <c r="C11704" s="85"/>
      <c r="D11704" s="25"/>
      <c r="E11704" s="77"/>
      <c r="F11704" s="88"/>
      <c r="G11704" s="88"/>
      <c r="H11704" s="89"/>
      <c r="K11704" s="58"/>
      <c r="L11704" s="91"/>
      <c r="M11704" s="78"/>
    </row>
    <row r="11705">
      <c r="C11705" s="85"/>
      <c r="D11705" s="25"/>
      <c r="E11705" s="77"/>
      <c r="F11705" s="88"/>
      <c r="G11705" s="88"/>
      <c r="H11705" s="89"/>
      <c r="K11705" s="58"/>
      <c r="L11705" s="91"/>
      <c r="M11705" s="78"/>
    </row>
    <row r="11706">
      <c r="C11706" s="85"/>
      <c r="D11706" s="25"/>
      <c r="E11706" s="77"/>
      <c r="F11706" s="88"/>
      <c r="G11706" s="88"/>
      <c r="H11706" s="89"/>
      <c r="K11706" s="58"/>
      <c r="L11706" s="91"/>
      <c r="M11706" s="78"/>
    </row>
    <row r="11707">
      <c r="C11707" s="85"/>
      <c r="D11707" s="25"/>
      <c r="E11707" s="77"/>
      <c r="F11707" s="88"/>
      <c r="G11707" s="88"/>
      <c r="H11707" s="89"/>
      <c r="K11707" s="58"/>
      <c r="L11707" s="91"/>
      <c r="M11707" s="78"/>
    </row>
    <row r="11708">
      <c r="C11708" s="85"/>
      <c r="D11708" s="25"/>
      <c r="E11708" s="77"/>
      <c r="F11708" s="88"/>
      <c r="G11708" s="88"/>
      <c r="H11708" s="89"/>
      <c r="K11708" s="58"/>
      <c r="L11708" s="91"/>
      <c r="M11708" s="78"/>
    </row>
    <row r="11709">
      <c r="C11709" s="85"/>
      <c r="D11709" s="25"/>
      <c r="E11709" s="77"/>
      <c r="F11709" s="88"/>
      <c r="G11709" s="88"/>
      <c r="H11709" s="89"/>
      <c r="K11709" s="58"/>
      <c r="L11709" s="91"/>
      <c r="M11709" s="78"/>
    </row>
    <row r="11710">
      <c r="C11710" s="85"/>
      <c r="D11710" s="25"/>
      <c r="E11710" s="77"/>
      <c r="F11710" s="88"/>
      <c r="G11710" s="88"/>
      <c r="H11710" s="89"/>
      <c r="K11710" s="58"/>
      <c r="L11710" s="91"/>
      <c r="M11710" s="78"/>
    </row>
    <row r="11711">
      <c r="C11711" s="85"/>
      <c r="D11711" s="25"/>
      <c r="E11711" s="77"/>
      <c r="F11711" s="88"/>
      <c r="G11711" s="88"/>
      <c r="H11711" s="89"/>
      <c r="K11711" s="58"/>
      <c r="L11711" s="91"/>
      <c r="M11711" s="78"/>
    </row>
    <row r="11712">
      <c r="C11712" s="85"/>
      <c r="D11712" s="25"/>
      <c r="E11712" s="77"/>
      <c r="F11712" s="88"/>
      <c r="G11712" s="88"/>
      <c r="H11712" s="89"/>
      <c r="K11712" s="58"/>
      <c r="L11712" s="91"/>
      <c r="M11712" s="78"/>
    </row>
    <row r="11713">
      <c r="C11713" s="85"/>
      <c r="D11713" s="25"/>
      <c r="E11713" s="77"/>
      <c r="F11713" s="88"/>
      <c r="G11713" s="88"/>
      <c r="H11713" s="89"/>
      <c r="K11713" s="58"/>
      <c r="L11713" s="91"/>
      <c r="M11713" s="78"/>
    </row>
    <row r="11714">
      <c r="C11714" s="85"/>
      <c r="D11714" s="25"/>
      <c r="E11714" s="77"/>
      <c r="F11714" s="88"/>
      <c r="G11714" s="88"/>
      <c r="H11714" s="89"/>
      <c r="K11714" s="58"/>
      <c r="L11714" s="91"/>
      <c r="M11714" s="78"/>
    </row>
    <row r="11715">
      <c r="C11715" s="85"/>
      <c r="D11715" s="25"/>
      <c r="E11715" s="77"/>
      <c r="F11715" s="88"/>
      <c r="G11715" s="88"/>
      <c r="H11715" s="89"/>
      <c r="K11715" s="58"/>
      <c r="L11715" s="91"/>
      <c r="M11715" s="78"/>
    </row>
    <row r="11716">
      <c r="C11716" s="85"/>
      <c r="D11716" s="25"/>
      <c r="E11716" s="77"/>
      <c r="F11716" s="88"/>
      <c r="G11716" s="88"/>
      <c r="H11716" s="89"/>
      <c r="K11716" s="58"/>
      <c r="L11716" s="91"/>
      <c r="M11716" s="78"/>
    </row>
    <row r="11717">
      <c r="C11717" s="85"/>
      <c r="D11717" s="25"/>
      <c r="E11717" s="77"/>
      <c r="F11717" s="88"/>
      <c r="G11717" s="88"/>
      <c r="H11717" s="89"/>
      <c r="K11717" s="58"/>
      <c r="L11717" s="91"/>
      <c r="M11717" s="78"/>
    </row>
    <row r="11718">
      <c r="C11718" s="85"/>
      <c r="D11718" s="25"/>
      <c r="E11718" s="77"/>
      <c r="F11718" s="88"/>
      <c r="G11718" s="88"/>
      <c r="H11718" s="89"/>
      <c r="K11718" s="58"/>
      <c r="L11718" s="91"/>
      <c r="M11718" s="78"/>
    </row>
    <row r="11719">
      <c r="C11719" s="85"/>
      <c r="D11719" s="25"/>
      <c r="E11719" s="77"/>
      <c r="F11719" s="88"/>
      <c r="G11719" s="88"/>
      <c r="H11719" s="89"/>
      <c r="K11719" s="58"/>
      <c r="L11719" s="91"/>
      <c r="M11719" s="78"/>
    </row>
    <row r="11720">
      <c r="C11720" s="85"/>
      <c r="D11720" s="25"/>
      <c r="E11720" s="77"/>
      <c r="F11720" s="88"/>
      <c r="G11720" s="88"/>
      <c r="H11720" s="89"/>
      <c r="K11720" s="58"/>
      <c r="L11720" s="91"/>
      <c r="M11720" s="78"/>
    </row>
    <row r="11721">
      <c r="C11721" s="85"/>
      <c r="D11721" s="25"/>
      <c r="E11721" s="77"/>
      <c r="F11721" s="88"/>
      <c r="G11721" s="88"/>
      <c r="H11721" s="89"/>
      <c r="K11721" s="58"/>
      <c r="L11721" s="91"/>
      <c r="M11721" s="78"/>
    </row>
    <row r="11722">
      <c r="C11722" s="85"/>
      <c r="D11722" s="25"/>
      <c r="E11722" s="77"/>
      <c r="F11722" s="88"/>
      <c r="G11722" s="88"/>
      <c r="H11722" s="89"/>
      <c r="K11722" s="58"/>
      <c r="L11722" s="91"/>
      <c r="M11722" s="78"/>
    </row>
    <row r="11723">
      <c r="C11723" s="85"/>
      <c r="D11723" s="25"/>
      <c r="E11723" s="77"/>
      <c r="F11723" s="88"/>
      <c r="G11723" s="88"/>
      <c r="H11723" s="89"/>
      <c r="K11723" s="58"/>
      <c r="L11723" s="91"/>
      <c r="M11723" s="78"/>
    </row>
    <row r="11724">
      <c r="C11724" s="85"/>
      <c r="D11724" s="25"/>
      <c r="E11724" s="77"/>
      <c r="F11724" s="88"/>
      <c r="G11724" s="88"/>
      <c r="H11724" s="89"/>
      <c r="K11724" s="58"/>
      <c r="L11724" s="91"/>
      <c r="M11724" s="78"/>
    </row>
    <row r="11725">
      <c r="C11725" s="85"/>
      <c r="D11725" s="25"/>
      <c r="E11725" s="77"/>
      <c r="F11725" s="88"/>
      <c r="G11725" s="88"/>
      <c r="H11725" s="89"/>
      <c r="K11725" s="58"/>
      <c r="L11725" s="91"/>
      <c r="M11725" s="78"/>
    </row>
    <row r="11726">
      <c r="C11726" s="85"/>
      <c r="D11726" s="25"/>
      <c r="E11726" s="77"/>
      <c r="F11726" s="88"/>
      <c r="G11726" s="88"/>
      <c r="H11726" s="89"/>
      <c r="K11726" s="58"/>
      <c r="L11726" s="91"/>
      <c r="M11726" s="78"/>
    </row>
    <row r="11727">
      <c r="C11727" s="85"/>
      <c r="D11727" s="25"/>
      <c r="E11727" s="77"/>
      <c r="F11727" s="88"/>
      <c r="G11727" s="88"/>
      <c r="H11727" s="89"/>
      <c r="K11727" s="58"/>
      <c r="L11727" s="91"/>
      <c r="M11727" s="78"/>
    </row>
    <row r="11728">
      <c r="C11728" s="85"/>
      <c r="D11728" s="25"/>
      <c r="E11728" s="77"/>
      <c r="F11728" s="88"/>
      <c r="G11728" s="88"/>
      <c r="H11728" s="89"/>
      <c r="K11728" s="58"/>
      <c r="L11728" s="91"/>
      <c r="M11728" s="78"/>
    </row>
    <row r="11729">
      <c r="C11729" s="85"/>
      <c r="D11729" s="25"/>
      <c r="E11729" s="77"/>
      <c r="F11729" s="88"/>
      <c r="G11729" s="88"/>
      <c r="H11729" s="89"/>
      <c r="K11729" s="58"/>
      <c r="L11729" s="91"/>
      <c r="M11729" s="78"/>
    </row>
    <row r="11730">
      <c r="C11730" s="85"/>
      <c r="D11730" s="25"/>
      <c r="E11730" s="77"/>
      <c r="F11730" s="88"/>
      <c r="G11730" s="88"/>
      <c r="H11730" s="89"/>
      <c r="K11730" s="58"/>
      <c r="L11730" s="91"/>
      <c r="M11730" s="78"/>
    </row>
    <row r="11731">
      <c r="C11731" s="85"/>
      <c r="D11731" s="25"/>
      <c r="E11731" s="77"/>
      <c r="F11731" s="88"/>
      <c r="G11731" s="88"/>
      <c r="H11731" s="89"/>
      <c r="K11731" s="58"/>
      <c r="L11731" s="91"/>
      <c r="M11731" s="78"/>
    </row>
    <row r="11732">
      <c r="C11732" s="85"/>
      <c r="D11732" s="25"/>
      <c r="E11732" s="77"/>
      <c r="F11732" s="88"/>
      <c r="G11732" s="88"/>
      <c r="H11732" s="89"/>
      <c r="K11732" s="58"/>
      <c r="L11732" s="91"/>
      <c r="M11732" s="78"/>
    </row>
    <row r="11733">
      <c r="C11733" s="85"/>
      <c r="D11733" s="25"/>
      <c r="E11733" s="77"/>
      <c r="F11733" s="88"/>
      <c r="G11733" s="88"/>
      <c r="H11733" s="89"/>
      <c r="K11733" s="58"/>
      <c r="L11733" s="91"/>
      <c r="M11733" s="78"/>
    </row>
    <row r="11734">
      <c r="C11734" s="85"/>
      <c r="D11734" s="25"/>
      <c r="E11734" s="77"/>
      <c r="F11734" s="88"/>
      <c r="G11734" s="88"/>
      <c r="H11734" s="89"/>
      <c r="K11734" s="58"/>
      <c r="L11734" s="91"/>
      <c r="M11734" s="78"/>
    </row>
    <row r="11735">
      <c r="C11735" s="85"/>
      <c r="D11735" s="25"/>
      <c r="E11735" s="77"/>
      <c r="F11735" s="88"/>
      <c r="G11735" s="88"/>
      <c r="H11735" s="89"/>
      <c r="K11735" s="58"/>
      <c r="L11735" s="91"/>
      <c r="M11735" s="78"/>
    </row>
    <row r="11736">
      <c r="C11736" s="85"/>
      <c r="D11736" s="25"/>
      <c r="E11736" s="77"/>
      <c r="F11736" s="88"/>
      <c r="G11736" s="88"/>
      <c r="H11736" s="89"/>
      <c r="K11736" s="58"/>
      <c r="L11736" s="91"/>
      <c r="M11736" s="78"/>
    </row>
    <row r="11737">
      <c r="C11737" s="85"/>
      <c r="D11737" s="25"/>
      <c r="E11737" s="77"/>
      <c r="F11737" s="88"/>
      <c r="G11737" s="88"/>
      <c r="H11737" s="89"/>
      <c r="K11737" s="58"/>
      <c r="L11737" s="91"/>
      <c r="M11737" s="78"/>
    </row>
    <row r="11738">
      <c r="C11738" s="85"/>
      <c r="D11738" s="25"/>
      <c r="E11738" s="77"/>
      <c r="F11738" s="88"/>
      <c r="G11738" s="88"/>
      <c r="H11738" s="89"/>
      <c r="K11738" s="58"/>
      <c r="L11738" s="91"/>
      <c r="M11738" s="78"/>
    </row>
    <row r="11739">
      <c r="C11739" s="85"/>
      <c r="D11739" s="25"/>
      <c r="E11739" s="77"/>
      <c r="F11739" s="88"/>
      <c r="G11739" s="88"/>
      <c r="H11739" s="89"/>
      <c r="K11739" s="58"/>
      <c r="L11739" s="91"/>
      <c r="M11739" s="78"/>
    </row>
    <row r="11740">
      <c r="C11740" s="85"/>
      <c r="D11740" s="25"/>
      <c r="E11740" s="77"/>
      <c r="F11740" s="88"/>
      <c r="G11740" s="88"/>
      <c r="H11740" s="89"/>
      <c r="K11740" s="58"/>
      <c r="L11740" s="91"/>
      <c r="M11740" s="78"/>
    </row>
    <row r="11741">
      <c r="C11741" s="85"/>
      <c r="D11741" s="25"/>
      <c r="E11741" s="77"/>
      <c r="F11741" s="88"/>
      <c r="G11741" s="88"/>
      <c r="H11741" s="89"/>
      <c r="K11741" s="58"/>
      <c r="L11741" s="91"/>
      <c r="M11741" s="78"/>
    </row>
    <row r="11742">
      <c r="C11742" s="85"/>
      <c r="D11742" s="25"/>
      <c r="E11742" s="77"/>
      <c r="F11742" s="88"/>
      <c r="G11742" s="88"/>
      <c r="H11742" s="89"/>
      <c r="K11742" s="58"/>
      <c r="L11742" s="91"/>
      <c r="M11742" s="78"/>
    </row>
    <row r="11743">
      <c r="C11743" s="85"/>
      <c r="D11743" s="25"/>
      <c r="E11743" s="77"/>
      <c r="F11743" s="88"/>
      <c r="G11743" s="88"/>
      <c r="H11743" s="89"/>
      <c r="K11743" s="58"/>
      <c r="L11743" s="91"/>
      <c r="M11743" s="78"/>
    </row>
    <row r="11744">
      <c r="C11744" s="85"/>
      <c r="D11744" s="25"/>
      <c r="E11744" s="77"/>
      <c r="F11744" s="88"/>
      <c r="G11744" s="88"/>
      <c r="H11744" s="89"/>
      <c r="K11744" s="58"/>
      <c r="L11744" s="91"/>
      <c r="M11744" s="78"/>
    </row>
    <row r="11745">
      <c r="C11745" s="85"/>
      <c r="D11745" s="25"/>
      <c r="E11745" s="77"/>
      <c r="F11745" s="88"/>
      <c r="G11745" s="88"/>
      <c r="H11745" s="89"/>
      <c r="K11745" s="58"/>
      <c r="L11745" s="91"/>
      <c r="M11745" s="78"/>
    </row>
    <row r="11746">
      <c r="C11746" s="85"/>
      <c r="D11746" s="25"/>
      <c r="E11746" s="77"/>
      <c r="F11746" s="88"/>
      <c r="G11746" s="88"/>
      <c r="H11746" s="89"/>
      <c r="K11746" s="58"/>
      <c r="L11746" s="91"/>
      <c r="M11746" s="78"/>
    </row>
    <row r="11747">
      <c r="C11747" s="85"/>
      <c r="D11747" s="25"/>
      <c r="E11747" s="77"/>
      <c r="F11747" s="88"/>
      <c r="G11747" s="88"/>
      <c r="H11747" s="89"/>
      <c r="K11747" s="58"/>
      <c r="L11747" s="91"/>
      <c r="M11747" s="78"/>
    </row>
    <row r="11748">
      <c r="C11748" s="85"/>
      <c r="D11748" s="25"/>
      <c r="E11748" s="77"/>
      <c r="F11748" s="88"/>
      <c r="G11748" s="88"/>
      <c r="H11748" s="89"/>
      <c r="K11748" s="58"/>
      <c r="L11748" s="91"/>
      <c r="M11748" s="78"/>
    </row>
    <row r="11749">
      <c r="C11749" s="85"/>
      <c r="D11749" s="25"/>
      <c r="E11749" s="77"/>
      <c r="F11749" s="88"/>
      <c r="G11749" s="88"/>
      <c r="H11749" s="89"/>
      <c r="K11749" s="58"/>
      <c r="L11749" s="91"/>
      <c r="M11749" s="78"/>
    </row>
    <row r="11750">
      <c r="C11750" s="85"/>
      <c r="D11750" s="25"/>
      <c r="E11750" s="77"/>
      <c r="F11750" s="88"/>
      <c r="G11750" s="88"/>
      <c r="H11750" s="89"/>
      <c r="K11750" s="58"/>
      <c r="L11750" s="91"/>
      <c r="M11750" s="78"/>
    </row>
    <row r="11751">
      <c r="C11751" s="85"/>
      <c r="D11751" s="25"/>
      <c r="E11751" s="77"/>
      <c r="F11751" s="88"/>
      <c r="G11751" s="88"/>
      <c r="H11751" s="89"/>
      <c r="K11751" s="58"/>
      <c r="L11751" s="91"/>
      <c r="M11751" s="78"/>
    </row>
    <row r="11752">
      <c r="C11752" s="85"/>
      <c r="D11752" s="25"/>
      <c r="E11752" s="77"/>
      <c r="F11752" s="88"/>
      <c r="G11752" s="88"/>
      <c r="H11752" s="89"/>
      <c r="K11752" s="58"/>
      <c r="L11752" s="91"/>
      <c r="M11752" s="78"/>
    </row>
    <row r="11753">
      <c r="C11753" s="85"/>
      <c r="D11753" s="25"/>
      <c r="E11753" s="77"/>
      <c r="F11753" s="88"/>
      <c r="G11753" s="88"/>
      <c r="H11753" s="89"/>
      <c r="K11753" s="58"/>
      <c r="L11753" s="91"/>
      <c r="M11753" s="78"/>
    </row>
    <row r="11754">
      <c r="C11754" s="85"/>
      <c r="D11754" s="25"/>
      <c r="E11754" s="77"/>
      <c r="F11754" s="88"/>
      <c r="G11754" s="88"/>
      <c r="H11754" s="89"/>
      <c r="K11754" s="58"/>
      <c r="L11754" s="91"/>
      <c r="M11754" s="78"/>
    </row>
    <row r="11755">
      <c r="C11755" s="85"/>
      <c r="D11755" s="25"/>
      <c r="E11755" s="77"/>
      <c r="F11755" s="88"/>
      <c r="G11755" s="88"/>
      <c r="H11755" s="89"/>
      <c r="K11755" s="58"/>
      <c r="L11755" s="91"/>
      <c r="M11755" s="78"/>
    </row>
    <row r="11756">
      <c r="C11756" s="85"/>
      <c r="D11756" s="25"/>
      <c r="E11756" s="77"/>
      <c r="F11756" s="88"/>
      <c r="G11756" s="88"/>
      <c r="H11756" s="89"/>
      <c r="K11756" s="58"/>
      <c r="L11756" s="91"/>
      <c r="M11756" s="78"/>
    </row>
    <row r="11757">
      <c r="C11757" s="85"/>
      <c r="D11757" s="25"/>
      <c r="E11757" s="77"/>
      <c r="F11757" s="88"/>
      <c r="G11757" s="88"/>
      <c r="H11757" s="89"/>
      <c r="K11757" s="58"/>
      <c r="L11757" s="91"/>
      <c r="M11757" s="78"/>
    </row>
    <row r="11758">
      <c r="C11758" s="85"/>
      <c r="D11758" s="25"/>
      <c r="E11758" s="77"/>
      <c r="F11758" s="88"/>
      <c r="G11758" s="88"/>
      <c r="H11758" s="89"/>
      <c r="K11758" s="58"/>
      <c r="L11758" s="91"/>
      <c r="M11758" s="78"/>
    </row>
    <row r="11759">
      <c r="C11759" s="85"/>
      <c r="D11759" s="25"/>
      <c r="E11759" s="77"/>
      <c r="F11759" s="88"/>
      <c r="G11759" s="88"/>
      <c r="H11759" s="89"/>
      <c r="K11759" s="58"/>
      <c r="L11759" s="91"/>
      <c r="M11759" s="78"/>
    </row>
    <row r="11760">
      <c r="C11760" s="85"/>
      <c r="D11760" s="25"/>
      <c r="E11760" s="77"/>
      <c r="F11760" s="88"/>
      <c r="G11760" s="88"/>
      <c r="H11760" s="89"/>
      <c r="K11760" s="58"/>
      <c r="L11760" s="91"/>
      <c r="M11760" s="78"/>
    </row>
    <row r="11761">
      <c r="C11761" s="85"/>
      <c r="D11761" s="25"/>
      <c r="E11761" s="77"/>
      <c r="F11761" s="88"/>
      <c r="G11761" s="88"/>
      <c r="H11761" s="89"/>
      <c r="K11761" s="58"/>
      <c r="L11761" s="91"/>
      <c r="M11761" s="78"/>
    </row>
    <row r="11762">
      <c r="C11762" s="85"/>
      <c r="D11762" s="25"/>
      <c r="E11762" s="77"/>
      <c r="F11762" s="88"/>
      <c r="G11762" s="88"/>
      <c r="H11762" s="89"/>
      <c r="K11762" s="58"/>
      <c r="L11762" s="91"/>
      <c r="M11762" s="78"/>
    </row>
    <row r="11763">
      <c r="C11763" s="85"/>
      <c r="D11763" s="25"/>
      <c r="E11763" s="77"/>
      <c r="F11763" s="88"/>
      <c r="G11763" s="88"/>
      <c r="H11763" s="89"/>
      <c r="K11763" s="58"/>
      <c r="L11763" s="91"/>
      <c r="M11763" s="78"/>
    </row>
    <row r="11764">
      <c r="C11764" s="85"/>
      <c r="D11764" s="25"/>
      <c r="E11764" s="77"/>
      <c r="F11764" s="88"/>
      <c r="G11764" s="88"/>
      <c r="H11764" s="89"/>
      <c r="K11764" s="58"/>
      <c r="L11764" s="91"/>
      <c r="M11764" s="78"/>
    </row>
    <row r="11765">
      <c r="C11765" s="85"/>
      <c r="D11765" s="25"/>
      <c r="E11765" s="77"/>
      <c r="F11765" s="88"/>
      <c r="G11765" s="88"/>
      <c r="H11765" s="89"/>
      <c r="K11765" s="58"/>
      <c r="L11765" s="91"/>
      <c r="M11765" s="78"/>
    </row>
    <row r="11766">
      <c r="C11766" s="85"/>
      <c r="D11766" s="25"/>
      <c r="E11766" s="77"/>
      <c r="F11766" s="88"/>
      <c r="G11766" s="88"/>
      <c r="H11766" s="89"/>
      <c r="K11766" s="58"/>
      <c r="L11766" s="91"/>
      <c r="M11766" s="78"/>
    </row>
    <row r="11767">
      <c r="C11767" s="85"/>
      <c r="D11767" s="25"/>
      <c r="E11767" s="77"/>
      <c r="F11767" s="88"/>
      <c r="G11767" s="88"/>
      <c r="H11767" s="89"/>
      <c r="K11767" s="58"/>
      <c r="L11767" s="91"/>
      <c r="M11767" s="78"/>
    </row>
    <row r="11768">
      <c r="C11768" s="85"/>
      <c r="D11768" s="25"/>
      <c r="E11768" s="77"/>
      <c r="F11768" s="88"/>
      <c r="G11768" s="88"/>
      <c r="H11768" s="89"/>
      <c r="K11768" s="58"/>
      <c r="L11768" s="91"/>
      <c r="M11768" s="78"/>
    </row>
    <row r="11769">
      <c r="C11769" s="85"/>
      <c r="D11769" s="25"/>
      <c r="E11769" s="77"/>
      <c r="F11769" s="88"/>
      <c r="G11769" s="88"/>
      <c r="H11769" s="89"/>
      <c r="K11769" s="58"/>
      <c r="L11769" s="91"/>
      <c r="M11769" s="78"/>
    </row>
    <row r="11770">
      <c r="C11770" s="85"/>
      <c r="D11770" s="25"/>
      <c r="E11770" s="77"/>
      <c r="F11770" s="88"/>
      <c r="G11770" s="88"/>
      <c r="H11770" s="89"/>
      <c r="K11770" s="58"/>
      <c r="L11770" s="91"/>
      <c r="M11770" s="78"/>
    </row>
    <row r="11771">
      <c r="C11771" s="85"/>
      <c r="D11771" s="25"/>
      <c r="E11771" s="77"/>
      <c r="F11771" s="88"/>
      <c r="G11771" s="88"/>
      <c r="H11771" s="89"/>
      <c r="K11771" s="58"/>
      <c r="L11771" s="91"/>
      <c r="M11771" s="78"/>
    </row>
    <row r="11772">
      <c r="C11772" s="85"/>
      <c r="D11772" s="25"/>
      <c r="E11772" s="77"/>
      <c r="F11772" s="88"/>
      <c r="G11772" s="88"/>
      <c r="H11772" s="89"/>
      <c r="K11772" s="58"/>
      <c r="L11772" s="91"/>
      <c r="M11772" s="78"/>
    </row>
    <row r="11773">
      <c r="C11773" s="85"/>
      <c r="D11773" s="25"/>
      <c r="E11773" s="77"/>
      <c r="F11773" s="88"/>
      <c r="G11773" s="88"/>
      <c r="H11773" s="89"/>
      <c r="K11773" s="58"/>
      <c r="L11773" s="91"/>
      <c r="M11773" s="78"/>
    </row>
    <row r="11774">
      <c r="C11774" s="85"/>
      <c r="D11774" s="25"/>
      <c r="E11774" s="77"/>
      <c r="F11774" s="88"/>
      <c r="G11774" s="88"/>
      <c r="H11774" s="89"/>
      <c r="K11774" s="58"/>
      <c r="L11774" s="91"/>
      <c r="M11774" s="78"/>
    </row>
    <row r="11775">
      <c r="C11775" s="85"/>
      <c r="D11775" s="25"/>
      <c r="E11775" s="77"/>
      <c r="F11775" s="88"/>
      <c r="G11775" s="88"/>
      <c r="H11775" s="89"/>
      <c r="K11775" s="58"/>
      <c r="L11775" s="91"/>
      <c r="M11775" s="78"/>
    </row>
    <row r="11776">
      <c r="C11776" s="85"/>
      <c r="D11776" s="25"/>
      <c r="E11776" s="77"/>
      <c r="F11776" s="88"/>
      <c r="G11776" s="88"/>
      <c r="H11776" s="89"/>
      <c r="K11776" s="58"/>
      <c r="L11776" s="91"/>
      <c r="M11776" s="78"/>
    </row>
    <row r="11777">
      <c r="C11777" s="85"/>
      <c r="D11777" s="25"/>
      <c r="E11777" s="77"/>
      <c r="F11777" s="88"/>
      <c r="G11777" s="88"/>
      <c r="H11777" s="89"/>
      <c r="K11777" s="58"/>
      <c r="L11777" s="91"/>
      <c r="M11777" s="78"/>
    </row>
    <row r="11778">
      <c r="C11778" s="85"/>
      <c r="D11778" s="25"/>
      <c r="E11778" s="77"/>
      <c r="F11778" s="88"/>
      <c r="G11778" s="88"/>
      <c r="H11778" s="89"/>
      <c r="K11778" s="58"/>
      <c r="L11778" s="91"/>
      <c r="M11778" s="78"/>
    </row>
    <row r="11779">
      <c r="C11779" s="85"/>
      <c r="D11779" s="25"/>
      <c r="E11779" s="77"/>
      <c r="F11779" s="88"/>
      <c r="G11779" s="88"/>
      <c r="H11779" s="89"/>
      <c r="K11779" s="58"/>
      <c r="L11779" s="91"/>
      <c r="M11779" s="78"/>
    </row>
    <row r="11780">
      <c r="C11780" s="85"/>
      <c r="D11780" s="25"/>
      <c r="E11780" s="77"/>
      <c r="F11780" s="88"/>
      <c r="G11780" s="88"/>
      <c r="H11780" s="89"/>
      <c r="K11780" s="58"/>
      <c r="L11780" s="91"/>
      <c r="M11780" s="78"/>
    </row>
    <row r="11781">
      <c r="C11781" s="85"/>
      <c r="D11781" s="25"/>
      <c r="E11781" s="77"/>
      <c r="F11781" s="88"/>
      <c r="G11781" s="88"/>
      <c r="H11781" s="89"/>
      <c r="K11781" s="58"/>
      <c r="L11781" s="91"/>
      <c r="M11781" s="78"/>
    </row>
    <row r="11782">
      <c r="C11782" s="85"/>
      <c r="D11782" s="25"/>
      <c r="E11782" s="77"/>
      <c r="F11782" s="88"/>
      <c r="G11782" s="88"/>
      <c r="H11782" s="89"/>
      <c r="K11782" s="58"/>
      <c r="L11782" s="91"/>
      <c r="M11782" s="78"/>
    </row>
    <row r="11783">
      <c r="C11783" s="85"/>
      <c r="D11783" s="25"/>
      <c r="E11783" s="77"/>
      <c r="F11783" s="88"/>
      <c r="G11783" s="88"/>
      <c r="H11783" s="89"/>
      <c r="K11783" s="58"/>
      <c r="L11783" s="91"/>
      <c r="M11783" s="78"/>
    </row>
    <row r="11784">
      <c r="C11784" s="85"/>
      <c r="D11784" s="25"/>
      <c r="E11784" s="77"/>
      <c r="F11784" s="88"/>
      <c r="G11784" s="88"/>
      <c r="H11784" s="89"/>
      <c r="K11784" s="58"/>
      <c r="L11784" s="91"/>
      <c r="M11784" s="78"/>
    </row>
    <row r="11785">
      <c r="C11785" s="85"/>
      <c r="D11785" s="25"/>
      <c r="E11785" s="77"/>
      <c r="F11785" s="88"/>
      <c r="G11785" s="88"/>
      <c r="H11785" s="89"/>
      <c r="K11785" s="58"/>
      <c r="L11785" s="91"/>
      <c r="M11785" s="78"/>
    </row>
    <row r="11786">
      <c r="C11786" s="85"/>
      <c r="D11786" s="25"/>
      <c r="E11786" s="77"/>
      <c r="F11786" s="88"/>
      <c r="G11786" s="88"/>
      <c r="H11786" s="89"/>
      <c r="K11786" s="58"/>
      <c r="L11786" s="91"/>
      <c r="M11786" s="78"/>
    </row>
    <row r="11787">
      <c r="C11787" s="85"/>
      <c r="D11787" s="25"/>
      <c r="E11787" s="77"/>
      <c r="F11787" s="88"/>
      <c r="G11787" s="88"/>
      <c r="H11787" s="89"/>
      <c r="K11787" s="58"/>
      <c r="L11787" s="91"/>
      <c r="M11787" s="78"/>
    </row>
    <row r="11788">
      <c r="C11788" s="85"/>
      <c r="D11788" s="25"/>
      <c r="E11788" s="77"/>
      <c r="F11788" s="88"/>
      <c r="G11788" s="88"/>
      <c r="H11788" s="89"/>
      <c r="K11788" s="58"/>
      <c r="L11788" s="91"/>
      <c r="M11788" s="78"/>
    </row>
    <row r="11789">
      <c r="C11789" s="85"/>
      <c r="D11789" s="25"/>
      <c r="E11789" s="77"/>
      <c r="F11789" s="88"/>
      <c r="G11789" s="88"/>
      <c r="H11789" s="89"/>
      <c r="K11789" s="58"/>
      <c r="L11789" s="91"/>
      <c r="M11789" s="78"/>
    </row>
    <row r="11790">
      <c r="C11790" s="85"/>
      <c r="D11790" s="25"/>
      <c r="E11790" s="77"/>
      <c r="F11790" s="88"/>
      <c r="G11790" s="88"/>
      <c r="H11790" s="89"/>
      <c r="K11790" s="58"/>
      <c r="L11790" s="91"/>
      <c r="M11790" s="78"/>
    </row>
    <row r="11791">
      <c r="C11791" s="85"/>
      <c r="D11791" s="25"/>
      <c r="E11791" s="77"/>
      <c r="F11791" s="88"/>
      <c r="G11791" s="88"/>
      <c r="H11791" s="89"/>
      <c r="K11791" s="58"/>
      <c r="L11791" s="91"/>
      <c r="M11791" s="78"/>
    </row>
    <row r="11792">
      <c r="C11792" s="85"/>
      <c r="D11792" s="25"/>
      <c r="E11792" s="77"/>
      <c r="F11792" s="88"/>
      <c r="G11792" s="88"/>
      <c r="H11792" s="89"/>
      <c r="K11792" s="58"/>
      <c r="L11792" s="91"/>
      <c r="M11792" s="78"/>
    </row>
    <row r="11793">
      <c r="C11793" s="85"/>
      <c r="D11793" s="25"/>
      <c r="E11793" s="77"/>
      <c r="F11793" s="88"/>
      <c r="G11793" s="88"/>
      <c r="H11793" s="89"/>
      <c r="K11793" s="58"/>
      <c r="L11793" s="91"/>
      <c r="M11793" s="78"/>
    </row>
    <row r="11794">
      <c r="C11794" s="85"/>
      <c r="D11794" s="25"/>
      <c r="E11794" s="77"/>
      <c r="F11794" s="88"/>
      <c r="G11794" s="88"/>
      <c r="H11794" s="89"/>
      <c r="K11794" s="58"/>
      <c r="L11794" s="91"/>
      <c r="M11794" s="78"/>
    </row>
    <row r="11795">
      <c r="C11795" s="85"/>
      <c r="D11795" s="25"/>
      <c r="E11795" s="77"/>
      <c r="F11795" s="88"/>
      <c r="G11795" s="88"/>
      <c r="H11795" s="89"/>
      <c r="K11795" s="58"/>
      <c r="L11795" s="91"/>
      <c r="M11795" s="78"/>
    </row>
    <row r="11796">
      <c r="C11796" s="85"/>
      <c r="D11796" s="25"/>
      <c r="E11796" s="77"/>
      <c r="F11796" s="88"/>
      <c r="G11796" s="88"/>
      <c r="H11796" s="89"/>
      <c r="K11796" s="58"/>
      <c r="L11796" s="91"/>
      <c r="M11796" s="78"/>
    </row>
    <row r="11797">
      <c r="C11797" s="85"/>
      <c r="D11797" s="25"/>
      <c r="E11797" s="77"/>
      <c r="F11797" s="88"/>
      <c r="G11797" s="88"/>
      <c r="H11797" s="89"/>
      <c r="K11797" s="58"/>
      <c r="L11797" s="91"/>
      <c r="M11797" s="78"/>
    </row>
    <row r="11798">
      <c r="C11798" s="85"/>
      <c r="D11798" s="25"/>
      <c r="E11798" s="77"/>
      <c r="F11798" s="88"/>
      <c r="G11798" s="88"/>
      <c r="H11798" s="89"/>
      <c r="K11798" s="58"/>
      <c r="L11798" s="91"/>
      <c r="M11798" s="78"/>
    </row>
    <row r="11799">
      <c r="C11799" s="85"/>
      <c r="D11799" s="25"/>
      <c r="E11799" s="77"/>
      <c r="F11799" s="88"/>
      <c r="G11799" s="88"/>
      <c r="H11799" s="89"/>
      <c r="K11799" s="58"/>
      <c r="L11799" s="91"/>
      <c r="M11799" s="78"/>
    </row>
    <row r="11800">
      <c r="C11800" s="85"/>
      <c r="D11800" s="25"/>
      <c r="E11800" s="77"/>
      <c r="F11800" s="88"/>
      <c r="G11800" s="88"/>
      <c r="H11800" s="89"/>
      <c r="K11800" s="58"/>
      <c r="L11800" s="91"/>
      <c r="M11800" s="78"/>
    </row>
    <row r="11801">
      <c r="C11801" s="85"/>
      <c r="D11801" s="25"/>
      <c r="E11801" s="77"/>
      <c r="F11801" s="88"/>
      <c r="G11801" s="88"/>
      <c r="H11801" s="89"/>
      <c r="K11801" s="58"/>
      <c r="L11801" s="91"/>
      <c r="M11801" s="78"/>
    </row>
    <row r="11802">
      <c r="C11802" s="85"/>
      <c r="D11802" s="25"/>
      <c r="E11802" s="77"/>
      <c r="F11802" s="88"/>
      <c r="G11802" s="88"/>
      <c r="H11802" s="89"/>
      <c r="K11802" s="58"/>
      <c r="L11802" s="91"/>
      <c r="M11802" s="78"/>
    </row>
    <row r="11803">
      <c r="C11803" s="85"/>
      <c r="D11803" s="25"/>
      <c r="E11803" s="77"/>
      <c r="F11803" s="88"/>
      <c r="G11803" s="88"/>
      <c r="H11803" s="89"/>
      <c r="K11803" s="58"/>
      <c r="L11803" s="91"/>
      <c r="M11803" s="78"/>
    </row>
    <row r="11804">
      <c r="C11804" s="85"/>
      <c r="D11804" s="25"/>
      <c r="E11804" s="77"/>
      <c r="F11804" s="88"/>
      <c r="G11804" s="88"/>
      <c r="H11804" s="89"/>
      <c r="K11804" s="58"/>
      <c r="L11804" s="91"/>
      <c r="M11804" s="78"/>
    </row>
    <row r="11805">
      <c r="C11805" s="85"/>
      <c r="D11805" s="25"/>
      <c r="E11805" s="77"/>
      <c r="F11805" s="88"/>
      <c r="G11805" s="88"/>
      <c r="H11805" s="89"/>
      <c r="K11805" s="58"/>
      <c r="L11805" s="91"/>
      <c r="M11805" s="78"/>
    </row>
    <row r="11806">
      <c r="C11806" s="85"/>
      <c r="D11806" s="25"/>
      <c r="E11806" s="77"/>
      <c r="F11806" s="88"/>
      <c r="G11806" s="88"/>
      <c r="H11806" s="89"/>
      <c r="K11806" s="58"/>
      <c r="L11806" s="91"/>
      <c r="M11806" s="78"/>
    </row>
    <row r="11807">
      <c r="C11807" s="85"/>
      <c r="D11807" s="25"/>
      <c r="E11807" s="77"/>
      <c r="F11807" s="88"/>
      <c r="G11807" s="88"/>
      <c r="H11807" s="89"/>
      <c r="K11807" s="58"/>
      <c r="L11807" s="91"/>
      <c r="M11807" s="78"/>
    </row>
    <row r="11808">
      <c r="C11808" s="85"/>
      <c r="D11808" s="25"/>
      <c r="E11808" s="77"/>
      <c r="F11808" s="88"/>
      <c r="G11808" s="88"/>
      <c r="H11808" s="89"/>
      <c r="K11808" s="58"/>
      <c r="L11808" s="91"/>
      <c r="M11808" s="78"/>
    </row>
    <row r="11809">
      <c r="C11809" s="85"/>
      <c r="D11809" s="25"/>
      <c r="E11809" s="77"/>
      <c r="F11809" s="88"/>
      <c r="G11809" s="88"/>
      <c r="H11809" s="89"/>
      <c r="K11809" s="58"/>
      <c r="L11809" s="91"/>
      <c r="M11809" s="78"/>
    </row>
    <row r="11810">
      <c r="C11810" s="85"/>
      <c r="D11810" s="25"/>
      <c r="E11810" s="77"/>
      <c r="F11810" s="88"/>
      <c r="G11810" s="88"/>
      <c r="H11810" s="89"/>
      <c r="K11810" s="58"/>
      <c r="L11810" s="91"/>
      <c r="M11810" s="78"/>
    </row>
    <row r="11811">
      <c r="C11811" s="85"/>
      <c r="D11811" s="25"/>
      <c r="E11811" s="77"/>
      <c r="F11811" s="88"/>
      <c r="G11811" s="88"/>
      <c r="H11811" s="89"/>
      <c r="K11811" s="58"/>
      <c r="L11811" s="91"/>
      <c r="M11811" s="78"/>
    </row>
    <row r="11812">
      <c r="C11812" s="85"/>
      <c r="D11812" s="25"/>
      <c r="E11812" s="77"/>
      <c r="F11812" s="88"/>
      <c r="G11812" s="88"/>
      <c r="H11812" s="89"/>
      <c r="K11812" s="58"/>
      <c r="L11812" s="91"/>
      <c r="M11812" s="78"/>
    </row>
    <row r="11813">
      <c r="C11813" s="85"/>
      <c r="D11813" s="25"/>
      <c r="E11813" s="77"/>
      <c r="F11813" s="88"/>
      <c r="G11813" s="88"/>
      <c r="H11813" s="89"/>
      <c r="K11813" s="58"/>
      <c r="L11813" s="91"/>
      <c r="M11813" s="78"/>
    </row>
    <row r="11814">
      <c r="C11814" s="85"/>
      <c r="D11814" s="25"/>
      <c r="E11814" s="77"/>
      <c r="F11814" s="88"/>
      <c r="G11814" s="88"/>
      <c r="H11814" s="89"/>
      <c r="K11814" s="58"/>
      <c r="L11814" s="91"/>
      <c r="M11814" s="78"/>
    </row>
    <row r="11815">
      <c r="C11815" s="85"/>
      <c r="D11815" s="25"/>
      <c r="E11815" s="77"/>
      <c r="F11815" s="88"/>
      <c r="G11815" s="88"/>
      <c r="H11815" s="89"/>
      <c r="K11815" s="58"/>
      <c r="L11815" s="91"/>
      <c r="M11815" s="78"/>
    </row>
    <row r="11816">
      <c r="C11816" s="85"/>
      <c r="D11816" s="25"/>
      <c r="E11816" s="77"/>
      <c r="F11816" s="88"/>
      <c r="G11816" s="88"/>
      <c r="H11816" s="89"/>
      <c r="K11816" s="58"/>
      <c r="L11816" s="91"/>
      <c r="M11816" s="78"/>
    </row>
    <row r="11817">
      <c r="C11817" s="85"/>
      <c r="D11817" s="25"/>
      <c r="E11817" s="77"/>
      <c r="F11817" s="88"/>
      <c r="G11817" s="88"/>
      <c r="H11817" s="89"/>
      <c r="K11817" s="58"/>
      <c r="L11817" s="91"/>
      <c r="M11817" s="78"/>
    </row>
    <row r="11818">
      <c r="C11818" s="85"/>
      <c r="D11818" s="25"/>
      <c r="E11818" s="77"/>
      <c r="F11818" s="88"/>
      <c r="G11818" s="88"/>
      <c r="H11818" s="89"/>
      <c r="K11818" s="58"/>
      <c r="L11818" s="91"/>
      <c r="M11818" s="78"/>
    </row>
    <row r="11819">
      <c r="C11819" s="85"/>
      <c r="D11819" s="25"/>
      <c r="E11819" s="77"/>
      <c r="F11819" s="88"/>
      <c r="G11819" s="88"/>
      <c r="H11819" s="89"/>
      <c r="K11819" s="58"/>
      <c r="L11819" s="91"/>
      <c r="M11819" s="78"/>
    </row>
    <row r="11820">
      <c r="C11820" s="85"/>
      <c r="D11820" s="25"/>
      <c r="E11820" s="77"/>
      <c r="F11820" s="88"/>
      <c r="G11820" s="88"/>
      <c r="H11820" s="89"/>
      <c r="K11820" s="58"/>
      <c r="L11820" s="91"/>
      <c r="M11820" s="78"/>
    </row>
    <row r="11821">
      <c r="C11821" s="85"/>
      <c r="D11821" s="25"/>
      <c r="E11821" s="77"/>
      <c r="F11821" s="88"/>
      <c r="G11821" s="88"/>
      <c r="H11821" s="89"/>
      <c r="K11821" s="58"/>
      <c r="L11821" s="91"/>
      <c r="M11821" s="78"/>
    </row>
    <row r="11822">
      <c r="C11822" s="85"/>
      <c r="D11822" s="25"/>
      <c r="E11822" s="77"/>
      <c r="F11822" s="88"/>
      <c r="G11822" s="88"/>
      <c r="H11822" s="89"/>
      <c r="K11822" s="58"/>
      <c r="L11822" s="91"/>
      <c r="M11822" s="78"/>
    </row>
    <row r="11823">
      <c r="C11823" s="85"/>
      <c r="D11823" s="25"/>
      <c r="E11823" s="77"/>
      <c r="F11823" s="88"/>
      <c r="G11823" s="88"/>
      <c r="H11823" s="89"/>
      <c r="K11823" s="58"/>
      <c r="L11823" s="91"/>
      <c r="M11823" s="78"/>
    </row>
    <row r="11824">
      <c r="C11824" s="85"/>
      <c r="D11824" s="25"/>
      <c r="E11824" s="77"/>
      <c r="F11824" s="88"/>
      <c r="G11824" s="88"/>
      <c r="H11824" s="89"/>
      <c r="K11824" s="58"/>
      <c r="L11824" s="91"/>
      <c r="M11824" s="78"/>
    </row>
    <row r="11825">
      <c r="C11825" s="85"/>
      <c r="D11825" s="25"/>
      <c r="E11825" s="77"/>
      <c r="F11825" s="88"/>
      <c r="G11825" s="88"/>
      <c r="H11825" s="89"/>
      <c r="K11825" s="58"/>
      <c r="L11825" s="91"/>
      <c r="M11825" s="78"/>
    </row>
    <row r="11826">
      <c r="C11826" s="85"/>
      <c r="D11826" s="25"/>
      <c r="E11826" s="77"/>
      <c r="F11826" s="88"/>
      <c r="G11826" s="88"/>
      <c r="H11826" s="89"/>
      <c r="K11826" s="58"/>
      <c r="L11826" s="91"/>
      <c r="M11826" s="78"/>
    </row>
    <row r="11827">
      <c r="C11827" s="85"/>
      <c r="D11827" s="25"/>
      <c r="E11827" s="77"/>
      <c r="F11827" s="88"/>
      <c r="G11827" s="88"/>
      <c r="H11827" s="89"/>
      <c r="K11827" s="58"/>
      <c r="L11827" s="91"/>
      <c r="M11827" s="78"/>
    </row>
    <row r="11828">
      <c r="C11828" s="85"/>
      <c r="D11828" s="25"/>
      <c r="E11828" s="77"/>
      <c r="F11828" s="88"/>
      <c r="G11828" s="88"/>
      <c r="H11828" s="89"/>
      <c r="K11828" s="58"/>
      <c r="L11828" s="91"/>
      <c r="M11828" s="78"/>
    </row>
    <row r="11829">
      <c r="C11829" s="85"/>
      <c r="D11829" s="25"/>
      <c r="E11829" s="77"/>
      <c r="F11829" s="88"/>
      <c r="G11829" s="88"/>
      <c r="H11829" s="89"/>
      <c r="K11829" s="58"/>
      <c r="L11829" s="91"/>
      <c r="M11829" s="78"/>
    </row>
    <row r="11830">
      <c r="C11830" s="85"/>
      <c r="D11830" s="25"/>
      <c r="E11830" s="77"/>
      <c r="F11830" s="88"/>
      <c r="G11830" s="88"/>
      <c r="H11830" s="89"/>
      <c r="K11830" s="58"/>
      <c r="L11830" s="91"/>
      <c r="M11830" s="78"/>
    </row>
    <row r="11831">
      <c r="C11831" s="85"/>
      <c r="D11831" s="25"/>
      <c r="E11831" s="77"/>
      <c r="F11831" s="88"/>
      <c r="G11831" s="88"/>
      <c r="H11831" s="89"/>
      <c r="K11831" s="58"/>
      <c r="L11831" s="91"/>
      <c r="M11831" s="78"/>
    </row>
    <row r="11832">
      <c r="C11832" s="85"/>
      <c r="D11832" s="25"/>
      <c r="E11832" s="77"/>
      <c r="F11832" s="88"/>
      <c r="G11832" s="88"/>
      <c r="H11832" s="89"/>
      <c r="K11832" s="58"/>
      <c r="L11832" s="91"/>
      <c r="M11832" s="78"/>
    </row>
    <row r="11833">
      <c r="C11833" s="85"/>
      <c r="D11833" s="25"/>
      <c r="E11833" s="77"/>
      <c r="F11833" s="88"/>
      <c r="G11833" s="88"/>
      <c r="H11833" s="89"/>
      <c r="K11833" s="58"/>
      <c r="L11833" s="91"/>
      <c r="M11833" s="78"/>
    </row>
    <row r="11834">
      <c r="C11834" s="85"/>
      <c r="D11834" s="25"/>
      <c r="E11834" s="77"/>
      <c r="F11834" s="88"/>
      <c r="G11834" s="88"/>
      <c r="H11834" s="89"/>
      <c r="K11834" s="58"/>
      <c r="L11834" s="91"/>
      <c r="M11834" s="78"/>
    </row>
    <row r="11835">
      <c r="C11835" s="85"/>
      <c r="D11835" s="25"/>
      <c r="E11835" s="77"/>
      <c r="F11835" s="88"/>
      <c r="G11835" s="88"/>
      <c r="H11835" s="89"/>
      <c r="K11835" s="58"/>
      <c r="L11835" s="91"/>
      <c r="M11835" s="78"/>
    </row>
    <row r="11836">
      <c r="C11836" s="85"/>
      <c r="D11836" s="25"/>
      <c r="E11836" s="77"/>
      <c r="F11836" s="88"/>
      <c r="G11836" s="88"/>
      <c r="H11836" s="89"/>
      <c r="K11836" s="58"/>
      <c r="L11836" s="91"/>
      <c r="M11836" s="78"/>
    </row>
    <row r="11837">
      <c r="C11837" s="85"/>
      <c r="D11837" s="25"/>
      <c r="E11837" s="77"/>
      <c r="F11837" s="88"/>
      <c r="G11837" s="88"/>
      <c r="H11837" s="89"/>
      <c r="K11837" s="58"/>
      <c r="L11837" s="91"/>
      <c r="M11837" s="78"/>
    </row>
    <row r="11838">
      <c r="C11838" s="85"/>
      <c r="D11838" s="25"/>
      <c r="E11838" s="77"/>
      <c r="F11838" s="88"/>
      <c r="G11838" s="88"/>
      <c r="H11838" s="89"/>
      <c r="K11838" s="58"/>
      <c r="L11838" s="91"/>
      <c r="M11838" s="78"/>
    </row>
    <row r="11839">
      <c r="C11839" s="85"/>
      <c r="D11839" s="25"/>
      <c r="E11839" s="77"/>
      <c r="F11839" s="88"/>
      <c r="G11839" s="88"/>
      <c r="H11839" s="89"/>
      <c r="K11839" s="58"/>
      <c r="L11839" s="91"/>
      <c r="M11839" s="78"/>
    </row>
    <row r="11840">
      <c r="C11840" s="85"/>
      <c r="D11840" s="25"/>
      <c r="E11840" s="77"/>
      <c r="F11840" s="88"/>
      <c r="G11840" s="88"/>
      <c r="H11840" s="89"/>
      <c r="K11840" s="58"/>
      <c r="L11840" s="91"/>
      <c r="M11840" s="78"/>
    </row>
    <row r="11841">
      <c r="C11841" s="85"/>
      <c r="D11841" s="25"/>
      <c r="E11841" s="77"/>
      <c r="F11841" s="88"/>
      <c r="G11841" s="88"/>
      <c r="H11841" s="89"/>
      <c r="K11841" s="58"/>
      <c r="L11841" s="91"/>
      <c r="M11841" s="78"/>
    </row>
    <row r="11842">
      <c r="C11842" s="85"/>
      <c r="D11842" s="25"/>
      <c r="E11842" s="77"/>
      <c r="F11842" s="88"/>
      <c r="G11842" s="88"/>
      <c r="H11842" s="89"/>
      <c r="K11842" s="58"/>
      <c r="L11842" s="91"/>
      <c r="M11842" s="78"/>
    </row>
    <row r="11843">
      <c r="C11843" s="85"/>
      <c r="D11843" s="25"/>
      <c r="E11843" s="77"/>
      <c r="F11843" s="88"/>
      <c r="G11843" s="88"/>
      <c r="H11843" s="89"/>
      <c r="K11843" s="58"/>
      <c r="L11843" s="91"/>
      <c r="M11843" s="78"/>
    </row>
    <row r="11844">
      <c r="C11844" s="85"/>
      <c r="D11844" s="25"/>
      <c r="E11844" s="77"/>
      <c r="F11844" s="88"/>
      <c r="G11844" s="88"/>
      <c r="H11844" s="89"/>
      <c r="K11844" s="58"/>
      <c r="L11844" s="91"/>
      <c r="M11844" s="78"/>
    </row>
    <row r="11845">
      <c r="C11845" s="85"/>
      <c r="D11845" s="25"/>
      <c r="E11845" s="77"/>
      <c r="F11845" s="88"/>
      <c r="G11845" s="88"/>
      <c r="H11845" s="89"/>
      <c r="K11845" s="58"/>
      <c r="L11845" s="91"/>
      <c r="M11845" s="78"/>
    </row>
    <row r="11846">
      <c r="C11846" s="85"/>
      <c r="D11846" s="25"/>
      <c r="E11846" s="77"/>
      <c r="F11846" s="88"/>
      <c r="G11846" s="88"/>
      <c r="H11846" s="89"/>
      <c r="K11846" s="58"/>
      <c r="L11846" s="91"/>
      <c r="M11846" s="78"/>
    </row>
    <row r="11847">
      <c r="C11847" s="85"/>
      <c r="D11847" s="25"/>
      <c r="E11847" s="77"/>
      <c r="F11847" s="88"/>
      <c r="G11847" s="88"/>
      <c r="H11847" s="89"/>
      <c r="K11847" s="58"/>
      <c r="L11847" s="91"/>
      <c r="M11847" s="78"/>
    </row>
    <row r="11848">
      <c r="C11848" s="85"/>
      <c r="D11848" s="25"/>
      <c r="E11848" s="77"/>
      <c r="F11848" s="88"/>
      <c r="G11848" s="88"/>
      <c r="H11848" s="89"/>
      <c r="K11848" s="58"/>
      <c r="L11848" s="91"/>
      <c r="M11848" s="78"/>
    </row>
    <row r="11849">
      <c r="C11849" s="85"/>
      <c r="D11849" s="25"/>
      <c r="E11849" s="77"/>
      <c r="F11849" s="88"/>
      <c r="G11849" s="88"/>
      <c r="H11849" s="89"/>
      <c r="K11849" s="58"/>
      <c r="L11849" s="91"/>
      <c r="M11849" s="78"/>
    </row>
    <row r="11850">
      <c r="C11850" s="85"/>
      <c r="D11850" s="25"/>
      <c r="E11850" s="77"/>
      <c r="F11850" s="88"/>
      <c r="G11850" s="88"/>
      <c r="H11850" s="89"/>
      <c r="K11850" s="58"/>
      <c r="L11850" s="91"/>
      <c r="M11850" s="78"/>
    </row>
    <row r="11851">
      <c r="C11851" s="85"/>
      <c r="D11851" s="25"/>
      <c r="E11851" s="77"/>
      <c r="F11851" s="88"/>
      <c r="G11851" s="88"/>
      <c r="H11851" s="89"/>
      <c r="K11851" s="58"/>
      <c r="L11851" s="91"/>
      <c r="M11851" s="78"/>
    </row>
    <row r="11852">
      <c r="C11852" s="85"/>
      <c r="D11852" s="25"/>
      <c r="E11852" s="77"/>
      <c r="F11852" s="88"/>
      <c r="G11852" s="88"/>
      <c r="H11852" s="89"/>
      <c r="K11852" s="58"/>
      <c r="L11852" s="91"/>
      <c r="M11852" s="78"/>
    </row>
    <row r="11853">
      <c r="C11853" s="85"/>
      <c r="D11853" s="25"/>
      <c r="E11853" s="77"/>
      <c r="F11853" s="88"/>
      <c r="G11853" s="88"/>
      <c r="H11853" s="89"/>
      <c r="K11853" s="58"/>
      <c r="L11853" s="91"/>
      <c r="M11853" s="78"/>
    </row>
    <row r="11854">
      <c r="C11854" s="85"/>
      <c r="D11854" s="25"/>
      <c r="E11854" s="77"/>
      <c r="F11854" s="88"/>
      <c r="G11854" s="88"/>
      <c r="H11854" s="89"/>
      <c r="K11854" s="58"/>
      <c r="L11854" s="91"/>
      <c r="M11854" s="78"/>
    </row>
    <row r="11855">
      <c r="C11855" s="85"/>
      <c r="D11855" s="25"/>
      <c r="E11855" s="77"/>
      <c r="F11855" s="88"/>
      <c r="G11855" s="88"/>
      <c r="H11855" s="89"/>
      <c r="K11855" s="58"/>
      <c r="L11855" s="91"/>
      <c r="M11855" s="78"/>
    </row>
    <row r="11856">
      <c r="C11856" s="85"/>
      <c r="D11856" s="25"/>
      <c r="E11856" s="77"/>
      <c r="F11856" s="88"/>
      <c r="G11856" s="88"/>
      <c r="H11856" s="89"/>
      <c r="K11856" s="58"/>
      <c r="L11856" s="91"/>
      <c r="M11856" s="78"/>
    </row>
    <row r="11857">
      <c r="C11857" s="85"/>
      <c r="D11857" s="25"/>
      <c r="E11857" s="77"/>
      <c r="F11857" s="88"/>
      <c r="G11857" s="88"/>
      <c r="H11857" s="89"/>
      <c r="K11857" s="58"/>
      <c r="L11857" s="91"/>
      <c r="M11857" s="78"/>
    </row>
    <row r="11858">
      <c r="C11858" s="85"/>
      <c r="D11858" s="25"/>
      <c r="E11858" s="77"/>
      <c r="F11858" s="88"/>
      <c r="G11858" s="88"/>
      <c r="H11858" s="89"/>
      <c r="K11858" s="58"/>
      <c r="L11858" s="91"/>
      <c r="M11858" s="78"/>
    </row>
    <row r="11859">
      <c r="C11859" s="85"/>
      <c r="D11859" s="25"/>
      <c r="E11859" s="77"/>
      <c r="F11859" s="88"/>
      <c r="G11859" s="88"/>
      <c r="H11859" s="89"/>
      <c r="K11859" s="58"/>
      <c r="L11859" s="91"/>
      <c r="M11859" s="78"/>
    </row>
    <row r="11860">
      <c r="C11860" s="85"/>
      <c r="D11860" s="25"/>
      <c r="E11860" s="77"/>
      <c r="F11860" s="88"/>
      <c r="G11860" s="88"/>
      <c r="H11860" s="89"/>
      <c r="K11860" s="58"/>
      <c r="L11860" s="91"/>
      <c r="M11860" s="78"/>
    </row>
    <row r="11861">
      <c r="C11861" s="85"/>
      <c r="D11861" s="25"/>
      <c r="E11861" s="77"/>
      <c r="F11861" s="88"/>
      <c r="G11861" s="88"/>
      <c r="H11861" s="89"/>
      <c r="K11861" s="58"/>
      <c r="L11861" s="91"/>
      <c r="M11861" s="78"/>
    </row>
    <row r="11862">
      <c r="C11862" s="85"/>
      <c r="D11862" s="25"/>
      <c r="E11862" s="77"/>
      <c r="F11862" s="88"/>
      <c r="G11862" s="88"/>
      <c r="H11862" s="89"/>
      <c r="K11862" s="58"/>
      <c r="L11862" s="91"/>
      <c r="M11862" s="78"/>
    </row>
    <row r="11863">
      <c r="C11863" s="85"/>
      <c r="D11863" s="25"/>
      <c r="E11863" s="77"/>
      <c r="F11863" s="88"/>
      <c r="G11863" s="88"/>
      <c r="H11863" s="89"/>
      <c r="K11863" s="58"/>
      <c r="L11863" s="91"/>
      <c r="M11863" s="78"/>
    </row>
    <row r="11864">
      <c r="C11864" s="85"/>
      <c r="D11864" s="25"/>
      <c r="E11864" s="77"/>
      <c r="F11864" s="88"/>
      <c r="G11864" s="88"/>
      <c r="H11864" s="89"/>
      <c r="K11864" s="58"/>
      <c r="L11864" s="91"/>
      <c r="M11864" s="78"/>
    </row>
    <row r="11865">
      <c r="C11865" s="85"/>
      <c r="D11865" s="25"/>
      <c r="E11865" s="77"/>
      <c r="F11865" s="88"/>
      <c r="G11865" s="88"/>
      <c r="H11865" s="89"/>
      <c r="K11865" s="58"/>
      <c r="L11865" s="91"/>
      <c r="M11865" s="78"/>
    </row>
    <row r="11866">
      <c r="C11866" s="85"/>
      <c r="D11866" s="25"/>
      <c r="E11866" s="77"/>
      <c r="F11866" s="88"/>
      <c r="G11866" s="88"/>
      <c r="H11866" s="89"/>
      <c r="K11866" s="58"/>
      <c r="L11866" s="91"/>
      <c r="M11866" s="78"/>
    </row>
    <row r="11867">
      <c r="C11867" s="85"/>
      <c r="D11867" s="25"/>
      <c r="E11867" s="77"/>
      <c r="F11867" s="88"/>
      <c r="G11867" s="88"/>
      <c r="H11867" s="89"/>
      <c r="K11867" s="58"/>
      <c r="L11867" s="91"/>
      <c r="M11867" s="78"/>
    </row>
    <row r="11868">
      <c r="C11868" s="85"/>
      <c r="D11868" s="25"/>
      <c r="E11868" s="77"/>
      <c r="F11868" s="88"/>
      <c r="G11868" s="88"/>
      <c r="H11868" s="89"/>
      <c r="K11868" s="58"/>
      <c r="L11868" s="91"/>
      <c r="M11868" s="78"/>
    </row>
    <row r="11869">
      <c r="C11869" s="85"/>
      <c r="D11869" s="25"/>
      <c r="E11869" s="77"/>
      <c r="F11869" s="88"/>
      <c r="G11869" s="88"/>
      <c r="H11869" s="89"/>
      <c r="K11869" s="58"/>
      <c r="L11869" s="91"/>
      <c r="M11869" s="78"/>
    </row>
    <row r="11870">
      <c r="C11870" s="85"/>
      <c r="D11870" s="25"/>
      <c r="E11870" s="77"/>
      <c r="F11870" s="88"/>
      <c r="G11870" s="88"/>
      <c r="H11870" s="89"/>
      <c r="K11870" s="58"/>
      <c r="L11870" s="91"/>
      <c r="M11870" s="78"/>
    </row>
    <row r="11871">
      <c r="C11871" s="85"/>
      <c r="D11871" s="25"/>
      <c r="E11871" s="77"/>
      <c r="F11871" s="88"/>
      <c r="G11871" s="88"/>
      <c r="H11871" s="89"/>
      <c r="K11871" s="58"/>
      <c r="L11871" s="91"/>
      <c r="M11871" s="78"/>
    </row>
    <row r="11872">
      <c r="C11872" s="85"/>
      <c r="D11872" s="25"/>
      <c r="E11872" s="77"/>
      <c r="F11872" s="88"/>
      <c r="G11872" s="88"/>
      <c r="H11872" s="89"/>
      <c r="K11872" s="58"/>
      <c r="L11872" s="91"/>
      <c r="M11872" s="78"/>
    </row>
    <row r="11873">
      <c r="C11873" s="85"/>
      <c r="D11873" s="25"/>
      <c r="E11873" s="77"/>
      <c r="F11873" s="88"/>
      <c r="G11873" s="88"/>
      <c r="H11873" s="89"/>
      <c r="K11873" s="58"/>
      <c r="L11873" s="91"/>
      <c r="M11873" s="78"/>
    </row>
    <row r="11874">
      <c r="C11874" s="85"/>
      <c r="D11874" s="25"/>
      <c r="E11874" s="77"/>
      <c r="F11874" s="88"/>
      <c r="G11874" s="88"/>
      <c r="H11874" s="89"/>
      <c r="K11874" s="58"/>
      <c r="L11874" s="91"/>
      <c r="M11874" s="78"/>
    </row>
    <row r="11875">
      <c r="C11875" s="85"/>
      <c r="D11875" s="25"/>
      <c r="E11875" s="77"/>
      <c r="F11875" s="88"/>
      <c r="G11875" s="88"/>
      <c r="H11875" s="89"/>
      <c r="K11875" s="58"/>
      <c r="L11875" s="91"/>
      <c r="M11875" s="78"/>
    </row>
    <row r="11876">
      <c r="C11876" s="85"/>
      <c r="D11876" s="25"/>
      <c r="E11876" s="77"/>
      <c r="F11876" s="88"/>
      <c r="G11876" s="88"/>
      <c r="H11876" s="89"/>
      <c r="K11876" s="58"/>
      <c r="L11876" s="91"/>
      <c r="M11876" s="78"/>
    </row>
    <row r="11877">
      <c r="C11877" s="85"/>
      <c r="D11877" s="25"/>
      <c r="E11877" s="77"/>
      <c r="F11877" s="88"/>
      <c r="G11877" s="88"/>
      <c r="H11877" s="89"/>
      <c r="K11877" s="58"/>
      <c r="L11877" s="91"/>
      <c r="M11877" s="78"/>
    </row>
    <row r="11878">
      <c r="C11878" s="85"/>
      <c r="D11878" s="25"/>
      <c r="E11878" s="77"/>
      <c r="F11878" s="88"/>
      <c r="G11878" s="88"/>
      <c r="H11878" s="89"/>
      <c r="K11878" s="58"/>
      <c r="L11878" s="91"/>
      <c r="M11878" s="78"/>
    </row>
    <row r="11879">
      <c r="C11879" s="85"/>
      <c r="D11879" s="25"/>
      <c r="E11879" s="77"/>
      <c r="F11879" s="88"/>
      <c r="G11879" s="88"/>
      <c r="H11879" s="89"/>
      <c r="K11879" s="58"/>
      <c r="L11879" s="91"/>
      <c r="M11879" s="78"/>
    </row>
    <row r="11880">
      <c r="C11880" s="85"/>
      <c r="D11880" s="25"/>
      <c r="E11880" s="77"/>
      <c r="F11880" s="88"/>
      <c r="G11880" s="88"/>
      <c r="H11880" s="89"/>
      <c r="K11880" s="58"/>
      <c r="L11880" s="91"/>
      <c r="M11880" s="78"/>
    </row>
    <row r="11881">
      <c r="C11881" s="85"/>
      <c r="D11881" s="25"/>
      <c r="E11881" s="77"/>
      <c r="F11881" s="88"/>
      <c r="G11881" s="88"/>
      <c r="H11881" s="89"/>
      <c r="K11881" s="58"/>
      <c r="L11881" s="91"/>
      <c r="M11881" s="78"/>
    </row>
    <row r="11882">
      <c r="C11882" s="85"/>
      <c r="D11882" s="25"/>
      <c r="E11882" s="77"/>
      <c r="F11882" s="88"/>
      <c r="G11882" s="88"/>
      <c r="H11882" s="89"/>
      <c r="K11882" s="58"/>
      <c r="L11882" s="91"/>
      <c r="M11882" s="78"/>
    </row>
    <row r="11883">
      <c r="C11883" s="85"/>
      <c r="D11883" s="25"/>
      <c r="E11883" s="77"/>
      <c r="F11883" s="88"/>
      <c r="G11883" s="88"/>
      <c r="H11883" s="89"/>
      <c r="K11883" s="58"/>
      <c r="L11883" s="91"/>
      <c r="M11883" s="78"/>
    </row>
    <row r="11884">
      <c r="C11884" s="85"/>
      <c r="D11884" s="25"/>
      <c r="E11884" s="77"/>
      <c r="F11884" s="88"/>
      <c r="G11884" s="88"/>
      <c r="H11884" s="89"/>
      <c r="K11884" s="58"/>
      <c r="L11884" s="91"/>
      <c r="M11884" s="78"/>
    </row>
    <row r="11885">
      <c r="C11885" s="85"/>
      <c r="D11885" s="25"/>
      <c r="E11885" s="77"/>
      <c r="F11885" s="88"/>
      <c r="G11885" s="88"/>
      <c r="H11885" s="89"/>
      <c r="K11885" s="58"/>
      <c r="L11885" s="91"/>
      <c r="M11885" s="78"/>
    </row>
    <row r="11886">
      <c r="C11886" s="85"/>
      <c r="D11886" s="25"/>
      <c r="E11886" s="77"/>
      <c r="F11886" s="88"/>
      <c r="G11886" s="88"/>
      <c r="H11886" s="89"/>
      <c r="K11886" s="58"/>
      <c r="L11886" s="91"/>
      <c r="M11886" s="78"/>
    </row>
    <row r="11887">
      <c r="C11887" s="85"/>
      <c r="D11887" s="25"/>
      <c r="E11887" s="77"/>
      <c r="F11887" s="88"/>
      <c r="G11887" s="88"/>
      <c r="H11887" s="89"/>
      <c r="K11887" s="58"/>
      <c r="L11887" s="91"/>
      <c r="M11887" s="78"/>
    </row>
    <row r="11888">
      <c r="C11888" s="85"/>
      <c r="D11888" s="25"/>
      <c r="E11888" s="77"/>
      <c r="F11888" s="88"/>
      <c r="G11888" s="88"/>
      <c r="H11888" s="89"/>
      <c r="K11888" s="58"/>
      <c r="L11888" s="91"/>
      <c r="M11888" s="78"/>
    </row>
    <row r="11889">
      <c r="C11889" s="85"/>
      <c r="D11889" s="25"/>
      <c r="E11889" s="77"/>
      <c r="F11889" s="88"/>
      <c r="G11889" s="88"/>
      <c r="H11889" s="89"/>
      <c r="K11889" s="58"/>
      <c r="L11889" s="91"/>
      <c r="M11889" s="78"/>
    </row>
    <row r="11890">
      <c r="C11890" s="85"/>
      <c r="D11890" s="25"/>
      <c r="E11890" s="77"/>
      <c r="F11890" s="88"/>
      <c r="G11890" s="88"/>
      <c r="H11890" s="89"/>
      <c r="K11890" s="58"/>
      <c r="L11890" s="91"/>
      <c r="M11890" s="78"/>
    </row>
    <row r="11891">
      <c r="C11891" s="85"/>
      <c r="D11891" s="25"/>
      <c r="E11891" s="77"/>
      <c r="F11891" s="88"/>
      <c r="G11891" s="88"/>
      <c r="H11891" s="89"/>
      <c r="K11891" s="58"/>
      <c r="L11891" s="91"/>
      <c r="M11891" s="78"/>
    </row>
    <row r="11892">
      <c r="C11892" s="85"/>
      <c r="D11892" s="25"/>
      <c r="E11892" s="77"/>
      <c r="F11892" s="88"/>
      <c r="G11892" s="88"/>
      <c r="H11892" s="89"/>
      <c r="K11892" s="58"/>
      <c r="L11892" s="91"/>
      <c r="M11892" s="78"/>
    </row>
    <row r="11893">
      <c r="C11893" s="85"/>
      <c r="D11893" s="25"/>
      <c r="E11893" s="77"/>
      <c r="F11893" s="88"/>
      <c r="G11893" s="88"/>
      <c r="H11893" s="89"/>
      <c r="K11893" s="58"/>
      <c r="L11893" s="91"/>
      <c r="M11893" s="78"/>
    </row>
    <row r="11894">
      <c r="C11894" s="85"/>
      <c r="D11894" s="25"/>
      <c r="E11894" s="77"/>
      <c r="F11894" s="88"/>
      <c r="G11894" s="88"/>
      <c r="H11894" s="89"/>
      <c r="K11894" s="58"/>
      <c r="L11894" s="91"/>
      <c r="M11894" s="78"/>
    </row>
    <row r="11895">
      <c r="C11895" s="85"/>
      <c r="D11895" s="25"/>
      <c r="E11895" s="77"/>
      <c r="F11895" s="88"/>
      <c r="G11895" s="88"/>
      <c r="H11895" s="89"/>
      <c r="K11895" s="58"/>
      <c r="L11895" s="91"/>
      <c r="M11895" s="78"/>
    </row>
    <row r="11896">
      <c r="C11896" s="85"/>
      <c r="D11896" s="25"/>
      <c r="E11896" s="77"/>
      <c r="F11896" s="88"/>
      <c r="G11896" s="88"/>
      <c r="H11896" s="89"/>
      <c r="K11896" s="58"/>
      <c r="L11896" s="91"/>
      <c r="M11896" s="78"/>
    </row>
    <row r="11897">
      <c r="C11897" s="85"/>
      <c r="D11897" s="25"/>
      <c r="E11897" s="77"/>
      <c r="F11897" s="88"/>
      <c r="G11897" s="88"/>
      <c r="H11897" s="89"/>
      <c r="K11897" s="58"/>
      <c r="L11897" s="91"/>
      <c r="M11897" s="78"/>
    </row>
    <row r="11898">
      <c r="C11898" s="85"/>
      <c r="D11898" s="25"/>
      <c r="E11898" s="77"/>
      <c r="F11898" s="88"/>
      <c r="G11898" s="88"/>
      <c r="H11898" s="89"/>
      <c r="K11898" s="58"/>
      <c r="L11898" s="91"/>
      <c r="M11898" s="78"/>
    </row>
    <row r="11899">
      <c r="C11899" s="85"/>
      <c r="D11899" s="25"/>
      <c r="E11899" s="77"/>
      <c r="F11899" s="88"/>
      <c r="G11899" s="88"/>
      <c r="H11899" s="89"/>
      <c r="K11899" s="58"/>
      <c r="L11899" s="91"/>
      <c r="M11899" s="78"/>
    </row>
    <row r="11900">
      <c r="C11900" s="85"/>
      <c r="D11900" s="25"/>
      <c r="E11900" s="77"/>
      <c r="F11900" s="88"/>
      <c r="G11900" s="88"/>
      <c r="H11900" s="89"/>
      <c r="K11900" s="58"/>
      <c r="L11900" s="91"/>
      <c r="M11900" s="78"/>
    </row>
    <row r="11901">
      <c r="C11901" s="85"/>
      <c r="D11901" s="25"/>
      <c r="E11901" s="77"/>
      <c r="F11901" s="88"/>
      <c r="G11901" s="88"/>
      <c r="H11901" s="89"/>
      <c r="K11901" s="58"/>
      <c r="L11901" s="91"/>
      <c r="M11901" s="78"/>
    </row>
    <row r="11902">
      <c r="C11902" s="85"/>
      <c r="D11902" s="25"/>
      <c r="E11902" s="77"/>
      <c r="F11902" s="88"/>
      <c r="G11902" s="88"/>
      <c r="H11902" s="89"/>
      <c r="K11902" s="58"/>
      <c r="L11902" s="91"/>
      <c r="M11902" s="78"/>
    </row>
    <row r="11903">
      <c r="C11903" s="85"/>
      <c r="D11903" s="25"/>
      <c r="E11903" s="77"/>
      <c r="F11903" s="88"/>
      <c r="G11903" s="88"/>
      <c r="H11903" s="89"/>
      <c r="K11903" s="58"/>
      <c r="L11903" s="91"/>
      <c r="M11903" s="78"/>
    </row>
    <row r="11904">
      <c r="C11904" s="85"/>
      <c r="D11904" s="25"/>
      <c r="E11904" s="77"/>
      <c r="F11904" s="88"/>
      <c r="G11904" s="88"/>
      <c r="H11904" s="89"/>
      <c r="K11904" s="58"/>
      <c r="L11904" s="91"/>
      <c r="M11904" s="78"/>
    </row>
    <row r="11905">
      <c r="C11905" s="85"/>
      <c r="D11905" s="25"/>
      <c r="E11905" s="77"/>
      <c r="F11905" s="88"/>
      <c r="G11905" s="88"/>
      <c r="H11905" s="89"/>
      <c r="K11905" s="58"/>
      <c r="L11905" s="91"/>
      <c r="M11905" s="78"/>
    </row>
    <row r="11906">
      <c r="C11906" s="85"/>
      <c r="D11906" s="25"/>
      <c r="E11906" s="77"/>
      <c r="F11906" s="88"/>
      <c r="G11906" s="88"/>
      <c r="H11906" s="89"/>
      <c r="K11906" s="58"/>
      <c r="L11906" s="91"/>
      <c r="M11906" s="78"/>
    </row>
    <row r="11907">
      <c r="C11907" s="85"/>
      <c r="D11907" s="25"/>
      <c r="E11907" s="77"/>
      <c r="F11907" s="88"/>
      <c r="G11907" s="88"/>
      <c r="H11907" s="89"/>
      <c r="K11907" s="58"/>
      <c r="L11907" s="91"/>
      <c r="M11907" s="78"/>
    </row>
    <row r="11908">
      <c r="C11908" s="85"/>
      <c r="D11908" s="25"/>
      <c r="E11908" s="77"/>
      <c r="F11908" s="88"/>
      <c r="G11908" s="88"/>
      <c r="H11908" s="89"/>
      <c r="K11908" s="58"/>
      <c r="L11908" s="91"/>
      <c r="M11908" s="78"/>
    </row>
    <row r="11909">
      <c r="C11909" s="85"/>
      <c r="D11909" s="25"/>
      <c r="E11909" s="77"/>
      <c r="F11909" s="88"/>
      <c r="G11909" s="88"/>
      <c r="H11909" s="89"/>
      <c r="K11909" s="58"/>
      <c r="L11909" s="91"/>
      <c r="M11909" s="78"/>
    </row>
    <row r="11910">
      <c r="C11910" s="85"/>
      <c r="D11910" s="25"/>
      <c r="E11910" s="77"/>
      <c r="F11910" s="88"/>
      <c r="G11910" s="88"/>
      <c r="H11910" s="89"/>
      <c r="K11910" s="58"/>
      <c r="L11910" s="91"/>
      <c r="M11910" s="78"/>
    </row>
    <row r="11911">
      <c r="C11911" s="85"/>
      <c r="D11911" s="25"/>
      <c r="E11911" s="77"/>
      <c r="F11911" s="88"/>
      <c r="G11911" s="88"/>
      <c r="H11911" s="89"/>
      <c r="K11911" s="58"/>
      <c r="L11911" s="91"/>
      <c r="M11911" s="78"/>
    </row>
    <row r="11912">
      <c r="C11912" s="85"/>
      <c r="D11912" s="25"/>
      <c r="E11912" s="77"/>
      <c r="F11912" s="88"/>
      <c r="G11912" s="88"/>
      <c r="H11912" s="89"/>
      <c r="K11912" s="58"/>
      <c r="L11912" s="91"/>
      <c r="M11912" s="78"/>
    </row>
    <row r="11913">
      <c r="C11913" s="85"/>
      <c r="D11913" s="25"/>
      <c r="E11913" s="77"/>
      <c r="F11913" s="88"/>
      <c r="G11913" s="88"/>
      <c r="H11913" s="89"/>
      <c r="K11913" s="58"/>
      <c r="L11913" s="91"/>
      <c r="M11913" s="78"/>
    </row>
    <row r="11914">
      <c r="C11914" s="85"/>
      <c r="D11914" s="25"/>
      <c r="E11914" s="77"/>
      <c r="F11914" s="88"/>
      <c r="G11914" s="88"/>
      <c r="H11914" s="89"/>
      <c r="K11914" s="58"/>
      <c r="L11914" s="91"/>
      <c r="M11914" s="78"/>
    </row>
    <row r="11915">
      <c r="C11915" s="85"/>
      <c r="D11915" s="25"/>
      <c r="E11915" s="77"/>
      <c r="F11915" s="88"/>
      <c r="G11915" s="88"/>
      <c r="H11915" s="89"/>
      <c r="K11915" s="58"/>
      <c r="L11915" s="91"/>
      <c r="M11915" s="78"/>
    </row>
    <row r="11916">
      <c r="C11916" s="85"/>
      <c r="D11916" s="25"/>
      <c r="E11916" s="77"/>
      <c r="F11916" s="88"/>
      <c r="G11916" s="88"/>
      <c r="H11916" s="89"/>
      <c r="K11916" s="58"/>
      <c r="L11916" s="91"/>
      <c r="M11916" s="78"/>
    </row>
    <row r="11917">
      <c r="C11917" s="85"/>
      <c r="D11917" s="25"/>
      <c r="E11917" s="77"/>
      <c r="F11917" s="88"/>
      <c r="G11917" s="88"/>
      <c r="H11917" s="89"/>
      <c r="K11917" s="58"/>
      <c r="L11917" s="91"/>
      <c r="M11917" s="78"/>
    </row>
    <row r="11918">
      <c r="C11918" s="85"/>
      <c r="D11918" s="25"/>
      <c r="E11918" s="77"/>
      <c r="F11918" s="88"/>
      <c r="G11918" s="88"/>
      <c r="H11918" s="89"/>
      <c r="K11918" s="58"/>
      <c r="L11918" s="91"/>
      <c r="M11918" s="78"/>
    </row>
    <row r="11919">
      <c r="C11919" s="85"/>
      <c r="D11919" s="25"/>
      <c r="E11919" s="77"/>
      <c r="F11919" s="88"/>
      <c r="G11919" s="88"/>
      <c r="H11919" s="89"/>
      <c r="K11919" s="58"/>
      <c r="L11919" s="91"/>
      <c r="M11919" s="78"/>
    </row>
    <row r="11920">
      <c r="C11920" s="85"/>
      <c r="D11920" s="25"/>
      <c r="E11920" s="77"/>
      <c r="F11920" s="88"/>
      <c r="G11920" s="88"/>
      <c r="H11920" s="89"/>
      <c r="K11920" s="58"/>
      <c r="L11920" s="91"/>
      <c r="M11920" s="78"/>
    </row>
    <row r="11921">
      <c r="C11921" s="85"/>
      <c r="D11921" s="25"/>
      <c r="E11921" s="77"/>
      <c r="F11921" s="88"/>
      <c r="G11921" s="88"/>
      <c r="H11921" s="89"/>
      <c r="K11921" s="58"/>
      <c r="L11921" s="91"/>
      <c r="M11921" s="78"/>
    </row>
    <row r="11922">
      <c r="C11922" s="85"/>
      <c r="D11922" s="25"/>
      <c r="E11922" s="77"/>
      <c r="F11922" s="88"/>
      <c r="G11922" s="88"/>
      <c r="H11922" s="89"/>
      <c r="K11922" s="58"/>
      <c r="L11922" s="91"/>
      <c r="M11922" s="78"/>
    </row>
    <row r="11923">
      <c r="C11923" s="85"/>
      <c r="D11923" s="25"/>
      <c r="E11923" s="77"/>
      <c r="F11923" s="88"/>
      <c r="G11923" s="88"/>
      <c r="H11923" s="89"/>
      <c r="K11923" s="58"/>
      <c r="L11923" s="91"/>
      <c r="M11923" s="78"/>
    </row>
    <row r="11924">
      <c r="C11924" s="85"/>
      <c r="D11924" s="25"/>
      <c r="E11924" s="77"/>
      <c r="F11924" s="88"/>
      <c r="G11924" s="88"/>
      <c r="H11924" s="89"/>
      <c r="K11924" s="58"/>
      <c r="L11924" s="91"/>
      <c r="M11924" s="78"/>
    </row>
    <row r="11925">
      <c r="C11925" s="85"/>
      <c r="D11925" s="25"/>
      <c r="E11925" s="77"/>
      <c r="F11925" s="88"/>
      <c r="G11925" s="88"/>
      <c r="H11925" s="89"/>
      <c r="K11925" s="58"/>
      <c r="L11925" s="91"/>
      <c r="M11925" s="78"/>
    </row>
    <row r="11926">
      <c r="C11926" s="85"/>
      <c r="D11926" s="25"/>
      <c r="E11926" s="77"/>
      <c r="F11926" s="88"/>
      <c r="G11926" s="88"/>
      <c r="H11926" s="89"/>
      <c r="K11926" s="58"/>
      <c r="L11926" s="91"/>
      <c r="M11926" s="78"/>
    </row>
    <row r="11927">
      <c r="C11927" s="85"/>
      <c r="D11927" s="25"/>
      <c r="E11927" s="77"/>
      <c r="F11927" s="88"/>
      <c r="G11927" s="88"/>
      <c r="H11927" s="89"/>
      <c r="K11927" s="58"/>
      <c r="L11927" s="91"/>
      <c r="M11927" s="78"/>
    </row>
    <row r="11928">
      <c r="C11928" s="85"/>
      <c r="D11928" s="25"/>
      <c r="E11928" s="77"/>
      <c r="F11928" s="88"/>
      <c r="G11928" s="88"/>
      <c r="H11928" s="89"/>
      <c r="K11928" s="58"/>
      <c r="L11928" s="91"/>
      <c r="M11928" s="78"/>
    </row>
    <row r="11929">
      <c r="C11929" s="85"/>
      <c r="D11929" s="25"/>
      <c r="E11929" s="77"/>
      <c r="F11929" s="88"/>
      <c r="G11929" s="88"/>
      <c r="H11929" s="89"/>
      <c r="K11929" s="58"/>
      <c r="L11929" s="91"/>
      <c r="M11929" s="78"/>
    </row>
    <row r="11930">
      <c r="C11930" s="85"/>
      <c r="D11930" s="25"/>
      <c r="E11930" s="77"/>
      <c r="F11930" s="88"/>
      <c r="G11930" s="88"/>
      <c r="H11930" s="89"/>
      <c r="K11930" s="58"/>
      <c r="L11930" s="91"/>
      <c r="M11930" s="78"/>
    </row>
    <row r="11931">
      <c r="C11931" s="85"/>
      <c r="D11931" s="25"/>
      <c r="E11931" s="77"/>
      <c r="F11931" s="88"/>
      <c r="G11931" s="88"/>
      <c r="H11931" s="89"/>
      <c r="K11931" s="58"/>
      <c r="L11931" s="91"/>
      <c r="M11931" s="78"/>
    </row>
    <row r="11932">
      <c r="C11932" s="85"/>
      <c r="D11932" s="25"/>
      <c r="E11932" s="77"/>
      <c r="F11932" s="88"/>
      <c r="G11932" s="88"/>
      <c r="H11932" s="89"/>
      <c r="K11932" s="58"/>
      <c r="L11932" s="91"/>
      <c r="M11932" s="78"/>
    </row>
    <row r="11933">
      <c r="C11933" s="85"/>
      <c r="D11933" s="25"/>
      <c r="E11933" s="77"/>
      <c r="F11933" s="88"/>
      <c r="G11933" s="88"/>
      <c r="H11933" s="89"/>
      <c r="K11933" s="58"/>
      <c r="L11933" s="91"/>
      <c r="M11933" s="78"/>
    </row>
    <row r="11934">
      <c r="C11934" s="85"/>
      <c r="D11934" s="25"/>
      <c r="E11934" s="77"/>
      <c r="F11934" s="88"/>
      <c r="G11934" s="88"/>
      <c r="H11934" s="89"/>
      <c r="K11934" s="58"/>
      <c r="L11934" s="91"/>
      <c r="M11934" s="78"/>
    </row>
    <row r="11935">
      <c r="C11935" s="85"/>
      <c r="D11935" s="25"/>
      <c r="E11935" s="77"/>
      <c r="F11935" s="88"/>
      <c r="G11935" s="88"/>
      <c r="H11935" s="89"/>
      <c r="K11935" s="58"/>
      <c r="L11935" s="91"/>
      <c r="M11935" s="78"/>
    </row>
    <row r="11936">
      <c r="C11936" s="85"/>
      <c r="D11936" s="25"/>
      <c r="E11936" s="77"/>
      <c r="F11936" s="88"/>
      <c r="G11936" s="88"/>
      <c r="H11936" s="89"/>
      <c r="K11936" s="58"/>
      <c r="L11936" s="91"/>
      <c r="M11936" s="78"/>
    </row>
    <row r="11937">
      <c r="C11937" s="85"/>
      <c r="D11937" s="25"/>
      <c r="E11937" s="77"/>
      <c r="F11937" s="88"/>
      <c r="G11937" s="88"/>
      <c r="H11937" s="89"/>
      <c r="K11937" s="58"/>
      <c r="L11937" s="91"/>
      <c r="M11937" s="78"/>
    </row>
    <row r="11938">
      <c r="C11938" s="85"/>
      <c r="D11938" s="25"/>
      <c r="E11938" s="77"/>
      <c r="F11938" s="88"/>
      <c r="G11938" s="88"/>
      <c r="H11938" s="89"/>
      <c r="K11938" s="58"/>
      <c r="L11938" s="91"/>
      <c r="M11938" s="78"/>
    </row>
    <row r="11939">
      <c r="C11939" s="85"/>
      <c r="D11939" s="25"/>
      <c r="E11939" s="77"/>
      <c r="F11939" s="88"/>
      <c r="G11939" s="88"/>
      <c r="H11939" s="89"/>
      <c r="K11939" s="58"/>
      <c r="L11939" s="91"/>
      <c r="M11939" s="78"/>
    </row>
    <row r="11940">
      <c r="C11940" s="85"/>
      <c r="D11940" s="25"/>
      <c r="E11940" s="77"/>
      <c r="F11940" s="88"/>
      <c r="G11940" s="88"/>
      <c r="H11940" s="89"/>
      <c r="K11940" s="58"/>
      <c r="L11940" s="91"/>
      <c r="M11940" s="78"/>
    </row>
    <row r="11941">
      <c r="C11941" s="85"/>
      <c r="D11941" s="25"/>
      <c r="E11941" s="77"/>
      <c r="F11941" s="88"/>
      <c r="G11941" s="88"/>
      <c r="H11941" s="89"/>
      <c r="K11941" s="58"/>
      <c r="L11941" s="91"/>
      <c r="M11941" s="78"/>
    </row>
    <row r="11942">
      <c r="C11942" s="85"/>
      <c r="D11942" s="25"/>
      <c r="E11942" s="77"/>
      <c r="F11942" s="88"/>
      <c r="G11942" s="88"/>
      <c r="H11942" s="89"/>
      <c r="K11942" s="58"/>
      <c r="L11942" s="91"/>
      <c r="M11942" s="78"/>
    </row>
    <row r="11943">
      <c r="C11943" s="85"/>
      <c r="D11943" s="25"/>
      <c r="E11943" s="77"/>
      <c r="F11943" s="88"/>
      <c r="G11943" s="88"/>
      <c r="H11943" s="89"/>
      <c r="K11943" s="58"/>
      <c r="L11943" s="91"/>
      <c r="M11943" s="78"/>
    </row>
    <row r="11944">
      <c r="C11944" s="85"/>
      <c r="D11944" s="25"/>
      <c r="E11944" s="77"/>
      <c r="F11944" s="88"/>
      <c r="G11944" s="88"/>
      <c r="H11944" s="89"/>
      <c r="K11944" s="58"/>
      <c r="L11944" s="91"/>
      <c r="M11944" s="78"/>
    </row>
    <row r="11945">
      <c r="C11945" s="85"/>
      <c r="D11945" s="25"/>
      <c r="E11945" s="77"/>
      <c r="F11945" s="88"/>
      <c r="G11945" s="88"/>
      <c r="H11945" s="89"/>
      <c r="K11945" s="58"/>
      <c r="L11945" s="91"/>
      <c r="M11945" s="78"/>
    </row>
    <row r="11946">
      <c r="C11946" s="85"/>
      <c r="D11946" s="25"/>
      <c r="E11946" s="77"/>
      <c r="F11946" s="88"/>
      <c r="G11946" s="88"/>
      <c r="H11946" s="89"/>
      <c r="K11946" s="58"/>
      <c r="L11946" s="91"/>
      <c r="M11946" s="78"/>
    </row>
    <row r="11947">
      <c r="C11947" s="85"/>
      <c r="D11947" s="25"/>
      <c r="E11947" s="77"/>
      <c r="F11947" s="88"/>
      <c r="G11947" s="88"/>
      <c r="H11947" s="89"/>
      <c r="K11947" s="58"/>
      <c r="L11947" s="91"/>
      <c r="M11947" s="78"/>
    </row>
    <row r="11948">
      <c r="C11948" s="85"/>
      <c r="D11948" s="25"/>
      <c r="E11948" s="77"/>
      <c r="F11948" s="88"/>
      <c r="G11948" s="88"/>
      <c r="H11948" s="89"/>
      <c r="K11948" s="58"/>
      <c r="L11948" s="91"/>
      <c r="M11948" s="78"/>
    </row>
    <row r="11949">
      <c r="C11949" s="85"/>
      <c r="D11949" s="25"/>
      <c r="E11949" s="77"/>
      <c r="F11949" s="88"/>
      <c r="G11949" s="88"/>
      <c r="H11949" s="89"/>
      <c r="K11949" s="58"/>
      <c r="L11949" s="91"/>
      <c r="M11949" s="78"/>
    </row>
    <row r="11950">
      <c r="C11950" s="85"/>
      <c r="D11950" s="25"/>
      <c r="E11950" s="77"/>
      <c r="F11950" s="88"/>
      <c r="G11950" s="88"/>
      <c r="H11950" s="89"/>
      <c r="K11950" s="58"/>
      <c r="L11950" s="91"/>
      <c r="M11950" s="78"/>
    </row>
    <row r="11951">
      <c r="C11951" s="85"/>
      <c r="D11951" s="25"/>
      <c r="E11951" s="77"/>
      <c r="F11951" s="88"/>
      <c r="G11951" s="88"/>
      <c r="H11951" s="89"/>
      <c r="K11951" s="58"/>
      <c r="L11951" s="91"/>
      <c r="M11951" s="78"/>
    </row>
    <row r="11952">
      <c r="C11952" s="85"/>
      <c r="D11952" s="25"/>
      <c r="E11952" s="77"/>
      <c r="F11952" s="88"/>
      <c r="G11952" s="88"/>
      <c r="H11952" s="89"/>
      <c r="K11952" s="58"/>
      <c r="L11952" s="91"/>
      <c r="M11952" s="78"/>
    </row>
    <row r="11953">
      <c r="C11953" s="85"/>
      <c r="D11953" s="25"/>
      <c r="E11953" s="77"/>
      <c r="F11953" s="88"/>
      <c r="G11953" s="88"/>
      <c r="H11953" s="89"/>
      <c r="K11953" s="58"/>
      <c r="L11953" s="91"/>
      <c r="M11953" s="78"/>
    </row>
    <row r="11954">
      <c r="C11954" s="85"/>
      <c r="D11954" s="25"/>
      <c r="E11954" s="77"/>
      <c r="F11954" s="88"/>
      <c r="G11954" s="88"/>
      <c r="H11954" s="89"/>
      <c r="K11954" s="58"/>
      <c r="L11954" s="91"/>
      <c r="M11954" s="78"/>
    </row>
    <row r="11955">
      <c r="C11955" s="85"/>
      <c r="D11955" s="25"/>
      <c r="E11955" s="77"/>
      <c r="F11955" s="88"/>
      <c r="G11955" s="88"/>
      <c r="H11955" s="89"/>
      <c r="K11955" s="58"/>
      <c r="L11955" s="91"/>
      <c r="M11955" s="78"/>
    </row>
    <row r="11956">
      <c r="C11956" s="85"/>
      <c r="D11956" s="25"/>
      <c r="E11956" s="77"/>
      <c r="F11956" s="88"/>
      <c r="G11956" s="88"/>
      <c r="H11956" s="89"/>
      <c r="K11956" s="58"/>
      <c r="L11956" s="91"/>
      <c r="M11956" s="78"/>
    </row>
    <row r="11957">
      <c r="C11957" s="85"/>
      <c r="D11957" s="25"/>
      <c r="E11957" s="77"/>
      <c r="F11957" s="88"/>
      <c r="G11957" s="88"/>
      <c r="H11957" s="89"/>
      <c r="K11957" s="58"/>
      <c r="L11957" s="91"/>
      <c r="M11957" s="78"/>
    </row>
    <row r="11958">
      <c r="C11958" s="85"/>
      <c r="D11958" s="25"/>
      <c r="E11958" s="77"/>
      <c r="F11958" s="88"/>
      <c r="G11958" s="88"/>
      <c r="H11958" s="89"/>
      <c r="K11958" s="58"/>
      <c r="L11958" s="91"/>
      <c r="M11958" s="78"/>
    </row>
    <row r="11959">
      <c r="C11959" s="85"/>
      <c r="D11959" s="25"/>
      <c r="E11959" s="77"/>
      <c r="F11959" s="88"/>
      <c r="G11959" s="88"/>
      <c r="H11959" s="89"/>
      <c r="K11959" s="58"/>
      <c r="L11959" s="91"/>
      <c r="M11959" s="78"/>
    </row>
    <row r="11960">
      <c r="C11960" s="85"/>
      <c r="D11960" s="25"/>
      <c r="E11960" s="77"/>
      <c r="F11960" s="88"/>
      <c r="G11960" s="88"/>
      <c r="H11960" s="89"/>
      <c r="K11960" s="58"/>
      <c r="L11960" s="91"/>
      <c r="M11960" s="78"/>
    </row>
    <row r="11961">
      <c r="C11961" s="85"/>
      <c r="D11961" s="25"/>
      <c r="E11961" s="77"/>
      <c r="F11961" s="88"/>
      <c r="G11961" s="88"/>
      <c r="H11961" s="89"/>
      <c r="K11961" s="58"/>
      <c r="L11961" s="91"/>
      <c r="M11961" s="78"/>
    </row>
    <row r="11962">
      <c r="C11962" s="85"/>
      <c r="D11962" s="25"/>
      <c r="E11962" s="77"/>
      <c r="F11962" s="88"/>
      <c r="G11962" s="88"/>
      <c r="H11962" s="89"/>
      <c r="K11962" s="58"/>
      <c r="L11962" s="91"/>
      <c r="M11962" s="78"/>
    </row>
    <row r="11963">
      <c r="C11963" s="85"/>
      <c r="D11963" s="25"/>
      <c r="E11963" s="77"/>
      <c r="F11963" s="88"/>
      <c r="G11963" s="88"/>
      <c r="H11963" s="89"/>
      <c r="K11963" s="58"/>
      <c r="L11963" s="91"/>
      <c r="M11963" s="78"/>
    </row>
    <row r="11964">
      <c r="C11964" s="85"/>
      <c r="D11964" s="25"/>
      <c r="E11964" s="77"/>
      <c r="F11964" s="88"/>
      <c r="G11964" s="88"/>
      <c r="H11964" s="89"/>
      <c r="K11964" s="58"/>
      <c r="L11964" s="91"/>
      <c r="M11964" s="78"/>
    </row>
    <row r="11965">
      <c r="C11965" s="85"/>
      <c r="D11965" s="25"/>
      <c r="E11965" s="77"/>
      <c r="F11965" s="88"/>
      <c r="G11965" s="88"/>
      <c r="H11965" s="89"/>
      <c r="K11965" s="58"/>
      <c r="L11965" s="91"/>
      <c r="M11965" s="78"/>
    </row>
    <row r="11966">
      <c r="C11966" s="85"/>
      <c r="D11966" s="25"/>
      <c r="E11966" s="77"/>
      <c r="F11966" s="88"/>
      <c r="G11966" s="88"/>
      <c r="H11966" s="89"/>
      <c r="K11966" s="58"/>
      <c r="L11966" s="91"/>
      <c r="M11966" s="78"/>
    </row>
    <row r="11967">
      <c r="C11967" s="85"/>
      <c r="D11967" s="25"/>
      <c r="E11967" s="77"/>
      <c r="F11967" s="88"/>
      <c r="G11967" s="88"/>
      <c r="H11967" s="89"/>
      <c r="K11967" s="58"/>
      <c r="L11967" s="91"/>
      <c r="M11967" s="78"/>
    </row>
    <row r="11968">
      <c r="C11968" s="85"/>
      <c r="D11968" s="25"/>
      <c r="E11968" s="77"/>
      <c r="F11968" s="88"/>
      <c r="G11968" s="88"/>
      <c r="H11968" s="89"/>
      <c r="K11968" s="58"/>
      <c r="L11968" s="91"/>
      <c r="M11968" s="78"/>
    </row>
    <row r="11969">
      <c r="C11969" s="85"/>
      <c r="D11969" s="25"/>
      <c r="E11969" s="77"/>
      <c r="F11969" s="88"/>
      <c r="G11969" s="88"/>
      <c r="H11969" s="89"/>
      <c r="K11969" s="58"/>
      <c r="L11969" s="91"/>
      <c r="M11969" s="78"/>
    </row>
    <row r="11970">
      <c r="C11970" s="85"/>
      <c r="D11970" s="25"/>
      <c r="E11970" s="77"/>
      <c r="F11970" s="88"/>
      <c r="G11970" s="88"/>
      <c r="H11970" s="89"/>
      <c r="K11970" s="58"/>
      <c r="L11970" s="91"/>
      <c r="M11970" s="78"/>
    </row>
    <row r="11971">
      <c r="C11971" s="85"/>
      <c r="D11971" s="25"/>
      <c r="E11971" s="77"/>
      <c r="F11971" s="88"/>
      <c r="G11971" s="88"/>
      <c r="H11971" s="89"/>
      <c r="K11971" s="58"/>
      <c r="L11971" s="91"/>
      <c r="M11971" s="78"/>
    </row>
    <row r="11972">
      <c r="C11972" s="85"/>
      <c r="D11972" s="25"/>
      <c r="E11972" s="77"/>
      <c r="F11972" s="88"/>
      <c r="G11972" s="88"/>
      <c r="H11972" s="89"/>
      <c r="K11972" s="58"/>
      <c r="L11972" s="91"/>
      <c r="M11972" s="78"/>
    </row>
    <row r="11973">
      <c r="C11973" s="85"/>
      <c r="D11973" s="25"/>
      <c r="E11973" s="77"/>
      <c r="F11973" s="88"/>
      <c r="G11973" s="88"/>
      <c r="H11973" s="89"/>
      <c r="K11973" s="58"/>
      <c r="L11973" s="91"/>
      <c r="M11973" s="78"/>
    </row>
    <row r="11974">
      <c r="C11974" s="85"/>
      <c r="D11974" s="25"/>
      <c r="E11974" s="77"/>
      <c r="F11974" s="88"/>
      <c r="G11974" s="88"/>
      <c r="H11974" s="89"/>
      <c r="K11974" s="58"/>
      <c r="L11974" s="91"/>
      <c r="M11974" s="78"/>
    </row>
    <row r="11975">
      <c r="C11975" s="85"/>
      <c r="D11975" s="25"/>
      <c r="E11975" s="77"/>
      <c r="F11975" s="88"/>
      <c r="G11975" s="88"/>
      <c r="H11975" s="89"/>
      <c r="K11975" s="58"/>
      <c r="L11975" s="91"/>
      <c r="M11975" s="78"/>
    </row>
    <row r="11976">
      <c r="C11976" s="85"/>
      <c r="D11976" s="25"/>
      <c r="E11976" s="77"/>
      <c r="F11976" s="88"/>
      <c r="G11976" s="88"/>
      <c r="H11976" s="89"/>
      <c r="K11976" s="58"/>
      <c r="L11976" s="91"/>
      <c r="M11976" s="78"/>
    </row>
    <row r="11977">
      <c r="C11977" s="85"/>
      <c r="D11977" s="25"/>
      <c r="E11977" s="77"/>
      <c r="F11977" s="88"/>
      <c r="G11977" s="88"/>
      <c r="H11977" s="89"/>
      <c r="K11977" s="58"/>
      <c r="L11977" s="91"/>
      <c r="M11977" s="78"/>
    </row>
    <row r="11978">
      <c r="C11978" s="85"/>
      <c r="D11978" s="25"/>
      <c r="E11978" s="77"/>
      <c r="F11978" s="88"/>
      <c r="G11978" s="88"/>
      <c r="H11978" s="89"/>
      <c r="K11978" s="58"/>
      <c r="L11978" s="91"/>
      <c r="M11978" s="78"/>
    </row>
    <row r="11979">
      <c r="C11979" s="85"/>
      <c r="D11979" s="25"/>
      <c r="E11979" s="77"/>
      <c r="F11979" s="88"/>
      <c r="G11979" s="88"/>
      <c r="H11979" s="89"/>
      <c r="K11979" s="58"/>
      <c r="L11979" s="91"/>
      <c r="M11979" s="78"/>
    </row>
    <row r="11980">
      <c r="C11980" s="85"/>
      <c r="D11980" s="25"/>
      <c r="E11980" s="77"/>
      <c r="F11980" s="88"/>
      <c r="G11980" s="88"/>
      <c r="H11980" s="89"/>
      <c r="K11980" s="58"/>
      <c r="L11980" s="91"/>
      <c r="M11980" s="78"/>
    </row>
    <row r="11981">
      <c r="C11981" s="85"/>
      <c r="D11981" s="25"/>
      <c r="E11981" s="77"/>
      <c r="F11981" s="88"/>
      <c r="G11981" s="88"/>
      <c r="H11981" s="89"/>
      <c r="K11981" s="58"/>
      <c r="L11981" s="91"/>
      <c r="M11981" s="78"/>
    </row>
    <row r="11982">
      <c r="C11982" s="85"/>
      <c r="D11982" s="25"/>
      <c r="E11982" s="77"/>
      <c r="F11982" s="88"/>
      <c r="G11982" s="88"/>
      <c r="H11982" s="89"/>
      <c r="K11982" s="58"/>
      <c r="L11982" s="91"/>
      <c r="M11982" s="78"/>
    </row>
    <row r="11983">
      <c r="C11983" s="85"/>
      <c r="D11983" s="25"/>
      <c r="E11983" s="77"/>
      <c r="F11983" s="88"/>
      <c r="G11983" s="88"/>
      <c r="H11983" s="89"/>
      <c r="K11983" s="58"/>
      <c r="L11983" s="91"/>
      <c r="M11983" s="78"/>
    </row>
    <row r="11984">
      <c r="C11984" s="85"/>
      <c r="D11984" s="25"/>
      <c r="E11984" s="77"/>
      <c r="F11984" s="88"/>
      <c r="G11984" s="88"/>
      <c r="H11984" s="89"/>
      <c r="K11984" s="58"/>
      <c r="L11984" s="91"/>
      <c r="M11984" s="78"/>
    </row>
    <row r="11985">
      <c r="C11985" s="85"/>
      <c r="D11985" s="25"/>
      <c r="E11985" s="77"/>
      <c r="F11985" s="88"/>
      <c r="G11985" s="88"/>
      <c r="H11985" s="89"/>
      <c r="K11985" s="58"/>
      <c r="L11985" s="91"/>
      <c r="M11985" s="78"/>
    </row>
    <row r="11986">
      <c r="C11986" s="85"/>
      <c r="D11986" s="25"/>
      <c r="E11986" s="77"/>
      <c r="F11986" s="88"/>
      <c r="G11986" s="88"/>
      <c r="H11986" s="89"/>
      <c r="K11986" s="58"/>
      <c r="L11986" s="91"/>
      <c r="M11986" s="78"/>
    </row>
    <row r="11987">
      <c r="C11987" s="85"/>
      <c r="D11987" s="25"/>
      <c r="E11987" s="77"/>
      <c r="F11987" s="88"/>
      <c r="G11987" s="88"/>
      <c r="H11987" s="89"/>
      <c r="K11987" s="58"/>
      <c r="L11987" s="91"/>
      <c r="M11987" s="78"/>
    </row>
    <row r="11988">
      <c r="C11988" s="85"/>
      <c r="D11988" s="25"/>
      <c r="E11988" s="77"/>
      <c r="F11988" s="88"/>
      <c r="G11988" s="88"/>
      <c r="H11988" s="89"/>
      <c r="K11988" s="58"/>
      <c r="L11988" s="91"/>
      <c r="M11988" s="78"/>
    </row>
    <row r="11989">
      <c r="C11989" s="85"/>
      <c r="D11989" s="25"/>
      <c r="E11989" s="77"/>
      <c r="F11989" s="88"/>
      <c r="G11989" s="88"/>
      <c r="H11989" s="89"/>
      <c r="K11989" s="58"/>
      <c r="L11989" s="91"/>
      <c r="M11989" s="78"/>
    </row>
    <row r="11990">
      <c r="C11990" s="85"/>
      <c r="D11990" s="25"/>
      <c r="E11990" s="77"/>
      <c r="F11990" s="88"/>
      <c r="G11990" s="88"/>
      <c r="H11990" s="89"/>
      <c r="K11990" s="58"/>
      <c r="L11990" s="91"/>
      <c r="M11990" s="78"/>
    </row>
    <row r="11991">
      <c r="C11991" s="85"/>
      <c r="D11991" s="25"/>
      <c r="E11991" s="77"/>
      <c r="F11991" s="88"/>
      <c r="G11991" s="88"/>
      <c r="H11991" s="89"/>
      <c r="K11991" s="58"/>
      <c r="L11991" s="91"/>
      <c r="M11991" s="78"/>
    </row>
    <row r="11992">
      <c r="C11992" s="85"/>
      <c r="D11992" s="25"/>
      <c r="E11992" s="77"/>
      <c r="F11992" s="88"/>
      <c r="G11992" s="88"/>
      <c r="H11992" s="89"/>
      <c r="K11992" s="58"/>
      <c r="L11992" s="91"/>
      <c r="M11992" s="78"/>
    </row>
    <row r="11993">
      <c r="C11993" s="85"/>
      <c r="D11993" s="25"/>
      <c r="E11993" s="77"/>
      <c r="F11993" s="88"/>
      <c r="G11993" s="88"/>
      <c r="H11993" s="89"/>
      <c r="K11993" s="58"/>
      <c r="L11993" s="91"/>
      <c r="M11993" s="78"/>
    </row>
    <row r="11994">
      <c r="C11994" s="85"/>
      <c r="D11994" s="25"/>
      <c r="E11994" s="77"/>
      <c r="F11994" s="88"/>
      <c r="G11994" s="88"/>
      <c r="H11994" s="89"/>
      <c r="K11994" s="58"/>
      <c r="L11994" s="91"/>
      <c r="M11994" s="78"/>
    </row>
    <row r="11995">
      <c r="C11995" s="85"/>
      <c r="D11995" s="25"/>
      <c r="E11995" s="77"/>
      <c r="F11995" s="88"/>
      <c r="G11995" s="88"/>
      <c r="H11995" s="89"/>
      <c r="K11995" s="58"/>
      <c r="L11995" s="91"/>
      <c r="M11995" s="78"/>
    </row>
    <row r="11996">
      <c r="C11996" s="85"/>
      <c r="D11996" s="25"/>
      <c r="E11996" s="77"/>
      <c r="F11996" s="88"/>
      <c r="G11996" s="88"/>
      <c r="H11996" s="89"/>
      <c r="K11996" s="58"/>
      <c r="L11996" s="91"/>
      <c r="M11996" s="78"/>
    </row>
    <row r="11997">
      <c r="C11997" s="85"/>
      <c r="D11997" s="25"/>
      <c r="E11997" s="77"/>
      <c r="F11997" s="88"/>
      <c r="G11997" s="88"/>
      <c r="H11997" s="89"/>
      <c r="K11997" s="58"/>
      <c r="L11997" s="91"/>
      <c r="M11997" s="78"/>
    </row>
    <row r="11998">
      <c r="C11998" s="85"/>
      <c r="D11998" s="25"/>
      <c r="E11998" s="77"/>
      <c r="F11998" s="88"/>
      <c r="G11998" s="88"/>
      <c r="H11998" s="89"/>
      <c r="K11998" s="58"/>
      <c r="L11998" s="91"/>
      <c r="M11998" s="78"/>
    </row>
    <row r="11999">
      <c r="C11999" s="85"/>
      <c r="D11999" s="25"/>
      <c r="E11999" s="77"/>
      <c r="F11999" s="88"/>
      <c r="G11999" s="88"/>
      <c r="H11999" s="89"/>
      <c r="K11999" s="58"/>
      <c r="L11999" s="91"/>
      <c r="M11999" s="78"/>
    </row>
    <row r="12000">
      <c r="C12000" s="85"/>
      <c r="D12000" s="25"/>
      <c r="E12000" s="77"/>
      <c r="F12000" s="88"/>
      <c r="G12000" s="88"/>
      <c r="H12000" s="89"/>
      <c r="K12000" s="58"/>
      <c r="L12000" s="91"/>
      <c r="M12000" s="78"/>
    </row>
    <row r="12001">
      <c r="C12001" s="85"/>
      <c r="D12001" s="25"/>
      <c r="E12001" s="77"/>
      <c r="F12001" s="88"/>
      <c r="G12001" s="88"/>
      <c r="H12001" s="89"/>
      <c r="K12001" s="58"/>
      <c r="L12001" s="91"/>
      <c r="M12001" s="78"/>
    </row>
    <row r="12002">
      <c r="C12002" s="85"/>
      <c r="D12002" s="25"/>
      <c r="E12002" s="77"/>
      <c r="F12002" s="88"/>
      <c r="G12002" s="88"/>
      <c r="H12002" s="89"/>
      <c r="K12002" s="58"/>
      <c r="L12002" s="91"/>
      <c r="M12002" s="78"/>
    </row>
    <row r="12003">
      <c r="C12003" s="85"/>
      <c r="D12003" s="25"/>
      <c r="E12003" s="77"/>
      <c r="F12003" s="88"/>
      <c r="G12003" s="88"/>
      <c r="H12003" s="89"/>
      <c r="K12003" s="58"/>
      <c r="L12003" s="91"/>
      <c r="M12003" s="78"/>
    </row>
    <row r="12004">
      <c r="C12004" s="85"/>
      <c r="D12004" s="25"/>
      <c r="E12004" s="77"/>
      <c r="F12004" s="88"/>
      <c r="G12004" s="88"/>
      <c r="H12004" s="89"/>
      <c r="K12004" s="58"/>
      <c r="L12004" s="91"/>
      <c r="M12004" s="78"/>
    </row>
    <row r="12005">
      <c r="C12005" s="85"/>
      <c r="D12005" s="25"/>
      <c r="E12005" s="77"/>
      <c r="F12005" s="88"/>
      <c r="G12005" s="88"/>
      <c r="H12005" s="89"/>
      <c r="K12005" s="58"/>
      <c r="L12005" s="91"/>
      <c r="M12005" s="78"/>
    </row>
    <row r="12006">
      <c r="C12006" s="85"/>
      <c r="D12006" s="25"/>
      <c r="E12006" s="77"/>
      <c r="F12006" s="88"/>
      <c r="G12006" s="88"/>
      <c r="H12006" s="89"/>
      <c r="K12006" s="58"/>
      <c r="L12006" s="91"/>
      <c r="M12006" s="78"/>
    </row>
    <row r="12007">
      <c r="C12007" s="85"/>
      <c r="D12007" s="25"/>
      <c r="E12007" s="77"/>
      <c r="F12007" s="88"/>
      <c r="G12007" s="88"/>
      <c r="H12007" s="89"/>
      <c r="K12007" s="58"/>
      <c r="L12007" s="91"/>
      <c r="M12007" s="78"/>
    </row>
    <row r="12008">
      <c r="C12008" s="85"/>
      <c r="D12008" s="25"/>
      <c r="E12008" s="77"/>
      <c r="F12008" s="88"/>
      <c r="G12008" s="88"/>
      <c r="H12008" s="89"/>
      <c r="K12008" s="58"/>
      <c r="L12008" s="91"/>
      <c r="M12008" s="78"/>
    </row>
    <row r="12009">
      <c r="C12009" s="85"/>
      <c r="D12009" s="25"/>
      <c r="E12009" s="77"/>
      <c r="F12009" s="88"/>
      <c r="G12009" s="88"/>
      <c r="H12009" s="89"/>
      <c r="K12009" s="58"/>
      <c r="L12009" s="91"/>
      <c r="M12009" s="78"/>
    </row>
    <row r="12010">
      <c r="C12010" s="85"/>
      <c r="D12010" s="25"/>
      <c r="E12010" s="77"/>
      <c r="F12010" s="88"/>
      <c r="G12010" s="88"/>
      <c r="H12010" s="89"/>
      <c r="K12010" s="58"/>
      <c r="L12010" s="91"/>
      <c r="M12010" s="78"/>
    </row>
    <row r="12011">
      <c r="C12011" s="85"/>
      <c r="D12011" s="25"/>
      <c r="E12011" s="77"/>
      <c r="F12011" s="88"/>
      <c r="G12011" s="88"/>
      <c r="H12011" s="89"/>
      <c r="K12011" s="58"/>
      <c r="L12011" s="91"/>
      <c r="M12011" s="78"/>
    </row>
    <row r="12012">
      <c r="C12012" s="85"/>
      <c r="D12012" s="25"/>
      <c r="E12012" s="77"/>
      <c r="F12012" s="88"/>
      <c r="G12012" s="88"/>
      <c r="H12012" s="89"/>
      <c r="K12012" s="58"/>
      <c r="L12012" s="91"/>
      <c r="M12012" s="78"/>
    </row>
    <row r="12013">
      <c r="C12013" s="85"/>
      <c r="D12013" s="25"/>
      <c r="E12013" s="77"/>
      <c r="F12013" s="88"/>
      <c r="G12013" s="88"/>
      <c r="H12013" s="89"/>
      <c r="K12013" s="58"/>
      <c r="L12013" s="91"/>
      <c r="M12013" s="78"/>
    </row>
    <row r="12014">
      <c r="C12014" s="85"/>
      <c r="D12014" s="25"/>
      <c r="E12014" s="77"/>
      <c r="F12014" s="88"/>
      <c r="G12014" s="88"/>
      <c r="H12014" s="89"/>
      <c r="K12014" s="58"/>
      <c r="L12014" s="91"/>
      <c r="M12014" s="78"/>
    </row>
    <row r="12015">
      <c r="C12015" s="85"/>
      <c r="D12015" s="25"/>
      <c r="E12015" s="77"/>
      <c r="F12015" s="88"/>
      <c r="G12015" s="88"/>
      <c r="H12015" s="89"/>
      <c r="K12015" s="58"/>
      <c r="L12015" s="91"/>
      <c r="M12015" s="78"/>
    </row>
    <row r="12016">
      <c r="C12016" s="85"/>
      <c r="D12016" s="25"/>
      <c r="E12016" s="77"/>
      <c r="F12016" s="88"/>
      <c r="G12016" s="88"/>
      <c r="H12016" s="89"/>
      <c r="K12016" s="58"/>
      <c r="L12016" s="91"/>
      <c r="M12016" s="78"/>
    </row>
    <row r="12017">
      <c r="C12017" s="85"/>
      <c r="D12017" s="25"/>
      <c r="E12017" s="77"/>
      <c r="F12017" s="88"/>
      <c r="G12017" s="88"/>
      <c r="H12017" s="89"/>
      <c r="K12017" s="58"/>
      <c r="L12017" s="91"/>
      <c r="M12017" s="78"/>
    </row>
    <row r="12018">
      <c r="C12018" s="85"/>
      <c r="D12018" s="25"/>
      <c r="E12018" s="77"/>
      <c r="F12018" s="88"/>
      <c r="G12018" s="88"/>
      <c r="H12018" s="89"/>
      <c r="K12018" s="58"/>
      <c r="L12018" s="91"/>
      <c r="M12018" s="78"/>
    </row>
    <row r="12019">
      <c r="C12019" s="85"/>
      <c r="D12019" s="25"/>
      <c r="E12019" s="77"/>
      <c r="F12019" s="88"/>
      <c r="G12019" s="88"/>
      <c r="H12019" s="89"/>
      <c r="K12019" s="58"/>
      <c r="L12019" s="91"/>
      <c r="M12019" s="78"/>
    </row>
    <row r="12020">
      <c r="C12020" s="85"/>
      <c r="D12020" s="25"/>
      <c r="E12020" s="77"/>
      <c r="F12020" s="88"/>
      <c r="G12020" s="88"/>
      <c r="H12020" s="89"/>
      <c r="K12020" s="58"/>
      <c r="L12020" s="91"/>
      <c r="M12020" s="78"/>
    </row>
    <row r="12021">
      <c r="C12021" s="85"/>
      <c r="D12021" s="25"/>
      <c r="E12021" s="77"/>
      <c r="F12021" s="88"/>
      <c r="G12021" s="88"/>
      <c r="H12021" s="89"/>
      <c r="K12021" s="58"/>
      <c r="L12021" s="91"/>
      <c r="M12021" s="78"/>
    </row>
    <row r="12022">
      <c r="C12022" s="85"/>
      <c r="D12022" s="25"/>
      <c r="E12022" s="77"/>
      <c r="F12022" s="88"/>
      <c r="G12022" s="88"/>
      <c r="H12022" s="89"/>
      <c r="K12022" s="58"/>
      <c r="L12022" s="91"/>
      <c r="M12022" s="78"/>
    </row>
    <row r="12023">
      <c r="C12023" s="85"/>
      <c r="D12023" s="25"/>
      <c r="E12023" s="77"/>
      <c r="F12023" s="88"/>
      <c r="G12023" s="88"/>
      <c r="H12023" s="89"/>
      <c r="K12023" s="58"/>
      <c r="L12023" s="91"/>
      <c r="M12023" s="78"/>
    </row>
    <row r="12024">
      <c r="C12024" s="85"/>
      <c r="D12024" s="25"/>
      <c r="E12024" s="77"/>
      <c r="F12024" s="88"/>
      <c r="G12024" s="88"/>
      <c r="H12024" s="89"/>
      <c r="K12024" s="58"/>
      <c r="L12024" s="91"/>
      <c r="M12024" s="78"/>
    </row>
    <row r="12025">
      <c r="C12025" s="85"/>
      <c r="D12025" s="25"/>
      <c r="E12025" s="77"/>
      <c r="F12025" s="88"/>
      <c r="G12025" s="88"/>
      <c r="H12025" s="89"/>
      <c r="K12025" s="58"/>
      <c r="L12025" s="91"/>
      <c r="M12025" s="78"/>
    </row>
    <row r="12026">
      <c r="C12026" s="85"/>
      <c r="D12026" s="25"/>
      <c r="E12026" s="77"/>
      <c r="F12026" s="88"/>
      <c r="G12026" s="88"/>
      <c r="H12026" s="89"/>
      <c r="K12026" s="58"/>
      <c r="L12026" s="91"/>
      <c r="M12026" s="78"/>
    </row>
    <row r="12027">
      <c r="C12027" s="85"/>
      <c r="D12027" s="25"/>
      <c r="E12027" s="77"/>
      <c r="F12027" s="88"/>
      <c r="G12027" s="88"/>
      <c r="H12027" s="89"/>
      <c r="K12027" s="58"/>
      <c r="L12027" s="91"/>
      <c r="M12027" s="78"/>
    </row>
    <row r="12028">
      <c r="C12028" s="85"/>
      <c r="D12028" s="25"/>
      <c r="E12028" s="77"/>
      <c r="F12028" s="88"/>
      <c r="G12028" s="88"/>
      <c r="H12028" s="89"/>
      <c r="K12028" s="58"/>
      <c r="L12028" s="91"/>
      <c r="M12028" s="78"/>
    </row>
    <row r="12029">
      <c r="C12029" s="85"/>
      <c r="D12029" s="25"/>
      <c r="E12029" s="77"/>
      <c r="F12029" s="88"/>
      <c r="G12029" s="88"/>
      <c r="H12029" s="89"/>
      <c r="K12029" s="58"/>
      <c r="L12029" s="91"/>
      <c r="M12029" s="78"/>
    </row>
    <row r="12030">
      <c r="C12030" s="85"/>
      <c r="D12030" s="25"/>
      <c r="E12030" s="77"/>
      <c r="F12030" s="88"/>
      <c r="G12030" s="88"/>
      <c r="H12030" s="89"/>
      <c r="K12030" s="58"/>
      <c r="L12030" s="91"/>
      <c r="M12030" s="78"/>
    </row>
    <row r="12031">
      <c r="C12031" s="85"/>
      <c r="D12031" s="25"/>
      <c r="E12031" s="77"/>
      <c r="F12031" s="88"/>
      <c r="G12031" s="88"/>
      <c r="H12031" s="89"/>
      <c r="K12031" s="58"/>
      <c r="L12031" s="91"/>
      <c r="M12031" s="78"/>
    </row>
    <row r="12032">
      <c r="C12032" s="85"/>
      <c r="D12032" s="25"/>
      <c r="E12032" s="77"/>
      <c r="F12032" s="88"/>
      <c r="G12032" s="88"/>
      <c r="H12032" s="89"/>
      <c r="K12032" s="58"/>
      <c r="L12032" s="91"/>
      <c r="M12032" s="78"/>
    </row>
    <row r="12033">
      <c r="C12033" s="85"/>
      <c r="D12033" s="25"/>
      <c r="E12033" s="77"/>
      <c r="F12033" s="88"/>
      <c r="G12033" s="88"/>
      <c r="H12033" s="89"/>
      <c r="K12033" s="58"/>
      <c r="L12033" s="91"/>
      <c r="M12033" s="78"/>
    </row>
    <row r="12034">
      <c r="C12034" s="85"/>
      <c r="D12034" s="25"/>
      <c r="E12034" s="77"/>
      <c r="F12034" s="88"/>
      <c r="G12034" s="88"/>
      <c r="H12034" s="89"/>
      <c r="K12034" s="58"/>
      <c r="L12034" s="91"/>
      <c r="M12034" s="78"/>
    </row>
    <row r="12035">
      <c r="C12035" s="85"/>
      <c r="D12035" s="25"/>
      <c r="E12035" s="77"/>
      <c r="F12035" s="88"/>
      <c r="G12035" s="88"/>
      <c r="H12035" s="89"/>
      <c r="K12035" s="58"/>
      <c r="L12035" s="91"/>
      <c r="M12035" s="78"/>
    </row>
    <row r="12036">
      <c r="C12036" s="85"/>
      <c r="D12036" s="25"/>
      <c r="E12036" s="77"/>
      <c r="F12036" s="88"/>
      <c r="G12036" s="88"/>
      <c r="H12036" s="89"/>
      <c r="K12036" s="58"/>
      <c r="L12036" s="91"/>
      <c r="M12036" s="78"/>
    </row>
    <row r="12037">
      <c r="C12037" s="85"/>
      <c r="D12037" s="25"/>
      <c r="E12037" s="77"/>
      <c r="F12037" s="88"/>
      <c r="G12037" s="88"/>
      <c r="H12037" s="89"/>
      <c r="K12037" s="58"/>
      <c r="L12037" s="91"/>
      <c r="M12037" s="78"/>
    </row>
    <row r="12038">
      <c r="C12038" s="85"/>
      <c r="D12038" s="25"/>
      <c r="E12038" s="77"/>
      <c r="F12038" s="88"/>
      <c r="G12038" s="88"/>
      <c r="H12038" s="89"/>
      <c r="K12038" s="58"/>
      <c r="L12038" s="91"/>
      <c r="M12038" s="78"/>
    </row>
    <row r="12039">
      <c r="C12039" s="85"/>
      <c r="D12039" s="25"/>
      <c r="E12039" s="77"/>
      <c r="F12039" s="88"/>
      <c r="G12039" s="88"/>
      <c r="H12039" s="89"/>
      <c r="K12039" s="58"/>
      <c r="L12039" s="91"/>
      <c r="M12039" s="78"/>
    </row>
    <row r="12040">
      <c r="C12040" s="85"/>
      <c r="D12040" s="25"/>
      <c r="E12040" s="77"/>
      <c r="F12040" s="88"/>
      <c r="G12040" s="88"/>
      <c r="H12040" s="89"/>
      <c r="K12040" s="58"/>
      <c r="L12040" s="91"/>
      <c r="M12040" s="78"/>
    </row>
    <row r="12041">
      <c r="C12041" s="85"/>
      <c r="D12041" s="25"/>
      <c r="E12041" s="77"/>
      <c r="F12041" s="88"/>
      <c r="G12041" s="88"/>
      <c r="H12041" s="89"/>
      <c r="K12041" s="58"/>
      <c r="L12041" s="91"/>
      <c r="M12041" s="78"/>
    </row>
    <row r="12042">
      <c r="C12042" s="85"/>
      <c r="D12042" s="25"/>
      <c r="E12042" s="77"/>
      <c r="F12042" s="88"/>
      <c r="G12042" s="88"/>
      <c r="H12042" s="89"/>
      <c r="K12042" s="58"/>
      <c r="L12042" s="91"/>
      <c r="M12042" s="78"/>
    </row>
    <row r="12043">
      <c r="C12043" s="85"/>
      <c r="D12043" s="25"/>
      <c r="E12043" s="77"/>
      <c r="F12043" s="88"/>
      <c r="G12043" s="88"/>
      <c r="H12043" s="89"/>
      <c r="K12043" s="58"/>
      <c r="L12043" s="91"/>
      <c r="M12043" s="78"/>
    </row>
    <row r="12044">
      <c r="C12044" s="85"/>
      <c r="D12044" s="25"/>
      <c r="E12044" s="77"/>
      <c r="F12044" s="88"/>
      <c r="G12044" s="88"/>
      <c r="H12044" s="89"/>
      <c r="K12044" s="58"/>
      <c r="L12044" s="91"/>
      <c r="M12044" s="78"/>
    </row>
    <row r="12045">
      <c r="C12045" s="85"/>
      <c r="D12045" s="25"/>
      <c r="E12045" s="77"/>
      <c r="F12045" s="88"/>
      <c r="G12045" s="88"/>
      <c r="H12045" s="89"/>
      <c r="K12045" s="58"/>
      <c r="L12045" s="91"/>
      <c r="M12045" s="78"/>
    </row>
    <row r="12046">
      <c r="C12046" s="85"/>
      <c r="D12046" s="25"/>
      <c r="E12046" s="77"/>
      <c r="F12046" s="88"/>
      <c r="G12046" s="88"/>
      <c r="H12046" s="89"/>
      <c r="K12046" s="58"/>
      <c r="L12046" s="91"/>
      <c r="M12046" s="78"/>
    </row>
    <row r="12047">
      <c r="C12047" s="85"/>
      <c r="D12047" s="25"/>
      <c r="E12047" s="77"/>
      <c r="F12047" s="88"/>
      <c r="G12047" s="88"/>
      <c r="H12047" s="89"/>
      <c r="K12047" s="58"/>
      <c r="L12047" s="91"/>
      <c r="M12047" s="78"/>
    </row>
    <row r="12048">
      <c r="C12048" s="85"/>
      <c r="D12048" s="25"/>
      <c r="E12048" s="77"/>
      <c r="F12048" s="88"/>
      <c r="G12048" s="88"/>
      <c r="H12048" s="89"/>
      <c r="K12048" s="58"/>
      <c r="L12048" s="91"/>
      <c r="M12048" s="78"/>
    </row>
    <row r="12049">
      <c r="C12049" s="85"/>
      <c r="D12049" s="25"/>
      <c r="E12049" s="77"/>
      <c r="F12049" s="88"/>
      <c r="G12049" s="88"/>
      <c r="H12049" s="89"/>
      <c r="K12049" s="58"/>
      <c r="L12049" s="91"/>
      <c r="M12049" s="78"/>
    </row>
    <row r="12050">
      <c r="C12050" s="85"/>
      <c r="D12050" s="25"/>
      <c r="E12050" s="77"/>
      <c r="F12050" s="88"/>
      <c r="G12050" s="88"/>
      <c r="H12050" s="89"/>
      <c r="K12050" s="58"/>
      <c r="L12050" s="91"/>
      <c r="M12050" s="78"/>
    </row>
    <row r="12051">
      <c r="C12051" s="85"/>
      <c r="D12051" s="25"/>
      <c r="E12051" s="77"/>
      <c r="F12051" s="88"/>
      <c r="G12051" s="88"/>
      <c r="H12051" s="89"/>
      <c r="K12051" s="58"/>
      <c r="L12051" s="91"/>
      <c r="M12051" s="78"/>
    </row>
    <row r="12052">
      <c r="C12052" s="85"/>
      <c r="D12052" s="25"/>
      <c r="E12052" s="77"/>
      <c r="F12052" s="88"/>
      <c r="G12052" s="88"/>
      <c r="H12052" s="89"/>
      <c r="K12052" s="58"/>
      <c r="L12052" s="91"/>
      <c r="M12052" s="78"/>
    </row>
    <row r="12053">
      <c r="C12053" s="85"/>
      <c r="D12053" s="25"/>
      <c r="E12053" s="77"/>
      <c r="F12053" s="88"/>
      <c r="G12053" s="88"/>
      <c r="H12053" s="89"/>
      <c r="K12053" s="58"/>
      <c r="L12053" s="91"/>
      <c r="M12053" s="78"/>
    </row>
    <row r="12054">
      <c r="C12054" s="85"/>
      <c r="D12054" s="25"/>
      <c r="E12054" s="77"/>
      <c r="F12054" s="88"/>
      <c r="G12054" s="88"/>
      <c r="H12054" s="89"/>
      <c r="K12054" s="58"/>
      <c r="L12054" s="91"/>
      <c r="M12054" s="78"/>
    </row>
    <row r="12055">
      <c r="C12055" s="85"/>
      <c r="D12055" s="25"/>
      <c r="E12055" s="77"/>
      <c r="F12055" s="88"/>
      <c r="G12055" s="88"/>
      <c r="H12055" s="89"/>
      <c r="K12055" s="58"/>
      <c r="L12055" s="91"/>
      <c r="M12055" s="78"/>
    </row>
    <row r="12056">
      <c r="C12056" s="85"/>
      <c r="D12056" s="25"/>
      <c r="E12056" s="77"/>
      <c r="F12056" s="88"/>
      <c r="G12056" s="88"/>
      <c r="H12056" s="89"/>
      <c r="K12056" s="58"/>
      <c r="L12056" s="91"/>
      <c r="M12056" s="78"/>
    </row>
    <row r="12057">
      <c r="C12057" s="85"/>
      <c r="D12057" s="25"/>
      <c r="E12057" s="77"/>
      <c r="F12057" s="88"/>
      <c r="G12057" s="88"/>
      <c r="H12057" s="89"/>
      <c r="K12057" s="58"/>
      <c r="L12057" s="91"/>
      <c r="M12057" s="78"/>
    </row>
    <row r="12058">
      <c r="C12058" s="85"/>
      <c r="D12058" s="25"/>
      <c r="E12058" s="77"/>
      <c r="F12058" s="88"/>
      <c r="G12058" s="88"/>
      <c r="H12058" s="89"/>
      <c r="K12058" s="58"/>
      <c r="L12058" s="91"/>
      <c r="M12058" s="78"/>
    </row>
    <row r="12059">
      <c r="C12059" s="85"/>
      <c r="D12059" s="25"/>
      <c r="E12059" s="77"/>
      <c r="F12059" s="88"/>
      <c r="G12059" s="88"/>
      <c r="H12059" s="89"/>
      <c r="K12059" s="58"/>
      <c r="L12059" s="91"/>
      <c r="M12059" s="78"/>
    </row>
    <row r="12060">
      <c r="C12060" s="85"/>
      <c r="D12060" s="25"/>
      <c r="E12060" s="77"/>
      <c r="F12060" s="88"/>
      <c r="G12060" s="88"/>
      <c r="H12060" s="89"/>
      <c r="K12060" s="58"/>
      <c r="L12060" s="91"/>
      <c r="M12060" s="78"/>
    </row>
    <row r="12061">
      <c r="C12061" s="85"/>
      <c r="D12061" s="25"/>
      <c r="E12061" s="77"/>
      <c r="F12061" s="88"/>
      <c r="G12061" s="88"/>
      <c r="H12061" s="89"/>
      <c r="K12061" s="58"/>
      <c r="L12061" s="91"/>
      <c r="M12061" s="78"/>
    </row>
    <row r="12062">
      <c r="C12062" s="85"/>
      <c r="D12062" s="25"/>
      <c r="E12062" s="77"/>
      <c r="F12062" s="88"/>
      <c r="G12062" s="88"/>
      <c r="H12062" s="89"/>
      <c r="K12062" s="58"/>
      <c r="L12062" s="91"/>
      <c r="M12062" s="78"/>
    </row>
    <row r="12063">
      <c r="C12063" s="85"/>
      <c r="D12063" s="25"/>
      <c r="E12063" s="77"/>
      <c r="F12063" s="88"/>
      <c r="G12063" s="88"/>
      <c r="H12063" s="89"/>
      <c r="K12063" s="58"/>
      <c r="L12063" s="91"/>
      <c r="M12063" s="78"/>
    </row>
    <row r="12064">
      <c r="C12064" s="85"/>
      <c r="D12064" s="25"/>
      <c r="E12064" s="77"/>
      <c r="F12064" s="88"/>
      <c r="G12064" s="88"/>
      <c r="H12064" s="89"/>
      <c r="K12064" s="58"/>
      <c r="L12064" s="91"/>
      <c r="M12064" s="78"/>
    </row>
    <row r="12065">
      <c r="C12065" s="85"/>
      <c r="D12065" s="25"/>
      <c r="E12065" s="77"/>
      <c r="F12065" s="88"/>
      <c r="G12065" s="88"/>
      <c r="H12065" s="89"/>
      <c r="K12065" s="58"/>
      <c r="L12065" s="91"/>
      <c r="M12065" s="78"/>
    </row>
    <row r="12066">
      <c r="C12066" s="85"/>
      <c r="D12066" s="25"/>
      <c r="E12066" s="77"/>
      <c r="F12066" s="88"/>
      <c r="G12066" s="88"/>
      <c r="H12066" s="89"/>
      <c r="K12066" s="58"/>
      <c r="L12066" s="91"/>
      <c r="M12066" s="78"/>
    </row>
    <row r="12067">
      <c r="C12067" s="85"/>
      <c r="D12067" s="25"/>
      <c r="E12067" s="77"/>
      <c r="F12067" s="88"/>
      <c r="G12067" s="88"/>
      <c r="H12067" s="89"/>
      <c r="K12067" s="58"/>
      <c r="L12067" s="91"/>
      <c r="M12067" s="78"/>
    </row>
    <row r="12068">
      <c r="C12068" s="85"/>
      <c r="D12068" s="25"/>
      <c r="E12068" s="77"/>
      <c r="F12068" s="88"/>
      <c r="G12068" s="88"/>
      <c r="H12068" s="89"/>
      <c r="K12068" s="58"/>
      <c r="L12068" s="91"/>
      <c r="M12068" s="78"/>
    </row>
    <row r="12069">
      <c r="C12069" s="85"/>
      <c r="D12069" s="25"/>
      <c r="E12069" s="77"/>
      <c r="F12069" s="88"/>
      <c r="G12069" s="88"/>
      <c r="H12069" s="89"/>
      <c r="K12069" s="58"/>
      <c r="L12069" s="91"/>
      <c r="M12069" s="78"/>
    </row>
    <row r="12070">
      <c r="C12070" s="85"/>
      <c r="D12070" s="25"/>
      <c r="E12070" s="77"/>
      <c r="F12070" s="88"/>
      <c r="G12070" s="88"/>
      <c r="H12070" s="89"/>
      <c r="K12070" s="58"/>
      <c r="L12070" s="91"/>
      <c r="M12070" s="78"/>
    </row>
    <row r="12071">
      <c r="C12071" s="85"/>
      <c r="D12071" s="25"/>
      <c r="E12071" s="77"/>
      <c r="F12071" s="88"/>
      <c r="G12071" s="88"/>
      <c r="H12071" s="89"/>
      <c r="K12071" s="58"/>
      <c r="L12071" s="91"/>
      <c r="M12071" s="78"/>
    </row>
    <row r="12072">
      <c r="C12072" s="85"/>
      <c r="D12072" s="25"/>
      <c r="E12072" s="77"/>
      <c r="F12072" s="88"/>
      <c r="G12072" s="88"/>
      <c r="H12072" s="89"/>
      <c r="K12072" s="58"/>
      <c r="L12072" s="91"/>
      <c r="M12072" s="78"/>
    </row>
    <row r="12073">
      <c r="C12073" s="85"/>
      <c r="D12073" s="25"/>
      <c r="E12073" s="77"/>
      <c r="F12073" s="88"/>
      <c r="G12073" s="88"/>
      <c r="H12073" s="89"/>
      <c r="K12073" s="58"/>
      <c r="L12073" s="91"/>
      <c r="M12073" s="78"/>
    </row>
    <row r="12074">
      <c r="C12074" s="85"/>
      <c r="D12074" s="25"/>
      <c r="E12074" s="77"/>
      <c r="F12074" s="88"/>
      <c r="G12074" s="88"/>
      <c r="H12074" s="89"/>
      <c r="K12074" s="58"/>
      <c r="L12074" s="91"/>
      <c r="M12074" s="78"/>
    </row>
    <row r="12075">
      <c r="C12075" s="85"/>
      <c r="D12075" s="25"/>
      <c r="E12075" s="77"/>
      <c r="F12075" s="88"/>
      <c r="G12075" s="88"/>
      <c r="H12075" s="89"/>
      <c r="K12075" s="58"/>
      <c r="L12075" s="91"/>
      <c r="M12075" s="78"/>
    </row>
    <row r="12076">
      <c r="C12076" s="85"/>
      <c r="D12076" s="25"/>
      <c r="E12076" s="77"/>
      <c r="F12076" s="88"/>
      <c r="G12076" s="88"/>
      <c r="H12076" s="89"/>
      <c r="K12076" s="58"/>
      <c r="L12076" s="91"/>
      <c r="M12076" s="78"/>
    </row>
    <row r="12077">
      <c r="C12077" s="85"/>
      <c r="D12077" s="25"/>
      <c r="E12077" s="77"/>
      <c r="F12077" s="88"/>
      <c r="G12077" s="88"/>
      <c r="H12077" s="89"/>
      <c r="K12077" s="58"/>
      <c r="L12077" s="91"/>
      <c r="M12077" s="78"/>
    </row>
    <row r="12078">
      <c r="C12078" s="85"/>
      <c r="D12078" s="25"/>
      <c r="E12078" s="77"/>
      <c r="F12078" s="88"/>
      <c r="G12078" s="88"/>
      <c r="H12078" s="89"/>
      <c r="K12078" s="58"/>
      <c r="L12078" s="91"/>
      <c r="M12078" s="78"/>
    </row>
    <row r="12079">
      <c r="C12079" s="85"/>
      <c r="D12079" s="25"/>
      <c r="E12079" s="77"/>
      <c r="F12079" s="88"/>
      <c r="G12079" s="88"/>
      <c r="H12079" s="89"/>
      <c r="K12079" s="58"/>
      <c r="L12079" s="91"/>
      <c r="M12079" s="78"/>
    </row>
    <row r="12080">
      <c r="C12080" s="85"/>
      <c r="D12080" s="25"/>
      <c r="E12080" s="77"/>
      <c r="F12080" s="88"/>
      <c r="G12080" s="88"/>
      <c r="H12080" s="89"/>
      <c r="K12080" s="58"/>
      <c r="L12080" s="91"/>
      <c r="M12080" s="78"/>
    </row>
    <row r="12081">
      <c r="C12081" s="85"/>
      <c r="D12081" s="25"/>
      <c r="E12081" s="77"/>
      <c r="F12081" s="88"/>
      <c r="G12081" s="88"/>
      <c r="H12081" s="89"/>
      <c r="K12081" s="58"/>
      <c r="L12081" s="91"/>
      <c r="M12081" s="78"/>
    </row>
    <row r="12082">
      <c r="C12082" s="85"/>
      <c r="D12082" s="25"/>
      <c r="E12082" s="77"/>
      <c r="F12082" s="88"/>
      <c r="G12082" s="88"/>
      <c r="H12082" s="89"/>
      <c r="K12082" s="58"/>
      <c r="L12082" s="91"/>
      <c r="M12082" s="78"/>
    </row>
    <row r="12083">
      <c r="C12083" s="85"/>
      <c r="D12083" s="25"/>
      <c r="E12083" s="77"/>
      <c r="F12083" s="88"/>
      <c r="G12083" s="88"/>
      <c r="H12083" s="89"/>
      <c r="K12083" s="58"/>
      <c r="L12083" s="91"/>
      <c r="M12083" s="78"/>
    </row>
    <row r="12084">
      <c r="C12084" s="85"/>
      <c r="D12084" s="25"/>
      <c r="E12084" s="77"/>
      <c r="F12084" s="88"/>
      <c r="G12084" s="88"/>
      <c r="H12084" s="89"/>
      <c r="K12084" s="58"/>
      <c r="L12084" s="91"/>
      <c r="M12084" s="78"/>
    </row>
    <row r="12085">
      <c r="C12085" s="85"/>
      <c r="D12085" s="25"/>
      <c r="E12085" s="77"/>
      <c r="F12085" s="88"/>
      <c r="G12085" s="88"/>
      <c r="H12085" s="89"/>
      <c r="K12085" s="58"/>
      <c r="L12085" s="91"/>
      <c r="M12085" s="78"/>
    </row>
    <row r="12086">
      <c r="C12086" s="85"/>
      <c r="D12086" s="25"/>
      <c r="E12086" s="77"/>
      <c r="F12086" s="88"/>
      <c r="G12086" s="88"/>
      <c r="H12086" s="89"/>
      <c r="K12086" s="58"/>
      <c r="L12086" s="91"/>
      <c r="M12086" s="78"/>
    </row>
    <row r="12087">
      <c r="C12087" s="85"/>
      <c r="D12087" s="25"/>
      <c r="E12087" s="77"/>
      <c r="F12087" s="88"/>
      <c r="G12087" s="88"/>
      <c r="H12087" s="89"/>
      <c r="K12087" s="58"/>
      <c r="L12087" s="91"/>
      <c r="M12087" s="78"/>
    </row>
    <row r="12088">
      <c r="C12088" s="85"/>
      <c r="D12088" s="25"/>
      <c r="E12088" s="77"/>
      <c r="F12088" s="88"/>
      <c r="G12088" s="88"/>
      <c r="H12088" s="89"/>
      <c r="K12088" s="58"/>
      <c r="L12088" s="91"/>
      <c r="M12088" s="78"/>
    </row>
    <row r="12089">
      <c r="C12089" s="85"/>
      <c r="D12089" s="25"/>
      <c r="E12089" s="77"/>
      <c r="F12089" s="88"/>
      <c r="G12089" s="88"/>
      <c r="H12089" s="89"/>
      <c r="K12089" s="58"/>
      <c r="L12089" s="91"/>
      <c r="M12089" s="78"/>
    </row>
    <row r="12090">
      <c r="C12090" s="85"/>
      <c r="D12090" s="25"/>
      <c r="E12090" s="77"/>
      <c r="F12090" s="88"/>
      <c r="G12090" s="88"/>
      <c r="H12090" s="89"/>
      <c r="K12090" s="58"/>
      <c r="L12090" s="91"/>
      <c r="M12090" s="78"/>
    </row>
    <row r="12091">
      <c r="C12091" s="85"/>
      <c r="D12091" s="25"/>
      <c r="E12091" s="77"/>
      <c r="F12091" s="88"/>
      <c r="G12091" s="88"/>
      <c r="H12091" s="89"/>
      <c r="K12091" s="58"/>
      <c r="L12091" s="91"/>
      <c r="M12091" s="78"/>
    </row>
    <row r="12092">
      <c r="C12092" s="85"/>
      <c r="D12092" s="25"/>
      <c r="E12092" s="77"/>
      <c r="F12092" s="88"/>
      <c r="G12092" s="88"/>
      <c r="H12092" s="89"/>
      <c r="K12092" s="58"/>
      <c r="L12092" s="91"/>
      <c r="M12092" s="78"/>
    </row>
    <row r="12093">
      <c r="C12093" s="85"/>
      <c r="D12093" s="25"/>
      <c r="E12093" s="77"/>
      <c r="F12093" s="88"/>
      <c r="G12093" s="88"/>
      <c r="H12093" s="89"/>
      <c r="K12093" s="58"/>
      <c r="L12093" s="91"/>
      <c r="M12093" s="78"/>
    </row>
    <row r="12094">
      <c r="C12094" s="85"/>
      <c r="D12094" s="25"/>
      <c r="E12094" s="77"/>
      <c r="F12094" s="88"/>
      <c r="G12094" s="88"/>
      <c r="H12094" s="89"/>
      <c r="K12094" s="58"/>
      <c r="L12094" s="91"/>
      <c r="M12094" s="78"/>
    </row>
    <row r="12095">
      <c r="C12095" s="85"/>
      <c r="D12095" s="25"/>
      <c r="E12095" s="77"/>
      <c r="F12095" s="88"/>
      <c r="G12095" s="88"/>
      <c r="H12095" s="89"/>
      <c r="K12095" s="58"/>
      <c r="L12095" s="91"/>
      <c r="M12095" s="78"/>
    </row>
    <row r="12096">
      <c r="C12096" s="85"/>
      <c r="D12096" s="25"/>
      <c r="E12096" s="77"/>
      <c r="F12096" s="88"/>
      <c r="G12096" s="88"/>
      <c r="H12096" s="89"/>
      <c r="K12096" s="58"/>
      <c r="L12096" s="91"/>
      <c r="M12096" s="78"/>
    </row>
    <row r="12097">
      <c r="C12097" s="85"/>
      <c r="D12097" s="25"/>
      <c r="E12097" s="77"/>
      <c r="F12097" s="88"/>
      <c r="G12097" s="88"/>
      <c r="H12097" s="89"/>
      <c r="K12097" s="58"/>
      <c r="L12097" s="91"/>
      <c r="M12097" s="78"/>
    </row>
    <row r="12098">
      <c r="C12098" s="85"/>
      <c r="D12098" s="25"/>
      <c r="E12098" s="77"/>
      <c r="F12098" s="88"/>
      <c r="G12098" s="88"/>
      <c r="H12098" s="89"/>
      <c r="K12098" s="58"/>
      <c r="L12098" s="91"/>
      <c r="M12098" s="78"/>
    </row>
    <row r="12099">
      <c r="C12099" s="85"/>
      <c r="D12099" s="25"/>
      <c r="E12099" s="77"/>
      <c r="F12099" s="88"/>
      <c r="G12099" s="88"/>
      <c r="H12099" s="89"/>
      <c r="K12099" s="58"/>
      <c r="L12099" s="91"/>
      <c r="M12099" s="78"/>
    </row>
    <row r="12100">
      <c r="C12100" s="85"/>
      <c r="D12100" s="25"/>
      <c r="E12100" s="77"/>
      <c r="F12100" s="88"/>
      <c r="G12100" s="88"/>
      <c r="H12100" s="89"/>
      <c r="K12100" s="58"/>
      <c r="L12100" s="91"/>
      <c r="M12100" s="78"/>
    </row>
    <row r="12101">
      <c r="C12101" s="85"/>
      <c r="D12101" s="25"/>
      <c r="E12101" s="77"/>
      <c r="F12101" s="88"/>
      <c r="G12101" s="88"/>
      <c r="H12101" s="89"/>
      <c r="K12101" s="58"/>
      <c r="L12101" s="91"/>
      <c r="M12101" s="78"/>
    </row>
    <row r="12102">
      <c r="C12102" s="85"/>
      <c r="D12102" s="25"/>
      <c r="E12102" s="77"/>
      <c r="F12102" s="88"/>
      <c r="G12102" s="88"/>
      <c r="H12102" s="89"/>
      <c r="K12102" s="58"/>
      <c r="L12102" s="91"/>
      <c r="M12102" s="78"/>
    </row>
    <row r="12103">
      <c r="C12103" s="85"/>
      <c r="D12103" s="25"/>
      <c r="E12103" s="77"/>
      <c r="F12103" s="88"/>
      <c r="G12103" s="88"/>
      <c r="H12103" s="89"/>
      <c r="K12103" s="58"/>
      <c r="L12103" s="91"/>
      <c r="M12103" s="78"/>
    </row>
    <row r="12104">
      <c r="C12104" s="85"/>
      <c r="D12104" s="25"/>
      <c r="E12104" s="77"/>
      <c r="F12104" s="88"/>
      <c r="G12104" s="88"/>
      <c r="H12104" s="89"/>
      <c r="K12104" s="58"/>
      <c r="L12104" s="91"/>
      <c r="M12104" s="78"/>
    </row>
    <row r="12105">
      <c r="C12105" s="85"/>
      <c r="D12105" s="25"/>
      <c r="E12105" s="77"/>
      <c r="F12105" s="88"/>
      <c r="G12105" s="88"/>
      <c r="H12105" s="89"/>
      <c r="K12105" s="58"/>
      <c r="L12105" s="91"/>
      <c r="M12105" s="78"/>
    </row>
    <row r="12106">
      <c r="C12106" s="85"/>
      <c r="D12106" s="25"/>
      <c r="E12106" s="77"/>
      <c r="F12106" s="88"/>
      <c r="G12106" s="88"/>
      <c r="H12106" s="89"/>
      <c r="K12106" s="58"/>
      <c r="L12106" s="91"/>
      <c r="M12106" s="78"/>
    </row>
    <row r="12107">
      <c r="C12107" s="85"/>
      <c r="D12107" s="25"/>
      <c r="E12107" s="77"/>
      <c r="F12107" s="88"/>
      <c r="G12107" s="88"/>
      <c r="H12107" s="89"/>
      <c r="K12107" s="58"/>
      <c r="L12107" s="91"/>
      <c r="M12107" s="78"/>
    </row>
    <row r="12108">
      <c r="C12108" s="85"/>
      <c r="D12108" s="25"/>
      <c r="E12108" s="77"/>
      <c r="F12108" s="88"/>
      <c r="G12108" s="88"/>
      <c r="H12108" s="89"/>
      <c r="K12108" s="58"/>
      <c r="L12108" s="91"/>
      <c r="M12108" s="78"/>
    </row>
    <row r="12109">
      <c r="C12109" s="85"/>
      <c r="D12109" s="25"/>
      <c r="E12109" s="77"/>
      <c r="F12109" s="88"/>
      <c r="G12109" s="88"/>
      <c r="H12109" s="89"/>
      <c r="K12109" s="58"/>
      <c r="L12109" s="91"/>
      <c r="M12109" s="78"/>
    </row>
    <row r="12110">
      <c r="C12110" s="85"/>
      <c r="D12110" s="25"/>
      <c r="E12110" s="77"/>
      <c r="F12110" s="88"/>
      <c r="G12110" s="88"/>
      <c r="H12110" s="89"/>
      <c r="K12110" s="58"/>
      <c r="L12110" s="91"/>
      <c r="M12110" s="78"/>
    </row>
    <row r="12111">
      <c r="C12111" s="85"/>
      <c r="D12111" s="25"/>
      <c r="E12111" s="77"/>
      <c r="F12111" s="88"/>
      <c r="G12111" s="88"/>
      <c r="H12111" s="89"/>
      <c r="K12111" s="58"/>
      <c r="L12111" s="91"/>
      <c r="M12111" s="78"/>
    </row>
    <row r="12112">
      <c r="C12112" s="85"/>
      <c r="D12112" s="25"/>
      <c r="E12112" s="77"/>
      <c r="F12112" s="88"/>
      <c r="G12112" s="88"/>
      <c r="H12112" s="89"/>
      <c r="K12112" s="58"/>
      <c r="L12112" s="91"/>
      <c r="M12112" s="78"/>
    </row>
    <row r="12113">
      <c r="C12113" s="85"/>
      <c r="D12113" s="25"/>
      <c r="E12113" s="77"/>
      <c r="F12113" s="88"/>
      <c r="G12113" s="88"/>
      <c r="H12113" s="89"/>
      <c r="K12113" s="58"/>
      <c r="L12113" s="91"/>
      <c r="M12113" s="78"/>
    </row>
    <row r="12114">
      <c r="C12114" s="85"/>
      <c r="D12114" s="25"/>
      <c r="E12114" s="77"/>
      <c r="F12114" s="88"/>
      <c r="G12114" s="88"/>
      <c r="H12114" s="89"/>
      <c r="K12114" s="58"/>
      <c r="L12114" s="91"/>
      <c r="M12114" s="78"/>
    </row>
    <row r="12115">
      <c r="C12115" s="85"/>
      <c r="D12115" s="25"/>
      <c r="E12115" s="77"/>
      <c r="F12115" s="88"/>
      <c r="G12115" s="88"/>
      <c r="H12115" s="89"/>
      <c r="K12115" s="58"/>
      <c r="L12115" s="91"/>
      <c r="M12115" s="78"/>
    </row>
    <row r="12116">
      <c r="C12116" s="85"/>
      <c r="D12116" s="25"/>
      <c r="E12116" s="77"/>
      <c r="F12116" s="88"/>
      <c r="G12116" s="88"/>
      <c r="H12116" s="89"/>
      <c r="K12116" s="58"/>
      <c r="L12116" s="91"/>
      <c r="M12116" s="78"/>
    </row>
    <row r="12117">
      <c r="C12117" s="85"/>
      <c r="D12117" s="25"/>
      <c r="E12117" s="77"/>
      <c r="F12117" s="88"/>
      <c r="G12117" s="88"/>
      <c r="H12117" s="89"/>
      <c r="K12117" s="58"/>
      <c r="L12117" s="91"/>
      <c r="M12117" s="78"/>
    </row>
    <row r="12118">
      <c r="C12118" s="85"/>
      <c r="D12118" s="25"/>
      <c r="E12118" s="77"/>
      <c r="F12118" s="88"/>
      <c r="G12118" s="88"/>
      <c r="H12118" s="89"/>
      <c r="K12118" s="58"/>
      <c r="L12118" s="91"/>
      <c r="M12118" s="78"/>
    </row>
    <row r="12119">
      <c r="C12119" s="85"/>
      <c r="D12119" s="25"/>
      <c r="E12119" s="77"/>
      <c r="F12119" s="88"/>
      <c r="G12119" s="88"/>
      <c r="H12119" s="89"/>
      <c r="K12119" s="58"/>
      <c r="L12119" s="91"/>
      <c r="M12119" s="78"/>
    </row>
    <row r="12120">
      <c r="C12120" s="85"/>
      <c r="D12120" s="25"/>
      <c r="E12120" s="77"/>
      <c r="F12120" s="88"/>
      <c r="G12120" s="88"/>
      <c r="H12120" s="89"/>
      <c r="K12120" s="58"/>
      <c r="L12120" s="91"/>
      <c r="M12120" s="78"/>
    </row>
    <row r="12121">
      <c r="C12121" s="85"/>
      <c r="D12121" s="25"/>
      <c r="E12121" s="77"/>
      <c r="F12121" s="88"/>
      <c r="G12121" s="88"/>
      <c r="H12121" s="89"/>
      <c r="K12121" s="58"/>
      <c r="L12121" s="91"/>
      <c r="M12121" s="78"/>
    </row>
    <row r="12122">
      <c r="C12122" s="85"/>
      <c r="D12122" s="25"/>
      <c r="E12122" s="77"/>
      <c r="F12122" s="88"/>
      <c r="G12122" s="88"/>
      <c r="H12122" s="89"/>
      <c r="K12122" s="58"/>
      <c r="L12122" s="91"/>
      <c r="M12122" s="78"/>
    </row>
    <row r="12123">
      <c r="C12123" s="85"/>
      <c r="D12123" s="25"/>
      <c r="E12123" s="77"/>
      <c r="F12123" s="88"/>
      <c r="G12123" s="88"/>
      <c r="H12123" s="89"/>
      <c r="K12123" s="58"/>
      <c r="L12123" s="91"/>
      <c r="M12123" s="78"/>
    </row>
    <row r="12124">
      <c r="C12124" s="85"/>
      <c r="D12124" s="25"/>
      <c r="E12124" s="77"/>
      <c r="F12124" s="88"/>
      <c r="G12124" s="88"/>
      <c r="H12124" s="89"/>
      <c r="K12124" s="58"/>
      <c r="L12124" s="91"/>
      <c r="M12124" s="78"/>
    </row>
    <row r="12125">
      <c r="C12125" s="85"/>
      <c r="D12125" s="25"/>
      <c r="E12125" s="77"/>
      <c r="F12125" s="88"/>
      <c r="G12125" s="88"/>
      <c r="H12125" s="89"/>
      <c r="K12125" s="58"/>
      <c r="L12125" s="91"/>
      <c r="M12125" s="78"/>
    </row>
    <row r="12126">
      <c r="C12126" s="85"/>
      <c r="D12126" s="25"/>
      <c r="E12126" s="77"/>
      <c r="F12126" s="88"/>
      <c r="G12126" s="88"/>
      <c r="H12126" s="89"/>
      <c r="K12126" s="58"/>
      <c r="L12126" s="91"/>
      <c r="M12126" s="78"/>
    </row>
    <row r="12127">
      <c r="C12127" s="85"/>
      <c r="D12127" s="25"/>
      <c r="E12127" s="77"/>
      <c r="F12127" s="88"/>
      <c r="G12127" s="88"/>
      <c r="H12127" s="89"/>
      <c r="K12127" s="58"/>
      <c r="L12127" s="91"/>
      <c r="M12127" s="78"/>
    </row>
    <row r="12128">
      <c r="C12128" s="85"/>
      <c r="D12128" s="25"/>
      <c r="E12128" s="77"/>
      <c r="F12128" s="88"/>
      <c r="G12128" s="88"/>
      <c r="H12128" s="89"/>
      <c r="K12128" s="58"/>
      <c r="L12128" s="91"/>
      <c r="M12128" s="78"/>
    </row>
    <row r="12129">
      <c r="C12129" s="85"/>
      <c r="D12129" s="25"/>
      <c r="E12129" s="77"/>
      <c r="F12129" s="88"/>
      <c r="G12129" s="88"/>
      <c r="H12129" s="89"/>
      <c r="K12129" s="58"/>
      <c r="L12129" s="91"/>
      <c r="M12129" s="78"/>
    </row>
    <row r="12130">
      <c r="C12130" s="85"/>
      <c r="D12130" s="25"/>
      <c r="E12130" s="77"/>
      <c r="F12130" s="88"/>
      <c r="G12130" s="88"/>
      <c r="H12130" s="89"/>
      <c r="K12130" s="58"/>
      <c r="L12130" s="91"/>
      <c r="M12130" s="78"/>
    </row>
    <row r="12131">
      <c r="C12131" s="85"/>
      <c r="D12131" s="25"/>
      <c r="E12131" s="77"/>
      <c r="F12131" s="88"/>
      <c r="G12131" s="88"/>
      <c r="H12131" s="89"/>
      <c r="K12131" s="58"/>
      <c r="L12131" s="91"/>
      <c r="M12131" s="78"/>
    </row>
    <row r="12132">
      <c r="C12132" s="85"/>
      <c r="D12132" s="25"/>
      <c r="E12132" s="77"/>
      <c r="F12132" s="88"/>
      <c r="G12132" s="88"/>
      <c r="H12132" s="89"/>
      <c r="K12132" s="58"/>
      <c r="L12132" s="91"/>
      <c r="M12132" s="78"/>
    </row>
    <row r="12133">
      <c r="C12133" s="85"/>
      <c r="D12133" s="25"/>
      <c r="E12133" s="77"/>
      <c r="F12133" s="88"/>
      <c r="G12133" s="88"/>
      <c r="H12133" s="89"/>
      <c r="K12133" s="58"/>
      <c r="L12133" s="91"/>
      <c r="M12133" s="78"/>
    </row>
    <row r="12134">
      <c r="C12134" s="85"/>
      <c r="D12134" s="25"/>
      <c r="E12134" s="77"/>
      <c r="F12134" s="88"/>
      <c r="G12134" s="88"/>
      <c r="H12134" s="89"/>
      <c r="K12134" s="58"/>
      <c r="L12134" s="91"/>
      <c r="M12134" s="78"/>
    </row>
    <row r="12135">
      <c r="C12135" s="85"/>
      <c r="D12135" s="25"/>
      <c r="E12135" s="77"/>
      <c r="F12135" s="88"/>
      <c r="G12135" s="88"/>
      <c r="H12135" s="89"/>
      <c r="K12135" s="58"/>
      <c r="L12135" s="91"/>
      <c r="M12135" s="78"/>
    </row>
    <row r="12136">
      <c r="C12136" s="85"/>
      <c r="D12136" s="25"/>
      <c r="E12136" s="77"/>
      <c r="F12136" s="88"/>
      <c r="G12136" s="88"/>
      <c r="H12136" s="89"/>
      <c r="K12136" s="58"/>
      <c r="L12136" s="91"/>
      <c r="M12136" s="78"/>
    </row>
    <row r="12137">
      <c r="C12137" s="85"/>
      <c r="D12137" s="25"/>
      <c r="E12137" s="77"/>
      <c r="F12137" s="88"/>
      <c r="G12137" s="88"/>
      <c r="H12137" s="89"/>
      <c r="K12137" s="58"/>
      <c r="L12137" s="91"/>
      <c r="M12137" s="78"/>
    </row>
    <row r="12138">
      <c r="C12138" s="85"/>
      <c r="D12138" s="25"/>
      <c r="E12138" s="77"/>
      <c r="F12138" s="88"/>
      <c r="G12138" s="88"/>
      <c r="H12138" s="89"/>
      <c r="K12138" s="58"/>
      <c r="L12138" s="91"/>
      <c r="M12138" s="78"/>
    </row>
    <row r="12139">
      <c r="C12139" s="85"/>
      <c r="D12139" s="25"/>
      <c r="E12139" s="77"/>
      <c r="F12139" s="88"/>
      <c r="G12139" s="88"/>
      <c r="H12139" s="89"/>
      <c r="K12139" s="58"/>
      <c r="L12139" s="91"/>
      <c r="M12139" s="78"/>
    </row>
    <row r="12140">
      <c r="C12140" s="85"/>
      <c r="D12140" s="25"/>
      <c r="E12140" s="77"/>
      <c r="F12140" s="88"/>
      <c r="G12140" s="88"/>
      <c r="H12140" s="89"/>
      <c r="K12140" s="58"/>
      <c r="L12140" s="91"/>
      <c r="M12140" s="78"/>
    </row>
    <row r="12141">
      <c r="C12141" s="85"/>
      <c r="D12141" s="25"/>
      <c r="E12141" s="77"/>
      <c r="F12141" s="88"/>
      <c r="G12141" s="88"/>
      <c r="H12141" s="89"/>
      <c r="K12141" s="58"/>
      <c r="L12141" s="91"/>
      <c r="M12141" s="78"/>
    </row>
    <row r="12142">
      <c r="C12142" s="85"/>
      <c r="D12142" s="25"/>
      <c r="E12142" s="77"/>
      <c r="F12142" s="88"/>
      <c r="G12142" s="88"/>
      <c r="H12142" s="89"/>
      <c r="K12142" s="58"/>
      <c r="L12142" s="91"/>
      <c r="M12142" s="78"/>
    </row>
    <row r="12143">
      <c r="C12143" s="85"/>
      <c r="D12143" s="25"/>
      <c r="E12143" s="77"/>
      <c r="F12143" s="88"/>
      <c r="G12143" s="88"/>
      <c r="H12143" s="89"/>
      <c r="K12143" s="58"/>
      <c r="L12143" s="91"/>
      <c r="M12143" s="78"/>
    </row>
    <row r="12144">
      <c r="C12144" s="85"/>
      <c r="D12144" s="25"/>
      <c r="E12144" s="77"/>
      <c r="F12144" s="88"/>
      <c r="G12144" s="88"/>
      <c r="H12144" s="89"/>
      <c r="K12144" s="58"/>
      <c r="L12144" s="91"/>
      <c r="M12144" s="78"/>
    </row>
    <row r="12145">
      <c r="C12145" s="85"/>
      <c r="D12145" s="25"/>
      <c r="E12145" s="77"/>
      <c r="F12145" s="88"/>
      <c r="G12145" s="88"/>
      <c r="H12145" s="89"/>
      <c r="K12145" s="58"/>
      <c r="L12145" s="91"/>
      <c r="M12145" s="78"/>
    </row>
    <row r="12146">
      <c r="C12146" s="85"/>
      <c r="D12146" s="25"/>
      <c r="E12146" s="77"/>
      <c r="F12146" s="88"/>
      <c r="G12146" s="88"/>
      <c r="H12146" s="89"/>
      <c r="K12146" s="58"/>
      <c r="L12146" s="91"/>
      <c r="M12146" s="78"/>
    </row>
    <row r="12147">
      <c r="C12147" s="85"/>
      <c r="D12147" s="25"/>
      <c r="E12147" s="77"/>
      <c r="F12147" s="88"/>
      <c r="G12147" s="88"/>
      <c r="H12147" s="89"/>
      <c r="K12147" s="58"/>
      <c r="L12147" s="91"/>
      <c r="M12147" s="78"/>
    </row>
    <row r="12148">
      <c r="C12148" s="85"/>
      <c r="D12148" s="25"/>
      <c r="E12148" s="77"/>
      <c r="F12148" s="88"/>
      <c r="G12148" s="88"/>
      <c r="H12148" s="89"/>
      <c r="K12148" s="58"/>
      <c r="L12148" s="91"/>
      <c r="M12148" s="78"/>
    </row>
    <row r="12149">
      <c r="C12149" s="85"/>
      <c r="D12149" s="25"/>
      <c r="E12149" s="77"/>
      <c r="F12149" s="88"/>
      <c r="G12149" s="88"/>
      <c r="H12149" s="89"/>
      <c r="K12149" s="58"/>
      <c r="L12149" s="91"/>
      <c r="M12149" s="78"/>
    </row>
    <row r="12150">
      <c r="C12150" s="85"/>
      <c r="D12150" s="25"/>
      <c r="E12150" s="77"/>
      <c r="F12150" s="88"/>
      <c r="G12150" s="88"/>
      <c r="H12150" s="89"/>
      <c r="K12150" s="58"/>
      <c r="L12150" s="91"/>
      <c r="M12150" s="78"/>
    </row>
    <row r="12151">
      <c r="C12151" s="85"/>
      <c r="D12151" s="25"/>
      <c r="E12151" s="77"/>
      <c r="F12151" s="88"/>
      <c r="G12151" s="88"/>
      <c r="H12151" s="89"/>
      <c r="K12151" s="58"/>
      <c r="L12151" s="91"/>
      <c r="M12151" s="78"/>
    </row>
    <row r="12152">
      <c r="C12152" s="85"/>
      <c r="D12152" s="25"/>
      <c r="E12152" s="77"/>
      <c r="F12152" s="88"/>
      <c r="G12152" s="88"/>
      <c r="H12152" s="89"/>
      <c r="K12152" s="58"/>
      <c r="L12152" s="91"/>
      <c r="M12152" s="78"/>
    </row>
    <row r="12153">
      <c r="C12153" s="85"/>
      <c r="D12153" s="25"/>
      <c r="E12153" s="77"/>
      <c r="F12153" s="88"/>
      <c r="G12153" s="88"/>
      <c r="H12153" s="89"/>
      <c r="K12153" s="58"/>
      <c r="L12153" s="91"/>
      <c r="M12153" s="78"/>
    </row>
    <row r="12154">
      <c r="C12154" s="85"/>
      <c r="D12154" s="25"/>
      <c r="E12154" s="77"/>
      <c r="F12154" s="88"/>
      <c r="G12154" s="88"/>
      <c r="H12154" s="89"/>
      <c r="K12154" s="58"/>
      <c r="L12154" s="91"/>
      <c r="M12154" s="78"/>
    </row>
    <row r="12155">
      <c r="C12155" s="85"/>
      <c r="D12155" s="25"/>
      <c r="E12155" s="77"/>
      <c r="F12155" s="88"/>
      <c r="G12155" s="88"/>
      <c r="H12155" s="89"/>
      <c r="K12155" s="58"/>
      <c r="L12155" s="91"/>
      <c r="M12155" s="78"/>
    </row>
    <row r="12156">
      <c r="C12156" s="85"/>
      <c r="D12156" s="25"/>
      <c r="E12156" s="77"/>
      <c r="F12156" s="88"/>
      <c r="G12156" s="88"/>
      <c r="H12156" s="89"/>
      <c r="K12156" s="58"/>
      <c r="L12156" s="91"/>
      <c r="M12156" s="78"/>
    </row>
    <row r="12157">
      <c r="C12157" s="85"/>
      <c r="D12157" s="25"/>
      <c r="E12157" s="77"/>
      <c r="F12157" s="88"/>
      <c r="G12157" s="88"/>
      <c r="H12157" s="89"/>
      <c r="K12157" s="58"/>
      <c r="L12157" s="91"/>
      <c r="M12157" s="78"/>
    </row>
    <row r="12158">
      <c r="C12158" s="85"/>
      <c r="D12158" s="25"/>
      <c r="E12158" s="77"/>
      <c r="F12158" s="88"/>
      <c r="G12158" s="88"/>
      <c r="H12158" s="89"/>
      <c r="K12158" s="58"/>
      <c r="L12158" s="91"/>
      <c r="M12158" s="78"/>
    </row>
    <row r="12159">
      <c r="C12159" s="85"/>
      <c r="D12159" s="25"/>
      <c r="E12159" s="77"/>
      <c r="F12159" s="88"/>
      <c r="G12159" s="88"/>
      <c r="H12159" s="89"/>
      <c r="K12159" s="58"/>
      <c r="L12159" s="91"/>
      <c r="M12159" s="78"/>
    </row>
    <row r="12160">
      <c r="C12160" s="85"/>
      <c r="D12160" s="25"/>
      <c r="E12160" s="77"/>
      <c r="F12160" s="88"/>
      <c r="G12160" s="88"/>
      <c r="H12160" s="89"/>
      <c r="K12160" s="58"/>
      <c r="L12160" s="91"/>
      <c r="M12160" s="78"/>
    </row>
    <row r="12161">
      <c r="C12161" s="85"/>
      <c r="D12161" s="25"/>
      <c r="E12161" s="77"/>
      <c r="F12161" s="88"/>
      <c r="G12161" s="88"/>
      <c r="H12161" s="89"/>
      <c r="K12161" s="58"/>
      <c r="L12161" s="91"/>
      <c r="M12161" s="78"/>
    </row>
    <row r="12162">
      <c r="C12162" s="85"/>
      <c r="D12162" s="25"/>
      <c r="E12162" s="77"/>
      <c r="F12162" s="88"/>
      <c r="G12162" s="88"/>
      <c r="H12162" s="89"/>
      <c r="K12162" s="58"/>
      <c r="L12162" s="91"/>
      <c r="M12162" s="78"/>
    </row>
    <row r="12163">
      <c r="C12163" s="85"/>
      <c r="D12163" s="25"/>
      <c r="E12163" s="77"/>
      <c r="F12163" s="88"/>
      <c r="G12163" s="88"/>
      <c r="H12163" s="89"/>
      <c r="K12163" s="58"/>
      <c r="L12163" s="91"/>
      <c r="M12163" s="78"/>
    </row>
    <row r="12164">
      <c r="C12164" s="85"/>
      <c r="D12164" s="25"/>
      <c r="E12164" s="77"/>
      <c r="F12164" s="88"/>
      <c r="G12164" s="88"/>
      <c r="H12164" s="89"/>
      <c r="K12164" s="58"/>
      <c r="L12164" s="91"/>
      <c r="M12164" s="78"/>
    </row>
    <row r="12165">
      <c r="C12165" s="85"/>
      <c r="D12165" s="25"/>
      <c r="E12165" s="77"/>
      <c r="F12165" s="88"/>
      <c r="G12165" s="88"/>
      <c r="H12165" s="89"/>
      <c r="K12165" s="58"/>
      <c r="L12165" s="91"/>
      <c r="M12165" s="78"/>
    </row>
    <row r="12166">
      <c r="C12166" s="85"/>
      <c r="D12166" s="25"/>
      <c r="E12166" s="77"/>
      <c r="F12166" s="88"/>
      <c r="G12166" s="88"/>
      <c r="H12166" s="89"/>
      <c r="K12166" s="58"/>
      <c r="L12166" s="91"/>
      <c r="M12166" s="78"/>
    </row>
    <row r="12167">
      <c r="C12167" s="85"/>
      <c r="D12167" s="25"/>
      <c r="E12167" s="77"/>
      <c r="F12167" s="88"/>
      <c r="G12167" s="88"/>
      <c r="H12167" s="89"/>
      <c r="K12167" s="58"/>
      <c r="L12167" s="91"/>
      <c r="M12167" s="78"/>
    </row>
    <row r="12168">
      <c r="C12168" s="85"/>
      <c r="D12168" s="25"/>
      <c r="E12168" s="77"/>
      <c r="F12168" s="88"/>
      <c r="G12168" s="88"/>
      <c r="H12168" s="89"/>
      <c r="K12168" s="58"/>
      <c r="L12168" s="91"/>
      <c r="M12168" s="78"/>
    </row>
    <row r="12169">
      <c r="C12169" s="85"/>
      <c r="D12169" s="25"/>
      <c r="E12169" s="77"/>
      <c r="F12169" s="88"/>
      <c r="G12169" s="88"/>
      <c r="H12169" s="89"/>
      <c r="K12169" s="58"/>
      <c r="L12169" s="91"/>
      <c r="M12169" s="78"/>
    </row>
    <row r="12170">
      <c r="C12170" s="85"/>
      <c r="D12170" s="25"/>
      <c r="E12170" s="77"/>
      <c r="F12170" s="88"/>
      <c r="G12170" s="88"/>
      <c r="H12170" s="89"/>
      <c r="K12170" s="58"/>
      <c r="L12170" s="91"/>
      <c r="M12170" s="78"/>
    </row>
    <row r="12171">
      <c r="C12171" s="85"/>
      <c r="D12171" s="25"/>
      <c r="E12171" s="77"/>
      <c r="F12171" s="88"/>
      <c r="G12171" s="88"/>
      <c r="H12171" s="89"/>
      <c r="K12171" s="58"/>
      <c r="L12171" s="91"/>
      <c r="M12171" s="78"/>
    </row>
    <row r="12172">
      <c r="C12172" s="85"/>
      <c r="D12172" s="25"/>
      <c r="E12172" s="77"/>
      <c r="F12172" s="88"/>
      <c r="G12172" s="88"/>
      <c r="H12172" s="89"/>
      <c r="K12172" s="58"/>
      <c r="L12172" s="91"/>
      <c r="M12172" s="78"/>
    </row>
    <row r="12173">
      <c r="C12173" s="85"/>
      <c r="D12173" s="25"/>
      <c r="E12173" s="77"/>
      <c r="F12173" s="88"/>
      <c r="G12173" s="88"/>
      <c r="H12173" s="89"/>
      <c r="K12173" s="58"/>
      <c r="L12173" s="91"/>
      <c r="M12173" s="78"/>
    </row>
    <row r="12174">
      <c r="C12174" s="85"/>
      <c r="D12174" s="25"/>
      <c r="E12174" s="77"/>
      <c r="F12174" s="88"/>
      <c r="G12174" s="88"/>
      <c r="H12174" s="89"/>
      <c r="K12174" s="58"/>
      <c r="L12174" s="91"/>
      <c r="M12174" s="78"/>
    </row>
    <row r="12175">
      <c r="C12175" s="85"/>
      <c r="D12175" s="25"/>
      <c r="E12175" s="77"/>
      <c r="F12175" s="88"/>
      <c r="G12175" s="88"/>
      <c r="H12175" s="89"/>
      <c r="K12175" s="58"/>
      <c r="L12175" s="91"/>
      <c r="M12175" s="78"/>
    </row>
    <row r="12176">
      <c r="C12176" s="85"/>
      <c r="D12176" s="25"/>
      <c r="E12176" s="77"/>
      <c r="F12176" s="88"/>
      <c r="G12176" s="88"/>
      <c r="H12176" s="89"/>
      <c r="K12176" s="58"/>
      <c r="L12176" s="91"/>
      <c r="M12176" s="78"/>
    </row>
    <row r="12177">
      <c r="C12177" s="85"/>
      <c r="D12177" s="25"/>
      <c r="E12177" s="77"/>
      <c r="F12177" s="88"/>
      <c r="G12177" s="88"/>
      <c r="H12177" s="89"/>
      <c r="K12177" s="58"/>
      <c r="L12177" s="91"/>
      <c r="M12177" s="78"/>
    </row>
    <row r="12178">
      <c r="C12178" s="85"/>
      <c r="D12178" s="25"/>
      <c r="E12178" s="77"/>
      <c r="F12178" s="88"/>
      <c r="G12178" s="88"/>
      <c r="H12178" s="89"/>
      <c r="K12178" s="58"/>
      <c r="L12178" s="91"/>
      <c r="M12178" s="78"/>
    </row>
    <row r="12179">
      <c r="C12179" s="85"/>
      <c r="D12179" s="25"/>
      <c r="E12179" s="77"/>
      <c r="F12179" s="88"/>
      <c r="G12179" s="88"/>
      <c r="H12179" s="89"/>
      <c r="K12179" s="58"/>
      <c r="L12179" s="91"/>
      <c r="M12179" s="78"/>
    </row>
    <row r="12180">
      <c r="C12180" s="85"/>
      <c r="D12180" s="25"/>
      <c r="E12180" s="77"/>
      <c r="F12180" s="88"/>
      <c r="G12180" s="88"/>
      <c r="H12180" s="89"/>
      <c r="K12180" s="58"/>
      <c r="L12180" s="91"/>
      <c r="M12180" s="78"/>
    </row>
    <row r="12181">
      <c r="C12181" s="85"/>
      <c r="D12181" s="25"/>
      <c r="E12181" s="77"/>
      <c r="F12181" s="88"/>
      <c r="G12181" s="88"/>
      <c r="H12181" s="89"/>
      <c r="K12181" s="58"/>
      <c r="L12181" s="91"/>
      <c r="M12181" s="78"/>
    </row>
    <row r="12182">
      <c r="C12182" s="85"/>
      <c r="D12182" s="25"/>
      <c r="E12182" s="77"/>
      <c r="F12182" s="88"/>
      <c r="G12182" s="88"/>
      <c r="H12182" s="89"/>
      <c r="K12182" s="58"/>
      <c r="L12182" s="91"/>
      <c r="M12182" s="78"/>
    </row>
    <row r="12183">
      <c r="C12183" s="85"/>
      <c r="D12183" s="25"/>
      <c r="E12183" s="77"/>
      <c r="F12183" s="88"/>
      <c r="G12183" s="88"/>
      <c r="H12183" s="89"/>
      <c r="K12183" s="58"/>
      <c r="L12183" s="91"/>
      <c r="M12183" s="78"/>
    </row>
    <row r="12184">
      <c r="C12184" s="85"/>
      <c r="D12184" s="25"/>
      <c r="E12184" s="77"/>
      <c r="F12184" s="88"/>
      <c r="G12184" s="88"/>
      <c r="H12184" s="89"/>
      <c r="K12184" s="58"/>
      <c r="L12184" s="91"/>
      <c r="M12184" s="78"/>
    </row>
    <row r="12185">
      <c r="C12185" s="85"/>
      <c r="D12185" s="25"/>
      <c r="E12185" s="77"/>
      <c r="F12185" s="88"/>
      <c r="G12185" s="88"/>
      <c r="H12185" s="89"/>
      <c r="K12185" s="58"/>
      <c r="L12185" s="91"/>
      <c r="M12185" s="78"/>
    </row>
    <row r="12186">
      <c r="C12186" s="85"/>
      <c r="D12186" s="25"/>
      <c r="E12186" s="77"/>
      <c r="F12186" s="88"/>
      <c r="G12186" s="88"/>
      <c r="H12186" s="89"/>
      <c r="K12186" s="58"/>
      <c r="L12186" s="91"/>
      <c r="M12186" s="78"/>
    </row>
    <row r="12187">
      <c r="C12187" s="85"/>
      <c r="D12187" s="25"/>
      <c r="E12187" s="77"/>
      <c r="F12187" s="88"/>
      <c r="G12187" s="88"/>
      <c r="H12187" s="89"/>
      <c r="K12187" s="58"/>
      <c r="L12187" s="91"/>
      <c r="M12187" s="78"/>
    </row>
    <row r="12188">
      <c r="C12188" s="85"/>
      <c r="D12188" s="25"/>
      <c r="E12188" s="77"/>
      <c r="F12188" s="88"/>
      <c r="G12188" s="88"/>
      <c r="H12188" s="89"/>
      <c r="K12188" s="58"/>
      <c r="L12188" s="91"/>
      <c r="M12188" s="78"/>
    </row>
    <row r="12189">
      <c r="C12189" s="85"/>
      <c r="D12189" s="25"/>
      <c r="E12189" s="77"/>
      <c r="F12189" s="88"/>
      <c r="G12189" s="88"/>
      <c r="H12189" s="89"/>
      <c r="K12189" s="58"/>
      <c r="L12189" s="91"/>
      <c r="M12189" s="78"/>
    </row>
    <row r="12190">
      <c r="C12190" s="85"/>
      <c r="D12190" s="25"/>
      <c r="E12190" s="77"/>
      <c r="F12190" s="88"/>
      <c r="G12190" s="88"/>
      <c r="H12190" s="89"/>
      <c r="K12190" s="58"/>
      <c r="L12190" s="91"/>
      <c r="M12190" s="78"/>
    </row>
    <row r="12191">
      <c r="C12191" s="85"/>
      <c r="D12191" s="25"/>
      <c r="E12191" s="77"/>
      <c r="F12191" s="88"/>
      <c r="G12191" s="88"/>
      <c r="H12191" s="89"/>
      <c r="K12191" s="58"/>
      <c r="L12191" s="91"/>
      <c r="M12191" s="78"/>
    </row>
    <row r="12192">
      <c r="C12192" s="85"/>
      <c r="D12192" s="25"/>
      <c r="E12192" s="77"/>
      <c r="F12192" s="88"/>
      <c r="G12192" s="88"/>
      <c r="H12192" s="89"/>
      <c r="K12192" s="58"/>
      <c r="L12192" s="91"/>
      <c r="M12192" s="78"/>
    </row>
    <row r="12193">
      <c r="C12193" s="85"/>
      <c r="D12193" s="25"/>
      <c r="E12193" s="77"/>
      <c r="F12193" s="88"/>
      <c r="G12193" s="88"/>
      <c r="H12193" s="89"/>
      <c r="K12193" s="58"/>
      <c r="L12193" s="91"/>
      <c r="M12193" s="78"/>
    </row>
    <row r="12194">
      <c r="C12194" s="85"/>
      <c r="D12194" s="25"/>
      <c r="E12194" s="77"/>
      <c r="F12194" s="88"/>
      <c r="G12194" s="88"/>
      <c r="H12194" s="89"/>
      <c r="K12194" s="58"/>
      <c r="L12194" s="91"/>
      <c r="M12194" s="78"/>
    </row>
    <row r="12195">
      <c r="C12195" s="85"/>
      <c r="D12195" s="25"/>
      <c r="E12195" s="77"/>
      <c r="F12195" s="88"/>
      <c r="G12195" s="88"/>
      <c r="H12195" s="89"/>
      <c r="K12195" s="58"/>
      <c r="L12195" s="91"/>
      <c r="M12195" s="78"/>
    </row>
    <row r="12196">
      <c r="C12196" s="85"/>
      <c r="D12196" s="25"/>
      <c r="E12196" s="77"/>
      <c r="F12196" s="88"/>
      <c r="G12196" s="88"/>
      <c r="H12196" s="89"/>
      <c r="K12196" s="58"/>
      <c r="L12196" s="91"/>
      <c r="M12196" s="78"/>
    </row>
    <row r="12197">
      <c r="C12197" s="85"/>
      <c r="D12197" s="25"/>
      <c r="E12197" s="77"/>
      <c r="F12197" s="88"/>
      <c r="G12197" s="88"/>
      <c r="H12197" s="89"/>
      <c r="K12197" s="58"/>
      <c r="L12197" s="91"/>
      <c r="M12197" s="78"/>
    </row>
    <row r="12198">
      <c r="C12198" s="85"/>
      <c r="D12198" s="25"/>
      <c r="E12198" s="77"/>
      <c r="F12198" s="88"/>
      <c r="G12198" s="88"/>
      <c r="H12198" s="89"/>
      <c r="K12198" s="58"/>
      <c r="L12198" s="91"/>
      <c r="M12198" s="78"/>
    </row>
    <row r="12199">
      <c r="C12199" s="85"/>
      <c r="D12199" s="25"/>
      <c r="E12199" s="77"/>
      <c r="F12199" s="88"/>
      <c r="G12199" s="88"/>
      <c r="H12199" s="89"/>
      <c r="K12199" s="58"/>
      <c r="L12199" s="91"/>
      <c r="M12199" s="78"/>
    </row>
    <row r="12200">
      <c r="C12200" s="85"/>
      <c r="D12200" s="25"/>
      <c r="E12200" s="77"/>
      <c r="F12200" s="88"/>
      <c r="G12200" s="88"/>
      <c r="H12200" s="89"/>
      <c r="K12200" s="58"/>
      <c r="L12200" s="91"/>
      <c r="M12200" s="78"/>
    </row>
    <row r="12201">
      <c r="C12201" s="85"/>
      <c r="D12201" s="25"/>
      <c r="E12201" s="77"/>
      <c r="F12201" s="88"/>
      <c r="G12201" s="88"/>
      <c r="H12201" s="89"/>
      <c r="K12201" s="58"/>
      <c r="L12201" s="91"/>
      <c r="M12201" s="78"/>
    </row>
    <row r="12202">
      <c r="C12202" s="85"/>
      <c r="D12202" s="25"/>
      <c r="E12202" s="77"/>
      <c r="F12202" s="88"/>
      <c r="G12202" s="88"/>
      <c r="H12202" s="89"/>
      <c r="K12202" s="58"/>
      <c r="L12202" s="91"/>
      <c r="M12202" s="78"/>
    </row>
    <row r="12203">
      <c r="C12203" s="85"/>
      <c r="D12203" s="25"/>
      <c r="E12203" s="77"/>
      <c r="F12203" s="88"/>
      <c r="G12203" s="88"/>
      <c r="H12203" s="89"/>
      <c r="K12203" s="58"/>
      <c r="L12203" s="91"/>
      <c r="M12203" s="78"/>
    </row>
    <row r="12204">
      <c r="C12204" s="85"/>
      <c r="D12204" s="25"/>
      <c r="E12204" s="77"/>
      <c r="F12204" s="88"/>
      <c r="G12204" s="88"/>
      <c r="H12204" s="89"/>
      <c r="K12204" s="58"/>
      <c r="L12204" s="91"/>
      <c r="M12204" s="78"/>
    </row>
    <row r="12205">
      <c r="C12205" s="85"/>
      <c r="D12205" s="25"/>
      <c r="E12205" s="77"/>
      <c r="F12205" s="88"/>
      <c r="G12205" s="88"/>
      <c r="H12205" s="89"/>
      <c r="K12205" s="58"/>
      <c r="L12205" s="91"/>
      <c r="M12205" s="78"/>
    </row>
    <row r="12206">
      <c r="C12206" s="85"/>
      <c r="D12206" s="25"/>
      <c r="E12206" s="77"/>
      <c r="F12206" s="88"/>
      <c r="G12206" s="88"/>
      <c r="H12206" s="89"/>
      <c r="K12206" s="58"/>
      <c r="L12206" s="91"/>
      <c r="M12206" s="78"/>
    </row>
    <row r="12207">
      <c r="C12207" s="85"/>
      <c r="D12207" s="25"/>
      <c r="E12207" s="77"/>
      <c r="F12207" s="88"/>
      <c r="G12207" s="88"/>
      <c r="H12207" s="89"/>
      <c r="K12207" s="58"/>
      <c r="L12207" s="91"/>
      <c r="M12207" s="78"/>
    </row>
    <row r="12208">
      <c r="C12208" s="85"/>
      <c r="D12208" s="25"/>
      <c r="E12208" s="77"/>
      <c r="F12208" s="88"/>
      <c r="G12208" s="88"/>
      <c r="H12208" s="89"/>
      <c r="K12208" s="58"/>
      <c r="L12208" s="91"/>
      <c r="M12208" s="78"/>
    </row>
    <row r="12209">
      <c r="C12209" s="85"/>
      <c r="D12209" s="25"/>
      <c r="E12209" s="77"/>
      <c r="F12209" s="88"/>
      <c r="G12209" s="88"/>
      <c r="H12209" s="89"/>
      <c r="K12209" s="58"/>
      <c r="L12209" s="91"/>
      <c r="M12209" s="78"/>
    </row>
    <row r="12210">
      <c r="C12210" s="85"/>
      <c r="D12210" s="25"/>
      <c r="E12210" s="77"/>
      <c r="F12210" s="88"/>
      <c r="G12210" s="88"/>
      <c r="H12210" s="89"/>
      <c r="K12210" s="58"/>
      <c r="L12210" s="91"/>
      <c r="M12210" s="78"/>
    </row>
    <row r="12211">
      <c r="C12211" s="85"/>
      <c r="D12211" s="25"/>
      <c r="E12211" s="77"/>
      <c r="F12211" s="88"/>
      <c r="G12211" s="88"/>
      <c r="H12211" s="89"/>
      <c r="K12211" s="58"/>
      <c r="L12211" s="91"/>
      <c r="M12211" s="78"/>
    </row>
    <row r="12212">
      <c r="C12212" s="85"/>
      <c r="D12212" s="25"/>
      <c r="E12212" s="77"/>
      <c r="F12212" s="88"/>
      <c r="G12212" s="88"/>
      <c r="H12212" s="89"/>
      <c r="K12212" s="58"/>
      <c r="L12212" s="91"/>
      <c r="M12212" s="78"/>
    </row>
    <row r="12213">
      <c r="C12213" s="85"/>
      <c r="D12213" s="25"/>
      <c r="E12213" s="77"/>
      <c r="F12213" s="88"/>
      <c r="G12213" s="88"/>
      <c r="H12213" s="89"/>
      <c r="K12213" s="58"/>
      <c r="L12213" s="91"/>
      <c r="M12213" s="78"/>
    </row>
    <row r="12214">
      <c r="C12214" s="85"/>
      <c r="D12214" s="25"/>
      <c r="E12214" s="77"/>
      <c r="F12214" s="88"/>
      <c r="G12214" s="88"/>
      <c r="H12214" s="89"/>
      <c r="K12214" s="58"/>
      <c r="L12214" s="91"/>
      <c r="M12214" s="78"/>
    </row>
    <row r="12215">
      <c r="C12215" s="85"/>
      <c r="D12215" s="25"/>
      <c r="E12215" s="77"/>
      <c r="F12215" s="88"/>
      <c r="G12215" s="88"/>
      <c r="H12215" s="89"/>
      <c r="K12215" s="58"/>
      <c r="L12215" s="91"/>
      <c r="M12215" s="78"/>
    </row>
    <row r="12216">
      <c r="C12216" s="85"/>
      <c r="D12216" s="25"/>
      <c r="E12216" s="77"/>
      <c r="F12216" s="88"/>
      <c r="G12216" s="88"/>
      <c r="H12216" s="89"/>
      <c r="K12216" s="58"/>
      <c r="L12216" s="91"/>
      <c r="M12216" s="78"/>
    </row>
    <row r="12217">
      <c r="C12217" s="85"/>
      <c r="D12217" s="25"/>
      <c r="E12217" s="77"/>
      <c r="F12217" s="88"/>
      <c r="G12217" s="88"/>
      <c r="H12217" s="89"/>
      <c r="K12217" s="58"/>
      <c r="L12217" s="91"/>
      <c r="M12217" s="78"/>
    </row>
    <row r="12218">
      <c r="C12218" s="85"/>
      <c r="D12218" s="25"/>
      <c r="E12218" s="77"/>
      <c r="F12218" s="88"/>
      <c r="G12218" s="88"/>
      <c r="H12218" s="89"/>
      <c r="K12218" s="58"/>
      <c r="L12218" s="91"/>
      <c r="M12218" s="78"/>
    </row>
    <row r="12219">
      <c r="C12219" s="85"/>
      <c r="D12219" s="25"/>
      <c r="E12219" s="77"/>
      <c r="F12219" s="88"/>
      <c r="G12219" s="88"/>
      <c r="H12219" s="89"/>
      <c r="K12219" s="58"/>
      <c r="L12219" s="91"/>
      <c r="M12219" s="78"/>
    </row>
    <row r="12220">
      <c r="C12220" s="85"/>
      <c r="D12220" s="25"/>
      <c r="E12220" s="77"/>
      <c r="F12220" s="88"/>
      <c r="G12220" s="88"/>
      <c r="H12220" s="89"/>
      <c r="K12220" s="58"/>
      <c r="L12220" s="91"/>
      <c r="M12220" s="78"/>
    </row>
    <row r="12221">
      <c r="C12221" s="85"/>
      <c r="D12221" s="25"/>
      <c r="E12221" s="77"/>
      <c r="F12221" s="88"/>
      <c r="G12221" s="88"/>
      <c r="H12221" s="89"/>
      <c r="K12221" s="58"/>
      <c r="L12221" s="91"/>
      <c r="M12221" s="78"/>
    </row>
    <row r="12222">
      <c r="C12222" s="85"/>
      <c r="D12222" s="25"/>
      <c r="E12222" s="77"/>
      <c r="F12222" s="88"/>
      <c r="G12222" s="88"/>
      <c r="H12222" s="89"/>
      <c r="K12222" s="58"/>
      <c r="L12222" s="91"/>
      <c r="M12222" s="78"/>
    </row>
    <row r="12223">
      <c r="C12223" s="85"/>
      <c r="D12223" s="25"/>
      <c r="E12223" s="77"/>
      <c r="F12223" s="88"/>
      <c r="G12223" s="88"/>
      <c r="H12223" s="89"/>
      <c r="K12223" s="58"/>
      <c r="L12223" s="91"/>
      <c r="M12223" s="78"/>
    </row>
    <row r="12224">
      <c r="C12224" s="85"/>
      <c r="D12224" s="25"/>
      <c r="E12224" s="77"/>
      <c r="F12224" s="88"/>
      <c r="G12224" s="88"/>
      <c r="H12224" s="89"/>
      <c r="K12224" s="58"/>
      <c r="L12224" s="91"/>
      <c r="M12224" s="78"/>
    </row>
    <row r="12225">
      <c r="C12225" s="85"/>
      <c r="D12225" s="25"/>
      <c r="E12225" s="77"/>
      <c r="F12225" s="88"/>
      <c r="G12225" s="88"/>
      <c r="H12225" s="89"/>
      <c r="K12225" s="58"/>
      <c r="L12225" s="91"/>
      <c r="M12225" s="78"/>
    </row>
    <row r="12226">
      <c r="C12226" s="85"/>
      <c r="D12226" s="25"/>
      <c r="E12226" s="77"/>
      <c r="F12226" s="88"/>
      <c r="G12226" s="88"/>
      <c r="H12226" s="89"/>
      <c r="K12226" s="58"/>
      <c r="L12226" s="91"/>
      <c r="M12226" s="78"/>
    </row>
    <row r="12227">
      <c r="C12227" s="85"/>
      <c r="D12227" s="25"/>
      <c r="E12227" s="77"/>
      <c r="F12227" s="88"/>
      <c r="G12227" s="88"/>
      <c r="H12227" s="89"/>
      <c r="K12227" s="58"/>
      <c r="L12227" s="91"/>
      <c r="M12227" s="78"/>
    </row>
    <row r="12228">
      <c r="C12228" s="85"/>
      <c r="D12228" s="25"/>
      <c r="E12228" s="77"/>
      <c r="F12228" s="88"/>
      <c r="G12228" s="88"/>
      <c r="H12228" s="89"/>
      <c r="K12228" s="58"/>
      <c r="L12228" s="91"/>
      <c r="M12228" s="78"/>
    </row>
    <row r="12229">
      <c r="C12229" s="85"/>
      <c r="D12229" s="25"/>
      <c r="E12229" s="77"/>
      <c r="F12229" s="88"/>
      <c r="G12229" s="88"/>
      <c r="H12229" s="89"/>
      <c r="K12229" s="58"/>
      <c r="L12229" s="91"/>
      <c r="M12229" s="78"/>
    </row>
    <row r="12230">
      <c r="C12230" s="85"/>
      <c r="D12230" s="25"/>
      <c r="E12230" s="77"/>
      <c r="F12230" s="88"/>
      <c r="G12230" s="88"/>
      <c r="H12230" s="89"/>
      <c r="K12230" s="58"/>
      <c r="L12230" s="91"/>
      <c r="M12230" s="78"/>
    </row>
    <row r="12231">
      <c r="C12231" s="85"/>
      <c r="D12231" s="25"/>
      <c r="E12231" s="77"/>
      <c r="F12231" s="88"/>
      <c r="G12231" s="88"/>
      <c r="H12231" s="89"/>
      <c r="K12231" s="58"/>
      <c r="L12231" s="91"/>
      <c r="M12231" s="78"/>
    </row>
    <row r="12232">
      <c r="C12232" s="85"/>
      <c r="D12232" s="25"/>
      <c r="E12232" s="77"/>
      <c r="F12232" s="88"/>
      <c r="G12232" s="88"/>
      <c r="H12232" s="89"/>
      <c r="K12232" s="58"/>
      <c r="L12232" s="91"/>
      <c r="M12232" s="78"/>
    </row>
    <row r="12233">
      <c r="C12233" s="85"/>
      <c r="D12233" s="25"/>
      <c r="E12233" s="77"/>
      <c r="F12233" s="88"/>
      <c r="G12233" s="88"/>
      <c r="H12233" s="89"/>
      <c r="K12233" s="58"/>
      <c r="L12233" s="91"/>
      <c r="M12233" s="78"/>
    </row>
    <row r="12234">
      <c r="C12234" s="85"/>
      <c r="D12234" s="25"/>
      <c r="E12234" s="77"/>
      <c r="F12234" s="88"/>
      <c r="G12234" s="88"/>
      <c r="H12234" s="89"/>
      <c r="K12234" s="58"/>
      <c r="L12234" s="91"/>
      <c r="M12234" s="78"/>
    </row>
    <row r="12235">
      <c r="C12235" s="85"/>
      <c r="D12235" s="25"/>
      <c r="E12235" s="77"/>
      <c r="F12235" s="88"/>
      <c r="G12235" s="88"/>
      <c r="H12235" s="89"/>
      <c r="K12235" s="58"/>
      <c r="L12235" s="91"/>
      <c r="M12235" s="78"/>
    </row>
    <row r="12236">
      <c r="C12236" s="85"/>
      <c r="D12236" s="25"/>
      <c r="E12236" s="77"/>
      <c r="F12236" s="88"/>
      <c r="G12236" s="88"/>
      <c r="H12236" s="89"/>
      <c r="K12236" s="58"/>
      <c r="L12236" s="91"/>
      <c r="M12236" s="78"/>
    </row>
    <row r="12237">
      <c r="C12237" s="85"/>
      <c r="D12237" s="25"/>
      <c r="E12237" s="77"/>
      <c r="F12237" s="88"/>
      <c r="G12237" s="88"/>
      <c r="H12237" s="89"/>
      <c r="K12237" s="58"/>
      <c r="L12237" s="91"/>
      <c r="M12237" s="78"/>
    </row>
    <row r="12238">
      <c r="C12238" s="85"/>
      <c r="D12238" s="25"/>
      <c r="E12238" s="77"/>
      <c r="F12238" s="88"/>
      <c r="G12238" s="88"/>
      <c r="H12238" s="89"/>
      <c r="K12238" s="58"/>
      <c r="L12238" s="91"/>
      <c r="M12238" s="78"/>
    </row>
    <row r="12239">
      <c r="C12239" s="85"/>
      <c r="D12239" s="25"/>
      <c r="E12239" s="77"/>
      <c r="F12239" s="88"/>
      <c r="G12239" s="88"/>
      <c r="H12239" s="89"/>
      <c r="K12239" s="58"/>
      <c r="L12239" s="91"/>
      <c r="M12239" s="78"/>
    </row>
    <row r="12240">
      <c r="C12240" s="85"/>
      <c r="D12240" s="25"/>
      <c r="E12240" s="77"/>
      <c r="F12240" s="88"/>
      <c r="G12240" s="88"/>
      <c r="H12240" s="89"/>
      <c r="K12240" s="58"/>
      <c r="L12240" s="91"/>
      <c r="M12240" s="78"/>
    </row>
    <row r="12241">
      <c r="C12241" s="85"/>
      <c r="D12241" s="25"/>
      <c r="E12241" s="77"/>
      <c r="F12241" s="88"/>
      <c r="G12241" s="88"/>
      <c r="H12241" s="89"/>
      <c r="K12241" s="58"/>
      <c r="L12241" s="91"/>
      <c r="M12241" s="78"/>
    </row>
    <row r="12242">
      <c r="C12242" s="85"/>
      <c r="D12242" s="25"/>
      <c r="E12242" s="77"/>
      <c r="F12242" s="88"/>
      <c r="G12242" s="88"/>
      <c r="H12242" s="89"/>
      <c r="K12242" s="58"/>
      <c r="L12242" s="91"/>
      <c r="M12242" s="78"/>
    </row>
    <row r="12243">
      <c r="C12243" s="85"/>
      <c r="D12243" s="25"/>
      <c r="E12243" s="77"/>
      <c r="F12243" s="88"/>
      <c r="G12243" s="88"/>
      <c r="H12243" s="89"/>
      <c r="K12243" s="58"/>
      <c r="L12243" s="91"/>
      <c r="M12243" s="78"/>
    </row>
    <row r="12244">
      <c r="C12244" s="85"/>
      <c r="D12244" s="25"/>
      <c r="E12244" s="77"/>
      <c r="F12244" s="88"/>
      <c r="G12244" s="88"/>
      <c r="H12244" s="89"/>
      <c r="K12244" s="58"/>
      <c r="L12244" s="91"/>
      <c r="M12244" s="78"/>
    </row>
    <row r="12245">
      <c r="C12245" s="85"/>
      <c r="D12245" s="25"/>
      <c r="E12245" s="77"/>
      <c r="F12245" s="88"/>
      <c r="G12245" s="88"/>
      <c r="H12245" s="89"/>
      <c r="K12245" s="58"/>
      <c r="L12245" s="91"/>
      <c r="M12245" s="78"/>
    </row>
    <row r="12246">
      <c r="C12246" s="85"/>
      <c r="D12246" s="25"/>
      <c r="E12246" s="77"/>
      <c r="F12246" s="88"/>
      <c r="G12246" s="88"/>
      <c r="H12246" s="89"/>
      <c r="K12246" s="58"/>
      <c r="L12246" s="91"/>
      <c r="M12246" s="78"/>
    </row>
    <row r="12247">
      <c r="C12247" s="85"/>
      <c r="D12247" s="25"/>
      <c r="E12247" s="77"/>
      <c r="F12247" s="88"/>
      <c r="G12247" s="88"/>
      <c r="H12247" s="89"/>
      <c r="K12247" s="58"/>
      <c r="L12247" s="91"/>
      <c r="M12247" s="78"/>
    </row>
    <row r="12248">
      <c r="C12248" s="85"/>
      <c r="D12248" s="25"/>
      <c r="E12248" s="77"/>
      <c r="F12248" s="88"/>
      <c r="G12248" s="88"/>
      <c r="H12248" s="89"/>
      <c r="K12248" s="58"/>
      <c r="L12248" s="91"/>
      <c r="M12248" s="78"/>
    </row>
    <row r="12249">
      <c r="C12249" s="85"/>
      <c r="D12249" s="25"/>
      <c r="E12249" s="77"/>
      <c r="F12249" s="88"/>
      <c r="G12249" s="88"/>
      <c r="H12249" s="89"/>
      <c r="K12249" s="58"/>
      <c r="L12249" s="91"/>
      <c r="M12249" s="78"/>
    </row>
    <row r="12250">
      <c r="C12250" s="85"/>
      <c r="D12250" s="25"/>
      <c r="E12250" s="77"/>
      <c r="F12250" s="88"/>
      <c r="G12250" s="88"/>
      <c r="H12250" s="89"/>
      <c r="K12250" s="58"/>
      <c r="L12250" s="91"/>
      <c r="M12250" s="78"/>
    </row>
    <row r="12251">
      <c r="C12251" s="85"/>
      <c r="D12251" s="25"/>
      <c r="E12251" s="77"/>
      <c r="F12251" s="88"/>
      <c r="G12251" s="88"/>
      <c r="H12251" s="89"/>
      <c r="K12251" s="58"/>
      <c r="L12251" s="91"/>
      <c r="M12251" s="78"/>
    </row>
    <row r="12252">
      <c r="C12252" s="85"/>
      <c r="D12252" s="25"/>
      <c r="E12252" s="77"/>
      <c r="F12252" s="88"/>
      <c r="G12252" s="88"/>
      <c r="H12252" s="89"/>
      <c r="K12252" s="58"/>
      <c r="L12252" s="91"/>
      <c r="M12252" s="78"/>
    </row>
    <row r="12253">
      <c r="C12253" s="85"/>
      <c r="D12253" s="25"/>
      <c r="E12253" s="77"/>
      <c r="F12253" s="88"/>
      <c r="G12253" s="88"/>
      <c r="H12253" s="89"/>
      <c r="K12253" s="58"/>
      <c r="L12253" s="91"/>
      <c r="M12253" s="78"/>
    </row>
    <row r="12254">
      <c r="C12254" s="85"/>
      <c r="D12254" s="25"/>
      <c r="E12254" s="77"/>
      <c r="F12254" s="88"/>
      <c r="G12254" s="88"/>
      <c r="H12254" s="89"/>
      <c r="K12254" s="58"/>
      <c r="L12254" s="91"/>
      <c r="M12254" s="78"/>
    </row>
    <row r="12255">
      <c r="C12255" s="85"/>
      <c r="D12255" s="25"/>
      <c r="E12255" s="77"/>
      <c r="F12255" s="88"/>
      <c r="G12255" s="88"/>
      <c r="H12255" s="89"/>
      <c r="K12255" s="58"/>
      <c r="L12255" s="91"/>
      <c r="M12255" s="78"/>
    </row>
    <row r="12256">
      <c r="C12256" s="85"/>
      <c r="D12256" s="25"/>
      <c r="E12256" s="77"/>
      <c r="F12256" s="88"/>
      <c r="G12256" s="88"/>
      <c r="H12256" s="89"/>
      <c r="K12256" s="58"/>
      <c r="L12256" s="91"/>
      <c r="M12256" s="78"/>
    </row>
    <row r="12257">
      <c r="C12257" s="85"/>
      <c r="D12257" s="25"/>
      <c r="E12257" s="77"/>
      <c r="F12257" s="88"/>
      <c r="G12257" s="88"/>
      <c r="H12257" s="89"/>
      <c r="K12257" s="58"/>
      <c r="L12257" s="91"/>
      <c r="M12257" s="78"/>
    </row>
    <row r="12258">
      <c r="C12258" s="85"/>
      <c r="D12258" s="25"/>
      <c r="E12258" s="77"/>
      <c r="F12258" s="88"/>
      <c r="G12258" s="88"/>
      <c r="H12258" s="89"/>
      <c r="K12258" s="58"/>
      <c r="L12258" s="91"/>
      <c r="M12258" s="78"/>
    </row>
    <row r="12259">
      <c r="C12259" s="85"/>
      <c r="D12259" s="25"/>
      <c r="E12259" s="77"/>
      <c r="F12259" s="88"/>
      <c r="G12259" s="88"/>
      <c r="H12259" s="89"/>
      <c r="K12259" s="58"/>
      <c r="L12259" s="91"/>
      <c r="M12259" s="78"/>
    </row>
    <row r="12260">
      <c r="C12260" s="85"/>
      <c r="D12260" s="25"/>
      <c r="E12260" s="77"/>
      <c r="F12260" s="88"/>
      <c r="G12260" s="88"/>
      <c r="H12260" s="89"/>
      <c r="K12260" s="58"/>
      <c r="L12260" s="91"/>
      <c r="M12260" s="78"/>
    </row>
    <row r="12261">
      <c r="C12261" s="85"/>
      <c r="D12261" s="25"/>
      <c r="E12261" s="77"/>
      <c r="F12261" s="88"/>
      <c r="G12261" s="88"/>
      <c r="H12261" s="89"/>
      <c r="K12261" s="58"/>
      <c r="L12261" s="91"/>
      <c r="M12261" s="78"/>
    </row>
    <row r="12262">
      <c r="C12262" s="85"/>
      <c r="D12262" s="25"/>
      <c r="E12262" s="77"/>
      <c r="F12262" s="88"/>
      <c r="G12262" s="88"/>
      <c r="H12262" s="89"/>
      <c r="K12262" s="58"/>
      <c r="L12262" s="91"/>
      <c r="M12262" s="78"/>
    </row>
    <row r="12263">
      <c r="C12263" s="85"/>
      <c r="D12263" s="25"/>
      <c r="E12263" s="77"/>
      <c r="F12263" s="88"/>
      <c r="G12263" s="88"/>
      <c r="H12263" s="89"/>
      <c r="K12263" s="58"/>
      <c r="L12263" s="91"/>
      <c r="M12263" s="78"/>
    </row>
    <row r="12264">
      <c r="C12264" s="85"/>
      <c r="D12264" s="25"/>
      <c r="E12264" s="77"/>
      <c r="F12264" s="88"/>
      <c r="G12264" s="88"/>
      <c r="H12264" s="89"/>
      <c r="K12264" s="58"/>
      <c r="L12264" s="91"/>
      <c r="M12264" s="78"/>
    </row>
    <row r="12265">
      <c r="C12265" s="85"/>
      <c r="D12265" s="25"/>
      <c r="E12265" s="77"/>
      <c r="F12265" s="88"/>
      <c r="G12265" s="88"/>
      <c r="H12265" s="89"/>
      <c r="K12265" s="58"/>
      <c r="L12265" s="91"/>
      <c r="M12265" s="78"/>
    </row>
    <row r="12266">
      <c r="C12266" s="85"/>
      <c r="D12266" s="25"/>
      <c r="E12266" s="77"/>
      <c r="F12266" s="88"/>
      <c r="G12266" s="88"/>
      <c r="H12266" s="89"/>
      <c r="K12266" s="58"/>
      <c r="L12266" s="91"/>
      <c r="M12266" s="78"/>
    </row>
    <row r="12267">
      <c r="C12267" s="85"/>
      <c r="D12267" s="25"/>
      <c r="E12267" s="77"/>
      <c r="F12267" s="88"/>
      <c r="G12267" s="88"/>
      <c r="H12267" s="89"/>
      <c r="K12267" s="58"/>
      <c r="L12267" s="91"/>
      <c r="M12267" s="78"/>
    </row>
    <row r="12268">
      <c r="C12268" s="85"/>
      <c r="D12268" s="25"/>
      <c r="E12268" s="77"/>
      <c r="F12268" s="88"/>
      <c r="G12268" s="88"/>
      <c r="H12268" s="89"/>
      <c r="K12268" s="58"/>
      <c r="L12268" s="91"/>
      <c r="M12268" s="78"/>
    </row>
    <row r="12269">
      <c r="C12269" s="85"/>
      <c r="D12269" s="25"/>
      <c r="E12269" s="77"/>
      <c r="F12269" s="88"/>
      <c r="G12269" s="88"/>
      <c r="H12269" s="89"/>
      <c r="K12269" s="58"/>
      <c r="L12269" s="91"/>
      <c r="M12269" s="78"/>
    </row>
    <row r="12270">
      <c r="C12270" s="85"/>
      <c r="D12270" s="25"/>
      <c r="E12270" s="77"/>
      <c r="F12270" s="88"/>
      <c r="G12270" s="88"/>
      <c r="H12270" s="89"/>
      <c r="K12270" s="58"/>
      <c r="L12270" s="91"/>
      <c r="M12270" s="78"/>
    </row>
    <row r="12271">
      <c r="C12271" s="85"/>
      <c r="D12271" s="25"/>
      <c r="E12271" s="77"/>
      <c r="F12271" s="88"/>
      <c r="G12271" s="88"/>
      <c r="H12271" s="89"/>
      <c r="K12271" s="58"/>
      <c r="L12271" s="91"/>
      <c r="M12271" s="78"/>
    </row>
    <row r="12272">
      <c r="C12272" s="85"/>
      <c r="D12272" s="25"/>
      <c r="E12272" s="77"/>
      <c r="F12272" s="88"/>
      <c r="G12272" s="88"/>
      <c r="H12272" s="89"/>
      <c r="K12272" s="58"/>
      <c r="L12272" s="91"/>
      <c r="M12272" s="78"/>
    </row>
    <row r="12273">
      <c r="C12273" s="85"/>
      <c r="D12273" s="25"/>
      <c r="E12273" s="77"/>
      <c r="F12273" s="88"/>
      <c r="G12273" s="88"/>
      <c r="H12273" s="89"/>
      <c r="K12273" s="58"/>
      <c r="L12273" s="91"/>
      <c r="M12273" s="78"/>
    </row>
    <row r="12274">
      <c r="C12274" s="85"/>
      <c r="D12274" s="25"/>
      <c r="E12274" s="77"/>
      <c r="F12274" s="88"/>
      <c r="G12274" s="88"/>
      <c r="H12274" s="89"/>
      <c r="K12274" s="58"/>
      <c r="L12274" s="91"/>
      <c r="M12274" s="78"/>
    </row>
    <row r="12275">
      <c r="C12275" s="85"/>
      <c r="D12275" s="25"/>
      <c r="E12275" s="77"/>
      <c r="F12275" s="88"/>
      <c r="G12275" s="88"/>
      <c r="H12275" s="89"/>
      <c r="K12275" s="58"/>
      <c r="L12275" s="91"/>
      <c r="M12275" s="78"/>
    </row>
    <row r="12276">
      <c r="C12276" s="85"/>
      <c r="D12276" s="25"/>
      <c r="E12276" s="77"/>
      <c r="F12276" s="88"/>
      <c r="G12276" s="88"/>
      <c r="H12276" s="89"/>
      <c r="K12276" s="58"/>
      <c r="L12276" s="91"/>
      <c r="M12276" s="78"/>
    </row>
    <row r="12277">
      <c r="C12277" s="85"/>
      <c r="D12277" s="25"/>
      <c r="E12277" s="77"/>
      <c r="F12277" s="88"/>
      <c r="G12277" s="88"/>
      <c r="H12277" s="89"/>
      <c r="K12277" s="58"/>
      <c r="L12277" s="91"/>
      <c r="M12277" s="78"/>
    </row>
    <row r="12278">
      <c r="C12278" s="85"/>
      <c r="D12278" s="25"/>
      <c r="E12278" s="77"/>
      <c r="F12278" s="88"/>
      <c r="G12278" s="88"/>
      <c r="H12278" s="89"/>
      <c r="K12278" s="58"/>
      <c r="L12278" s="91"/>
      <c r="M12278" s="78"/>
    </row>
    <row r="12279">
      <c r="C12279" s="85"/>
      <c r="D12279" s="25"/>
      <c r="E12279" s="77"/>
      <c r="F12279" s="88"/>
      <c r="G12279" s="88"/>
      <c r="H12279" s="89"/>
      <c r="K12279" s="58"/>
      <c r="L12279" s="91"/>
      <c r="M12279" s="78"/>
    </row>
    <row r="12280">
      <c r="C12280" s="85"/>
      <c r="D12280" s="25"/>
      <c r="E12280" s="77"/>
      <c r="F12280" s="88"/>
      <c r="G12280" s="88"/>
      <c r="H12280" s="89"/>
      <c r="K12280" s="58"/>
      <c r="L12280" s="91"/>
      <c r="M12280" s="78"/>
    </row>
    <row r="12281">
      <c r="C12281" s="85"/>
      <c r="D12281" s="25"/>
      <c r="E12281" s="77"/>
      <c r="F12281" s="88"/>
      <c r="G12281" s="88"/>
      <c r="H12281" s="89"/>
      <c r="K12281" s="58"/>
      <c r="L12281" s="91"/>
      <c r="M12281" s="78"/>
    </row>
    <row r="12282">
      <c r="C12282" s="85"/>
      <c r="D12282" s="25"/>
      <c r="E12282" s="77"/>
      <c r="F12282" s="88"/>
      <c r="G12282" s="88"/>
      <c r="H12282" s="89"/>
      <c r="K12282" s="58"/>
      <c r="L12282" s="91"/>
      <c r="M12282" s="78"/>
    </row>
    <row r="12283">
      <c r="C12283" s="85"/>
      <c r="D12283" s="25"/>
      <c r="E12283" s="77"/>
      <c r="F12283" s="88"/>
      <c r="G12283" s="88"/>
      <c r="H12283" s="89"/>
      <c r="K12283" s="58"/>
      <c r="L12283" s="91"/>
      <c r="M12283" s="78"/>
    </row>
    <row r="12284">
      <c r="C12284" s="85"/>
      <c r="D12284" s="25"/>
      <c r="E12284" s="77"/>
      <c r="F12284" s="88"/>
      <c r="G12284" s="88"/>
      <c r="H12284" s="89"/>
      <c r="K12284" s="58"/>
      <c r="L12284" s="91"/>
      <c r="M12284" s="78"/>
    </row>
    <row r="12285">
      <c r="C12285" s="85"/>
      <c r="D12285" s="25"/>
      <c r="E12285" s="77"/>
      <c r="F12285" s="88"/>
      <c r="G12285" s="88"/>
      <c r="H12285" s="89"/>
      <c r="K12285" s="58"/>
      <c r="L12285" s="91"/>
      <c r="M12285" s="78"/>
    </row>
    <row r="12286">
      <c r="C12286" s="85"/>
      <c r="D12286" s="25"/>
      <c r="E12286" s="77"/>
      <c r="F12286" s="88"/>
      <c r="G12286" s="88"/>
      <c r="H12286" s="89"/>
      <c r="K12286" s="58"/>
      <c r="L12286" s="91"/>
      <c r="M12286" s="78"/>
    </row>
    <row r="12287">
      <c r="C12287" s="85"/>
      <c r="D12287" s="25"/>
      <c r="E12287" s="77"/>
      <c r="F12287" s="88"/>
      <c r="G12287" s="88"/>
      <c r="H12287" s="89"/>
      <c r="K12287" s="58"/>
      <c r="L12287" s="91"/>
      <c r="M12287" s="78"/>
    </row>
    <row r="12288">
      <c r="C12288" s="85"/>
      <c r="D12288" s="25"/>
      <c r="E12288" s="77"/>
      <c r="F12288" s="88"/>
      <c r="G12288" s="88"/>
      <c r="H12288" s="89"/>
      <c r="K12288" s="58"/>
      <c r="L12288" s="91"/>
      <c r="M12288" s="78"/>
    </row>
    <row r="12289">
      <c r="C12289" s="85"/>
      <c r="D12289" s="25"/>
      <c r="E12289" s="77"/>
      <c r="F12289" s="88"/>
      <c r="G12289" s="88"/>
      <c r="H12289" s="89"/>
      <c r="K12289" s="58"/>
      <c r="L12289" s="91"/>
      <c r="M12289" s="78"/>
    </row>
    <row r="12290">
      <c r="C12290" s="85"/>
      <c r="D12290" s="25"/>
      <c r="E12290" s="77"/>
      <c r="F12290" s="88"/>
      <c r="G12290" s="88"/>
      <c r="H12290" s="89"/>
      <c r="K12290" s="58"/>
      <c r="L12290" s="91"/>
      <c r="M12290" s="78"/>
    </row>
    <row r="12291">
      <c r="C12291" s="85"/>
      <c r="D12291" s="25"/>
      <c r="E12291" s="77"/>
      <c r="F12291" s="88"/>
      <c r="G12291" s="88"/>
      <c r="H12291" s="89"/>
      <c r="K12291" s="58"/>
      <c r="L12291" s="91"/>
      <c r="M12291" s="78"/>
    </row>
    <row r="12292">
      <c r="C12292" s="85"/>
      <c r="D12292" s="25"/>
      <c r="E12292" s="77"/>
      <c r="F12292" s="88"/>
      <c r="G12292" s="88"/>
      <c r="H12292" s="89"/>
      <c r="K12292" s="58"/>
      <c r="L12292" s="91"/>
      <c r="M12292" s="78"/>
    </row>
    <row r="12293">
      <c r="C12293" s="85"/>
      <c r="D12293" s="25"/>
      <c r="E12293" s="77"/>
      <c r="F12293" s="88"/>
      <c r="G12293" s="88"/>
      <c r="H12293" s="89"/>
      <c r="K12293" s="58"/>
      <c r="L12293" s="91"/>
      <c r="M12293" s="78"/>
    </row>
    <row r="12294">
      <c r="C12294" s="85"/>
      <c r="D12294" s="25"/>
      <c r="E12294" s="77"/>
      <c r="F12294" s="88"/>
      <c r="G12294" s="88"/>
      <c r="H12294" s="89"/>
      <c r="K12294" s="58"/>
      <c r="L12294" s="91"/>
      <c r="M12294" s="78"/>
    </row>
    <row r="12295">
      <c r="C12295" s="85"/>
      <c r="D12295" s="25"/>
      <c r="E12295" s="77"/>
      <c r="F12295" s="88"/>
      <c r="G12295" s="88"/>
      <c r="H12295" s="89"/>
      <c r="K12295" s="58"/>
      <c r="L12295" s="91"/>
      <c r="M12295" s="78"/>
    </row>
    <row r="12296">
      <c r="C12296" s="85"/>
      <c r="D12296" s="25"/>
      <c r="E12296" s="77"/>
      <c r="F12296" s="88"/>
      <c r="G12296" s="88"/>
      <c r="H12296" s="89"/>
      <c r="K12296" s="58"/>
      <c r="L12296" s="91"/>
      <c r="M12296" s="78"/>
    </row>
    <row r="12297">
      <c r="C12297" s="85"/>
      <c r="D12297" s="25"/>
      <c r="E12297" s="77"/>
      <c r="F12297" s="88"/>
      <c r="G12297" s="88"/>
      <c r="H12297" s="89"/>
      <c r="K12297" s="58"/>
      <c r="L12297" s="91"/>
      <c r="M12297" s="78"/>
    </row>
    <row r="12298">
      <c r="C12298" s="85"/>
      <c r="D12298" s="25"/>
      <c r="E12298" s="77"/>
      <c r="F12298" s="88"/>
      <c r="G12298" s="88"/>
      <c r="H12298" s="89"/>
      <c r="K12298" s="58"/>
      <c r="L12298" s="91"/>
      <c r="M12298" s="78"/>
    </row>
    <row r="12299">
      <c r="C12299" s="85"/>
      <c r="D12299" s="25"/>
      <c r="E12299" s="77"/>
      <c r="F12299" s="88"/>
      <c r="G12299" s="88"/>
      <c r="H12299" s="89"/>
      <c r="K12299" s="58"/>
      <c r="L12299" s="91"/>
      <c r="M12299" s="78"/>
    </row>
    <row r="12300">
      <c r="C12300" s="85"/>
      <c r="D12300" s="25"/>
      <c r="E12300" s="77"/>
      <c r="F12300" s="88"/>
      <c r="G12300" s="88"/>
      <c r="H12300" s="89"/>
      <c r="K12300" s="58"/>
      <c r="L12300" s="91"/>
      <c r="M12300" s="78"/>
    </row>
    <row r="12301">
      <c r="C12301" s="85"/>
      <c r="D12301" s="25"/>
      <c r="E12301" s="77"/>
      <c r="F12301" s="88"/>
      <c r="G12301" s="88"/>
      <c r="H12301" s="89"/>
      <c r="K12301" s="58"/>
      <c r="L12301" s="91"/>
      <c r="M12301" s="78"/>
    </row>
    <row r="12302">
      <c r="C12302" s="85"/>
      <c r="D12302" s="25"/>
      <c r="E12302" s="77"/>
      <c r="F12302" s="88"/>
      <c r="G12302" s="88"/>
      <c r="H12302" s="89"/>
      <c r="K12302" s="58"/>
      <c r="L12302" s="91"/>
      <c r="M12302" s="78"/>
    </row>
    <row r="12303">
      <c r="C12303" s="85"/>
      <c r="D12303" s="25"/>
      <c r="E12303" s="77"/>
      <c r="F12303" s="88"/>
      <c r="G12303" s="88"/>
      <c r="H12303" s="89"/>
      <c r="K12303" s="58"/>
      <c r="L12303" s="91"/>
      <c r="M12303" s="78"/>
    </row>
    <row r="12304">
      <c r="C12304" s="85"/>
      <c r="D12304" s="25"/>
      <c r="E12304" s="77"/>
      <c r="F12304" s="88"/>
      <c r="G12304" s="88"/>
      <c r="H12304" s="89"/>
      <c r="K12304" s="58"/>
      <c r="L12304" s="91"/>
      <c r="M12304" s="78"/>
    </row>
    <row r="12305">
      <c r="C12305" s="85"/>
      <c r="D12305" s="25"/>
      <c r="E12305" s="77"/>
      <c r="F12305" s="88"/>
      <c r="G12305" s="88"/>
      <c r="H12305" s="89"/>
      <c r="K12305" s="58"/>
      <c r="L12305" s="91"/>
      <c r="M12305" s="78"/>
    </row>
    <row r="12306">
      <c r="C12306" s="85"/>
      <c r="D12306" s="25"/>
      <c r="E12306" s="77"/>
      <c r="F12306" s="88"/>
      <c r="G12306" s="88"/>
      <c r="H12306" s="89"/>
      <c r="K12306" s="58"/>
      <c r="L12306" s="91"/>
      <c r="M12306" s="78"/>
    </row>
    <row r="12307">
      <c r="C12307" s="85"/>
      <c r="D12307" s="25"/>
      <c r="E12307" s="77"/>
      <c r="F12307" s="88"/>
      <c r="G12307" s="88"/>
      <c r="H12307" s="89"/>
      <c r="K12307" s="58"/>
      <c r="L12307" s="91"/>
      <c r="M12307" s="78"/>
    </row>
    <row r="12308">
      <c r="C12308" s="85"/>
      <c r="D12308" s="25"/>
      <c r="E12308" s="77"/>
      <c r="F12308" s="88"/>
      <c r="G12308" s="88"/>
      <c r="H12308" s="89"/>
      <c r="K12308" s="58"/>
      <c r="L12308" s="91"/>
      <c r="M12308" s="78"/>
    </row>
    <row r="12309">
      <c r="C12309" s="85"/>
      <c r="D12309" s="25"/>
      <c r="E12309" s="77"/>
      <c r="F12309" s="88"/>
      <c r="G12309" s="88"/>
      <c r="H12309" s="89"/>
      <c r="K12309" s="58"/>
      <c r="L12309" s="91"/>
      <c r="M12309" s="78"/>
    </row>
    <row r="12310">
      <c r="C12310" s="85"/>
      <c r="D12310" s="25"/>
      <c r="E12310" s="77"/>
      <c r="F12310" s="88"/>
      <c r="G12310" s="88"/>
      <c r="H12310" s="89"/>
      <c r="K12310" s="58"/>
      <c r="L12310" s="91"/>
      <c r="M12310" s="78"/>
    </row>
    <row r="12311">
      <c r="C12311" s="85"/>
      <c r="D12311" s="25"/>
      <c r="E12311" s="77"/>
      <c r="F12311" s="88"/>
      <c r="G12311" s="88"/>
      <c r="H12311" s="89"/>
      <c r="K12311" s="58"/>
      <c r="L12311" s="91"/>
      <c r="M12311" s="78"/>
    </row>
    <row r="12312">
      <c r="C12312" s="85"/>
      <c r="D12312" s="25"/>
      <c r="E12312" s="77"/>
      <c r="F12312" s="88"/>
      <c r="G12312" s="88"/>
      <c r="H12312" s="89"/>
      <c r="K12312" s="58"/>
      <c r="L12312" s="91"/>
      <c r="M12312" s="78"/>
    </row>
    <row r="12313">
      <c r="C12313" s="85"/>
      <c r="D12313" s="25"/>
      <c r="E12313" s="77"/>
      <c r="F12313" s="88"/>
      <c r="G12313" s="88"/>
      <c r="H12313" s="89"/>
      <c r="K12313" s="58"/>
      <c r="L12313" s="91"/>
      <c r="M12313" s="78"/>
    </row>
    <row r="12314">
      <c r="C12314" s="85"/>
      <c r="D12314" s="25"/>
      <c r="E12314" s="77"/>
      <c r="F12314" s="88"/>
      <c r="G12314" s="88"/>
      <c r="H12314" s="89"/>
      <c r="K12314" s="58"/>
      <c r="L12314" s="91"/>
      <c r="M12314" s="78"/>
    </row>
    <row r="12315">
      <c r="C12315" s="85"/>
      <c r="D12315" s="25"/>
      <c r="E12315" s="77"/>
      <c r="F12315" s="88"/>
      <c r="G12315" s="88"/>
      <c r="H12315" s="89"/>
      <c r="K12315" s="58"/>
      <c r="L12315" s="91"/>
      <c r="M12315" s="78"/>
    </row>
    <row r="12316">
      <c r="C12316" s="85"/>
      <c r="D12316" s="25"/>
      <c r="E12316" s="77"/>
      <c r="F12316" s="88"/>
      <c r="G12316" s="88"/>
      <c r="H12316" s="89"/>
      <c r="K12316" s="58"/>
      <c r="L12316" s="91"/>
      <c r="M12316" s="78"/>
    </row>
    <row r="12317">
      <c r="C12317" s="85"/>
      <c r="D12317" s="25"/>
      <c r="E12317" s="77"/>
      <c r="F12317" s="88"/>
      <c r="G12317" s="88"/>
      <c r="H12317" s="89"/>
      <c r="K12317" s="58"/>
      <c r="L12317" s="91"/>
      <c r="M12317" s="78"/>
    </row>
    <row r="12318">
      <c r="C12318" s="85"/>
      <c r="D12318" s="25"/>
      <c r="E12318" s="77"/>
      <c r="F12318" s="88"/>
      <c r="G12318" s="88"/>
      <c r="H12318" s="89"/>
      <c r="K12318" s="58"/>
      <c r="L12318" s="91"/>
      <c r="M12318" s="78"/>
    </row>
    <row r="12319">
      <c r="C12319" s="85"/>
      <c r="D12319" s="25"/>
      <c r="E12319" s="77"/>
      <c r="F12319" s="88"/>
      <c r="G12319" s="88"/>
      <c r="H12319" s="89"/>
      <c r="K12319" s="58"/>
      <c r="L12319" s="91"/>
      <c r="M12319" s="78"/>
    </row>
    <row r="12320">
      <c r="C12320" s="85"/>
      <c r="D12320" s="25"/>
      <c r="E12320" s="77"/>
      <c r="F12320" s="88"/>
      <c r="G12320" s="88"/>
      <c r="H12320" s="89"/>
      <c r="K12320" s="58"/>
      <c r="L12320" s="91"/>
      <c r="M12320" s="78"/>
    </row>
    <row r="12321">
      <c r="C12321" s="85"/>
      <c r="D12321" s="25"/>
      <c r="E12321" s="77"/>
      <c r="F12321" s="88"/>
      <c r="G12321" s="88"/>
      <c r="H12321" s="89"/>
      <c r="K12321" s="58"/>
      <c r="L12321" s="91"/>
      <c r="M12321" s="78"/>
    </row>
    <row r="12322">
      <c r="C12322" s="85"/>
      <c r="D12322" s="25"/>
      <c r="E12322" s="77"/>
      <c r="F12322" s="88"/>
      <c r="G12322" s="88"/>
      <c r="H12322" s="89"/>
      <c r="K12322" s="58"/>
      <c r="L12322" s="91"/>
      <c r="M12322" s="78"/>
    </row>
    <row r="12323">
      <c r="C12323" s="85"/>
      <c r="D12323" s="25"/>
      <c r="E12323" s="77"/>
      <c r="F12323" s="88"/>
      <c r="G12323" s="88"/>
      <c r="H12323" s="89"/>
      <c r="K12323" s="58"/>
      <c r="L12323" s="91"/>
      <c r="M12323" s="78"/>
    </row>
    <row r="12324">
      <c r="C12324" s="85"/>
      <c r="D12324" s="25"/>
      <c r="E12324" s="77"/>
      <c r="F12324" s="88"/>
      <c r="G12324" s="88"/>
      <c r="H12324" s="89"/>
      <c r="K12324" s="58"/>
      <c r="L12324" s="91"/>
      <c r="M12324" s="78"/>
    </row>
    <row r="12325">
      <c r="C12325" s="85"/>
      <c r="D12325" s="25"/>
      <c r="E12325" s="77"/>
      <c r="F12325" s="88"/>
      <c r="G12325" s="88"/>
      <c r="H12325" s="89"/>
      <c r="K12325" s="58"/>
      <c r="L12325" s="91"/>
      <c r="M12325" s="78"/>
    </row>
    <row r="12326">
      <c r="C12326" s="85"/>
      <c r="D12326" s="25"/>
      <c r="E12326" s="77"/>
      <c r="F12326" s="88"/>
      <c r="G12326" s="88"/>
      <c r="H12326" s="89"/>
      <c r="K12326" s="58"/>
      <c r="L12326" s="91"/>
      <c r="M12326" s="78"/>
    </row>
    <row r="12327">
      <c r="C12327" s="85"/>
      <c r="D12327" s="25"/>
      <c r="E12327" s="77"/>
      <c r="F12327" s="88"/>
      <c r="G12327" s="88"/>
      <c r="H12327" s="89"/>
      <c r="K12327" s="58"/>
      <c r="L12327" s="91"/>
      <c r="M12327" s="78"/>
    </row>
    <row r="12328">
      <c r="C12328" s="85"/>
      <c r="D12328" s="25"/>
      <c r="E12328" s="77"/>
      <c r="F12328" s="88"/>
      <c r="G12328" s="88"/>
      <c r="H12328" s="89"/>
      <c r="K12328" s="58"/>
      <c r="L12328" s="91"/>
      <c r="M12328" s="78"/>
    </row>
    <row r="12329">
      <c r="C12329" s="85"/>
      <c r="D12329" s="25"/>
      <c r="E12329" s="77"/>
      <c r="F12329" s="88"/>
      <c r="G12329" s="88"/>
      <c r="H12329" s="89"/>
      <c r="K12329" s="58"/>
      <c r="L12329" s="91"/>
      <c r="M12329" s="78"/>
    </row>
    <row r="12330">
      <c r="C12330" s="85"/>
      <c r="D12330" s="25"/>
      <c r="E12330" s="77"/>
      <c r="F12330" s="88"/>
      <c r="G12330" s="88"/>
      <c r="H12330" s="89"/>
      <c r="K12330" s="58"/>
      <c r="L12330" s="91"/>
      <c r="M12330" s="78"/>
    </row>
    <row r="12331">
      <c r="C12331" s="85"/>
      <c r="D12331" s="25"/>
      <c r="E12331" s="77"/>
      <c r="F12331" s="88"/>
      <c r="G12331" s="88"/>
      <c r="H12331" s="89"/>
      <c r="K12331" s="58"/>
      <c r="L12331" s="91"/>
      <c r="M12331" s="78"/>
    </row>
    <row r="12332">
      <c r="C12332" s="85"/>
      <c r="D12332" s="25"/>
      <c r="E12332" s="77"/>
      <c r="F12332" s="88"/>
      <c r="G12332" s="88"/>
      <c r="H12332" s="89"/>
      <c r="K12332" s="58"/>
      <c r="L12332" s="91"/>
      <c r="M12332" s="78"/>
    </row>
    <row r="12333">
      <c r="C12333" s="85"/>
      <c r="D12333" s="25"/>
      <c r="E12333" s="77"/>
      <c r="F12333" s="88"/>
      <c r="G12333" s="88"/>
      <c r="H12333" s="89"/>
      <c r="K12333" s="58"/>
      <c r="L12333" s="91"/>
      <c r="M12333" s="78"/>
    </row>
    <row r="12334">
      <c r="C12334" s="85"/>
      <c r="D12334" s="25"/>
      <c r="E12334" s="77"/>
      <c r="F12334" s="88"/>
      <c r="G12334" s="88"/>
      <c r="H12334" s="89"/>
      <c r="K12334" s="58"/>
      <c r="L12334" s="91"/>
      <c r="M12334" s="78"/>
    </row>
    <row r="12335">
      <c r="C12335" s="85"/>
      <c r="D12335" s="25"/>
      <c r="E12335" s="77"/>
      <c r="F12335" s="88"/>
      <c r="G12335" s="88"/>
      <c r="H12335" s="89"/>
      <c r="K12335" s="58"/>
      <c r="L12335" s="91"/>
      <c r="M12335" s="78"/>
    </row>
    <row r="12336">
      <c r="C12336" s="85"/>
      <c r="D12336" s="25"/>
      <c r="E12336" s="77"/>
      <c r="F12336" s="88"/>
      <c r="G12336" s="88"/>
      <c r="H12336" s="89"/>
      <c r="K12336" s="58"/>
      <c r="L12336" s="91"/>
      <c r="M12336" s="78"/>
    </row>
    <row r="12337">
      <c r="C12337" s="85"/>
      <c r="D12337" s="25"/>
      <c r="E12337" s="77"/>
      <c r="F12337" s="88"/>
      <c r="G12337" s="88"/>
      <c r="H12337" s="89"/>
      <c r="K12337" s="58"/>
      <c r="L12337" s="91"/>
      <c r="M12337" s="78"/>
    </row>
    <row r="12338">
      <c r="C12338" s="85"/>
      <c r="D12338" s="25"/>
      <c r="E12338" s="77"/>
      <c r="F12338" s="88"/>
      <c r="G12338" s="88"/>
      <c r="H12338" s="89"/>
      <c r="K12338" s="58"/>
      <c r="L12338" s="91"/>
      <c r="M12338" s="78"/>
    </row>
    <row r="12339">
      <c r="C12339" s="85"/>
      <c r="D12339" s="25"/>
      <c r="E12339" s="77"/>
      <c r="F12339" s="88"/>
      <c r="G12339" s="88"/>
      <c r="H12339" s="89"/>
      <c r="K12339" s="58"/>
      <c r="L12339" s="91"/>
      <c r="M12339" s="78"/>
    </row>
    <row r="12340">
      <c r="C12340" s="85"/>
      <c r="D12340" s="25"/>
      <c r="E12340" s="77"/>
      <c r="F12340" s="88"/>
      <c r="G12340" s="88"/>
      <c r="H12340" s="89"/>
      <c r="K12340" s="58"/>
      <c r="L12340" s="91"/>
      <c r="M12340" s="78"/>
    </row>
    <row r="12341">
      <c r="C12341" s="85"/>
      <c r="D12341" s="25"/>
      <c r="E12341" s="77"/>
      <c r="F12341" s="88"/>
      <c r="G12341" s="88"/>
      <c r="H12341" s="89"/>
      <c r="K12341" s="58"/>
      <c r="L12341" s="91"/>
      <c r="M12341" s="78"/>
    </row>
    <row r="12342">
      <c r="C12342" s="85"/>
      <c r="D12342" s="25"/>
      <c r="E12342" s="77"/>
      <c r="F12342" s="88"/>
      <c r="G12342" s="88"/>
      <c r="H12342" s="89"/>
      <c r="K12342" s="58"/>
      <c r="L12342" s="91"/>
      <c r="M12342" s="78"/>
    </row>
    <row r="12343">
      <c r="C12343" s="85"/>
      <c r="D12343" s="25"/>
      <c r="E12343" s="77"/>
      <c r="F12343" s="88"/>
      <c r="G12343" s="88"/>
      <c r="H12343" s="89"/>
      <c r="K12343" s="58"/>
      <c r="L12343" s="91"/>
      <c r="M12343" s="78"/>
    </row>
    <row r="12344">
      <c r="C12344" s="85"/>
      <c r="D12344" s="25"/>
      <c r="E12344" s="77"/>
      <c r="F12344" s="88"/>
      <c r="G12344" s="88"/>
      <c r="H12344" s="89"/>
      <c r="K12344" s="58"/>
      <c r="L12344" s="91"/>
      <c r="M12344" s="78"/>
    </row>
    <row r="12345">
      <c r="C12345" s="85"/>
      <c r="D12345" s="25"/>
      <c r="E12345" s="77"/>
      <c r="F12345" s="88"/>
      <c r="G12345" s="88"/>
      <c r="H12345" s="89"/>
      <c r="K12345" s="58"/>
      <c r="L12345" s="91"/>
      <c r="M12345" s="78"/>
    </row>
    <row r="12346">
      <c r="C12346" s="85"/>
      <c r="D12346" s="25"/>
      <c r="E12346" s="77"/>
      <c r="F12346" s="88"/>
      <c r="G12346" s="88"/>
      <c r="H12346" s="89"/>
      <c r="K12346" s="58"/>
      <c r="L12346" s="91"/>
      <c r="M12346" s="78"/>
    </row>
    <row r="12347">
      <c r="C12347" s="85"/>
      <c r="D12347" s="25"/>
      <c r="E12347" s="77"/>
      <c r="F12347" s="88"/>
      <c r="G12347" s="88"/>
      <c r="H12347" s="89"/>
      <c r="K12347" s="58"/>
      <c r="L12347" s="91"/>
      <c r="M12347" s="78"/>
    </row>
    <row r="12348">
      <c r="C12348" s="85"/>
      <c r="D12348" s="25"/>
      <c r="E12348" s="77"/>
      <c r="F12348" s="88"/>
      <c r="G12348" s="88"/>
      <c r="H12348" s="89"/>
      <c r="K12348" s="58"/>
      <c r="L12348" s="91"/>
      <c r="M12348" s="78"/>
    </row>
    <row r="12349">
      <c r="C12349" s="85"/>
      <c r="D12349" s="25"/>
      <c r="E12349" s="77"/>
      <c r="F12349" s="88"/>
      <c r="G12349" s="88"/>
      <c r="H12349" s="89"/>
      <c r="K12349" s="58"/>
      <c r="L12349" s="91"/>
      <c r="M12349" s="78"/>
    </row>
    <row r="12350">
      <c r="C12350" s="85"/>
      <c r="D12350" s="25"/>
      <c r="E12350" s="77"/>
      <c r="F12350" s="88"/>
      <c r="G12350" s="88"/>
      <c r="H12350" s="89"/>
      <c r="K12350" s="58"/>
      <c r="L12350" s="91"/>
      <c r="M12350" s="78"/>
    </row>
    <row r="12351">
      <c r="C12351" s="85"/>
      <c r="D12351" s="25"/>
      <c r="E12351" s="77"/>
      <c r="F12351" s="88"/>
      <c r="G12351" s="88"/>
      <c r="H12351" s="89"/>
      <c r="K12351" s="58"/>
      <c r="L12351" s="91"/>
      <c r="M12351" s="78"/>
    </row>
    <row r="12352">
      <c r="C12352" s="85"/>
      <c r="D12352" s="25"/>
      <c r="E12352" s="77"/>
      <c r="F12352" s="88"/>
      <c r="G12352" s="88"/>
      <c r="H12352" s="89"/>
      <c r="K12352" s="58"/>
      <c r="L12352" s="91"/>
      <c r="M12352" s="78"/>
    </row>
    <row r="12353">
      <c r="C12353" s="85"/>
      <c r="D12353" s="25"/>
      <c r="E12353" s="77"/>
      <c r="F12353" s="88"/>
      <c r="G12353" s="88"/>
      <c r="H12353" s="89"/>
      <c r="K12353" s="58"/>
      <c r="L12353" s="91"/>
      <c r="M12353" s="78"/>
    </row>
    <row r="12354">
      <c r="C12354" s="85"/>
      <c r="D12354" s="25"/>
      <c r="E12354" s="77"/>
      <c r="F12354" s="88"/>
      <c r="G12354" s="88"/>
      <c r="H12354" s="89"/>
      <c r="K12354" s="58"/>
      <c r="L12354" s="91"/>
      <c r="M12354" s="78"/>
    </row>
    <row r="12355">
      <c r="C12355" s="85"/>
      <c r="D12355" s="25"/>
      <c r="E12355" s="77"/>
      <c r="F12355" s="88"/>
      <c r="G12355" s="88"/>
      <c r="H12355" s="89"/>
      <c r="K12355" s="58"/>
      <c r="L12355" s="91"/>
      <c r="M12355" s="78"/>
    </row>
    <row r="12356">
      <c r="C12356" s="85"/>
      <c r="D12356" s="25"/>
      <c r="E12356" s="77"/>
      <c r="F12356" s="88"/>
      <c r="G12356" s="88"/>
      <c r="H12356" s="89"/>
      <c r="K12356" s="58"/>
      <c r="L12356" s="91"/>
      <c r="M12356" s="78"/>
    </row>
    <row r="12357">
      <c r="C12357" s="85"/>
      <c r="D12357" s="25"/>
      <c r="E12357" s="77"/>
      <c r="F12357" s="88"/>
      <c r="G12357" s="88"/>
      <c r="H12357" s="89"/>
      <c r="K12357" s="58"/>
      <c r="L12357" s="91"/>
      <c r="M12357" s="78"/>
    </row>
    <row r="12358">
      <c r="C12358" s="85"/>
      <c r="D12358" s="25"/>
      <c r="E12358" s="77"/>
      <c r="F12358" s="88"/>
      <c r="G12358" s="88"/>
      <c r="H12358" s="89"/>
      <c r="K12358" s="58"/>
      <c r="L12358" s="91"/>
      <c r="M12358" s="78"/>
    </row>
    <row r="12359">
      <c r="C12359" s="85"/>
      <c r="D12359" s="25"/>
      <c r="E12359" s="77"/>
      <c r="F12359" s="88"/>
      <c r="G12359" s="88"/>
      <c r="H12359" s="89"/>
      <c r="K12359" s="58"/>
      <c r="L12359" s="91"/>
      <c r="M12359" s="78"/>
    </row>
    <row r="12360">
      <c r="C12360" s="85"/>
      <c r="D12360" s="25"/>
      <c r="E12360" s="77"/>
      <c r="F12360" s="88"/>
      <c r="G12360" s="88"/>
      <c r="H12360" s="89"/>
      <c r="K12360" s="58"/>
      <c r="L12360" s="91"/>
      <c r="M12360" s="78"/>
    </row>
    <row r="12361">
      <c r="C12361" s="85"/>
      <c r="D12361" s="25"/>
      <c r="E12361" s="77"/>
      <c r="F12361" s="88"/>
      <c r="G12361" s="88"/>
      <c r="H12361" s="89"/>
      <c r="K12361" s="58"/>
      <c r="L12361" s="91"/>
      <c r="M12361" s="78"/>
    </row>
    <row r="12362">
      <c r="C12362" s="85"/>
      <c r="D12362" s="25"/>
      <c r="E12362" s="77"/>
      <c r="F12362" s="88"/>
      <c r="G12362" s="88"/>
      <c r="H12362" s="89"/>
      <c r="K12362" s="58"/>
      <c r="L12362" s="91"/>
      <c r="M12362" s="78"/>
    </row>
    <row r="12363">
      <c r="C12363" s="85"/>
      <c r="D12363" s="25"/>
      <c r="E12363" s="77"/>
      <c r="F12363" s="88"/>
      <c r="G12363" s="88"/>
      <c r="H12363" s="89"/>
      <c r="K12363" s="58"/>
      <c r="L12363" s="91"/>
      <c r="M12363" s="78"/>
    </row>
    <row r="12364">
      <c r="C12364" s="85"/>
      <c r="D12364" s="25"/>
      <c r="E12364" s="77"/>
      <c r="F12364" s="88"/>
      <c r="G12364" s="88"/>
      <c r="H12364" s="89"/>
      <c r="K12364" s="58"/>
      <c r="L12364" s="91"/>
      <c r="M12364" s="78"/>
    </row>
    <row r="12365">
      <c r="C12365" s="85"/>
      <c r="D12365" s="25"/>
      <c r="E12365" s="77"/>
      <c r="F12365" s="88"/>
      <c r="G12365" s="88"/>
      <c r="H12365" s="89"/>
      <c r="K12365" s="58"/>
      <c r="L12365" s="91"/>
      <c r="M12365" s="78"/>
    </row>
    <row r="12366">
      <c r="C12366" s="85"/>
      <c r="D12366" s="25"/>
      <c r="E12366" s="77"/>
      <c r="F12366" s="88"/>
      <c r="G12366" s="88"/>
      <c r="H12366" s="89"/>
      <c r="K12366" s="58"/>
      <c r="L12366" s="91"/>
      <c r="M12366" s="78"/>
    </row>
    <row r="12367">
      <c r="C12367" s="85"/>
      <c r="D12367" s="25"/>
      <c r="E12367" s="77"/>
      <c r="F12367" s="88"/>
      <c r="G12367" s="88"/>
      <c r="H12367" s="89"/>
      <c r="K12367" s="58"/>
      <c r="L12367" s="91"/>
      <c r="M12367" s="78"/>
    </row>
    <row r="12368">
      <c r="C12368" s="85"/>
      <c r="D12368" s="25"/>
      <c r="E12368" s="77"/>
      <c r="F12368" s="88"/>
      <c r="G12368" s="88"/>
      <c r="H12368" s="89"/>
      <c r="K12368" s="58"/>
      <c r="L12368" s="91"/>
      <c r="M12368" s="78"/>
    </row>
    <row r="12369">
      <c r="C12369" s="85"/>
      <c r="D12369" s="25"/>
      <c r="E12369" s="77"/>
      <c r="F12369" s="88"/>
      <c r="G12369" s="88"/>
      <c r="H12369" s="89"/>
      <c r="K12369" s="58"/>
      <c r="L12369" s="91"/>
      <c r="M12369" s="78"/>
    </row>
    <row r="12370">
      <c r="C12370" s="85"/>
      <c r="D12370" s="25"/>
      <c r="E12370" s="77"/>
      <c r="F12370" s="88"/>
      <c r="G12370" s="88"/>
      <c r="H12370" s="89"/>
      <c r="K12370" s="58"/>
      <c r="L12370" s="91"/>
      <c r="M12370" s="78"/>
    </row>
    <row r="12371">
      <c r="C12371" s="85"/>
      <c r="D12371" s="25"/>
      <c r="E12371" s="77"/>
      <c r="F12371" s="88"/>
      <c r="G12371" s="88"/>
      <c r="H12371" s="89"/>
      <c r="K12371" s="58"/>
      <c r="L12371" s="91"/>
      <c r="M12371" s="78"/>
    </row>
    <row r="12372">
      <c r="C12372" s="85"/>
      <c r="D12372" s="25"/>
      <c r="E12372" s="77"/>
      <c r="F12372" s="88"/>
      <c r="G12372" s="88"/>
      <c r="H12372" s="89"/>
      <c r="K12372" s="58"/>
      <c r="L12372" s="91"/>
      <c r="M12372" s="78"/>
    </row>
    <row r="12373">
      <c r="C12373" s="85"/>
      <c r="D12373" s="25"/>
      <c r="E12373" s="77"/>
      <c r="F12373" s="88"/>
      <c r="G12373" s="88"/>
      <c r="H12373" s="89"/>
      <c r="K12373" s="58"/>
      <c r="L12373" s="91"/>
      <c r="M12373" s="78"/>
    </row>
    <row r="12374">
      <c r="C12374" s="85"/>
      <c r="D12374" s="25"/>
      <c r="E12374" s="77"/>
      <c r="F12374" s="88"/>
      <c r="G12374" s="88"/>
      <c r="H12374" s="89"/>
      <c r="K12374" s="58"/>
      <c r="L12374" s="91"/>
      <c r="M12374" s="78"/>
    </row>
    <row r="12375">
      <c r="C12375" s="85"/>
      <c r="D12375" s="25"/>
      <c r="E12375" s="77"/>
      <c r="F12375" s="88"/>
      <c r="G12375" s="88"/>
      <c r="H12375" s="89"/>
      <c r="K12375" s="58"/>
      <c r="L12375" s="91"/>
      <c r="M12375" s="78"/>
    </row>
    <row r="12376">
      <c r="C12376" s="85"/>
      <c r="D12376" s="25"/>
      <c r="E12376" s="77"/>
      <c r="F12376" s="88"/>
      <c r="G12376" s="88"/>
      <c r="H12376" s="89"/>
      <c r="K12376" s="58"/>
      <c r="L12376" s="91"/>
      <c r="M12376" s="78"/>
    </row>
    <row r="12377">
      <c r="C12377" s="85"/>
      <c r="D12377" s="25"/>
      <c r="E12377" s="77"/>
      <c r="F12377" s="88"/>
      <c r="G12377" s="88"/>
      <c r="H12377" s="89"/>
      <c r="K12377" s="58"/>
      <c r="L12377" s="91"/>
      <c r="M12377" s="78"/>
    </row>
    <row r="12378">
      <c r="C12378" s="85"/>
      <c r="D12378" s="25"/>
      <c r="E12378" s="77"/>
      <c r="F12378" s="88"/>
      <c r="G12378" s="88"/>
      <c r="H12378" s="89"/>
      <c r="K12378" s="58"/>
      <c r="L12378" s="91"/>
      <c r="M12378" s="78"/>
    </row>
    <row r="12379">
      <c r="C12379" s="85"/>
      <c r="D12379" s="25"/>
      <c r="E12379" s="77"/>
      <c r="F12379" s="88"/>
      <c r="G12379" s="88"/>
      <c r="H12379" s="89"/>
      <c r="K12379" s="58"/>
      <c r="L12379" s="91"/>
      <c r="M12379" s="78"/>
    </row>
    <row r="12380">
      <c r="C12380" s="85"/>
      <c r="D12380" s="25"/>
      <c r="E12380" s="77"/>
      <c r="F12380" s="88"/>
      <c r="G12380" s="88"/>
      <c r="H12380" s="89"/>
      <c r="K12380" s="58"/>
      <c r="L12380" s="91"/>
      <c r="M12380" s="78"/>
    </row>
    <row r="12381">
      <c r="C12381" s="85"/>
      <c r="D12381" s="25"/>
      <c r="E12381" s="77"/>
      <c r="F12381" s="88"/>
      <c r="G12381" s="88"/>
      <c r="H12381" s="89"/>
      <c r="K12381" s="58"/>
      <c r="L12381" s="91"/>
      <c r="M12381" s="78"/>
    </row>
    <row r="12382">
      <c r="C12382" s="85"/>
      <c r="D12382" s="25"/>
      <c r="E12382" s="77"/>
      <c r="F12382" s="88"/>
      <c r="G12382" s="88"/>
      <c r="H12382" s="89"/>
      <c r="K12382" s="58"/>
      <c r="L12382" s="91"/>
      <c r="M12382" s="78"/>
    </row>
    <row r="12383">
      <c r="C12383" s="85"/>
      <c r="D12383" s="25"/>
      <c r="E12383" s="77"/>
      <c r="F12383" s="88"/>
      <c r="G12383" s="88"/>
      <c r="H12383" s="89"/>
      <c r="K12383" s="58"/>
      <c r="L12383" s="91"/>
      <c r="M12383" s="78"/>
    </row>
    <row r="12384">
      <c r="C12384" s="85"/>
      <c r="D12384" s="25"/>
      <c r="E12384" s="77"/>
      <c r="F12384" s="88"/>
      <c r="G12384" s="88"/>
      <c r="H12384" s="89"/>
      <c r="K12384" s="58"/>
      <c r="L12384" s="91"/>
      <c r="M12384" s="78"/>
    </row>
    <row r="12385">
      <c r="C12385" s="85"/>
      <c r="D12385" s="25"/>
      <c r="E12385" s="77"/>
      <c r="F12385" s="88"/>
      <c r="G12385" s="88"/>
      <c r="H12385" s="89"/>
      <c r="K12385" s="58"/>
      <c r="L12385" s="91"/>
      <c r="M12385" s="78"/>
    </row>
    <row r="12386">
      <c r="C12386" s="85"/>
      <c r="D12386" s="25"/>
      <c r="E12386" s="77"/>
      <c r="F12386" s="88"/>
      <c r="G12386" s="88"/>
      <c r="H12386" s="89"/>
      <c r="K12386" s="58"/>
      <c r="L12386" s="91"/>
      <c r="M12386" s="78"/>
    </row>
    <row r="12387">
      <c r="C12387" s="85"/>
      <c r="D12387" s="25"/>
      <c r="E12387" s="77"/>
      <c r="F12387" s="88"/>
      <c r="G12387" s="88"/>
      <c r="H12387" s="89"/>
      <c r="K12387" s="58"/>
      <c r="L12387" s="91"/>
      <c r="M12387" s="78"/>
    </row>
    <row r="12388">
      <c r="C12388" s="85"/>
      <c r="D12388" s="25"/>
      <c r="E12388" s="77"/>
      <c r="F12388" s="88"/>
      <c r="G12388" s="88"/>
      <c r="H12388" s="89"/>
      <c r="K12388" s="58"/>
      <c r="L12388" s="91"/>
      <c r="M12388" s="78"/>
    </row>
    <row r="12389">
      <c r="C12389" s="85"/>
      <c r="D12389" s="25"/>
      <c r="E12389" s="77"/>
      <c r="F12389" s="88"/>
      <c r="G12389" s="88"/>
      <c r="H12389" s="89"/>
      <c r="K12389" s="58"/>
      <c r="L12389" s="91"/>
      <c r="M12389" s="78"/>
    </row>
    <row r="12390">
      <c r="C12390" s="85"/>
      <c r="D12390" s="25"/>
      <c r="E12390" s="77"/>
      <c r="F12390" s="88"/>
      <c r="G12390" s="88"/>
      <c r="H12390" s="89"/>
      <c r="K12390" s="58"/>
      <c r="L12390" s="91"/>
      <c r="M12390" s="78"/>
    </row>
    <row r="12391">
      <c r="C12391" s="85"/>
      <c r="D12391" s="25"/>
      <c r="E12391" s="77"/>
      <c r="F12391" s="88"/>
      <c r="G12391" s="88"/>
      <c r="H12391" s="89"/>
      <c r="K12391" s="58"/>
      <c r="L12391" s="91"/>
      <c r="M12391" s="78"/>
    </row>
    <row r="12392">
      <c r="C12392" s="85"/>
      <c r="D12392" s="25"/>
      <c r="E12392" s="77"/>
      <c r="F12392" s="88"/>
      <c r="G12392" s="88"/>
      <c r="H12392" s="89"/>
      <c r="K12392" s="58"/>
      <c r="L12392" s="91"/>
      <c r="M12392" s="78"/>
    </row>
    <row r="12393">
      <c r="C12393" s="85"/>
      <c r="D12393" s="25"/>
      <c r="E12393" s="77"/>
      <c r="F12393" s="88"/>
      <c r="G12393" s="88"/>
      <c r="H12393" s="89"/>
      <c r="K12393" s="58"/>
      <c r="L12393" s="91"/>
      <c r="M12393" s="78"/>
    </row>
    <row r="12394">
      <c r="C12394" s="85"/>
      <c r="D12394" s="25"/>
      <c r="E12394" s="77"/>
      <c r="F12394" s="88"/>
      <c r="G12394" s="88"/>
      <c r="H12394" s="89"/>
      <c r="K12394" s="58"/>
      <c r="L12394" s="91"/>
      <c r="M12394" s="78"/>
    </row>
    <row r="12395">
      <c r="C12395" s="85"/>
      <c r="D12395" s="25"/>
      <c r="E12395" s="77"/>
      <c r="F12395" s="88"/>
      <c r="G12395" s="88"/>
      <c r="H12395" s="89"/>
      <c r="K12395" s="58"/>
      <c r="L12395" s="91"/>
      <c r="M12395" s="78"/>
    </row>
    <row r="12396">
      <c r="C12396" s="85"/>
      <c r="D12396" s="25"/>
      <c r="E12396" s="77"/>
      <c r="F12396" s="88"/>
      <c r="G12396" s="88"/>
      <c r="H12396" s="89"/>
      <c r="K12396" s="58"/>
      <c r="L12396" s="91"/>
      <c r="M12396" s="78"/>
    </row>
    <row r="12397">
      <c r="C12397" s="85"/>
      <c r="D12397" s="25"/>
      <c r="E12397" s="77"/>
      <c r="F12397" s="88"/>
      <c r="G12397" s="88"/>
      <c r="H12397" s="89"/>
      <c r="K12397" s="58"/>
      <c r="L12397" s="91"/>
      <c r="M12397" s="78"/>
    </row>
    <row r="12398">
      <c r="C12398" s="85"/>
      <c r="D12398" s="25"/>
      <c r="E12398" s="77"/>
      <c r="F12398" s="88"/>
      <c r="G12398" s="88"/>
      <c r="H12398" s="89"/>
      <c r="K12398" s="58"/>
      <c r="L12398" s="91"/>
      <c r="M12398" s="78"/>
    </row>
    <row r="12399">
      <c r="C12399" s="85"/>
      <c r="D12399" s="25"/>
      <c r="E12399" s="77"/>
      <c r="F12399" s="88"/>
      <c r="G12399" s="88"/>
      <c r="H12399" s="89"/>
      <c r="K12399" s="58"/>
      <c r="L12399" s="91"/>
      <c r="M12399" s="78"/>
    </row>
    <row r="12400">
      <c r="C12400" s="85"/>
      <c r="D12400" s="25"/>
      <c r="E12400" s="77"/>
      <c r="F12400" s="88"/>
      <c r="G12400" s="88"/>
      <c r="H12400" s="89"/>
      <c r="K12400" s="58"/>
      <c r="L12400" s="91"/>
      <c r="M12400" s="78"/>
    </row>
    <row r="12401">
      <c r="C12401" s="85"/>
      <c r="D12401" s="25"/>
      <c r="E12401" s="77"/>
      <c r="F12401" s="88"/>
      <c r="G12401" s="88"/>
      <c r="H12401" s="89"/>
      <c r="K12401" s="58"/>
      <c r="L12401" s="91"/>
      <c r="M12401" s="78"/>
    </row>
    <row r="12402">
      <c r="C12402" s="85"/>
      <c r="D12402" s="25"/>
      <c r="E12402" s="77"/>
      <c r="F12402" s="88"/>
      <c r="G12402" s="88"/>
      <c r="H12402" s="89"/>
      <c r="K12402" s="58"/>
      <c r="L12402" s="91"/>
      <c r="M12402" s="78"/>
    </row>
    <row r="12403">
      <c r="C12403" s="85"/>
      <c r="D12403" s="25"/>
      <c r="E12403" s="77"/>
      <c r="F12403" s="88"/>
      <c r="G12403" s="88"/>
      <c r="H12403" s="89"/>
      <c r="K12403" s="58"/>
      <c r="L12403" s="91"/>
      <c r="M12403" s="78"/>
    </row>
    <row r="12404">
      <c r="C12404" s="85"/>
      <c r="D12404" s="25"/>
      <c r="E12404" s="77"/>
      <c r="F12404" s="88"/>
      <c r="G12404" s="88"/>
      <c r="H12404" s="89"/>
      <c r="K12404" s="58"/>
      <c r="L12404" s="91"/>
      <c r="M12404" s="78"/>
    </row>
    <row r="12405">
      <c r="C12405" s="85"/>
      <c r="D12405" s="25"/>
      <c r="E12405" s="77"/>
      <c r="F12405" s="88"/>
      <c r="G12405" s="88"/>
      <c r="H12405" s="89"/>
      <c r="K12405" s="58"/>
      <c r="L12405" s="91"/>
      <c r="M12405" s="78"/>
    </row>
    <row r="12406">
      <c r="C12406" s="85"/>
      <c r="D12406" s="25"/>
      <c r="E12406" s="77"/>
      <c r="F12406" s="88"/>
      <c r="G12406" s="88"/>
      <c r="H12406" s="89"/>
      <c r="K12406" s="58"/>
      <c r="L12406" s="91"/>
      <c r="M12406" s="78"/>
    </row>
    <row r="12407">
      <c r="C12407" s="85"/>
      <c r="D12407" s="25"/>
      <c r="E12407" s="77"/>
      <c r="F12407" s="88"/>
      <c r="G12407" s="88"/>
      <c r="H12407" s="89"/>
      <c r="K12407" s="58"/>
      <c r="L12407" s="91"/>
      <c r="M12407" s="78"/>
    </row>
    <row r="12408">
      <c r="C12408" s="85"/>
      <c r="D12408" s="25"/>
      <c r="E12408" s="77"/>
      <c r="F12408" s="88"/>
      <c r="G12408" s="88"/>
      <c r="H12408" s="89"/>
      <c r="K12408" s="58"/>
      <c r="L12408" s="91"/>
      <c r="M12408" s="78"/>
    </row>
    <row r="12409">
      <c r="C12409" s="85"/>
      <c r="D12409" s="25"/>
      <c r="E12409" s="77"/>
      <c r="F12409" s="88"/>
      <c r="G12409" s="88"/>
      <c r="H12409" s="89"/>
      <c r="K12409" s="58"/>
      <c r="L12409" s="91"/>
      <c r="M12409" s="78"/>
    </row>
    <row r="12410">
      <c r="C12410" s="85"/>
      <c r="D12410" s="25"/>
      <c r="E12410" s="77"/>
      <c r="F12410" s="88"/>
      <c r="G12410" s="88"/>
      <c r="H12410" s="89"/>
      <c r="K12410" s="58"/>
      <c r="L12410" s="91"/>
      <c r="M12410" s="78"/>
    </row>
    <row r="12411">
      <c r="C12411" s="85"/>
      <c r="D12411" s="25"/>
      <c r="E12411" s="77"/>
      <c r="F12411" s="88"/>
      <c r="G12411" s="88"/>
      <c r="H12411" s="89"/>
      <c r="K12411" s="58"/>
      <c r="L12411" s="91"/>
      <c r="M12411" s="78"/>
    </row>
    <row r="12412">
      <c r="C12412" s="85"/>
      <c r="D12412" s="25"/>
      <c r="E12412" s="77"/>
      <c r="F12412" s="88"/>
      <c r="G12412" s="88"/>
      <c r="H12412" s="89"/>
      <c r="K12412" s="58"/>
      <c r="L12412" s="91"/>
      <c r="M12412" s="78"/>
    </row>
    <row r="12413">
      <c r="C12413" s="85"/>
      <c r="D12413" s="25"/>
      <c r="E12413" s="77"/>
      <c r="F12413" s="88"/>
      <c r="G12413" s="88"/>
      <c r="H12413" s="89"/>
      <c r="K12413" s="58"/>
      <c r="L12413" s="91"/>
      <c r="M12413" s="78"/>
    </row>
    <row r="12414">
      <c r="C12414" s="85"/>
      <c r="D12414" s="25"/>
      <c r="E12414" s="77"/>
      <c r="F12414" s="88"/>
      <c r="G12414" s="88"/>
      <c r="H12414" s="89"/>
      <c r="K12414" s="58"/>
      <c r="L12414" s="91"/>
      <c r="M12414" s="78"/>
    </row>
    <row r="12415">
      <c r="C12415" s="85"/>
      <c r="D12415" s="25"/>
      <c r="E12415" s="77"/>
      <c r="F12415" s="88"/>
      <c r="G12415" s="88"/>
      <c r="H12415" s="89"/>
      <c r="K12415" s="58"/>
      <c r="L12415" s="91"/>
      <c r="M12415" s="78"/>
    </row>
    <row r="12416">
      <c r="C12416" s="85"/>
      <c r="D12416" s="25"/>
      <c r="E12416" s="77"/>
      <c r="F12416" s="88"/>
      <c r="G12416" s="88"/>
      <c r="H12416" s="89"/>
      <c r="K12416" s="58"/>
      <c r="L12416" s="91"/>
      <c r="M12416" s="78"/>
    </row>
    <row r="12417">
      <c r="C12417" s="85"/>
      <c r="D12417" s="25"/>
      <c r="E12417" s="77"/>
      <c r="F12417" s="88"/>
      <c r="G12417" s="88"/>
      <c r="H12417" s="89"/>
      <c r="K12417" s="58"/>
      <c r="L12417" s="91"/>
      <c r="M12417" s="78"/>
    </row>
    <row r="12418">
      <c r="C12418" s="85"/>
      <c r="D12418" s="25"/>
      <c r="E12418" s="77"/>
      <c r="F12418" s="88"/>
      <c r="G12418" s="88"/>
      <c r="H12418" s="89"/>
      <c r="K12418" s="58"/>
      <c r="L12418" s="91"/>
      <c r="M12418" s="78"/>
    </row>
    <row r="12419">
      <c r="C12419" s="85"/>
      <c r="D12419" s="25"/>
      <c r="E12419" s="77"/>
      <c r="F12419" s="88"/>
      <c r="G12419" s="88"/>
      <c r="H12419" s="89"/>
      <c r="K12419" s="58"/>
      <c r="L12419" s="91"/>
      <c r="M12419" s="78"/>
    </row>
    <row r="12420">
      <c r="C12420" s="85"/>
      <c r="D12420" s="25"/>
      <c r="E12420" s="77"/>
      <c r="F12420" s="88"/>
      <c r="G12420" s="88"/>
      <c r="H12420" s="89"/>
      <c r="K12420" s="58"/>
      <c r="L12420" s="91"/>
      <c r="M12420" s="78"/>
    </row>
    <row r="12421">
      <c r="C12421" s="85"/>
      <c r="D12421" s="25"/>
      <c r="E12421" s="77"/>
      <c r="F12421" s="88"/>
      <c r="G12421" s="88"/>
      <c r="H12421" s="89"/>
      <c r="K12421" s="58"/>
      <c r="L12421" s="91"/>
      <c r="M12421" s="78"/>
    </row>
    <row r="12422">
      <c r="C12422" s="85"/>
      <c r="D12422" s="25"/>
      <c r="E12422" s="77"/>
      <c r="F12422" s="88"/>
      <c r="G12422" s="88"/>
      <c r="H12422" s="89"/>
      <c r="K12422" s="58"/>
      <c r="L12422" s="91"/>
      <c r="M12422" s="78"/>
    </row>
    <row r="12423">
      <c r="C12423" s="85"/>
      <c r="D12423" s="25"/>
      <c r="E12423" s="77"/>
      <c r="F12423" s="88"/>
      <c r="G12423" s="88"/>
      <c r="H12423" s="89"/>
      <c r="K12423" s="58"/>
      <c r="L12423" s="91"/>
      <c r="M12423" s="78"/>
    </row>
    <row r="12424">
      <c r="C12424" s="85"/>
      <c r="D12424" s="25"/>
      <c r="E12424" s="77"/>
      <c r="F12424" s="88"/>
      <c r="G12424" s="88"/>
      <c r="H12424" s="89"/>
      <c r="K12424" s="58"/>
      <c r="L12424" s="91"/>
      <c r="M12424" s="78"/>
    </row>
    <row r="12425">
      <c r="C12425" s="85"/>
      <c r="D12425" s="25"/>
      <c r="E12425" s="77"/>
      <c r="F12425" s="88"/>
      <c r="G12425" s="88"/>
      <c r="H12425" s="89"/>
      <c r="K12425" s="58"/>
      <c r="L12425" s="91"/>
      <c r="M12425" s="78"/>
    </row>
    <row r="12426">
      <c r="C12426" s="85"/>
      <c r="D12426" s="25"/>
      <c r="E12426" s="77"/>
      <c r="F12426" s="88"/>
      <c r="G12426" s="88"/>
      <c r="H12426" s="89"/>
      <c r="K12426" s="58"/>
      <c r="L12426" s="91"/>
      <c r="M12426" s="78"/>
    </row>
    <row r="12427">
      <c r="C12427" s="85"/>
      <c r="D12427" s="25"/>
      <c r="E12427" s="77"/>
      <c r="F12427" s="88"/>
      <c r="G12427" s="88"/>
      <c r="H12427" s="89"/>
      <c r="K12427" s="58"/>
      <c r="L12427" s="91"/>
      <c r="M12427" s="78"/>
    </row>
    <row r="12428">
      <c r="C12428" s="85"/>
      <c r="D12428" s="25"/>
      <c r="E12428" s="77"/>
      <c r="F12428" s="88"/>
      <c r="G12428" s="88"/>
      <c r="H12428" s="89"/>
      <c r="K12428" s="58"/>
      <c r="L12428" s="91"/>
      <c r="M12428" s="78"/>
    </row>
    <row r="12429">
      <c r="C12429" s="85"/>
      <c r="D12429" s="25"/>
      <c r="E12429" s="77"/>
      <c r="F12429" s="88"/>
      <c r="G12429" s="88"/>
      <c r="H12429" s="89"/>
      <c r="K12429" s="58"/>
      <c r="L12429" s="91"/>
      <c r="M12429" s="78"/>
    </row>
    <row r="12430">
      <c r="C12430" s="85"/>
      <c r="D12430" s="25"/>
      <c r="E12430" s="77"/>
      <c r="F12430" s="88"/>
      <c r="G12430" s="88"/>
      <c r="H12430" s="89"/>
      <c r="K12430" s="58"/>
      <c r="L12430" s="91"/>
      <c r="M12430" s="78"/>
    </row>
    <row r="12431">
      <c r="C12431" s="85"/>
      <c r="D12431" s="25"/>
      <c r="E12431" s="77"/>
      <c r="F12431" s="88"/>
      <c r="G12431" s="88"/>
      <c r="H12431" s="89"/>
      <c r="K12431" s="58"/>
      <c r="L12431" s="91"/>
      <c r="M12431" s="78"/>
    </row>
    <row r="12432">
      <c r="C12432" s="85"/>
      <c r="D12432" s="25"/>
      <c r="E12432" s="77"/>
      <c r="F12432" s="88"/>
      <c r="G12432" s="88"/>
      <c r="H12432" s="89"/>
      <c r="K12432" s="58"/>
      <c r="L12432" s="91"/>
      <c r="M12432" s="78"/>
    </row>
    <row r="12433">
      <c r="C12433" s="85"/>
      <c r="D12433" s="25"/>
      <c r="E12433" s="77"/>
      <c r="F12433" s="88"/>
      <c r="G12433" s="88"/>
      <c r="H12433" s="89"/>
      <c r="K12433" s="58"/>
      <c r="L12433" s="91"/>
      <c r="M12433" s="78"/>
    </row>
    <row r="12434">
      <c r="C12434" s="85"/>
      <c r="D12434" s="25"/>
      <c r="E12434" s="77"/>
      <c r="F12434" s="88"/>
      <c r="G12434" s="88"/>
      <c r="H12434" s="89"/>
      <c r="K12434" s="58"/>
      <c r="L12434" s="91"/>
      <c r="M12434" s="78"/>
    </row>
    <row r="12435">
      <c r="C12435" s="85"/>
      <c r="D12435" s="25"/>
      <c r="E12435" s="77"/>
      <c r="F12435" s="88"/>
      <c r="G12435" s="88"/>
      <c r="H12435" s="89"/>
      <c r="K12435" s="58"/>
      <c r="L12435" s="91"/>
      <c r="M12435" s="78"/>
    </row>
    <row r="12436">
      <c r="C12436" s="85"/>
      <c r="D12436" s="25"/>
      <c r="E12436" s="77"/>
      <c r="F12436" s="88"/>
      <c r="G12436" s="88"/>
      <c r="H12436" s="89"/>
      <c r="K12436" s="58"/>
      <c r="L12436" s="91"/>
      <c r="M12436" s="78"/>
    </row>
    <row r="12437">
      <c r="C12437" s="85"/>
      <c r="D12437" s="25"/>
      <c r="E12437" s="77"/>
      <c r="F12437" s="88"/>
      <c r="G12437" s="88"/>
      <c r="H12437" s="89"/>
      <c r="K12437" s="58"/>
      <c r="L12437" s="91"/>
      <c r="M12437" s="78"/>
    </row>
    <row r="12438">
      <c r="C12438" s="85"/>
      <c r="D12438" s="25"/>
      <c r="E12438" s="77"/>
      <c r="F12438" s="88"/>
      <c r="G12438" s="88"/>
      <c r="H12438" s="89"/>
      <c r="K12438" s="58"/>
      <c r="L12438" s="91"/>
      <c r="M12438" s="78"/>
    </row>
    <row r="12439">
      <c r="C12439" s="85"/>
      <c r="D12439" s="25"/>
      <c r="E12439" s="77"/>
      <c r="F12439" s="88"/>
      <c r="G12439" s="88"/>
      <c r="H12439" s="89"/>
      <c r="K12439" s="58"/>
      <c r="L12439" s="91"/>
      <c r="M12439" s="78"/>
    </row>
    <row r="12440">
      <c r="C12440" s="85"/>
      <c r="D12440" s="25"/>
      <c r="E12440" s="77"/>
      <c r="F12440" s="88"/>
      <c r="G12440" s="88"/>
      <c r="H12440" s="89"/>
      <c r="K12440" s="58"/>
      <c r="L12440" s="91"/>
      <c r="M12440" s="78"/>
    </row>
    <row r="12441">
      <c r="C12441" s="85"/>
      <c r="D12441" s="25"/>
      <c r="E12441" s="77"/>
      <c r="F12441" s="88"/>
      <c r="G12441" s="88"/>
      <c r="H12441" s="89"/>
      <c r="K12441" s="58"/>
      <c r="L12441" s="91"/>
      <c r="M12441" s="78"/>
    </row>
    <row r="12442">
      <c r="C12442" s="85"/>
      <c r="D12442" s="25"/>
      <c r="E12442" s="77"/>
      <c r="F12442" s="88"/>
      <c r="G12442" s="88"/>
      <c r="H12442" s="89"/>
      <c r="K12442" s="58"/>
      <c r="L12442" s="91"/>
      <c r="M12442" s="78"/>
    </row>
    <row r="12443">
      <c r="C12443" s="85"/>
      <c r="D12443" s="25"/>
      <c r="E12443" s="77"/>
      <c r="F12443" s="88"/>
      <c r="G12443" s="88"/>
      <c r="H12443" s="89"/>
      <c r="K12443" s="58"/>
      <c r="L12443" s="91"/>
      <c r="M12443" s="78"/>
    </row>
    <row r="12444">
      <c r="C12444" s="85"/>
      <c r="D12444" s="25"/>
      <c r="E12444" s="77"/>
      <c r="F12444" s="88"/>
      <c r="G12444" s="88"/>
      <c r="H12444" s="89"/>
      <c r="K12444" s="58"/>
      <c r="L12444" s="91"/>
      <c r="M12444" s="78"/>
    </row>
    <row r="12445">
      <c r="C12445" s="85"/>
      <c r="D12445" s="25"/>
      <c r="E12445" s="77"/>
      <c r="F12445" s="88"/>
      <c r="G12445" s="88"/>
      <c r="H12445" s="89"/>
      <c r="K12445" s="58"/>
      <c r="L12445" s="91"/>
      <c r="M12445" s="78"/>
    </row>
    <row r="12446">
      <c r="C12446" s="85"/>
      <c r="D12446" s="25"/>
      <c r="E12446" s="77"/>
      <c r="F12446" s="88"/>
      <c r="G12446" s="88"/>
      <c r="H12446" s="89"/>
      <c r="K12446" s="58"/>
      <c r="L12446" s="91"/>
      <c r="M12446" s="78"/>
    </row>
    <row r="12447">
      <c r="C12447" s="85"/>
      <c r="D12447" s="25"/>
      <c r="E12447" s="77"/>
      <c r="F12447" s="88"/>
      <c r="G12447" s="88"/>
      <c r="H12447" s="89"/>
      <c r="K12447" s="58"/>
      <c r="L12447" s="91"/>
      <c r="M12447" s="78"/>
    </row>
    <row r="12448">
      <c r="C12448" s="85"/>
      <c r="D12448" s="25"/>
      <c r="E12448" s="77"/>
      <c r="F12448" s="88"/>
      <c r="G12448" s="88"/>
      <c r="H12448" s="89"/>
      <c r="K12448" s="58"/>
      <c r="L12448" s="91"/>
      <c r="M12448" s="78"/>
    </row>
    <row r="12449">
      <c r="C12449" s="85"/>
      <c r="D12449" s="25"/>
      <c r="E12449" s="77"/>
      <c r="F12449" s="88"/>
      <c r="G12449" s="88"/>
      <c r="H12449" s="89"/>
      <c r="K12449" s="58"/>
      <c r="L12449" s="91"/>
      <c r="M12449" s="78"/>
    </row>
    <row r="12450">
      <c r="C12450" s="85"/>
      <c r="D12450" s="25"/>
      <c r="E12450" s="77"/>
      <c r="F12450" s="88"/>
      <c r="G12450" s="88"/>
      <c r="H12450" s="89"/>
      <c r="K12450" s="58"/>
      <c r="L12450" s="91"/>
      <c r="M12450" s="78"/>
    </row>
    <row r="12451">
      <c r="C12451" s="85"/>
      <c r="D12451" s="25"/>
      <c r="E12451" s="77"/>
      <c r="F12451" s="88"/>
      <c r="G12451" s="88"/>
      <c r="H12451" s="89"/>
      <c r="K12451" s="58"/>
      <c r="L12451" s="91"/>
      <c r="M12451" s="78"/>
    </row>
    <row r="12452">
      <c r="C12452" s="85"/>
      <c r="D12452" s="25"/>
      <c r="E12452" s="77"/>
      <c r="F12452" s="88"/>
      <c r="G12452" s="88"/>
      <c r="H12452" s="89"/>
      <c r="K12452" s="58"/>
      <c r="L12452" s="91"/>
      <c r="M12452" s="78"/>
    </row>
    <row r="12453">
      <c r="C12453" s="85"/>
      <c r="D12453" s="25"/>
      <c r="E12453" s="77"/>
      <c r="F12453" s="88"/>
      <c r="G12453" s="88"/>
      <c r="H12453" s="89"/>
      <c r="K12453" s="58"/>
      <c r="L12453" s="91"/>
      <c r="M12453" s="78"/>
    </row>
    <row r="12454">
      <c r="C12454" s="85"/>
      <c r="D12454" s="25"/>
      <c r="E12454" s="77"/>
      <c r="F12454" s="88"/>
      <c r="G12454" s="88"/>
      <c r="H12454" s="89"/>
      <c r="K12454" s="58"/>
      <c r="L12454" s="91"/>
      <c r="M12454" s="78"/>
    </row>
    <row r="12455">
      <c r="C12455" s="85"/>
      <c r="D12455" s="25"/>
      <c r="E12455" s="77"/>
      <c r="F12455" s="88"/>
      <c r="G12455" s="88"/>
      <c r="H12455" s="89"/>
      <c r="K12455" s="58"/>
      <c r="L12455" s="91"/>
      <c r="M12455" s="78"/>
    </row>
    <row r="12456">
      <c r="C12456" s="85"/>
      <c r="D12456" s="25"/>
      <c r="E12456" s="77"/>
      <c r="F12456" s="88"/>
      <c r="G12456" s="88"/>
      <c r="H12456" s="89"/>
      <c r="K12456" s="58"/>
      <c r="L12456" s="91"/>
      <c r="M12456" s="78"/>
    </row>
    <row r="12457">
      <c r="C12457" s="85"/>
      <c r="D12457" s="25"/>
      <c r="E12457" s="77"/>
      <c r="F12457" s="88"/>
      <c r="G12457" s="88"/>
      <c r="H12457" s="89"/>
      <c r="K12457" s="58"/>
      <c r="L12457" s="91"/>
      <c r="M12457" s="78"/>
    </row>
    <row r="12458">
      <c r="C12458" s="85"/>
      <c r="D12458" s="25"/>
      <c r="E12458" s="77"/>
      <c r="F12458" s="88"/>
      <c r="G12458" s="88"/>
      <c r="H12458" s="89"/>
      <c r="K12458" s="58"/>
      <c r="L12458" s="91"/>
      <c r="M12458" s="78"/>
    </row>
    <row r="12459">
      <c r="C12459" s="85"/>
      <c r="D12459" s="25"/>
      <c r="E12459" s="77"/>
      <c r="F12459" s="88"/>
      <c r="G12459" s="88"/>
      <c r="H12459" s="89"/>
      <c r="K12459" s="58"/>
      <c r="L12459" s="91"/>
      <c r="M12459" s="78"/>
    </row>
    <row r="12460">
      <c r="C12460" s="85"/>
      <c r="D12460" s="25"/>
      <c r="E12460" s="77"/>
      <c r="F12460" s="88"/>
      <c r="G12460" s="88"/>
      <c r="H12460" s="89"/>
      <c r="K12460" s="58"/>
      <c r="L12460" s="91"/>
      <c r="M12460" s="78"/>
    </row>
    <row r="12461">
      <c r="C12461" s="85"/>
      <c r="D12461" s="25"/>
      <c r="E12461" s="77"/>
      <c r="F12461" s="88"/>
      <c r="G12461" s="88"/>
      <c r="H12461" s="89"/>
      <c r="K12461" s="58"/>
      <c r="L12461" s="91"/>
      <c r="M12461" s="78"/>
    </row>
    <row r="12462">
      <c r="C12462" s="85"/>
      <c r="D12462" s="25"/>
      <c r="E12462" s="77"/>
      <c r="F12462" s="88"/>
      <c r="G12462" s="88"/>
      <c r="H12462" s="89"/>
      <c r="K12462" s="58"/>
      <c r="L12462" s="91"/>
      <c r="M12462" s="78"/>
    </row>
    <row r="12463">
      <c r="C12463" s="85"/>
      <c r="D12463" s="25"/>
      <c r="E12463" s="77"/>
      <c r="F12463" s="88"/>
      <c r="G12463" s="88"/>
      <c r="H12463" s="89"/>
      <c r="K12463" s="58"/>
      <c r="L12463" s="91"/>
      <c r="M12463" s="78"/>
    </row>
    <row r="12464">
      <c r="C12464" s="85"/>
      <c r="D12464" s="25"/>
      <c r="E12464" s="77"/>
      <c r="F12464" s="88"/>
      <c r="G12464" s="88"/>
      <c r="H12464" s="89"/>
      <c r="K12464" s="58"/>
      <c r="L12464" s="91"/>
      <c r="M12464" s="78"/>
    </row>
    <row r="12465">
      <c r="C12465" s="85"/>
      <c r="D12465" s="25"/>
      <c r="E12465" s="77"/>
      <c r="F12465" s="88"/>
      <c r="G12465" s="88"/>
      <c r="H12465" s="89"/>
      <c r="K12465" s="58"/>
      <c r="L12465" s="91"/>
      <c r="M12465" s="78"/>
    </row>
    <row r="12466">
      <c r="C12466" s="85"/>
      <c r="D12466" s="25"/>
      <c r="E12466" s="77"/>
      <c r="F12466" s="88"/>
      <c r="G12466" s="88"/>
      <c r="H12466" s="89"/>
      <c r="K12466" s="58"/>
      <c r="L12466" s="91"/>
      <c r="M12466" s="78"/>
    </row>
    <row r="12467">
      <c r="C12467" s="85"/>
      <c r="D12467" s="25"/>
      <c r="E12467" s="77"/>
      <c r="F12467" s="88"/>
      <c r="G12467" s="88"/>
      <c r="H12467" s="89"/>
      <c r="K12467" s="58"/>
      <c r="L12467" s="91"/>
      <c r="M12467" s="78"/>
    </row>
    <row r="12468">
      <c r="C12468" s="85"/>
      <c r="D12468" s="25"/>
      <c r="E12468" s="77"/>
      <c r="F12468" s="88"/>
      <c r="G12468" s="88"/>
      <c r="H12468" s="89"/>
      <c r="K12468" s="58"/>
      <c r="L12468" s="91"/>
      <c r="M12468" s="78"/>
    </row>
    <row r="12469">
      <c r="C12469" s="85"/>
      <c r="D12469" s="25"/>
      <c r="E12469" s="77"/>
      <c r="F12469" s="88"/>
      <c r="G12469" s="88"/>
      <c r="H12469" s="89"/>
      <c r="K12469" s="58"/>
      <c r="L12469" s="91"/>
      <c r="M12469" s="78"/>
    </row>
    <row r="12470">
      <c r="C12470" s="85"/>
      <c r="D12470" s="25"/>
      <c r="E12470" s="77"/>
      <c r="F12470" s="88"/>
      <c r="G12470" s="88"/>
      <c r="H12470" s="89"/>
      <c r="K12470" s="58"/>
      <c r="L12470" s="91"/>
      <c r="M12470" s="78"/>
    </row>
    <row r="12471">
      <c r="C12471" s="85"/>
      <c r="D12471" s="25"/>
      <c r="E12471" s="77"/>
      <c r="F12471" s="88"/>
      <c r="G12471" s="88"/>
      <c r="H12471" s="89"/>
      <c r="K12471" s="58"/>
      <c r="L12471" s="91"/>
      <c r="M12471" s="78"/>
    </row>
    <row r="12472">
      <c r="C12472" s="85"/>
      <c r="D12472" s="25"/>
      <c r="E12472" s="77"/>
      <c r="F12472" s="88"/>
      <c r="G12472" s="88"/>
      <c r="H12472" s="89"/>
      <c r="K12472" s="58"/>
      <c r="L12472" s="91"/>
      <c r="M12472" s="78"/>
    </row>
    <row r="12473">
      <c r="C12473" s="85"/>
      <c r="D12473" s="25"/>
      <c r="E12473" s="77"/>
      <c r="F12473" s="88"/>
      <c r="G12473" s="88"/>
      <c r="H12473" s="89"/>
      <c r="K12473" s="58"/>
      <c r="L12473" s="91"/>
      <c r="M12473" s="78"/>
    </row>
    <row r="12474">
      <c r="C12474" s="85"/>
      <c r="D12474" s="25"/>
      <c r="E12474" s="77"/>
      <c r="F12474" s="88"/>
      <c r="G12474" s="88"/>
      <c r="H12474" s="89"/>
      <c r="K12474" s="58"/>
      <c r="L12474" s="91"/>
      <c r="M12474" s="78"/>
    </row>
    <row r="12475">
      <c r="C12475" s="85"/>
      <c r="D12475" s="25"/>
      <c r="E12475" s="77"/>
      <c r="F12475" s="88"/>
      <c r="G12475" s="88"/>
      <c r="H12475" s="89"/>
      <c r="K12475" s="58"/>
      <c r="L12475" s="91"/>
      <c r="M12475" s="78"/>
    </row>
    <row r="12476">
      <c r="C12476" s="85"/>
      <c r="D12476" s="25"/>
      <c r="E12476" s="77"/>
      <c r="F12476" s="88"/>
      <c r="G12476" s="88"/>
      <c r="H12476" s="89"/>
      <c r="K12476" s="58"/>
      <c r="L12476" s="91"/>
      <c r="M12476" s="78"/>
    </row>
    <row r="12477">
      <c r="C12477" s="85"/>
      <c r="D12477" s="25"/>
      <c r="E12477" s="77"/>
      <c r="F12477" s="88"/>
      <c r="G12477" s="88"/>
      <c r="H12477" s="89"/>
      <c r="K12477" s="58"/>
      <c r="L12477" s="91"/>
      <c r="M12477" s="78"/>
    </row>
    <row r="12478">
      <c r="C12478" s="85"/>
      <c r="D12478" s="25"/>
      <c r="E12478" s="77"/>
      <c r="F12478" s="88"/>
      <c r="G12478" s="88"/>
      <c r="H12478" s="89"/>
      <c r="K12478" s="58"/>
      <c r="L12478" s="91"/>
      <c r="M12478" s="78"/>
    </row>
    <row r="12479">
      <c r="C12479" s="85"/>
      <c r="D12479" s="25"/>
      <c r="E12479" s="77"/>
      <c r="F12479" s="88"/>
      <c r="G12479" s="88"/>
      <c r="H12479" s="89"/>
      <c r="K12479" s="58"/>
      <c r="L12479" s="91"/>
      <c r="M12479" s="78"/>
    </row>
    <row r="12480">
      <c r="C12480" s="85"/>
      <c r="D12480" s="25"/>
      <c r="E12480" s="77"/>
      <c r="F12480" s="88"/>
      <c r="G12480" s="88"/>
      <c r="H12480" s="89"/>
      <c r="K12480" s="58"/>
      <c r="L12480" s="91"/>
      <c r="M12480" s="78"/>
    </row>
    <row r="12481">
      <c r="C12481" s="85"/>
      <c r="D12481" s="25"/>
      <c r="E12481" s="77"/>
      <c r="F12481" s="88"/>
      <c r="G12481" s="88"/>
      <c r="H12481" s="89"/>
      <c r="K12481" s="58"/>
      <c r="L12481" s="91"/>
      <c r="M12481" s="78"/>
    </row>
    <row r="12482">
      <c r="C12482" s="85"/>
      <c r="D12482" s="25"/>
      <c r="E12482" s="77"/>
      <c r="F12482" s="88"/>
      <c r="G12482" s="88"/>
      <c r="H12482" s="89"/>
      <c r="K12482" s="58"/>
      <c r="L12482" s="91"/>
      <c r="M12482" s="78"/>
    </row>
    <row r="12483">
      <c r="C12483" s="85"/>
      <c r="D12483" s="25"/>
      <c r="E12483" s="77"/>
      <c r="F12483" s="88"/>
      <c r="G12483" s="88"/>
      <c r="H12483" s="89"/>
      <c r="K12483" s="58"/>
      <c r="L12483" s="91"/>
      <c r="M12483" s="78"/>
    </row>
    <row r="12484">
      <c r="C12484" s="85"/>
      <c r="D12484" s="25"/>
      <c r="E12484" s="77"/>
      <c r="F12484" s="88"/>
      <c r="G12484" s="88"/>
      <c r="H12484" s="89"/>
      <c r="K12484" s="58"/>
      <c r="L12484" s="91"/>
      <c r="M12484" s="78"/>
    </row>
    <row r="12485">
      <c r="C12485" s="85"/>
      <c r="D12485" s="25"/>
      <c r="E12485" s="77"/>
      <c r="F12485" s="88"/>
      <c r="G12485" s="88"/>
      <c r="H12485" s="89"/>
      <c r="K12485" s="58"/>
      <c r="L12485" s="91"/>
      <c r="M12485" s="78"/>
    </row>
    <row r="12486">
      <c r="C12486" s="85"/>
      <c r="D12486" s="25"/>
      <c r="E12486" s="77"/>
      <c r="F12486" s="88"/>
      <c r="G12486" s="88"/>
      <c r="H12486" s="89"/>
      <c r="K12486" s="58"/>
      <c r="L12486" s="91"/>
      <c r="M12486" s="78"/>
    </row>
    <row r="12487">
      <c r="C12487" s="85"/>
      <c r="D12487" s="25"/>
      <c r="E12487" s="77"/>
      <c r="F12487" s="88"/>
      <c r="G12487" s="88"/>
      <c r="H12487" s="89"/>
      <c r="K12487" s="58"/>
      <c r="L12487" s="91"/>
      <c r="M12487" s="78"/>
    </row>
    <row r="12488">
      <c r="C12488" s="85"/>
      <c r="D12488" s="25"/>
      <c r="E12488" s="77"/>
      <c r="F12488" s="88"/>
      <c r="G12488" s="88"/>
      <c r="H12488" s="89"/>
      <c r="K12488" s="58"/>
      <c r="L12488" s="91"/>
      <c r="M12488" s="78"/>
    </row>
    <row r="12489">
      <c r="C12489" s="85"/>
      <c r="D12489" s="25"/>
      <c r="E12489" s="77"/>
      <c r="F12489" s="88"/>
      <c r="G12489" s="88"/>
      <c r="H12489" s="89"/>
      <c r="K12489" s="58"/>
      <c r="L12489" s="91"/>
      <c r="M12489" s="78"/>
    </row>
    <row r="12490">
      <c r="C12490" s="85"/>
      <c r="D12490" s="25"/>
      <c r="E12490" s="77"/>
      <c r="F12490" s="88"/>
      <c r="G12490" s="88"/>
      <c r="H12490" s="89"/>
      <c r="K12490" s="58"/>
      <c r="L12490" s="91"/>
      <c r="M12490" s="78"/>
    </row>
    <row r="12491">
      <c r="C12491" s="85"/>
      <c r="D12491" s="25"/>
      <c r="E12491" s="77"/>
      <c r="F12491" s="88"/>
      <c r="G12491" s="88"/>
      <c r="H12491" s="89"/>
      <c r="K12491" s="58"/>
      <c r="L12491" s="91"/>
      <c r="M12491" s="78"/>
    </row>
    <row r="12492">
      <c r="C12492" s="85"/>
      <c r="D12492" s="25"/>
      <c r="E12492" s="77"/>
      <c r="F12492" s="88"/>
      <c r="G12492" s="88"/>
      <c r="H12492" s="89"/>
      <c r="K12492" s="58"/>
      <c r="L12492" s="91"/>
      <c r="M12492" s="78"/>
    </row>
    <row r="12493">
      <c r="C12493" s="85"/>
      <c r="D12493" s="25"/>
      <c r="E12493" s="77"/>
      <c r="F12493" s="88"/>
      <c r="G12493" s="88"/>
      <c r="H12493" s="89"/>
      <c r="K12493" s="58"/>
      <c r="L12493" s="91"/>
      <c r="M12493" s="78"/>
    </row>
    <row r="12494">
      <c r="C12494" s="85"/>
      <c r="D12494" s="25"/>
      <c r="E12494" s="77"/>
      <c r="F12494" s="88"/>
      <c r="G12494" s="88"/>
      <c r="H12494" s="89"/>
      <c r="K12494" s="58"/>
      <c r="L12494" s="91"/>
      <c r="M12494" s="78"/>
    </row>
    <row r="12495">
      <c r="C12495" s="85"/>
      <c r="D12495" s="25"/>
      <c r="E12495" s="77"/>
      <c r="F12495" s="88"/>
      <c r="G12495" s="88"/>
      <c r="H12495" s="89"/>
      <c r="K12495" s="58"/>
      <c r="L12495" s="91"/>
      <c r="M12495" s="78"/>
    </row>
    <row r="12496">
      <c r="C12496" s="85"/>
      <c r="D12496" s="25"/>
      <c r="E12496" s="77"/>
      <c r="F12496" s="88"/>
      <c r="G12496" s="88"/>
      <c r="H12496" s="89"/>
      <c r="K12496" s="58"/>
      <c r="L12496" s="91"/>
      <c r="M12496" s="78"/>
    </row>
    <row r="12497">
      <c r="C12497" s="85"/>
      <c r="D12497" s="25"/>
      <c r="E12497" s="77"/>
      <c r="F12497" s="88"/>
      <c r="G12497" s="88"/>
      <c r="H12497" s="89"/>
      <c r="K12497" s="58"/>
      <c r="L12497" s="91"/>
      <c r="M12497" s="78"/>
    </row>
    <row r="12498">
      <c r="C12498" s="85"/>
      <c r="D12498" s="25"/>
      <c r="E12498" s="77"/>
      <c r="F12498" s="88"/>
      <c r="G12498" s="88"/>
      <c r="H12498" s="89"/>
      <c r="K12498" s="58"/>
      <c r="L12498" s="91"/>
      <c r="M12498" s="78"/>
    </row>
    <row r="12499">
      <c r="C12499" s="85"/>
      <c r="D12499" s="25"/>
      <c r="E12499" s="77"/>
      <c r="F12499" s="88"/>
      <c r="G12499" s="88"/>
      <c r="H12499" s="89"/>
      <c r="K12499" s="58"/>
      <c r="L12499" s="91"/>
      <c r="M12499" s="78"/>
    </row>
    <row r="12500">
      <c r="C12500" s="85"/>
      <c r="D12500" s="25"/>
      <c r="E12500" s="77"/>
      <c r="F12500" s="88"/>
      <c r="G12500" s="88"/>
      <c r="H12500" s="89"/>
      <c r="K12500" s="58"/>
      <c r="L12500" s="91"/>
      <c r="M12500" s="78"/>
    </row>
    <row r="12501">
      <c r="C12501" s="85"/>
      <c r="D12501" s="25"/>
      <c r="E12501" s="77"/>
      <c r="F12501" s="88"/>
      <c r="G12501" s="88"/>
      <c r="H12501" s="89"/>
      <c r="K12501" s="58"/>
      <c r="L12501" s="91"/>
      <c r="M12501" s="78"/>
    </row>
    <row r="12502">
      <c r="C12502" s="85"/>
      <c r="D12502" s="25"/>
      <c r="E12502" s="77"/>
      <c r="F12502" s="88"/>
      <c r="G12502" s="88"/>
      <c r="H12502" s="89"/>
      <c r="K12502" s="58"/>
      <c r="L12502" s="91"/>
      <c r="M12502" s="78"/>
    </row>
    <row r="12503">
      <c r="C12503" s="85"/>
      <c r="D12503" s="25"/>
      <c r="E12503" s="77"/>
      <c r="F12503" s="88"/>
      <c r="G12503" s="88"/>
      <c r="H12503" s="89"/>
      <c r="K12503" s="58"/>
      <c r="L12503" s="91"/>
      <c r="M12503" s="78"/>
    </row>
    <row r="12504">
      <c r="C12504" s="85"/>
      <c r="D12504" s="25"/>
      <c r="E12504" s="77"/>
      <c r="F12504" s="88"/>
      <c r="G12504" s="88"/>
      <c r="H12504" s="89"/>
      <c r="K12504" s="58"/>
      <c r="L12504" s="91"/>
      <c r="M12504" s="78"/>
    </row>
    <row r="12505">
      <c r="C12505" s="85"/>
      <c r="D12505" s="25"/>
      <c r="E12505" s="77"/>
      <c r="F12505" s="88"/>
      <c r="G12505" s="88"/>
      <c r="H12505" s="89"/>
      <c r="K12505" s="58"/>
      <c r="L12505" s="91"/>
      <c r="M12505" s="78"/>
    </row>
    <row r="12506">
      <c r="C12506" s="85"/>
      <c r="D12506" s="25"/>
      <c r="E12506" s="77"/>
      <c r="F12506" s="88"/>
      <c r="G12506" s="88"/>
      <c r="H12506" s="89"/>
      <c r="K12506" s="58"/>
      <c r="L12506" s="91"/>
      <c r="M12506" s="78"/>
    </row>
    <row r="12507">
      <c r="C12507" s="85"/>
      <c r="D12507" s="25"/>
      <c r="E12507" s="77"/>
      <c r="F12507" s="88"/>
      <c r="G12507" s="88"/>
      <c r="H12507" s="89"/>
      <c r="K12507" s="58"/>
      <c r="L12507" s="91"/>
      <c r="M12507" s="78"/>
    </row>
    <row r="12508">
      <c r="C12508" s="85"/>
      <c r="D12508" s="25"/>
      <c r="E12508" s="77"/>
      <c r="F12508" s="88"/>
      <c r="G12508" s="88"/>
      <c r="H12508" s="89"/>
      <c r="K12508" s="58"/>
      <c r="L12508" s="91"/>
      <c r="M12508" s="78"/>
    </row>
    <row r="12509">
      <c r="C12509" s="85"/>
      <c r="D12509" s="25"/>
      <c r="E12509" s="77"/>
      <c r="F12509" s="88"/>
      <c r="G12509" s="88"/>
      <c r="H12509" s="89"/>
      <c r="K12509" s="58"/>
      <c r="L12509" s="91"/>
      <c r="M12509" s="78"/>
    </row>
    <row r="12510">
      <c r="C12510" s="85"/>
      <c r="D12510" s="25"/>
      <c r="E12510" s="77"/>
      <c r="F12510" s="88"/>
      <c r="G12510" s="88"/>
      <c r="H12510" s="89"/>
      <c r="K12510" s="58"/>
      <c r="L12510" s="91"/>
      <c r="M12510" s="78"/>
    </row>
    <row r="12511">
      <c r="C12511" s="85"/>
      <c r="D12511" s="25"/>
      <c r="E12511" s="77"/>
      <c r="F12511" s="88"/>
      <c r="G12511" s="88"/>
      <c r="H12511" s="89"/>
      <c r="K12511" s="58"/>
      <c r="L12511" s="91"/>
      <c r="M12511" s="78"/>
    </row>
    <row r="12512">
      <c r="C12512" s="85"/>
      <c r="D12512" s="25"/>
      <c r="E12512" s="77"/>
      <c r="F12512" s="88"/>
      <c r="G12512" s="88"/>
      <c r="H12512" s="89"/>
      <c r="K12512" s="58"/>
      <c r="L12512" s="91"/>
      <c r="M12512" s="78"/>
    </row>
    <row r="12513">
      <c r="C12513" s="85"/>
      <c r="D12513" s="25"/>
      <c r="E12513" s="77"/>
      <c r="F12513" s="88"/>
      <c r="G12513" s="88"/>
      <c r="H12513" s="89"/>
      <c r="K12513" s="58"/>
      <c r="L12513" s="91"/>
      <c r="M12513" s="78"/>
    </row>
    <row r="12514">
      <c r="C12514" s="85"/>
      <c r="D12514" s="25"/>
      <c r="E12514" s="77"/>
      <c r="F12514" s="88"/>
      <c r="G12514" s="88"/>
      <c r="H12514" s="89"/>
      <c r="K12514" s="58"/>
      <c r="L12514" s="91"/>
      <c r="M12514" s="78"/>
    </row>
    <row r="12515">
      <c r="C12515" s="85"/>
      <c r="D12515" s="25"/>
      <c r="E12515" s="77"/>
      <c r="F12515" s="88"/>
      <c r="G12515" s="88"/>
      <c r="H12515" s="89"/>
      <c r="K12515" s="58"/>
      <c r="L12515" s="91"/>
      <c r="M12515" s="78"/>
    </row>
    <row r="12516">
      <c r="C12516" s="85"/>
      <c r="D12516" s="25"/>
      <c r="E12516" s="77"/>
      <c r="F12516" s="88"/>
      <c r="G12516" s="88"/>
      <c r="H12516" s="89"/>
      <c r="K12516" s="58"/>
      <c r="L12516" s="91"/>
      <c r="M12516" s="78"/>
    </row>
    <row r="12517">
      <c r="C12517" s="85"/>
      <c r="D12517" s="25"/>
      <c r="E12517" s="77"/>
      <c r="F12517" s="88"/>
      <c r="G12517" s="88"/>
      <c r="H12517" s="89"/>
      <c r="K12517" s="58"/>
      <c r="L12517" s="91"/>
      <c r="M12517" s="78"/>
    </row>
    <row r="12518">
      <c r="C12518" s="85"/>
      <c r="D12518" s="25"/>
      <c r="E12518" s="77"/>
      <c r="F12518" s="88"/>
      <c r="G12518" s="88"/>
      <c r="H12518" s="89"/>
      <c r="K12518" s="58"/>
      <c r="L12518" s="91"/>
      <c r="M12518" s="78"/>
    </row>
    <row r="12519">
      <c r="C12519" s="85"/>
      <c r="D12519" s="25"/>
      <c r="E12519" s="77"/>
      <c r="F12519" s="88"/>
      <c r="G12519" s="88"/>
      <c r="H12519" s="89"/>
      <c r="K12519" s="58"/>
      <c r="L12519" s="91"/>
      <c r="M12519" s="78"/>
    </row>
    <row r="12520">
      <c r="C12520" s="85"/>
      <c r="D12520" s="25"/>
      <c r="E12520" s="77"/>
      <c r="F12520" s="88"/>
      <c r="G12520" s="88"/>
      <c r="H12520" s="89"/>
      <c r="K12520" s="58"/>
      <c r="L12520" s="91"/>
      <c r="M12520" s="78"/>
    </row>
    <row r="12521">
      <c r="C12521" s="85"/>
      <c r="D12521" s="25"/>
      <c r="E12521" s="77"/>
      <c r="F12521" s="88"/>
      <c r="G12521" s="88"/>
      <c r="H12521" s="89"/>
      <c r="K12521" s="58"/>
      <c r="L12521" s="91"/>
      <c r="M12521" s="78"/>
    </row>
    <row r="12522">
      <c r="C12522" s="85"/>
      <c r="D12522" s="25"/>
      <c r="E12522" s="77"/>
      <c r="F12522" s="88"/>
      <c r="G12522" s="88"/>
      <c r="H12522" s="89"/>
      <c r="K12522" s="58"/>
      <c r="L12522" s="91"/>
      <c r="M12522" s="78"/>
    </row>
    <row r="12523">
      <c r="C12523" s="85"/>
      <c r="D12523" s="25"/>
      <c r="E12523" s="77"/>
      <c r="F12523" s="88"/>
      <c r="G12523" s="88"/>
      <c r="H12523" s="89"/>
      <c r="K12523" s="58"/>
      <c r="L12523" s="91"/>
      <c r="M12523" s="78"/>
    </row>
    <row r="12524">
      <c r="C12524" s="85"/>
      <c r="D12524" s="25"/>
      <c r="E12524" s="77"/>
      <c r="F12524" s="88"/>
      <c r="G12524" s="88"/>
      <c r="H12524" s="89"/>
      <c r="K12524" s="58"/>
      <c r="L12524" s="91"/>
      <c r="M12524" s="78"/>
    </row>
    <row r="12525">
      <c r="C12525" s="85"/>
      <c r="D12525" s="25"/>
      <c r="E12525" s="77"/>
      <c r="F12525" s="88"/>
      <c r="G12525" s="88"/>
      <c r="H12525" s="89"/>
      <c r="K12525" s="58"/>
      <c r="L12525" s="91"/>
      <c r="M12525" s="78"/>
    </row>
    <row r="12526">
      <c r="C12526" s="85"/>
      <c r="D12526" s="25"/>
      <c r="E12526" s="77"/>
      <c r="F12526" s="88"/>
      <c r="G12526" s="88"/>
      <c r="H12526" s="89"/>
      <c r="K12526" s="58"/>
      <c r="L12526" s="91"/>
      <c r="M12526" s="78"/>
    </row>
    <row r="12527">
      <c r="C12527" s="85"/>
      <c r="D12527" s="25"/>
      <c r="E12527" s="77"/>
      <c r="F12527" s="88"/>
      <c r="G12527" s="88"/>
      <c r="H12527" s="89"/>
      <c r="K12527" s="58"/>
      <c r="L12527" s="91"/>
      <c r="M12527" s="78"/>
    </row>
    <row r="12528">
      <c r="C12528" s="85"/>
      <c r="D12528" s="25"/>
      <c r="E12528" s="77"/>
      <c r="F12528" s="88"/>
      <c r="G12528" s="88"/>
      <c r="H12528" s="89"/>
      <c r="K12528" s="58"/>
      <c r="L12528" s="91"/>
      <c r="M12528" s="78"/>
    </row>
    <row r="12529">
      <c r="C12529" s="85"/>
      <c r="D12529" s="25"/>
      <c r="E12529" s="77"/>
      <c r="F12529" s="88"/>
      <c r="G12529" s="88"/>
      <c r="H12529" s="89"/>
      <c r="K12529" s="58"/>
      <c r="L12529" s="91"/>
      <c r="M12529" s="78"/>
    </row>
    <row r="12530">
      <c r="C12530" s="85"/>
      <c r="D12530" s="25"/>
      <c r="E12530" s="77"/>
      <c r="F12530" s="88"/>
      <c r="G12530" s="88"/>
      <c r="H12530" s="89"/>
      <c r="K12530" s="58"/>
      <c r="L12530" s="91"/>
      <c r="M12530" s="78"/>
    </row>
    <row r="12531">
      <c r="C12531" s="85"/>
      <c r="D12531" s="25"/>
      <c r="E12531" s="77"/>
      <c r="F12531" s="88"/>
      <c r="G12531" s="88"/>
      <c r="H12531" s="89"/>
      <c r="K12531" s="58"/>
      <c r="L12531" s="91"/>
      <c r="M12531" s="78"/>
    </row>
    <row r="12532">
      <c r="C12532" s="85"/>
      <c r="D12532" s="25"/>
      <c r="E12532" s="77"/>
      <c r="F12532" s="88"/>
      <c r="G12532" s="88"/>
      <c r="H12532" s="89"/>
      <c r="K12532" s="58"/>
      <c r="L12532" s="91"/>
      <c r="M12532" s="78"/>
    </row>
    <row r="12533">
      <c r="C12533" s="85"/>
      <c r="D12533" s="25"/>
      <c r="E12533" s="77"/>
      <c r="F12533" s="88"/>
      <c r="G12533" s="88"/>
      <c r="H12533" s="89"/>
      <c r="K12533" s="58"/>
      <c r="L12533" s="91"/>
      <c r="M12533" s="78"/>
    </row>
    <row r="12534">
      <c r="C12534" s="85"/>
      <c r="D12534" s="25"/>
      <c r="E12534" s="77"/>
      <c r="F12534" s="88"/>
      <c r="G12534" s="88"/>
      <c r="H12534" s="89"/>
      <c r="K12534" s="58"/>
      <c r="L12534" s="91"/>
      <c r="M12534" s="78"/>
    </row>
    <row r="12535">
      <c r="C12535" s="85"/>
      <c r="D12535" s="25"/>
      <c r="E12535" s="77"/>
      <c r="F12535" s="88"/>
      <c r="G12535" s="88"/>
      <c r="H12535" s="89"/>
      <c r="K12535" s="58"/>
      <c r="L12535" s="91"/>
      <c r="M12535" s="78"/>
    </row>
    <row r="12536">
      <c r="C12536" s="85"/>
      <c r="D12536" s="25"/>
      <c r="E12536" s="77"/>
      <c r="F12536" s="88"/>
      <c r="G12536" s="88"/>
      <c r="H12536" s="89"/>
      <c r="K12536" s="58"/>
      <c r="L12536" s="91"/>
      <c r="M12536" s="78"/>
    </row>
    <row r="12537">
      <c r="C12537" s="85"/>
      <c r="D12537" s="25"/>
      <c r="E12537" s="77"/>
      <c r="F12537" s="88"/>
      <c r="G12537" s="88"/>
      <c r="H12537" s="89"/>
      <c r="K12537" s="58"/>
      <c r="L12537" s="91"/>
      <c r="M12537" s="78"/>
    </row>
    <row r="12538">
      <c r="C12538" s="85"/>
      <c r="D12538" s="25"/>
      <c r="E12538" s="77"/>
      <c r="F12538" s="88"/>
      <c r="G12538" s="88"/>
      <c r="H12538" s="89"/>
      <c r="K12538" s="58"/>
      <c r="L12538" s="91"/>
      <c r="M12538" s="78"/>
    </row>
    <row r="12539">
      <c r="C12539" s="85"/>
      <c r="D12539" s="25"/>
      <c r="E12539" s="77"/>
      <c r="F12539" s="88"/>
      <c r="G12539" s="88"/>
      <c r="H12539" s="89"/>
      <c r="K12539" s="58"/>
      <c r="L12539" s="91"/>
      <c r="M12539" s="78"/>
    </row>
    <row r="12540">
      <c r="C12540" s="85"/>
      <c r="D12540" s="25"/>
      <c r="E12540" s="77"/>
      <c r="F12540" s="88"/>
      <c r="G12540" s="88"/>
      <c r="H12540" s="89"/>
      <c r="K12540" s="58"/>
      <c r="L12540" s="91"/>
      <c r="M12540" s="78"/>
    </row>
    <row r="12541">
      <c r="C12541" s="85"/>
      <c r="D12541" s="25"/>
      <c r="E12541" s="77"/>
      <c r="F12541" s="88"/>
      <c r="G12541" s="88"/>
      <c r="H12541" s="89"/>
      <c r="K12541" s="58"/>
      <c r="L12541" s="91"/>
      <c r="M12541" s="78"/>
    </row>
    <row r="12542">
      <c r="C12542" s="85"/>
      <c r="D12542" s="25"/>
      <c r="E12542" s="77"/>
      <c r="F12542" s="88"/>
      <c r="G12542" s="88"/>
      <c r="H12542" s="89"/>
      <c r="K12542" s="58"/>
      <c r="L12542" s="91"/>
      <c r="M12542" s="78"/>
    </row>
    <row r="12543">
      <c r="C12543" s="85"/>
      <c r="D12543" s="25"/>
      <c r="E12543" s="77"/>
      <c r="F12543" s="88"/>
      <c r="G12543" s="88"/>
      <c r="H12543" s="89"/>
      <c r="K12543" s="58"/>
      <c r="L12543" s="91"/>
      <c r="M12543" s="78"/>
    </row>
    <row r="12544">
      <c r="C12544" s="85"/>
      <c r="D12544" s="25"/>
      <c r="E12544" s="77"/>
      <c r="F12544" s="88"/>
      <c r="G12544" s="88"/>
      <c r="H12544" s="89"/>
      <c r="K12544" s="58"/>
      <c r="L12544" s="91"/>
      <c r="M12544" s="78"/>
    </row>
    <row r="12545">
      <c r="C12545" s="85"/>
      <c r="D12545" s="25"/>
      <c r="E12545" s="77"/>
      <c r="F12545" s="88"/>
      <c r="G12545" s="88"/>
      <c r="H12545" s="89"/>
      <c r="K12545" s="58"/>
      <c r="L12545" s="91"/>
      <c r="M12545" s="78"/>
    </row>
    <row r="12546">
      <c r="C12546" s="85"/>
      <c r="D12546" s="25"/>
      <c r="E12546" s="77"/>
      <c r="F12546" s="88"/>
      <c r="G12546" s="88"/>
      <c r="H12546" s="89"/>
      <c r="K12546" s="58"/>
      <c r="L12546" s="91"/>
      <c r="M12546" s="78"/>
    </row>
    <row r="12547">
      <c r="C12547" s="85"/>
      <c r="D12547" s="25"/>
      <c r="E12547" s="77"/>
      <c r="F12547" s="88"/>
      <c r="G12547" s="88"/>
      <c r="H12547" s="89"/>
      <c r="K12547" s="58"/>
      <c r="L12547" s="91"/>
      <c r="M12547" s="78"/>
    </row>
    <row r="12548">
      <c r="C12548" s="85"/>
      <c r="D12548" s="25"/>
      <c r="E12548" s="77"/>
      <c r="F12548" s="88"/>
      <c r="G12548" s="88"/>
      <c r="H12548" s="89"/>
      <c r="K12548" s="58"/>
      <c r="L12548" s="91"/>
      <c r="M12548" s="78"/>
    </row>
    <row r="12549">
      <c r="C12549" s="85"/>
      <c r="D12549" s="25"/>
      <c r="E12549" s="77"/>
      <c r="F12549" s="88"/>
      <c r="G12549" s="88"/>
      <c r="H12549" s="89"/>
      <c r="K12549" s="58"/>
      <c r="L12549" s="91"/>
      <c r="M12549" s="78"/>
    </row>
    <row r="12550">
      <c r="C12550" s="85"/>
      <c r="D12550" s="25"/>
      <c r="E12550" s="77"/>
      <c r="F12550" s="88"/>
      <c r="G12550" s="88"/>
      <c r="H12550" s="89"/>
      <c r="K12550" s="58"/>
      <c r="L12550" s="91"/>
      <c r="M12550" s="78"/>
    </row>
    <row r="12551">
      <c r="C12551" s="85"/>
      <c r="D12551" s="25"/>
      <c r="E12551" s="77"/>
      <c r="F12551" s="88"/>
      <c r="G12551" s="88"/>
      <c r="H12551" s="89"/>
      <c r="K12551" s="58"/>
      <c r="L12551" s="91"/>
      <c r="M12551" s="78"/>
    </row>
    <row r="12552">
      <c r="C12552" s="85"/>
      <c r="D12552" s="25"/>
      <c r="E12552" s="77"/>
      <c r="F12552" s="88"/>
      <c r="G12552" s="88"/>
      <c r="H12552" s="89"/>
      <c r="K12552" s="58"/>
      <c r="L12552" s="91"/>
      <c r="M12552" s="78"/>
    </row>
    <row r="12553">
      <c r="C12553" s="85"/>
      <c r="D12553" s="25"/>
      <c r="E12553" s="77"/>
      <c r="F12553" s="88"/>
      <c r="G12553" s="88"/>
      <c r="H12553" s="89"/>
      <c r="K12553" s="58"/>
      <c r="L12553" s="91"/>
      <c r="M12553" s="78"/>
    </row>
    <row r="12554">
      <c r="C12554" s="85"/>
      <c r="D12554" s="25"/>
      <c r="E12554" s="77"/>
      <c r="F12554" s="88"/>
      <c r="G12554" s="88"/>
      <c r="H12554" s="89"/>
      <c r="K12554" s="58"/>
      <c r="L12554" s="91"/>
      <c r="M12554" s="78"/>
    </row>
    <row r="12555">
      <c r="C12555" s="85"/>
      <c r="D12555" s="25"/>
      <c r="E12555" s="77"/>
      <c r="F12555" s="88"/>
      <c r="G12555" s="88"/>
      <c r="H12555" s="89"/>
      <c r="K12555" s="58"/>
      <c r="L12555" s="91"/>
      <c r="M12555" s="78"/>
    </row>
    <row r="12556">
      <c r="C12556" s="85"/>
      <c r="D12556" s="25"/>
      <c r="E12556" s="77"/>
      <c r="F12556" s="88"/>
      <c r="G12556" s="88"/>
      <c r="H12556" s="89"/>
      <c r="K12556" s="58"/>
      <c r="L12556" s="91"/>
      <c r="M12556" s="78"/>
    </row>
    <row r="12557">
      <c r="C12557" s="85"/>
      <c r="D12557" s="25"/>
      <c r="E12557" s="77"/>
      <c r="F12557" s="88"/>
      <c r="G12557" s="88"/>
      <c r="H12557" s="89"/>
      <c r="K12557" s="58"/>
      <c r="L12557" s="91"/>
      <c r="M12557" s="78"/>
    </row>
    <row r="12558">
      <c r="C12558" s="85"/>
      <c r="D12558" s="25"/>
      <c r="E12558" s="77"/>
      <c r="F12558" s="88"/>
      <c r="G12558" s="88"/>
      <c r="H12558" s="89"/>
      <c r="K12558" s="58"/>
      <c r="L12558" s="91"/>
      <c r="M12558" s="78"/>
    </row>
    <row r="12559">
      <c r="C12559" s="85"/>
      <c r="D12559" s="25"/>
      <c r="E12559" s="77"/>
      <c r="F12559" s="88"/>
      <c r="G12559" s="88"/>
      <c r="H12559" s="89"/>
      <c r="K12559" s="58"/>
      <c r="L12559" s="91"/>
      <c r="M12559" s="78"/>
    </row>
    <row r="12560">
      <c r="C12560" s="85"/>
      <c r="D12560" s="25"/>
      <c r="E12560" s="77"/>
      <c r="F12560" s="88"/>
      <c r="G12560" s="88"/>
      <c r="H12560" s="89"/>
      <c r="K12560" s="58"/>
      <c r="L12560" s="91"/>
      <c r="M12560" s="78"/>
    </row>
    <row r="12561">
      <c r="C12561" s="85"/>
      <c r="D12561" s="25"/>
      <c r="E12561" s="77"/>
      <c r="F12561" s="88"/>
      <c r="G12561" s="88"/>
      <c r="H12561" s="89"/>
      <c r="K12561" s="58"/>
      <c r="L12561" s="91"/>
      <c r="M12561" s="78"/>
    </row>
    <row r="12562">
      <c r="C12562" s="85"/>
      <c r="D12562" s="25"/>
      <c r="E12562" s="77"/>
      <c r="F12562" s="88"/>
      <c r="G12562" s="88"/>
      <c r="H12562" s="89"/>
      <c r="K12562" s="58"/>
      <c r="L12562" s="91"/>
      <c r="M12562" s="78"/>
    </row>
    <row r="12563">
      <c r="C12563" s="85"/>
      <c r="D12563" s="25"/>
      <c r="E12563" s="77"/>
      <c r="F12563" s="88"/>
      <c r="G12563" s="88"/>
      <c r="H12563" s="89"/>
      <c r="K12563" s="58"/>
      <c r="L12563" s="91"/>
      <c r="M12563" s="78"/>
    </row>
    <row r="12564">
      <c r="C12564" s="85"/>
      <c r="D12564" s="25"/>
      <c r="E12564" s="77"/>
      <c r="F12564" s="88"/>
      <c r="G12564" s="88"/>
      <c r="H12564" s="89"/>
      <c r="K12564" s="58"/>
      <c r="L12564" s="91"/>
      <c r="M12564" s="78"/>
    </row>
    <row r="12565">
      <c r="C12565" s="85"/>
      <c r="D12565" s="25"/>
      <c r="E12565" s="77"/>
      <c r="F12565" s="88"/>
      <c r="G12565" s="88"/>
      <c r="H12565" s="89"/>
      <c r="K12565" s="58"/>
      <c r="L12565" s="91"/>
      <c r="M12565" s="78"/>
    </row>
    <row r="12566">
      <c r="C12566" s="85"/>
      <c r="D12566" s="25"/>
      <c r="E12566" s="77"/>
      <c r="F12566" s="88"/>
      <c r="G12566" s="88"/>
      <c r="H12566" s="89"/>
      <c r="K12566" s="58"/>
      <c r="L12566" s="91"/>
      <c r="M12566" s="78"/>
    </row>
    <row r="12567">
      <c r="C12567" s="85"/>
      <c r="D12567" s="25"/>
      <c r="E12567" s="77"/>
      <c r="F12567" s="88"/>
      <c r="G12567" s="88"/>
      <c r="H12567" s="89"/>
      <c r="K12567" s="58"/>
      <c r="L12567" s="91"/>
      <c r="M12567" s="78"/>
    </row>
    <row r="12568">
      <c r="C12568" s="85"/>
      <c r="D12568" s="25"/>
      <c r="E12568" s="77"/>
      <c r="F12568" s="88"/>
      <c r="G12568" s="88"/>
      <c r="H12568" s="89"/>
      <c r="K12568" s="58"/>
      <c r="L12568" s="91"/>
      <c r="M12568" s="78"/>
    </row>
    <row r="12569">
      <c r="C12569" s="85"/>
      <c r="D12569" s="25"/>
      <c r="E12569" s="77"/>
      <c r="F12569" s="88"/>
      <c r="G12569" s="88"/>
      <c r="H12569" s="89"/>
      <c r="K12569" s="58"/>
      <c r="L12569" s="91"/>
      <c r="M12569" s="78"/>
    </row>
    <row r="12570">
      <c r="C12570" s="85"/>
      <c r="D12570" s="25"/>
      <c r="E12570" s="77"/>
      <c r="F12570" s="88"/>
      <c r="G12570" s="88"/>
      <c r="H12570" s="89"/>
      <c r="K12570" s="58"/>
      <c r="L12570" s="91"/>
      <c r="M12570" s="78"/>
    </row>
    <row r="12571">
      <c r="C12571" s="85"/>
      <c r="D12571" s="25"/>
      <c r="E12571" s="77"/>
      <c r="F12571" s="88"/>
      <c r="G12571" s="88"/>
      <c r="H12571" s="89"/>
      <c r="K12571" s="58"/>
      <c r="L12571" s="91"/>
      <c r="M12571" s="78"/>
    </row>
    <row r="12572">
      <c r="C12572" s="85"/>
      <c r="D12572" s="25"/>
      <c r="E12572" s="77"/>
      <c r="F12572" s="88"/>
      <c r="G12572" s="88"/>
      <c r="H12572" s="89"/>
      <c r="K12572" s="58"/>
      <c r="L12572" s="91"/>
      <c r="M12572" s="78"/>
    </row>
    <row r="12573">
      <c r="C12573" s="85"/>
      <c r="D12573" s="25"/>
      <c r="E12573" s="77"/>
      <c r="F12573" s="88"/>
      <c r="G12573" s="88"/>
      <c r="H12573" s="89"/>
      <c r="K12573" s="58"/>
      <c r="L12573" s="91"/>
      <c r="M12573" s="78"/>
    </row>
    <row r="12574">
      <c r="C12574" s="85"/>
      <c r="D12574" s="25"/>
      <c r="E12574" s="77"/>
      <c r="F12574" s="88"/>
      <c r="G12574" s="88"/>
      <c r="H12574" s="89"/>
      <c r="K12574" s="58"/>
      <c r="L12574" s="91"/>
      <c r="M12574" s="78"/>
    </row>
    <row r="12575">
      <c r="C12575" s="85"/>
      <c r="D12575" s="25"/>
      <c r="E12575" s="77"/>
      <c r="F12575" s="88"/>
      <c r="G12575" s="88"/>
      <c r="H12575" s="89"/>
      <c r="K12575" s="58"/>
      <c r="L12575" s="91"/>
      <c r="M12575" s="78"/>
    </row>
    <row r="12576">
      <c r="C12576" s="85"/>
      <c r="D12576" s="25"/>
      <c r="E12576" s="77"/>
      <c r="F12576" s="88"/>
      <c r="G12576" s="88"/>
      <c r="H12576" s="89"/>
      <c r="K12576" s="58"/>
      <c r="L12576" s="91"/>
      <c r="M12576" s="78"/>
    </row>
    <row r="12577">
      <c r="C12577" s="85"/>
      <c r="D12577" s="25"/>
      <c r="E12577" s="77"/>
      <c r="F12577" s="88"/>
      <c r="G12577" s="88"/>
      <c r="H12577" s="89"/>
      <c r="K12577" s="58"/>
      <c r="L12577" s="91"/>
      <c r="M12577" s="78"/>
    </row>
    <row r="12578">
      <c r="C12578" s="85"/>
      <c r="D12578" s="25"/>
      <c r="E12578" s="77"/>
      <c r="F12578" s="88"/>
      <c r="G12578" s="88"/>
      <c r="H12578" s="89"/>
      <c r="K12578" s="58"/>
      <c r="L12578" s="91"/>
      <c r="M12578" s="78"/>
    </row>
    <row r="12579">
      <c r="C12579" s="85"/>
      <c r="D12579" s="25"/>
      <c r="E12579" s="77"/>
      <c r="F12579" s="88"/>
      <c r="G12579" s="88"/>
      <c r="H12579" s="89"/>
      <c r="K12579" s="58"/>
      <c r="L12579" s="91"/>
      <c r="M12579" s="78"/>
    </row>
    <row r="12580">
      <c r="C12580" s="85"/>
      <c r="D12580" s="25"/>
      <c r="E12580" s="77"/>
      <c r="F12580" s="88"/>
      <c r="G12580" s="88"/>
      <c r="H12580" s="89"/>
      <c r="K12580" s="58"/>
      <c r="L12580" s="91"/>
      <c r="M12580" s="78"/>
    </row>
    <row r="12581">
      <c r="C12581" s="85"/>
      <c r="D12581" s="25"/>
      <c r="E12581" s="77"/>
      <c r="F12581" s="88"/>
      <c r="G12581" s="88"/>
      <c r="H12581" s="89"/>
      <c r="K12581" s="58"/>
      <c r="L12581" s="91"/>
      <c r="M12581" s="78"/>
    </row>
    <row r="12582">
      <c r="C12582" s="85"/>
      <c r="D12582" s="25"/>
      <c r="E12582" s="77"/>
      <c r="F12582" s="88"/>
      <c r="G12582" s="88"/>
      <c r="H12582" s="89"/>
      <c r="K12582" s="58"/>
      <c r="L12582" s="91"/>
      <c r="M12582" s="78"/>
    </row>
    <row r="12583">
      <c r="C12583" s="85"/>
      <c r="D12583" s="25"/>
      <c r="E12583" s="77"/>
      <c r="F12583" s="88"/>
      <c r="G12583" s="88"/>
      <c r="H12583" s="89"/>
      <c r="K12583" s="58"/>
      <c r="L12583" s="91"/>
      <c r="M12583" s="78"/>
    </row>
    <row r="12584">
      <c r="C12584" s="85"/>
      <c r="D12584" s="25"/>
      <c r="E12584" s="77"/>
      <c r="F12584" s="88"/>
      <c r="G12584" s="88"/>
      <c r="H12584" s="89"/>
      <c r="K12584" s="58"/>
      <c r="L12584" s="91"/>
      <c r="M12584" s="78"/>
    </row>
    <row r="12585">
      <c r="C12585" s="85"/>
      <c r="D12585" s="25"/>
      <c r="E12585" s="77"/>
      <c r="F12585" s="88"/>
      <c r="G12585" s="88"/>
      <c r="H12585" s="89"/>
      <c r="K12585" s="58"/>
      <c r="L12585" s="91"/>
      <c r="M12585" s="78"/>
    </row>
    <row r="12586">
      <c r="C12586" s="85"/>
      <c r="D12586" s="25"/>
      <c r="E12586" s="77"/>
      <c r="F12586" s="88"/>
      <c r="G12586" s="88"/>
      <c r="H12586" s="89"/>
      <c r="K12586" s="58"/>
      <c r="L12586" s="91"/>
      <c r="M12586" s="78"/>
    </row>
    <row r="12587">
      <c r="C12587" s="85"/>
      <c r="D12587" s="25"/>
      <c r="E12587" s="77"/>
      <c r="F12587" s="88"/>
      <c r="G12587" s="88"/>
      <c r="H12587" s="89"/>
      <c r="K12587" s="58"/>
      <c r="L12587" s="91"/>
      <c r="M12587" s="78"/>
    </row>
    <row r="12588">
      <c r="C12588" s="85"/>
      <c r="D12588" s="25"/>
      <c r="E12588" s="77"/>
      <c r="F12588" s="88"/>
      <c r="G12588" s="88"/>
      <c r="H12588" s="89"/>
      <c r="K12588" s="58"/>
      <c r="L12588" s="91"/>
      <c r="M12588" s="78"/>
    </row>
    <row r="12589">
      <c r="C12589" s="85"/>
      <c r="D12589" s="25"/>
      <c r="E12589" s="77"/>
      <c r="F12589" s="88"/>
      <c r="G12589" s="88"/>
      <c r="H12589" s="89"/>
      <c r="K12589" s="58"/>
      <c r="L12589" s="91"/>
      <c r="M12589" s="78"/>
    </row>
    <row r="12590">
      <c r="C12590" s="85"/>
      <c r="D12590" s="25"/>
      <c r="E12590" s="77"/>
      <c r="F12590" s="88"/>
      <c r="G12590" s="88"/>
      <c r="H12590" s="89"/>
      <c r="K12590" s="58"/>
      <c r="L12590" s="91"/>
      <c r="M12590" s="78"/>
    </row>
    <row r="12591">
      <c r="C12591" s="85"/>
      <c r="D12591" s="25"/>
      <c r="E12591" s="77"/>
      <c r="F12591" s="88"/>
      <c r="G12591" s="88"/>
      <c r="H12591" s="89"/>
      <c r="K12591" s="58"/>
      <c r="L12591" s="91"/>
      <c r="M12591" s="78"/>
    </row>
    <row r="12592">
      <c r="C12592" s="85"/>
      <c r="D12592" s="25"/>
      <c r="E12592" s="77"/>
      <c r="F12592" s="88"/>
      <c r="G12592" s="88"/>
      <c r="H12592" s="89"/>
      <c r="K12592" s="58"/>
      <c r="L12592" s="91"/>
      <c r="M12592" s="78"/>
    </row>
    <row r="12593">
      <c r="C12593" s="85"/>
      <c r="D12593" s="25"/>
      <c r="E12593" s="77"/>
      <c r="F12593" s="88"/>
      <c r="G12593" s="88"/>
      <c r="H12593" s="89"/>
      <c r="K12593" s="58"/>
      <c r="L12593" s="91"/>
      <c r="M12593" s="78"/>
    </row>
    <row r="12594">
      <c r="C12594" s="85"/>
      <c r="D12594" s="25"/>
      <c r="E12594" s="77"/>
      <c r="F12594" s="88"/>
      <c r="G12594" s="88"/>
      <c r="H12594" s="89"/>
      <c r="K12594" s="58"/>
      <c r="L12594" s="91"/>
      <c r="M12594" s="78"/>
    </row>
    <row r="12595">
      <c r="C12595" s="85"/>
      <c r="D12595" s="25"/>
      <c r="E12595" s="77"/>
      <c r="F12595" s="88"/>
      <c r="G12595" s="88"/>
      <c r="H12595" s="89"/>
      <c r="K12595" s="58"/>
      <c r="L12595" s="91"/>
      <c r="M12595" s="78"/>
    </row>
    <row r="12596">
      <c r="C12596" s="85"/>
      <c r="D12596" s="25"/>
      <c r="E12596" s="77"/>
      <c r="F12596" s="88"/>
      <c r="G12596" s="88"/>
      <c r="H12596" s="89"/>
      <c r="K12596" s="58"/>
      <c r="L12596" s="91"/>
      <c r="M12596" s="78"/>
    </row>
    <row r="12597">
      <c r="C12597" s="85"/>
      <c r="D12597" s="25"/>
      <c r="E12597" s="77"/>
      <c r="F12597" s="88"/>
      <c r="G12597" s="88"/>
      <c r="H12597" s="89"/>
      <c r="K12597" s="58"/>
      <c r="L12597" s="91"/>
      <c r="M12597" s="78"/>
    </row>
    <row r="12598">
      <c r="C12598" s="85"/>
      <c r="D12598" s="25"/>
      <c r="E12598" s="77"/>
      <c r="F12598" s="88"/>
      <c r="G12598" s="88"/>
      <c r="H12598" s="89"/>
      <c r="K12598" s="58"/>
      <c r="L12598" s="91"/>
      <c r="M12598" s="78"/>
    </row>
    <row r="12599">
      <c r="C12599" s="85"/>
      <c r="D12599" s="25"/>
      <c r="E12599" s="77"/>
      <c r="F12599" s="88"/>
      <c r="G12599" s="88"/>
      <c r="H12599" s="89"/>
      <c r="K12599" s="58"/>
      <c r="L12599" s="91"/>
      <c r="M12599" s="78"/>
    </row>
    <row r="12600">
      <c r="C12600" s="85"/>
      <c r="D12600" s="25"/>
      <c r="E12600" s="77"/>
      <c r="F12600" s="88"/>
      <c r="G12600" s="88"/>
      <c r="H12600" s="89"/>
      <c r="K12600" s="58"/>
      <c r="L12600" s="91"/>
      <c r="M12600" s="78"/>
    </row>
    <row r="12601">
      <c r="C12601" s="85"/>
      <c r="D12601" s="25"/>
      <c r="E12601" s="77"/>
      <c r="F12601" s="88"/>
      <c r="G12601" s="88"/>
      <c r="H12601" s="89"/>
      <c r="K12601" s="58"/>
      <c r="L12601" s="91"/>
      <c r="M12601" s="78"/>
    </row>
    <row r="12602">
      <c r="C12602" s="85"/>
      <c r="D12602" s="25"/>
      <c r="E12602" s="77"/>
      <c r="F12602" s="88"/>
      <c r="G12602" s="88"/>
      <c r="H12602" s="89"/>
      <c r="K12602" s="58"/>
      <c r="L12602" s="91"/>
      <c r="M12602" s="78"/>
    </row>
    <row r="12603">
      <c r="C12603" s="85"/>
      <c r="D12603" s="25"/>
      <c r="E12603" s="77"/>
      <c r="F12603" s="88"/>
      <c r="G12603" s="88"/>
      <c r="H12603" s="89"/>
      <c r="K12603" s="58"/>
      <c r="L12603" s="91"/>
      <c r="M12603" s="78"/>
    </row>
    <row r="12604">
      <c r="C12604" s="85"/>
      <c r="D12604" s="25"/>
      <c r="E12604" s="77"/>
      <c r="F12604" s="88"/>
      <c r="G12604" s="88"/>
      <c r="H12604" s="89"/>
      <c r="K12604" s="58"/>
      <c r="L12604" s="91"/>
      <c r="M12604" s="78"/>
    </row>
    <row r="12605">
      <c r="C12605" s="85"/>
      <c r="D12605" s="25"/>
      <c r="E12605" s="77"/>
      <c r="F12605" s="88"/>
      <c r="G12605" s="88"/>
      <c r="H12605" s="89"/>
      <c r="K12605" s="58"/>
      <c r="L12605" s="91"/>
      <c r="M12605" s="78"/>
    </row>
    <row r="12606">
      <c r="C12606" s="85"/>
      <c r="D12606" s="25"/>
      <c r="E12606" s="77"/>
      <c r="F12606" s="88"/>
      <c r="G12606" s="88"/>
      <c r="H12606" s="89"/>
      <c r="K12606" s="58"/>
      <c r="L12606" s="91"/>
      <c r="M12606" s="78"/>
    </row>
    <row r="12607">
      <c r="C12607" s="85"/>
      <c r="D12607" s="25"/>
      <c r="E12607" s="77"/>
      <c r="F12607" s="88"/>
      <c r="G12607" s="88"/>
      <c r="H12607" s="89"/>
      <c r="K12607" s="58"/>
      <c r="L12607" s="91"/>
      <c r="M12607" s="78"/>
    </row>
    <row r="12608">
      <c r="C12608" s="85"/>
      <c r="D12608" s="25"/>
      <c r="E12608" s="77"/>
      <c r="F12608" s="88"/>
      <c r="G12608" s="88"/>
      <c r="H12608" s="89"/>
      <c r="K12608" s="58"/>
      <c r="L12608" s="91"/>
      <c r="M12608" s="78"/>
    </row>
    <row r="12609">
      <c r="C12609" s="85"/>
      <c r="D12609" s="25"/>
      <c r="E12609" s="77"/>
      <c r="F12609" s="88"/>
      <c r="G12609" s="88"/>
      <c r="H12609" s="89"/>
      <c r="K12609" s="58"/>
      <c r="L12609" s="91"/>
      <c r="M12609" s="78"/>
    </row>
    <row r="12610">
      <c r="C12610" s="85"/>
      <c r="D12610" s="25"/>
      <c r="E12610" s="77"/>
      <c r="F12610" s="88"/>
      <c r="G12610" s="88"/>
      <c r="H12610" s="89"/>
      <c r="K12610" s="58"/>
      <c r="L12610" s="91"/>
      <c r="M12610" s="78"/>
    </row>
    <row r="12611">
      <c r="C12611" s="85"/>
      <c r="D12611" s="25"/>
      <c r="E12611" s="77"/>
      <c r="F12611" s="88"/>
      <c r="G12611" s="88"/>
      <c r="H12611" s="89"/>
      <c r="K12611" s="58"/>
      <c r="L12611" s="91"/>
      <c r="M12611" s="78"/>
    </row>
    <row r="12612">
      <c r="C12612" s="85"/>
      <c r="D12612" s="25"/>
      <c r="E12612" s="77"/>
      <c r="F12612" s="88"/>
      <c r="G12612" s="88"/>
      <c r="H12612" s="89"/>
      <c r="K12612" s="58"/>
      <c r="L12612" s="91"/>
      <c r="M12612" s="78"/>
    </row>
    <row r="12613">
      <c r="C12613" s="85"/>
      <c r="D12613" s="25"/>
      <c r="E12613" s="77"/>
      <c r="F12613" s="88"/>
      <c r="G12613" s="88"/>
      <c r="H12613" s="89"/>
      <c r="K12613" s="58"/>
      <c r="L12613" s="91"/>
      <c r="M12613" s="78"/>
    </row>
    <row r="12614">
      <c r="C12614" s="85"/>
      <c r="D12614" s="25"/>
      <c r="E12614" s="77"/>
      <c r="F12614" s="88"/>
      <c r="G12614" s="88"/>
      <c r="H12614" s="89"/>
      <c r="K12614" s="58"/>
      <c r="L12614" s="91"/>
      <c r="M12614" s="78"/>
    </row>
    <row r="12615">
      <c r="C12615" s="85"/>
      <c r="D12615" s="25"/>
      <c r="E12615" s="77"/>
      <c r="F12615" s="88"/>
      <c r="G12615" s="88"/>
      <c r="H12615" s="89"/>
      <c r="K12615" s="58"/>
      <c r="L12615" s="91"/>
      <c r="M12615" s="78"/>
    </row>
    <row r="12616">
      <c r="C12616" s="85"/>
      <c r="D12616" s="25"/>
      <c r="E12616" s="77"/>
      <c r="F12616" s="88"/>
      <c r="G12616" s="88"/>
      <c r="H12616" s="89"/>
      <c r="K12616" s="58"/>
      <c r="L12616" s="91"/>
      <c r="M12616" s="78"/>
    </row>
    <row r="12617">
      <c r="C12617" s="85"/>
      <c r="D12617" s="25"/>
      <c r="E12617" s="77"/>
      <c r="F12617" s="88"/>
      <c r="G12617" s="88"/>
      <c r="H12617" s="89"/>
      <c r="K12617" s="58"/>
      <c r="L12617" s="91"/>
      <c r="M12617" s="78"/>
    </row>
    <row r="12618">
      <c r="C12618" s="85"/>
      <c r="D12618" s="25"/>
      <c r="E12618" s="77"/>
      <c r="F12618" s="88"/>
      <c r="G12618" s="88"/>
      <c r="H12618" s="89"/>
      <c r="K12618" s="58"/>
      <c r="L12618" s="91"/>
      <c r="M12618" s="78"/>
    </row>
    <row r="12619">
      <c r="C12619" s="85"/>
      <c r="D12619" s="25"/>
      <c r="E12619" s="77"/>
      <c r="F12619" s="88"/>
      <c r="G12619" s="88"/>
      <c r="H12619" s="89"/>
      <c r="K12619" s="58"/>
      <c r="L12619" s="91"/>
      <c r="M12619" s="78"/>
    </row>
    <row r="12620">
      <c r="C12620" s="85"/>
      <c r="D12620" s="25"/>
      <c r="E12620" s="77"/>
      <c r="F12620" s="88"/>
      <c r="G12620" s="88"/>
      <c r="H12620" s="89"/>
      <c r="K12620" s="58"/>
      <c r="L12620" s="91"/>
      <c r="M12620" s="78"/>
    </row>
    <row r="12621">
      <c r="C12621" s="85"/>
      <c r="D12621" s="25"/>
      <c r="E12621" s="77"/>
      <c r="F12621" s="88"/>
      <c r="G12621" s="88"/>
      <c r="H12621" s="89"/>
      <c r="K12621" s="58"/>
      <c r="L12621" s="91"/>
      <c r="M12621" s="78"/>
    </row>
    <row r="12622">
      <c r="C12622" s="85"/>
      <c r="D12622" s="25"/>
      <c r="E12622" s="77"/>
      <c r="F12622" s="88"/>
      <c r="G12622" s="88"/>
      <c r="H12622" s="89"/>
      <c r="K12622" s="58"/>
      <c r="L12622" s="91"/>
      <c r="M12622" s="78"/>
    </row>
    <row r="12623">
      <c r="C12623" s="85"/>
      <c r="D12623" s="25"/>
      <c r="E12623" s="77"/>
      <c r="F12623" s="88"/>
      <c r="G12623" s="88"/>
      <c r="H12623" s="89"/>
      <c r="K12623" s="58"/>
      <c r="L12623" s="91"/>
      <c r="M12623" s="78"/>
    </row>
    <row r="12624">
      <c r="C12624" s="85"/>
      <c r="D12624" s="25"/>
      <c r="E12624" s="77"/>
      <c r="F12624" s="88"/>
      <c r="G12624" s="88"/>
      <c r="H12624" s="89"/>
      <c r="K12624" s="58"/>
      <c r="L12624" s="91"/>
      <c r="M12624" s="78"/>
    </row>
    <row r="12625">
      <c r="C12625" s="85"/>
      <c r="D12625" s="25"/>
      <c r="E12625" s="77"/>
      <c r="F12625" s="88"/>
      <c r="G12625" s="88"/>
      <c r="H12625" s="89"/>
      <c r="K12625" s="58"/>
      <c r="L12625" s="91"/>
      <c r="M12625" s="78"/>
    </row>
    <row r="12626">
      <c r="C12626" s="85"/>
      <c r="D12626" s="25"/>
      <c r="E12626" s="77"/>
      <c r="F12626" s="88"/>
      <c r="G12626" s="88"/>
      <c r="H12626" s="89"/>
      <c r="K12626" s="58"/>
      <c r="L12626" s="91"/>
      <c r="M12626" s="78"/>
    </row>
    <row r="12627">
      <c r="C12627" s="85"/>
      <c r="D12627" s="25"/>
      <c r="E12627" s="77"/>
      <c r="F12627" s="88"/>
      <c r="G12627" s="88"/>
      <c r="H12627" s="89"/>
      <c r="K12627" s="58"/>
      <c r="L12627" s="91"/>
      <c r="M12627" s="78"/>
    </row>
    <row r="12628">
      <c r="C12628" s="85"/>
      <c r="D12628" s="25"/>
      <c r="E12628" s="77"/>
      <c r="F12628" s="88"/>
      <c r="G12628" s="88"/>
      <c r="H12628" s="89"/>
      <c r="K12628" s="58"/>
      <c r="L12628" s="91"/>
      <c r="M12628" s="78"/>
    </row>
    <row r="12629">
      <c r="C12629" s="85"/>
      <c r="D12629" s="25"/>
      <c r="E12629" s="77"/>
      <c r="F12629" s="88"/>
      <c r="G12629" s="88"/>
      <c r="H12629" s="89"/>
      <c r="K12629" s="58"/>
      <c r="L12629" s="91"/>
      <c r="M12629" s="78"/>
    </row>
    <row r="12630">
      <c r="C12630" s="85"/>
      <c r="D12630" s="25"/>
      <c r="E12630" s="77"/>
      <c r="F12630" s="88"/>
      <c r="G12630" s="88"/>
      <c r="H12630" s="89"/>
      <c r="K12630" s="58"/>
      <c r="L12630" s="91"/>
      <c r="M12630" s="78"/>
    </row>
    <row r="12631">
      <c r="C12631" s="85"/>
      <c r="D12631" s="25"/>
      <c r="E12631" s="77"/>
      <c r="F12631" s="88"/>
      <c r="G12631" s="88"/>
      <c r="H12631" s="89"/>
      <c r="K12631" s="58"/>
      <c r="L12631" s="91"/>
      <c r="M12631" s="78"/>
    </row>
    <row r="12632">
      <c r="C12632" s="85"/>
      <c r="D12632" s="25"/>
      <c r="E12632" s="77"/>
      <c r="F12632" s="88"/>
      <c r="G12632" s="88"/>
      <c r="H12632" s="89"/>
      <c r="K12632" s="58"/>
      <c r="L12632" s="91"/>
      <c r="M12632" s="78"/>
    </row>
    <row r="12633">
      <c r="C12633" s="85"/>
      <c r="D12633" s="25"/>
      <c r="E12633" s="77"/>
      <c r="F12633" s="88"/>
      <c r="G12633" s="88"/>
      <c r="H12633" s="89"/>
      <c r="K12633" s="58"/>
      <c r="L12633" s="91"/>
      <c r="M12633" s="78"/>
    </row>
    <row r="12634">
      <c r="C12634" s="85"/>
      <c r="D12634" s="25"/>
      <c r="E12634" s="77"/>
      <c r="F12634" s="88"/>
      <c r="G12634" s="88"/>
      <c r="H12634" s="89"/>
      <c r="K12634" s="58"/>
      <c r="L12634" s="91"/>
      <c r="M12634" s="78"/>
    </row>
    <row r="12635">
      <c r="C12635" s="85"/>
      <c r="D12635" s="25"/>
      <c r="E12635" s="77"/>
      <c r="F12635" s="88"/>
      <c r="G12635" s="88"/>
      <c r="H12635" s="89"/>
      <c r="K12635" s="58"/>
      <c r="L12635" s="91"/>
      <c r="M12635" s="78"/>
    </row>
    <row r="12636">
      <c r="C12636" s="85"/>
      <c r="D12636" s="25"/>
      <c r="E12636" s="77"/>
      <c r="F12636" s="88"/>
      <c r="G12636" s="88"/>
      <c r="H12636" s="89"/>
      <c r="K12636" s="58"/>
      <c r="L12636" s="91"/>
      <c r="M12636" s="78"/>
    </row>
    <row r="12637">
      <c r="C12637" s="85"/>
      <c r="D12637" s="25"/>
      <c r="E12637" s="77"/>
      <c r="F12637" s="88"/>
      <c r="G12637" s="88"/>
      <c r="H12637" s="89"/>
      <c r="K12637" s="58"/>
      <c r="L12637" s="91"/>
      <c r="M12637" s="78"/>
    </row>
    <row r="12638">
      <c r="C12638" s="85"/>
      <c r="D12638" s="25"/>
      <c r="E12638" s="77"/>
      <c r="F12638" s="88"/>
      <c r="G12638" s="88"/>
      <c r="H12638" s="89"/>
      <c r="K12638" s="58"/>
      <c r="L12638" s="91"/>
      <c r="M12638" s="78"/>
    </row>
    <row r="12639">
      <c r="C12639" s="85"/>
      <c r="D12639" s="25"/>
      <c r="E12639" s="77"/>
      <c r="F12639" s="88"/>
      <c r="G12639" s="88"/>
      <c r="H12639" s="89"/>
      <c r="K12639" s="58"/>
      <c r="L12639" s="91"/>
      <c r="M12639" s="78"/>
    </row>
    <row r="12640">
      <c r="C12640" s="85"/>
      <c r="D12640" s="25"/>
      <c r="E12640" s="77"/>
      <c r="F12640" s="88"/>
      <c r="G12640" s="88"/>
      <c r="H12640" s="89"/>
      <c r="K12640" s="58"/>
      <c r="L12640" s="91"/>
      <c r="M12640" s="78"/>
    </row>
    <row r="12641">
      <c r="C12641" s="85"/>
      <c r="D12641" s="25"/>
      <c r="E12641" s="77"/>
      <c r="F12641" s="88"/>
      <c r="G12641" s="88"/>
      <c r="H12641" s="89"/>
      <c r="K12641" s="58"/>
      <c r="L12641" s="91"/>
      <c r="M12641" s="78"/>
    </row>
    <row r="12642">
      <c r="C12642" s="85"/>
      <c r="D12642" s="25"/>
      <c r="E12642" s="77"/>
      <c r="F12642" s="88"/>
      <c r="G12642" s="88"/>
      <c r="H12642" s="89"/>
      <c r="K12642" s="58"/>
      <c r="L12642" s="91"/>
      <c r="M12642" s="78"/>
    </row>
    <row r="12643">
      <c r="C12643" s="85"/>
      <c r="D12643" s="25"/>
      <c r="E12643" s="77"/>
      <c r="F12643" s="88"/>
      <c r="G12643" s="88"/>
      <c r="H12643" s="89"/>
      <c r="K12643" s="58"/>
      <c r="L12643" s="91"/>
      <c r="M12643" s="78"/>
    </row>
    <row r="12644">
      <c r="C12644" s="85"/>
      <c r="D12644" s="25"/>
      <c r="E12644" s="77"/>
      <c r="F12644" s="88"/>
      <c r="G12644" s="88"/>
      <c r="H12644" s="89"/>
      <c r="K12644" s="58"/>
      <c r="L12644" s="91"/>
      <c r="M12644" s="78"/>
    </row>
    <row r="12645">
      <c r="C12645" s="85"/>
      <c r="D12645" s="25"/>
      <c r="E12645" s="77"/>
      <c r="F12645" s="88"/>
      <c r="G12645" s="88"/>
      <c r="H12645" s="89"/>
      <c r="K12645" s="58"/>
      <c r="L12645" s="91"/>
      <c r="M12645" s="78"/>
    </row>
    <row r="12646">
      <c r="C12646" s="85"/>
      <c r="D12646" s="25"/>
      <c r="E12646" s="77"/>
      <c r="F12646" s="88"/>
      <c r="G12646" s="88"/>
      <c r="H12646" s="89"/>
      <c r="K12646" s="58"/>
      <c r="L12646" s="91"/>
      <c r="M12646" s="78"/>
    </row>
    <row r="12647">
      <c r="C12647" s="85"/>
      <c r="D12647" s="25"/>
      <c r="E12647" s="77"/>
      <c r="F12647" s="88"/>
      <c r="G12647" s="88"/>
      <c r="H12647" s="89"/>
      <c r="K12647" s="58"/>
      <c r="L12647" s="91"/>
      <c r="M12647" s="78"/>
    </row>
    <row r="12648">
      <c r="C12648" s="85"/>
      <c r="D12648" s="25"/>
      <c r="E12648" s="77"/>
      <c r="F12648" s="88"/>
      <c r="G12648" s="88"/>
      <c r="H12648" s="89"/>
      <c r="K12648" s="58"/>
      <c r="L12648" s="91"/>
      <c r="M12648" s="78"/>
    </row>
    <row r="12649">
      <c r="C12649" s="85"/>
      <c r="D12649" s="25"/>
      <c r="E12649" s="77"/>
      <c r="F12649" s="88"/>
      <c r="G12649" s="88"/>
      <c r="H12649" s="89"/>
      <c r="K12649" s="58"/>
      <c r="L12649" s="91"/>
      <c r="M12649" s="78"/>
    </row>
    <row r="12650">
      <c r="C12650" s="85"/>
      <c r="D12650" s="25"/>
      <c r="E12650" s="77"/>
      <c r="F12650" s="88"/>
      <c r="G12650" s="88"/>
      <c r="H12650" s="89"/>
      <c r="K12650" s="58"/>
      <c r="L12650" s="91"/>
      <c r="M12650" s="78"/>
    </row>
    <row r="12651">
      <c r="C12651" s="85"/>
      <c r="D12651" s="25"/>
      <c r="E12651" s="77"/>
      <c r="F12651" s="88"/>
      <c r="G12651" s="88"/>
      <c r="H12651" s="89"/>
      <c r="K12651" s="58"/>
      <c r="L12651" s="91"/>
      <c r="M12651" s="78"/>
    </row>
    <row r="12652">
      <c r="C12652" s="85"/>
      <c r="D12652" s="25"/>
      <c r="E12652" s="77"/>
      <c r="F12652" s="88"/>
      <c r="G12652" s="88"/>
      <c r="H12652" s="89"/>
      <c r="K12652" s="58"/>
      <c r="L12652" s="91"/>
      <c r="M12652" s="78"/>
    </row>
    <row r="12653">
      <c r="C12653" s="85"/>
      <c r="D12653" s="25"/>
      <c r="E12653" s="77"/>
      <c r="F12653" s="88"/>
      <c r="G12653" s="88"/>
      <c r="H12653" s="89"/>
      <c r="K12653" s="58"/>
      <c r="L12653" s="91"/>
      <c r="M12653" s="78"/>
    </row>
    <row r="12654">
      <c r="C12654" s="85"/>
      <c r="D12654" s="25"/>
      <c r="E12654" s="77"/>
      <c r="F12654" s="88"/>
      <c r="G12654" s="88"/>
      <c r="H12654" s="89"/>
      <c r="K12654" s="58"/>
      <c r="L12654" s="91"/>
      <c r="M12654" s="78"/>
    </row>
    <row r="12655">
      <c r="C12655" s="85"/>
      <c r="D12655" s="25"/>
      <c r="E12655" s="77"/>
      <c r="F12655" s="88"/>
      <c r="G12655" s="88"/>
      <c r="H12655" s="89"/>
      <c r="K12655" s="58"/>
      <c r="L12655" s="91"/>
      <c r="M12655" s="78"/>
    </row>
    <row r="12656">
      <c r="C12656" s="85"/>
      <c r="D12656" s="25"/>
      <c r="E12656" s="77"/>
      <c r="F12656" s="88"/>
      <c r="G12656" s="88"/>
      <c r="H12656" s="89"/>
      <c r="K12656" s="58"/>
      <c r="L12656" s="91"/>
      <c r="M12656" s="78"/>
    </row>
    <row r="12657">
      <c r="C12657" s="85"/>
      <c r="D12657" s="25"/>
      <c r="E12657" s="77"/>
      <c r="F12657" s="88"/>
      <c r="G12657" s="88"/>
      <c r="H12657" s="89"/>
      <c r="K12657" s="58"/>
      <c r="L12657" s="91"/>
      <c r="M12657" s="78"/>
    </row>
    <row r="12658">
      <c r="C12658" s="85"/>
      <c r="D12658" s="25"/>
      <c r="E12658" s="77"/>
      <c r="F12658" s="88"/>
      <c r="G12658" s="88"/>
      <c r="H12658" s="89"/>
      <c r="K12658" s="58"/>
      <c r="L12658" s="91"/>
      <c r="M12658" s="78"/>
    </row>
    <row r="12659">
      <c r="C12659" s="85"/>
      <c r="D12659" s="25"/>
      <c r="E12659" s="77"/>
      <c r="F12659" s="88"/>
      <c r="G12659" s="88"/>
      <c r="H12659" s="89"/>
      <c r="K12659" s="58"/>
      <c r="L12659" s="91"/>
      <c r="M12659" s="78"/>
    </row>
    <row r="12660">
      <c r="C12660" s="85"/>
      <c r="D12660" s="25"/>
      <c r="E12660" s="77"/>
      <c r="F12660" s="88"/>
      <c r="G12660" s="88"/>
      <c r="H12660" s="89"/>
      <c r="K12660" s="58"/>
      <c r="L12660" s="91"/>
      <c r="M12660" s="78"/>
    </row>
    <row r="12661">
      <c r="C12661" s="85"/>
      <c r="D12661" s="25"/>
      <c r="E12661" s="77"/>
      <c r="F12661" s="88"/>
      <c r="G12661" s="88"/>
      <c r="H12661" s="89"/>
      <c r="K12661" s="58"/>
      <c r="L12661" s="91"/>
      <c r="M12661" s="78"/>
    </row>
    <row r="12662">
      <c r="C12662" s="85"/>
      <c r="D12662" s="25"/>
      <c r="E12662" s="77"/>
      <c r="F12662" s="88"/>
      <c r="G12662" s="88"/>
      <c r="H12662" s="89"/>
      <c r="K12662" s="58"/>
      <c r="L12662" s="91"/>
      <c r="M12662" s="78"/>
    </row>
    <row r="12663">
      <c r="C12663" s="85"/>
      <c r="D12663" s="25"/>
      <c r="E12663" s="77"/>
      <c r="F12663" s="88"/>
      <c r="G12663" s="88"/>
      <c r="H12663" s="89"/>
      <c r="K12663" s="58"/>
      <c r="L12663" s="91"/>
      <c r="M12663" s="78"/>
    </row>
    <row r="12664">
      <c r="C12664" s="85"/>
      <c r="D12664" s="25"/>
      <c r="E12664" s="77"/>
      <c r="F12664" s="88"/>
      <c r="G12664" s="88"/>
      <c r="H12664" s="89"/>
      <c r="K12664" s="58"/>
      <c r="L12664" s="91"/>
      <c r="M12664" s="78"/>
    </row>
    <row r="12665">
      <c r="C12665" s="85"/>
      <c r="D12665" s="25"/>
      <c r="E12665" s="77"/>
      <c r="F12665" s="88"/>
      <c r="G12665" s="88"/>
      <c r="H12665" s="89"/>
      <c r="K12665" s="58"/>
      <c r="L12665" s="91"/>
      <c r="M12665" s="78"/>
    </row>
    <row r="12666">
      <c r="C12666" s="85"/>
      <c r="D12666" s="25"/>
      <c r="E12666" s="77"/>
      <c r="F12666" s="88"/>
      <c r="G12666" s="88"/>
      <c r="H12666" s="89"/>
      <c r="K12666" s="58"/>
      <c r="L12666" s="91"/>
      <c r="M12666" s="78"/>
    </row>
    <row r="12667">
      <c r="C12667" s="85"/>
      <c r="D12667" s="25"/>
      <c r="E12667" s="77"/>
      <c r="F12667" s="88"/>
      <c r="G12667" s="88"/>
      <c r="H12667" s="89"/>
      <c r="K12667" s="58"/>
      <c r="L12667" s="91"/>
      <c r="M12667" s="78"/>
    </row>
    <row r="12668">
      <c r="C12668" s="85"/>
      <c r="D12668" s="25"/>
      <c r="E12668" s="77"/>
      <c r="F12668" s="88"/>
      <c r="G12668" s="88"/>
      <c r="H12668" s="89"/>
      <c r="K12668" s="58"/>
      <c r="L12668" s="91"/>
      <c r="M12668" s="78"/>
    </row>
    <row r="12669">
      <c r="C12669" s="85"/>
      <c r="D12669" s="25"/>
      <c r="E12669" s="77"/>
      <c r="F12669" s="88"/>
      <c r="G12669" s="88"/>
      <c r="H12669" s="89"/>
      <c r="K12669" s="58"/>
      <c r="L12669" s="91"/>
      <c r="M12669" s="78"/>
    </row>
    <row r="12670">
      <c r="C12670" s="85"/>
      <c r="D12670" s="25"/>
      <c r="E12670" s="77"/>
      <c r="F12670" s="88"/>
      <c r="G12670" s="88"/>
      <c r="H12670" s="89"/>
      <c r="K12670" s="58"/>
      <c r="L12670" s="91"/>
      <c r="M12670" s="78"/>
    </row>
    <row r="12671">
      <c r="C12671" s="85"/>
      <c r="D12671" s="25"/>
      <c r="E12671" s="77"/>
      <c r="F12671" s="88"/>
      <c r="G12671" s="88"/>
      <c r="H12671" s="89"/>
      <c r="K12671" s="58"/>
      <c r="L12671" s="91"/>
      <c r="M12671" s="78"/>
    </row>
  </sheetData>
  <autoFilter ref="$J$1:$J$12671"/>
  <customSheetViews>
    <customSheetView guid="{F5B3B8BB-0CB8-47F1-9B03-21DBECCD9F57}" filter="1" showAutoFilter="1">
      <autoFilter ref="$A$1:$KN$3119">
        <filterColumn colId="9">
          <filters>
            <filter val="Open"/>
          </filters>
        </filterColumn>
      </autoFilter>
    </customSheetView>
    <customSheetView guid="{AC6D8FD8-8457-42C9-B0C2-86A54DE52FF6}" filter="1" showAutoFilter="1">
      <autoFilter ref="$A$1:$M$1470"/>
    </customSheetView>
  </customSheetViews>
  <conditionalFormatting sqref="A2:A6">
    <cfRule type="cellIs" dxfId="5" priority="1" operator="equal">
      <formula>"Chrono"</formula>
    </cfRule>
  </conditionalFormatting>
  <conditionalFormatting sqref="A2">
    <cfRule type="cellIs" dxfId="5" priority="2" operator="equal">
      <formula>"Chrono"</formula>
    </cfRule>
  </conditionalFormatting>
  <conditionalFormatting sqref="B2:B12671">
    <cfRule type="cellIs" dxfId="6" priority="3" operator="equal">
      <formula>"Chrono"</formula>
    </cfRule>
  </conditionalFormatting>
  <conditionalFormatting sqref="B2:B12671">
    <cfRule type="cellIs" dxfId="7" priority="4" operator="equal">
      <formula>"Eneba"</formula>
    </cfRule>
  </conditionalFormatting>
  <conditionalFormatting sqref="B2:B12671">
    <cfRule type="cellIs" dxfId="8" priority="5" operator="equal">
      <formula>"Fanatical"</formula>
    </cfRule>
  </conditionalFormatting>
  <conditionalFormatting sqref="B2:B12671">
    <cfRule type="cellIs" dxfId="9" priority="6" operator="equal">
      <formula>"Gamivo"</formula>
    </cfRule>
  </conditionalFormatting>
  <conditionalFormatting sqref="J2:J12671">
    <cfRule type="cellIs" dxfId="10" priority="7" operator="equal">
      <formula>"Open"</formula>
    </cfRule>
  </conditionalFormatting>
  <conditionalFormatting sqref="J2:J12671">
    <cfRule type="cellIs" dxfId="11" priority="8" operator="equal">
      <formula>"Closed"</formula>
    </cfRule>
  </conditionalFormatting>
  <conditionalFormatting sqref="B2:B12671">
    <cfRule type="cellIs" dxfId="12" priority="9" operator="equal">
      <formula>"GreenMan"</formula>
    </cfRule>
  </conditionalFormatting>
  <conditionalFormatting sqref="B2:B12671">
    <cfRule type="cellIs" dxfId="13" priority="10" operator="equal">
      <formula>"GamesPlanet"</formula>
    </cfRule>
  </conditionalFormatting>
  <conditionalFormatting sqref="B2:B12671">
    <cfRule type="cellIs" dxfId="14" priority="11" operator="equal">
      <formula>"G2A"</formula>
    </cfRule>
  </conditionalFormatting>
  <conditionalFormatting sqref="J2:J12671">
    <cfRule type="cellIs" dxfId="15" priority="12" operator="equal">
      <formula>"Rejected"</formula>
    </cfRule>
  </conditionalFormatting>
  <conditionalFormatting sqref="B1:B12671">
    <cfRule type="cellIs" dxfId="5" priority="13" operator="equal">
      <formula>"IndieGala"</formula>
    </cfRule>
  </conditionalFormatting>
  <conditionalFormatting sqref="B2:B12671">
    <cfRule type="cellIs" dxfId="16" priority="14" operator="equal">
      <formula>"Voidu"</formula>
    </cfRule>
  </conditionalFormatting>
  <conditionalFormatting sqref="B2:B12671">
    <cfRule type="cellIs" dxfId="17" priority="15" operator="equal">
      <formula>"GamesLoad"</formula>
    </cfRule>
  </conditionalFormatting>
  <conditionalFormatting sqref="J2:J12671">
    <cfRule type="cellIs" dxfId="18" priority="16" operator="equal">
      <formula>" "</formula>
    </cfRule>
  </conditionalFormatting>
  <conditionalFormatting sqref="B1:B12671">
    <cfRule type="cellIs" dxfId="19" priority="17" operator="equal">
      <formula>"WinGame"</formula>
    </cfRule>
  </conditionalFormatting>
  <dataValidations>
    <dataValidation type="list" allowBlank="1" sqref="B2:B8982">
      <formula1>"Other,Eneba,Fanatical,GamesPlanet,Gamivo,GreenMan,G2A,IndieGala,K4G,CDKeys,King,WinGame,HRK,InstGam,GamersGate,GamersOutlet,MMOGA,DifMark,PlayAsia,YuPlay"</formula1>
    </dataValidation>
    <dataValidation type="custom" allowBlank="1" showDropDown="1" sqref="Q1133:R1133 R1139:R1140 C1:D12671">
      <formula1>OR(NOT(ISERROR(DATEVALUE(C1))), AND(ISNUMBER(C1), LEFT(CELL("format", C1))="D"))</formula1>
    </dataValidation>
    <dataValidation type="list" allowBlank="1" sqref="J6504:J6515 J6600 J6637:J8982">
      <formula1>"Open,Closed,Rejected"</formula1>
    </dataValidation>
    <dataValidation type="list" allowBlank="1" sqref="J2:J6503 J6516:J6599 J6601:J6636">
      <formula1>"Open,Closed,Rejected"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7.25"/>
    <col customWidth="1" min="2" max="11" width="7.38"/>
    <col customWidth="1" min="12" max="12" width="7.13"/>
    <col customWidth="1" min="13" max="13" width="7.38"/>
    <col customWidth="1" min="14" max="14" width="7.0"/>
    <col customWidth="1" min="15" max="15" width="7.5"/>
    <col customWidth="1" min="16" max="17" width="7.38"/>
    <col customWidth="1" min="18" max="18" width="6.5"/>
    <col customWidth="1" min="19" max="19" width="7.38"/>
    <col customWidth="1" min="20" max="20" width="6.5"/>
    <col customWidth="1" min="21" max="25" width="7.38"/>
    <col customWidth="1" min="26" max="26" width="12.38"/>
  </cols>
  <sheetData>
    <row r="1" collapsed="1">
      <c r="A1" s="90"/>
      <c r="B1" s="121" t="s">
        <v>10202</v>
      </c>
      <c r="C1" s="122"/>
      <c r="D1" s="121" t="s">
        <v>10203</v>
      </c>
      <c r="E1" s="122"/>
      <c r="F1" s="121" t="s">
        <v>10204</v>
      </c>
      <c r="G1" s="122"/>
      <c r="H1" s="121" t="s">
        <v>10205</v>
      </c>
      <c r="I1" s="122"/>
      <c r="J1" s="121" t="s">
        <v>10206</v>
      </c>
      <c r="K1" s="122"/>
      <c r="L1" s="121" t="s">
        <v>10207</v>
      </c>
      <c r="M1" s="122"/>
      <c r="N1" s="121" t="s">
        <v>10208</v>
      </c>
      <c r="O1" s="122"/>
      <c r="P1" s="121" t="s">
        <v>10209</v>
      </c>
      <c r="Q1" s="122"/>
      <c r="R1" s="121" t="s">
        <v>10210</v>
      </c>
      <c r="S1" s="122"/>
      <c r="T1" s="121" t="s">
        <v>10211</v>
      </c>
      <c r="U1" s="122"/>
      <c r="V1" s="121" t="s">
        <v>10212</v>
      </c>
      <c r="W1" s="122"/>
      <c r="X1" s="121" t="s">
        <v>10213</v>
      </c>
      <c r="Y1" s="122"/>
      <c r="Z1" s="123" t="s">
        <v>10214</v>
      </c>
    </row>
    <row r="2" hidden="1" outlineLevel="1">
      <c r="A2" s="124"/>
      <c r="B2" s="125">
        <v>43922.0</v>
      </c>
      <c r="C2" s="125">
        <v>43951.0</v>
      </c>
      <c r="D2" s="125">
        <v>43952.0</v>
      </c>
      <c r="E2" s="125">
        <v>43982.0</v>
      </c>
      <c r="F2" s="125">
        <v>43983.0</v>
      </c>
      <c r="G2" s="125">
        <v>44012.0</v>
      </c>
      <c r="H2" s="125">
        <v>44013.0</v>
      </c>
      <c r="I2" s="125">
        <v>44043.0</v>
      </c>
      <c r="J2" s="125">
        <v>44044.0</v>
      </c>
      <c r="K2" s="125">
        <v>44074.0</v>
      </c>
      <c r="L2" s="125">
        <v>44075.0</v>
      </c>
      <c r="M2" s="125">
        <v>44104.0</v>
      </c>
      <c r="N2" s="125">
        <v>44105.0</v>
      </c>
      <c r="O2" s="125">
        <v>44135.0</v>
      </c>
      <c r="P2" s="125">
        <v>44136.0</v>
      </c>
      <c r="Q2" s="125">
        <v>44165.0</v>
      </c>
      <c r="R2" s="125">
        <v>44166.0</v>
      </c>
      <c r="S2" s="125">
        <v>44196.0</v>
      </c>
      <c r="T2" s="125">
        <v>44197.0</v>
      </c>
      <c r="U2" s="125">
        <v>44227.0</v>
      </c>
      <c r="V2" s="125">
        <v>44228.0</v>
      </c>
      <c r="W2" s="125">
        <v>44255.0</v>
      </c>
      <c r="X2" s="125">
        <v>44256.0</v>
      </c>
      <c r="Y2" s="125">
        <v>44286.0</v>
      </c>
      <c r="Z2" s="126"/>
    </row>
    <row r="3" hidden="1" outlineLevel="1">
      <c r="A3" s="127" t="s">
        <v>10215</v>
      </c>
      <c r="B3" s="128">
        <f>IFERROR(__xludf.DUMMYFUNCTION("SUM(FILTER(Inventory!F:F,Inventory!J:J=""Closed"",Inventory!D:D&gt;=B2,Inventory!D:D&lt;=C2))"),65.97)</f>
        <v>65.97</v>
      </c>
      <c r="C3" s="129"/>
      <c r="D3" s="128">
        <f>IFERROR(__xludf.DUMMYFUNCTION("SUM(FILTER(Inventory!F:F,Inventory!J:J=""Closed"",Inventory!D:D&gt;=D2,Inventory!D:D&lt;=E2))"),346.67)</f>
        <v>346.67</v>
      </c>
      <c r="E3" s="129"/>
      <c r="F3" s="128">
        <f>IFERROR(__xludf.DUMMYFUNCTION("SUM(FILTER(Inventory!F:F,Inventory!J:J=""Closed"",Inventory!D:D&gt;=F2,Inventory!D:D&lt;=G2))"),410.05999999999966)</f>
        <v>410.06</v>
      </c>
      <c r="G3" s="129"/>
      <c r="H3" s="128">
        <f>IFERROR(__xludf.DUMMYFUNCTION("SUM(FILTER(Inventory!F:F,Inventory!J:J=""Closed"",Inventory!D:D&gt;=H2,Inventory!D:D&lt;=I2))"),416.56999999999994)</f>
        <v>416.57</v>
      </c>
      <c r="I3" s="129"/>
      <c r="J3" s="130">
        <f>SUMIFS(Inventory!F:F, Inventory!D:D,"&gt;="&amp;J2,Inventory!D:D,"&lt;="&amp;K2)</f>
        <v>432.68</v>
      </c>
      <c r="K3" s="129"/>
      <c r="L3" s="128">
        <f>IFERROR(__xludf.DUMMYFUNCTION("SUM(FILTER(Inventory!F:F,Inventory!J:J=""Closed"",Inventory!D:D&gt;=L2,Inventory!D:D&lt;=M2))"),281.75000000000006)</f>
        <v>281.75</v>
      </c>
      <c r="M3" s="129"/>
      <c r="N3" s="128">
        <f>IFERROR(__xludf.DUMMYFUNCTION("SUM(FILTER(Inventory!F:F,Inventory!J:J=""Closed"",Inventory!D:D&gt;=N2,Inventory!D:D&lt;=O2))"),417.96999999999997)</f>
        <v>417.97</v>
      </c>
      <c r="O3" s="129"/>
      <c r="P3" s="128">
        <f>IFERROR(__xludf.DUMMYFUNCTION("SUM(FILTER(Inventory!F:F,Inventory!J:J=""Closed"",Inventory!D:D&gt;=P2,Inventory!D:D&lt;=Q2))"),219.04)</f>
        <v>219.04</v>
      </c>
      <c r="Q3" s="129"/>
      <c r="R3" s="128">
        <f>IFERROR(__xludf.DUMMYFUNCTION("SUM(FILTER(Inventory!F:F,Inventory!J:J=""Closed"",Inventory!D:D&gt;=R2,Inventory!D:D&lt;=S2))"),370.59)</f>
        <v>370.59</v>
      </c>
      <c r="S3" s="129"/>
      <c r="T3" s="128">
        <f>IFERROR(__xludf.DUMMYFUNCTION("SUM(FILTER(Inventory!F:F,Inventory!J:J=""Closed"",Inventory!D:D&gt;=T2,Inventory!D:D&lt;=U2))"),318.6200000000002)</f>
        <v>318.62</v>
      </c>
      <c r="U3" s="129"/>
      <c r="V3" s="128">
        <f>IFERROR(__xludf.DUMMYFUNCTION("SUM(FILTER(Inventory!F:F,Inventory!J:J=""Closed"",Inventory!D:D&gt;=V2,Inventory!D:D&lt;=W2))"),102.67)</f>
        <v>102.67</v>
      </c>
      <c r="W3" s="129"/>
      <c r="X3" s="128">
        <f>IFERROR(__xludf.DUMMYFUNCTION("SUM(FILTER(Inventory!F:F,Inventory!J:J=""Closed"",Inventory!D:D&gt;=X2,Inventory!D:D&lt;=Y2))"),233.06000000000003)</f>
        <v>233.06</v>
      </c>
      <c r="Y3" s="129"/>
      <c r="Z3" s="131"/>
    </row>
    <row r="4" hidden="1" outlineLevel="1">
      <c r="A4" s="132" t="s">
        <v>10216</v>
      </c>
      <c r="B4" s="133">
        <f>IFERROR(__xludf.DUMMYFUNCTION("SUM(FILTER(Inventory!E:E,Inventory!J:J=""Closed"",Inventory!D:D&gt;=B2,Inventory!D:D&lt;=C2))"),54.33)</f>
        <v>54.33</v>
      </c>
      <c r="C4" s="129"/>
      <c r="D4" s="133">
        <f>IFERROR(__xludf.DUMMYFUNCTION("SUM(FILTER(Inventory!E:E,Inventory!J:J=""Closed"",Inventory!D:D&gt;=D2,Inventory!D:D&lt;=E2))"),249.37000000000006)</f>
        <v>249.37</v>
      </c>
      <c r="E4" s="129"/>
      <c r="F4" s="133">
        <f>IFERROR(__xludf.DUMMYFUNCTION("SUM(FILTER(Inventory!E:E,Inventory!J:J=""Closed"",Inventory!D:D&gt;=F2,Inventory!D:D&lt;=G2))"),288.35999999999996)</f>
        <v>288.36</v>
      </c>
      <c r="G4" s="129"/>
      <c r="H4" s="133">
        <f>IFERROR(__xludf.DUMMYFUNCTION("SUM(FILTER(Inventory!E:E,Inventory!J:J=""Closed"",Inventory!D:D&gt;=H2,Inventory!D:D&lt;=I2))"),288.36999999999995)</f>
        <v>288.37</v>
      </c>
      <c r="I4" s="129"/>
      <c r="J4" s="130">
        <f>SUMIFS(Inventory!E:E, Inventory!D:D,"&gt;="&amp;J2,Inventory!D:D,"&lt;="&amp;K2)</f>
        <v>291.44</v>
      </c>
      <c r="K4" s="129"/>
      <c r="L4" s="133">
        <f>IFERROR(__xludf.DUMMYFUNCTION("SUM(FILTER(Inventory!E:E,Inventory!J:J=""Closed"",Inventory!D:D&gt;=L2,Inventory!D:D&lt;=M2))"),195.22999999999988)</f>
        <v>195.23</v>
      </c>
      <c r="M4" s="129"/>
      <c r="N4" s="133">
        <f>IFERROR(__xludf.DUMMYFUNCTION("SUM(FILTER(Inventory!E:E,Inventory!J:J=""Closed"",Inventory!D:D&gt;=N2,Inventory!D:D&lt;=O2))"),290.0999999999999)</f>
        <v>290.1</v>
      </c>
      <c r="O4" s="129"/>
      <c r="P4" s="133">
        <f>IFERROR(__xludf.DUMMYFUNCTION("SUM(FILTER(Inventory!E:E,Inventory!J:J=""Closed"",Inventory!D:D&gt;=P2,Inventory!D:D&lt;=Q2))"),152.52999999999997)</f>
        <v>152.53</v>
      </c>
      <c r="Q4" s="129"/>
      <c r="R4" s="133">
        <f>IFERROR(__xludf.DUMMYFUNCTION("SUM(FILTER(Inventory!E:E,Inventory!J:J=""Closed"",Inventory!D:D&gt;=R2,Inventory!D:D&lt;=S2))"),261.33)</f>
        <v>261.33</v>
      </c>
      <c r="S4" s="129"/>
      <c r="T4" s="133">
        <f>IFERROR(__xludf.DUMMYFUNCTION("SUM(FILTER(Inventory!E:E,Inventory!J:J=""Closed"",Inventory!D:D&gt;=T2,Inventory!D:D&lt;=U2))"),236.65999999999994)</f>
        <v>236.66</v>
      </c>
      <c r="U4" s="129"/>
      <c r="V4" s="133">
        <f>IFERROR(__xludf.DUMMYFUNCTION("SUM(FILTER(Inventory!E:E,Inventory!J:J=""Closed"",Inventory!D:D&gt;=V2,Inventory!D:D&lt;=W2))"),78.96000000000001)</f>
        <v>78.96</v>
      </c>
      <c r="W4" s="129"/>
      <c r="X4" s="133">
        <f>IFERROR(__xludf.DUMMYFUNCTION("SUM(FILTER(Inventory!E:E,Inventory!J:J=""Closed"",Inventory!D:D&gt;=X2,Inventory!D:D&lt;=Y2))"),176.26000000000002)</f>
        <v>176.26</v>
      </c>
      <c r="Y4" s="129"/>
      <c r="Z4" s="131"/>
    </row>
    <row r="5" hidden="1" outlineLevel="1">
      <c r="A5" s="134" t="s">
        <v>10217</v>
      </c>
      <c r="B5" s="135">
        <f>IFERROR(__xludf.DUMMYFUNCTION("SUM(FILTER(Inventory!G:G,Inventory!J:J=""Closed"",Inventory!D:D&gt;=B2,Inventory!D:D&lt;=C2))"),11.639999999999997)</f>
        <v>11.64</v>
      </c>
      <c r="C5" s="129"/>
      <c r="D5" s="135">
        <f>IFERROR(__xludf.DUMMYFUNCTION("SUM(FILTER(Inventory!G:G,Inventory!J:J=""Closed"",Inventory!D:D&gt;=D2,Inventory!D:D&lt;=E2))"),97.29999999999998)</f>
        <v>97.3</v>
      </c>
      <c r="E5" s="129"/>
      <c r="F5" s="135">
        <f>IFERROR(__xludf.DUMMYFUNCTION("SUM(FILTER(Inventory!G:G,Inventory!J:J=""Closed"",Inventory!D:D&gt;=F2,Inventory!D:D&lt;=G2))"),121.69999999999999)</f>
        <v>121.7</v>
      </c>
      <c r="G5" s="129"/>
      <c r="H5" s="135">
        <f>IFERROR(__xludf.DUMMYFUNCTION("SUM(FILTER(Inventory!G:G,Inventory!J:J=""Closed"",Inventory!D:D&gt;=H2,Inventory!D:D&lt;=I2))"),128.20000000000002)</f>
        <v>128.2</v>
      </c>
      <c r="I5" s="129"/>
      <c r="J5" s="136">
        <f>SUMIFS(Inventory!G:G, Inventory!D:D,"&gt;="&amp;J2,Inventory!D:D,"&lt;="&amp;K2)</f>
        <v>141.24</v>
      </c>
      <c r="K5" s="129"/>
      <c r="L5" s="135">
        <f>IFERROR(__xludf.DUMMYFUNCTION("SUM(FILTER(Inventory!G:G,Inventory!J:J=""Closed"",Inventory!D:D&gt;=L2,Inventory!D:D&lt;=M2))"),86.52000000000002)</f>
        <v>86.52</v>
      </c>
      <c r="M5" s="129"/>
      <c r="N5" s="135">
        <f>IFERROR(__xludf.DUMMYFUNCTION("SUM(FILTER(Inventory!G:G,Inventory!J:J=""Closed"",Inventory!D:D&gt;=N2,Inventory!D:D&lt;=O2))"),127.86999999999996)</f>
        <v>127.87</v>
      </c>
      <c r="O5" s="129"/>
      <c r="P5" s="135">
        <f>IFERROR(__xludf.DUMMYFUNCTION("SUM(FILTER(Inventory!G:G,Inventory!J:J=""Closed"",Inventory!D:D&gt;=P2,Inventory!D:D&lt;=Q2))"),66.50999999999999)</f>
        <v>66.51</v>
      </c>
      <c r="Q5" s="129"/>
      <c r="R5" s="135">
        <f>IFERROR(__xludf.DUMMYFUNCTION("SUM(FILTER(Inventory!G:G,Inventory!J:J=""Closed"",Inventory!D:D&gt;=R2,Inventory!D:D&lt;=S2))"),109.25999999999999)</f>
        <v>109.26</v>
      </c>
      <c r="S5" s="129"/>
      <c r="T5" s="135">
        <f>IFERROR(__xludf.DUMMYFUNCTION("SUM(FILTER(Inventory!G:G,Inventory!J:J=""Closed"",Inventory!D:D&gt;=T2,Inventory!D:D&lt;=U2))"),81.96)</f>
        <v>81.96</v>
      </c>
      <c r="U5" s="129"/>
      <c r="V5" s="135">
        <f>IFERROR(__xludf.DUMMYFUNCTION("SUM(FILTER(Inventory!G:G,Inventory!J:J=""Closed"",Inventory!D:D&gt;=V2,Inventory!D:D&lt;=W2))"),23.709999999999994)</f>
        <v>23.71</v>
      </c>
      <c r="W5" s="129"/>
      <c r="X5" s="135">
        <f>IFERROR(__xludf.DUMMYFUNCTION("SUM(FILTER(Inventory!G:G,Inventory!J:J=""Closed"",Inventory!D:D&gt;=X2,Inventory!D:D&lt;=Y2))"),56.800000000000004)</f>
        <v>56.8</v>
      </c>
      <c r="Y5" s="129"/>
      <c r="Z5" s="131"/>
    </row>
    <row r="6" hidden="1" outlineLevel="1">
      <c r="A6" s="137" t="s">
        <v>10218</v>
      </c>
      <c r="B6" s="136">
        <f>COUNTIFS(Inventory!J:J,"Closed", Inventory!D:D,"&gt;="&amp;B2,Inventory!D:D,"&lt;="&amp;C2)</f>
        <v>4</v>
      </c>
      <c r="C6" s="129"/>
      <c r="D6" s="136">
        <f>COUNTIFS(Inventory!J:J,"Closed", Inventory!D:D,"&gt;="&amp;D2,Inventory!D:D,"&lt;="&amp;E2)</f>
        <v>38</v>
      </c>
      <c r="E6" s="129"/>
      <c r="F6" s="136">
        <f>COUNTIFS(Inventory!J:J,"Closed", Inventory!D:D,"&gt;="&amp;F2,Inventory!D:D,"&lt;="&amp;G2)</f>
        <v>67</v>
      </c>
      <c r="G6" s="129"/>
      <c r="H6" s="136">
        <f>COUNTIFS(Inventory!J:J,"Closed", Inventory!D:D,"&gt;="&amp;H2,Inventory!D:D,"&lt;="&amp;I2)</f>
        <v>69</v>
      </c>
      <c r="I6" s="129"/>
      <c r="J6" s="136">
        <f>COUNTIFS(Inventory!J:J,"Closed", Inventory!D:D,"&gt;="&amp;J2,Inventory!D:D,"&lt;="&amp;K2)</f>
        <v>94</v>
      </c>
      <c r="K6" s="129"/>
      <c r="L6" s="136">
        <f>COUNTIFS(Inventory!J:J,"Closed", Inventory!D:D,"&gt;="&amp;L2,Inventory!D:D,"&lt;="&amp;M2)</f>
        <v>70</v>
      </c>
      <c r="M6" s="129"/>
      <c r="N6" s="136">
        <f>COUNTIFS(Inventory!J:J,"Closed", Inventory!D:D,"&gt;="&amp;N2,Inventory!D:D,"&lt;="&amp;O2)</f>
        <v>73</v>
      </c>
      <c r="O6" s="129"/>
      <c r="P6" s="136">
        <f>COUNTIFS(Inventory!J:J,"Closed", Inventory!D:D,"&gt;="&amp;P2,Inventory!D:D,"&lt;="&amp;Q2)</f>
        <v>38</v>
      </c>
      <c r="Q6" s="129"/>
      <c r="R6" s="136">
        <f>COUNTIFS(Inventory!J:J,"Closed", Inventory!D:D,"&gt;="&amp;R2,Inventory!D:D,"&lt;="&amp;S2)</f>
        <v>80</v>
      </c>
      <c r="S6" s="129"/>
      <c r="T6" s="136">
        <f>COUNTIFS(Inventory!J:J,"Closed", Inventory!D:D,"&gt;="&amp;T2,Inventory!D:D,"&lt;="&amp;U2)</f>
        <v>46</v>
      </c>
      <c r="U6" s="129"/>
      <c r="V6" s="136">
        <f>COUNTIFS(Inventory!J:J,"Closed", Inventory!D:D,"&gt;="&amp;V2,Inventory!D:D,"&lt;="&amp;W2)</f>
        <v>16</v>
      </c>
      <c r="W6" s="129"/>
      <c r="X6" s="136">
        <f>COUNTIFS(Inventory!J:J,"Closed", Inventory!D:D,"&gt;="&amp;X2,Inventory!D:D,"&lt;="&amp;Y2)</f>
        <v>29</v>
      </c>
      <c r="Y6" s="129"/>
      <c r="Z6" s="131"/>
    </row>
    <row r="7" hidden="1" outlineLevel="1">
      <c r="A7" s="138" t="s">
        <v>10219</v>
      </c>
      <c r="B7" s="139">
        <f>IFERROR(__xludf.DUMMYFUNCTION("AVERAGE(FILTER(Inventory!F:F,Inventory!J:J=""Closed"",Inventory!D:D&gt;=B2,Inventory!D:D&lt;=C2))"),16.4925)</f>
        <v>16.4925</v>
      </c>
      <c r="C7" s="129"/>
      <c r="D7" s="139">
        <f>IFERROR(__xludf.DUMMYFUNCTION("AVERAGE(FILTER(Inventory!F:F,Inventory!J:J=""Closed"",Inventory!D:D&gt;=D2,Inventory!D:D&lt;=F2))"),8.972750000000001)</f>
        <v>8.97275</v>
      </c>
      <c r="E7" s="129"/>
      <c r="F7" s="139">
        <f>IFERROR(__xludf.DUMMYFUNCTION("AVERAGE(FILTER(Inventory!F:F,Inventory!J:J=""Closed"",Inventory!D:D&gt;=F2,Inventory!D:D&lt;=G2))"),6.120298507462682)</f>
        <v>6.120298507</v>
      </c>
      <c r="G7" s="129"/>
      <c r="H7" s="139">
        <f>IFERROR(__xludf.DUMMYFUNCTION("AVERAGE(FILTER(Inventory!F:F,Inventory!J:J=""Closed"",Inventory!D:D&gt;=H2,Inventory!D:D&lt;=I2))"),6.037246376811593)</f>
        <v>6.037246377</v>
      </c>
      <c r="I7" s="129"/>
      <c r="J7" s="139">
        <f>IFERROR(__xludf.DUMMYFUNCTION("AVERAGE(FILTER(Inventory!F:F,Inventory!J:J=""Closed"",Inventory!D:D&gt;=J2,Inventory!D:D&lt;=K2))"),4.602978723404255)</f>
        <v>4.602978723</v>
      </c>
      <c r="K7" s="129"/>
      <c r="L7" s="139">
        <f>IFERROR(__xludf.DUMMYFUNCTION("AVERAGE(FILTER(Inventory!F:F,Inventory!J:J=""Closed"",Inventory!D:D&gt;=L2,Inventory!D:D&lt;=M2))"),4.025000000000001)</f>
        <v>4.025</v>
      </c>
      <c r="M7" s="129"/>
      <c r="N7" s="139">
        <f>IFERROR(__xludf.DUMMYFUNCTION("AVERAGE(FILTER(Inventory!F:F,Inventory!J:J=""Closed"",Inventory!D:D&gt;=N2,Inventory!D:D&lt;=O2))"),5.725616438356164)</f>
        <v>5.725616438</v>
      </c>
      <c r="O7" s="129"/>
      <c r="P7" s="139">
        <f>IFERROR(__xludf.DUMMYFUNCTION("AVERAGE(FILTER(Inventory!F:F,Inventory!J:J=""Closed"",Inventory!D:D&gt;=P2,Inventory!D:D&lt;=Q2))"),5.7642105263157895)</f>
        <v>5.764210526</v>
      </c>
      <c r="Q7" s="129"/>
      <c r="R7" s="139">
        <f>IFERROR(__xludf.DUMMYFUNCTION("AVERAGE(FILTER(Inventory!F:F,Inventory!J:J=""Closed"",Inventory!D:D&gt;=R2,Inventory!D:D&lt;=S2))"),4.632375)</f>
        <v>4.632375</v>
      </c>
      <c r="S7" s="129"/>
      <c r="T7" s="139">
        <f>IFERROR(__xludf.DUMMYFUNCTION("AVERAGE(FILTER(Inventory!F:F,Inventory!J:J=""Closed"",Inventory!D:D&gt;=T2,Inventory!D:D&lt;=U2))"),6.926521739130439)</f>
        <v>6.926521739</v>
      </c>
      <c r="U7" s="129"/>
      <c r="V7" s="139">
        <f>IFERROR(__xludf.DUMMYFUNCTION("AVERAGE(FILTER(Inventory!F:F,Inventory!J:J=""Closed"",Inventory!D:D&gt;=V2,Inventory!D:D&lt;=W2))"),6.416875)</f>
        <v>6.416875</v>
      </c>
      <c r="W7" s="129"/>
      <c r="X7" s="139">
        <f>IFERROR(__xludf.DUMMYFUNCTION("AVERAGE(FILTER(Inventory!F:F,Inventory!J:J=""Closed"",Inventory!D:D&gt;=X2,Inventory!D:D&lt;=Y2))"),8.036551724137933)</f>
        <v>8.036551724</v>
      </c>
      <c r="Y7" s="129"/>
      <c r="Z7" s="131"/>
    </row>
    <row r="8" hidden="1" outlineLevel="1">
      <c r="A8" s="140" t="s">
        <v>10220</v>
      </c>
      <c r="B8" s="141">
        <f>IFERROR(__xludf.DUMMYFUNCTION("AVERAGE(FILTER(Inventory!G:G,Inventory!J:J=""Closed"",Inventory!D:D&gt;=B2,Inventory!D:D&lt;=C2))"),2.9099999999999993)</f>
        <v>2.91</v>
      </c>
      <c r="C8" s="129"/>
      <c r="D8" s="142">
        <f>IFERROR(__xludf.DUMMYFUNCTION("AVERAGE(FILTER(Inventory!G:G,Inventory!J:J=""Closed"",Inventory!D:D&gt;=D2,Inventory!D:D&lt;=E2))"),2.560526315789473)</f>
        <v>2.560526316</v>
      </c>
      <c r="E8" s="129"/>
      <c r="F8" s="142">
        <f>IFERROR(__xludf.DUMMYFUNCTION("AVERAGE(FILTER(Inventory!G:G,Inventory!J:J=""Closed"",Inventory!D:D&gt;=F2,Inventory!D:D&lt;=G2))"),1.8164179104477611)</f>
        <v>1.81641791</v>
      </c>
      <c r="G8" s="129"/>
      <c r="H8" s="142">
        <f>IFERROR(__xludf.DUMMYFUNCTION("AVERAGE(FILTER(Inventory!G:G,Inventory!J:J=""Closed"",Inventory!D:D&gt;=H2,Inventory!D:D&lt;=I2))"),1.857971014492754)</f>
        <v>1.857971014</v>
      </c>
      <c r="I8" s="129"/>
      <c r="J8" s="142">
        <f>(J5/J6)</f>
        <v>1.502553191</v>
      </c>
      <c r="K8" s="129"/>
      <c r="L8" s="142">
        <f>IFERROR(__xludf.DUMMYFUNCTION("AVERAGE(FILTER(Inventory!G:G,Inventory!J:J=""Closed"",Inventory!D:D&gt;=L2,Inventory!D:D&lt;=M2))"),1.2360000000000004)</f>
        <v>1.236</v>
      </c>
      <c r="M8" s="129"/>
      <c r="N8" s="142">
        <f>IFERROR(__xludf.DUMMYFUNCTION("AVERAGE(FILTER(Inventory!G:G,Inventory!J:J=""Closed"",Inventory!D:D&gt;=N2,Inventory!D:D&lt;=O2))"),1.7516438356164379)</f>
        <v>1.751643836</v>
      </c>
      <c r="O8" s="129"/>
      <c r="P8" s="142">
        <f>IFERROR(__xludf.DUMMYFUNCTION("AVERAGE(FILTER(Inventory!G:G,Inventory!J:J=""Closed"",Inventory!D:D&gt;=P2,Inventory!D:D&lt;=Q2))"),1.7502631578947365)</f>
        <v>1.750263158</v>
      </c>
      <c r="Q8" s="129"/>
      <c r="R8" s="142">
        <f>IFERROR(__xludf.DUMMYFUNCTION("AVERAGE(FILTER(Inventory!G:G,Inventory!J:J=""Closed"",Inventory!D:D&gt;=R2,Inventory!D:D&lt;=S2))"),1.3657499999999998)</f>
        <v>1.36575</v>
      </c>
      <c r="S8" s="129"/>
      <c r="T8" s="142">
        <f>IFERROR(__xludf.DUMMYFUNCTION("AVERAGE(FILTER(Inventory!G:G,Inventory!J:J=""Closed"",Inventory!D:D&gt;=T2,Inventory!D:D&lt;=U2))"),1.7817391304347825)</f>
        <v>1.78173913</v>
      </c>
      <c r="U8" s="129"/>
      <c r="V8" s="142">
        <f>IFERROR(__xludf.DUMMYFUNCTION("AVERAGE(FILTER(Inventory!G:G,Inventory!J:J=""Closed"",Inventory!D:D&gt;=V2,Inventory!D:D&lt;=W2))"),1.4818749999999996)</f>
        <v>1.481875</v>
      </c>
      <c r="W8" s="129"/>
      <c r="X8" s="142">
        <f>IFERROR(__xludf.DUMMYFUNCTION("AVERAGE(FILTER(Inventory!G:G,Inventory!J:J=""Closed"",Inventory!D:D&gt;=X2,Inventory!D:D&lt;=Y2))"),1.9586206896551726)</f>
        <v>1.95862069</v>
      </c>
      <c r="Y8" s="129"/>
      <c r="Z8" s="131"/>
    </row>
    <row r="9" hidden="1" outlineLevel="1">
      <c r="A9" s="143" t="s">
        <v>10221</v>
      </c>
      <c r="B9" s="144">
        <f>IFERROR(__xludf.DUMMYFUNCTION("AVERAGE(FILTER(Inventory!H:H,Inventory!J:J=""Closed"",Inventory!D:D&gt;=B2,Inventory!D:D&lt;=C2))"),0.18396908295652564)</f>
        <v>0.183969083</v>
      </c>
      <c r="C9" s="129"/>
      <c r="D9" s="144">
        <f>IFERROR(__xludf.DUMMYFUNCTION("AVERAGE(FILTER(Inventory!H:H,Inventory!J:J=""Closed"",Inventory!D:D&gt;=D2,Inventory!D:D&lt;=E2))"),0.3621047756206788)</f>
        <v>0.3621047756</v>
      </c>
      <c r="E9" s="129"/>
      <c r="F9" s="144">
        <f>IFERROR(__xludf.DUMMYFUNCTION("AVERAGE(FILTER(Inventory!H:H,Inventory!J:J=""Closed"",Inventory!D:D&gt;=F2,Inventory!D:D&lt;=G2))"),0.340298310285003)</f>
        <v>0.3402983103</v>
      </c>
      <c r="G9" s="129"/>
      <c r="H9" s="144">
        <f>IFERROR(__xludf.DUMMYFUNCTION("AVERAGE(FILTER(Inventory!H:H,Inventory!J:J=""Closed"",Inventory!D:D&gt;=H2,Inventory!D:D&lt;=I2))"),0.44620493213612916)</f>
        <v>0.4462049321</v>
      </c>
      <c r="I9" s="129"/>
      <c r="J9" s="144">
        <f>IFERROR(__xludf.DUMMYFUNCTION("AVERAGE(FILTER(Inventory!H:H,Inventory!J:J=""Closed"",Inventory!D:D&gt;=J2,Inventory!D:D&lt;=K2))"),0.4975077121623062)</f>
        <v>0.4975077122</v>
      </c>
      <c r="K9" s="129"/>
      <c r="L9" s="144">
        <f>IFERROR(__xludf.DUMMYFUNCTION("AVERAGE(FILTER(Inventory!H:H,Inventory!J:J=""Closed"",Inventory!D:D&gt;=L2,Inventory!D:D&lt;=M2))"),0.3924121493497027)</f>
        <v>0.3924121493</v>
      </c>
      <c r="M9" s="129"/>
      <c r="N9" s="144">
        <f>IFERROR(__xludf.DUMMYFUNCTION("AVERAGE(FILTER(Inventory!H:H,Inventory!J:J=""Closed"",Inventory!D:D&gt;=N2,Inventory!D:D&lt;=O2))"),0.3238315889657102)</f>
        <v>0.323831589</v>
      </c>
      <c r="O9" s="129"/>
      <c r="P9" s="144">
        <f>IFERROR(__xludf.DUMMYFUNCTION("AVERAGE(FILTER(Inventory!H:H,Inventory!J:J=""Closed"",Inventory!D:D&gt;=P2,Inventory!D:D&lt;=Q2))"),0.4045801260039225)</f>
        <v>0.404580126</v>
      </c>
      <c r="Q9" s="129"/>
      <c r="R9" s="144">
        <f>IFERROR(__xludf.DUMMYFUNCTION("AVERAGE(FILTER(Inventory!H:H,Inventory!J:J=""Closed"",Inventory!D:D&gt;=R2,Inventory!D:D&lt;=S2))"),0.28682595626752533)</f>
        <v>0.2868259563</v>
      </c>
      <c r="S9" s="129"/>
      <c r="T9" s="144">
        <f>IFERROR(__xludf.DUMMYFUNCTION("AVERAGE(FILTER(Inventory!H:H,Inventory!J:J=""Closed"",Inventory!D:D&gt;=T2,Inventory!D:D&lt;=U2))"),0.38155756404871605)</f>
        <v>0.381557564</v>
      </c>
      <c r="U9" s="129"/>
      <c r="V9" s="144">
        <f>IFERROR(__xludf.DUMMYFUNCTION("AVERAGE(FILTER(Inventory!H:H,Inventory!J:J=""Closed"",Inventory!D:D&gt;=V2,Inventory!D:D&lt;=W2))"),0.39288486309342485)</f>
        <v>0.3928848631</v>
      </c>
      <c r="W9" s="129"/>
      <c r="X9" s="144">
        <f>IFERROR(__xludf.DUMMYFUNCTION("AVERAGE(FILTER(Inventory!H:H,Inventory!J:J=""Closed"",Inventory!D:D&gt;=X2,Inventory!D:D&lt;=Y2))"),0.39256338427621873)</f>
        <v>0.3925633843</v>
      </c>
      <c r="Y9" s="129"/>
      <c r="Z9" s="131"/>
    </row>
    <row r="10" hidden="1" outlineLevel="1">
      <c r="A10" s="145" t="s">
        <v>10222</v>
      </c>
      <c r="B10" s="146">
        <f>IFERROR(__xludf.DUMMYFUNCTION("AVERAGE(FILTER(Inventory!K:K,Inventory!J:J=""Closed"",Inventory!D:D&gt;=B2,Inventory!D:D&lt;=C2))"),0.25)</f>
        <v>0.25</v>
      </c>
      <c r="C10" s="129"/>
      <c r="D10" s="147">
        <f>IFERROR(__xludf.DUMMYFUNCTION("AVERAGE(FILTER(Inventory!K:K,Inventory!J:J=""Closed"",Inventory!D:D&gt;=D2,Inventory!D:D&lt;=E2))"),12.973684210526315)</f>
        <v>12.97368421</v>
      </c>
      <c r="E10" s="129"/>
      <c r="F10" s="147">
        <f>IFERROR(__xludf.DUMMYFUNCTION("AVERAGE(FILTER(Inventory!K:K,Inventory!J:J=""Closed"",Inventory!D:D&gt;=F2,Inventory!D:D&lt;=G2))"),7.477611940298507)</f>
        <v>7.47761194</v>
      </c>
      <c r="G10" s="129"/>
      <c r="H10" s="147">
        <f>IFERROR(__xludf.DUMMYFUNCTION("AVERAGE(FILTER(Inventory!K:K,Inventory!J:J=""Closed"",Inventory!D:D&gt;=H2,Inventory!D:D&lt;=I2))"),10.18840579710145)</f>
        <v>10.1884058</v>
      </c>
      <c r="I10" s="129"/>
      <c r="J10" s="147">
        <f>IFERROR(__xludf.DUMMYFUNCTION("AVERAGE(FILTER(Inventory!K:K,Inventory!J:J=""Closed"",Inventory!D:D&gt;=J2,Inventory!D:D&lt;=K2))"),14.585106382978724)</f>
        <v>14.58510638</v>
      </c>
      <c r="K10" s="129"/>
      <c r="L10" s="147">
        <f>IFERROR(__xludf.DUMMYFUNCTION("AVERAGE(FILTER(Inventory!K:K,Inventory!J:J=""Closed"",Inventory!D:D&gt;=L2,Inventory!D:D&lt;=M2))"),21.4)</f>
        <v>21.4</v>
      </c>
      <c r="M10" s="129"/>
      <c r="N10" s="147">
        <f>IFERROR(__xludf.DUMMYFUNCTION("AVERAGE(FILTER(Inventory!K:K,Inventory!J:J=""Closed"",Inventory!D:D&gt;=N2,Inventory!D:D&lt;=O2))"),16.28767123287671)</f>
        <v>16.28767123</v>
      </c>
      <c r="O10" s="129"/>
      <c r="P10" s="147">
        <f>IFERROR(__xludf.DUMMYFUNCTION("AVERAGE(FILTER(Inventory!K:K,Inventory!J:J=""Closed"",Inventory!D:D&gt;=P2,Inventory!D:D&lt;=Q2))"),27.789473684210527)</f>
        <v>27.78947368</v>
      </c>
      <c r="Q10" s="129"/>
      <c r="R10" s="147">
        <f>IFERROR(__xludf.DUMMYFUNCTION("AVERAGE(FILTER(Inventory!K:K,Inventory!J:J=""Closed"",Inventory!D:D&gt;=R2,Inventory!D:D&lt;=S2))"),26.4)</f>
        <v>26.4</v>
      </c>
      <c r="S10" s="129"/>
      <c r="T10" s="147">
        <f>IFERROR(__xludf.DUMMYFUNCTION("AVERAGE(FILTER(Inventory!K:K,Inventory!J:J=""Closed"",Inventory!D:D&gt;=T2,Inventory!D:D&lt;=U2))"),43.869565217391305)</f>
        <v>43.86956522</v>
      </c>
      <c r="U10" s="129"/>
      <c r="V10" s="147">
        <f>IFERROR(__xludf.DUMMYFUNCTION("AVERAGE(FILTER(Inventory!K:K,Inventory!J:J=""Closed"",Inventory!D:D&gt;=V2,Inventory!D:D&lt;=W2))"),69.5)</f>
        <v>69.5</v>
      </c>
      <c r="W10" s="129"/>
      <c r="X10" s="147">
        <f>IFERROR(__xludf.DUMMYFUNCTION("AVERAGE(FILTER(Inventory!K:K,Inventory!J:J=""Closed"",Inventory!D:D&gt;=X2,Inventory!D:D&lt;=Y2))"),69.72413793103448)</f>
        <v>69.72413793</v>
      </c>
      <c r="Y10" s="129"/>
      <c r="Z10" s="131"/>
    </row>
    <row r="11">
      <c r="A11" s="148">
        <f>IFERROR(__xludf.DUMMYFUNCTION("AVERAGE(FILTER(Inventory!K:K,Inventory!J:J=""Closed"",Inventory!D:D&gt;=J23,Inventory!D:D&lt;=K23))"),24.782608695652176)</f>
        <v>24.7826087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50"/>
    </row>
    <row r="12" collapsed="1">
      <c r="B12" s="125">
        <v>44287.0</v>
      </c>
      <c r="C12" s="125">
        <v>44316.0</v>
      </c>
      <c r="D12" s="125">
        <v>44317.0</v>
      </c>
      <c r="E12" s="125">
        <v>44347.0</v>
      </c>
      <c r="F12" s="125">
        <v>44348.0</v>
      </c>
      <c r="G12" s="125">
        <v>44377.0</v>
      </c>
      <c r="H12" s="125">
        <v>44378.0</v>
      </c>
      <c r="I12" s="125">
        <v>44408.0</v>
      </c>
      <c r="J12" s="125">
        <v>44409.0</v>
      </c>
      <c r="K12" s="125">
        <v>44439.0</v>
      </c>
      <c r="L12" s="125">
        <v>44440.0</v>
      </c>
      <c r="M12" s="125">
        <v>44469.0</v>
      </c>
      <c r="N12" s="125">
        <v>44470.0</v>
      </c>
      <c r="O12" s="125">
        <v>44500.0</v>
      </c>
      <c r="P12" s="125">
        <v>44501.0</v>
      </c>
      <c r="Q12" s="125">
        <v>44530.0</v>
      </c>
      <c r="R12" s="125">
        <v>44531.0</v>
      </c>
      <c r="S12" s="125">
        <v>44561.0</v>
      </c>
      <c r="T12" s="125">
        <v>44562.0</v>
      </c>
      <c r="U12" s="125">
        <v>44592.0</v>
      </c>
      <c r="V12" s="125">
        <v>44593.0</v>
      </c>
      <c r="W12" s="125">
        <v>44620.0</v>
      </c>
      <c r="X12" s="125">
        <v>44621.0</v>
      </c>
      <c r="Y12" s="125">
        <v>44651.0</v>
      </c>
      <c r="Z12" s="151"/>
    </row>
    <row r="13" hidden="1" outlineLevel="1">
      <c r="A13" s="127" t="s">
        <v>9</v>
      </c>
      <c r="B13" s="152">
        <f>IFERROR(__xludf.DUMMYFUNCTION("SUM(FILTER(Inventory!F:F,Inventory!J:J=""Closed"",Inventory!D:D&gt;=B12,Inventory!D:D&lt;=C12))"),359.35)</f>
        <v>359.35</v>
      </c>
      <c r="C13" s="122"/>
      <c r="D13" s="152">
        <f>IFERROR(__xludf.DUMMYFUNCTION("SUM(FILTER(Inventory!F:F,Inventory!J:J=""Closed"",Inventory!D:D&gt;=D12,Inventory!D:D&lt;=E12))"),483.0400000000001)</f>
        <v>483.04</v>
      </c>
      <c r="E13" s="122"/>
      <c r="F13" s="152">
        <f>IFERROR(__xludf.DUMMYFUNCTION("SUM(FILTER(Inventory!F:F,Inventory!J:J=""Closed"",Inventory!D:D&gt;=F12,Inventory!D:D&lt;=G12))"),509.4400000000001)</f>
        <v>509.44</v>
      </c>
      <c r="G13" s="122"/>
      <c r="H13" s="152">
        <f>IFERROR(__xludf.DUMMYFUNCTION("SUM(FILTER(Inventory!F:F,Inventory!J:J=""Closed"",Inventory!D:D&gt;=H12,Inventory!D:D&lt;=I12))"),334.81000000000006)</f>
        <v>334.81</v>
      </c>
      <c r="I13" s="122"/>
      <c r="J13" s="152">
        <f>IFERROR(__xludf.DUMMYFUNCTION("SUM(FILTER(Inventory!F:F,Inventory!J:J=""Closed"",Inventory!D:D&gt;=J12,Inventory!D:D&lt;=K12))"),151.37)</f>
        <v>151.37</v>
      </c>
      <c r="K13" s="122"/>
      <c r="L13" s="152">
        <f>IFERROR(__xludf.DUMMYFUNCTION("SUM(FILTER(Inventory!F:F,Inventory!J:J=""Closed"",Inventory!D:D&gt;=L12,Inventory!D:D&lt;=M12))"),686.7)</f>
        <v>686.7</v>
      </c>
      <c r="M13" s="122"/>
      <c r="N13" s="152">
        <f>IFERROR(__xludf.DUMMYFUNCTION("SUM(FILTER(Inventory!F:F,Inventory!J:J=""Closed"",Inventory!D:D&gt;=N12,Inventory!D:D&lt;=O12))"),1075.9500000000003)</f>
        <v>1075.95</v>
      </c>
      <c r="O13" s="122"/>
      <c r="P13" s="152">
        <f>IFERROR(__xludf.DUMMYFUNCTION("SUM(FILTER(Inventory!F:F,Inventory!J:J=""Closed"",Inventory!D:D&gt;=P12,Inventory!D:D&lt;=Q12))"),483.97000000000014)</f>
        <v>483.97</v>
      </c>
      <c r="Q13" s="122"/>
      <c r="R13" s="152">
        <f>IFERROR(__xludf.DUMMYFUNCTION("SUM(FILTER(Inventory!F:F,Inventory!J:J=""Closed"",Inventory!D:D&gt;=R12,Inventory!D:D&lt;=S12))"),914.11)</f>
        <v>914.11</v>
      </c>
      <c r="S13" s="122"/>
      <c r="T13" s="152">
        <f>IFERROR(__xludf.DUMMYFUNCTION("SUM(FILTER(Inventory!F:F,Inventory!J:J=""Closed"",Inventory!D:D&gt;=T12,Inventory!D:D&lt;=U12))"),1045.08)</f>
        <v>1045.08</v>
      </c>
      <c r="U13" s="122"/>
      <c r="V13" s="152">
        <f>IFERROR(__xludf.DUMMYFUNCTION("SUM(FILTER(Inventory!F:F,Inventory!J:J=""Closed"",Inventory!D:D&gt;=V12,Inventory!D:D&lt;=W12))"),1103.8300000000002)</f>
        <v>1103.83</v>
      </c>
      <c r="W13" s="122"/>
      <c r="X13" s="152">
        <f>IFERROR(__xludf.DUMMYFUNCTION("SUM(FILTER(Inventory!F:F,Inventory!J:J=""Closed"",Inventory!D:D&gt;=X12,Inventory!D:D&lt;=Y12))"),1380.39)</f>
        <v>1380.39</v>
      </c>
      <c r="Y13" s="122"/>
      <c r="Z13" s="131"/>
    </row>
    <row r="14" hidden="1" outlineLevel="1">
      <c r="A14" s="132" t="s">
        <v>10223</v>
      </c>
      <c r="B14" s="153">
        <f>IFERROR(__xludf.DUMMYFUNCTION("SUM(FILTER(Inventory!E:E,Inventory!J:J=""Closed"",Inventory!D:D&gt;=B12,Inventory!D:D&lt;=C12))"),249.9)</f>
        <v>249.9</v>
      </c>
      <c r="C14" s="154"/>
      <c r="D14" s="153">
        <f>IFERROR(__xludf.DUMMYFUNCTION("SUM(FILTER(Inventory!E:E,Inventory!J:J=""Closed"",Inventory!D:D&gt;=D12,Inventory!D:D&lt;=E12))"),358.80000000000007)</f>
        <v>358.8</v>
      </c>
      <c r="E14" s="154"/>
      <c r="F14" s="153">
        <f>IFERROR(__xludf.DUMMYFUNCTION("SUM(FILTER(Inventory!E:E,Inventory!J:J=""Closed"",Inventory!D:D&gt;=F12,Inventory!D:D&lt;=G12))"),368.16)</f>
        <v>368.16</v>
      </c>
      <c r="G14" s="154"/>
      <c r="H14" s="153">
        <f>IFERROR(__xludf.DUMMYFUNCTION("SUM(FILTER(Inventory!E:E,Inventory!J:J=""Closed"",Inventory!D:D&gt;=H12,Inventory!D:D&lt;=I12))"),258.01000000000005)</f>
        <v>258.01</v>
      </c>
      <c r="I14" s="154"/>
      <c r="J14" s="153">
        <f>IFERROR(__xludf.DUMMYFUNCTION("SUM(FILTER(Inventory!E:E,Inventory!J:J=""Closed"",Inventory!D:D&gt;=J12,Inventory!D:D&lt;=K12))"),106.01999999999998)</f>
        <v>106.02</v>
      </c>
      <c r="K14" s="154"/>
      <c r="L14" s="153">
        <f>IFERROR(__xludf.DUMMYFUNCTION("SUM(FILTER(Inventory!E:E,Inventory!J:J=""Closed"",Inventory!D:D&gt;=L12,Inventory!D:D&lt;=M12))"),466.16999999999996)</f>
        <v>466.17</v>
      </c>
      <c r="M14" s="154"/>
      <c r="N14" s="153">
        <f>IFERROR(__xludf.DUMMYFUNCTION("SUM(FILTER(Inventory!E:E,Inventory!J:J=""Closed"",Inventory!D:D&gt;=N12,Inventory!D:D&lt;=O12))"),827.4099999999999)</f>
        <v>827.41</v>
      </c>
      <c r="O14" s="154"/>
      <c r="P14" s="153">
        <f>IFERROR(__xludf.DUMMYFUNCTION("SUM(FILTER(Inventory!E:E,Inventory!J:J=""Closed"",Inventory!D:D&gt;=P12,Inventory!D:D&lt;=Q12))"),349.70000000000005)</f>
        <v>349.7</v>
      </c>
      <c r="Q14" s="154"/>
      <c r="R14" s="153">
        <f>IFERROR(__xludf.DUMMYFUNCTION("SUM(FILTER(Inventory!E:E,Inventory!J:J=""Closed"",Inventory!D:D&gt;=R12,Inventory!D:D&lt;=S12))"),723.6)</f>
        <v>723.6</v>
      </c>
      <c r="S14" s="154"/>
      <c r="T14" s="153">
        <f>IFERROR(__xludf.DUMMYFUNCTION("SUM(FILTER(Inventory!E:E,Inventory!J:J=""Closed"",Inventory!D:D&gt;=T12,Inventory!D:D&lt;=U12))"),815.9399999999999)</f>
        <v>815.94</v>
      </c>
      <c r="U14" s="154"/>
      <c r="V14" s="153">
        <f>IFERROR(__xludf.DUMMYFUNCTION("SUM(FILTER(Inventory!E:E,Inventory!J:J=""Closed"",Inventory!D:D&gt;=V12,Inventory!D:D&lt;=W12))"),891.26)</f>
        <v>891.26</v>
      </c>
      <c r="W14" s="154"/>
      <c r="X14" s="153">
        <f>IFERROR(__xludf.DUMMYFUNCTION("SUM(FILTER(Inventory!E:E,Inventory!J:J=""Closed"",Inventory!D:D&gt;=X12,Inventory!D:D&lt;=Y12))"),1090.6700000000005)</f>
        <v>1090.67</v>
      </c>
      <c r="Y14" s="154"/>
      <c r="Z14" s="131"/>
    </row>
    <row r="15" hidden="1" outlineLevel="1">
      <c r="A15" s="134" t="s">
        <v>11</v>
      </c>
      <c r="B15" s="155">
        <f>IFERROR(__xludf.DUMMYFUNCTION("SUM(FILTER(Inventory!G:G,Inventory!J:J=""Closed"",Inventory!D:D&gt;=B12,Inventory!D:D&lt;=C12))"),109.45)</f>
        <v>109.45</v>
      </c>
      <c r="C15" s="154"/>
      <c r="D15" s="155">
        <f>IFERROR(__xludf.DUMMYFUNCTION("SUM(FILTER(Inventory!G:G,Inventory!J:J=""Closed"",Inventory!D:D&gt;=D12,Inventory!D:D&lt;=E12))"),124.24000000000005)</f>
        <v>124.24</v>
      </c>
      <c r="E15" s="154"/>
      <c r="F15" s="155">
        <f>IFERROR(__xludf.DUMMYFUNCTION("SUM(FILTER(Inventory!G:G,Inventory!J:J=""Closed"",Inventory!D:D&gt;=F12,Inventory!D:D&lt;=G12))"),141.27999999999997)</f>
        <v>141.28</v>
      </c>
      <c r="G15" s="154"/>
      <c r="H15" s="155">
        <f>IFERROR(__xludf.DUMMYFUNCTION("SUM(FILTER(Inventory!G:G,Inventory!J:J=""Closed"",Inventory!D:D&gt;=H12,Inventory!D:D&lt;=I12))"),76.80000000000003)</f>
        <v>76.8</v>
      </c>
      <c r="I15" s="154"/>
      <c r="J15" s="155">
        <f>IFERROR(__xludf.DUMMYFUNCTION("SUM(FILTER(Inventory!G:G,Inventory!J:J=""Closed"",Inventory!D:D&gt;=J12,Inventory!D:D&lt;=K12))"),45.35000000000001)</f>
        <v>45.35</v>
      </c>
      <c r="K15" s="154"/>
      <c r="L15" s="155">
        <f>IFERROR(__xludf.DUMMYFUNCTION("SUM(FILTER(Inventory!G:G,Inventory!J:J=""Closed"",Inventory!D:D&gt;=L12,Inventory!D:D&lt;=M12))"),220.52999999999994)</f>
        <v>220.53</v>
      </c>
      <c r="M15" s="154"/>
      <c r="N15" s="155">
        <f>IFERROR(__xludf.DUMMYFUNCTION("SUM(FILTER(Inventory!G:G,Inventory!J:J=""Closed"",Inventory!D:D&gt;=N12,Inventory!D:D&lt;=O12))"),248.53999999999982)</f>
        <v>248.54</v>
      </c>
      <c r="O15" s="154"/>
      <c r="P15" s="155">
        <f>IFERROR(__xludf.DUMMYFUNCTION("SUM(FILTER(Inventory!G:G,Inventory!J:J=""Closed"",Inventory!D:D&gt;=P12,Inventory!D:D&lt;=Q12))"),134.26999999999998)</f>
        <v>134.27</v>
      </c>
      <c r="Q15" s="154"/>
      <c r="R15" s="155">
        <f>IFERROR(__xludf.DUMMYFUNCTION("SUM(FILTER(Inventory!G:G,Inventory!J:J=""Closed"",Inventory!D:D&gt;=R12,Inventory!D:D&lt;=S12))"),190.50999999999993)</f>
        <v>190.51</v>
      </c>
      <c r="S15" s="154"/>
      <c r="T15" s="155">
        <f>IFERROR(__xludf.DUMMYFUNCTION("SUM(FILTER(Inventory!G:G,Inventory!J:J=""Closed"",Inventory!D:D&gt;=T12,Inventory!D:D&lt;=U12))"),229.13999999999993)</f>
        <v>229.14</v>
      </c>
      <c r="U15" s="154"/>
      <c r="V15" s="155">
        <f>IFERROR(__xludf.DUMMYFUNCTION("SUM(FILTER(Inventory!G:G,Inventory!J:J=""Closed"",Inventory!D:D&gt;=V12,Inventory!D:D&lt;=W12))"),212.57000000000022)</f>
        <v>212.57</v>
      </c>
      <c r="W15" s="154"/>
      <c r="X15" s="155">
        <f>IFERROR(__xludf.DUMMYFUNCTION("SUM(FILTER(Inventory!G:G,Inventory!J:J=""Closed"",Inventory!D:D&gt;=X12,Inventory!D:D&lt;=Y12))"),289.7199999999999)</f>
        <v>289.72</v>
      </c>
      <c r="Y15" s="154"/>
      <c r="Z15" s="131"/>
    </row>
    <row r="16" hidden="1" outlineLevel="1">
      <c r="A16" s="137" t="s">
        <v>10224</v>
      </c>
      <c r="B16" s="156">
        <f>COUNTIFS(Inventory!J:J,"Closed", Inventory!D:D,"&gt;="&amp;B12,Inventory!D:D,"&lt;="&amp;C12)</f>
        <v>63</v>
      </c>
      <c r="C16" s="154"/>
      <c r="D16" s="156">
        <f>COUNTIFS(Inventory!J:J,"Closed", Inventory!D:D,"&gt;="&amp;D12,Inventory!D:D,"&lt;="&amp;E12)</f>
        <v>62</v>
      </c>
      <c r="E16" s="154"/>
      <c r="F16" s="156">
        <f>COUNTIFS(Inventory!J:J,"Closed", Inventory!D:D,"&gt;="&amp;F12,Inventory!D:D,"&lt;="&amp;G12)</f>
        <v>65</v>
      </c>
      <c r="G16" s="154"/>
      <c r="H16" s="156">
        <f>COUNTIFS(Inventory!J:J,"Closed", Inventory!D:D,"&gt;="&amp;H12,Inventory!D:D,"&lt;="&amp;I12)</f>
        <v>47</v>
      </c>
      <c r="I16" s="154"/>
      <c r="J16" s="156">
        <f>COUNTIFS(Inventory!J:J,"Closed", Inventory!D:D,"&gt;="&amp;J12,Inventory!D:D,"&lt;="&amp;K12)</f>
        <v>18</v>
      </c>
      <c r="K16" s="154"/>
      <c r="L16" s="156">
        <f>COUNTIFS(Inventory!J:J,"Closed", Inventory!D:D,"&gt;="&amp;L12,Inventory!D:D,"&lt;="&amp;M12)</f>
        <v>88</v>
      </c>
      <c r="M16" s="154"/>
      <c r="N16" s="156">
        <f>COUNTIFS(Inventory!J:J,"Closed", Inventory!D:D,"&gt;="&amp;N12,Inventory!D:D,"&lt;="&amp;O12)</f>
        <v>125</v>
      </c>
      <c r="O16" s="154"/>
      <c r="P16" s="156">
        <f>COUNTIFS(Inventory!J:J,"Closed", Inventory!D:D,"&gt;="&amp;P12,Inventory!D:D,"&lt;="&amp;Q12)</f>
        <v>56</v>
      </c>
      <c r="Q16" s="154"/>
      <c r="R16" s="156">
        <f>COUNTIFS(Inventory!J:J,"Closed", Inventory!D:D,"&gt;="&amp;R12,Inventory!D:D,"&lt;="&amp;S12)</f>
        <v>71</v>
      </c>
      <c r="S16" s="154"/>
      <c r="T16" s="156">
        <f>COUNTIFS(Inventory!J:J,"Closed", Inventory!D:D,"&gt;="&amp;T12,Inventory!D:D,"&lt;="&amp;U12)</f>
        <v>100</v>
      </c>
      <c r="U16" s="154"/>
      <c r="V16" s="156">
        <f>COUNTIFS(Inventory!J:J,"Closed", Inventory!D:D,"&gt;="&amp;V12,Inventory!D:D,"&lt;="&amp;W12)</f>
        <v>152</v>
      </c>
      <c r="W16" s="154"/>
      <c r="X16" s="156">
        <f>COUNTIFS(Inventory!J:J,"Closed", Inventory!D:D,"&gt;="&amp;X12,Inventory!D:D,"&lt;="&amp;Y12)</f>
        <v>133</v>
      </c>
      <c r="Y16" s="154"/>
      <c r="Z16" s="131"/>
    </row>
    <row r="17" hidden="1" outlineLevel="1">
      <c r="A17" s="157" t="s">
        <v>10225</v>
      </c>
      <c r="B17" s="158">
        <f>IFERROR(__xludf.DUMMYFUNCTION("AVERAGE(FILTER(Inventory!F:F,Inventory!J:J=""Closed"",Inventory!D:D&gt;=B12,Inventory!D:D&lt;=C12))"),5.703968253968254)</f>
        <v>5.703968254</v>
      </c>
      <c r="C17" s="154"/>
      <c r="D17" s="158">
        <f>IFERROR(__xludf.DUMMYFUNCTION("AVERAGE(FILTER(Inventory!F:F,Inventory!J:J=""Closed"",Inventory!D:D&gt;=D12,Inventory!D:D&lt;=E12))"),7.790967741935485)</f>
        <v>7.790967742</v>
      </c>
      <c r="E17" s="154"/>
      <c r="F17" s="158">
        <f>IFERROR(__xludf.DUMMYFUNCTION("AVERAGE(FILTER(Inventory!F:F,Inventory!J:J=""Closed"",Inventory!D:D&gt;=F12,Inventory!D:D&lt;=G12))"),7.837538461538463)</f>
        <v>7.837538462</v>
      </c>
      <c r="G17" s="154"/>
      <c r="H17" s="158">
        <f>IFERROR(__xludf.DUMMYFUNCTION("AVERAGE(FILTER(Inventory!F:F,Inventory!J:J=""Closed"",Inventory!D:D&gt;=H12,Inventory!D:D&lt;=I12))"),7.123617021276597)</f>
        <v>7.123617021</v>
      </c>
      <c r="I17" s="154"/>
      <c r="J17" s="158">
        <f>IFERROR(__xludf.DUMMYFUNCTION("AVERAGE(FILTER(Inventory!F:F,Inventory!J:J=""Closed"",Inventory!D:D&gt;=J12,Inventory!D:D&lt;=K12))"),8.409444444444444)</f>
        <v>8.409444444</v>
      </c>
      <c r="K17" s="154"/>
      <c r="L17" s="158">
        <f>IFERROR(__xludf.DUMMYFUNCTION("AVERAGE(FILTER(Inventory!F:F,Inventory!J:J=""Closed"",Inventory!D:D&gt;=L12,Inventory!D:D&lt;=M12))"),7.803409090909091)</f>
        <v>7.803409091</v>
      </c>
      <c r="M17" s="154"/>
      <c r="N17" s="158">
        <f>IFERROR(__xludf.DUMMYFUNCTION("AVERAGE(FILTER(Inventory!F:F,Inventory!J:J=""Closed"",Inventory!D:D&gt;=N12,Inventory!D:D&lt;=O12))"),8.607600000000001)</f>
        <v>8.6076</v>
      </c>
      <c r="O17" s="154"/>
      <c r="P17" s="158">
        <f>IFERROR(__xludf.DUMMYFUNCTION("AVERAGE(FILTER(Inventory!F:F,Inventory!J:J=""Closed"",Inventory!D:D&gt;=P12,Inventory!D:D&lt;=Q12))"),8.642321428571432)</f>
        <v>8.642321429</v>
      </c>
      <c r="Q17" s="154"/>
      <c r="R17" s="158">
        <f>IFERROR(__xludf.DUMMYFUNCTION("AVERAGE(FILTER(Inventory!F:F,Inventory!J:J=""Closed"",Inventory!D:D&gt;=R12,Inventory!D:D&lt;=S12))"),12.874788732394366)</f>
        <v>12.87478873</v>
      </c>
      <c r="S17" s="154"/>
      <c r="T17" s="158">
        <f>IFERROR(__xludf.DUMMYFUNCTION("AVERAGE(FILTER(Inventory!F:F,Inventory!J:J=""Closed"",Inventory!D:D&gt;=T12,Inventory!D:D&lt;=U12))"),10.4508)</f>
        <v>10.4508</v>
      </c>
      <c r="U17" s="154"/>
      <c r="V17" s="158">
        <f>IFERROR(__xludf.DUMMYFUNCTION("AVERAGE(FILTER(Inventory!F:F,Inventory!J:J=""Closed"",Inventory!D:D&gt;=V12,Inventory!D:D&lt;=W12))"),7.2620394736842115)</f>
        <v>7.262039474</v>
      </c>
      <c r="W17" s="154"/>
      <c r="X17" s="158">
        <f>IFERROR(__xludf.DUMMYFUNCTION("AVERAGE(FILTER(Inventory!F:F,Inventory!J:J=""Closed"",Inventory!D:D&gt;=X12,Inventory!D:D&lt;=Y12))"),10.378872180451129)</f>
        <v>10.37887218</v>
      </c>
      <c r="Y17" s="154"/>
      <c r="Z17" s="131"/>
    </row>
    <row r="18" hidden="1" outlineLevel="1">
      <c r="A18" s="140" t="s">
        <v>10226</v>
      </c>
      <c r="B18" s="159">
        <f>IFERROR(__xludf.DUMMYFUNCTION("AVERAGE(FILTER(Inventory!G:G,Inventory!J:J=""Closed"",Inventory!D:D&gt;=B12,Inventory!D:D&lt;=C12))"),1.7373015873015873)</f>
        <v>1.737301587</v>
      </c>
      <c r="C18" s="154"/>
      <c r="D18" s="159">
        <f>IFERROR(__xludf.DUMMYFUNCTION("AVERAGE(FILTER(Inventory!G:G,Inventory!J:J=""Closed"",Inventory!D:D&gt;=D12,Inventory!D:D&lt;=E12))"),2.0038709677419364)</f>
        <v>2.003870968</v>
      </c>
      <c r="E18" s="154"/>
      <c r="F18" s="159">
        <f>IFERROR(__xludf.DUMMYFUNCTION("AVERAGE(FILTER(Inventory!G:G,Inventory!J:J=""Closed"",Inventory!D:D&gt;=F12,Inventory!D:D&lt;=G12))"),2.173538461538461)</f>
        <v>2.173538462</v>
      </c>
      <c r="G18" s="154"/>
      <c r="H18" s="159">
        <f>IFERROR(__xludf.DUMMYFUNCTION("AVERAGE(FILTER(Inventory!G:G,Inventory!J:J=""Closed"",Inventory!D:D&gt;=H12,Inventory!D:D&lt;=I12))"),1.63404255319149)</f>
        <v>1.634042553</v>
      </c>
      <c r="I18" s="154"/>
      <c r="J18" s="159">
        <f>IFERROR(__xludf.DUMMYFUNCTION("AVERAGE(FILTER(Inventory!G:G,Inventory!J:J=""Closed"",Inventory!D:D&gt;=J12,Inventory!D:D&lt;=K12))"),2.519444444444445)</f>
        <v>2.519444444</v>
      </c>
      <c r="K18" s="154"/>
      <c r="L18" s="159">
        <f>IFERROR(__xludf.DUMMYFUNCTION("AVERAGE(FILTER(Inventory!G:G,Inventory!J:J=""Closed"",Inventory!D:D&gt;=L12,Inventory!D:D&lt;=M12))"),2.5060227272727267)</f>
        <v>2.506022727</v>
      </c>
      <c r="M18" s="154"/>
      <c r="N18" s="159">
        <f>IFERROR(__xludf.DUMMYFUNCTION("AVERAGE(FILTER(Inventory!G:G,Inventory!J:J=""Closed"",Inventory!D:D&gt;=N12,Inventory!D:D&lt;=O12))"),1.9883199999999985)</f>
        <v>1.98832</v>
      </c>
      <c r="O18" s="154"/>
      <c r="P18" s="159">
        <f>IFERROR(__xludf.DUMMYFUNCTION("AVERAGE(FILTER(Inventory!G:G,Inventory!J:J=""Closed"",Inventory!D:D&gt;=P12,Inventory!D:D&lt;=Q12))"),2.397678571428571)</f>
        <v>2.397678571</v>
      </c>
      <c r="Q18" s="154"/>
      <c r="R18" s="159">
        <f>IFERROR(__xludf.DUMMYFUNCTION("AVERAGE(FILTER(Inventory!G:G,Inventory!J:J=""Closed"",Inventory!D:D&gt;=R12,Inventory!D:D&lt;=S12))"),2.683239436619717)</f>
        <v>2.683239437</v>
      </c>
      <c r="S18" s="154"/>
      <c r="T18" s="159">
        <f>IFERROR(__xludf.DUMMYFUNCTION("AVERAGE(FILTER(Inventory!G:G,Inventory!J:J=""Closed"",Inventory!D:D&gt;=T12,Inventory!D:D&lt;=U12))"),2.2913999999999994)</f>
        <v>2.2914</v>
      </c>
      <c r="U18" s="154"/>
      <c r="V18" s="159">
        <f>IFERROR(__xludf.DUMMYFUNCTION("AVERAGE(FILTER(Inventory!G:G,Inventory!J:J=""Closed"",Inventory!D:D&gt;=V12,Inventory!D:D&lt;=W12))"),1.3984868421052645)</f>
        <v>1.398486842</v>
      </c>
      <c r="W18" s="154"/>
      <c r="X18" s="159">
        <f>IFERROR(__xludf.DUMMYFUNCTION("AVERAGE(FILTER(Inventory!G:G,Inventory!J:J=""Closed"",Inventory!D:D&gt;=X12,Inventory!D:D&lt;=Y12))"),2.1783458646616536)</f>
        <v>2.178345865</v>
      </c>
      <c r="Y18" s="154"/>
      <c r="Z18" s="131"/>
    </row>
    <row r="19" hidden="1" outlineLevel="1">
      <c r="A19" s="160" t="s">
        <v>10227</v>
      </c>
      <c r="B19" s="161">
        <f>IFERROR(__xludf.DUMMYFUNCTION("AVERAGE(FILTER(Inventory!H:H,Inventory!J:J=""Closed"",Inventory!D:D&gt;=B12,Inventory!D:D&lt;=C12))"),0.39615872420745)</f>
        <v>0.3961587242</v>
      </c>
      <c r="D19" s="162">
        <f>IFERROR(__xludf.DUMMYFUNCTION("AVERAGE(FILTER(Inventory!H:H,Inventory!J:J=""Closed"",Inventory!D:D&gt;=D12,Inventory!D:D&lt;=E12))"),0.31651896175352817)</f>
        <v>0.3165189618</v>
      </c>
      <c r="F19" s="162">
        <f>IFERROR(__xludf.DUMMYFUNCTION("AVERAGE(FILTER(Inventory!H:H,Inventory!J:J=""Closed"",Inventory!D:D&gt;=F12,Inventory!D:D&lt;=G12))"),0.3364384376790562)</f>
        <v>0.3364384377</v>
      </c>
      <c r="H19" s="162">
        <f>IFERROR(__xludf.DUMMYFUNCTION("AVERAGE(FILTER(Inventory!H:H,Inventory!J:J=""Closed"",Inventory!D:D&gt;=H12,Inventory!D:D&lt;=I12))"),0.2372228933615589)</f>
        <v>0.2372228934</v>
      </c>
      <c r="I19" s="154"/>
      <c r="J19" s="162">
        <f>IFERROR(__xludf.DUMMYFUNCTION("AVERAGE(FILTER(Inventory!H:H,Inventory!J:J=""Closed"",Inventory!D:D&gt;=J12,Inventory!D:D&lt;=K12))"),0.38786084182359415)</f>
        <v>0.3878608418</v>
      </c>
      <c r="K19" s="154"/>
      <c r="L19" s="162">
        <f>IFERROR(__xludf.DUMMYFUNCTION("AVERAGE(FILTER(Inventory!H:H,Inventory!J:J=""Closed"",Inventory!D:D&gt;=L12,Inventory!D:D&lt;=M12))"),0.34385336145593187)</f>
        <v>0.3438533615</v>
      </c>
      <c r="M19" s="154"/>
      <c r="N19" s="162">
        <f>IFERROR(__xludf.DUMMYFUNCTION("AVERAGE(FILTER(Inventory!H:H,Inventory!J:J=""Closed"",Inventory!D:D&gt;=N12,Inventory!D:D&lt;=O12))"),0.3719084297381303)</f>
        <v>0.3719084297</v>
      </c>
      <c r="O19" s="154"/>
      <c r="P19" s="162">
        <f>IFERROR(__xludf.DUMMYFUNCTION("AVERAGE(FILTER(Inventory!H:H,Inventory!J:J=""Closed"",Inventory!D:D&gt;=P12,Inventory!D:D&lt;=Q12))"),0.08915441228265818)</f>
        <v>0.08915441228</v>
      </c>
      <c r="Q19" s="154"/>
      <c r="R19" s="162">
        <f>IFERROR(__xludf.DUMMYFUNCTION("AVERAGE(FILTER(Inventory!H:H,Inventory!J:J=""Closed"",Inventory!D:D&gt;=R12,Inventory!D:D&lt;=S12))"),0.239561415608409)</f>
        <v>0.2395614156</v>
      </c>
      <c r="S19" s="154"/>
      <c r="T19" s="162">
        <f>IFERROR(__xludf.DUMMYFUNCTION("AVERAGE(FILTER(Inventory!H:H,Inventory!J:J=""Closed"",Inventory!D:D&gt;=T12,Inventory!D:D&lt;=U12))"),0.32381878394813857)</f>
        <v>0.3238187839</v>
      </c>
      <c r="U19" s="154"/>
      <c r="V19" s="162">
        <f>IFERROR(__xludf.DUMMYFUNCTION("AVERAGE(FILTER(Inventory!H:H,Inventory!J:J=""Closed"",Inventory!D:D&gt;=V12,Inventory!D:D&lt;=W12))"),0.2557398387120027)</f>
        <v>0.2557398387</v>
      </c>
      <c r="W19" s="154"/>
      <c r="X19" s="162">
        <f>IFERROR(__xludf.DUMMYFUNCTION("AVERAGE(FILTER(Inventory!H:H,Inventory!J:J=""Closed"",Inventory!D:D&gt;=X12,Inventory!D:D&lt;=Y12))"),-0.260196663792876)</f>
        <v>-0.2601966638</v>
      </c>
      <c r="Y19" s="154"/>
      <c r="Z19" s="131"/>
    </row>
    <row r="20" hidden="1" outlineLevel="1">
      <c r="A20" s="163" t="s">
        <v>10228</v>
      </c>
      <c r="B20" s="164">
        <f>IFERROR(__xludf.DUMMYFUNCTION("AVERAGE(FILTER(Inventory!K:K,Inventory!J:J=""Closed"",Inventory!D:D&gt;=B12,Inventory!D:D&lt;=C12))"),21.11111111111111)</f>
        <v>21.11111111</v>
      </c>
      <c r="C20" s="149"/>
      <c r="D20" s="165">
        <f>IFERROR(__xludf.DUMMYFUNCTION("AVERAGE(FILTER(Inventory!K:K,Inventory!J:J=""Closed"",Inventory!D:D&gt;=D12,Inventory!D:D&lt;=E12))"),37.25806451612903)</f>
        <v>37.25806452</v>
      </c>
      <c r="E20" s="149"/>
      <c r="F20" s="165">
        <f>IFERROR(__xludf.DUMMYFUNCTION("AVERAGE(FILTER(Inventory!K:K,Inventory!J:J=""Closed"",Inventory!D:D&gt;=F12,Inventory!D:D&lt;=G12))"),20.907692307692308)</f>
        <v>20.90769231</v>
      </c>
      <c r="G20" s="149"/>
      <c r="H20" s="165">
        <f>IFERROR(__xludf.DUMMYFUNCTION("AVERAGE(FILTER(Inventory!K:K,Inventory!J:J=""Closed"",Inventory!D:D&gt;=H12,Inventory!D:D&lt;=I12))"),34.97872340425532)</f>
        <v>34.9787234</v>
      </c>
      <c r="I20" s="150"/>
      <c r="J20" s="165">
        <f>IFERROR(__xludf.DUMMYFUNCTION("AVERAGE(FILTER(Inventory!K:K,Inventory!J:J=""Closed"",Inventory!D:D&gt;=J12,Inventory!D:D&lt;=K12))"),36.55555555555556)</f>
        <v>36.55555556</v>
      </c>
      <c r="K20" s="150"/>
      <c r="L20" s="165">
        <f>IFERROR(__xludf.DUMMYFUNCTION("AVERAGE(FILTER(Inventory!K:K,Inventory!J:J=""Closed"",Inventory!D:D&gt;=L12,Inventory!D:D&lt;=M12))"),52.71590909090909)</f>
        <v>52.71590909</v>
      </c>
      <c r="M20" s="150"/>
      <c r="N20" s="165">
        <f>IFERROR(__xludf.DUMMYFUNCTION("AVERAGE(FILTER(Inventory!K:K,Inventory!J:J=""Closed"",Inventory!D:D&gt;=N12,Inventory!D:D&lt;=O12))"),37.544)</f>
        <v>37.544</v>
      </c>
      <c r="O20" s="150"/>
      <c r="P20" s="165">
        <f>IFERROR(__xludf.DUMMYFUNCTION("AVERAGE(FILTER(Inventory!K:K,Inventory!J:J=""Closed"",Inventory!D:D&gt;=P12,Inventory!D:D&lt;=Q12))"),33.482142857142854)</f>
        <v>33.48214286</v>
      </c>
      <c r="Q20" s="150"/>
      <c r="R20" s="165">
        <f>IFERROR(__xludf.DUMMYFUNCTION("AVERAGE(FILTER(Inventory!K:K,Inventory!J:J=""Closed"",Inventory!D:D&gt;=R12,Inventory!D:D&lt;=S12))"),26.070422535211268)</f>
        <v>26.07042254</v>
      </c>
      <c r="S20" s="150"/>
      <c r="T20" s="166">
        <f>IFERROR(__xludf.DUMMYFUNCTION("AVERAGE(FILTER(Inventory!K:K,Inventory!J:J=""Closed"",Inventory!D:D&gt;=T12,Inventory!D:D&lt;=U12))"),15.52)</f>
        <v>15.52</v>
      </c>
      <c r="U20" s="150"/>
      <c r="V20" s="165">
        <f>IFERROR(__xludf.DUMMYFUNCTION("AVERAGE(FILTER(Inventory!K:K,Inventory!J:J=""Closed"",Inventory!D:D&gt;=V12,Inventory!D:D&lt;=W12))"),13.921052631578947)</f>
        <v>13.92105263</v>
      </c>
      <c r="W20" s="150"/>
      <c r="X20" s="165">
        <f>IFERROR(__xludf.DUMMYFUNCTION("AVERAGE(FILTER(Inventory!K:K,Inventory!J:J=""Closed"",Inventory!D:D&gt;=X12,Inventory!D:D&lt;=Y12))"),36.02255639097744)</f>
        <v>36.02255639</v>
      </c>
      <c r="Y20" s="150"/>
      <c r="Z20" s="131"/>
    </row>
    <row r="21" hidden="1" outlineLevel="1">
      <c r="A21" s="163" t="s">
        <v>10229</v>
      </c>
      <c r="B21" s="167">
        <v>3.0</v>
      </c>
      <c r="D21" s="167">
        <v>6.5</v>
      </c>
      <c r="F21" s="167">
        <v>7.5</v>
      </c>
      <c r="H21" s="167">
        <v>2.5</v>
      </c>
      <c r="J21" s="167">
        <v>3.5</v>
      </c>
      <c r="L21" s="167">
        <v>5.0</v>
      </c>
      <c r="N21" s="167">
        <v>6.5</v>
      </c>
      <c r="P21" s="167">
        <v>10.0</v>
      </c>
      <c r="R21" s="167">
        <v>6.5</v>
      </c>
      <c r="T21" s="167">
        <v>10.5</v>
      </c>
      <c r="V21" s="167">
        <v>6.8</v>
      </c>
      <c r="X21" s="167">
        <v>13.6</v>
      </c>
      <c r="Z21" s="131"/>
    </row>
    <row r="22"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9">
        <v>155.0</v>
      </c>
      <c r="U22" s="170">
        <v>976.97</v>
      </c>
      <c r="V22" s="169">
        <v>158.0</v>
      </c>
      <c r="W22" s="170">
        <v>924.93</v>
      </c>
      <c r="X22" s="169">
        <v>156.0</v>
      </c>
      <c r="Y22" s="170">
        <v>1001.63</v>
      </c>
    </row>
    <row r="23" collapsed="1">
      <c r="B23" s="125">
        <v>44652.0</v>
      </c>
      <c r="C23" s="125">
        <v>44681.0</v>
      </c>
      <c r="D23" s="125">
        <v>44682.0</v>
      </c>
      <c r="E23" s="125">
        <v>44712.0</v>
      </c>
      <c r="F23" s="125">
        <v>44713.0</v>
      </c>
      <c r="G23" s="125">
        <v>44742.0</v>
      </c>
      <c r="H23" s="125">
        <v>44743.0</v>
      </c>
      <c r="I23" s="125">
        <v>44773.0</v>
      </c>
      <c r="J23" s="125">
        <v>44774.0</v>
      </c>
      <c r="K23" s="125">
        <v>44804.0</v>
      </c>
      <c r="L23" s="125">
        <v>44805.0</v>
      </c>
      <c r="M23" s="125">
        <v>44834.0</v>
      </c>
      <c r="N23" s="125">
        <v>44835.0</v>
      </c>
      <c r="O23" s="125">
        <v>44865.0</v>
      </c>
      <c r="P23" s="125">
        <v>44866.0</v>
      </c>
      <c r="Q23" s="125">
        <v>44895.0</v>
      </c>
      <c r="R23" s="125">
        <v>44896.0</v>
      </c>
      <c r="S23" s="125">
        <v>44926.0</v>
      </c>
      <c r="T23" s="125">
        <v>44927.0</v>
      </c>
      <c r="U23" s="125">
        <v>44957.0</v>
      </c>
      <c r="V23" s="125">
        <v>44958.0</v>
      </c>
      <c r="W23" s="125">
        <v>44985.0</v>
      </c>
      <c r="X23" s="125">
        <v>44986.0</v>
      </c>
      <c r="Y23" s="125">
        <v>45016.0</v>
      </c>
    </row>
    <row r="24" hidden="1" outlineLevel="1">
      <c r="A24" s="127" t="s">
        <v>9</v>
      </c>
      <c r="B24" s="171">
        <f>IFERROR(__xludf.DUMMYFUNCTION("SUM(FILTER(Inventory!F:F,Inventory!J:J=""Closed"",Inventory!D:D&gt;=B23,Inventory!D:D&lt;=C23))"),1754.4100000000008)</f>
        <v>1754.41</v>
      </c>
      <c r="D24" s="171">
        <f>IFERROR(__xludf.DUMMYFUNCTION("SUM(FILTER(Inventory!F:F,Inventory!J:J=""Closed"",Inventory!D:D&gt;=D23,Inventory!D:D&lt;=E23))"),2086.269999999998)</f>
        <v>2086.27</v>
      </c>
      <c r="F24" s="171">
        <f>IFERROR(__xludf.DUMMYFUNCTION("SUM(FILTER(Inventory!F:F,Inventory!J:J=""Closed"",Inventory!D:D&gt;=F23,Inventory!D:D&lt;=G23))"),1964.4699999999991)</f>
        <v>1964.47</v>
      </c>
      <c r="H24" s="171">
        <f>IFERROR(__xludf.DUMMYFUNCTION("SUM(FILTER(Inventory!F:F,Inventory!J:J=""Closed"",Inventory!D:D&gt;=H23,Inventory!D:D&lt;=I23))"),783.9199999999998)</f>
        <v>783.92</v>
      </c>
      <c r="J24" s="171">
        <f>IFERROR(__xludf.DUMMYFUNCTION("SUM(FILTER(Inventory!F:F,Inventory!J:J=""Closed"",Inventory!D:D&gt;=J23,Inventory!D:D&lt;=K23))"),1212.78)</f>
        <v>1212.78</v>
      </c>
      <c r="L24" s="171">
        <f>IFERROR(__xludf.DUMMYFUNCTION("SUM(FILTER(Inventory!F:F,Inventory!J:J=""Closed"",Inventory!D:D&gt;=L23,Inventory!D:D&lt;=M23))"),719.3999999999997)</f>
        <v>719.4</v>
      </c>
      <c r="N24" s="171">
        <f>IFERROR(__xludf.DUMMYFUNCTION("SUM(FILTER(Inventory!F:F,Inventory!J:J=""Closed"",Inventory!D:D&gt;=N23,Inventory!D:D&lt;=O23))"),1898.6600000000005)</f>
        <v>1898.66</v>
      </c>
      <c r="P24" s="171">
        <f>IFERROR(__xludf.DUMMYFUNCTION("SUM(FILTER(Inventory!F:F,Inventory!J:J=""Closed"",Inventory!D:D&gt;=P23,Inventory!D:D&lt;=Q23))"),377.01000000000005)</f>
        <v>377.01</v>
      </c>
      <c r="R24" s="171">
        <f>IFERROR(__xludf.DUMMYFUNCTION("SUM(FILTER(Inventory!F:F,Inventory!J:J=""Closed"",Inventory!D:D&gt;=R23,Inventory!D:D&lt;=S23))"),456.25)</f>
        <v>456.25</v>
      </c>
      <c r="T24" s="171">
        <f>IFERROR(__xludf.DUMMYFUNCTION("SUM(FILTER(Inventory!F:F,Inventory!J:J=""Closed"",Inventory!D:D&gt;=T23,Inventory!D:D&lt;=U23))"),1381.43)</f>
        <v>1381.43</v>
      </c>
      <c r="V24" s="171">
        <f>IFERROR(__xludf.DUMMYFUNCTION("SUM(FILTER(Inventory!F:F,Inventory!J:J=""Closed"",Inventory!D:D&gt;=V23,Inventory!D:D&lt;=W23))"),2157.949999999999)</f>
        <v>2157.95</v>
      </c>
      <c r="X24" s="171">
        <f>IFERROR(__xludf.DUMMYFUNCTION("SUM(FILTER(Inventory!F:F,Inventory!J:J=""Closed"",Inventory!D:D&gt;=X23,Inventory!D:D&lt;=Y23))"),1777.0199999999988)</f>
        <v>1777.02</v>
      </c>
    </row>
    <row r="25" hidden="1" outlineLevel="1">
      <c r="A25" s="132" t="s">
        <v>10223</v>
      </c>
      <c r="B25" s="172">
        <f>IFERROR(__xludf.DUMMYFUNCTION("SUM(FILTER(Inventory!E:E,Inventory!J:J=""Closed"",Inventory!D:D&gt;=B23,Inventory!D:D&lt;=C23))"),1294.42)</f>
        <v>1294.42</v>
      </c>
      <c r="D25" s="172">
        <f>IFERROR(__xludf.DUMMYFUNCTION("SUM(FILTER(Inventory!E:E,Inventory!J:J=""Closed"",Inventory!D:D&gt;=D23,Inventory!D:D&lt;=E23))"),1652.49)</f>
        <v>1652.49</v>
      </c>
      <c r="F25" s="172">
        <f>IFERROR(__xludf.DUMMYFUNCTION("SUM(FILTER(Inventory!E:E,Inventory!J:J=""Closed"",Inventory!D:D&gt;=F23,Inventory!D:D&lt;=G23))"),1387.409999999999)</f>
        <v>1387.41</v>
      </c>
      <c r="H25" s="172">
        <f>IFERROR(__xludf.DUMMYFUNCTION("SUM(FILTER(Inventory!E:E,Inventory!J:J=""Closed"",Inventory!D:D&gt;=H23,Inventory!D:D&lt;=I23))"),634.4099999999997)</f>
        <v>634.41</v>
      </c>
      <c r="J25" s="172">
        <f>IFERROR(__xludf.DUMMYFUNCTION("SUM(FILTER(Inventory!E:E,Inventory!J:J=""Closed"",Inventory!D:D&gt;=J23,Inventory!D:D&lt;=K23))"),887.8699999999993)</f>
        <v>887.87</v>
      </c>
      <c r="L25" s="172">
        <f>IFERROR(__xludf.DUMMYFUNCTION("SUM(FILTER(Inventory!E:E,Inventory!J:J=""Closed"",Inventory!D:D&gt;=L23,Inventory!D:D&lt;=M23))"),582.9000000000002)</f>
        <v>582.9</v>
      </c>
      <c r="N25" s="172">
        <f>IFERROR(__xludf.DUMMYFUNCTION("SUM(FILTER(Inventory!E:E,Inventory!J:J=""Closed"",Inventory!D:D&gt;=N23,Inventory!D:D&lt;=O23))"),1549.899999999999)</f>
        <v>1549.9</v>
      </c>
      <c r="P25" s="172">
        <f>IFERROR(__xludf.DUMMYFUNCTION("SUM(FILTER(Inventory!E:E,Inventory!J:J=""Closed"",Inventory!D:D&gt;=P23,Inventory!D:D&lt;=Q23))"),257.29999999999995)</f>
        <v>257.3</v>
      </c>
      <c r="R25" s="172">
        <f>IFERROR(__xludf.DUMMYFUNCTION("SUM(FILTER(Inventory!E:E,Inventory!J:J=""Closed"",Inventory!D:D&gt;=R23,Inventory!D:D&lt;=S23))"),309.05999999999995)</f>
        <v>309.06</v>
      </c>
      <c r="T25" s="172">
        <f>IFERROR(__xludf.DUMMYFUNCTION("SUM(FILTER(Inventory!E:E,Inventory!J:J=""Closed"",Inventory!D:D&gt;=T23,Inventory!D:D&lt;=U23))"),1049.0600000000004)</f>
        <v>1049.06</v>
      </c>
      <c r="V25" s="172">
        <f>IFERROR(__xludf.DUMMYFUNCTION("SUM(FILTER(Inventory!E:E,Inventory!J:J=""Closed"",Inventory!D:D&gt;=V23,Inventory!D:D&lt;=W23))"),1718.5100000000027)</f>
        <v>1718.51</v>
      </c>
      <c r="X25" s="172">
        <f>IFERROR(__xludf.DUMMYFUNCTION("SUM(FILTER(Inventory!E:E,Inventory!J:J=""Closed"",Inventory!D:D&gt;=X23,Inventory!D:D&lt;=Y23))"),1369.8999999999996)</f>
        <v>1369.9</v>
      </c>
    </row>
    <row r="26" hidden="1" outlineLevel="1">
      <c r="A26" s="134" t="s">
        <v>11</v>
      </c>
      <c r="B26" s="171">
        <f>IFERROR(__xludf.DUMMYFUNCTION("SUM(FILTER(Inventory!G:G,Inventory!J:J=""Closed"",Inventory!D:D&gt;=B23,Inventory!D:D&lt;=C23))"),459.98999999999984)</f>
        <v>459.99</v>
      </c>
      <c r="D26" s="171">
        <f>IFERROR(__xludf.DUMMYFUNCTION("SUM(FILTER(Inventory!G:G,Inventory!J:J=""Closed"",Inventory!D:D&gt;=D23,Inventory!D:D&lt;=E23))"),433.7800000000001)</f>
        <v>433.78</v>
      </c>
      <c r="F26" s="171">
        <f>IFERROR(__xludf.DUMMYFUNCTION("SUM(FILTER(Inventory!G:G,Inventory!J:J=""Closed"",Inventory!D:D&gt;=F23,Inventory!D:D&lt;=G23))"),577.06)</f>
        <v>577.06</v>
      </c>
      <c r="H26" s="171">
        <f>IFERROR(__xludf.DUMMYFUNCTION("SUM(FILTER(Inventory!G:G,Inventory!J:J=""Closed"",Inventory!D:D&gt;=H23,Inventory!D:D&lt;=I23))"),149.5100000000001)</f>
        <v>149.51</v>
      </c>
      <c r="J26" s="171">
        <f>IFERROR(__xludf.DUMMYFUNCTION("SUM(FILTER(Inventory!G:G,Inventory!J:J=""Closed"",Inventory!D:D&gt;=J23,Inventory!D:D&lt;=K23))"),324.91)</f>
        <v>324.91</v>
      </c>
      <c r="L26" s="171">
        <f>IFERROR(__xludf.DUMMYFUNCTION("SUM(FILTER(Inventory!G:G,Inventory!J:J=""Closed"",Inventory!D:D&gt;=L23,Inventory!D:D&lt;=M23))"),136.49999999999997)</f>
        <v>136.5</v>
      </c>
      <c r="N26" s="171">
        <f>IFERROR(__xludf.DUMMYFUNCTION("SUM(FILTER(Inventory!G:G,Inventory!J:J=""Closed"",Inventory!D:D&gt;=N23,Inventory!D:D&lt;=O23))"),348.76000000000016)</f>
        <v>348.76</v>
      </c>
      <c r="P26" s="171">
        <f>IFERROR(__xludf.DUMMYFUNCTION("SUM(FILTER(Inventory!G:G,Inventory!J:J=""Closed"",Inventory!D:D&gt;=P23,Inventory!D:D&lt;=Q23))"),119.70999999999998)</f>
        <v>119.71</v>
      </c>
      <c r="R26" s="171">
        <f>IFERROR(__xludf.DUMMYFUNCTION("SUM(FILTER(Inventory!G:G,Inventory!J:J=""Closed"",Inventory!D:D&gt;=R23,Inventory!D:D&lt;=S23))"),147.19000000000003)</f>
        <v>147.19</v>
      </c>
      <c r="T26" s="171">
        <f>IFERROR(__xludf.DUMMYFUNCTION("SUM(FILTER(Inventory!G:G,Inventory!J:J=""Closed"",Inventory!D:D&gt;=T23,Inventory!D:D&lt;=U23))"),332.36999999999995)</f>
        <v>332.37</v>
      </c>
      <c r="V26" s="171">
        <f>IFERROR(__xludf.DUMMYFUNCTION("SUM(FILTER(Inventory!G:G,Inventory!J:J=""Closed"",Inventory!D:D&gt;=V23,Inventory!D:D&lt;=W23))"),439.44000000000045)</f>
        <v>439.44</v>
      </c>
      <c r="X26" s="171">
        <f>IFERROR(__xludf.DUMMYFUNCTION("SUM(FILTER(Inventory!G:G,Inventory!J:J=""Closed"",Inventory!D:D&gt;=X23,Inventory!D:D&lt;=Y23))"),407.11999999999983)</f>
        <v>407.12</v>
      </c>
    </row>
    <row r="27" hidden="1" outlineLevel="1">
      <c r="A27" s="137" t="s">
        <v>10224</v>
      </c>
      <c r="B27" s="173">
        <f>COUNTIFS(Inventory!J:J,"Closed", Inventory!D:D,"&gt;="&amp;B23,Inventory!D:D,"&lt;="&amp;C23)</f>
        <v>163</v>
      </c>
      <c r="D27" s="173">
        <f>COUNTIFS(Inventory!J:J,"Closed", Inventory!D:D,"&gt;="&amp;D23,Inventory!D:D,"&lt;="&amp;E23)</f>
        <v>210</v>
      </c>
      <c r="F27" s="173">
        <f>COUNTIFS(Inventory!J:J,"Closed", Inventory!D:D,"&gt;="&amp;F23,Inventory!D:D,"&lt;="&amp;G23)</f>
        <v>150</v>
      </c>
      <c r="H27" s="173">
        <f>COUNTIFS(Inventory!J:J,"Closed", Inventory!D:D,"&gt;="&amp;H23,Inventory!D:D,"&lt;="&amp;I23)</f>
        <v>66</v>
      </c>
      <c r="J27" s="173">
        <f>COUNTIFS(Inventory!J:J,"Closed", Inventory!D:D,"&gt;="&amp;J23,Inventory!D:D,"&lt;="&amp;K23)</f>
        <v>69</v>
      </c>
      <c r="L27" s="173">
        <f>COUNTIFS(Inventory!J:J,"Closed", Inventory!D:D,"&gt;="&amp;L23,Inventory!D:D,"&lt;="&amp;M23)</f>
        <v>68</v>
      </c>
      <c r="N27" s="173">
        <f>COUNTIFS(Inventory!J:J,"Closed", Inventory!D:D,"&gt;="&amp;N23,Inventory!D:D,"&lt;="&amp;O23)</f>
        <v>80</v>
      </c>
      <c r="P27" s="173">
        <f>COUNTIFS(Inventory!J:J,"Closed", Inventory!D:D,"&gt;="&amp;P23,Inventory!D:D,"&lt;="&amp;Q23)</f>
        <v>29</v>
      </c>
      <c r="R27" s="173">
        <f>COUNTIFS(Inventory!J:J,"Closed", Inventory!D:D,"&gt;="&amp;R23,Inventory!D:D,"&lt;="&amp;S23)</f>
        <v>32</v>
      </c>
      <c r="T27" s="173">
        <f>COUNTIFS(Inventory!J:J,"Closed", Inventory!D:D,"&gt;="&amp;T23,Inventory!D:D,"&lt;="&amp;U23)</f>
        <v>78</v>
      </c>
      <c r="V27" s="173">
        <f>COUNTIFS(Inventory!J:J,"Closed", Inventory!D:D,"&gt;="&amp;V23,Inventory!D:D,"&lt;="&amp;W23)</f>
        <v>186</v>
      </c>
      <c r="X27" s="173">
        <f>COUNTIFS(Inventory!J:J,"Closed", Inventory!D:D,"&gt;="&amp;X23,Inventory!D:D,"&lt;="&amp;Y23)</f>
        <v>191</v>
      </c>
    </row>
    <row r="28" hidden="1" outlineLevel="1">
      <c r="A28" s="157" t="s">
        <v>10225</v>
      </c>
      <c r="B28" s="171">
        <f>IFERROR(__xludf.DUMMYFUNCTION("AVERAGE(FILTER(Inventory!F:F,Inventory!J:J=""Closed"",Inventory!D:D&gt;=B23,Inventory!D:D&lt;=C23))"),10.763251533742336)</f>
        <v>10.76325153</v>
      </c>
      <c r="D28" s="171">
        <f>IFERROR(__xludf.DUMMYFUNCTION("AVERAGE(FILTER(Inventory!F:F,Inventory!J:J=""Closed"",Inventory!D:D&gt;=D23,Inventory!D:D&lt;=E23))"),9.934619047619039)</f>
        <v>9.934619048</v>
      </c>
      <c r="F28" s="171">
        <f>IFERROR(__xludf.DUMMYFUNCTION("AVERAGE(FILTER(Inventory!F:F,Inventory!J:J=""Closed"",Inventory!D:D&gt;=F23,Inventory!D:D&lt;=G23))"),13.096466666666661)</f>
        <v>13.09646667</v>
      </c>
      <c r="H28" s="171">
        <f>IFERROR(__xludf.DUMMYFUNCTION("AVERAGE(FILTER(Inventory!F:F,Inventory!J:J=""Closed"",Inventory!D:D&gt;=H23,Inventory!D:D&lt;=I23))"),11.877575757575755)</f>
        <v>11.87757576</v>
      </c>
      <c r="J28" s="171">
        <f>IFERROR(__xludf.DUMMYFUNCTION("AVERAGE(FILTER(Inventory!F:F,Inventory!J:J=""Closed"",Inventory!D:D&gt;=J23,Inventory!D:D&lt;=K23))"),17.576521739130435)</f>
        <v>17.57652174</v>
      </c>
      <c r="L28" s="171">
        <f>IFERROR(__xludf.DUMMYFUNCTION("AVERAGE(FILTER(Inventory!F:F,Inventory!J:J=""Closed"",Inventory!D:D&gt;=L23,Inventory!D:D&lt;=M23))"),10.57941176470588)</f>
        <v>10.57941176</v>
      </c>
      <c r="N28" s="171">
        <f>IFERROR(__xludf.DUMMYFUNCTION("AVERAGE(FILTER(Inventory!F:F,Inventory!J:J=""Closed"",Inventory!D:D&gt;=N23,Inventory!D:D&lt;=O23))"),23.733250000000005)</f>
        <v>23.73325</v>
      </c>
      <c r="P28" s="171">
        <f>IFERROR(__xludf.DUMMYFUNCTION("AVERAGE(FILTER(Inventory!F:F,Inventory!J:J=""Closed"",Inventory!D:D&gt;=P23,Inventory!D:D&lt;=Q23))"),13.000344827586208)</f>
        <v>13.00034483</v>
      </c>
      <c r="R28" s="171">
        <f>IFERROR(__xludf.DUMMYFUNCTION("AVERAGE(FILTER(Inventory!F:F,Inventory!J:J=""Closed"",Inventory!D:D&gt;=R23,Inventory!D:D&lt;=S23))"),14.2578125)</f>
        <v>14.2578125</v>
      </c>
      <c r="T28" s="171">
        <f>IFERROR(__xludf.DUMMYFUNCTION("AVERAGE(FILTER(Inventory!F:F,Inventory!J:J=""Closed"",Inventory!D:D&gt;=T23,Inventory!D:D&lt;=U23))"),17.710641025641028)</f>
        <v>17.71064103</v>
      </c>
      <c r="V28" s="171">
        <f>IFERROR(__xludf.DUMMYFUNCTION("AVERAGE(FILTER(Inventory!F:F,Inventory!J:J=""Closed"",Inventory!D:D&gt;=V23,Inventory!D:D&lt;=W23))"),11.601881720430102)</f>
        <v>11.60188172</v>
      </c>
      <c r="X28" s="171">
        <f>IFERROR(__xludf.DUMMYFUNCTION("AVERAGE(FILTER(Inventory!F:F,Inventory!J:J=""Closed"",Inventory!D:D&gt;=X23,Inventory!D:D&lt;=Y23))"),9.303769633507848)</f>
        <v>9.303769634</v>
      </c>
    </row>
    <row r="29" hidden="1" outlineLevel="1">
      <c r="A29" s="140" t="s">
        <v>10226</v>
      </c>
      <c r="B29" s="171">
        <f>IFERROR(__xludf.DUMMYFUNCTION("AVERAGE(FILTER(Inventory!G:G,Inventory!J:J=""Closed"",Inventory!D:D&gt;=B23,Inventory!D:D&lt;=C23))"),2.8220245398772996)</f>
        <v>2.82202454</v>
      </c>
      <c r="D29" s="171">
        <f>IFERROR(__xludf.DUMMYFUNCTION("AVERAGE(FILTER(Inventory!G:G,Inventory!J:J=""Closed"",Inventory!D:D&gt;=D23,Inventory!D:D&lt;=E23))"),2.065619047619048)</f>
        <v>2.065619048</v>
      </c>
      <c r="F29" s="171">
        <f>IFERROR(__xludf.DUMMYFUNCTION("AVERAGE(FILTER(Inventory!G:G,Inventory!J:J=""Closed"",Inventory!D:D&gt;=F23,Inventory!D:D&lt;=G23))"),3.847066666666666)</f>
        <v>3.847066667</v>
      </c>
      <c r="H29" s="171">
        <f>IFERROR(__xludf.DUMMYFUNCTION("AVERAGE(FILTER(Inventory!G:G,Inventory!J:J=""Closed"",Inventory!D:D&gt;=H23,Inventory!D:D&lt;=I23))"),2.265303030303032)</f>
        <v>2.26530303</v>
      </c>
      <c r="J29" s="171">
        <f>IFERROR(__xludf.DUMMYFUNCTION("AVERAGE(FILTER(Inventory!G:G,Inventory!J:J=""Closed"",Inventory!D:D&gt;=J23,Inventory!D:D&lt;=K23))"),4.708840579710145)</f>
        <v>4.70884058</v>
      </c>
      <c r="L29" s="171">
        <f>IFERROR(__xludf.DUMMYFUNCTION("AVERAGE(FILTER(Inventory!G:G,Inventory!J:J=""Closed"",Inventory!D:D&gt;=L23,Inventory!D:D&lt;=M23))"),2.00735294117647)</f>
        <v>2.007352941</v>
      </c>
      <c r="N29" s="171">
        <f>IFERROR(__xludf.DUMMYFUNCTION("AVERAGE(FILTER(Inventory!G:G,Inventory!J:J=""Closed"",Inventory!D:D&gt;=N23,Inventory!D:D&lt;=O23))"),4.359500000000002)</f>
        <v>4.3595</v>
      </c>
      <c r="P29" s="171">
        <f>IFERROR(__xludf.DUMMYFUNCTION("AVERAGE(FILTER(Inventory!G:G,Inventory!J:J=""Closed"",Inventory!D:D&gt;=P23,Inventory!D:D&lt;=Q23))"),4.127931034482758)</f>
        <v>4.127931034</v>
      </c>
      <c r="R29" s="171">
        <f>IFERROR(__xludf.DUMMYFUNCTION("AVERAGE(FILTER(Inventory!G:G,Inventory!J:J=""Closed"",Inventory!D:D&gt;=R23,Inventory!D:D&lt;=S23))"),4.599687500000001)</f>
        <v>4.5996875</v>
      </c>
      <c r="T29" s="171">
        <f>IFERROR(__xludf.DUMMYFUNCTION("AVERAGE(FILTER(Inventory!G:G,Inventory!J:J=""Closed"",Inventory!D:D&gt;=T23,Inventory!D:D&lt;=U23))"),4.261153846153846)</f>
        <v>4.261153846</v>
      </c>
      <c r="V29" s="171">
        <f>IFERROR(__xludf.DUMMYFUNCTION("AVERAGE(FILTER(Inventory!G:G,Inventory!J:J=""Closed"",Inventory!D:D&gt;=V23,Inventory!D:D&lt;=W23))"),2.3625806451612927)</f>
        <v>2.362580645</v>
      </c>
      <c r="X29" s="171">
        <f>IFERROR(__xludf.DUMMYFUNCTION("AVERAGE(FILTER(Inventory!G:G,Inventory!J:J=""Closed"",Inventory!D:D&gt;=X23,Inventory!D:D&lt;=Y23))"),2.131518324607329)</f>
        <v>2.131518325</v>
      </c>
    </row>
    <row r="30" hidden="1" outlineLevel="1">
      <c r="A30" s="160" t="s">
        <v>10227</v>
      </c>
      <c r="B30" s="174">
        <f>(B26/B24)*100</f>
        <v>26.2190708</v>
      </c>
      <c r="D30" s="174">
        <f>(D26/D24)*100</f>
        <v>20.79213141</v>
      </c>
      <c r="F30" s="174">
        <f>(F26/F24)*100</f>
        <v>29.37484411</v>
      </c>
      <c r="H30" s="174">
        <f>(H26/H24)*100</f>
        <v>19.07209919</v>
      </c>
      <c r="J30" s="174">
        <f>(J26/J24)*100</f>
        <v>26.79051436</v>
      </c>
      <c r="L30" s="174">
        <f>(L26/L24)*100</f>
        <v>18.97414512</v>
      </c>
      <c r="N30" s="174">
        <f>(N26/N24)*100</f>
        <v>18.36874427</v>
      </c>
      <c r="P30" s="174">
        <f>(P26/P24)*100</f>
        <v>31.75247341</v>
      </c>
      <c r="R30" s="174">
        <f>(R26/R24)*100</f>
        <v>32.26082192</v>
      </c>
      <c r="T30" s="174">
        <f>(T26/T24)*100</f>
        <v>24.05985102</v>
      </c>
      <c r="V30" s="174">
        <f>(V26/V24)*100</f>
        <v>20.36377117</v>
      </c>
      <c r="X30" s="174">
        <f>(X26/X24)*100</f>
        <v>22.9102655</v>
      </c>
    </row>
    <row r="31" hidden="1" outlineLevel="1">
      <c r="A31" s="163" t="s">
        <v>10228</v>
      </c>
      <c r="B31" s="174">
        <f>IFERROR(__xludf.DUMMYFUNCTION("AVERAGE(FILTER(Inventory!K:K,Inventory!J:J=""Closed"",Inventory!D:D&gt;=B23,Inventory!D:D&lt;=C23))"),28.141104294478527)</f>
        <v>28.14110429</v>
      </c>
      <c r="D31" s="174">
        <f>IFERROR(__xludf.DUMMYFUNCTION("AVERAGE(FILTER(Inventory!K:K,Inventory!J:J=""Closed"",Inventory!D:D&gt;=D23,Inventory!D:D&lt;=E23))"),24.347619047619048)</f>
        <v>24.34761905</v>
      </c>
      <c r="F31" s="174">
        <f>IFERROR(__xludf.DUMMYFUNCTION("AVERAGE(FILTER(Inventory!K:K,Inventory!J:J=""Closed"",Inventory!D:D&gt;=F23,Inventory!D:D&lt;=G23))"),30.233333333333334)</f>
        <v>30.23333333</v>
      </c>
      <c r="H31" s="174">
        <f>IFERROR(__xludf.DUMMYFUNCTION("AVERAGE(FILTER(Inventory!K:K,Inventory!J:J=""Closed"",Inventory!D:D&gt;=H23,Inventory!D:D&lt;=I23))"),44.56060606060606)</f>
        <v>44.56060606</v>
      </c>
      <c r="J31" s="174">
        <f>IFERROR(__xludf.DUMMYFUNCTION("AVERAGE(FILTER(Inventory!K:K,Inventory!J:J=""Closed"",Inventory!D:D&gt;=J23,Inventory!D:D&lt;=K23))"),24.782608695652176)</f>
        <v>24.7826087</v>
      </c>
      <c r="L31" s="174">
        <f>IFERROR(__xludf.DUMMYFUNCTION("AVERAGE(FILTER(Inventory!K:K,Inventory!J:J=""Closed"",Inventory!D:D&gt;=L23,Inventory!D:D&lt;=M23))"),66.8529411764706)</f>
        <v>66.85294118</v>
      </c>
      <c r="N31" s="174">
        <f>IFERROR(__xludf.DUMMYFUNCTION("AVERAGE(FILTER(Inventory!K:K,Inventory!J:J=""Closed"",Inventory!D:D&gt;=N23,Inventory!D:D&lt;=O23))"),48.2625)</f>
        <v>48.2625</v>
      </c>
      <c r="P31" s="174">
        <f>IFERROR(__xludf.DUMMYFUNCTION("AVERAGE(FILTER(Inventory!K:K,Inventory!J:J=""Closed"",Inventory!D:D&gt;=P23,Inventory!D:D&lt;=Q23))"),41.48275862068966)</f>
        <v>41.48275862</v>
      </c>
      <c r="R31" s="174">
        <f>IFERROR(__xludf.DUMMYFUNCTION("AVERAGE(FILTER(Inventory!K:K,Inventory!J:J=""Closed"",Inventory!D:D&gt;=R23,Inventory!D:D&lt;=S23))"),30.34375)</f>
        <v>30.34375</v>
      </c>
      <c r="T31" s="174">
        <f>IFERROR(__xludf.DUMMYFUNCTION("AVERAGE(FILTER(Inventory!K:K,Inventory!J:J=""Closed"",Inventory!D:D&gt;=T23,Inventory!D:D&lt;=U23))"),42.57692307692308)</f>
        <v>42.57692308</v>
      </c>
      <c r="V31" s="174">
        <f>IFERROR(__xludf.DUMMYFUNCTION("AVERAGE(FILTER(Inventory!K:K,Inventory!J:J=""Closed"",Inventory!D:D&gt;=V23,Inventory!D:D&lt;=W23))"),22.822580645161292)</f>
        <v>22.82258065</v>
      </c>
      <c r="X31" s="174">
        <f>IFERROR(__xludf.DUMMYFUNCTION("AVERAGE(FILTER(Inventory!K:K,Inventory!J:J=""Closed"",Inventory!D:D&gt;=X23,Inventory!D:D&lt;=Y23))"),28.13612565445026)</f>
        <v>28.13612565</v>
      </c>
    </row>
    <row r="32" hidden="1" outlineLevel="1">
      <c r="A32" s="163" t="s">
        <v>10229</v>
      </c>
      <c r="B32" s="167">
        <v>14.2</v>
      </c>
      <c r="D32" s="167">
        <v>17.6</v>
      </c>
      <c r="F32" s="167">
        <v>20.6</v>
      </c>
      <c r="H32" s="167">
        <v>13.5</v>
      </c>
      <c r="J32" s="167">
        <v>13.3</v>
      </c>
      <c r="L32" s="167">
        <v>7.2</v>
      </c>
      <c r="N32" s="167">
        <v>13.8</v>
      </c>
      <c r="P32" s="167">
        <v>4.0</v>
      </c>
      <c r="R32" s="167">
        <v>7.0</v>
      </c>
      <c r="T32" s="167">
        <v>11.0</v>
      </c>
      <c r="V32" s="167">
        <v>13.6</v>
      </c>
      <c r="X32" s="167">
        <v>22.6</v>
      </c>
    </row>
    <row r="33" hidden="1" outlineLevel="1">
      <c r="B33" s="169">
        <v>159.0</v>
      </c>
      <c r="C33" s="170">
        <v>1130.77</v>
      </c>
      <c r="D33" s="169">
        <v>148.0</v>
      </c>
      <c r="E33" s="170">
        <v>1085.33</v>
      </c>
      <c r="F33" s="169">
        <v>168.0</v>
      </c>
      <c r="G33" s="170">
        <v>1342.71</v>
      </c>
      <c r="H33" s="169">
        <v>163.0</v>
      </c>
      <c r="I33" s="170">
        <v>1470.62</v>
      </c>
      <c r="J33" s="169">
        <v>171.0</v>
      </c>
      <c r="K33" s="170">
        <v>1521.14</v>
      </c>
      <c r="L33" s="169">
        <v>159.0</v>
      </c>
      <c r="M33" s="170">
        <v>1497.7</v>
      </c>
      <c r="N33" s="169">
        <v>148.0</v>
      </c>
      <c r="O33" s="170">
        <v>1375.36</v>
      </c>
      <c r="P33" s="169">
        <v>166.0</v>
      </c>
      <c r="Q33" s="170">
        <v>1493.75</v>
      </c>
      <c r="R33" s="169">
        <v>169.0</v>
      </c>
      <c r="S33" s="170">
        <v>1591.76</v>
      </c>
      <c r="T33" s="169">
        <v>179.0</v>
      </c>
      <c r="U33" s="170">
        <v>1690.41</v>
      </c>
      <c r="V33" s="169">
        <v>179.0</v>
      </c>
      <c r="W33" s="170">
        <v>1784.18</v>
      </c>
      <c r="X33" s="169">
        <v>192.0</v>
      </c>
      <c r="Y33" s="170">
        <v>2211.33</v>
      </c>
    </row>
    <row r="35" collapsed="1">
      <c r="B35" s="125">
        <v>45017.0</v>
      </c>
      <c r="C35" s="125">
        <v>45046.0</v>
      </c>
      <c r="D35" s="125">
        <v>45047.0</v>
      </c>
      <c r="E35" s="125">
        <v>45077.0</v>
      </c>
      <c r="F35" s="125">
        <v>45078.0</v>
      </c>
      <c r="G35" s="125">
        <v>45107.0</v>
      </c>
      <c r="H35" s="125">
        <v>45108.0</v>
      </c>
      <c r="I35" s="125">
        <v>45138.0</v>
      </c>
      <c r="J35" s="125">
        <v>45139.0</v>
      </c>
      <c r="K35" s="125">
        <v>45169.0</v>
      </c>
      <c r="L35" s="125">
        <v>45170.0</v>
      </c>
      <c r="M35" s="125">
        <v>45199.0</v>
      </c>
      <c r="N35" s="125">
        <v>45200.0</v>
      </c>
      <c r="O35" s="125">
        <v>45230.0</v>
      </c>
      <c r="P35" s="125">
        <v>45231.0</v>
      </c>
      <c r="Q35" s="125">
        <v>45260.0</v>
      </c>
      <c r="R35" s="125">
        <v>45261.0</v>
      </c>
      <c r="S35" s="125">
        <v>45291.0</v>
      </c>
      <c r="T35" s="125">
        <v>45292.0</v>
      </c>
      <c r="U35" s="125">
        <v>45322.0</v>
      </c>
      <c r="V35" s="125">
        <v>45323.0</v>
      </c>
      <c r="W35" s="125">
        <v>45351.0</v>
      </c>
      <c r="X35" s="125">
        <v>45352.0</v>
      </c>
      <c r="Y35" s="125">
        <v>45382.0</v>
      </c>
    </row>
    <row r="36" hidden="1" outlineLevel="1">
      <c r="A36" s="127" t="s">
        <v>9</v>
      </c>
      <c r="B36" s="171">
        <f>IFERROR(__xludf.DUMMYFUNCTION("SUM(FILTER(Inventory!F:F,Inventory!J:J=""Closed"",Inventory!D:D&gt;=B35,Inventory!D:D&lt;=C35))"),2221.793000000001)</f>
        <v>2221.793</v>
      </c>
      <c r="D36" s="171">
        <f>IFERROR(__xludf.DUMMYFUNCTION("SUM(FILTER(Inventory!F:F,Inventory!J:J=""Closed"",Inventory!D:D&gt;=D35,Inventory!D:D&lt;=E35))"),1843.640000000001)</f>
        <v>1843.64</v>
      </c>
      <c r="F36" s="171">
        <f>IFERROR(__xludf.DUMMYFUNCTION("SUM(FILTER(Inventory!F:F,Inventory!J:J=""Closed"",Inventory!D:D&gt;=F35,Inventory!D:D&lt;=G35))"),3064.2099999999978)</f>
        <v>3064.21</v>
      </c>
      <c r="H36" s="171">
        <f>IFERROR(__xludf.DUMMYFUNCTION("SUM(FILTER(Inventory!F:F,Inventory!J:J=""Closed"",Inventory!D:D&gt;=H35,Inventory!D:D&lt;=I35))"),2253.6899999999987)</f>
        <v>2253.69</v>
      </c>
      <c r="J36" s="171">
        <f>IFERROR(__xludf.DUMMYFUNCTION("SUM(FILTER(Inventory!F:F,Inventory!J:J=""Closed"",Inventory!D:D&gt;=J35,Inventory!D:D&lt;=K35))"),1972.5280000000052)</f>
        <v>1972.528</v>
      </c>
      <c r="L36" s="171">
        <f>IFERROR(__xludf.DUMMYFUNCTION("SUM(FILTER(Inventory!F:F,Inventory!J:J=""Closed"",Inventory!D:D&gt;=Summary!L35,Inventory!D:D&lt;=Summary!M35))"),3439.569999999998)</f>
        <v>3439.57</v>
      </c>
      <c r="N36" s="171">
        <f>IFERROR(__xludf.DUMMYFUNCTION("SUM(FILTER(Inventory!F:F,Inventory!J:J=""Closed"",Inventory!D:D&gt;=Summary!N35,Inventory!D:D&lt;=Summary!O35))"),4214.390000000001)</f>
        <v>4214.39</v>
      </c>
      <c r="P36" s="171">
        <f>IFERROR(__xludf.DUMMYFUNCTION("SUM(FILTER(Inventory!F:F,Inventory!J:J=""Closed"",Inventory!D:D&gt;=Summary!P35,Inventory!D:D&lt;=Summary!Q35))"),4548.4000000000015)</f>
        <v>4548.4</v>
      </c>
      <c r="R36" s="171">
        <f>IFERROR(__xludf.DUMMYFUNCTION("SUM(FILTER(Inventory!F:F,Inventory!J:J=""Closed"",Inventory!D:D&gt;=Summary!R35,Inventory!D:D&lt;=Summary!S35))"),1484.2699999999986)</f>
        <v>1484.27</v>
      </c>
      <c r="T36" s="171">
        <f>IFERROR(__xludf.DUMMYFUNCTION("SUM(FILTER(Inventory!F:F,Inventory!J:J=""Closed"",Inventory!D:D&gt;=Summary!T35,Inventory!D:D&lt;=Summary!U35))"),1216.7800000000002)</f>
        <v>1216.78</v>
      </c>
      <c r="V36" s="171">
        <f>IFERROR(__xludf.DUMMYFUNCTION("SUM(FILTER(Inventory!F:F,Inventory!J:J=""Closed"",Inventory!D:D&gt;=Summary!V35,Inventory!D:D&lt;=Summary!W35))"),2750.27)</f>
        <v>2750.27</v>
      </c>
      <c r="X36" s="171">
        <f>IFERROR(__xludf.DUMMYFUNCTION("SUM(FILTER(Inventory!F:F,Inventory!J:J=""Closed"",Inventory!D:D&gt;=Summary!X35,Inventory!D:D&lt;=Summary!Y35))"),3520.529999999998)</f>
        <v>3520.53</v>
      </c>
    </row>
    <row r="37" hidden="1" outlineLevel="1">
      <c r="A37" s="132" t="s">
        <v>10223</v>
      </c>
      <c r="B37" s="172">
        <f>IFERROR(__xludf.DUMMYFUNCTION("SUM(FILTER(Inventory!E:E,Inventory!J:J=""Closed"",Inventory!D:D&gt;=B35,Inventory!D:D&lt;=C35))"),1629.9499999999994)</f>
        <v>1629.95</v>
      </c>
      <c r="D37" s="172">
        <f>IFERROR(__xludf.DUMMYFUNCTION("SUM(FILTER(Inventory!E:E,Inventory!J:J=""Closed"",Inventory!D:D&gt;=D35,Inventory!D:D&lt;=E35))"),1370.7999999999993)</f>
        <v>1370.8</v>
      </c>
      <c r="F37" s="172">
        <f>IFERROR(__xludf.DUMMYFUNCTION("SUM(FILTER(Inventory!E:E,Inventory!J:J=""Closed"",Inventory!D:D&gt;=F35,Inventory!D:D&lt;=G35))"),2433.6799999999976)</f>
        <v>2433.68</v>
      </c>
      <c r="H37" s="171">
        <f>IFERROR(__xludf.DUMMYFUNCTION("SUM(FILTER(Inventory!E:E,Inventory!J:J=""Closed"",Inventory!D:D&gt;=H35,Inventory!D:D&lt;=I35))"),1815.3400000000017)</f>
        <v>1815.34</v>
      </c>
      <c r="J37" s="171">
        <f>IFERROR(__xludf.DUMMYFUNCTION("SUM(FILTER(Inventory!E:E,Inventory!J:J=""Closed"",Inventory!D:D&gt;=J35,Inventory!D:D&lt;=K35))"),1596.0600000000024)</f>
        <v>1596.06</v>
      </c>
      <c r="L37" s="171">
        <f>IFERROR(__xludf.DUMMYFUNCTION("SUM(FILTER(Inventory!E:E,Inventory!J:J=""Closed"",Inventory!D:D&gt;=Summary!L35,Inventory!D:D&lt;=Summary!M35))"),2842.5899999999983)</f>
        <v>2842.59</v>
      </c>
      <c r="N37" s="171">
        <f>IFERROR(__xludf.DUMMYFUNCTION("SUM(FILTER(Inventory!E:E,Inventory!J:J=""Closed"",Inventory!D:D&gt;=Summary!N35,Inventory!D:D&lt;=Summary!O35))"),3442.0199999999977)</f>
        <v>3442.02</v>
      </c>
      <c r="P37" s="171">
        <f>IFERROR(__xludf.DUMMYFUNCTION("SUM(FILTER(Inventory!E:E,Inventory!J:J=""Closed"",Inventory!D:D&gt;=Summary!P35,Inventory!D:D&lt;=Summary!Q35))"),3596.229999999999)</f>
        <v>3596.23</v>
      </c>
      <c r="R37" s="171">
        <f>IFERROR(__xludf.DUMMYFUNCTION("SUM(FILTER(Inventory!E:E,Inventory!J:J=""Closed"",Inventory!D:D&gt;=Summary!R35,Inventory!D:D&lt;=Summary!S35))"),1085.7900000000025)</f>
        <v>1085.79</v>
      </c>
      <c r="T37" s="171">
        <f>IFERROR(__xludf.DUMMYFUNCTION("SUM(FILTER(Inventory!E:E,Inventory!J:J=""Closed"",Inventory!D:D&gt;=Summary!T35,Inventory!D:D&lt;=Summary!U35))"),992.3199999999999)</f>
        <v>992.32</v>
      </c>
      <c r="V37" s="171">
        <f>IFERROR(__xludf.DUMMYFUNCTION("SUM(FILTER(Inventory!E:E,Inventory!J:J=""Closed"",Inventory!D:D&gt;=Summary!V35,Inventory!D:D&lt;=Summary!W35))"),2304.54)</f>
        <v>2304.54</v>
      </c>
      <c r="X37" s="171">
        <f>IFERROR(__xludf.DUMMYFUNCTION("SUM(FILTER(Inventory!E:E,Inventory!J:J=""Closed"",Inventory!D:D&gt;=Summary!X35,Inventory!D:D&lt;=Summary!Y35))"),2859.3000000000006)</f>
        <v>2859.3</v>
      </c>
    </row>
    <row r="38" hidden="1" outlineLevel="1">
      <c r="A38" s="134" t="s">
        <v>11</v>
      </c>
      <c r="B38" s="171">
        <f>IFERROR(__xludf.DUMMYFUNCTION("SUM(FILTER(Inventory!G:G,Inventory!J:J=""Closed"",Inventory!D:D&gt;=B35,Inventory!D:D&lt;=C35))"),591.8429999999997)</f>
        <v>591.843</v>
      </c>
      <c r="D38" s="171">
        <f>IFERROR(__xludf.DUMMYFUNCTION("SUM(FILTER(Inventory!G:G,Inventory!J:J=""Closed"",Inventory!D:D&gt;=D35,Inventory!D:D&lt;=E35))"),472.8400000000005)</f>
        <v>472.84</v>
      </c>
      <c r="F38" s="171">
        <f>IFERROR(__xludf.DUMMYFUNCTION("SUM(FILTER(Inventory!G:G,Inventory!J:J=""Closed"",Inventory!D:D&gt;=F35,Inventory!D:D&lt;=G35))"),630.5300000000002)</f>
        <v>630.53</v>
      </c>
      <c r="H38" s="171">
        <f>IFERROR(__xludf.DUMMYFUNCTION("SUM(FILTER(Inventory!G:G,Inventory!J:J=""Closed"",Inventory!D:D&gt;=H35,Inventory!D:D&lt;=I35))"),438.3499999999995)</f>
        <v>438.35</v>
      </c>
      <c r="J38" s="171">
        <f>IFERROR(__xludf.DUMMYFUNCTION("SUM(FILTER(Inventory!G:G,Inventory!J:J=""Closed"",Inventory!D:D&gt;=J35,Inventory!D:D&lt;=K35))"),376.4680000000002)</f>
        <v>376.468</v>
      </c>
      <c r="L38" s="171">
        <f>IFERROR(__xludf.DUMMYFUNCTION("SUM(FILTER(Inventory!G:G,Inventory!J:J=""Closed"",Inventory!D:D&gt;=L35,Inventory!D:D&lt;=M35))"),596.9799999999999)</f>
        <v>596.98</v>
      </c>
      <c r="N38" s="171">
        <f>IFERROR(__xludf.DUMMYFUNCTION("SUM(FILTER(Inventory!G:G,Inventory!J:J=""Closed"",Inventory!D:D&gt;=N35,Inventory!D:D&lt;=O35))"),772.3700000000008)</f>
        <v>772.37</v>
      </c>
      <c r="P38" s="171">
        <f>IFERROR(__xludf.DUMMYFUNCTION("SUM(FILTER(Inventory!G:G,Inventory!J:J=""Closed"",Inventory!D:D&gt;=P35,Inventory!D:D&lt;=Q35))"),952.1700000000001)</f>
        <v>952.17</v>
      </c>
      <c r="R38" s="171">
        <f>IFERROR(__xludf.DUMMYFUNCTION("SUM(FILTER(Inventory!G:G,Inventory!J:J=""Closed"",Inventory!D:D&gt;=R35,Inventory!D:D&lt;=S35))"),398.4799999999999)</f>
        <v>398.48</v>
      </c>
      <c r="T38" s="171">
        <f>IFERROR(__xludf.DUMMYFUNCTION("SUM(FILTER(Inventory!G:G,Inventory!J:J=""Closed"",Inventory!D:D&gt;=T35,Inventory!D:D&lt;=U35))"),224.45999999999992)</f>
        <v>224.46</v>
      </c>
      <c r="V38" s="171">
        <f>IFERROR(__xludf.DUMMYFUNCTION("SUM(FILTER(Inventory!G:G,Inventory!J:J=""Closed"",Inventory!D:D&gt;=V35,Inventory!D:D&lt;=W35))"),445.72999999999996)</f>
        <v>445.73</v>
      </c>
      <c r="X38" s="171">
        <f>IFERROR(__xludf.DUMMYFUNCTION("SUM(FILTER(Inventory!G:G,Inventory!J:J=""Closed"",Inventory!D:D&gt;=X35,Inventory!D:D&lt;=Y35))"),661.2299999999997)</f>
        <v>661.23</v>
      </c>
    </row>
    <row r="39" hidden="1" outlineLevel="1">
      <c r="A39" s="137" t="s">
        <v>10224</v>
      </c>
      <c r="B39" s="173">
        <f>COUNTIFS(Inventory!J:J,"Closed", Inventory!D:D,"&gt;="&amp;B35,Inventory!D:D,"&lt;="&amp;C35)</f>
        <v>187</v>
      </c>
      <c r="D39" s="173">
        <f>COUNTIFS(Inventory!J:J,"Closed", Inventory!D:D,"&gt;="&amp;D35,Inventory!D:D,"&lt;="&amp;E35)</f>
        <v>136</v>
      </c>
      <c r="F39" s="173">
        <f>COUNTIFS(Inventory!J:J,"Closed", Inventory!D:D,"&gt;="&amp;F35,Inventory!D:D,"&lt;="&amp;G35)</f>
        <v>163</v>
      </c>
      <c r="H39" s="173">
        <f>COUNTIFS(Inventory!J:J,"Closed", Inventory!D:D,"&gt;="&amp;H35,Inventory!D:D,"&lt;="&amp;I35)</f>
        <v>184</v>
      </c>
      <c r="J39" s="173">
        <f>COUNTIFS(Inventory!J:J,"Closed", Inventory!D:D,"&gt;="&amp;J35,Inventory!D:D,"&lt;="&amp;K35)</f>
        <v>280</v>
      </c>
      <c r="L39" s="173">
        <f>COUNTIFS(Inventory!J:J,"Closed", Inventory!D:D,"&gt;="&amp;L35,Inventory!D:D,"&lt;="&amp;M35)</f>
        <v>242</v>
      </c>
      <c r="N39" s="173">
        <f>COUNTIFS(Inventory!J:J,"Closed", Inventory!D:D,"&gt;="&amp;N35,Inventory!D:D,"&lt;="&amp;O35)</f>
        <v>251</v>
      </c>
      <c r="P39" s="173">
        <f>COUNTIFS(Inventory!J:J,"Closed", Inventory!D:D,"&gt;="&amp;P35,Inventory!D:D,"&lt;="&amp;Q35)</f>
        <v>283</v>
      </c>
      <c r="R39" s="173">
        <f>COUNTIFS(Inventory!J:J,"Closed", Inventory!D:D,"&gt;="&amp;R35,Inventory!D:D,"&lt;="&amp;S35)</f>
        <v>124</v>
      </c>
      <c r="T39" s="173">
        <f>COUNTIFS(Inventory!J:J,"Closed", Inventory!D:D,"&gt;="&amp;T35,Inventory!D:D,"&lt;="&amp;U35)</f>
        <v>87</v>
      </c>
      <c r="V39" s="173">
        <f>COUNTIFS(Inventory!J:J,"Closed", Inventory!D:D,"&gt;="&amp;V35,Inventory!D:D,"&lt;="&amp;W35)</f>
        <v>122</v>
      </c>
      <c r="X39" s="173">
        <f>COUNTIFS(Inventory!J:J,"Closed", Inventory!D:D,"&gt;="&amp;X35,Inventory!D:D,"&lt;="&amp;Y35)</f>
        <v>187</v>
      </c>
    </row>
    <row r="40" hidden="1" outlineLevel="1">
      <c r="A40" s="157" t="s">
        <v>10225</v>
      </c>
      <c r="B40" s="171">
        <f>IFERROR(__xludf.DUMMYFUNCTION("AVERAGE(FILTER(Inventory!F:F,Inventory!J:J=""Closed"",Inventory!D:D&gt;=B35,Inventory!D:D&lt;=C35))"),11.881245989304817)</f>
        <v>11.88124599</v>
      </c>
      <c r="D40" s="171">
        <f>IFERROR(__xludf.DUMMYFUNCTION("AVERAGE(FILTER(Inventory!F:F,Inventory!J:J=""Closed"",Inventory!D:D&gt;=D35,Inventory!D:D&lt;=E35))"),13.556176470588243)</f>
        <v>13.55617647</v>
      </c>
      <c r="F40" s="171">
        <f>IFERROR(__xludf.DUMMYFUNCTION("AVERAGE(FILTER(Inventory!F:F,Inventory!J:J=""Closed"",Inventory!D:D&gt;=F35,Inventory!D:D&lt;=G35))"),18.798834355828205)</f>
        <v>18.79883436</v>
      </c>
      <c r="H40" s="171">
        <f>IFERROR(__xludf.DUMMYFUNCTION("AVERAGE(FILTER(Inventory!F:F,Inventory!J:J=""Closed"",Inventory!D:D&gt;=H35,Inventory!D:D&lt;=I35))"),12.248315217391298)</f>
        <v>12.24831522</v>
      </c>
      <c r="J40" s="171">
        <f>IFERROR(__xludf.DUMMYFUNCTION("AVERAGE(FILTER(Inventory!F:F,Inventory!J:J=""Closed"",Inventory!D:D&gt;=J35,Inventory!D:D&lt;=K35))"),7.044742857142876)</f>
        <v>7.044742857</v>
      </c>
      <c r="L40" s="171">
        <f>IFERROR(__xludf.DUMMYFUNCTION("AVERAGE(FILTER(Inventory!F:F,Inventory!J:J=""Closed"",Inventory!D:D&gt;=L35,Inventory!D:D&lt;=M35))"),14.21309917355371)</f>
        <v>14.21309917</v>
      </c>
      <c r="N40" s="171">
        <f>IFERROR(__xludf.DUMMYFUNCTION("AVERAGE(FILTER(Inventory!F:F,Inventory!J:J=""Closed"",Inventory!D:D&gt;=N35,Inventory!D:D&lt;=O35))"),16.790398406374507)</f>
        <v>16.79039841</v>
      </c>
      <c r="P40" s="171">
        <f>IFERROR(__xludf.DUMMYFUNCTION("AVERAGE(FILTER(Inventory!F:F,Inventory!J:J=""Closed"",Inventory!D:D&gt;=P35,Inventory!D:D&lt;=Q35))"),16.072084805653716)</f>
        <v>16.07208481</v>
      </c>
      <c r="R40" s="171">
        <f>IFERROR(__xludf.DUMMYFUNCTION("AVERAGE(FILTER(Inventory!F:F,Inventory!J:J=""Closed"",Inventory!D:D&gt;=R35,Inventory!D:D&lt;=S35))"),11.969919354838698)</f>
        <v>11.96991935</v>
      </c>
      <c r="T40" s="171">
        <f>IFERROR(__xludf.DUMMYFUNCTION("AVERAGE(FILTER(Inventory!F:F,Inventory!J:J=""Closed"",Inventory!D:D&gt;=T35,Inventory!D:D&lt;=U35))"),13.985977011494255)</f>
        <v>13.98597701</v>
      </c>
      <c r="V40" s="171">
        <f>IFERROR(__xludf.DUMMYFUNCTION("AVERAGE(FILTER(Inventory!F:F,Inventory!J:J=""Closed"",Inventory!D:D&gt;=V35,Inventory!D:D&lt;=W35))"),22.543196721311475)</f>
        <v>22.54319672</v>
      </c>
      <c r="X40" s="171">
        <f>IFERROR(__xludf.DUMMYFUNCTION("AVERAGE(FILTER(Inventory!F:F,Inventory!J:J=""Closed"",Inventory!D:D&gt;=X35,Inventory!D:D&lt;=Y35))"),18.826363636363624)</f>
        <v>18.82636364</v>
      </c>
    </row>
    <row r="41" hidden="1" outlineLevel="1">
      <c r="A41" s="140" t="s">
        <v>10226</v>
      </c>
      <c r="B41" s="171">
        <f>IFERROR(__xludf.DUMMYFUNCTION("AVERAGE(FILTER(Inventory!G:G,Inventory!J:J=""Closed"",Inventory!D:D&gt;=B35,Inventory!D:D&lt;=C35))"),3.1649358288770038)</f>
        <v>3.164935829</v>
      </c>
      <c r="D41" s="171">
        <f>IFERROR(__xludf.DUMMYFUNCTION("AVERAGE(FILTER(Inventory!G:G,Inventory!J:J=""Closed"",Inventory!D:D&gt;=D35,Inventory!D:D&lt;=E35))"),3.4767647058823563)</f>
        <v>3.476764706</v>
      </c>
      <c r="F41" s="171">
        <f>IFERROR(__xludf.DUMMYFUNCTION("AVERAGE(FILTER(Inventory!G:G,Inventory!J:J=""Closed"",Inventory!D:D&gt;=F35,Inventory!D:D&lt;=G35))"),3.8682822085889583)</f>
        <v>3.868282209</v>
      </c>
      <c r="H41" s="171">
        <f>IFERROR(__xludf.DUMMYFUNCTION("AVERAGE(FILTER(Inventory!G:G,Inventory!J:J=""Closed"",Inventory!D:D&gt;=H35,Inventory!D:D&lt;=I35))"),2.3823369565217365)</f>
        <v>2.382336957</v>
      </c>
      <c r="J41" s="171">
        <f>IFERROR(__xludf.DUMMYFUNCTION("AVERAGE(FILTER(Inventory!G:G,Inventory!J:J=""Closed"",Inventory!D:D&gt;=J35,Inventory!D:D&lt;=K35))"),1.3445285714285722)</f>
        <v>1.344528571</v>
      </c>
      <c r="L41" s="171">
        <f>IFERROR(__xludf.DUMMYFUNCTION("AVERAGE(FILTER(Inventory!G:G,Inventory!J:J=""Closed"",Inventory!D:D&gt;=L35,Inventory!D:D&lt;=M35))"),2.466859504132231)</f>
        <v>2.466859504</v>
      </c>
      <c r="N41" s="171">
        <f>IFERROR(__xludf.DUMMYFUNCTION("AVERAGE(FILTER(Inventory!G:G,Inventory!J:J=""Closed"",Inventory!D:D&gt;=N35,Inventory!D:D&lt;=O35))"),3.077171314741039)</f>
        <v>3.077171315</v>
      </c>
      <c r="P41" s="171">
        <f>IFERROR(__xludf.DUMMYFUNCTION("AVERAGE(FILTER(Inventory!G:G,Inventory!J:J=""Closed"",Inventory!D:D&gt;=P35,Inventory!D:D&lt;=Q35))"),3.364558303886926)</f>
        <v>3.364558304</v>
      </c>
      <c r="R41" s="171">
        <f>IFERROR(__xludf.DUMMYFUNCTION("AVERAGE(FILTER(Inventory!G:G,Inventory!J:J=""Closed"",Inventory!D:D&gt;=R35,Inventory!D:D&lt;=S35))"),3.2135483870967736)</f>
        <v>3.213548387</v>
      </c>
      <c r="T41" s="171">
        <f>IFERROR(__xludf.DUMMYFUNCTION("AVERAGE(FILTER(Inventory!G:G,Inventory!J:J=""Closed"",Inventory!D:D&gt;=T35,Inventory!D:D&lt;=U35))"),2.579999999999999)</f>
        <v>2.58</v>
      </c>
      <c r="V41" s="171">
        <f>IFERROR(__xludf.DUMMYFUNCTION("AVERAGE(FILTER(Inventory!G:G,Inventory!J:J=""Closed"",Inventory!D:D&gt;=V35,Inventory!D:D&lt;=W35))"),3.653524590163934)</f>
        <v>3.65352459</v>
      </c>
      <c r="X41" s="171">
        <f>IFERROR(__xludf.DUMMYFUNCTION("AVERAGE(FILTER(Inventory!G:G,Inventory!J:J=""Closed"",Inventory!D:D&gt;=X35,Inventory!D:D&lt;=Y35))"),3.5359893048128326)</f>
        <v>3.535989305</v>
      </c>
    </row>
    <row r="42" hidden="1" outlineLevel="1">
      <c r="A42" s="160" t="s">
        <v>10227</v>
      </c>
      <c r="B42" s="174">
        <f>(B38/B36)*100</f>
        <v>26.63808015</v>
      </c>
      <c r="D42" s="174">
        <f>(D38/D36)*100</f>
        <v>25.64708945</v>
      </c>
      <c r="F42" s="174">
        <f>(F38/F36)*100</f>
        <v>20.57724503</v>
      </c>
      <c r="H42" s="174">
        <f>(H38/H36)*100</f>
        <v>19.45032369</v>
      </c>
      <c r="J42" s="174">
        <f>(J38/J36)*100</f>
        <v>19.08555924</v>
      </c>
      <c r="L42" s="174">
        <f>(L38/L36)*100</f>
        <v>17.3562393</v>
      </c>
      <c r="N42" s="174">
        <f>(N38/N36)*100</f>
        <v>18.32697021</v>
      </c>
      <c r="P42" s="174">
        <f>(P38/P36)*100</f>
        <v>20.93417465</v>
      </c>
      <c r="R42" s="174">
        <f>(R38/R36)*100</f>
        <v>26.84686748</v>
      </c>
      <c r="T42" s="174">
        <f>(T38/T36)*100</f>
        <v>18.44704877</v>
      </c>
      <c r="V42" s="174">
        <f>(V38/V36)*100</f>
        <v>16.20677243</v>
      </c>
      <c r="X42" s="174">
        <f>(X38/X36)*100</f>
        <v>18.78211519</v>
      </c>
    </row>
    <row r="43" hidden="1" outlineLevel="1">
      <c r="A43" s="163" t="s">
        <v>10228</v>
      </c>
      <c r="B43" s="174">
        <f>IFERROR(__xludf.DUMMYFUNCTION("AVERAGE(FILTER(Inventory!K:K,Inventory!J:J=""Closed"",Inventory!D:D&gt;=B35,Inventory!D:D&lt;=C35))"),27.13903743315508)</f>
        <v>27.13903743</v>
      </c>
      <c r="D43" s="174">
        <f>IFERROR(__xludf.DUMMYFUNCTION("AVERAGE(FILTER(Inventory!K:K,Inventory!J:J=""Closed"",Inventory!D:D&gt;=D35,Inventory!D:D&lt;=E35))"),19.683823529411764)</f>
        <v>19.68382353</v>
      </c>
      <c r="F43" s="174">
        <f>IFERROR(__xludf.DUMMYFUNCTION("AVERAGE(FILTER(Inventory!K:K,Inventory!J:J=""Closed"",Inventory!D:D&gt;=F35,Inventory!D:D&lt;=G35))"),13.042944785276074)</f>
        <v>13.04294479</v>
      </c>
      <c r="H43" s="174">
        <f>IFERROR(__xludf.DUMMYFUNCTION("AVERAGE(FILTER(Inventory!K:K,Inventory!J:J=""Closed"",Inventory!D:D&gt;=H35,Inventory!D:D&lt;=I35))"),24.559782608695652)</f>
        <v>24.55978261</v>
      </c>
      <c r="J43" s="174">
        <f>IFERROR(__xludf.DUMMYFUNCTION("AVERAGE(FILTER(Inventory!K:K,Inventory!J:J=""Closed"",Inventory!D:D&gt;=J35,Inventory!D:D&lt;=K35))"),19.9)</f>
        <v>19.9</v>
      </c>
      <c r="L43" s="174">
        <f>IFERROR(__xludf.DUMMYFUNCTION("AVERAGE(FILTER(Inventory!K:K,Inventory!J:J=""Closed"",Inventory!D:D&gt;=L35,Inventory!D:D&lt;=M35))"),34.1198347107438)</f>
        <v>34.11983471</v>
      </c>
      <c r="N43" s="174">
        <f>IFERROR(__xludf.DUMMYFUNCTION("AVERAGE(FILTER(Inventory!K:K,Inventory!J:J=""Closed"",Inventory!D:D&gt;=N35,Inventory!D:D&lt;=O35))"),32.62948207171315)</f>
        <v>32.62948207</v>
      </c>
      <c r="P43" s="174">
        <f>IFERROR(__xludf.DUMMYFUNCTION("AVERAGE(FILTER(Inventory!K:K,Inventory!J:J=""Closed"",Inventory!D:D&gt;=P35,Inventory!D:D&lt;=Q35))"),20.16254416961131)</f>
        <v>20.16254417</v>
      </c>
      <c r="R43" s="174">
        <f>IFERROR(__xludf.DUMMYFUNCTION("AVERAGE(FILTER(Inventory!K:K,Inventory!J:J=""Closed"",Inventory!D:D&gt;=R35,Inventory!D:D&lt;=S35))"),10.129032258064516)</f>
        <v>10.12903226</v>
      </c>
      <c r="T43" s="174">
        <f>IFERROR(__xludf.DUMMYFUNCTION("AVERAGE(FILTER(Inventory!K:K,Inventory!J:J=""Closed"",Inventory!D:D&gt;=T35,Inventory!D:D&lt;=U35))"),18.689655172413794)</f>
        <v>18.68965517</v>
      </c>
      <c r="V43" s="174">
        <f>IFERROR(__xludf.DUMMYFUNCTION("AVERAGE(FILTER(Inventory!K:K,Inventory!J:J=""Closed"",Inventory!D:D&gt;=V35,Inventory!D:D&lt;=W35))"),30.778688524590162)</f>
        <v>30.77868852</v>
      </c>
      <c r="X43" s="174">
        <f>IFERROR(__xludf.DUMMYFUNCTION("AVERAGE(FILTER(Inventory!K:K,Inventory!J:J=""Closed"",Inventory!D:D&gt;=X35,Inventory!D:D&lt;=Y35))"),20.336898395721924)</f>
        <v>20.3368984</v>
      </c>
    </row>
    <row r="44" hidden="1" outlineLevel="1">
      <c r="A44" s="163" t="s">
        <v>10229</v>
      </c>
      <c r="B44" s="167">
        <v>24.6</v>
      </c>
      <c r="D44" s="167">
        <v>46.07</v>
      </c>
      <c r="F44" s="167">
        <v>41.03</v>
      </c>
      <c r="H44" s="167">
        <v>40.0</v>
      </c>
      <c r="J44" s="167">
        <v>40.0</v>
      </c>
      <c r="L44" s="167">
        <v>70.0</v>
      </c>
      <c r="N44" s="167">
        <v>51.0</v>
      </c>
      <c r="P44" s="167">
        <v>58.15</v>
      </c>
      <c r="R44" s="167">
        <v>60.0</v>
      </c>
      <c r="T44" s="167">
        <v>0.0</v>
      </c>
      <c r="V44" s="167">
        <v>30.0</v>
      </c>
      <c r="X44" s="167">
        <v>60.5</v>
      </c>
    </row>
    <row r="45" hidden="1" outlineLevel="1">
      <c r="B45" s="169">
        <v>219.0</v>
      </c>
      <c r="C45" s="170">
        <v>2534.23</v>
      </c>
      <c r="D45" s="169">
        <v>214.0</v>
      </c>
      <c r="E45" s="170">
        <v>2490.48</v>
      </c>
      <c r="F45" s="169">
        <v>205.0</v>
      </c>
      <c r="G45" s="170">
        <v>2447.1</v>
      </c>
      <c r="H45" s="169">
        <v>232.0</v>
      </c>
      <c r="I45" s="170">
        <v>2757.74</v>
      </c>
      <c r="J45" s="169">
        <v>245.0</v>
      </c>
      <c r="K45" s="170">
        <v>3110.22</v>
      </c>
      <c r="L45" s="169">
        <v>236.0</v>
      </c>
      <c r="M45" s="170">
        <v>3281.8</v>
      </c>
      <c r="N45" s="169">
        <v>227.0</v>
      </c>
      <c r="O45" s="170">
        <v>3139.24</v>
      </c>
      <c r="P45" s="169">
        <v>255.0</v>
      </c>
      <c r="Q45" s="170">
        <v>3666.76</v>
      </c>
      <c r="R45" s="169">
        <v>245.0</v>
      </c>
      <c r="S45" s="170">
        <v>3640.44</v>
      </c>
      <c r="T45" s="169">
        <v>247.0</v>
      </c>
      <c r="U45" s="170">
        <v>3712.6</v>
      </c>
      <c r="V45" s="169">
        <v>248.0</v>
      </c>
      <c r="W45" s="170">
        <v>3697.02</v>
      </c>
      <c r="X45" s="169">
        <v>238.0</v>
      </c>
      <c r="Y45" s="170">
        <v>3712.97</v>
      </c>
    </row>
    <row r="47" collapsed="1">
      <c r="B47" s="125">
        <v>45383.0</v>
      </c>
      <c r="C47" s="125">
        <v>45412.0</v>
      </c>
      <c r="D47" s="125">
        <v>45413.0</v>
      </c>
      <c r="E47" s="125">
        <v>45443.0</v>
      </c>
      <c r="F47" s="125">
        <v>45444.0</v>
      </c>
      <c r="G47" s="125">
        <v>45473.0</v>
      </c>
      <c r="H47" s="125">
        <v>45474.0</v>
      </c>
      <c r="I47" s="125">
        <v>45504.0</v>
      </c>
      <c r="J47" s="125">
        <v>45505.0</v>
      </c>
      <c r="K47" s="125">
        <v>45535.0</v>
      </c>
      <c r="L47" s="125">
        <v>45536.0</v>
      </c>
      <c r="M47" s="125">
        <v>45565.0</v>
      </c>
      <c r="N47" s="125">
        <v>45566.0</v>
      </c>
      <c r="O47" s="125">
        <v>45596.0</v>
      </c>
      <c r="P47" s="125">
        <v>45597.0</v>
      </c>
      <c r="Q47" s="125">
        <v>45626.0</v>
      </c>
      <c r="R47" s="125">
        <v>45627.0</v>
      </c>
      <c r="S47" s="125">
        <v>45657.0</v>
      </c>
      <c r="T47" s="125">
        <v>45658.0</v>
      </c>
      <c r="U47" s="125">
        <v>45688.0</v>
      </c>
      <c r="V47" s="125">
        <v>45689.0</v>
      </c>
      <c r="W47" s="125">
        <v>45716.0</v>
      </c>
      <c r="X47" s="125">
        <v>45717.0</v>
      </c>
      <c r="Y47" s="125">
        <v>45747.0</v>
      </c>
    </row>
    <row r="48" hidden="1" outlineLevel="1">
      <c r="A48" s="127" t="s">
        <v>9</v>
      </c>
      <c r="B48" s="171">
        <f>IFERROR(__xludf.DUMMYFUNCTION("SUM(FILTER(Inventory!F:F,Inventory!J:J=""Closed"",Inventory!D:D&gt;=B47,Inventory!D:D&lt;=C47))"),6314.66)</f>
        <v>6314.66</v>
      </c>
      <c r="D48" s="171">
        <f>IFERROR(__xludf.DUMMYFUNCTION("SUM(FILTER(Inventory!F:F,Inventory!J:J=""Closed"",Inventory!D:D&gt;=D47,Inventory!D:D&lt;=E47))"),3825.189999999995)</f>
        <v>3825.19</v>
      </c>
      <c r="F48" s="171">
        <f>IFERROR(__xludf.DUMMYFUNCTION("SUM(FILTER(Inventory!F:F,Inventory!J:J=""Closed"",Inventory!D:D&gt;=F47,Inventory!D:D&lt;=G47))"),3485.1600000000026)</f>
        <v>3485.16</v>
      </c>
      <c r="H48" s="171">
        <f>IFERROR(__xludf.DUMMYFUNCTION("SUM(FILTER(Inventory!F:F,Inventory!J:J=""Closed"",Inventory!D:D&gt;=H47,Inventory!D:D&lt;=I47))"),1203.6499999999999)</f>
        <v>1203.65</v>
      </c>
      <c r="J48" s="171">
        <f>IFERROR(__xludf.DUMMYFUNCTION("SUM(FILTER(Inventory!F:F,Inventory!J:J=""Closed"",Inventory!D:D&gt;=J47,Inventory!D:D&lt;=K47))"),431.82999999999987)</f>
        <v>431.83</v>
      </c>
      <c r="L48" s="171">
        <f>IFERROR(__xludf.DUMMYFUNCTION("SUM(FILTER(Inventory!F:F,Inventory!J:J=""Closed"",Inventory!D:D&gt;=L47,Inventory!D:D&lt;=M47))"),5291.869999999993)</f>
        <v>5291.87</v>
      </c>
      <c r="N48" s="171">
        <f>IFERROR(__xludf.DUMMYFUNCTION("SUM(FILTER(Inventory!F:F,Inventory!J:J=""Closed"",Inventory!D:D&gt;=N47,Inventory!D:D&lt;=O47))"),3470.17)</f>
        <v>3470.17</v>
      </c>
      <c r="P48" s="171">
        <f>IFERROR(__xludf.DUMMYFUNCTION("SUM(FILTER(Inventory!F:F,Inventory!J:J=""Closed"",Inventory!D:D&gt;=P47,Inventory!D:D&lt;=Q47))"),3315.269999999996)</f>
        <v>3315.27</v>
      </c>
      <c r="R48" s="171">
        <f>IFERROR(__xludf.DUMMYFUNCTION("SUM(FILTER(Inventory!F:F,Inventory!J:J=""Closed"",Inventory!D:D&gt;=R47,Inventory!D:D&lt;=S47))"),5750.620000000009)</f>
        <v>5750.62</v>
      </c>
      <c r="T48" s="171">
        <f>IFERROR(__xludf.DUMMYFUNCTION("SUM(FILTER(Inventory!F:F,Inventory!J:J=""Closed"",Inventory!D:D&gt;=T47,Inventory!D:D&lt;=U47))"),2463.19)</f>
        <v>2463.19</v>
      </c>
      <c r="V48" s="171">
        <f>IFERROR(__xludf.DUMMYFUNCTION("SUM(FILTER(Inventory!F:F,Inventory!J:J=""Closed"",Inventory!D:D&gt;=V47,Inventory!D:D&lt;=W47))"),2733.82)</f>
        <v>2733.82</v>
      </c>
      <c r="X48" s="171">
        <f>IFERROR(__xludf.DUMMYFUNCTION("SUM(FILTER(Inventory!F:F,Inventory!J:J=""Closed"",Inventory!D:D&gt;=X47,Inventory!D:D&lt;=Y47))"),3209.4679999999958)</f>
        <v>3209.468</v>
      </c>
    </row>
    <row r="49" hidden="1" outlineLevel="1">
      <c r="A49" s="132" t="s">
        <v>10223</v>
      </c>
      <c r="B49" s="172">
        <f>IFERROR(__xludf.DUMMYFUNCTION("SUM(FILTER(Inventory!E:E,Inventory!J:J=""Closed"",Inventory!D:D&gt;=B47,Inventory!D:D&lt;=C47))"),4980.809999999991)</f>
        <v>4980.81</v>
      </c>
      <c r="D49" s="171">
        <f>IFERROR(__xludf.DUMMYFUNCTION("SUM(FILTER(Inventory!E:E,Inventory!J:J=""Closed"",Inventory!D:D&gt;=D47,Inventory!D:D&lt;=E47))"),3082.179999999998)</f>
        <v>3082.18</v>
      </c>
      <c r="F49" s="171">
        <f>IFERROR(__xludf.DUMMYFUNCTION("SUM(FILTER(Inventory!E:E,Inventory!J:J=""Closed"",Inventory!D:D&gt;=F47,Inventory!D:D&lt;=G47))"),2828.230000000001)</f>
        <v>2828.23</v>
      </c>
      <c r="H49" s="171">
        <f>IFERROR(__xludf.DUMMYFUNCTION("SUM(FILTER(Inventory!E:E,Inventory!J:J=""Closed"",Inventory!D:D&gt;=H47,Inventory!D:D&lt;=I47))"),1007.8400000000001)</f>
        <v>1007.84</v>
      </c>
      <c r="J49" s="171">
        <f>IFERROR(__xludf.DUMMYFUNCTION("SUM(FILTER(Inventory!E:E,Inventory!J:J=""Closed"",Inventory!D:D&gt;=J47,Inventory!D:D&lt;=K47))"),394.84000000000003)</f>
        <v>394.84</v>
      </c>
      <c r="L49" s="171">
        <f>IFERROR(__xludf.DUMMYFUNCTION("SUM(FILTER(Inventory!E:E,Inventory!J:J=""Closed"",Inventory!D:D&gt;=L47,Inventory!D:D&lt;=M47))"),4169.399999999999)</f>
        <v>4169.4</v>
      </c>
      <c r="N49" s="171">
        <f>IFERROR(__xludf.DUMMYFUNCTION("SUM(FILTER(Inventory!E:E,Inventory!J:J=""Closed"",Inventory!D:D&gt;=N47,Inventory!D:D&lt;=O47))"),2688.5799999999963)</f>
        <v>2688.58</v>
      </c>
      <c r="P49" s="171">
        <f>IFERROR(__xludf.DUMMYFUNCTION("SUM(FILTER(Inventory!E:E,Inventory!J:J=""Closed"",Inventory!D:D&gt;=P47,Inventory!D:D&lt;=Q47))"),2553.5899999999997)</f>
        <v>2553.59</v>
      </c>
      <c r="R49" s="171">
        <f>IFERROR(__xludf.DUMMYFUNCTION("SUM(FILTER(Inventory!E:E,Inventory!J:J=""Closed"",Inventory!D:D&gt;=R47,Inventory!D:D&lt;=S47))"),4396.395873015879)</f>
        <v>4396.395873</v>
      </c>
      <c r="T49" s="171">
        <f>IFERROR(__xludf.DUMMYFUNCTION("SUM(FILTER(Inventory!E:E,Inventory!J:J=""Closed"",Inventory!D:D&gt;=T47,Inventory!D:D&lt;=U47))"),2005.6100000000004)</f>
        <v>2005.61</v>
      </c>
      <c r="V49" s="171">
        <f>IFERROR(__xludf.DUMMYFUNCTION("SUM(FILTER(Inventory!E:E,Inventory!J:J=""Closed"",Inventory!D:D&gt;=V47,Inventory!D:D&lt;=W47))"),2279.7600000000007)</f>
        <v>2279.76</v>
      </c>
      <c r="X49" s="171">
        <f>IFERROR(__xludf.DUMMYFUNCTION("SUM(FILTER(Inventory!E:E,Inventory!J:J=""Closed"",Inventory!D:D&gt;=X47,Inventory!D:D&lt;=Y47))"),2508.9799999999987)</f>
        <v>2508.98</v>
      </c>
    </row>
    <row r="50" hidden="1" outlineLevel="1">
      <c r="A50" s="134" t="s">
        <v>11</v>
      </c>
      <c r="B50" s="171">
        <f>IFERROR(__xludf.DUMMYFUNCTION("SUM(FILTER(Inventory!G:G,Inventory!J:J=""Closed"",Inventory!D:D&gt;=B47,Inventory!D:D&lt;=C47))"),1333.8499999999985)</f>
        <v>1333.85</v>
      </c>
      <c r="D50" s="171">
        <f>IFERROR(__xludf.DUMMYFUNCTION("SUM(FILTER(Inventory!G:G,Inventory!J:J=""Closed"",Inventory!D:D&gt;=D47,Inventory!D:D&lt;=E47))"),743.0100000000004)</f>
        <v>743.01</v>
      </c>
      <c r="F50" s="171">
        <f>IFERROR(__xludf.DUMMYFUNCTION("SUM(FILTER(Inventory!G:G,Inventory!J:J=""Closed"",Inventory!D:D&gt;=F47,Inventory!D:D&lt;=G47))"),656.9299999999998)</f>
        <v>656.93</v>
      </c>
      <c r="H50" s="171">
        <f>IFERROR(__xludf.DUMMYFUNCTION("SUM(FILTER(Inventory!G:G,Inventory!J:J=""Closed"",Inventory!D:D&gt;=H47,Inventory!D:D&lt;=I47))"),195.80999999999995)</f>
        <v>195.81</v>
      </c>
      <c r="J50" s="171">
        <f>IFERROR(__xludf.DUMMYFUNCTION("SUM(FILTER(Inventory!G:G,Inventory!J:J=""Closed"",Inventory!D:D&gt;=J47,Inventory!D:D&lt;=K47))"),36.989999999999995)</f>
        <v>36.99</v>
      </c>
      <c r="L50" s="171">
        <f>IFERROR(__xludf.DUMMYFUNCTION("SUM(FILTER(Inventory!G:G,Inventory!J:J=""Closed"",Inventory!D:D&gt;=L47,Inventory!D:D&lt;=M47))"),1122.4699999999993)</f>
        <v>1122.47</v>
      </c>
      <c r="N50" s="171">
        <f>IFERROR(__xludf.DUMMYFUNCTION("SUM(FILTER(Inventory!G:G,Inventory!J:J=""Closed"",Inventory!D:D&gt;=N47,Inventory!D:D&lt;=O47))"),781.5899999999999)</f>
        <v>781.59</v>
      </c>
      <c r="P50" s="171">
        <f>IFERROR(__xludf.DUMMYFUNCTION("SUM(FILTER(Inventory!G:G,Inventory!J:J=""Closed"",Inventory!D:D&gt;=P47,Inventory!D:D&lt;=Q47))"),761.6799999999996)</f>
        <v>761.68</v>
      </c>
      <c r="R50" s="171">
        <f>IFERROR(__xludf.DUMMYFUNCTION("SUM(FILTER(Inventory!G:G,Inventory!J:J=""Closed"",Inventory!D:D&gt;=R47,Inventory!D:D&lt;=S47))"),1354.2241269841281)</f>
        <v>1354.224127</v>
      </c>
      <c r="T50" s="171">
        <f>IFERROR(__xludf.DUMMYFUNCTION("SUM(FILTER(Inventory!G:G,Inventory!J:J=""Closed"",Inventory!D:D&gt;=T47,Inventory!D:D&lt;=U47))"),457.5800000000001)</f>
        <v>457.58</v>
      </c>
      <c r="V50" s="171">
        <f>IFERROR(__xludf.DUMMYFUNCTION("SUM(FILTER(Inventory!G:G,Inventory!J:J=""Closed"",Inventory!D:D&gt;=V47,Inventory!D:D&lt;=W47))"),454.05999999999983)</f>
        <v>454.06</v>
      </c>
      <c r="X50" s="171">
        <f>IFERROR(__xludf.DUMMYFUNCTION("SUM(FILTER(Inventory!G:G,Inventory!J:J=""Closed"",Inventory!D:D&gt;=X47,Inventory!D:D&lt;=Y47))"),700.4879999999997)</f>
        <v>700.488</v>
      </c>
    </row>
    <row r="51" hidden="1" outlineLevel="1">
      <c r="A51" s="137" t="s">
        <v>10224</v>
      </c>
      <c r="B51" s="173">
        <f>COUNTIFS(Inventory!J:J,"Closed", Inventory!D:D,"&gt;="&amp;B47,Inventory!D:D,"&lt;="&amp;C47)</f>
        <v>423</v>
      </c>
      <c r="D51" s="173">
        <f>COUNTIFS(Inventory!J:J,"Closed", Inventory!D:D,"&gt;="&amp;D47,Inventory!D:D,"&lt;="&amp;E47)</f>
        <v>312</v>
      </c>
      <c r="F51" s="173">
        <f>COUNTIFS(Inventory!J:J,"Closed", Inventory!D:D,"&gt;="&amp;F47,Inventory!D:D,"&lt;="&amp;G47)</f>
        <v>154</v>
      </c>
      <c r="H51" s="173">
        <f>COUNTIFS(Inventory!J:J,"Closed", Inventory!D:D,"&gt;="&amp;H47,Inventory!D:D,"&lt;="&amp;I47)</f>
        <v>67</v>
      </c>
      <c r="J51" s="173">
        <f>COUNTIFS(Inventory!J:J,"Closed", Inventory!D:D,"&gt;="&amp;J47,Inventory!D:D,"&lt;="&amp;K47)</f>
        <v>27</v>
      </c>
      <c r="L51" s="173">
        <f>COUNTIFS(Inventory!J:J,"Closed", Inventory!D:D,"&gt;="&amp;L47,Inventory!D:D,"&lt;="&amp;M47)</f>
        <v>226</v>
      </c>
      <c r="N51" s="173">
        <f>COUNTIFS(Inventory!J:J,"Closed", Inventory!D:D,"&gt;="&amp;N47,Inventory!D:D,"&lt;="&amp;O47)</f>
        <v>182</v>
      </c>
      <c r="P51" s="173">
        <f>COUNTIFS(Inventory!J:J,"Closed", Inventory!D:D,"&gt;="&amp;P47,Inventory!D:D,"&lt;="&amp;Q47)</f>
        <v>153</v>
      </c>
      <c r="R51" s="173">
        <f>COUNTIFS(Inventory!J:J,"Closed", Inventory!D:D,"&gt;="&amp;R47,Inventory!D:D,"&lt;="&amp;S47)</f>
        <v>291</v>
      </c>
      <c r="T51" s="173">
        <f>COUNTIFS(Inventory!J:J,"Closed", Inventory!D:D,"&gt;="&amp;T47,Inventory!D:D,"&lt;="&amp;U47)</f>
        <v>145</v>
      </c>
      <c r="V51" s="173">
        <f>COUNTIFS(Inventory!J:J,"Closed", Inventory!D:D,"&gt;="&amp;V47,Inventory!D:D,"&lt;="&amp;W47)</f>
        <v>144</v>
      </c>
      <c r="X51" s="173">
        <f>COUNTIFS(Inventory!J:J,"Closed", Inventory!D:D,"&gt;="&amp;X47,Inventory!D:D,"&lt;="&amp;Y47)</f>
        <v>140</v>
      </c>
    </row>
    <row r="52" hidden="1" outlineLevel="1">
      <c r="A52" s="157" t="s">
        <v>10225</v>
      </c>
      <c r="B52" s="171">
        <f>IFERROR(__xludf.DUMMYFUNCTION("AVERAGE(FILTER(Inventory!F:F,Inventory!J:J=""Closed"",Inventory!D:D&gt;=B47,Inventory!D:D&lt;=C47))"),14.928274231678486)</f>
        <v>14.92827423</v>
      </c>
      <c r="D52" s="171">
        <f>IFERROR(__xludf.DUMMYFUNCTION("AVERAGE(FILTER(Inventory!F:F,Inventory!J:J=""Closed"",Inventory!D:D&gt;=D47,Inventory!D:D&lt;=E47))"),12.260224358974343)</f>
        <v>12.26022436</v>
      </c>
      <c r="F52" s="171">
        <f>IFERROR(__xludf.DUMMYFUNCTION("AVERAGE(FILTER(Inventory!F:F,Inventory!J:J=""Closed"",Inventory!D:D&gt;=F47,Inventory!D:D&lt;=G47))"),22.630909090909107)</f>
        <v>22.63090909</v>
      </c>
      <c r="H52" s="171">
        <f>IFERROR(__xludf.DUMMYFUNCTION("AVERAGE(FILTER(Inventory!F:F,Inventory!J:J=""Closed"",Inventory!D:D&gt;=H47,Inventory!D:D&lt;=I47))"),17.964925373134328)</f>
        <v>17.96492537</v>
      </c>
      <c r="J52" s="171">
        <f>IFERROR(__xludf.DUMMYFUNCTION("AVERAGE(FILTER(Inventory!F:F,Inventory!J:J=""Closed"",Inventory!D:D&gt;=J47,Inventory!D:D&lt;=K47))"),15.9937037037037)</f>
        <v>15.9937037</v>
      </c>
      <c r="L52" s="171">
        <f>IFERROR(__xludf.DUMMYFUNCTION("AVERAGE(FILTER(Inventory!F:F,Inventory!J:J=""Closed"",Inventory!D:D&gt;=L47,Inventory!D:D&lt;=M47))"),23.415353982300854)</f>
        <v>23.41535398</v>
      </c>
      <c r="N52" s="171">
        <f>IFERROR(__xludf.DUMMYFUNCTION("AVERAGE(FILTER(Inventory!F:F,Inventory!J:J=""Closed"",Inventory!D:D&gt;=N47,Inventory!D:D&lt;=O47))"),19.066868131868134)</f>
        <v>19.06686813</v>
      </c>
      <c r="P52" s="171">
        <f>IFERROR(__xludf.DUMMYFUNCTION("AVERAGE(FILTER(Inventory!F:F,Inventory!J:J=""Closed"",Inventory!D:D&gt;=P47,Inventory!D:D&lt;=Q47))"),21.668431372548994)</f>
        <v>21.66843137</v>
      </c>
      <c r="R52" s="171">
        <f>IFERROR(__xludf.DUMMYFUNCTION("AVERAGE(FILTER(Inventory!F:F,Inventory!J:J=""Closed"",Inventory!D:D&gt;=R47,Inventory!D:D&lt;=S47))"),19.761580756013778)</f>
        <v>19.76158076</v>
      </c>
      <c r="T52" s="171">
        <f>IFERROR(__xludf.DUMMYFUNCTION("AVERAGE(FILTER(Inventory!F:F,Inventory!J:J=""Closed"",Inventory!D:D&gt;=T47,Inventory!D:D&lt;=U47))"),16.98751724137931)</f>
        <v>16.98751724</v>
      </c>
      <c r="V52" s="171">
        <f>IFERROR(__xludf.DUMMYFUNCTION("AVERAGE(FILTER(Inventory!F:F,Inventory!J:J=""Closed"",Inventory!D:D&gt;=V47,Inventory!D:D&lt;=W47))"),18.984861111111112)</f>
        <v>18.98486111</v>
      </c>
      <c r="X52" s="171">
        <f>IFERROR(__xludf.DUMMYFUNCTION("AVERAGE(FILTER(Inventory!F:F,Inventory!J:J=""Closed"",Inventory!D:D&gt;=X47,Inventory!D:D&lt;=Y47))"),22.924771428571397)</f>
        <v>22.92477143</v>
      </c>
    </row>
    <row r="53" hidden="1" outlineLevel="1">
      <c r="A53" s="140" t="s">
        <v>10226</v>
      </c>
      <c r="B53" s="171">
        <f>IFERROR(__xludf.DUMMYFUNCTION("AVERAGE(FILTER(Inventory!G:G,Inventory!J:J=""Closed"",Inventory!D:D&gt;=B47,Inventory!D:D&lt;=C47))"),3.1533096926713915)</f>
        <v>3.153309693</v>
      </c>
      <c r="D53" s="171">
        <f>IFERROR(__xludf.DUMMYFUNCTION("AVERAGE(FILTER(Inventory!G:G,Inventory!J:J=""Closed"",Inventory!D:D&gt;=D47,Inventory!D:D&lt;=E47))"),2.3814423076923092)</f>
        <v>2.381442308</v>
      </c>
      <c r="F53" s="171">
        <f>IFERROR(__xludf.DUMMYFUNCTION("AVERAGE(FILTER(Inventory!G:G,Inventory!J:J=""Closed"",Inventory!D:D&gt;=F47,Inventory!D:D&lt;=G47))"),4.26577922077922)</f>
        <v>4.265779221</v>
      </c>
      <c r="H53" s="171">
        <f>IFERROR(__xludf.DUMMYFUNCTION("AVERAGE(FILTER(Inventory!G:G,Inventory!J:J=""Closed"",Inventory!D:D&gt;=H47,Inventory!D:D&lt;=I47))"),2.922537313432835)</f>
        <v>2.922537313</v>
      </c>
      <c r="J53" s="171">
        <f>IFERROR(__xludf.DUMMYFUNCTION("AVERAGE(FILTER(Inventory!G:G,Inventory!J:J=""Closed"",Inventory!D:D&gt;=J47,Inventory!D:D&lt;=K47))"),1.3699999999999999)</f>
        <v>1.37</v>
      </c>
      <c r="L53" s="171">
        <f>IFERROR(__xludf.DUMMYFUNCTION("AVERAGE(FILTER(Inventory!G:G,Inventory!J:J=""Closed"",Inventory!D:D&gt;=L47,Inventory!D:D&lt;=M47))"),4.966681415929201)</f>
        <v>4.966681416</v>
      </c>
      <c r="N53" s="171">
        <f>IFERROR(__xludf.DUMMYFUNCTION("AVERAGE(FILTER(Inventory!G:G,Inventory!J:J=""Closed"",Inventory!D:D&gt;=N47,Inventory!D:D&lt;=O47))"),4.294450549450549)</f>
        <v>4.294450549</v>
      </c>
      <c r="P53" s="171">
        <f>IFERROR(__xludf.DUMMYFUNCTION("AVERAGE(FILTER(Inventory!G:G,Inventory!J:J=""Closed"",Inventory!D:D&gt;=P47,Inventory!D:D&lt;=Q47))"),4.9783006535947685)</f>
        <v>4.978300654</v>
      </c>
      <c r="R53" s="171">
        <f>IFERROR(__xludf.DUMMYFUNCTION("AVERAGE(FILTER(Inventory!G:G,Inventory!J:J=""Closed"",Inventory!D:D&gt;=R47,Inventory!D:D&lt;=S47))"),4.653691158021059)</f>
        <v>4.653691158</v>
      </c>
      <c r="T53" s="171">
        <f>IFERROR(__xludf.DUMMYFUNCTION("AVERAGE(FILTER(Inventory!G:G,Inventory!J:J=""Closed"",Inventory!D:D&gt;=T47,Inventory!D:D&lt;=U47))"),3.1557241379310352)</f>
        <v>3.155724138</v>
      </c>
      <c r="V53" s="171">
        <f>IFERROR(__xludf.DUMMYFUNCTION("AVERAGE(FILTER(Inventory!G:G,Inventory!J:J=""Closed"",Inventory!D:D&gt;=V47,Inventory!D:D&lt;=W47))"),3.153194444444443)</f>
        <v>3.153194444</v>
      </c>
      <c r="X53" s="171">
        <f>IFERROR(__xludf.DUMMYFUNCTION("AVERAGE(FILTER(Inventory!G:G,Inventory!J:J=""Closed"",Inventory!D:D&gt;=X47,Inventory!D:D&lt;=Y47))"),5.003485714285712)</f>
        <v>5.003485714</v>
      </c>
    </row>
    <row r="54" hidden="1" outlineLevel="1">
      <c r="A54" s="160" t="s">
        <v>10230</v>
      </c>
      <c r="B54" s="174">
        <f>(B50/B48)*100</f>
        <v>21.12306918</v>
      </c>
      <c r="D54" s="174">
        <f>(D50/D48)*100</f>
        <v>19.42413318</v>
      </c>
      <c r="F54" s="174">
        <f>(F50/F48)*100</f>
        <v>18.84934981</v>
      </c>
      <c r="H54" s="174">
        <f>(H50/H48)*100</f>
        <v>16.26801811</v>
      </c>
      <c r="J54" s="174">
        <f>(J50/J48)*100</f>
        <v>8.565870829</v>
      </c>
      <c r="L54" s="174">
        <f>(L50/L48)*100</f>
        <v>21.21121645</v>
      </c>
      <c r="N54" s="174">
        <f>(N50/N48)*100</f>
        <v>22.52310406</v>
      </c>
      <c r="P54" s="174">
        <f>(P50/P48)*100</f>
        <v>22.97490099</v>
      </c>
      <c r="R54" s="174">
        <f>(R50/R48)*100</f>
        <v>23.54918473</v>
      </c>
      <c r="T54" s="174">
        <f>(T50/T48)*100</f>
        <v>18.57672368</v>
      </c>
      <c r="V54" s="174">
        <f>(V50/V48)*100</f>
        <v>16.60899401</v>
      </c>
      <c r="X54" s="174">
        <f>(X50/X48)*100</f>
        <v>21.82567329</v>
      </c>
    </row>
    <row r="55" hidden="1" outlineLevel="1">
      <c r="A55" s="163" t="s">
        <v>10228</v>
      </c>
      <c r="B55" s="174">
        <f>IFERROR(__xludf.DUMMYFUNCTION("AVERAGE(FILTER(Inventory!K:K,Inventory!J:J=""Closed"",Inventory!D:D&gt;=B47,Inventory!D:D&lt;=C47))"),11.56501182033097)</f>
        <v>11.56501182</v>
      </c>
      <c r="D55" s="174">
        <f>IFERROR(__xludf.DUMMYFUNCTION("AVERAGE(FILTER(Inventory!K:K,Inventory!J:J=""Closed"",Inventory!D:D&gt;=D47,Inventory!D:D&lt;=E47))"),8.439102564102564)</f>
        <v>8.439102564</v>
      </c>
      <c r="F55" s="174">
        <f>IFERROR(__xludf.DUMMYFUNCTION("AVERAGE(FILTER(Inventory!K:K,Inventory!J:J=""Closed"",Inventory!D:D&gt;=F47,Inventory!D:D&lt;=G47))"),28.48701298701299)</f>
        <v>28.48701299</v>
      </c>
      <c r="H55" s="174">
        <f>IFERROR(__xludf.DUMMYFUNCTION("AVERAGE(FILTER(Inventory!K:K,Inventory!J:J=""Closed"",Inventory!D:D&gt;=H47,Inventory!D:D&lt;=I47))"),50.61194029850746)</f>
        <v>50.6119403</v>
      </c>
      <c r="J55" s="174">
        <f>IFERROR(__xludf.DUMMYFUNCTION("AVERAGE(FILTER(Inventory!K:K,Inventory!J:J=""Closed"",Inventory!D:D&gt;=J47,Inventory!D:D&lt;=K47))"),189.37037037037038)</f>
        <v>189.3703704</v>
      </c>
      <c r="L55" s="174">
        <f>IFERROR(__xludf.DUMMYFUNCTION("AVERAGE(FILTER(Inventory!K:K,Inventory!J:J=""Closed"",Inventory!D:D&gt;=L47,Inventory!D:D&lt;=M47))"),21.486725663716815)</f>
        <v>21.48672566</v>
      </c>
      <c r="N55" s="174">
        <f>IFERROR(__xludf.DUMMYFUNCTION("AVERAGE(FILTER(Inventory!K:K,Inventory!J:J=""Closed"",Inventory!D:D&gt;=N47,Inventory!D:D&lt;=O47))"),26.115384615384617)</f>
        <v>26.11538462</v>
      </c>
      <c r="P55" s="174">
        <f>IFERROR(__xludf.DUMMYFUNCTION("AVERAGE(FILTER(Inventory!K:K,Inventory!J:J=""Closed"",Inventory!D:D&gt;=P47,Inventory!D:D&lt;=Q47))"),15.718954248366012)</f>
        <v>15.71895425</v>
      </c>
      <c r="R55" s="174">
        <f>IFERROR(__xludf.DUMMYFUNCTION("AVERAGE(FILTER(Inventory!K:K,Inventory!J:J=""Closed"",Inventory!D:D&gt;=R47,Inventory!D:D&lt;=S47))"),14.199312714776632)</f>
        <v>14.19931271</v>
      </c>
      <c r="T55" s="174">
        <f>IFERROR(__xludf.DUMMYFUNCTION("AVERAGE(FILTER(Inventory!K:K,Inventory!J:J=""Closed"",Inventory!D:D&gt;=T47,Inventory!D:D&lt;=U47))"),31.310344827586206)</f>
        <v>31.31034483</v>
      </c>
      <c r="V55" s="174">
        <f>IFERROR(__xludf.DUMMYFUNCTION("AVERAGE(FILTER(Inventory!K:K,Inventory!J:J=""Closed"",Inventory!D:D&gt;=V47,Inventory!D:D&lt;=W47))"),34.604166666666664)</f>
        <v>34.60416667</v>
      </c>
      <c r="X55" s="174">
        <f>IFERROR(__xludf.DUMMYFUNCTION("AVERAGE(FILTER(Inventory!K:K,Inventory!J:J=""Closed"",Inventory!D:D&gt;=X47,Inventory!D:D&lt;=Y47))"),36.042857142857144)</f>
        <v>36.04285714</v>
      </c>
    </row>
    <row r="56" hidden="1" outlineLevel="1">
      <c r="A56" s="163" t="s">
        <v>10229</v>
      </c>
      <c r="B56" s="175">
        <v>52.45</v>
      </c>
      <c r="D56" s="175">
        <v>103.78</v>
      </c>
      <c r="F56" s="175">
        <v>23.68</v>
      </c>
      <c r="H56" s="175">
        <v>69.37</v>
      </c>
      <c r="J56" s="175">
        <v>0.0</v>
      </c>
      <c r="L56" s="175">
        <v>90.1</v>
      </c>
      <c r="N56" s="175">
        <v>40.18</v>
      </c>
      <c r="P56" s="175">
        <v>40.49</v>
      </c>
      <c r="R56" s="175">
        <v>102.26</v>
      </c>
      <c r="T56" s="175">
        <v>21.15</v>
      </c>
      <c r="V56" s="175">
        <v>42.88</v>
      </c>
      <c r="X56" s="175">
        <v>49.77</v>
      </c>
    </row>
    <row r="57" hidden="1" outlineLevel="1">
      <c r="A57" s="176" t="s">
        <v>10231</v>
      </c>
      <c r="B57" s="169">
        <v>237.0</v>
      </c>
      <c r="C57" s="170">
        <v>3695.44</v>
      </c>
      <c r="D57" s="169">
        <v>261.0</v>
      </c>
      <c r="E57" s="170">
        <v>3824.61</v>
      </c>
      <c r="F57" s="169">
        <v>251.0</v>
      </c>
      <c r="G57" s="170">
        <v>3746.19</v>
      </c>
      <c r="H57" s="169">
        <v>235.0</v>
      </c>
      <c r="I57" s="170">
        <v>3570.42</v>
      </c>
      <c r="J57" s="169">
        <v>231.0</v>
      </c>
      <c r="K57" s="170">
        <v>3572.07</v>
      </c>
      <c r="L57" s="169">
        <v>242.0</v>
      </c>
      <c r="M57" s="170">
        <v>3754.6</v>
      </c>
      <c r="N57" s="169">
        <v>248.0</v>
      </c>
      <c r="O57" s="170">
        <v>4020.62</v>
      </c>
      <c r="P57" s="169">
        <v>259.0</v>
      </c>
      <c r="Q57" s="170">
        <v>4212.25</v>
      </c>
      <c r="R57" s="169">
        <v>246.0</v>
      </c>
      <c r="S57" s="170">
        <v>4092.02</v>
      </c>
      <c r="T57" s="169">
        <v>254.0</v>
      </c>
      <c r="U57" s="170">
        <v>4213.18</v>
      </c>
      <c r="V57" s="169">
        <v>235.0</v>
      </c>
      <c r="W57" s="170">
        <v>3983.02</v>
      </c>
      <c r="X57" s="169">
        <v>226.0</v>
      </c>
      <c r="Y57" s="177" t="s">
        <v>10232</v>
      </c>
    </row>
    <row r="59">
      <c r="B59" s="125">
        <v>45748.0</v>
      </c>
      <c r="C59" s="125">
        <v>45777.0</v>
      </c>
      <c r="D59" s="125">
        <v>45778.0</v>
      </c>
      <c r="E59" s="125">
        <v>45808.0</v>
      </c>
      <c r="F59" s="125">
        <v>45809.0</v>
      </c>
      <c r="G59" s="125">
        <v>45838.0</v>
      </c>
      <c r="H59" s="125">
        <v>45839.0</v>
      </c>
      <c r="I59" s="125">
        <v>45869.0</v>
      </c>
      <c r="J59" s="125">
        <v>45870.0</v>
      </c>
      <c r="K59" s="125">
        <v>45900.0</v>
      </c>
      <c r="L59" s="125">
        <v>45901.0</v>
      </c>
      <c r="M59" s="125">
        <v>45930.0</v>
      </c>
      <c r="N59" s="125">
        <v>45931.0</v>
      </c>
      <c r="O59" s="125">
        <v>45961.0</v>
      </c>
      <c r="P59" s="125">
        <v>45962.0</v>
      </c>
      <c r="Q59" s="125">
        <v>45991.0</v>
      </c>
      <c r="R59" s="125">
        <v>45992.0</v>
      </c>
      <c r="S59" s="125">
        <v>46022.0</v>
      </c>
      <c r="T59" s="125">
        <v>46023.0</v>
      </c>
      <c r="U59" s="125">
        <v>46053.0</v>
      </c>
      <c r="V59" s="125">
        <v>46054.0</v>
      </c>
      <c r="W59" s="125">
        <v>46081.0</v>
      </c>
      <c r="X59" s="125">
        <v>46082.0</v>
      </c>
      <c r="Y59" s="125">
        <v>46112.0</v>
      </c>
    </row>
    <row r="60">
      <c r="A60" s="127" t="s">
        <v>9</v>
      </c>
      <c r="B60" s="171">
        <f>IFERROR(__xludf.DUMMYFUNCTION("SUM(FILTER(Inventory!F:F,Inventory!J:J=""Closed"",Inventory!D:D&gt;=B59,Inventory!D:D&lt;=C59))"),1373.75)</f>
        <v>1373.75</v>
      </c>
      <c r="D60" s="171">
        <f>IFERROR(__xludf.DUMMYFUNCTION("SUM(FILTER(Inventory!F:F,Inventory!J:J=""Closed"",Inventory!D:D&gt;=D59,Inventory!D:D&lt;=E59))"),5046.869999999992)</f>
        <v>5046.87</v>
      </c>
      <c r="F60" s="171">
        <f>IFERROR(__xludf.DUMMYFUNCTION("SUM(FILTER(Inventory!F:F,Inventory!J:J=""Closed"",Inventory!D:D&gt;=F59,Inventory!D:D&lt;=G59))"),1212.2299999999996)</f>
        <v>1212.23</v>
      </c>
      <c r="H60" s="171">
        <f>IFERROR(__xludf.DUMMYFUNCTION("SUM(FILTER(Inventory!F:F,Inventory!J:J=""Closed"",Inventory!D:D&gt;=H59,Inventory!D:D&lt;=I59))"),642.4799999999999)</f>
        <v>642.48</v>
      </c>
      <c r="J60" s="171">
        <f>IFERROR(__xludf.DUMMYFUNCTION("SUM(FILTER(Inventory!F:F,Inventory!J:J=""Closed"",Inventory!D:D&gt;=J59,Inventory!D:D&lt;=K59))"),1326.95)</f>
        <v>1326.95</v>
      </c>
      <c r="L60" s="171">
        <f>IFERROR(__xludf.DUMMYFUNCTION("SUM(FILTER(Inventory!F:F,Inventory!J:J=""Closed"",Inventory!D:D&gt;=L59,Inventory!D:D&lt;=M59))"),1412.3299999999997)</f>
        <v>1412.33</v>
      </c>
      <c r="N60" s="171">
        <f>IFERROR(__xludf.DUMMYFUNCTION("SUM(FILTER(Inventory!F:F,Inventory!J:J=""Closed"",Inventory!D:D&gt;=N59,Inventory!D:D&lt;=O59))"),1588.6099999999994)</f>
        <v>1588.61</v>
      </c>
      <c r="P60" s="171">
        <f>IFERROR(__xludf.DUMMYFUNCTION("SUM(FILTER(Inventory!F:F,Inventory!J:J=""Closed"",Inventory!D:D&gt;=P59,Inventory!D:D&lt;=Q59))"),2314.2900000000004)</f>
        <v>2314.29</v>
      </c>
      <c r="R60" s="171">
        <f>IFERROR(__xludf.DUMMYFUNCTION("SUM(FILTER(Inventory!F:F,Inventory!J:J=""Closed"",Inventory!D:D&gt;=R59,Inventory!D:D&lt;=S59))"),1444.97)</f>
        <v>1444.97</v>
      </c>
      <c r="T60" s="171">
        <f>IFERROR(__xludf.DUMMYFUNCTION("SUM(FILTER(Inventory!F:F,Inventory!J:J=""Closed"",Inventory!D:D&gt;=T59,Inventory!D:D&lt;=U59))"),2705.8399999999992)</f>
        <v>2705.84</v>
      </c>
      <c r="V60" s="171">
        <f>IFERROR(__xludf.DUMMYFUNCTION("SUM(FILTER(Inventory!F:F,Inventory!J:J=""Closed"",Inventory!D:D&gt;=V59,Inventory!D:D&lt;=W59))"),1262.12)</f>
        <v>1262.12</v>
      </c>
      <c r="X60" s="171">
        <f>IFERROR(__xludf.DUMMYFUNCTION("SUM(FILTER(Inventory!F:F,Inventory!J:J=""Closed"",Inventory!D:D&gt;=X59,Inventory!D:D&lt;=Y59))"),1297.75)</f>
        <v>1297.75</v>
      </c>
    </row>
    <row r="61">
      <c r="A61" s="132" t="s">
        <v>10223</v>
      </c>
      <c r="B61" s="172">
        <f>IFERROR(__xludf.DUMMYFUNCTION("SUM(FILTER(Inventory!E:E,Inventory!J:J=""Closed"",Inventory!D:D&gt;=B59,Inventory!D:D&lt;=C59))"),1078.1599999999999)</f>
        <v>1078.16</v>
      </c>
      <c r="D61" s="171">
        <f>IFERROR(__xludf.DUMMYFUNCTION("SUM(FILTER(Inventory!E:E,Inventory!J:J=""Closed"",Inventory!D:D&gt;=D59,Inventory!D:D&lt;=E59))"),4242.940000000001)</f>
        <v>4242.94</v>
      </c>
      <c r="F61" s="171">
        <f>IFERROR(__xludf.DUMMYFUNCTION("SUM(FILTER(Inventory!E:E,Inventory!J:J=""Closed"",Inventory!D:D&gt;=F59,Inventory!D:D&lt;=G59))"),1061.8500000000001)</f>
        <v>1061.85</v>
      </c>
      <c r="H61" s="171">
        <f>IFERROR(__xludf.DUMMYFUNCTION("SUM(FILTER(Inventory!E:E,Inventory!J:J=""Closed"",Inventory!D:D&gt;=H59,Inventory!D:D&lt;=I59))"),504.66000000000014)</f>
        <v>504.66</v>
      </c>
      <c r="J61" s="171">
        <f>IFERROR(__xludf.DUMMYFUNCTION("SUM(FILTER(Inventory!E:E,Inventory!J:J=""Closed"",Inventory!D:D&gt;=J59,Inventory!D:D&lt;=K59))"),1136.3299999999997)</f>
        <v>1136.33</v>
      </c>
      <c r="L61" s="171">
        <f>IFERROR(__xludf.DUMMYFUNCTION("SUM(FILTER(Inventory!E:E,Inventory!J:J=""Closed"",Inventory!D:D&gt;=L59,Inventory!D:D&lt;=M59))"),1151.3700000000001)</f>
        <v>1151.37</v>
      </c>
      <c r="N61" s="171">
        <f>IFERROR(__xludf.DUMMYFUNCTION("SUM(FILTER(Inventory!E:E,Inventory!J:J=""Closed"",Inventory!D:D&gt;=N59,Inventory!D:D&lt;=O59))"),1217.889999999999)</f>
        <v>1217.89</v>
      </c>
      <c r="P61" s="171">
        <f>IFERROR(__xludf.DUMMYFUNCTION("SUM(FILTER(Inventory!E:E,Inventory!J:J=""Closed"",Inventory!D:D&gt;=P59,Inventory!D:D&lt;=Q59))"),1819.4699999999993)</f>
        <v>1819.47</v>
      </c>
      <c r="R61" s="171">
        <f>IFERROR(__xludf.DUMMYFUNCTION("SUM(FILTER(Inventory!E:E,Inventory!J:J=""Closed"",Inventory!D:D&gt;=R59,Inventory!D:D&lt;=S59))"),1109.4399999999991)</f>
        <v>1109.44</v>
      </c>
      <c r="T61" s="171">
        <f>IFERROR(__xludf.DUMMYFUNCTION("SUM(FILTER(Inventory!E:E,Inventory!J:J=""Closed"",Inventory!D:D&gt;=T59,Inventory!D:D&lt;=U59))"),2130.2299999999977)</f>
        <v>2130.23</v>
      </c>
      <c r="V61" s="171">
        <f>IFERROR(__xludf.DUMMYFUNCTION("SUM(FILTER(Inventory!E:E,Inventory!J:J=""Closed"",Inventory!D:D&gt;=V59,Inventory!D:D&lt;=W59))"),992.2600000000006)</f>
        <v>992.26</v>
      </c>
      <c r="X61" s="171">
        <f>IFERROR(__xludf.DUMMYFUNCTION("SUM(FILTER(Inventory!E:E,Inventory!J:J=""Closed"",Inventory!D:D&gt;=X59,Inventory!D:D&lt;=Y59))"),1051.5499999999997)</f>
        <v>1051.55</v>
      </c>
    </row>
    <row r="62">
      <c r="A62" s="134" t="s">
        <v>11</v>
      </c>
      <c r="B62" s="171">
        <f>IFERROR(__xludf.DUMMYFUNCTION("SUM(FILTER(Inventory!G:G,Inventory!J:J=""Closed"",Inventory!D:D&gt;=B59,Inventory!D:D&lt;=C59))"),295.59000000000003)</f>
        <v>295.59</v>
      </c>
      <c r="D62" s="171">
        <f>IFERROR(__xludf.DUMMYFUNCTION("SUM(FILTER(Inventory!G:G,Inventory!J:J=""Closed"",Inventory!D:D&gt;=D59,Inventory!D:D&lt;=E59))"),803.9299999999998)</f>
        <v>803.93</v>
      </c>
      <c r="F62" s="171">
        <f>IFERROR(__xludf.DUMMYFUNCTION("SUM(FILTER(Inventory!G:G,Inventory!J:J=""Closed"",Inventory!D:D&gt;=F59,Inventory!D:D&lt;=G59))"),150.37999999999997)</f>
        <v>150.38</v>
      </c>
      <c r="H62" s="171">
        <f>IFERROR(__xludf.DUMMYFUNCTION("SUM(FILTER(Inventory!G:G,Inventory!J:J=""Closed"",Inventory!D:D&gt;=H59,Inventory!D:D&lt;=I59))"),137.82000000000002)</f>
        <v>137.82</v>
      </c>
      <c r="J62" s="171">
        <f>IFERROR(__xludf.DUMMYFUNCTION("SUM(FILTER(Inventory!G:G,Inventory!J:J=""Closed"",Inventory!D:D&gt;=J59,Inventory!D:D&lt;=K59))"),197.40000000000003)</f>
        <v>197.4</v>
      </c>
      <c r="L62" s="171">
        <f>IFERROR(__xludf.DUMMYFUNCTION("SUM(FILTER(Inventory!G:G,Inventory!J:J=""Closed"",Inventory!D:D&gt;=L59,Inventory!D:D&lt;=M59))"),260.96)</f>
        <v>260.96</v>
      </c>
      <c r="N62" s="171">
        <f>IFERROR(__xludf.DUMMYFUNCTION("SUM(FILTER(Inventory!G:G,Inventory!J:J=""Closed"",Inventory!D:D&gt;=N59,Inventory!D:D&lt;=O59))"),370.71999999999986)</f>
        <v>370.72</v>
      </c>
      <c r="P62" s="171">
        <f>IFERROR(__xludf.DUMMYFUNCTION("SUM(FILTER(Inventory!G:G,Inventory!J:J=""Closed"",Inventory!D:D&gt;=P59,Inventory!D:D&lt;=Q59))"),494.8199999999999)</f>
        <v>494.82</v>
      </c>
      <c r="R62" s="171">
        <f>IFERROR(__xludf.DUMMYFUNCTION("SUM(FILTER(Inventory!G:G,Inventory!J:J=""Closed"",Inventory!D:D&gt;=R59,Inventory!D:D&lt;=S59))"),335.53)</f>
        <v>335.53</v>
      </c>
      <c r="T62" s="171">
        <f>IFERROR(__xludf.DUMMYFUNCTION("SUM(FILTER(Inventory!G:G,Inventory!J:J=""Closed"",Inventory!D:D&gt;=T59,Inventory!D:D&lt;=U59))"),575.6099999999999)</f>
        <v>575.61</v>
      </c>
      <c r="V62" s="171">
        <f>IFERROR(__xludf.DUMMYFUNCTION("SUM(FILTER(Inventory!G:G,Inventory!J:J=""Closed"",Inventory!D:D&gt;=V59,Inventory!D:D&lt;=W59))"),269.86)</f>
        <v>269.86</v>
      </c>
      <c r="X62" s="171">
        <f>IFERROR(__xludf.DUMMYFUNCTION("SUM(FILTER(Inventory!G:G,Inventory!J:J=""Closed"",Inventory!D:D&gt;=X59,Inventory!D:D&lt;=Y59))"),246.2)</f>
        <v>246.2</v>
      </c>
    </row>
    <row r="63">
      <c r="A63" s="137" t="s">
        <v>10224</v>
      </c>
      <c r="B63" s="173">
        <f>COUNTIFS(Inventory!J:J,"Closed", Inventory!D:D,"&gt;="&amp;B59,Inventory!D:D,"&lt;="&amp;C59)</f>
        <v>56</v>
      </c>
      <c r="D63" s="173">
        <f>COUNTIFS(Inventory!J:J,"Closed", Inventory!D:D,"&gt;="&amp;D59,Inventory!D:D,"&lt;="&amp;E59)</f>
        <v>182</v>
      </c>
      <c r="F63" s="173">
        <f>COUNTIFS(Inventory!J:J,"Closed", Inventory!D:D,"&gt;="&amp;F59,Inventory!D:D,"&lt;="&amp;G59)</f>
        <v>57</v>
      </c>
      <c r="H63" s="173">
        <f>COUNTIFS(Inventory!J:J,"Closed", Inventory!D:D,"&gt;="&amp;H59,Inventory!D:D,"&lt;="&amp;I59)</f>
        <v>32</v>
      </c>
      <c r="J63" s="173">
        <f>COUNTIFS(Inventory!J:J,"Closed", Inventory!D:D,"&gt;="&amp;J59,Inventory!D:D,"&lt;="&amp;K59)</f>
        <v>44</v>
      </c>
      <c r="L63" s="173">
        <f>COUNTIFS(Inventory!J:J,"Closed", Inventory!D:D,"&gt;="&amp;L59,Inventory!D:D,"&lt;="&amp;M59)</f>
        <v>53</v>
      </c>
      <c r="N63" s="173">
        <f>COUNTIFS(Inventory!J:J,"Closed", Inventory!D:D,"&gt;="&amp;N59,Inventory!D:D,"&lt;="&amp;O59)</f>
        <v>96</v>
      </c>
      <c r="P63" s="173">
        <f>COUNTIFS(Inventory!J:J,"Closed", Inventory!D:D,"&gt;="&amp;P59,Inventory!D:D,"&lt;="&amp;Q59)</f>
        <v>128</v>
      </c>
      <c r="R63" s="173">
        <f>COUNTIFS(Inventory!J:J,"Closed", Inventory!D:D,"&gt;="&amp;R59,Inventory!D:D,"&lt;="&amp;S59)</f>
        <v>64</v>
      </c>
      <c r="T63" s="173">
        <f>COUNTIFS(Inventory!J:J,"Closed", Inventory!D:D,"&gt;="&amp;T59,Inventory!D:D,"&lt;="&amp;U59)</f>
        <v>121</v>
      </c>
      <c r="V63" s="173">
        <f>COUNTIFS(Inventory!J:J,"Closed", Inventory!D:D,"&gt;="&amp;V59,Inventory!D:D,"&lt;="&amp;W59)</f>
        <v>49</v>
      </c>
      <c r="X63" s="173">
        <f>COUNTIFS(Inventory!J:J,"Closed", Inventory!D:D,"&gt;="&amp;X59,Inventory!D:D,"&lt;="&amp;Y59)</f>
        <v>72</v>
      </c>
    </row>
    <row r="64">
      <c r="A64" s="157" t="s">
        <v>10225</v>
      </c>
      <c r="B64" s="171">
        <f>IFERROR(__xludf.DUMMYFUNCTION("AVERAGE(FILTER(Inventory!F:F,Inventory!J:J=""Closed"",Inventory!D:D&gt;=B59,Inventory!D:D&lt;=C59))"),24.53125)</f>
        <v>24.53125</v>
      </c>
      <c r="D64" s="171">
        <f>IFERROR(__xludf.DUMMYFUNCTION("AVERAGE(FILTER(Inventory!F:F,Inventory!J:J=""Closed"",Inventory!D:D&gt;=D59,Inventory!D:D&lt;=E59))"),27.7300549450549)</f>
        <v>27.73005495</v>
      </c>
      <c r="F64" s="171">
        <f>IFERROR(__xludf.DUMMYFUNCTION("AVERAGE(FILTER(Inventory!F:F,Inventory!J:J=""Closed"",Inventory!D:D&gt;=F59,Inventory!D:D&lt;=G59))"),21.267192982456134)</f>
        <v>21.26719298</v>
      </c>
      <c r="H64" s="171">
        <f>IFERROR(__xludf.DUMMYFUNCTION("AVERAGE(FILTER(Inventory!F:F,Inventory!J:J=""Closed"",Inventory!D:D&gt;=H59,Inventory!D:D&lt;=I59))"),20.077499999999997)</f>
        <v>20.0775</v>
      </c>
      <c r="J64" s="171">
        <f>IFERROR(__xludf.DUMMYFUNCTION("AVERAGE(FILTER(Inventory!F:F,Inventory!J:J=""Closed"",Inventory!D:D&gt;=J59,Inventory!D:D&lt;=K59))"),30.157954545454547)</f>
        <v>30.15795455</v>
      </c>
      <c r="L64" s="171">
        <f>IFERROR(__xludf.DUMMYFUNCTION("AVERAGE(FILTER(Inventory!F:F,Inventory!J:J=""Closed"",Inventory!D:D&gt;=L59,Inventory!D:D&lt;=M59))"),26.6477358490566)</f>
        <v>26.64773585</v>
      </c>
      <c r="N64" s="171">
        <f>IFERROR(__xludf.DUMMYFUNCTION("AVERAGE(FILTER(Inventory!F:F,Inventory!J:J=""Closed"",Inventory!D:D&gt;=N59,Inventory!D:D&lt;=O59))"),16.54802083333333)</f>
        <v>16.54802083</v>
      </c>
      <c r="P64" s="171">
        <f>IFERROR(__xludf.DUMMYFUNCTION("AVERAGE(FILTER(Inventory!F:F,Inventory!J:J=""Closed"",Inventory!D:D&gt;=P59,Inventory!D:D&lt;=Q59))"),18.080390625000003)</f>
        <v>18.08039063</v>
      </c>
      <c r="R64" s="171">
        <f>IFERROR(__xludf.DUMMYFUNCTION("AVERAGE(FILTER(Inventory!F:F,Inventory!J:J=""Closed"",Inventory!D:D&gt;=R59,Inventory!D:D&lt;=S59))"),22.57765625)</f>
        <v>22.57765625</v>
      </c>
      <c r="T64" s="171">
        <f>IFERROR(__xludf.DUMMYFUNCTION("AVERAGE(FILTER(Inventory!F:F,Inventory!J:J=""Closed"",Inventory!D:D&gt;=T59,Inventory!D:D&lt;=U59))"),22.36231404958677)</f>
        <v>22.36231405</v>
      </c>
      <c r="V64" s="171">
        <f>IFERROR(__xludf.DUMMYFUNCTION("AVERAGE(FILTER(Inventory!F:F,Inventory!J:J=""Closed"",Inventory!D:D&gt;=V59,Inventory!D:D&lt;=W59))"),25.75755102040816)</f>
        <v>25.75755102</v>
      </c>
      <c r="X64" s="171">
        <f>IFERROR(__xludf.DUMMYFUNCTION("AVERAGE(FILTER(Inventory!F:F,Inventory!J:J=""Closed"",Inventory!D:D&gt;=X59,Inventory!D:D&lt;=Y59))"),18.024305555555557)</f>
        <v>18.02430556</v>
      </c>
    </row>
    <row r="65">
      <c r="A65" s="140" t="s">
        <v>10226</v>
      </c>
      <c r="B65" s="171">
        <f>IFERROR(__xludf.DUMMYFUNCTION("AVERAGE(FILTER(Inventory!G:G,Inventory!J:J=""Closed"",Inventory!D:D&gt;=B59,Inventory!D:D&lt;=C59))"),5.278392857142857)</f>
        <v>5.278392857</v>
      </c>
      <c r="D65" s="171">
        <f>IFERROR(__xludf.DUMMYFUNCTION("AVERAGE(FILTER(Inventory!G:G,Inventory!J:J=""Closed"",Inventory!D:D&gt;=D59,Inventory!D:D&lt;=E59))"),4.417197802197801)</f>
        <v>4.417197802</v>
      </c>
      <c r="F65" s="171">
        <f>IFERROR(__xludf.DUMMYFUNCTION("AVERAGE(FILTER(Inventory!G:G,Inventory!J:J=""Closed"",Inventory!D:D&gt;=F59,Inventory!D:D&lt;=G59))"),2.638245614035087)</f>
        <v>2.638245614</v>
      </c>
      <c r="H65" s="171">
        <f>IFERROR(__xludf.DUMMYFUNCTION("AVERAGE(FILTER(Inventory!G:G,Inventory!J:J=""Closed"",Inventory!D:D&gt;=H59,Inventory!D:D&lt;=I59))"),4.306875000000001)</f>
        <v>4.306875</v>
      </c>
      <c r="J65" s="171">
        <f>IFERROR(__xludf.DUMMYFUNCTION("AVERAGE(FILTER(Inventory!G:G,Inventory!J:J=""Closed"",Inventory!D:D&gt;=J59,Inventory!D:D&lt;=K59))"),4.486363636363637)</f>
        <v>4.486363636</v>
      </c>
      <c r="L65" s="171">
        <f>IFERROR(__xludf.DUMMYFUNCTION("AVERAGE(FILTER(Inventory!G:G,Inventory!J:J=""Closed"",Inventory!D:D&gt;=L59,Inventory!D:D&lt;=M59))"),4.92377358490566)</f>
        <v>4.923773585</v>
      </c>
      <c r="N65" s="171">
        <f>IFERROR(__xludf.DUMMYFUNCTION("AVERAGE(FILTER(Inventory!G:G,Inventory!J:J=""Closed"",Inventory!D:D&gt;=N59,Inventory!D:D&lt;=O59))"),3.861666666666665)</f>
        <v>3.861666667</v>
      </c>
      <c r="P65" s="171">
        <f>IFERROR(__xludf.DUMMYFUNCTION("AVERAGE(FILTER(Inventory!G:G,Inventory!J:J=""Closed"",Inventory!D:D&gt;=P59,Inventory!D:D&lt;=Q59))"),3.865781249999999)</f>
        <v>3.86578125</v>
      </c>
      <c r="R65" s="171">
        <f>IFERROR(__xludf.DUMMYFUNCTION("AVERAGE(FILTER(Inventory!G:G,Inventory!J:J=""Closed"",Inventory!D:D&gt;=R59,Inventory!D:D&lt;=S59))"),5.24265625)</f>
        <v>5.24265625</v>
      </c>
      <c r="T65" s="171">
        <f>IFERROR(__xludf.DUMMYFUNCTION("AVERAGE(FILTER(Inventory!G:G,Inventory!J:J=""Closed"",Inventory!D:D&gt;=T59,Inventory!D:D&lt;=U59))"),4.757107438016528)</f>
        <v>4.757107438</v>
      </c>
      <c r="V65" s="171">
        <f>IFERROR(__xludf.DUMMYFUNCTION("AVERAGE(FILTER(Inventory!G:G,Inventory!J:J=""Closed"",Inventory!D:D&gt;=V59,Inventory!D:D&lt;=W59))"),5.507346938775511)</f>
        <v>5.507346939</v>
      </c>
      <c r="X65" s="171">
        <f>IFERROR(__xludf.DUMMYFUNCTION("AVERAGE(FILTER(Inventory!G:G,Inventory!J:J=""Closed"",Inventory!D:D&gt;=X59,Inventory!D:D&lt;=Y59))"),3.4194444444444443)</f>
        <v>3.419444444</v>
      </c>
    </row>
    <row r="66">
      <c r="A66" s="160" t="s">
        <v>10230</v>
      </c>
      <c r="B66" s="174">
        <f>(B62/B60)*100</f>
        <v>21.51701547</v>
      </c>
      <c r="D66" s="174">
        <f>(D62/D60)*100</f>
        <v>15.92927894</v>
      </c>
      <c r="F66" s="174">
        <f>(F62/F60)*100</f>
        <v>12.40523663</v>
      </c>
      <c r="H66" s="174">
        <f>(H62/H60)*100</f>
        <v>21.4512514</v>
      </c>
      <c r="J66" s="174">
        <f>(J62/J60)*100</f>
        <v>14.8762199</v>
      </c>
      <c r="L66" s="174">
        <f>(L62/L60)*100</f>
        <v>18.47726806</v>
      </c>
      <c r="N66" s="174">
        <f>(N62/N60)*100</f>
        <v>23.33612403</v>
      </c>
      <c r="P66" s="174">
        <f>(P62/P60)*100</f>
        <v>21.38107152</v>
      </c>
      <c r="R66" s="174">
        <f>(R62/R60)*100</f>
        <v>23.22055129</v>
      </c>
      <c r="T66" s="174">
        <f>(T62/T60)*100</f>
        <v>21.27287645</v>
      </c>
      <c r="V66" s="174">
        <f>(V62/V60)*100</f>
        <v>21.38148512</v>
      </c>
      <c r="X66" s="174">
        <f>(X62/X60)*100</f>
        <v>18.97129647</v>
      </c>
    </row>
    <row r="67">
      <c r="A67" s="163" t="s">
        <v>10228</v>
      </c>
      <c r="B67" s="174">
        <f>IFERROR(__xludf.DUMMYFUNCTION("AVERAGE(FILTER(Inventory!K:K,Inventory!J:J=""Closed"",Inventory!D:D&gt;=B59,Inventory!D:D&lt;=C59))"),45.035714285714285)</f>
        <v>45.03571429</v>
      </c>
      <c r="D67" s="174">
        <f>IFERROR(__xludf.DUMMYFUNCTION("AVERAGE(FILTER(Inventory!K:K,Inventory!J:J=""Closed"",Inventory!D:D&gt;=D59,Inventory!D:D&lt;=E59))"),43.175824175824175)</f>
        <v>43.17582418</v>
      </c>
      <c r="F67" s="174">
        <f>IFERROR(__xludf.DUMMYFUNCTION("AVERAGE(FILTER(Inventory!K:K,Inventory!J:J=""Closed"",Inventory!D:D&gt;=F59,Inventory!D:D&lt;=G59))"),158.33333333333334)</f>
        <v>158.3333333</v>
      </c>
      <c r="H67" s="174">
        <f>IFERROR(__xludf.DUMMYFUNCTION("AVERAGE(FILTER(Inventory!K:K,Inventory!J:J=""Closed"",Inventory!D:D&gt;=H59,Inventory!D:D&lt;=I59))"),26.125)</f>
        <v>26.125</v>
      </c>
      <c r="J67" s="174">
        <f>IFERROR(__xludf.DUMMYFUNCTION("AVERAGE(FILTER(Inventory!K:K,Inventory!J:J=""Closed"",Inventory!D:D&gt;=J59,Inventory!D:D&lt;=K59))"),28.59090909090909)</f>
        <v>28.59090909</v>
      </c>
      <c r="L67" s="174">
        <f>IFERROR(__xludf.DUMMYFUNCTION("AVERAGE(FILTER(Inventory!K:K,Inventory!J:J=""Closed"",Inventory!D:D&gt;=L59,Inventory!D:D&lt;=M59))"),64.22641509433963)</f>
        <v>64.22641509</v>
      </c>
      <c r="N67" s="174">
        <f>IFERROR(__xludf.DUMMYFUNCTION("AVERAGE(FILTER(Inventory!K:K,Inventory!J:J=""Closed"",Inventory!D:D&gt;=N59,Inventory!D:D&lt;=O59))"),20.645833333333332)</f>
        <v>20.64583333</v>
      </c>
      <c r="P67" s="174">
        <f>IFERROR(__xludf.DUMMYFUNCTION("AVERAGE(FILTER(Inventory!K:K,Inventory!J:J=""Closed"",Inventory!D:D&gt;=P59,Inventory!D:D&lt;=Q59))"),51.4140625)</f>
        <v>51.4140625</v>
      </c>
      <c r="R67" s="174">
        <f>IFERROR(__xludf.DUMMYFUNCTION("AVERAGE(FILTER(Inventory!K:K,Inventory!J:J=""Closed"",Inventory!D:D&gt;=R59,Inventory!D:D&lt;=S59))"),43.0625)</f>
        <v>43.0625</v>
      </c>
      <c r="T67" s="174">
        <f>IFERROR(__xludf.DUMMYFUNCTION("AVERAGE(FILTER(Inventory!K:K,Inventory!J:J=""Closed"",Inventory!D:D&gt;=T59,Inventory!D:D&lt;=U59))"),34.082644628099175)</f>
        <v>34.08264463</v>
      </c>
      <c r="V67" s="174">
        <f>IFERROR(__xludf.DUMMYFUNCTION("AVERAGE(FILTER(Inventory!K:K,Inventory!J:J=""Closed"",Inventory!D:D&gt;=V59,Inventory!D:D&lt;=W59))"),43.97959183673469)</f>
        <v>43.97959184</v>
      </c>
      <c r="X67" s="174">
        <f>IFERROR(__xludf.DUMMYFUNCTION("AVERAGE(FILTER(Inventory!K:K,Inventory!J:J=""Closed"",Inventory!D:D&gt;=X59,Inventory!D:D&lt;=Y59))"),77.86111111111111)</f>
        <v>77.86111111</v>
      </c>
    </row>
    <row r="68">
      <c r="A68" s="163" t="s">
        <v>10229</v>
      </c>
      <c r="B68" s="175">
        <v>37.75</v>
      </c>
      <c r="D68" s="175">
        <v>37.87</v>
      </c>
      <c r="F68" s="175">
        <v>48.45</v>
      </c>
      <c r="H68" s="175">
        <v>35.5</v>
      </c>
      <c r="J68" s="175">
        <v>0.0</v>
      </c>
      <c r="L68" s="175">
        <v>34.94</v>
      </c>
      <c r="N68" s="175">
        <v>34.68</v>
      </c>
      <c r="P68" s="175">
        <v>35.25</v>
      </c>
      <c r="R68" s="175">
        <v>0.5</v>
      </c>
      <c r="T68" s="175">
        <v>35.75</v>
      </c>
      <c r="V68" s="175">
        <v>34.2</v>
      </c>
      <c r="X68" s="175">
        <v>35.94</v>
      </c>
    </row>
    <row r="69">
      <c r="A69" s="176" t="s">
        <v>10231</v>
      </c>
      <c r="B69" s="169">
        <v>235.0</v>
      </c>
      <c r="C69" s="170">
        <v>4196.02</v>
      </c>
      <c r="D69" s="169">
        <v>230.0</v>
      </c>
      <c r="E69" s="170">
        <v>4043.5</v>
      </c>
      <c r="F69" s="169">
        <v>219.0</v>
      </c>
      <c r="G69" s="170">
        <v>3936.1</v>
      </c>
      <c r="H69" s="169">
        <v>216.0</v>
      </c>
      <c r="I69" s="170">
        <v>3772.83</v>
      </c>
      <c r="J69" s="169">
        <v>212.0</v>
      </c>
      <c r="K69" s="170">
        <v>3692.22</v>
      </c>
      <c r="L69" s="169">
        <v>208.0</v>
      </c>
      <c r="M69" s="170">
        <v>3630.85</v>
      </c>
      <c r="N69" s="169">
        <v>226.0</v>
      </c>
      <c r="O69" s="170">
        <v>3914.29</v>
      </c>
      <c r="P69" s="169">
        <v>220.0</v>
      </c>
      <c r="Q69" s="170">
        <v>3869.82</v>
      </c>
      <c r="R69" s="169">
        <v>210.0</v>
      </c>
      <c r="S69" s="170">
        <v>3694.63</v>
      </c>
      <c r="T69" s="169">
        <v>219.0</v>
      </c>
      <c r="U69" s="170">
        <v>3710.58</v>
      </c>
      <c r="V69" s="169">
        <v>225.0</v>
      </c>
      <c r="W69" s="170">
        <v>3866.06</v>
      </c>
      <c r="X69" s="169">
        <v>224.0</v>
      </c>
      <c r="Y69" s="170">
        <v>3893.2</v>
      </c>
    </row>
    <row r="71">
      <c r="B71" s="125">
        <v>46113.0</v>
      </c>
      <c r="C71" s="125">
        <v>46142.0</v>
      </c>
      <c r="D71" s="125">
        <v>46143.0</v>
      </c>
      <c r="E71" s="125">
        <v>46173.0</v>
      </c>
      <c r="F71" s="125">
        <v>46174.0</v>
      </c>
      <c r="G71" s="125">
        <v>46203.0</v>
      </c>
      <c r="H71" s="125">
        <v>46204.0</v>
      </c>
      <c r="I71" s="125">
        <v>46234.0</v>
      </c>
    </row>
    <row r="72">
      <c r="A72" s="127" t="s">
        <v>9</v>
      </c>
      <c r="B72" s="171">
        <f>IFERROR(__xludf.DUMMYFUNCTION("SUM(FILTER(Inventory!F:F,Inventory!J:J=""Closed"",Inventory!D:D&gt;=B71,Inventory!D:D&lt;=C71))"),1997.5799999999997)</f>
        <v>1997.58</v>
      </c>
      <c r="D72" s="171">
        <f>IFERROR(__xludf.DUMMYFUNCTION("SUM(FILTER(Inventory!F:F,Inventory!J:J=""Closed"",Inventory!D:D&gt;=D71,Inventory!D:D&lt;=E71))"),3445.9500000000007)</f>
        <v>3445.95</v>
      </c>
      <c r="F72" s="171">
        <f>IFERROR(__xludf.DUMMYFUNCTION("SUM(FILTER(Inventory!F:F,Inventory!J:J=""Closed"",Inventory!D:D&gt;=F71,Inventory!D:D&lt;=G71))"),2313.9000000000005)</f>
        <v>2313.9</v>
      </c>
      <c r="H72" s="171">
        <f>IFERROR(__xludf.DUMMYFUNCTION("SUM(FILTER(Inventory!F:F,Inventory!J:J=""Closed"",Inventory!D:D&gt;=H71,Inventory!D:D&lt;=I71))"),30.89)</f>
        <v>30.89</v>
      </c>
    </row>
    <row r="73">
      <c r="A73" s="132" t="s">
        <v>10223</v>
      </c>
      <c r="B73" s="172">
        <f>IFERROR(__xludf.DUMMYFUNCTION("SUM(FILTER(Inventory!E:E,Inventory!J:J=""Closed"",Inventory!D:D&gt;=B71,Inventory!D:D&lt;=C71))"),1554.1099999999994)</f>
        <v>1554.11</v>
      </c>
      <c r="D73" s="171">
        <f>IFERROR(__xludf.DUMMYFUNCTION("SUM(FILTER(Inventory!E:E,Inventory!J:J=""Closed"",Inventory!D:D&gt;=D71,Inventory!D:D&lt;=E71))"),2766.889999999999)</f>
        <v>2766.89</v>
      </c>
      <c r="F73" s="171">
        <f>IFERROR(__xludf.DUMMYFUNCTION("SUM(FILTER(Inventory!E:E,Inventory!J:J=""Closed"",Inventory!D:D&gt;=F71,Inventory!D:D&lt;=G71))"),1901.180000000001)</f>
        <v>1901.18</v>
      </c>
      <c r="H73" s="171">
        <f>IFERROR(__xludf.DUMMYFUNCTION("SUM(FILTER(Inventory!E:E,Inventory!J:J=""Closed"",Inventory!D:D&gt;=H71,Inventory!D:D&lt;=I71))"),19.39)</f>
        <v>19.39</v>
      </c>
    </row>
    <row r="74">
      <c r="A74" s="134" t="s">
        <v>11</v>
      </c>
      <c r="B74" s="171">
        <f>IFERROR(__xludf.DUMMYFUNCTION("SUM(FILTER(Inventory!G:G,Inventory!J:J=""Closed"",Inventory!D:D&gt;=B71,Inventory!D:D&lt;=C71))"),443.4699999999999)</f>
        <v>443.47</v>
      </c>
      <c r="D74" s="171">
        <f>IFERROR(__xludf.DUMMYFUNCTION("SUM(FILTER(Inventory!G:G,Inventory!J:J=""Closed"",Inventory!D:D&gt;=D71,Inventory!D:D&lt;=E71))"),679.0599999999998)</f>
        <v>679.06</v>
      </c>
      <c r="F74" s="171">
        <f>IFERROR(__xludf.DUMMYFUNCTION("SUM(FILTER(Inventory!G:G,Inventory!J:J=""Closed"",Inventory!D:D&gt;=F71,Inventory!D:D&lt;=G71))"),412.7200000000001)</f>
        <v>412.72</v>
      </c>
      <c r="H74" s="171">
        <f>IFERROR(__xludf.DUMMYFUNCTION("SUM(FILTER(Inventory!G:G,Inventory!J:J=""Closed"",Inventory!D:D&gt;=H71,Inventory!D:D&lt;=I71))"),11.5)</f>
        <v>11.5</v>
      </c>
    </row>
    <row r="75">
      <c r="A75" s="137" t="s">
        <v>10224</v>
      </c>
      <c r="B75" s="173">
        <f>COUNTIFS(Inventory!J:J,"Closed", Inventory!D:D,"&gt;="&amp;B71,Inventory!D:D,"&lt;="&amp;C71)</f>
        <v>90</v>
      </c>
      <c r="D75" s="173">
        <f>COUNTIFS(Inventory!J:J,"Closed", Inventory!D:D,"&gt;="&amp;D71,Inventory!D:D,"&lt;="&amp;E71)</f>
        <v>133</v>
      </c>
      <c r="F75" s="173">
        <f>COUNTIFS(Inventory!J:J,"Closed", Inventory!D:D,"&gt;="&amp;F71,Inventory!D:D,"&lt;="&amp;G71)</f>
        <v>93</v>
      </c>
      <c r="H75" s="173">
        <f>COUNTIFS(Inventory!J:J,"Closed", Inventory!D:D,"&gt;="&amp;H71,Inventory!D:D,"&lt;="&amp;I71)</f>
        <v>3</v>
      </c>
    </row>
    <row r="76">
      <c r="A76" s="157" t="s">
        <v>10225</v>
      </c>
      <c r="B76" s="171">
        <f>IFERROR(__xludf.DUMMYFUNCTION("AVERAGE(FILTER(Inventory!F:F,Inventory!J:J=""Closed"",Inventory!D:D&gt;=B71,Inventory!D:D&lt;=C71))"),22.19533333333333)</f>
        <v>22.19533333</v>
      </c>
      <c r="D76" s="171">
        <f>IFERROR(__xludf.DUMMYFUNCTION("AVERAGE(FILTER(Inventory!F:F,Inventory!J:J=""Closed"",Inventory!D:D&gt;=D71,Inventory!D:D&lt;=E71))"),25.909398496240605)</f>
        <v>25.9093985</v>
      </c>
      <c r="F76" s="171">
        <f>IFERROR(__xludf.DUMMYFUNCTION("AVERAGE(FILTER(Inventory!F:F,Inventory!J:J=""Closed"",Inventory!D:D&gt;=F71,Inventory!D:D&lt;=G71))"),24.880645161290328)</f>
        <v>24.88064516</v>
      </c>
      <c r="H76" s="171">
        <f>IFERROR(__xludf.DUMMYFUNCTION("AVERAGE(FILTER(Inventory!F:F,Inventory!J:J=""Closed"",Inventory!D:D&gt;=H71,Inventory!D:D&lt;=I71))"),10.296666666666667)</f>
        <v>10.29666667</v>
      </c>
    </row>
    <row r="77">
      <c r="A77" s="140" t="s">
        <v>10226</v>
      </c>
      <c r="B77" s="171">
        <f>IFERROR(__xludf.DUMMYFUNCTION("AVERAGE(FILTER(Inventory!G:G,Inventory!J:J=""Closed"",Inventory!D:D&gt;=B71,Inventory!D:D&lt;=C71))"),4.927444444444443)</f>
        <v>4.927444444</v>
      </c>
      <c r="D77" s="171">
        <f>IFERROR(__xludf.DUMMYFUNCTION("AVERAGE(FILTER(Inventory!G:G,Inventory!J:J=""Closed"",Inventory!D:D&gt;=D71,Inventory!D:D&lt;=E71))"),5.105714285714284)</f>
        <v>5.105714286</v>
      </c>
      <c r="F77" s="171">
        <f>IFERROR(__xludf.DUMMYFUNCTION("AVERAGE(FILTER(Inventory!G:G,Inventory!J:J=""Closed"",Inventory!D:D&gt;=F71,Inventory!D:D&lt;=G71))"),4.437849462365592)</f>
        <v>4.437849462</v>
      </c>
      <c r="H77" s="171">
        <f>IFERROR(__xludf.DUMMYFUNCTION("AVERAGE(FILTER(Inventory!G:G,Inventory!J:J=""Closed"",Inventory!D:D&gt;=H71,Inventory!D:D&lt;=I71))"),3.8333333333333335)</f>
        <v>3.833333333</v>
      </c>
    </row>
    <row r="78">
      <c r="A78" s="160" t="s">
        <v>10230</v>
      </c>
      <c r="B78" s="174">
        <f>(B74/B72)*100</f>
        <v>22.20036244</v>
      </c>
      <c r="D78" s="174">
        <f>(D74/D72)*100</f>
        <v>19.70603172</v>
      </c>
      <c r="F78" s="174">
        <f>(F74/F72)*100</f>
        <v>17.83655301</v>
      </c>
      <c r="H78" s="174">
        <f>(H74/H72)*100</f>
        <v>37.22887666</v>
      </c>
    </row>
    <row r="79">
      <c r="A79" s="163" t="s">
        <v>10228</v>
      </c>
      <c r="B79" s="174">
        <f>IFERROR(__xludf.DUMMYFUNCTION("AVERAGE(FILTER(Inventory!K:K,Inventory!J:J=""Closed"",Inventory!D:D&gt;=B71,Inventory!D:D&lt;=C71))"),43.266666666666666)</f>
        <v>43.26666667</v>
      </c>
      <c r="D79" s="174">
        <f>IFERROR(__xludf.DUMMYFUNCTION("AVERAGE(FILTER(Inventory!K:K,Inventory!J:J=""Closed"",Inventory!D:D&gt;=D71,Inventory!D:D&lt;=E71))"),67.95488721804512)</f>
        <v>67.95488722</v>
      </c>
      <c r="F79" s="174">
        <f>IFERROR(__xludf.DUMMYFUNCTION("AVERAGE(FILTER(Inventory!K:K,Inventory!J:J=""Closed"",Inventory!D:D&gt;=F71,Inventory!D:D&lt;=G71))"),36.935483870967744)</f>
        <v>36.93548387</v>
      </c>
      <c r="H79" s="174">
        <f>IFERROR(__xludf.DUMMYFUNCTION("AVERAGE(FILTER(Inventory!K:K,Inventory!J:J=""Closed"",Inventory!D:D&gt;=H71,Inventory!D:D&lt;=I71))"),7.333333333333333)</f>
        <v>7.333333333</v>
      </c>
    </row>
    <row r="80">
      <c r="A80" s="163" t="s">
        <v>10229</v>
      </c>
      <c r="B80" s="175">
        <v>33.16</v>
      </c>
      <c r="D80" s="175">
        <v>27.56</v>
      </c>
      <c r="F80" s="175">
        <v>58.79</v>
      </c>
      <c r="H80" s="175">
        <v>35.5</v>
      </c>
    </row>
    <row r="81">
      <c r="A81" s="176" t="s">
        <v>10231</v>
      </c>
      <c r="B81" s="169">
        <v>253.0</v>
      </c>
      <c r="C81" s="170">
        <v>4017.94</v>
      </c>
      <c r="D81" s="169">
        <v>257.0</v>
      </c>
      <c r="E81" s="170">
        <v>4074.84</v>
      </c>
      <c r="F81" s="169">
        <v>264.0</v>
      </c>
      <c r="G81" s="170">
        <v>4278.53</v>
      </c>
    </row>
    <row r="83">
      <c r="A83" s="178"/>
      <c r="B83" s="179" t="s">
        <v>10233</v>
      </c>
      <c r="D83" s="179" t="s">
        <v>10234</v>
      </c>
      <c r="F83" s="179" t="s">
        <v>10235</v>
      </c>
      <c r="H83" s="179" t="s">
        <v>10236</v>
      </c>
      <c r="J83" s="179" t="s">
        <v>10237</v>
      </c>
      <c r="L83" s="179" t="s">
        <v>10238</v>
      </c>
      <c r="N83" s="179" t="s">
        <v>10239</v>
      </c>
      <c r="P83" s="179" t="s">
        <v>41</v>
      </c>
    </row>
    <row r="84">
      <c r="A84" s="180" t="s">
        <v>9</v>
      </c>
      <c r="B84" s="181">
        <f>SUM(B3:Y3)</f>
        <v>3615.65</v>
      </c>
      <c r="C84" s="182"/>
      <c r="D84" s="181">
        <f>SUM(B13:Y13)</f>
        <v>8528.04</v>
      </c>
      <c r="E84" s="182"/>
      <c r="F84" s="181">
        <f>SUM(B24:Y24)</f>
        <v>16569.57</v>
      </c>
      <c r="G84" s="182"/>
      <c r="H84" s="181">
        <f>SUM(B36:Y36)</f>
        <v>32530.071</v>
      </c>
      <c r="I84" s="182"/>
      <c r="J84" s="183">
        <f>SUM(B48:Y48)</f>
        <v>41494.898</v>
      </c>
      <c r="K84" s="122"/>
      <c r="L84" s="183">
        <f>SUM(B60:Y60)</f>
        <v>21628.19</v>
      </c>
      <c r="M84" s="122"/>
      <c r="N84" s="183">
        <f>SUM(B72:Y72)</f>
        <v>7788.32</v>
      </c>
      <c r="O84" s="122"/>
      <c r="P84" s="184">
        <f>SUM(B84:L84)</f>
        <v>124366.419</v>
      </c>
      <c r="Q84" s="154"/>
    </row>
    <row r="85">
      <c r="A85" s="180" t="s">
        <v>10240</v>
      </c>
      <c r="B85" s="185">
        <f>AVERAGE(B3:Y3)</f>
        <v>301.3041667</v>
      </c>
      <c r="C85" s="186"/>
      <c r="D85" s="185">
        <f>AVERAGE(B13:Y13)</f>
        <v>710.67</v>
      </c>
      <c r="E85" s="186"/>
      <c r="F85" s="185">
        <f>AVERAGE(B24:Y24)</f>
        <v>1380.7975</v>
      </c>
      <c r="G85" s="186"/>
      <c r="H85" s="185">
        <f>AVERAGE(B36:Y36)</f>
        <v>2710.83925</v>
      </c>
      <c r="I85" s="186"/>
      <c r="J85" s="185">
        <f>AVERAGE(B48:Y48)</f>
        <v>3457.908167</v>
      </c>
      <c r="K85" s="154"/>
      <c r="L85" s="185">
        <f>AVERAGE(B60:Y60)</f>
        <v>1802.349167</v>
      </c>
      <c r="M85" s="154"/>
      <c r="N85" s="185">
        <f>AVERAGE(B72:Y72)</f>
        <v>1947.08</v>
      </c>
      <c r="O85" s="154"/>
      <c r="P85" s="185">
        <f>AVERAGE(B85:L85)</f>
        <v>1727.311375</v>
      </c>
      <c r="Q85" s="154"/>
    </row>
    <row r="86">
      <c r="A86" s="187" t="s">
        <v>10223</v>
      </c>
      <c r="B86" s="188">
        <f>SUM(B4:Y4)</f>
        <v>2562.94</v>
      </c>
      <c r="C86" s="189"/>
      <c r="D86" s="188">
        <f>SUM(B14:Y14)</f>
        <v>6505.64</v>
      </c>
      <c r="E86" s="189"/>
      <c r="F86" s="188">
        <f>SUM(B25:Y25)</f>
        <v>12693.23</v>
      </c>
      <c r="G86" s="189"/>
      <c r="H86" s="181">
        <f>SUM(B37:Y37)</f>
        <v>25968.62</v>
      </c>
      <c r="I86" s="182"/>
      <c r="J86" s="183">
        <f>SUM(B49:Y49)</f>
        <v>32896.21587</v>
      </c>
      <c r="K86" s="122"/>
      <c r="L86" s="183">
        <f>SUM(B61:Y61)</f>
        <v>17496.15</v>
      </c>
      <c r="M86" s="122"/>
      <c r="N86" s="183">
        <f>SUM(B73:Y73)</f>
        <v>6241.57</v>
      </c>
      <c r="O86" s="122"/>
      <c r="P86" s="184">
        <f>SUM(B86:L86)</f>
        <v>98122.79587</v>
      </c>
      <c r="Q86" s="154"/>
    </row>
    <row r="87">
      <c r="A87" s="187" t="s">
        <v>10241</v>
      </c>
      <c r="B87" s="190">
        <f>AVERAGE(B4:Y4)</f>
        <v>213.5783333</v>
      </c>
      <c r="C87" s="186"/>
      <c r="D87" s="190">
        <f>AVERAGE(B14:Y14)</f>
        <v>542.1366667</v>
      </c>
      <c r="E87" s="186"/>
      <c r="F87" s="190">
        <f>AVERAGE(B25:Y25)</f>
        <v>1057.769167</v>
      </c>
      <c r="G87" s="186"/>
      <c r="H87" s="190">
        <f>AVERAGE(B37:Y37)</f>
        <v>2164.051667</v>
      </c>
      <c r="I87" s="186"/>
      <c r="J87" s="190">
        <f>AVERAGE(B49:Y49)</f>
        <v>2741.351323</v>
      </c>
      <c r="K87" s="154"/>
      <c r="L87" s="190">
        <f>AVERAGE(B61:Y61)</f>
        <v>1458.0125</v>
      </c>
      <c r="M87" s="154"/>
      <c r="N87" s="190">
        <f>AVERAGE(B73:Y73)</f>
        <v>1560.3925</v>
      </c>
      <c r="O87" s="154"/>
      <c r="P87" s="191">
        <f>AVERAGE(B87:L87)</f>
        <v>1362.816609</v>
      </c>
      <c r="Q87" s="154"/>
    </row>
    <row r="88">
      <c r="A88" s="192" t="s">
        <v>11</v>
      </c>
      <c r="B88" s="193">
        <f>SUM(B5:Y5)</f>
        <v>1052.71</v>
      </c>
      <c r="C88" s="189"/>
      <c r="D88" s="193">
        <f>SUM(B15:Y15)</f>
        <v>2022.4</v>
      </c>
      <c r="E88" s="189"/>
      <c r="F88" s="193">
        <f>SUM(B26:Y26)</f>
        <v>3876.34</v>
      </c>
      <c r="G88" s="189"/>
      <c r="H88" s="181">
        <f>SUM(B38:Y38)</f>
        <v>6561.451</v>
      </c>
      <c r="I88" s="182"/>
      <c r="J88" s="183">
        <f>SUM(B50:Y50)</f>
        <v>8598.682127</v>
      </c>
      <c r="K88" s="122"/>
      <c r="L88" s="183">
        <f>SUM(B62:Y62)</f>
        <v>4138.82</v>
      </c>
      <c r="M88" s="122"/>
      <c r="N88" s="183">
        <f>SUM(B74:Y74)</f>
        <v>1546.75</v>
      </c>
      <c r="O88" s="122"/>
      <c r="P88" s="184">
        <f>SUM(B88:L88)</f>
        <v>26250.40313</v>
      </c>
      <c r="Q88" s="154"/>
    </row>
    <row r="89">
      <c r="A89" s="192" t="s">
        <v>10226</v>
      </c>
      <c r="B89" s="194">
        <f>AVERAGE(B5:Y5)</f>
        <v>87.72583333</v>
      </c>
      <c r="C89" s="186"/>
      <c r="D89" s="194">
        <f>AVERAGE(B15:Y15)</f>
        <v>168.5333333</v>
      </c>
      <c r="E89" s="186"/>
      <c r="F89" s="194">
        <f>AVERAGE(B26:Y26)</f>
        <v>323.0283333</v>
      </c>
      <c r="G89" s="186"/>
      <c r="H89" s="194">
        <f>AVERAGE(B38:Y38)</f>
        <v>546.7875833</v>
      </c>
      <c r="I89" s="186"/>
      <c r="J89" s="194">
        <f>AVERAGE(B50:Y50)</f>
        <v>716.5568439</v>
      </c>
      <c r="K89" s="154"/>
      <c r="L89" s="194">
        <f>AVERAGE(B62:Y62)</f>
        <v>344.9016667</v>
      </c>
      <c r="M89" s="154"/>
      <c r="N89" s="194">
        <f>AVERAGE(B74:Y74)</f>
        <v>386.6875</v>
      </c>
      <c r="O89" s="154"/>
      <c r="P89" s="194">
        <f>AVERAGE(B89:L89)</f>
        <v>364.5889323</v>
      </c>
      <c r="Q89" s="154"/>
    </row>
    <row r="90">
      <c r="A90" s="195" t="s">
        <v>10224</v>
      </c>
      <c r="B90" s="196">
        <f>SUM(B6:Y6)</f>
        <v>624</v>
      </c>
      <c r="C90" s="189"/>
      <c r="D90" s="196">
        <f>SUM(B16:Y16)</f>
        <v>980</v>
      </c>
      <c r="E90" s="189"/>
      <c r="F90" s="196">
        <f>SUM(B27:Y27)</f>
        <v>1322</v>
      </c>
      <c r="G90" s="189"/>
      <c r="H90" s="196">
        <f>SUM(B39:Y39)</f>
        <v>2246</v>
      </c>
      <c r="I90" s="189"/>
      <c r="J90" s="197">
        <f>SUM(B51:Y51)</f>
        <v>2264</v>
      </c>
      <c r="K90" s="154"/>
      <c r="L90" s="197">
        <f>SUM(B63:Y63)</f>
        <v>954</v>
      </c>
      <c r="M90" s="154"/>
      <c r="N90" s="197">
        <f>SUM(B75:Y75)</f>
        <v>319</v>
      </c>
      <c r="O90" s="154"/>
      <c r="P90" s="198">
        <f>SUM(B90:L90)</f>
        <v>8390</v>
      </c>
      <c r="Q90" s="154"/>
    </row>
    <row r="91">
      <c r="A91" s="195" t="s">
        <v>10242</v>
      </c>
      <c r="B91" s="199">
        <f t="shared" ref="B91:B93" si="1">AVERAGE(B6:Y6)</f>
        <v>52</v>
      </c>
      <c r="C91" s="186"/>
      <c r="D91" s="200">
        <f t="shared" ref="D91:D93" si="2">AVERAGE(B16:Y16)</f>
        <v>81.66666667</v>
      </c>
      <c r="E91" s="186"/>
      <c r="F91" s="200">
        <f t="shared" ref="F91:F93" si="3">AVERAGE(B27:Y27)</f>
        <v>110.1666667</v>
      </c>
      <c r="G91" s="186"/>
      <c r="H91" s="200">
        <f t="shared" ref="H91:H93" si="4">AVERAGE(B39:Y39)</f>
        <v>187.1666667</v>
      </c>
      <c r="I91" s="186"/>
      <c r="J91" s="200">
        <f t="shared" ref="J91:J93" si="5">AVERAGE(B51:Y51)</f>
        <v>188.6666667</v>
      </c>
      <c r="K91" s="154"/>
      <c r="L91" s="200">
        <f t="shared" ref="L91:L93" si="6">AVERAGE(B63:Y63)</f>
        <v>79.5</v>
      </c>
      <c r="M91" s="154"/>
      <c r="N91" s="200">
        <f>AVERAGE(B75:Y75)</f>
        <v>79.75</v>
      </c>
      <c r="O91" s="154"/>
      <c r="P91" s="200">
        <f t="shared" ref="P91:P93" si="7">AVERAGE(B91:L91)</f>
        <v>116.5277778</v>
      </c>
      <c r="Q91" s="186"/>
    </row>
    <row r="92">
      <c r="A92" s="157" t="s">
        <v>10225</v>
      </c>
      <c r="B92" s="201">
        <f t="shared" si="1"/>
        <v>6.979410336</v>
      </c>
      <c r="C92" s="189"/>
      <c r="D92" s="201">
        <f t="shared" si="2"/>
        <v>8.573780569</v>
      </c>
      <c r="E92" s="189"/>
      <c r="F92" s="201">
        <f t="shared" si="3"/>
        <v>13.61962885</v>
      </c>
      <c r="G92" s="189"/>
      <c r="H92" s="201">
        <f t="shared" si="4"/>
        <v>14.8275295</v>
      </c>
      <c r="I92" s="189"/>
      <c r="J92" s="202">
        <f t="shared" si="5"/>
        <v>18.88228507</v>
      </c>
      <c r="K92" s="154"/>
      <c r="L92" s="202">
        <f t="shared" si="6"/>
        <v>22.81349389</v>
      </c>
      <c r="M92" s="154"/>
      <c r="P92" s="203">
        <f t="shared" si="7"/>
        <v>14.28268803</v>
      </c>
      <c r="Q92" s="154"/>
    </row>
    <row r="93">
      <c r="A93" s="140" t="s">
        <v>11</v>
      </c>
      <c r="B93" s="204">
        <f t="shared" si="1"/>
        <v>1.831113354</v>
      </c>
      <c r="C93" s="186"/>
      <c r="D93" s="204">
        <f t="shared" si="2"/>
        <v>2.125974288</v>
      </c>
      <c r="E93" s="186"/>
      <c r="F93" s="204">
        <f t="shared" si="3"/>
        <v>3.29654818</v>
      </c>
      <c r="G93" s="186"/>
      <c r="H93" s="205">
        <f t="shared" si="4"/>
        <v>3.010708306</v>
      </c>
      <c r="I93" s="206"/>
      <c r="J93" s="183">
        <f t="shared" si="5"/>
        <v>3.691549717</v>
      </c>
      <c r="K93" s="122"/>
      <c r="L93" s="183">
        <f t="shared" si="6"/>
        <v>4.392070957</v>
      </c>
      <c r="M93" s="122"/>
      <c r="P93" s="207">
        <f t="shared" si="7"/>
        <v>3.057994134</v>
      </c>
      <c r="Q93" s="154"/>
    </row>
    <row r="94">
      <c r="A94" s="160" t="s">
        <v>10227</v>
      </c>
      <c r="B94" s="208">
        <f>B88/B84</f>
        <v>0.2911537345</v>
      </c>
      <c r="C94" s="189"/>
      <c r="D94" s="208">
        <f>D88/D84</f>
        <v>0.2371471053</v>
      </c>
      <c r="E94" s="189"/>
      <c r="F94" s="208">
        <f>F88/F84</f>
        <v>0.2339433069</v>
      </c>
      <c r="G94" s="189"/>
      <c r="H94" s="208">
        <f>H88/H84</f>
        <v>0.2017041709</v>
      </c>
      <c r="I94" s="189"/>
      <c r="J94" s="209">
        <f>J88/J84</f>
        <v>0.2072226356</v>
      </c>
      <c r="K94" s="154"/>
      <c r="L94" s="209">
        <f>L88/L84</f>
        <v>0.1913622915</v>
      </c>
      <c r="M94" s="154"/>
      <c r="P94" s="210">
        <f>P88/P84</f>
        <v>0.2110730802</v>
      </c>
      <c r="Q94" s="154"/>
    </row>
    <row r="95">
      <c r="A95" s="163" t="s">
        <v>10228</v>
      </c>
      <c r="B95" s="211">
        <f>AVERAGE(B10:Y10)</f>
        <v>26.7038047</v>
      </c>
      <c r="C95" s="212"/>
      <c r="D95" s="211">
        <f>AVERAGE(B20:Y20)</f>
        <v>30.5072692</v>
      </c>
      <c r="E95" s="212"/>
      <c r="F95" s="211">
        <f>AVERAGE(B31:Y31)</f>
        <v>36.04523755</v>
      </c>
      <c r="G95" s="212"/>
      <c r="H95" s="211">
        <f>AVERAGE(B43:Y43)</f>
        <v>22.59764364</v>
      </c>
      <c r="I95" s="212"/>
      <c r="J95" s="213">
        <f>AVERAGE(B55:Y55)</f>
        <v>38.99593199</v>
      </c>
      <c r="K95" s="150"/>
      <c r="L95" s="213">
        <f>AVERAGE(B67:Y67)</f>
        <v>53.04441162</v>
      </c>
      <c r="M95" s="150"/>
      <c r="P95" s="214">
        <f>AVERAGE(B95:L95)</f>
        <v>34.64904978</v>
      </c>
      <c r="Q95" s="150"/>
    </row>
    <row r="96">
      <c r="A96" s="215" t="s">
        <v>10243</v>
      </c>
      <c r="B96" s="107"/>
      <c r="D96" s="216">
        <f>SUM(B21:Y21)</f>
        <v>81.9</v>
      </c>
      <c r="F96" s="216">
        <f>SUM(B32:Y32)</f>
        <v>158.4</v>
      </c>
      <c r="H96" s="216">
        <f>SUM(B44:Y44)</f>
        <v>521.35</v>
      </c>
      <c r="J96" s="217">
        <f>SUM(B56:Y56)</f>
        <v>636.11</v>
      </c>
      <c r="L96" s="217">
        <f>SUM(B68:Y68)</f>
        <v>370.83</v>
      </c>
      <c r="P96" s="216">
        <f>SUM(D96:L96)</f>
        <v>1768.59</v>
      </c>
    </row>
    <row r="97">
      <c r="Q97" s="20"/>
    </row>
    <row r="98">
      <c r="Q98" s="20"/>
    </row>
    <row r="99">
      <c r="Q99" s="20"/>
    </row>
    <row r="100">
      <c r="P100" s="20"/>
      <c r="Q100" s="20"/>
    </row>
    <row r="101">
      <c r="P101" s="20"/>
      <c r="Q101" s="20"/>
    </row>
  </sheetData>
  <mergeCells count="799">
    <mergeCell ref="B77:C77"/>
    <mergeCell ref="B78:C78"/>
    <mergeCell ref="D78:E78"/>
    <mergeCell ref="F78:G78"/>
    <mergeCell ref="H78:I78"/>
    <mergeCell ref="B79:C79"/>
    <mergeCell ref="D79:E79"/>
    <mergeCell ref="B80:C80"/>
    <mergeCell ref="D80:E80"/>
    <mergeCell ref="F80:G80"/>
    <mergeCell ref="H80:I80"/>
    <mergeCell ref="B83:C83"/>
    <mergeCell ref="D83:E83"/>
    <mergeCell ref="F83:G83"/>
    <mergeCell ref="L91:M91"/>
    <mergeCell ref="N91:O91"/>
    <mergeCell ref="N90:O90"/>
    <mergeCell ref="P90:Q90"/>
    <mergeCell ref="D91:E91"/>
    <mergeCell ref="F91:G91"/>
    <mergeCell ref="H91:I91"/>
    <mergeCell ref="J91:K91"/>
    <mergeCell ref="P91:Q91"/>
    <mergeCell ref="N92:O92"/>
    <mergeCell ref="P92:Q92"/>
    <mergeCell ref="B91:C91"/>
    <mergeCell ref="B92:C92"/>
    <mergeCell ref="D92:E92"/>
    <mergeCell ref="F92:G92"/>
    <mergeCell ref="H92:I92"/>
    <mergeCell ref="J92:K92"/>
    <mergeCell ref="L92:M92"/>
    <mergeCell ref="D93:E93"/>
    <mergeCell ref="F93:G93"/>
    <mergeCell ref="H93:I93"/>
    <mergeCell ref="J93:K93"/>
    <mergeCell ref="L93:M93"/>
    <mergeCell ref="N93:O93"/>
    <mergeCell ref="P93:Q93"/>
    <mergeCell ref="B93:C93"/>
    <mergeCell ref="B94:C94"/>
    <mergeCell ref="D94:E94"/>
    <mergeCell ref="F94:G94"/>
    <mergeCell ref="H94:I94"/>
    <mergeCell ref="J94:K94"/>
    <mergeCell ref="L94:M94"/>
    <mergeCell ref="L95:M95"/>
    <mergeCell ref="N95:O95"/>
    <mergeCell ref="N94:O94"/>
    <mergeCell ref="P94:Q94"/>
    <mergeCell ref="D95:E95"/>
    <mergeCell ref="F95:G95"/>
    <mergeCell ref="H95:I95"/>
    <mergeCell ref="J95:K95"/>
    <mergeCell ref="P95:Q95"/>
    <mergeCell ref="B72:C72"/>
    <mergeCell ref="D72:E72"/>
    <mergeCell ref="F72:G72"/>
    <mergeCell ref="H72:I72"/>
    <mergeCell ref="D73:E73"/>
    <mergeCell ref="F73:G73"/>
    <mergeCell ref="H73:I73"/>
    <mergeCell ref="B73:C73"/>
    <mergeCell ref="B74:C74"/>
    <mergeCell ref="D74:E74"/>
    <mergeCell ref="F74:G74"/>
    <mergeCell ref="H74:I74"/>
    <mergeCell ref="B75:C75"/>
    <mergeCell ref="D75:E75"/>
    <mergeCell ref="B76:C76"/>
    <mergeCell ref="D76:E76"/>
    <mergeCell ref="F76:G76"/>
    <mergeCell ref="H76:I76"/>
    <mergeCell ref="D77:E77"/>
    <mergeCell ref="F77:G77"/>
    <mergeCell ref="H77:I77"/>
    <mergeCell ref="F79:G79"/>
    <mergeCell ref="H79:I79"/>
    <mergeCell ref="H83:I83"/>
    <mergeCell ref="J83:K83"/>
    <mergeCell ref="L83:M83"/>
    <mergeCell ref="N83:O83"/>
    <mergeCell ref="P83:Q83"/>
    <mergeCell ref="B84:C84"/>
    <mergeCell ref="D84:E84"/>
    <mergeCell ref="F84:G84"/>
    <mergeCell ref="H84:I84"/>
    <mergeCell ref="J84:K84"/>
    <mergeCell ref="L84:M84"/>
    <mergeCell ref="N84:O84"/>
    <mergeCell ref="P84:Q84"/>
    <mergeCell ref="N96:O96"/>
    <mergeCell ref="P96:Q96"/>
    <mergeCell ref="B95:C95"/>
    <mergeCell ref="B96:C96"/>
    <mergeCell ref="D96:E96"/>
    <mergeCell ref="F96:G96"/>
    <mergeCell ref="H96:I96"/>
    <mergeCell ref="J96:K96"/>
    <mergeCell ref="L96:M96"/>
    <mergeCell ref="P67:Q67"/>
    <mergeCell ref="R67:S67"/>
    <mergeCell ref="T67:U67"/>
    <mergeCell ref="V67:W67"/>
    <mergeCell ref="X67:Y67"/>
    <mergeCell ref="B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V68:W68"/>
    <mergeCell ref="X68:Y68"/>
    <mergeCell ref="B68:C68"/>
    <mergeCell ref="D68:E68"/>
    <mergeCell ref="F68:G68"/>
    <mergeCell ref="H68:I68"/>
    <mergeCell ref="J68:K68"/>
    <mergeCell ref="L68:M68"/>
    <mergeCell ref="N68:O68"/>
    <mergeCell ref="P64:Q64"/>
    <mergeCell ref="R64:S64"/>
    <mergeCell ref="T64:U64"/>
    <mergeCell ref="V64:W64"/>
    <mergeCell ref="X64:Y64"/>
    <mergeCell ref="B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V65:W65"/>
    <mergeCell ref="X65:Y65"/>
    <mergeCell ref="B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V66:W66"/>
    <mergeCell ref="X66:Y66"/>
    <mergeCell ref="B66:C66"/>
    <mergeCell ref="D66:E66"/>
    <mergeCell ref="F66:G66"/>
    <mergeCell ref="H66:I66"/>
    <mergeCell ref="J66:K66"/>
    <mergeCell ref="L66:M66"/>
    <mergeCell ref="N66:O66"/>
    <mergeCell ref="F75:G75"/>
    <mergeCell ref="H75:I75"/>
    <mergeCell ref="D85:E85"/>
    <mergeCell ref="F85:G85"/>
    <mergeCell ref="H85:I85"/>
    <mergeCell ref="J85:K85"/>
    <mergeCell ref="L85:M85"/>
    <mergeCell ref="N85:O85"/>
    <mergeCell ref="P85:Q85"/>
    <mergeCell ref="B85:C85"/>
    <mergeCell ref="B86:C86"/>
    <mergeCell ref="D86:E86"/>
    <mergeCell ref="F86:G86"/>
    <mergeCell ref="H86:I86"/>
    <mergeCell ref="J86:K86"/>
    <mergeCell ref="L86:M86"/>
    <mergeCell ref="L87:M87"/>
    <mergeCell ref="N87:O87"/>
    <mergeCell ref="N86:O86"/>
    <mergeCell ref="P86:Q86"/>
    <mergeCell ref="D87:E87"/>
    <mergeCell ref="F87:G87"/>
    <mergeCell ref="H87:I87"/>
    <mergeCell ref="J87:K87"/>
    <mergeCell ref="P87:Q87"/>
    <mergeCell ref="N88:O88"/>
    <mergeCell ref="P88:Q88"/>
    <mergeCell ref="B87:C87"/>
    <mergeCell ref="B88:C88"/>
    <mergeCell ref="D88:E88"/>
    <mergeCell ref="F88:G88"/>
    <mergeCell ref="H88:I88"/>
    <mergeCell ref="J88:K88"/>
    <mergeCell ref="L88:M88"/>
    <mergeCell ref="D89:E89"/>
    <mergeCell ref="F89:G89"/>
    <mergeCell ref="H89:I89"/>
    <mergeCell ref="J89:K89"/>
    <mergeCell ref="L89:M89"/>
    <mergeCell ref="N89:O89"/>
    <mergeCell ref="P89:Q89"/>
    <mergeCell ref="B89:C89"/>
    <mergeCell ref="B90:C90"/>
    <mergeCell ref="D90:E90"/>
    <mergeCell ref="F90:G90"/>
    <mergeCell ref="H90:I90"/>
    <mergeCell ref="J90:K90"/>
    <mergeCell ref="L90:M90"/>
    <mergeCell ref="P1:Q1"/>
    <mergeCell ref="R1:S1"/>
    <mergeCell ref="T1:U1"/>
    <mergeCell ref="V1:W1"/>
    <mergeCell ref="X1:Y1"/>
    <mergeCell ref="Z1:Z2"/>
    <mergeCell ref="B1:C1"/>
    <mergeCell ref="D1:E1"/>
    <mergeCell ref="F1:G1"/>
    <mergeCell ref="H1:I1"/>
    <mergeCell ref="J1:K1"/>
    <mergeCell ref="L1:M1"/>
    <mergeCell ref="N1:O1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  <mergeCell ref="N3:O3"/>
    <mergeCell ref="P4:Q4"/>
    <mergeCell ref="R4:S4"/>
    <mergeCell ref="T4:U4"/>
    <mergeCell ref="V4:W4"/>
    <mergeCell ref="X4:Y4"/>
    <mergeCell ref="B4:C4"/>
    <mergeCell ref="D4:E4"/>
    <mergeCell ref="F4:G4"/>
    <mergeCell ref="H4:I4"/>
    <mergeCell ref="J4:K4"/>
    <mergeCell ref="L4:M4"/>
    <mergeCell ref="N4:O4"/>
    <mergeCell ref="N13:O13"/>
    <mergeCell ref="P13:Q13"/>
    <mergeCell ref="R13:S13"/>
    <mergeCell ref="T13:U13"/>
    <mergeCell ref="V13:W13"/>
    <mergeCell ref="X13:Y13"/>
    <mergeCell ref="B10:C10"/>
    <mergeCell ref="B13:C13"/>
    <mergeCell ref="D13:E13"/>
    <mergeCell ref="F13:G13"/>
    <mergeCell ref="H13:I13"/>
    <mergeCell ref="J13:K13"/>
    <mergeCell ref="L13:M13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V15:W15"/>
    <mergeCell ref="X15:Y15"/>
    <mergeCell ref="B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V16:W16"/>
    <mergeCell ref="X16:Y16"/>
    <mergeCell ref="B16:C16"/>
    <mergeCell ref="D16:E16"/>
    <mergeCell ref="F16:G16"/>
    <mergeCell ref="H16:I16"/>
    <mergeCell ref="J16:K16"/>
    <mergeCell ref="L16:M16"/>
    <mergeCell ref="N16:O16"/>
    <mergeCell ref="P5:Q5"/>
    <mergeCell ref="R5:S5"/>
    <mergeCell ref="T5:U5"/>
    <mergeCell ref="V5:W5"/>
    <mergeCell ref="X5:Y5"/>
    <mergeCell ref="B5:C5"/>
    <mergeCell ref="D5:E5"/>
    <mergeCell ref="F5:G5"/>
    <mergeCell ref="H5:I5"/>
    <mergeCell ref="J5:K5"/>
    <mergeCell ref="L5:M5"/>
    <mergeCell ref="N5:O5"/>
    <mergeCell ref="P6:Q6"/>
    <mergeCell ref="R6:S6"/>
    <mergeCell ref="T6:U6"/>
    <mergeCell ref="V6:W6"/>
    <mergeCell ref="X6:Y6"/>
    <mergeCell ref="B6:C6"/>
    <mergeCell ref="D6:E6"/>
    <mergeCell ref="F6:G6"/>
    <mergeCell ref="H6:I6"/>
    <mergeCell ref="J6:K6"/>
    <mergeCell ref="L6:M6"/>
    <mergeCell ref="N6:O6"/>
    <mergeCell ref="P7:Q7"/>
    <mergeCell ref="R7:S7"/>
    <mergeCell ref="T7:U7"/>
    <mergeCell ref="V7:W7"/>
    <mergeCell ref="X7:Y7"/>
    <mergeCell ref="B7:C7"/>
    <mergeCell ref="D7:E7"/>
    <mergeCell ref="F7:G7"/>
    <mergeCell ref="H7:I7"/>
    <mergeCell ref="J7:K7"/>
    <mergeCell ref="L7:M7"/>
    <mergeCell ref="N7:O7"/>
    <mergeCell ref="P8:Q8"/>
    <mergeCell ref="R8:S8"/>
    <mergeCell ref="T8:U8"/>
    <mergeCell ref="V8:W8"/>
    <mergeCell ref="X8:Y8"/>
    <mergeCell ref="B8:C8"/>
    <mergeCell ref="D8:E8"/>
    <mergeCell ref="F8:G8"/>
    <mergeCell ref="H8:I8"/>
    <mergeCell ref="J8:K8"/>
    <mergeCell ref="L8:M8"/>
    <mergeCell ref="N8:O8"/>
    <mergeCell ref="P9:Q9"/>
    <mergeCell ref="R9:S9"/>
    <mergeCell ref="T9:U9"/>
    <mergeCell ref="V9:W9"/>
    <mergeCell ref="X9:Y9"/>
    <mergeCell ref="B9:C9"/>
    <mergeCell ref="D9:E9"/>
    <mergeCell ref="F9:G9"/>
    <mergeCell ref="H9:I9"/>
    <mergeCell ref="J9:K9"/>
    <mergeCell ref="L9:M9"/>
    <mergeCell ref="N9:O9"/>
    <mergeCell ref="P10:Q10"/>
    <mergeCell ref="R10:S10"/>
    <mergeCell ref="T10:U10"/>
    <mergeCell ref="V10:W10"/>
    <mergeCell ref="X10:Y10"/>
    <mergeCell ref="D10:E10"/>
    <mergeCell ref="F10:G10"/>
    <mergeCell ref="H10:I10"/>
    <mergeCell ref="J10:K10"/>
    <mergeCell ref="L10:M10"/>
    <mergeCell ref="N10:O10"/>
    <mergeCell ref="A11:Z11"/>
    <mergeCell ref="P20:Q20"/>
    <mergeCell ref="R20:S20"/>
    <mergeCell ref="T20:U20"/>
    <mergeCell ref="V20:W20"/>
    <mergeCell ref="X20:Y20"/>
    <mergeCell ref="B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1:O21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V26:W26"/>
    <mergeCell ref="X26:Y26"/>
    <mergeCell ref="B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V27:W27"/>
    <mergeCell ref="X27:Y27"/>
    <mergeCell ref="B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V29:W29"/>
    <mergeCell ref="X29:Y29"/>
    <mergeCell ref="B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V30:W30"/>
    <mergeCell ref="X30:Y30"/>
    <mergeCell ref="B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V31:W31"/>
    <mergeCell ref="X31:Y31"/>
    <mergeCell ref="B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2:O32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V37:W37"/>
    <mergeCell ref="X37:Y37"/>
    <mergeCell ref="B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V39:W39"/>
    <mergeCell ref="X39:Y39"/>
    <mergeCell ref="B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V40:W40"/>
    <mergeCell ref="X40:Y40"/>
    <mergeCell ref="B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V42:W42"/>
    <mergeCell ref="X42:Y42"/>
    <mergeCell ref="B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V43:W43"/>
    <mergeCell ref="X43:Y43"/>
    <mergeCell ref="B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V44:W44"/>
    <mergeCell ref="X44:Y44"/>
    <mergeCell ref="B44:C44"/>
    <mergeCell ref="D44:E44"/>
    <mergeCell ref="F44:G44"/>
    <mergeCell ref="H44:I44"/>
    <mergeCell ref="J44:K44"/>
    <mergeCell ref="L44:M44"/>
    <mergeCell ref="N44:O44"/>
    <mergeCell ref="P48:Q48"/>
    <mergeCell ref="R48:S48"/>
    <mergeCell ref="T48:U48"/>
    <mergeCell ref="V48:W48"/>
    <mergeCell ref="X48:Y48"/>
    <mergeCell ref="B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V49:W49"/>
    <mergeCell ref="X49:Y49"/>
    <mergeCell ref="B49:C49"/>
    <mergeCell ref="D49:E49"/>
    <mergeCell ref="F49:G49"/>
    <mergeCell ref="H49:I49"/>
    <mergeCell ref="J49:K49"/>
    <mergeCell ref="L49:M49"/>
    <mergeCell ref="N49:O49"/>
    <mergeCell ref="P56:Q56"/>
    <mergeCell ref="R56:S56"/>
    <mergeCell ref="T56:U56"/>
    <mergeCell ref="V56:W56"/>
    <mergeCell ref="X56:Y56"/>
    <mergeCell ref="D56:E56"/>
    <mergeCell ref="F56:G56"/>
    <mergeCell ref="H56:I56"/>
    <mergeCell ref="J56:K56"/>
    <mergeCell ref="L56:M56"/>
    <mergeCell ref="N56:O56"/>
    <mergeCell ref="J58:K58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V18:W18"/>
    <mergeCell ref="X18:Y18"/>
    <mergeCell ref="B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V19:W19"/>
    <mergeCell ref="X19:Y19"/>
    <mergeCell ref="B19:C19"/>
    <mergeCell ref="D19:E19"/>
    <mergeCell ref="F19:G19"/>
    <mergeCell ref="H19:I19"/>
    <mergeCell ref="J19:K19"/>
    <mergeCell ref="L19:M19"/>
    <mergeCell ref="N19:O19"/>
    <mergeCell ref="N60:O60"/>
    <mergeCell ref="P60:Q60"/>
    <mergeCell ref="R60:S60"/>
    <mergeCell ref="T60:U60"/>
    <mergeCell ref="V60:W60"/>
    <mergeCell ref="X60:Y60"/>
    <mergeCell ref="P50:Q50"/>
    <mergeCell ref="R50:S50"/>
    <mergeCell ref="T50:U50"/>
    <mergeCell ref="V50:W50"/>
    <mergeCell ref="X50:Y50"/>
    <mergeCell ref="B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V51:W51"/>
    <mergeCell ref="X51:Y51"/>
    <mergeCell ref="B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V52:W52"/>
    <mergeCell ref="X52:Y52"/>
    <mergeCell ref="B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V53:W53"/>
    <mergeCell ref="X53:Y53"/>
    <mergeCell ref="B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V54:W54"/>
    <mergeCell ref="X54:Y54"/>
    <mergeCell ref="B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V55:W55"/>
    <mergeCell ref="X55:Y55"/>
    <mergeCell ref="B55:C55"/>
    <mergeCell ref="D55:E55"/>
    <mergeCell ref="F55:G55"/>
    <mergeCell ref="H55:I55"/>
    <mergeCell ref="J55:K55"/>
    <mergeCell ref="L55:M55"/>
    <mergeCell ref="N55:O55"/>
    <mergeCell ref="B56:C56"/>
    <mergeCell ref="B60:C60"/>
    <mergeCell ref="D60:E60"/>
    <mergeCell ref="F60:G60"/>
    <mergeCell ref="H60:I60"/>
    <mergeCell ref="J60:K60"/>
    <mergeCell ref="L60:M60"/>
    <mergeCell ref="P61:Q61"/>
    <mergeCell ref="R61:S61"/>
    <mergeCell ref="T61:U61"/>
    <mergeCell ref="V61:W61"/>
    <mergeCell ref="X61:Y61"/>
    <mergeCell ref="B61:C61"/>
    <mergeCell ref="D61:E61"/>
    <mergeCell ref="F61:G61"/>
    <mergeCell ref="H61:I61"/>
    <mergeCell ref="J61:K61"/>
    <mergeCell ref="L61:M61"/>
    <mergeCell ref="N61:O61"/>
    <mergeCell ref="P62:Q62"/>
    <mergeCell ref="R62:S62"/>
    <mergeCell ref="T62:U62"/>
    <mergeCell ref="V62:W62"/>
    <mergeCell ref="X62:Y62"/>
    <mergeCell ref="B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V63:W63"/>
    <mergeCell ref="X63:Y63"/>
    <mergeCell ref="B63:C63"/>
    <mergeCell ref="D63:E63"/>
    <mergeCell ref="F63:G63"/>
    <mergeCell ref="H63:I63"/>
    <mergeCell ref="J63:K63"/>
    <mergeCell ref="L63:M63"/>
    <mergeCell ref="N63:O63"/>
  </mergeCells>
  <conditionalFormatting sqref="B16:X16">
    <cfRule type="colorScale" priority="1">
      <colorScale>
        <cfvo type="min"/>
        <cfvo type="max"/>
        <color rgb="FFFFFFFF"/>
        <color rgb="FF6D9EEB"/>
      </colorScale>
    </cfRule>
  </conditionalFormatting>
  <conditionalFormatting sqref="B6:Y6">
    <cfRule type="colorScale" priority="2">
      <colorScale>
        <cfvo type="min"/>
        <cfvo type="max"/>
        <color rgb="FFFFFFFF"/>
        <color rgb="FF3C78D8"/>
      </colorScale>
    </cfRule>
  </conditionalFormatting>
  <conditionalFormatting sqref="B5:Y5">
    <cfRule type="colorScale" priority="3">
      <colorScale>
        <cfvo type="min"/>
        <cfvo type="max"/>
        <color rgb="FFFFFFFF"/>
        <color rgb="FF93C47D"/>
      </colorScale>
    </cfRule>
  </conditionalFormatting>
  <conditionalFormatting sqref="B4:Y4">
    <cfRule type="colorScale" priority="4">
      <colorScale>
        <cfvo type="min"/>
        <cfvo type="max"/>
        <color rgb="FFFFFFFF"/>
        <color rgb="FFE06666"/>
      </colorScale>
    </cfRule>
  </conditionalFormatting>
  <conditionalFormatting sqref="B3:Y3">
    <cfRule type="colorScale" priority="5">
      <colorScale>
        <cfvo type="min"/>
        <cfvo type="max"/>
        <color rgb="FFFFFFFF"/>
        <color rgb="FFFF9900"/>
      </colorScale>
    </cfRule>
  </conditionalFormatting>
  <conditionalFormatting sqref="D7:Y7">
    <cfRule type="colorScale" priority="6">
      <colorScale>
        <cfvo type="min"/>
        <cfvo type="max"/>
        <color rgb="FFFFFFFF"/>
        <color rgb="FFFFFF00"/>
      </colorScale>
    </cfRule>
  </conditionalFormatting>
  <conditionalFormatting sqref="D8:Y8">
    <cfRule type="colorScale" priority="7">
      <colorScale>
        <cfvo type="min"/>
        <cfvo type="max"/>
        <color rgb="FFFFFFFF"/>
        <color rgb="FFF6B26B"/>
      </colorScale>
    </cfRule>
  </conditionalFormatting>
  <conditionalFormatting sqref="B9:Y9">
    <cfRule type="colorScale" priority="8">
      <colorScale>
        <cfvo type="min"/>
        <cfvo type="max"/>
        <color rgb="FFFFFFFF"/>
        <color rgb="FF34A853"/>
      </colorScale>
    </cfRule>
  </conditionalFormatting>
  <conditionalFormatting sqref="D10:Y10">
    <cfRule type="colorScale" priority="9">
      <colorScale>
        <cfvo type="min"/>
        <cfvo type="max"/>
        <color rgb="FFC27BA0"/>
        <color rgb="FFFFFFFF"/>
      </colorScale>
    </cfRule>
  </conditionalFormatting>
  <conditionalFormatting sqref="B13:X13">
    <cfRule type="colorScale" priority="10">
      <colorScale>
        <cfvo type="min"/>
        <cfvo type="max"/>
        <color rgb="FFFFFFFF"/>
        <color rgb="FFFF9900"/>
      </colorScale>
    </cfRule>
  </conditionalFormatting>
  <conditionalFormatting sqref="B14:X14">
    <cfRule type="colorScale" priority="11">
      <colorScale>
        <cfvo type="min"/>
        <cfvo type="max"/>
        <color rgb="FFFFFFFF"/>
        <color rgb="FFE06666"/>
      </colorScale>
    </cfRule>
  </conditionalFormatting>
  <conditionalFormatting sqref="B15:X15">
    <cfRule type="colorScale" priority="12">
      <colorScale>
        <cfvo type="min"/>
        <cfvo type="max"/>
        <color rgb="FFFFFFFF"/>
        <color rgb="FF93C47D"/>
      </colorScale>
    </cfRule>
  </conditionalFormatting>
  <conditionalFormatting sqref="B17:X17">
    <cfRule type="colorScale" priority="13">
      <colorScale>
        <cfvo type="min"/>
        <cfvo type="max"/>
        <color rgb="FFFFFFFF"/>
        <color rgb="FFFFFF00"/>
      </colorScale>
    </cfRule>
  </conditionalFormatting>
  <conditionalFormatting sqref="B18:X18">
    <cfRule type="colorScale" priority="14">
      <colorScale>
        <cfvo type="min"/>
        <cfvo type="max"/>
        <color rgb="FFFFFFFF"/>
        <color rgb="FFF6B26B"/>
      </colorScale>
    </cfRule>
  </conditionalFormatting>
  <conditionalFormatting sqref="B19:X19">
    <cfRule type="colorScale" priority="15">
      <colorScale>
        <cfvo type="min"/>
        <cfvo type="max"/>
        <color rgb="FFFFFFFF"/>
        <color rgb="FF34A853"/>
      </colorScale>
    </cfRule>
  </conditionalFormatting>
  <conditionalFormatting sqref="B20:X20">
    <cfRule type="colorScale" priority="16">
      <colorScale>
        <cfvo type="min"/>
        <cfvo type="max"/>
        <color rgb="FFC27BA0"/>
        <color rgb="FFFFFFFF"/>
      </colorScale>
    </cfRule>
  </conditionalFormatting>
  <conditionalFormatting sqref="B84:F84 H84 J84 L84 N84 H86 J86 L86 N86 H88 J88 L88 N88 H90 J90 L90 N90 H92:H95 J92:J95 L92:L95">
    <cfRule type="colorScale" priority="17">
      <colorScale>
        <cfvo type="min"/>
        <cfvo type="max"/>
        <color rgb="FFFFFFFF"/>
        <color rgb="FFFFD666"/>
      </colorScale>
    </cfRule>
  </conditionalFormatting>
  <conditionalFormatting sqref="B86:F86">
    <cfRule type="colorScale" priority="18">
      <colorScale>
        <cfvo type="min"/>
        <cfvo type="max"/>
        <color rgb="FFFFFFFF"/>
        <color rgb="FFE06666"/>
      </colorScale>
    </cfRule>
  </conditionalFormatting>
  <conditionalFormatting sqref="B88:F88">
    <cfRule type="colorScale" priority="19">
      <colorScale>
        <cfvo type="min"/>
        <cfvo type="max"/>
        <color rgb="FFFFFFFF"/>
        <color rgb="FF57BB8A"/>
      </colorScale>
    </cfRule>
  </conditionalFormatting>
  <conditionalFormatting sqref="B90:H90 J90 L90 N90">
    <cfRule type="colorScale" priority="20">
      <colorScale>
        <cfvo type="min"/>
        <cfvo type="max"/>
        <color rgb="FFFFFFFF"/>
        <color rgb="FF6D9EEB"/>
      </colorScale>
    </cfRule>
  </conditionalFormatting>
  <conditionalFormatting sqref="B92:F92 H92 J92 L92">
    <cfRule type="colorScale" priority="21">
      <colorScale>
        <cfvo type="min"/>
        <cfvo type="max"/>
        <color rgb="FFFFFFFF"/>
        <color rgb="FFFFFF00"/>
      </colorScale>
    </cfRule>
  </conditionalFormatting>
  <conditionalFormatting sqref="B93:F93">
    <cfRule type="colorScale" priority="22">
      <colorScale>
        <cfvo type="min"/>
        <cfvo type="max"/>
        <color rgb="FFFFFFFF"/>
        <color rgb="FFF6B26B"/>
      </colorScale>
    </cfRule>
  </conditionalFormatting>
  <conditionalFormatting sqref="B94:M94">
    <cfRule type="colorScale" priority="23">
      <colorScale>
        <cfvo type="min"/>
        <cfvo type="max"/>
        <color rgb="FFFFFFFF"/>
        <color rgb="FF34A853"/>
      </colorScale>
    </cfRule>
  </conditionalFormatting>
  <conditionalFormatting sqref="B95:F95 H95 J95 L95">
    <cfRule type="colorScale" priority="24">
      <colorScale>
        <cfvo type="min"/>
        <cfvo type="max"/>
        <color rgb="FFD5A6BD"/>
        <color rgb="FFFFFFFF"/>
      </colorScale>
    </cfRule>
  </conditionalFormatting>
  <conditionalFormatting sqref="B24:Y24">
    <cfRule type="colorScale" priority="25">
      <colorScale>
        <cfvo type="min"/>
        <cfvo type="max"/>
        <color rgb="FFFFFFFF"/>
        <color rgb="FFFF9900"/>
      </colorScale>
    </cfRule>
  </conditionalFormatting>
  <conditionalFormatting sqref="B25:Y25">
    <cfRule type="colorScale" priority="26">
      <colorScale>
        <cfvo type="min"/>
        <cfvo type="max"/>
        <color rgb="FFFFFFFF"/>
        <color rgb="FFE06666"/>
      </colorScale>
    </cfRule>
  </conditionalFormatting>
  <conditionalFormatting sqref="B26:Y26">
    <cfRule type="colorScale" priority="27">
      <colorScale>
        <cfvo type="min"/>
        <cfvo type="max"/>
        <color rgb="FFFFFFFF"/>
        <color rgb="FF93C47D"/>
      </colorScale>
    </cfRule>
  </conditionalFormatting>
  <conditionalFormatting sqref="B27:Y27">
    <cfRule type="colorScale" priority="28">
      <colorScale>
        <cfvo type="min"/>
        <cfvo type="max"/>
        <color rgb="FFFFFFFF"/>
        <color rgb="FF6D9EEB"/>
      </colorScale>
    </cfRule>
  </conditionalFormatting>
  <conditionalFormatting sqref="B28:K28 L28:R31 S28:Y28 S30:S31 T30:W30">
    <cfRule type="colorScale" priority="29">
      <colorScale>
        <cfvo type="min"/>
        <cfvo type="max"/>
        <color rgb="FFFFFFFF"/>
        <color rgb="FFFFFF00"/>
      </colorScale>
    </cfRule>
  </conditionalFormatting>
  <conditionalFormatting sqref="B29:Y29">
    <cfRule type="colorScale" priority="30">
      <colorScale>
        <cfvo type="min"/>
        <cfvo type="max"/>
        <color rgb="FFFFFFFF"/>
        <color rgb="FFF6B26B"/>
      </colorScale>
    </cfRule>
  </conditionalFormatting>
  <conditionalFormatting sqref="B30:Y30">
    <cfRule type="colorScale" priority="31">
      <colorScale>
        <cfvo type="min"/>
        <cfvo type="max"/>
        <color rgb="FFFFFFFF"/>
        <color rgb="FF34A853"/>
      </colorScale>
    </cfRule>
  </conditionalFormatting>
  <conditionalFormatting sqref="B31:Y31">
    <cfRule type="colorScale" priority="32">
      <colorScale>
        <cfvo type="min"/>
        <cfvo type="max"/>
        <color rgb="FFC27BA0"/>
        <color rgb="FFFFFFFF"/>
      </colorScale>
    </cfRule>
  </conditionalFormatting>
  <conditionalFormatting sqref="X90">
    <cfRule type="notContainsBlanks" dxfId="5" priority="33">
      <formula>LEN(TRIM(X90))&gt;0</formula>
    </cfRule>
  </conditionalFormatting>
  <drawing r:id="rId1"/>
  <extLst>
    <ext uri="{05C60535-1F16-4fd2-B633-F4F36F0B64E0}">
      <x14:sparklineGroups>
        <x14:sparklineGroup type="column" displayEmptyCellsAs="gap">
          <x14:colorSeries rgb="FFFFA500"/>
          <x14:sparklines>
            <x14:sparkline>
              <xm:f>Summary!D3:Y3</xm:f>
              <xm:sqref>Z3</xm:sqref>
            </x14:sparkline>
          </x14:sparklines>
        </x14:sparklineGroup>
        <x14:sparklineGroup type="column" displayEmptyCellsAs="gap">
          <x14:colorSeries rgb="FFFF0000"/>
          <x14:sparklines>
            <x14:sparkline>
              <xm:f>Summary!D4:Y4</xm:f>
              <xm:sqref>Z4</xm:sqref>
            </x14:sparkline>
          </x14:sparklines>
        </x14:sparklineGroup>
        <x14:sparklineGroup type="column" displayEmptyCellsAs="gap">
          <x14:colorSeries rgb="FF93C47D"/>
          <x14:sparklines>
            <x14:sparkline>
              <xm:f>Summary!D5:Y5</xm:f>
              <xm:sqref>Z5</xm:sqref>
            </x14:sparkline>
          </x14:sparklines>
        </x14:sparklineGroup>
        <x14:sparklineGroup type="column" displayEmptyCellsAs="gap">
          <x14:colorSeries rgb="FF4285F4"/>
          <x14:sparklines>
            <x14:sparkline>
              <xm:f>Summary!D6:Y6</xm:f>
              <xm:sqref>Z6</xm:sqref>
            </x14:sparkline>
          </x14:sparklines>
        </x14:sparklineGroup>
        <x14:sparklineGroup type="column" displayEmptyCellsAs="gap">
          <x14:colorSeries rgb="FFFFFF00"/>
          <x14:sparklines>
            <x14:sparkline>
              <xm:f>Summary!D7:Y7</xm:f>
              <xm:sqref>Z7</xm:sqref>
            </x14:sparkline>
          </x14:sparklines>
        </x14:sparklineGroup>
        <x14:sparklineGroup type="column" displayEmptyCellsAs="gap">
          <x14:colorSeries rgb="FFFFA500"/>
          <x14:sparklines>
            <x14:sparkline>
              <xm:f>Summary!D8:Y8</xm:f>
              <xm:sqref>Z8</xm:sqref>
            </x14:sparkline>
          </x14:sparklines>
        </x14:sparklineGroup>
        <x14:sparklineGroup type="column" displayEmptyCellsAs="gap">
          <x14:colorSeries rgb="FF34A853"/>
          <x14:sparklines>
            <x14:sparkline>
              <xm:f>Summary!D9:Y9</xm:f>
              <xm:sqref>Z9</xm:sqref>
            </x14:sparkline>
          </x14:sparklines>
        </x14:sparklineGroup>
        <x14:sparklineGroup type="column" displayEmptyCellsAs="gap">
          <x14:colorSeries rgb="FFC27BA0"/>
          <x14:sparklines>
            <x14:sparkline>
              <xm:f>Summary!D10:Y10</xm:f>
              <xm:sqref>Z10</xm:sqref>
            </x14:sparkline>
          </x14:sparklines>
        </x14:sparklineGroup>
        <x14:sparklineGroup type="column" displayEmptyCellsAs="gap">
          <x14:colorSeries rgb="FFFFA500"/>
          <x14:sparklines>
            <x14:sparkline>
              <xm:f>Summary!B13:Y13</xm:f>
              <xm:sqref>Z13</xm:sqref>
            </x14:sparkline>
          </x14:sparklines>
        </x14:sparklineGroup>
        <x14:sparklineGroup type="column" displayEmptyCellsAs="gap">
          <x14:colorSeries rgb="FFFF0000"/>
          <x14:sparklines>
            <x14:sparkline>
              <xm:f>Summary!B14:Y14</xm:f>
              <xm:sqref>Z14</xm:sqref>
            </x14:sparkline>
          </x14:sparklines>
        </x14:sparklineGroup>
        <x14:sparklineGroup type="column" displayEmptyCellsAs="gap">
          <x14:colorSeries rgb="FF93C47D"/>
          <x14:sparklines>
            <x14:sparkline>
              <xm:f>Summary!B15:Y15</xm:f>
              <xm:sqref>Z15</xm:sqref>
            </x14:sparkline>
          </x14:sparklines>
        </x14:sparklineGroup>
        <x14:sparklineGroup type="column" displayEmptyCellsAs="gap">
          <x14:colorSeries rgb="FF4285F4"/>
          <x14:sparklines>
            <x14:sparkline>
              <xm:f>Summary!B16:Y16</xm:f>
              <xm:sqref>Z16</xm:sqref>
            </x14:sparkline>
          </x14:sparklines>
        </x14:sparklineGroup>
        <x14:sparklineGroup type="column" displayEmptyCellsAs="gap">
          <x14:colorSeries rgb="FFFFFF00"/>
          <x14:sparklines>
            <x14:sparkline>
              <xm:f>Summary!B17:Y17</xm:f>
              <xm:sqref>Z17</xm:sqref>
            </x14:sparkline>
          </x14:sparklines>
        </x14:sparklineGroup>
        <x14:sparklineGroup type="column" displayEmptyCellsAs="gap">
          <x14:colorSeries rgb="FFFFA500"/>
          <x14:sparklines>
            <x14:sparkline>
              <xm:f>Summary!B18:Y18</xm:f>
              <xm:sqref>Z18</xm:sqref>
            </x14:sparkline>
          </x14:sparklines>
        </x14:sparklineGroup>
        <x14:sparklineGroup type="column" displayEmptyCellsAs="gap">
          <x14:colorSeries rgb="FF34A853"/>
          <x14:sparklines>
            <x14:sparkline>
              <xm:f>Summary!B19:Y19</xm:f>
              <xm:sqref>Z19</xm:sqref>
            </x14:sparkline>
          </x14:sparklines>
        </x14:sparklineGroup>
        <x14:sparklineGroup type="column" displayEmptyCellsAs="gap">
          <x14:colorSeries rgb="FFC27BA0"/>
          <x14:sparklines>
            <x14:sparkline>
              <xm:f>Summary!B20:Y20</xm:f>
              <xm:sqref>Z20</xm:sqref>
            </x14:sparkline>
          </x14:sparklines>
        </x14:sparklineGroup>
        <x14:sparklineGroup type="column" displayEmptyCellsAs="gap">
          <x14:colorSeries rgb="FFC27BA0"/>
          <x14:sparklines>
            <x14:sparkline>
              <xm:f>Summary!B21:Y21</xm:f>
              <xm:sqref>Z21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3.25"/>
    <col customWidth="1" min="3" max="3" width="37.5"/>
    <col customWidth="1" min="4" max="4" width="10.0"/>
    <col customWidth="1" min="5" max="7" width="8.75"/>
    <col customWidth="1" min="10" max="10" width="3.0"/>
    <col customWidth="1" min="11" max="41" width="3.25"/>
  </cols>
  <sheetData>
    <row r="1">
      <c r="D1" s="58"/>
      <c r="E1" s="58"/>
      <c r="F1" s="58"/>
      <c r="G1" s="58"/>
    </row>
    <row r="2">
      <c r="B2" s="218" t="s">
        <v>10244</v>
      </c>
      <c r="G2" s="218"/>
      <c r="H2" s="219" t="s">
        <v>10245</v>
      </c>
    </row>
    <row r="3">
      <c r="B3" s="220" t="s">
        <v>10246</v>
      </c>
      <c r="C3" s="221" t="s">
        <v>10247</v>
      </c>
      <c r="G3" s="221"/>
    </row>
    <row r="4">
      <c r="C4" s="222" t="s">
        <v>55</v>
      </c>
      <c r="D4" s="75" t="s">
        <v>14</v>
      </c>
      <c r="E4" s="75" t="s">
        <v>10248</v>
      </c>
      <c r="F4" s="75" t="s">
        <v>11</v>
      </c>
      <c r="G4" s="75" t="s">
        <v>62</v>
      </c>
    </row>
    <row r="5">
      <c r="B5" s="23">
        <f t="array" ref="B5:B26">SEQUENCE(H11,1)</f>
        <v>1</v>
      </c>
      <c r="C5" s="23" t="str">
        <f>IFERROR(__xludf.DUMMYFUNCTION("FILTER({Inventory!A2:B8916,Inventory!F2:F8916,Inventory!G2:G8916,Inventory!K2:K8916},ISNUMBER(SEARCH(C3,Inventory!A2:A8916)), Inventory!J2:J8916=""Closed"")"),"Tempest Rising")</f>
        <v>Tempest Rising</v>
      </c>
      <c r="D5" s="58" t="str">
        <f>IFERROR(__xludf.DUMMYFUNCTION("""COMPUTED_VALUE"""),"CDKeys")</f>
        <v>CDKeys</v>
      </c>
      <c r="E5" s="24">
        <f>IFERROR(__xludf.DUMMYFUNCTION("""COMPUTED_VALUE"""),9.4)</f>
        <v>9.4</v>
      </c>
      <c r="F5" s="24">
        <f>IFERROR(__xludf.DUMMYFUNCTION("""COMPUTED_VALUE"""),1.5100000000000007)</f>
        <v>1.51</v>
      </c>
      <c r="G5" s="58">
        <f>IFERROR(__xludf.DUMMYFUNCTION("""COMPUTED_VALUE"""),5.0)</f>
        <v>5</v>
      </c>
    </row>
    <row r="6">
      <c r="B6" s="23">
        <v>2.0</v>
      </c>
      <c r="C6" s="23" t="str">
        <f>IFERROR(__xludf.DUMMYFUNCTION("""COMPUTED_VALUE"""),"Tempest Rising")</f>
        <v>Tempest Rising</v>
      </c>
      <c r="D6" s="58" t="str">
        <f>IFERROR(__xludf.DUMMYFUNCTION("""COMPUTED_VALUE"""),"CDKeys")</f>
        <v>CDKeys</v>
      </c>
      <c r="E6" s="24">
        <f>IFERROR(__xludf.DUMMYFUNCTION("""COMPUTED_VALUE"""),13.76)</f>
        <v>13.76</v>
      </c>
      <c r="F6" s="24">
        <f>IFERROR(__xludf.DUMMYFUNCTION("""COMPUTED_VALUE"""),5.87)</f>
        <v>5.87</v>
      </c>
      <c r="G6" s="58">
        <f>IFERROR(__xludf.DUMMYFUNCTION("""COMPUTED_VALUE"""),1.0)</f>
        <v>1</v>
      </c>
      <c r="H6" s="223" t="s">
        <v>10249</v>
      </c>
      <c r="I6" s="75"/>
    </row>
    <row r="7">
      <c r="B7" s="23">
        <v>3.0</v>
      </c>
      <c r="C7" s="23" t="str">
        <f>IFERROR(__xludf.DUMMYFUNCTION("""COMPUTED_VALUE"""),"Tempest Rising")</f>
        <v>Tempest Rising</v>
      </c>
      <c r="D7" s="58" t="str">
        <f>IFERROR(__xludf.DUMMYFUNCTION("""COMPUTED_VALUE"""),"CDKeys")</f>
        <v>CDKeys</v>
      </c>
      <c r="E7" s="24">
        <f>IFERROR(__xludf.DUMMYFUNCTION("""COMPUTED_VALUE"""),13.76)</f>
        <v>13.76</v>
      </c>
      <c r="F7" s="24">
        <f>IFERROR(__xludf.DUMMYFUNCTION("""COMPUTED_VALUE"""),5.87)</f>
        <v>5.87</v>
      </c>
      <c r="G7" s="58">
        <f>IFERROR(__xludf.DUMMYFUNCTION("""COMPUTED_VALUE"""),0.0)</f>
        <v>0</v>
      </c>
      <c r="H7" s="224">
        <f>SUBTOTAL(9,F:F)</f>
        <v>97.52</v>
      </c>
      <c r="I7" s="225"/>
    </row>
    <row r="8">
      <c r="B8" s="23">
        <v>4.0</v>
      </c>
      <c r="C8" s="23" t="str">
        <f>IFERROR(__xludf.DUMMYFUNCTION("""COMPUTED_VALUE"""),"Tempest Rising")</f>
        <v>Tempest Rising</v>
      </c>
      <c r="D8" s="58" t="str">
        <f>IFERROR(__xludf.DUMMYFUNCTION("""COMPUTED_VALUE"""),"Other")</f>
        <v>Other</v>
      </c>
      <c r="E8" s="24">
        <f>IFERROR(__xludf.DUMMYFUNCTION("""COMPUTED_VALUE"""),9.7)</f>
        <v>9.7</v>
      </c>
      <c r="F8" s="24">
        <f>IFERROR(__xludf.DUMMYFUNCTION("""COMPUTED_VALUE"""),3.079999999999999)</f>
        <v>3.08</v>
      </c>
      <c r="G8" s="58">
        <f>IFERROR(__xludf.DUMMYFUNCTION("""COMPUTED_VALUE"""),0.0)</f>
        <v>0</v>
      </c>
      <c r="H8" s="226" t="s">
        <v>9</v>
      </c>
      <c r="I8" s="75"/>
    </row>
    <row r="9">
      <c r="B9" s="23">
        <v>5.0</v>
      </c>
      <c r="C9" s="23" t="str">
        <f>IFERROR(__xludf.DUMMYFUNCTION("""COMPUTED_VALUE"""),"Tempest Rising")</f>
        <v>Tempest Rising</v>
      </c>
      <c r="D9" s="58" t="str">
        <f>IFERROR(__xludf.DUMMYFUNCTION("""COMPUTED_VALUE"""),"King")</f>
        <v>King</v>
      </c>
      <c r="E9" s="24">
        <f>IFERROR(__xludf.DUMMYFUNCTION("""COMPUTED_VALUE"""),9.06)</f>
        <v>9.06</v>
      </c>
      <c r="F9" s="24">
        <f>IFERROR(__xludf.DUMMYFUNCTION("""COMPUTED_VALUE"""),3.0300000000000002)</f>
        <v>3.03</v>
      </c>
      <c r="G9" s="58">
        <f>IFERROR(__xludf.DUMMYFUNCTION("""COMPUTED_VALUE"""),1.0)</f>
        <v>1</v>
      </c>
      <c r="H9" s="224">
        <f>SUBTOTAL(9,E:E)</f>
        <v>240.99</v>
      </c>
      <c r="I9" s="225"/>
    </row>
    <row r="10">
      <c r="B10" s="23">
        <v>6.0</v>
      </c>
      <c r="C10" s="23" t="str">
        <f>IFERROR(__xludf.DUMMYFUNCTION("""COMPUTED_VALUE"""),"Tempest Rising")</f>
        <v>Tempest Rising</v>
      </c>
      <c r="D10" s="58" t="str">
        <f>IFERROR(__xludf.DUMMYFUNCTION("""COMPUTED_VALUE"""),"King")</f>
        <v>King</v>
      </c>
      <c r="E10" s="24">
        <f>IFERROR(__xludf.DUMMYFUNCTION("""COMPUTED_VALUE"""),13.29)</f>
        <v>13.29</v>
      </c>
      <c r="F10" s="24">
        <f>IFERROR(__xludf.DUMMYFUNCTION("""COMPUTED_VALUE"""),7.1899999999999995)</f>
        <v>7.19</v>
      </c>
      <c r="G10" s="58">
        <f>IFERROR(__xludf.DUMMYFUNCTION("""COMPUTED_VALUE"""),42.0)</f>
        <v>42</v>
      </c>
      <c r="H10" s="226" t="s">
        <v>10224</v>
      </c>
      <c r="I10" s="75"/>
    </row>
    <row r="11">
      <c r="B11" s="23">
        <v>7.0</v>
      </c>
      <c r="C11" s="23" t="str">
        <f>IFERROR(__xludf.DUMMYFUNCTION("""COMPUTED_VALUE"""),"Tempest Rising")</f>
        <v>Tempest Rising</v>
      </c>
      <c r="D11" s="58" t="str">
        <f>IFERROR(__xludf.DUMMYFUNCTION("""COMPUTED_VALUE"""),"King")</f>
        <v>King</v>
      </c>
      <c r="E11" s="24">
        <f>IFERROR(__xludf.DUMMYFUNCTION("""COMPUTED_VALUE"""),13.29)</f>
        <v>13.29</v>
      </c>
      <c r="F11" s="24">
        <f>IFERROR(__xludf.DUMMYFUNCTION("""COMPUTED_VALUE"""),5.829999999999999)</f>
        <v>5.83</v>
      </c>
      <c r="G11" s="58">
        <f>IFERROR(__xludf.DUMMYFUNCTION("""COMPUTED_VALUE"""),38.0)</f>
        <v>38</v>
      </c>
      <c r="H11" s="227">
        <f>SUBTOTAL(3,C5:C8795)</f>
        <v>22</v>
      </c>
      <c r="I11" s="228"/>
    </row>
    <row r="12">
      <c r="B12" s="23">
        <v>8.0</v>
      </c>
      <c r="C12" s="23" t="str">
        <f>IFERROR(__xludf.DUMMYFUNCTION("""COMPUTED_VALUE"""),"Tempest Rising")</f>
        <v>Tempest Rising</v>
      </c>
      <c r="D12" s="58" t="str">
        <f>IFERROR(__xludf.DUMMYFUNCTION("""COMPUTED_VALUE"""),"King")</f>
        <v>King</v>
      </c>
      <c r="E12" s="24">
        <f>IFERROR(__xludf.DUMMYFUNCTION("""COMPUTED_VALUE"""),11.46)</f>
        <v>11.46</v>
      </c>
      <c r="F12" s="24">
        <f>IFERROR(__xludf.DUMMYFUNCTION("""COMPUTED_VALUE"""),4.000000000000001)</f>
        <v>4</v>
      </c>
      <c r="G12" s="58">
        <f>IFERROR(__xludf.DUMMYFUNCTION("""COMPUTED_VALUE"""),41.0)</f>
        <v>41</v>
      </c>
      <c r="H12" s="226" t="s">
        <v>62</v>
      </c>
      <c r="I12" s="75"/>
    </row>
    <row r="13">
      <c r="B13" s="23">
        <v>9.0</v>
      </c>
      <c r="C13" s="23" t="str">
        <f>IFERROR(__xludf.DUMMYFUNCTION("""COMPUTED_VALUE"""),"Tempest Rising")</f>
        <v>Tempest Rising</v>
      </c>
      <c r="D13" s="58" t="str">
        <f>IFERROR(__xludf.DUMMYFUNCTION("""COMPUTED_VALUE"""),"King")</f>
        <v>King</v>
      </c>
      <c r="E13" s="24">
        <f>IFERROR(__xludf.DUMMYFUNCTION("""COMPUTED_VALUE"""),11.46)</f>
        <v>11.46</v>
      </c>
      <c r="F13" s="24">
        <f>IFERROR(__xludf.DUMMYFUNCTION("""COMPUTED_VALUE"""),4.000000000000001)</f>
        <v>4</v>
      </c>
      <c r="G13" s="58">
        <f>IFERROR(__xludf.DUMMYFUNCTION("""COMPUTED_VALUE"""),41.0)</f>
        <v>41</v>
      </c>
      <c r="H13" s="225">
        <f>SUBTOTAL(1,G:G)</f>
        <v>25.04545455</v>
      </c>
      <c r="I13" s="225"/>
    </row>
    <row r="14">
      <c r="B14" s="23">
        <v>10.0</v>
      </c>
      <c r="C14" s="23" t="str">
        <f>IFERROR(__xludf.DUMMYFUNCTION("""COMPUTED_VALUE"""),"Tempest Rising")</f>
        <v>Tempest Rising</v>
      </c>
      <c r="D14" s="58" t="str">
        <f>IFERROR(__xludf.DUMMYFUNCTION("""COMPUTED_VALUE"""),"King")</f>
        <v>King</v>
      </c>
      <c r="E14" s="24">
        <f>IFERROR(__xludf.DUMMYFUNCTION("""COMPUTED_VALUE"""),11.46)</f>
        <v>11.46</v>
      </c>
      <c r="F14" s="24">
        <f>IFERROR(__xludf.DUMMYFUNCTION("""COMPUTED_VALUE"""),4.000000000000001)</f>
        <v>4</v>
      </c>
      <c r="G14" s="58">
        <f>IFERROR(__xludf.DUMMYFUNCTION("""COMPUTED_VALUE"""),42.0)</f>
        <v>42</v>
      </c>
      <c r="H14" s="223" t="s">
        <v>10250</v>
      </c>
      <c r="I14" s="75"/>
    </row>
    <row r="15">
      <c r="B15" s="23">
        <v>11.0</v>
      </c>
      <c r="C15" s="23" t="str">
        <f>IFERROR(__xludf.DUMMYFUNCTION("""COMPUTED_VALUE"""),"Tempest Rising")</f>
        <v>Tempest Rising</v>
      </c>
      <c r="D15" s="58" t="str">
        <f>IFERROR(__xludf.DUMMYFUNCTION("""COMPUTED_VALUE"""),"King")</f>
        <v>King</v>
      </c>
      <c r="E15" s="24">
        <f>IFERROR(__xludf.DUMMYFUNCTION("""COMPUTED_VALUE"""),11.46)</f>
        <v>11.46</v>
      </c>
      <c r="F15" s="24">
        <f>IFERROR(__xludf.DUMMYFUNCTION("""COMPUTED_VALUE"""),4.000000000000001)</f>
        <v>4</v>
      </c>
      <c r="G15" s="58">
        <f>IFERROR(__xludf.DUMMYFUNCTION("""COMPUTED_VALUE"""),42.0)</f>
        <v>42</v>
      </c>
      <c r="H15" s="224">
        <f>MIN(F5:F8795)</f>
        <v>1.51</v>
      </c>
      <c r="I15" s="225"/>
    </row>
    <row r="16">
      <c r="B16" s="23">
        <v>12.0</v>
      </c>
      <c r="C16" s="23" t="str">
        <f>IFERROR(__xludf.DUMMYFUNCTION("""COMPUTED_VALUE"""),"Tempest Rising")</f>
        <v>Tempest Rising</v>
      </c>
      <c r="D16" s="58" t="str">
        <f>IFERROR(__xludf.DUMMYFUNCTION("""COMPUTED_VALUE"""),"King")</f>
        <v>King</v>
      </c>
      <c r="E16" s="24">
        <f>IFERROR(__xludf.DUMMYFUNCTION("""COMPUTED_VALUE"""),11.46)</f>
        <v>11.46</v>
      </c>
      <c r="F16" s="24">
        <f>IFERROR(__xludf.DUMMYFUNCTION("""COMPUTED_VALUE"""),4.000000000000001)</f>
        <v>4</v>
      </c>
      <c r="G16" s="58">
        <f>IFERROR(__xludf.DUMMYFUNCTION("""COMPUTED_VALUE"""),42.0)</f>
        <v>42</v>
      </c>
      <c r="H16" s="226" t="s">
        <v>10251</v>
      </c>
      <c r="I16" s="75"/>
    </row>
    <row r="17">
      <c r="B17" s="23">
        <v>13.0</v>
      </c>
      <c r="C17" s="23" t="str">
        <f>IFERROR(__xludf.DUMMYFUNCTION("""COMPUTED_VALUE"""),"Tempest Rising")</f>
        <v>Tempest Rising</v>
      </c>
      <c r="D17" s="58" t="str">
        <f>IFERROR(__xludf.DUMMYFUNCTION("""COMPUTED_VALUE"""),"King")</f>
        <v>King</v>
      </c>
      <c r="E17" s="24">
        <f>IFERROR(__xludf.DUMMYFUNCTION("""COMPUTED_VALUE"""),10.14)</f>
        <v>10.14</v>
      </c>
      <c r="F17" s="24">
        <f>IFERROR(__xludf.DUMMYFUNCTION("""COMPUTED_VALUE"""),2.6800000000000006)</f>
        <v>2.68</v>
      </c>
      <c r="G17" s="58">
        <f>IFERROR(__xludf.DUMMYFUNCTION("""COMPUTED_VALUE"""),51.0)</f>
        <v>51</v>
      </c>
      <c r="H17" s="224">
        <f>MAX(F5:F8795)</f>
        <v>7.19</v>
      </c>
      <c r="I17" s="225"/>
    </row>
    <row r="18">
      <c r="B18" s="23">
        <v>14.0</v>
      </c>
      <c r="C18" s="23" t="str">
        <f>IFERROR(__xludf.DUMMYFUNCTION("""COMPUTED_VALUE"""),"Tempest Rising")</f>
        <v>Tempest Rising</v>
      </c>
      <c r="D18" s="58" t="str">
        <f>IFERROR(__xludf.DUMMYFUNCTION("""COMPUTED_VALUE"""),"King")</f>
        <v>King</v>
      </c>
      <c r="E18" s="24">
        <f>IFERROR(__xludf.DUMMYFUNCTION("""COMPUTED_VALUE"""),10.14)</f>
        <v>10.14</v>
      </c>
      <c r="F18" s="24">
        <f>IFERROR(__xludf.DUMMYFUNCTION("""COMPUTED_VALUE"""),2.6800000000000006)</f>
        <v>2.68</v>
      </c>
      <c r="G18" s="58">
        <f>IFERROR(__xludf.DUMMYFUNCTION("""COMPUTED_VALUE"""),52.0)</f>
        <v>52</v>
      </c>
      <c r="H18" s="226" t="s">
        <v>10252</v>
      </c>
      <c r="I18" s="75"/>
    </row>
    <row r="19">
      <c r="B19" s="23">
        <v>15.0</v>
      </c>
      <c r="C19" s="23" t="str">
        <f>IFERROR(__xludf.DUMMYFUNCTION("""COMPUTED_VALUE"""),"Tempest Rising")</f>
        <v>Tempest Rising</v>
      </c>
      <c r="D19" s="58" t="str">
        <f>IFERROR(__xludf.DUMMYFUNCTION("""COMPUTED_VALUE"""),"King")</f>
        <v>King</v>
      </c>
      <c r="E19" s="24">
        <f>IFERROR(__xludf.DUMMYFUNCTION("""COMPUTED_VALUE"""),10.14)</f>
        <v>10.14</v>
      </c>
      <c r="F19" s="24">
        <f>IFERROR(__xludf.DUMMYFUNCTION("""COMPUTED_VALUE"""),2.6800000000000006)</f>
        <v>2.68</v>
      </c>
      <c r="G19" s="58">
        <f>IFERROR(__xludf.DUMMYFUNCTION("""COMPUTED_VALUE"""),55.0)</f>
        <v>55</v>
      </c>
      <c r="H19" s="224">
        <f>SUBTOTAL(1,F:F)</f>
        <v>4.432727273</v>
      </c>
      <c r="I19" s="225"/>
    </row>
    <row r="20">
      <c r="B20" s="23">
        <v>16.0</v>
      </c>
      <c r="C20" s="23" t="str">
        <f>IFERROR(__xludf.DUMMYFUNCTION("""COMPUTED_VALUE"""),"Tempest Rising")</f>
        <v>Tempest Rising</v>
      </c>
      <c r="D20" s="58" t="str">
        <f>IFERROR(__xludf.DUMMYFUNCTION("""COMPUTED_VALUE"""),"King")</f>
        <v>King</v>
      </c>
      <c r="E20" s="24">
        <f>IFERROR(__xludf.DUMMYFUNCTION("""COMPUTED_VALUE"""),10.14)</f>
        <v>10.14</v>
      </c>
      <c r="F20" s="24">
        <f>IFERROR(__xludf.DUMMYFUNCTION("""COMPUTED_VALUE"""),3.16)</f>
        <v>3.16</v>
      </c>
      <c r="G20" s="58">
        <f>IFERROR(__xludf.DUMMYFUNCTION("""COMPUTED_VALUE"""),11.0)</f>
        <v>11</v>
      </c>
      <c r="H20" s="226" t="s">
        <v>10253</v>
      </c>
    </row>
    <row r="21">
      <c r="B21" s="23">
        <v>17.0</v>
      </c>
      <c r="C21" s="23" t="str">
        <f>IFERROR(__xludf.DUMMYFUNCTION("""COMPUTED_VALUE"""),"Tempest Rising")</f>
        <v>Tempest Rising</v>
      </c>
      <c r="D21" s="58" t="str">
        <f>IFERROR(__xludf.DUMMYFUNCTION("""COMPUTED_VALUE"""),"King")</f>
        <v>King</v>
      </c>
      <c r="E21" s="24">
        <f>IFERROR(__xludf.DUMMYFUNCTION("""COMPUTED_VALUE"""),10.14)</f>
        <v>10.14</v>
      </c>
      <c r="F21" s="24">
        <f>IFERROR(__xludf.DUMMYFUNCTION("""COMPUTED_VALUE"""),3.16)</f>
        <v>3.16</v>
      </c>
      <c r="G21" s="58">
        <f>IFERROR(__xludf.DUMMYFUNCTION("""COMPUTED_VALUE"""),13.0)</f>
        <v>13</v>
      </c>
      <c r="H21" s="229">
        <f>H17-H15</f>
        <v>5.68</v>
      </c>
      <c r="I21" s="78"/>
    </row>
    <row r="22">
      <c r="B22" s="23">
        <v>18.0</v>
      </c>
      <c r="C22" s="23" t="str">
        <f>IFERROR(__xludf.DUMMYFUNCTION("""COMPUTED_VALUE"""),"Tempest Rising")</f>
        <v>Tempest Rising</v>
      </c>
      <c r="D22" s="58" t="str">
        <f>IFERROR(__xludf.DUMMYFUNCTION("""COMPUTED_VALUE"""),"King")</f>
        <v>King</v>
      </c>
      <c r="E22" s="24">
        <f>IFERROR(__xludf.DUMMYFUNCTION("""COMPUTED_VALUE"""),10.14)</f>
        <v>10.14</v>
      </c>
      <c r="F22" s="24">
        <f>IFERROR(__xludf.DUMMYFUNCTION("""COMPUTED_VALUE"""),6.15)</f>
        <v>6.15</v>
      </c>
      <c r="G22" s="58">
        <f>IFERROR(__xludf.DUMMYFUNCTION("""COMPUTED_VALUE"""),13.0)</f>
        <v>13</v>
      </c>
      <c r="H22" s="78" t="s">
        <v>10254</v>
      </c>
    </row>
    <row r="23">
      <c r="B23" s="23">
        <v>19.0</v>
      </c>
      <c r="C23" s="23" t="str">
        <f>IFERROR(__xludf.DUMMYFUNCTION("""COMPUTED_VALUE"""),"Tempest Rising")</f>
        <v>Tempest Rising</v>
      </c>
      <c r="D23" s="58" t="str">
        <f>IFERROR(__xludf.DUMMYFUNCTION("""COMPUTED_VALUE"""),"King")</f>
        <v>King</v>
      </c>
      <c r="E23" s="24">
        <f>IFERROR(__xludf.DUMMYFUNCTION("""COMPUTED_VALUE"""),10.14)</f>
        <v>10.14</v>
      </c>
      <c r="F23" s="24">
        <f>IFERROR(__xludf.DUMMYFUNCTION("""COMPUTED_VALUE"""),6.15)</f>
        <v>6.15</v>
      </c>
      <c r="G23" s="58">
        <f>IFERROR(__xludf.DUMMYFUNCTION("""COMPUTED_VALUE"""),13.0)</f>
        <v>13</v>
      </c>
      <c r="H23" s="88">
        <f>IF(F5&lt;&gt;"", AVERAGE(F$5:F$1000), "")</f>
        <v>4.432727273</v>
      </c>
    </row>
    <row r="24">
      <c r="B24" s="23">
        <v>20.0</v>
      </c>
      <c r="C24" s="23" t="str">
        <f>IFERROR(__xludf.DUMMYFUNCTION("""COMPUTED_VALUE"""),"Tempest Rising")</f>
        <v>Tempest Rising</v>
      </c>
      <c r="D24" s="58" t="str">
        <f>IFERROR(__xludf.DUMMYFUNCTION("""COMPUTED_VALUE"""),"King")</f>
        <v>King</v>
      </c>
      <c r="E24" s="24">
        <f>IFERROR(__xludf.DUMMYFUNCTION("""COMPUTED_VALUE"""),10.15)</f>
        <v>10.15</v>
      </c>
      <c r="F24" s="24">
        <f>IFERROR(__xludf.DUMMYFUNCTION("""COMPUTED_VALUE"""),6.16)</f>
        <v>6.16</v>
      </c>
      <c r="G24" s="58">
        <f>IFERROR(__xludf.DUMMYFUNCTION("""COMPUTED_VALUE"""),15.0)</f>
        <v>15</v>
      </c>
    </row>
    <row r="25">
      <c r="B25" s="23">
        <v>21.0</v>
      </c>
      <c r="C25" s="23" t="str">
        <f>IFERROR(__xludf.DUMMYFUNCTION("""COMPUTED_VALUE"""),"Tempest Rising")</f>
        <v>Tempest Rising</v>
      </c>
      <c r="D25" s="58" t="str">
        <f>IFERROR(__xludf.DUMMYFUNCTION("""COMPUTED_VALUE"""),"King")</f>
        <v>King</v>
      </c>
      <c r="E25" s="24">
        <f>IFERROR(__xludf.DUMMYFUNCTION("""COMPUTED_VALUE"""),10.15)</f>
        <v>10.15</v>
      </c>
      <c r="F25" s="24">
        <f>IFERROR(__xludf.DUMMYFUNCTION("""COMPUTED_VALUE"""),6.16)</f>
        <v>6.16</v>
      </c>
      <c r="G25" s="58">
        <f>IFERROR(__xludf.DUMMYFUNCTION("""COMPUTED_VALUE"""),16.0)</f>
        <v>16</v>
      </c>
    </row>
    <row r="26">
      <c r="B26" s="23">
        <v>22.0</v>
      </c>
      <c r="C26" s="23" t="str">
        <f>IFERROR(__xludf.DUMMYFUNCTION("""COMPUTED_VALUE"""),"Tempest Rising")</f>
        <v>Tempest Rising</v>
      </c>
      <c r="D26" s="58" t="str">
        <f>IFERROR(__xludf.DUMMYFUNCTION("""COMPUTED_VALUE"""),"King")</f>
        <v>King</v>
      </c>
      <c r="E26" s="24">
        <f>IFERROR(__xludf.DUMMYFUNCTION("""COMPUTED_VALUE"""),10.15)</f>
        <v>10.15</v>
      </c>
      <c r="F26" s="24">
        <f>IFERROR(__xludf.DUMMYFUNCTION("""COMPUTED_VALUE"""),6.16)</f>
        <v>6.16</v>
      </c>
      <c r="G26" s="58">
        <f>IFERROR(__xludf.DUMMYFUNCTION("""COMPUTED_VALUE"""),17.0)</f>
        <v>17</v>
      </c>
    </row>
    <row r="27">
      <c r="D27" s="58"/>
      <c r="E27" s="58"/>
      <c r="F27" s="58"/>
      <c r="G27" s="58"/>
    </row>
    <row r="28">
      <c r="D28" s="58"/>
      <c r="E28" s="58"/>
      <c r="F28" s="58"/>
      <c r="G28" s="58"/>
    </row>
    <row r="29">
      <c r="D29" s="58"/>
      <c r="E29" s="58"/>
      <c r="F29" s="58"/>
      <c r="G29" s="58"/>
    </row>
    <row r="30">
      <c r="D30" s="58"/>
      <c r="E30" s="58"/>
      <c r="F30" s="58"/>
      <c r="G30" s="58"/>
    </row>
    <row r="31">
      <c r="D31" s="58"/>
      <c r="E31" s="58"/>
      <c r="F31" s="58"/>
      <c r="G31" s="58"/>
    </row>
    <row r="32">
      <c r="D32" s="58"/>
      <c r="E32" s="58"/>
      <c r="F32" s="58"/>
      <c r="G32" s="58"/>
    </row>
    <row r="33">
      <c r="D33" s="58"/>
      <c r="E33" s="58"/>
      <c r="F33" s="58"/>
      <c r="G33" s="58"/>
    </row>
    <row r="34">
      <c r="D34" s="58"/>
      <c r="E34" s="58"/>
      <c r="F34" s="58"/>
      <c r="G34" s="58"/>
    </row>
    <row r="35">
      <c r="D35" s="58"/>
      <c r="E35" s="58"/>
      <c r="F35" s="58"/>
      <c r="G35" s="58"/>
    </row>
    <row r="36">
      <c r="D36" s="58"/>
      <c r="E36" s="58"/>
      <c r="F36" s="58"/>
      <c r="G36" s="58"/>
    </row>
    <row r="37">
      <c r="D37" s="58"/>
      <c r="E37" s="58"/>
      <c r="F37" s="58"/>
      <c r="G37" s="58"/>
    </row>
    <row r="38">
      <c r="D38" s="58"/>
      <c r="E38" s="58"/>
      <c r="F38" s="58"/>
      <c r="G38" s="58"/>
    </row>
    <row r="39">
      <c r="D39" s="58"/>
      <c r="E39" s="58"/>
      <c r="F39" s="58"/>
      <c r="G39" s="58"/>
    </row>
    <row r="40">
      <c r="D40" s="58"/>
      <c r="E40" s="58"/>
      <c r="F40" s="58"/>
      <c r="G40" s="58"/>
    </row>
    <row r="41">
      <c r="D41" s="58"/>
      <c r="E41" s="58"/>
      <c r="F41" s="58"/>
      <c r="G41" s="58"/>
    </row>
    <row r="42">
      <c r="D42" s="58"/>
      <c r="E42" s="58"/>
      <c r="F42" s="58"/>
      <c r="G42" s="58"/>
    </row>
    <row r="43">
      <c r="D43" s="58"/>
      <c r="E43" s="58"/>
      <c r="F43" s="58"/>
      <c r="G43" s="58"/>
    </row>
    <row r="44">
      <c r="D44" s="58"/>
      <c r="E44" s="58"/>
      <c r="F44" s="58"/>
      <c r="G44" s="58"/>
    </row>
    <row r="45">
      <c r="D45" s="58"/>
      <c r="E45" s="58"/>
      <c r="F45" s="58"/>
      <c r="G45" s="58"/>
    </row>
    <row r="46">
      <c r="D46" s="58"/>
      <c r="E46" s="58"/>
      <c r="F46" s="58"/>
      <c r="G46" s="58"/>
    </row>
    <row r="47">
      <c r="D47" s="58"/>
      <c r="E47" s="58"/>
      <c r="F47" s="58"/>
      <c r="G47" s="58"/>
    </row>
    <row r="48">
      <c r="D48" s="58"/>
      <c r="E48" s="58"/>
      <c r="F48" s="58"/>
      <c r="G48" s="58"/>
    </row>
    <row r="49">
      <c r="D49" s="58"/>
      <c r="E49" s="58"/>
      <c r="F49" s="58"/>
      <c r="G49" s="58"/>
    </row>
    <row r="50">
      <c r="D50" s="58"/>
      <c r="E50" s="58"/>
      <c r="F50" s="58"/>
      <c r="G50" s="58"/>
    </row>
    <row r="51">
      <c r="D51" s="58"/>
      <c r="E51" s="58"/>
      <c r="F51" s="58"/>
      <c r="G51" s="58"/>
    </row>
    <row r="52">
      <c r="D52" s="58"/>
      <c r="E52" s="58"/>
      <c r="F52" s="58"/>
      <c r="G52" s="58"/>
    </row>
    <row r="53">
      <c r="D53" s="58"/>
      <c r="E53" s="58"/>
      <c r="F53" s="58"/>
      <c r="G53" s="58"/>
    </row>
    <row r="54">
      <c r="D54" s="58"/>
      <c r="E54" s="58"/>
      <c r="F54" s="58"/>
      <c r="G54" s="58"/>
    </row>
    <row r="55">
      <c r="D55" s="58"/>
      <c r="E55" s="58"/>
      <c r="F55" s="58"/>
      <c r="G55" s="58"/>
    </row>
    <row r="56">
      <c r="D56" s="58"/>
      <c r="E56" s="58"/>
      <c r="F56" s="58"/>
      <c r="G56" s="58"/>
    </row>
    <row r="57">
      <c r="D57" s="58"/>
      <c r="E57" s="58"/>
      <c r="F57" s="58"/>
      <c r="G57" s="58"/>
    </row>
    <row r="58">
      <c r="D58" s="58"/>
      <c r="E58" s="58"/>
      <c r="F58" s="58"/>
      <c r="G58" s="58"/>
    </row>
    <row r="59">
      <c r="D59" s="58"/>
      <c r="E59" s="58"/>
      <c r="F59" s="58"/>
      <c r="G59" s="58"/>
    </row>
    <row r="60">
      <c r="D60" s="58"/>
      <c r="E60" s="58"/>
      <c r="F60" s="58"/>
      <c r="G60" s="58"/>
    </row>
    <row r="61">
      <c r="D61" s="58"/>
      <c r="E61" s="58"/>
      <c r="F61" s="58"/>
      <c r="G61" s="58"/>
    </row>
    <row r="62">
      <c r="D62" s="58"/>
      <c r="E62" s="58"/>
      <c r="F62" s="58"/>
      <c r="G62" s="58"/>
    </row>
    <row r="63">
      <c r="D63" s="58"/>
      <c r="E63" s="58"/>
      <c r="F63" s="58"/>
      <c r="G63" s="58"/>
    </row>
    <row r="64">
      <c r="D64" s="58"/>
      <c r="E64" s="58"/>
      <c r="F64" s="58"/>
      <c r="G64" s="58"/>
    </row>
    <row r="65">
      <c r="D65" s="58"/>
      <c r="E65" s="58"/>
      <c r="F65" s="58"/>
      <c r="G65" s="58"/>
    </row>
    <row r="66">
      <c r="D66" s="58"/>
      <c r="E66" s="58"/>
      <c r="F66" s="58"/>
      <c r="G66" s="58"/>
    </row>
    <row r="67">
      <c r="D67" s="58"/>
      <c r="E67" s="58"/>
      <c r="F67" s="58"/>
      <c r="G67" s="58"/>
    </row>
    <row r="68">
      <c r="D68" s="58"/>
      <c r="E68" s="58"/>
      <c r="F68" s="58"/>
      <c r="G68" s="58"/>
    </row>
    <row r="69">
      <c r="D69" s="58"/>
      <c r="E69" s="58"/>
      <c r="F69" s="58"/>
      <c r="G69" s="58"/>
    </row>
    <row r="70">
      <c r="D70" s="58"/>
      <c r="E70" s="58"/>
      <c r="F70" s="58"/>
      <c r="G70" s="58"/>
    </row>
    <row r="71">
      <c r="D71" s="58"/>
      <c r="E71" s="58"/>
      <c r="F71" s="58"/>
      <c r="G71" s="58"/>
    </row>
    <row r="72">
      <c r="D72" s="58"/>
      <c r="E72" s="58"/>
      <c r="F72" s="58"/>
      <c r="G72" s="58"/>
    </row>
    <row r="73">
      <c r="D73" s="58"/>
      <c r="E73" s="58"/>
      <c r="F73" s="58"/>
      <c r="G73" s="58"/>
    </row>
    <row r="74">
      <c r="D74" s="58"/>
      <c r="E74" s="58"/>
      <c r="F74" s="58"/>
      <c r="G74" s="58"/>
    </row>
    <row r="75">
      <c r="D75" s="58"/>
      <c r="E75" s="58"/>
      <c r="F75" s="58"/>
      <c r="G75" s="58"/>
    </row>
    <row r="76">
      <c r="D76" s="58"/>
      <c r="E76" s="58"/>
      <c r="F76" s="58"/>
      <c r="G76" s="58"/>
    </row>
    <row r="77">
      <c r="D77" s="58"/>
      <c r="E77" s="58"/>
      <c r="F77" s="58"/>
      <c r="G77" s="58"/>
    </row>
    <row r="78">
      <c r="D78" s="58"/>
      <c r="E78" s="58"/>
      <c r="F78" s="58"/>
      <c r="G78" s="58"/>
    </row>
    <row r="79">
      <c r="D79" s="58"/>
      <c r="E79" s="58"/>
      <c r="F79" s="58"/>
      <c r="G79" s="58"/>
    </row>
    <row r="80">
      <c r="D80" s="58"/>
      <c r="E80" s="58"/>
      <c r="F80" s="58"/>
      <c r="G80" s="58"/>
    </row>
    <row r="81">
      <c r="D81" s="58"/>
      <c r="E81" s="58"/>
      <c r="F81" s="58"/>
      <c r="G81" s="58"/>
    </row>
    <row r="82">
      <c r="D82" s="58"/>
      <c r="E82" s="58"/>
      <c r="F82" s="58"/>
      <c r="G82" s="58"/>
    </row>
    <row r="83">
      <c r="D83" s="58"/>
      <c r="E83" s="58"/>
      <c r="F83" s="58"/>
      <c r="G83" s="58"/>
    </row>
    <row r="84">
      <c r="D84" s="58"/>
      <c r="E84" s="58"/>
      <c r="F84" s="58"/>
      <c r="G84" s="58"/>
    </row>
    <row r="85">
      <c r="D85" s="58"/>
      <c r="E85" s="58"/>
      <c r="F85" s="58"/>
      <c r="G85" s="58"/>
    </row>
    <row r="86">
      <c r="D86" s="58"/>
      <c r="E86" s="58"/>
      <c r="F86" s="58"/>
      <c r="G86" s="58"/>
    </row>
    <row r="87">
      <c r="D87" s="58"/>
      <c r="E87" s="58"/>
      <c r="F87" s="58"/>
      <c r="G87" s="58"/>
    </row>
    <row r="88">
      <c r="D88" s="58"/>
      <c r="E88" s="58"/>
      <c r="F88" s="58"/>
      <c r="G88" s="58"/>
    </row>
    <row r="89">
      <c r="D89" s="58"/>
      <c r="E89" s="58"/>
      <c r="F89" s="58"/>
      <c r="G89" s="58"/>
    </row>
    <row r="90">
      <c r="D90" s="58"/>
      <c r="E90" s="58"/>
      <c r="F90" s="58"/>
      <c r="G90" s="58"/>
    </row>
    <row r="91">
      <c r="D91" s="58"/>
      <c r="E91" s="58"/>
      <c r="F91" s="58"/>
      <c r="G91" s="58"/>
    </row>
    <row r="92">
      <c r="D92" s="58"/>
      <c r="E92" s="58"/>
      <c r="F92" s="58"/>
      <c r="G92" s="58"/>
    </row>
    <row r="93">
      <c r="D93" s="58"/>
      <c r="E93" s="58"/>
      <c r="F93" s="58"/>
      <c r="G93" s="58"/>
    </row>
    <row r="94">
      <c r="D94" s="58"/>
      <c r="E94" s="58"/>
      <c r="F94" s="58"/>
      <c r="G94" s="58"/>
    </row>
    <row r="95">
      <c r="D95" s="58"/>
      <c r="E95" s="58"/>
      <c r="F95" s="58"/>
      <c r="G95" s="58"/>
    </row>
    <row r="96">
      <c r="D96" s="58"/>
      <c r="E96" s="58"/>
      <c r="F96" s="58"/>
      <c r="G96" s="58"/>
    </row>
    <row r="97">
      <c r="D97" s="58"/>
      <c r="E97" s="58"/>
      <c r="F97" s="58"/>
      <c r="G97" s="58"/>
    </row>
    <row r="98">
      <c r="D98" s="58"/>
      <c r="E98" s="58"/>
      <c r="F98" s="58"/>
      <c r="G98" s="58"/>
    </row>
    <row r="99">
      <c r="D99" s="58"/>
      <c r="E99" s="58"/>
      <c r="F99" s="58"/>
      <c r="G99" s="58"/>
    </row>
    <row r="100">
      <c r="D100" s="58"/>
      <c r="E100" s="58"/>
      <c r="F100" s="58"/>
      <c r="G100" s="58"/>
    </row>
    <row r="101">
      <c r="D101" s="58"/>
      <c r="E101" s="58"/>
      <c r="F101" s="58"/>
      <c r="G101" s="58"/>
    </row>
    <row r="102">
      <c r="D102" s="58"/>
      <c r="E102" s="58"/>
      <c r="F102" s="58"/>
      <c r="G102" s="58"/>
    </row>
    <row r="103">
      <c r="D103" s="58"/>
      <c r="E103" s="58"/>
      <c r="F103" s="58"/>
      <c r="G103" s="58"/>
    </row>
    <row r="104">
      <c r="D104" s="58"/>
      <c r="E104" s="58"/>
      <c r="F104" s="58"/>
      <c r="G104" s="58"/>
    </row>
    <row r="105">
      <c r="D105" s="58"/>
      <c r="E105" s="58"/>
      <c r="F105" s="58"/>
      <c r="G105" s="58"/>
    </row>
    <row r="106">
      <c r="D106" s="58"/>
      <c r="E106" s="58"/>
      <c r="F106" s="58"/>
      <c r="G106" s="58"/>
    </row>
    <row r="107">
      <c r="D107" s="58"/>
      <c r="E107" s="58"/>
      <c r="F107" s="58"/>
      <c r="G107" s="58"/>
    </row>
    <row r="108">
      <c r="D108" s="58"/>
      <c r="E108" s="58"/>
      <c r="F108" s="58"/>
      <c r="G108" s="58"/>
    </row>
    <row r="109">
      <c r="D109" s="58"/>
      <c r="E109" s="58"/>
      <c r="F109" s="58"/>
      <c r="G109" s="58"/>
    </row>
    <row r="110">
      <c r="D110" s="58"/>
      <c r="E110" s="58"/>
      <c r="F110" s="58"/>
      <c r="G110" s="58"/>
    </row>
    <row r="111">
      <c r="D111" s="58"/>
      <c r="E111" s="58"/>
      <c r="F111" s="58"/>
      <c r="G111" s="58"/>
    </row>
    <row r="112">
      <c r="D112" s="58"/>
      <c r="E112" s="58"/>
      <c r="F112" s="58"/>
      <c r="G112" s="58"/>
    </row>
    <row r="113">
      <c r="D113" s="58"/>
      <c r="E113" s="58"/>
      <c r="F113" s="58"/>
      <c r="G113" s="58"/>
    </row>
    <row r="114">
      <c r="D114" s="58"/>
      <c r="E114" s="58"/>
      <c r="F114" s="58"/>
      <c r="G114" s="58"/>
    </row>
    <row r="115">
      <c r="D115" s="58"/>
      <c r="E115" s="58"/>
      <c r="F115" s="58"/>
      <c r="G115" s="58"/>
    </row>
    <row r="116">
      <c r="D116" s="58"/>
      <c r="E116" s="58"/>
      <c r="F116" s="58"/>
      <c r="G116" s="58"/>
    </row>
    <row r="117">
      <c r="D117" s="58"/>
      <c r="E117" s="58"/>
      <c r="F117" s="58"/>
      <c r="G117" s="58"/>
    </row>
    <row r="118">
      <c r="D118" s="58"/>
      <c r="E118" s="58"/>
      <c r="F118" s="58"/>
      <c r="G118" s="58"/>
    </row>
    <row r="119">
      <c r="D119" s="58"/>
      <c r="E119" s="58"/>
      <c r="F119" s="58"/>
      <c r="G119" s="58"/>
    </row>
    <row r="120">
      <c r="D120" s="58"/>
      <c r="E120" s="58"/>
      <c r="F120" s="58"/>
      <c r="G120" s="58"/>
    </row>
    <row r="121">
      <c r="D121" s="58"/>
      <c r="E121" s="58"/>
      <c r="F121" s="58"/>
      <c r="G121" s="58"/>
    </row>
    <row r="122">
      <c r="D122" s="58"/>
      <c r="E122" s="58"/>
      <c r="F122" s="58"/>
      <c r="G122" s="58"/>
    </row>
    <row r="123">
      <c r="D123" s="58"/>
      <c r="E123" s="58"/>
      <c r="F123" s="58"/>
      <c r="G123" s="58"/>
    </row>
    <row r="124">
      <c r="D124" s="58"/>
      <c r="E124" s="58"/>
      <c r="F124" s="58"/>
      <c r="G124" s="58"/>
    </row>
    <row r="125">
      <c r="D125" s="58"/>
      <c r="E125" s="58"/>
      <c r="F125" s="58"/>
      <c r="G125" s="58"/>
    </row>
    <row r="126">
      <c r="D126" s="58"/>
      <c r="E126" s="58"/>
      <c r="F126" s="58"/>
      <c r="G126" s="58"/>
    </row>
    <row r="127">
      <c r="D127" s="58"/>
      <c r="E127" s="58"/>
      <c r="F127" s="58"/>
      <c r="G127" s="58"/>
    </row>
    <row r="128">
      <c r="D128" s="58"/>
      <c r="E128" s="58"/>
      <c r="F128" s="58"/>
      <c r="G128" s="58"/>
    </row>
    <row r="129">
      <c r="D129" s="58"/>
      <c r="E129" s="58"/>
      <c r="F129" s="58"/>
      <c r="G129" s="58"/>
    </row>
    <row r="130">
      <c r="D130" s="58"/>
      <c r="E130" s="58"/>
      <c r="F130" s="58"/>
      <c r="G130" s="58"/>
    </row>
    <row r="131">
      <c r="D131" s="58"/>
      <c r="E131" s="58"/>
      <c r="F131" s="58"/>
      <c r="G131" s="58"/>
    </row>
    <row r="132">
      <c r="D132" s="58"/>
      <c r="E132" s="58"/>
      <c r="F132" s="58"/>
      <c r="G132" s="58"/>
    </row>
    <row r="133">
      <c r="D133" s="58"/>
      <c r="E133" s="58"/>
      <c r="F133" s="58"/>
      <c r="G133" s="58"/>
    </row>
    <row r="134">
      <c r="D134" s="58"/>
      <c r="E134" s="58"/>
      <c r="F134" s="58"/>
      <c r="G134" s="58"/>
    </row>
    <row r="135">
      <c r="D135" s="58"/>
      <c r="E135" s="58"/>
      <c r="F135" s="58"/>
      <c r="G135" s="58"/>
    </row>
    <row r="136">
      <c r="D136" s="58"/>
      <c r="E136" s="58"/>
      <c r="F136" s="58"/>
      <c r="G136" s="58"/>
    </row>
    <row r="137">
      <c r="D137" s="58"/>
      <c r="E137" s="58"/>
      <c r="F137" s="58"/>
      <c r="G137" s="58"/>
    </row>
    <row r="138">
      <c r="D138" s="58"/>
      <c r="E138" s="58"/>
      <c r="F138" s="58"/>
      <c r="G138" s="58"/>
    </row>
    <row r="139">
      <c r="D139" s="58"/>
      <c r="E139" s="58"/>
      <c r="F139" s="58"/>
      <c r="G139" s="58"/>
    </row>
    <row r="140">
      <c r="D140" s="58"/>
      <c r="E140" s="58"/>
      <c r="F140" s="58"/>
      <c r="G140" s="58"/>
    </row>
    <row r="141">
      <c r="D141" s="58"/>
      <c r="E141" s="58"/>
      <c r="F141" s="58"/>
      <c r="G141" s="58"/>
    </row>
    <row r="142">
      <c r="D142" s="58"/>
      <c r="E142" s="58"/>
      <c r="F142" s="58"/>
      <c r="G142" s="58"/>
    </row>
    <row r="143">
      <c r="D143" s="58"/>
      <c r="E143" s="58"/>
      <c r="F143" s="58"/>
      <c r="G143" s="58"/>
    </row>
    <row r="144">
      <c r="D144" s="58"/>
      <c r="E144" s="58"/>
      <c r="F144" s="58"/>
      <c r="G144" s="58"/>
    </row>
    <row r="145">
      <c r="D145" s="58"/>
      <c r="E145" s="58"/>
      <c r="F145" s="58"/>
      <c r="G145" s="58"/>
    </row>
    <row r="146">
      <c r="D146" s="58"/>
      <c r="E146" s="58"/>
      <c r="F146" s="58"/>
      <c r="G146" s="58"/>
    </row>
    <row r="147">
      <c r="D147" s="58"/>
      <c r="E147" s="58"/>
      <c r="F147" s="58"/>
      <c r="G147" s="58"/>
    </row>
    <row r="148">
      <c r="D148" s="58"/>
      <c r="E148" s="58"/>
      <c r="F148" s="58"/>
      <c r="G148" s="58"/>
    </row>
    <row r="149">
      <c r="D149" s="58"/>
      <c r="E149" s="58"/>
      <c r="F149" s="58"/>
      <c r="G149" s="58"/>
    </row>
    <row r="150">
      <c r="D150" s="58"/>
      <c r="E150" s="58"/>
      <c r="F150" s="58"/>
      <c r="G150" s="58"/>
    </row>
    <row r="151">
      <c r="D151" s="58"/>
      <c r="E151" s="58"/>
      <c r="F151" s="58"/>
      <c r="G151" s="58"/>
    </row>
    <row r="152">
      <c r="D152" s="58"/>
      <c r="E152" s="58"/>
      <c r="F152" s="58"/>
      <c r="G152" s="58"/>
    </row>
    <row r="153">
      <c r="D153" s="58"/>
      <c r="E153" s="58"/>
      <c r="F153" s="58"/>
      <c r="G153" s="58"/>
    </row>
    <row r="154">
      <c r="D154" s="58"/>
      <c r="E154" s="58"/>
      <c r="F154" s="58"/>
      <c r="G154" s="58"/>
    </row>
    <row r="155">
      <c r="D155" s="58"/>
      <c r="E155" s="58"/>
      <c r="F155" s="58"/>
      <c r="G155" s="58"/>
    </row>
    <row r="156">
      <c r="D156" s="58"/>
      <c r="E156" s="58"/>
      <c r="F156" s="58"/>
      <c r="G156" s="58"/>
    </row>
    <row r="157">
      <c r="D157" s="58"/>
      <c r="E157" s="58"/>
      <c r="F157" s="58"/>
      <c r="G157" s="58"/>
    </row>
    <row r="158">
      <c r="D158" s="58"/>
      <c r="E158" s="58"/>
      <c r="F158" s="58"/>
      <c r="G158" s="58"/>
    </row>
    <row r="159">
      <c r="D159" s="58"/>
      <c r="E159" s="58"/>
      <c r="F159" s="58"/>
      <c r="G159" s="58"/>
    </row>
    <row r="160">
      <c r="D160" s="58"/>
      <c r="E160" s="58"/>
      <c r="F160" s="58"/>
      <c r="G160" s="58"/>
    </row>
    <row r="161">
      <c r="D161" s="58"/>
      <c r="E161" s="58"/>
      <c r="F161" s="58"/>
      <c r="G161" s="58"/>
    </row>
    <row r="162">
      <c r="D162" s="58"/>
      <c r="E162" s="58"/>
      <c r="F162" s="58"/>
      <c r="G162" s="58"/>
    </row>
    <row r="163">
      <c r="D163" s="58"/>
      <c r="E163" s="58"/>
      <c r="F163" s="58"/>
      <c r="G163" s="58"/>
    </row>
    <row r="164">
      <c r="D164" s="58"/>
      <c r="E164" s="58"/>
      <c r="F164" s="58"/>
      <c r="G164" s="58"/>
    </row>
    <row r="165">
      <c r="D165" s="58"/>
      <c r="E165" s="58"/>
      <c r="F165" s="58"/>
      <c r="G165" s="58"/>
    </row>
    <row r="166">
      <c r="D166" s="58"/>
      <c r="E166" s="58"/>
      <c r="F166" s="58"/>
      <c r="G166" s="58"/>
    </row>
    <row r="167">
      <c r="D167" s="58"/>
      <c r="E167" s="58"/>
      <c r="F167" s="58"/>
      <c r="G167" s="58"/>
    </row>
    <row r="168">
      <c r="D168" s="58"/>
      <c r="E168" s="58"/>
      <c r="F168" s="58"/>
      <c r="G168" s="58"/>
    </row>
    <row r="169">
      <c r="D169" s="58"/>
      <c r="E169" s="58"/>
      <c r="F169" s="58"/>
      <c r="G169" s="58"/>
    </row>
    <row r="170">
      <c r="D170" s="58"/>
      <c r="E170" s="58"/>
      <c r="F170" s="58"/>
      <c r="G170" s="58"/>
    </row>
    <row r="171">
      <c r="D171" s="58"/>
      <c r="E171" s="58"/>
      <c r="F171" s="58"/>
      <c r="G171" s="58"/>
    </row>
    <row r="172">
      <c r="D172" s="58"/>
      <c r="E172" s="58"/>
      <c r="F172" s="58"/>
      <c r="G172" s="58"/>
    </row>
    <row r="173">
      <c r="D173" s="58"/>
      <c r="E173" s="58"/>
      <c r="F173" s="58"/>
      <c r="G173" s="58"/>
    </row>
    <row r="174">
      <c r="D174" s="58"/>
      <c r="E174" s="58"/>
      <c r="F174" s="58"/>
      <c r="G174" s="58"/>
    </row>
    <row r="175">
      <c r="D175" s="58"/>
      <c r="E175" s="58"/>
      <c r="F175" s="58"/>
      <c r="G175" s="58"/>
    </row>
    <row r="176">
      <c r="D176" s="58"/>
      <c r="E176" s="58"/>
      <c r="F176" s="58"/>
      <c r="G176" s="58"/>
    </row>
    <row r="177">
      <c r="D177" s="58"/>
      <c r="E177" s="58"/>
      <c r="F177" s="58"/>
      <c r="G177" s="58"/>
    </row>
    <row r="178">
      <c r="D178" s="58"/>
      <c r="E178" s="58"/>
      <c r="F178" s="58"/>
      <c r="G178" s="58"/>
    </row>
    <row r="179">
      <c r="D179" s="58"/>
      <c r="E179" s="58"/>
      <c r="F179" s="58"/>
      <c r="G179" s="58"/>
    </row>
    <row r="180">
      <c r="D180" s="58"/>
      <c r="E180" s="58"/>
      <c r="F180" s="58"/>
      <c r="G180" s="58"/>
    </row>
    <row r="181">
      <c r="D181" s="58"/>
      <c r="E181" s="58"/>
      <c r="F181" s="58"/>
      <c r="G181" s="58"/>
    </row>
    <row r="182">
      <c r="D182" s="58"/>
      <c r="E182" s="58"/>
      <c r="F182" s="58"/>
      <c r="G182" s="58"/>
    </row>
    <row r="183">
      <c r="D183" s="58"/>
      <c r="E183" s="58"/>
      <c r="F183" s="58"/>
      <c r="G183" s="58"/>
    </row>
    <row r="184">
      <c r="D184" s="58"/>
      <c r="E184" s="58"/>
      <c r="F184" s="58"/>
      <c r="G184" s="58"/>
    </row>
    <row r="185">
      <c r="D185" s="58"/>
      <c r="E185" s="58"/>
      <c r="F185" s="58"/>
      <c r="G185" s="58"/>
    </row>
    <row r="186">
      <c r="D186" s="58"/>
      <c r="E186" s="58"/>
      <c r="F186" s="58"/>
      <c r="G186" s="58"/>
    </row>
    <row r="187">
      <c r="D187" s="58"/>
      <c r="E187" s="58"/>
      <c r="F187" s="58"/>
      <c r="G187" s="58"/>
    </row>
    <row r="188">
      <c r="D188" s="58"/>
      <c r="E188" s="58"/>
      <c r="F188" s="58"/>
      <c r="G188" s="58"/>
    </row>
    <row r="189">
      <c r="D189" s="58"/>
      <c r="E189" s="58"/>
      <c r="F189" s="58"/>
      <c r="G189" s="58"/>
    </row>
    <row r="190">
      <c r="D190" s="58"/>
      <c r="E190" s="58"/>
      <c r="F190" s="58"/>
      <c r="G190" s="58"/>
    </row>
    <row r="191">
      <c r="D191" s="58"/>
      <c r="E191" s="58"/>
      <c r="F191" s="58"/>
      <c r="G191" s="58"/>
    </row>
    <row r="192">
      <c r="D192" s="58"/>
      <c r="E192" s="58"/>
      <c r="F192" s="58"/>
      <c r="G192" s="58"/>
    </row>
    <row r="193">
      <c r="D193" s="58"/>
      <c r="E193" s="58"/>
      <c r="F193" s="58"/>
      <c r="G193" s="58"/>
    </row>
    <row r="194">
      <c r="D194" s="58"/>
      <c r="E194" s="58"/>
      <c r="F194" s="58"/>
      <c r="G194" s="58"/>
    </row>
    <row r="195">
      <c r="D195" s="58"/>
      <c r="E195" s="58"/>
      <c r="F195" s="58"/>
      <c r="G195" s="58"/>
    </row>
    <row r="196">
      <c r="D196" s="58"/>
      <c r="E196" s="58"/>
      <c r="F196" s="58"/>
      <c r="G196" s="58"/>
    </row>
    <row r="197">
      <c r="D197" s="58"/>
      <c r="E197" s="58"/>
      <c r="F197" s="58"/>
      <c r="G197" s="58"/>
    </row>
    <row r="198">
      <c r="D198" s="58"/>
      <c r="E198" s="58"/>
      <c r="F198" s="58"/>
      <c r="G198" s="58"/>
    </row>
    <row r="199">
      <c r="D199" s="58"/>
      <c r="E199" s="58"/>
      <c r="F199" s="58"/>
      <c r="G199" s="58"/>
    </row>
    <row r="200">
      <c r="D200" s="58"/>
      <c r="E200" s="58"/>
      <c r="F200" s="58"/>
      <c r="G200" s="58"/>
    </row>
    <row r="201">
      <c r="D201" s="58"/>
      <c r="E201" s="58"/>
      <c r="F201" s="58"/>
      <c r="G201" s="58"/>
    </row>
    <row r="202">
      <c r="D202" s="58"/>
      <c r="E202" s="58"/>
      <c r="F202" s="58"/>
      <c r="G202" s="58"/>
    </row>
    <row r="203">
      <c r="D203" s="58"/>
      <c r="E203" s="58"/>
      <c r="F203" s="58"/>
      <c r="G203" s="58"/>
    </row>
    <row r="204">
      <c r="D204" s="58"/>
      <c r="E204" s="58"/>
      <c r="F204" s="58"/>
      <c r="G204" s="58"/>
    </row>
    <row r="205">
      <c r="D205" s="58"/>
      <c r="E205" s="58"/>
      <c r="F205" s="58"/>
      <c r="G205" s="58"/>
    </row>
    <row r="206">
      <c r="D206" s="58"/>
      <c r="E206" s="58"/>
      <c r="F206" s="58"/>
      <c r="G206" s="58"/>
    </row>
    <row r="207">
      <c r="D207" s="58"/>
      <c r="E207" s="58"/>
      <c r="F207" s="58"/>
      <c r="G207" s="58"/>
    </row>
    <row r="208">
      <c r="D208" s="58"/>
      <c r="E208" s="58"/>
      <c r="F208" s="58"/>
      <c r="G208" s="58"/>
    </row>
    <row r="209">
      <c r="D209" s="58"/>
      <c r="E209" s="58"/>
      <c r="F209" s="58"/>
      <c r="G209" s="58"/>
    </row>
    <row r="210">
      <c r="D210" s="58"/>
      <c r="E210" s="58"/>
      <c r="F210" s="58"/>
      <c r="G210" s="58"/>
    </row>
    <row r="211">
      <c r="D211" s="58"/>
      <c r="E211" s="58"/>
      <c r="F211" s="58"/>
      <c r="G211" s="58"/>
    </row>
    <row r="212">
      <c r="D212" s="58"/>
      <c r="E212" s="58"/>
      <c r="F212" s="58"/>
      <c r="G212" s="58"/>
    </row>
    <row r="213">
      <c r="D213" s="58"/>
      <c r="E213" s="58"/>
      <c r="F213" s="58"/>
      <c r="G213" s="58"/>
    </row>
    <row r="214">
      <c r="D214" s="58"/>
      <c r="E214" s="58"/>
      <c r="F214" s="58"/>
      <c r="G214" s="58"/>
    </row>
    <row r="215">
      <c r="D215" s="58"/>
      <c r="E215" s="58"/>
      <c r="F215" s="58"/>
      <c r="G215" s="58"/>
    </row>
    <row r="216">
      <c r="D216" s="58"/>
      <c r="E216" s="58"/>
      <c r="F216" s="58"/>
      <c r="G216" s="58"/>
    </row>
    <row r="217">
      <c r="D217" s="58"/>
      <c r="E217" s="58"/>
      <c r="F217" s="58"/>
      <c r="G217" s="58"/>
    </row>
    <row r="218">
      <c r="D218" s="58"/>
      <c r="E218" s="58"/>
      <c r="F218" s="58"/>
      <c r="G218" s="58"/>
    </row>
    <row r="219">
      <c r="D219" s="58"/>
      <c r="E219" s="58"/>
      <c r="F219" s="58"/>
      <c r="G219" s="58"/>
    </row>
    <row r="220">
      <c r="D220" s="58"/>
      <c r="E220" s="58"/>
      <c r="F220" s="58"/>
      <c r="G220" s="58"/>
    </row>
    <row r="221">
      <c r="D221" s="58"/>
      <c r="E221" s="58"/>
      <c r="F221" s="58"/>
      <c r="G221" s="58"/>
    </row>
    <row r="222">
      <c r="D222" s="58"/>
      <c r="E222" s="58"/>
      <c r="F222" s="58"/>
      <c r="G222" s="58"/>
    </row>
    <row r="223">
      <c r="D223" s="58"/>
      <c r="E223" s="58"/>
      <c r="F223" s="58"/>
      <c r="G223" s="58"/>
    </row>
    <row r="224">
      <c r="D224" s="58"/>
      <c r="E224" s="58"/>
      <c r="F224" s="58"/>
      <c r="G224" s="58"/>
    </row>
    <row r="225">
      <c r="D225" s="58"/>
      <c r="E225" s="58"/>
      <c r="F225" s="58"/>
      <c r="G225" s="58"/>
    </row>
    <row r="226">
      <c r="D226" s="58"/>
      <c r="E226" s="58"/>
      <c r="F226" s="58"/>
      <c r="G226" s="58"/>
    </row>
    <row r="227">
      <c r="D227" s="58"/>
      <c r="E227" s="58"/>
      <c r="F227" s="58"/>
      <c r="G227" s="58"/>
    </row>
    <row r="228">
      <c r="D228" s="58"/>
      <c r="E228" s="58"/>
      <c r="F228" s="58"/>
      <c r="G228" s="58"/>
    </row>
    <row r="229">
      <c r="D229" s="58"/>
      <c r="E229" s="58"/>
      <c r="F229" s="58"/>
      <c r="G229" s="58"/>
    </row>
    <row r="230">
      <c r="D230" s="58"/>
      <c r="E230" s="58"/>
      <c r="F230" s="58"/>
      <c r="G230" s="58"/>
    </row>
    <row r="231">
      <c r="D231" s="58"/>
      <c r="E231" s="58"/>
      <c r="F231" s="58"/>
      <c r="G231" s="58"/>
    </row>
    <row r="232">
      <c r="D232" s="58"/>
      <c r="E232" s="58"/>
      <c r="F232" s="58"/>
      <c r="G232" s="58"/>
    </row>
    <row r="233">
      <c r="D233" s="58"/>
      <c r="E233" s="58"/>
      <c r="F233" s="58"/>
      <c r="G233" s="58"/>
    </row>
    <row r="234">
      <c r="D234" s="58"/>
      <c r="E234" s="58"/>
      <c r="F234" s="58"/>
      <c r="G234" s="58"/>
    </row>
    <row r="235">
      <c r="D235" s="58"/>
      <c r="E235" s="58"/>
      <c r="F235" s="58"/>
      <c r="G235" s="58"/>
    </row>
    <row r="236">
      <c r="D236" s="58"/>
      <c r="E236" s="58"/>
      <c r="F236" s="58"/>
      <c r="G236" s="58"/>
    </row>
    <row r="237">
      <c r="D237" s="58"/>
      <c r="E237" s="58"/>
      <c r="F237" s="58"/>
      <c r="G237" s="58"/>
    </row>
    <row r="238">
      <c r="D238" s="58"/>
      <c r="E238" s="58"/>
      <c r="F238" s="58"/>
      <c r="G238" s="58"/>
    </row>
    <row r="239">
      <c r="D239" s="58"/>
      <c r="E239" s="58"/>
      <c r="F239" s="58"/>
      <c r="G239" s="58"/>
    </row>
    <row r="240">
      <c r="D240" s="58"/>
      <c r="E240" s="58"/>
      <c r="F240" s="58"/>
      <c r="G240" s="58"/>
    </row>
    <row r="241">
      <c r="D241" s="58"/>
      <c r="E241" s="58"/>
      <c r="F241" s="58"/>
      <c r="G241" s="58"/>
    </row>
    <row r="242">
      <c r="D242" s="58"/>
      <c r="E242" s="58"/>
      <c r="F242" s="58"/>
      <c r="G242" s="58"/>
    </row>
    <row r="243">
      <c r="D243" s="58"/>
      <c r="E243" s="58"/>
      <c r="F243" s="58"/>
      <c r="G243" s="58"/>
    </row>
    <row r="244">
      <c r="D244" s="58"/>
      <c r="E244" s="58"/>
      <c r="F244" s="58"/>
      <c r="G244" s="58"/>
    </row>
    <row r="245">
      <c r="D245" s="58"/>
      <c r="E245" s="58"/>
      <c r="F245" s="58"/>
      <c r="G245" s="58"/>
    </row>
    <row r="246">
      <c r="D246" s="58"/>
      <c r="E246" s="58"/>
      <c r="F246" s="58"/>
      <c r="G246" s="58"/>
    </row>
    <row r="247">
      <c r="D247" s="58"/>
      <c r="E247" s="58"/>
      <c r="F247" s="58"/>
      <c r="G247" s="58"/>
    </row>
    <row r="248">
      <c r="D248" s="58"/>
      <c r="E248" s="58"/>
      <c r="F248" s="58"/>
      <c r="G248" s="58"/>
    </row>
    <row r="249">
      <c r="D249" s="58"/>
      <c r="E249" s="58"/>
      <c r="F249" s="58"/>
      <c r="G249" s="58"/>
    </row>
    <row r="250">
      <c r="D250" s="58"/>
      <c r="E250" s="58"/>
      <c r="F250" s="58"/>
      <c r="G250" s="58"/>
    </row>
    <row r="251">
      <c r="D251" s="58"/>
      <c r="E251" s="58"/>
      <c r="F251" s="58"/>
      <c r="G251" s="58"/>
    </row>
    <row r="252">
      <c r="D252" s="58"/>
      <c r="E252" s="58"/>
      <c r="F252" s="58"/>
      <c r="G252" s="58"/>
    </row>
    <row r="253">
      <c r="D253" s="58"/>
      <c r="E253" s="58"/>
      <c r="F253" s="58"/>
      <c r="G253" s="58"/>
    </row>
    <row r="254">
      <c r="D254" s="58"/>
      <c r="E254" s="58"/>
      <c r="F254" s="58"/>
      <c r="G254" s="58"/>
    </row>
    <row r="255">
      <c r="D255" s="58"/>
      <c r="E255" s="58"/>
      <c r="F255" s="58"/>
      <c r="G255" s="58"/>
    </row>
    <row r="256">
      <c r="D256" s="58"/>
      <c r="E256" s="58"/>
      <c r="F256" s="58"/>
      <c r="G256" s="58"/>
    </row>
    <row r="257">
      <c r="D257" s="58"/>
      <c r="E257" s="58"/>
      <c r="F257" s="58"/>
      <c r="G257" s="58"/>
    </row>
    <row r="258">
      <c r="D258" s="58"/>
      <c r="E258" s="58"/>
      <c r="F258" s="58"/>
      <c r="G258" s="58"/>
    </row>
    <row r="259">
      <c r="D259" s="58"/>
      <c r="E259" s="58"/>
      <c r="F259" s="58"/>
      <c r="G259" s="58"/>
    </row>
    <row r="260">
      <c r="D260" s="58"/>
      <c r="E260" s="58"/>
      <c r="F260" s="58"/>
      <c r="G260" s="58"/>
    </row>
    <row r="261">
      <c r="D261" s="58"/>
      <c r="E261" s="58"/>
      <c r="F261" s="58"/>
      <c r="G261" s="58"/>
    </row>
    <row r="262">
      <c r="D262" s="58"/>
      <c r="E262" s="58"/>
      <c r="F262" s="58"/>
      <c r="G262" s="58"/>
    </row>
    <row r="263">
      <c r="D263" s="58"/>
      <c r="E263" s="58"/>
      <c r="F263" s="58"/>
      <c r="G263" s="58"/>
    </row>
    <row r="264">
      <c r="D264" s="58"/>
      <c r="E264" s="58"/>
      <c r="F264" s="58"/>
      <c r="G264" s="58"/>
    </row>
    <row r="265">
      <c r="D265" s="58"/>
      <c r="E265" s="58"/>
      <c r="F265" s="58"/>
      <c r="G265" s="58"/>
    </row>
    <row r="266">
      <c r="D266" s="58"/>
      <c r="E266" s="58"/>
      <c r="F266" s="58"/>
      <c r="G266" s="58"/>
    </row>
    <row r="267">
      <c r="D267" s="58"/>
      <c r="E267" s="58"/>
      <c r="F267" s="58"/>
      <c r="G267" s="58"/>
    </row>
    <row r="268">
      <c r="D268" s="58"/>
      <c r="E268" s="58"/>
      <c r="F268" s="58"/>
      <c r="G268" s="58"/>
    </row>
    <row r="269">
      <c r="D269" s="58"/>
      <c r="E269" s="58"/>
      <c r="F269" s="58"/>
      <c r="G269" s="58"/>
    </row>
    <row r="270">
      <c r="D270" s="58"/>
      <c r="E270" s="58"/>
      <c r="F270" s="58"/>
      <c r="G270" s="58"/>
    </row>
    <row r="271">
      <c r="D271" s="58"/>
      <c r="E271" s="58"/>
      <c r="F271" s="58"/>
      <c r="G271" s="58"/>
    </row>
    <row r="272">
      <c r="D272" s="58"/>
      <c r="E272" s="58"/>
      <c r="F272" s="58"/>
      <c r="G272" s="58"/>
    </row>
    <row r="273">
      <c r="D273" s="58"/>
      <c r="E273" s="58"/>
      <c r="F273" s="58"/>
      <c r="G273" s="58"/>
    </row>
    <row r="274">
      <c r="D274" s="58"/>
      <c r="E274" s="58"/>
      <c r="F274" s="58"/>
      <c r="G274" s="58"/>
    </row>
    <row r="275">
      <c r="D275" s="58"/>
      <c r="E275" s="58"/>
      <c r="F275" s="58"/>
      <c r="G275" s="58"/>
    </row>
    <row r="276">
      <c r="D276" s="58"/>
      <c r="E276" s="58"/>
      <c r="F276" s="58"/>
      <c r="G276" s="58"/>
    </row>
    <row r="277">
      <c r="D277" s="58"/>
      <c r="E277" s="58"/>
      <c r="F277" s="58"/>
      <c r="G277" s="58"/>
    </row>
    <row r="278">
      <c r="D278" s="58"/>
      <c r="E278" s="58"/>
      <c r="F278" s="58"/>
      <c r="G278" s="58"/>
    </row>
    <row r="279">
      <c r="D279" s="58"/>
      <c r="E279" s="58"/>
      <c r="F279" s="58"/>
      <c r="G279" s="58"/>
    </row>
    <row r="280">
      <c r="D280" s="58"/>
      <c r="E280" s="58"/>
      <c r="F280" s="58"/>
      <c r="G280" s="58"/>
    </row>
    <row r="281">
      <c r="D281" s="58"/>
      <c r="E281" s="58"/>
      <c r="F281" s="58"/>
      <c r="G281" s="58"/>
    </row>
    <row r="282">
      <c r="D282" s="58"/>
      <c r="E282" s="58"/>
      <c r="F282" s="58"/>
      <c r="G282" s="58"/>
    </row>
    <row r="283">
      <c r="D283" s="58"/>
      <c r="E283" s="58"/>
      <c r="F283" s="58"/>
      <c r="G283" s="58"/>
    </row>
    <row r="284">
      <c r="D284" s="58"/>
      <c r="E284" s="58"/>
      <c r="F284" s="58"/>
      <c r="G284" s="58"/>
    </row>
    <row r="285">
      <c r="D285" s="58"/>
      <c r="E285" s="58"/>
      <c r="F285" s="58"/>
      <c r="G285" s="58"/>
    </row>
    <row r="286">
      <c r="D286" s="58"/>
      <c r="E286" s="58"/>
      <c r="F286" s="58"/>
      <c r="G286" s="58"/>
    </row>
    <row r="287">
      <c r="D287" s="58"/>
      <c r="E287" s="58"/>
      <c r="F287" s="58"/>
      <c r="G287" s="58"/>
    </row>
    <row r="288">
      <c r="D288" s="58"/>
      <c r="E288" s="58"/>
      <c r="F288" s="58"/>
      <c r="G288" s="58"/>
    </row>
    <row r="289">
      <c r="D289" s="58"/>
      <c r="E289" s="58"/>
      <c r="F289" s="58"/>
      <c r="G289" s="58"/>
    </row>
    <row r="290">
      <c r="D290" s="58"/>
      <c r="E290" s="58"/>
      <c r="F290" s="58"/>
      <c r="G290" s="58"/>
    </row>
    <row r="291">
      <c r="D291" s="58"/>
      <c r="E291" s="58"/>
      <c r="F291" s="58"/>
      <c r="G291" s="58"/>
    </row>
    <row r="292">
      <c r="D292" s="58"/>
      <c r="E292" s="58"/>
      <c r="F292" s="58"/>
      <c r="G292" s="58"/>
    </row>
    <row r="293">
      <c r="D293" s="58"/>
      <c r="E293" s="58"/>
      <c r="F293" s="58"/>
      <c r="G293" s="58"/>
    </row>
    <row r="294">
      <c r="D294" s="58"/>
      <c r="E294" s="58"/>
      <c r="F294" s="58"/>
      <c r="G294" s="58"/>
    </row>
    <row r="295">
      <c r="D295" s="58"/>
      <c r="E295" s="58"/>
      <c r="F295" s="58"/>
      <c r="G295" s="58"/>
    </row>
    <row r="296">
      <c r="D296" s="58"/>
      <c r="E296" s="58"/>
      <c r="F296" s="58"/>
      <c r="G296" s="58"/>
    </row>
    <row r="297">
      <c r="D297" s="58"/>
      <c r="E297" s="58"/>
      <c r="F297" s="58"/>
      <c r="G297" s="58"/>
    </row>
    <row r="298">
      <c r="D298" s="58"/>
      <c r="E298" s="58"/>
      <c r="F298" s="58"/>
      <c r="G298" s="58"/>
    </row>
    <row r="299">
      <c r="D299" s="58"/>
      <c r="E299" s="58"/>
      <c r="F299" s="58"/>
      <c r="G299" s="58"/>
    </row>
    <row r="300">
      <c r="D300" s="58"/>
      <c r="E300" s="58"/>
      <c r="F300" s="58"/>
      <c r="G300" s="58"/>
    </row>
    <row r="301">
      <c r="D301" s="58"/>
      <c r="E301" s="58"/>
      <c r="F301" s="58"/>
      <c r="G301" s="58"/>
    </row>
    <row r="302">
      <c r="D302" s="58"/>
      <c r="E302" s="58"/>
      <c r="F302" s="58"/>
      <c r="G302" s="58"/>
    </row>
    <row r="303">
      <c r="D303" s="58"/>
      <c r="E303" s="58"/>
      <c r="F303" s="58"/>
      <c r="G303" s="58"/>
    </row>
    <row r="304">
      <c r="D304" s="58"/>
      <c r="E304" s="58"/>
      <c r="F304" s="58"/>
      <c r="G304" s="58"/>
    </row>
    <row r="305">
      <c r="D305" s="58"/>
      <c r="E305" s="58"/>
      <c r="F305" s="58"/>
      <c r="G305" s="58"/>
    </row>
    <row r="306">
      <c r="D306" s="58"/>
      <c r="E306" s="58"/>
      <c r="F306" s="58"/>
      <c r="G306" s="58"/>
    </row>
    <row r="307">
      <c r="D307" s="58"/>
      <c r="E307" s="58"/>
      <c r="F307" s="58"/>
      <c r="G307" s="58"/>
    </row>
    <row r="308">
      <c r="D308" s="58"/>
      <c r="E308" s="58"/>
      <c r="F308" s="58"/>
      <c r="G308" s="58"/>
    </row>
    <row r="309">
      <c r="D309" s="58"/>
      <c r="E309" s="58"/>
      <c r="F309" s="58"/>
      <c r="G309" s="58"/>
    </row>
    <row r="310">
      <c r="D310" s="58"/>
      <c r="E310" s="58"/>
      <c r="F310" s="58"/>
      <c r="G310" s="58"/>
    </row>
    <row r="311">
      <c r="D311" s="58"/>
      <c r="E311" s="58"/>
      <c r="F311" s="58"/>
      <c r="G311" s="58"/>
    </row>
    <row r="312">
      <c r="D312" s="58"/>
      <c r="E312" s="58"/>
      <c r="F312" s="58"/>
      <c r="G312" s="58"/>
    </row>
    <row r="313">
      <c r="D313" s="58"/>
      <c r="E313" s="58"/>
      <c r="F313" s="58"/>
      <c r="G313" s="58"/>
    </row>
    <row r="314">
      <c r="D314" s="58"/>
      <c r="E314" s="58"/>
      <c r="F314" s="58"/>
      <c r="G314" s="58"/>
    </row>
    <row r="315">
      <c r="D315" s="58"/>
      <c r="E315" s="58"/>
      <c r="F315" s="58"/>
      <c r="G315" s="58"/>
    </row>
    <row r="316">
      <c r="D316" s="58"/>
      <c r="E316" s="58"/>
      <c r="F316" s="58"/>
      <c r="G316" s="58"/>
    </row>
    <row r="317">
      <c r="D317" s="58"/>
      <c r="E317" s="58"/>
      <c r="F317" s="58"/>
      <c r="G317" s="58"/>
    </row>
    <row r="318">
      <c r="D318" s="58"/>
      <c r="E318" s="58"/>
      <c r="F318" s="58"/>
      <c r="G318" s="58"/>
    </row>
    <row r="319">
      <c r="D319" s="58"/>
      <c r="E319" s="58"/>
      <c r="F319" s="58"/>
      <c r="G319" s="58"/>
    </row>
    <row r="320">
      <c r="D320" s="58"/>
      <c r="E320" s="58"/>
      <c r="F320" s="58"/>
      <c r="G320" s="58"/>
    </row>
    <row r="321">
      <c r="D321" s="58"/>
      <c r="E321" s="58"/>
      <c r="F321" s="58"/>
      <c r="G321" s="58"/>
    </row>
    <row r="322">
      <c r="D322" s="58"/>
      <c r="E322" s="58"/>
      <c r="F322" s="58"/>
      <c r="G322" s="58"/>
    </row>
    <row r="323">
      <c r="D323" s="58"/>
      <c r="E323" s="58"/>
      <c r="F323" s="58"/>
      <c r="G323" s="58"/>
    </row>
    <row r="324">
      <c r="D324" s="58"/>
      <c r="E324" s="58"/>
      <c r="F324" s="58"/>
      <c r="G324" s="58"/>
    </row>
    <row r="325">
      <c r="D325" s="58"/>
      <c r="E325" s="58"/>
      <c r="F325" s="58"/>
      <c r="G325" s="58"/>
    </row>
    <row r="326">
      <c r="D326" s="58"/>
      <c r="E326" s="58"/>
      <c r="F326" s="58"/>
      <c r="G326" s="58"/>
    </row>
    <row r="327">
      <c r="D327" s="58"/>
      <c r="E327" s="58"/>
      <c r="F327" s="58"/>
      <c r="G327" s="58"/>
    </row>
    <row r="328">
      <c r="D328" s="58"/>
      <c r="E328" s="58"/>
      <c r="F328" s="58"/>
      <c r="G328" s="58"/>
    </row>
    <row r="329">
      <c r="D329" s="58"/>
      <c r="E329" s="58"/>
      <c r="F329" s="58"/>
      <c r="G329" s="58"/>
    </row>
    <row r="330">
      <c r="D330" s="58"/>
      <c r="E330" s="58"/>
      <c r="F330" s="58"/>
      <c r="G330" s="58"/>
    </row>
    <row r="331">
      <c r="D331" s="58"/>
      <c r="E331" s="58"/>
      <c r="F331" s="58"/>
      <c r="G331" s="58"/>
    </row>
    <row r="332">
      <c r="D332" s="58"/>
      <c r="E332" s="58"/>
      <c r="F332" s="58"/>
      <c r="G332" s="58"/>
    </row>
    <row r="333">
      <c r="D333" s="58"/>
      <c r="E333" s="58"/>
      <c r="F333" s="58"/>
      <c r="G333" s="58"/>
    </row>
    <row r="334">
      <c r="D334" s="58"/>
      <c r="E334" s="58"/>
      <c r="F334" s="58"/>
      <c r="G334" s="58"/>
    </row>
    <row r="335">
      <c r="D335" s="58"/>
      <c r="E335" s="58"/>
      <c r="F335" s="58"/>
      <c r="G335" s="58"/>
    </row>
    <row r="336">
      <c r="D336" s="58"/>
      <c r="E336" s="58"/>
      <c r="F336" s="58"/>
      <c r="G336" s="58"/>
    </row>
    <row r="337">
      <c r="D337" s="58"/>
      <c r="E337" s="58"/>
      <c r="F337" s="58"/>
      <c r="G337" s="58"/>
    </row>
    <row r="338">
      <c r="D338" s="58"/>
      <c r="E338" s="58"/>
      <c r="F338" s="58"/>
      <c r="G338" s="58"/>
    </row>
    <row r="339">
      <c r="D339" s="58"/>
      <c r="E339" s="58"/>
      <c r="F339" s="58"/>
      <c r="G339" s="58"/>
    </row>
    <row r="340">
      <c r="D340" s="58"/>
      <c r="E340" s="58"/>
      <c r="F340" s="58"/>
      <c r="G340" s="58"/>
    </row>
    <row r="341">
      <c r="D341" s="58"/>
      <c r="E341" s="58"/>
      <c r="F341" s="58"/>
      <c r="G341" s="58"/>
    </row>
    <row r="342">
      <c r="D342" s="58"/>
      <c r="E342" s="58"/>
      <c r="F342" s="58"/>
      <c r="G342" s="58"/>
    </row>
    <row r="343">
      <c r="D343" s="58"/>
      <c r="E343" s="58"/>
      <c r="F343" s="58"/>
      <c r="G343" s="58"/>
    </row>
    <row r="344">
      <c r="D344" s="58"/>
      <c r="E344" s="58"/>
      <c r="F344" s="58"/>
      <c r="G344" s="58"/>
    </row>
    <row r="345">
      <c r="D345" s="58"/>
      <c r="E345" s="58"/>
      <c r="F345" s="58"/>
      <c r="G345" s="58"/>
    </row>
    <row r="346">
      <c r="D346" s="58"/>
      <c r="E346" s="58"/>
      <c r="F346" s="58"/>
      <c r="G346" s="58"/>
    </row>
    <row r="347">
      <c r="D347" s="58"/>
      <c r="E347" s="58"/>
      <c r="F347" s="58"/>
      <c r="G347" s="58"/>
    </row>
    <row r="348">
      <c r="D348" s="58"/>
      <c r="E348" s="58"/>
      <c r="F348" s="58"/>
      <c r="G348" s="58"/>
    </row>
    <row r="349">
      <c r="D349" s="58"/>
      <c r="E349" s="58"/>
      <c r="F349" s="58"/>
      <c r="G349" s="58"/>
    </row>
    <row r="350">
      <c r="D350" s="58"/>
      <c r="E350" s="58"/>
      <c r="F350" s="58"/>
      <c r="G350" s="58"/>
    </row>
    <row r="351">
      <c r="D351" s="58"/>
      <c r="E351" s="58"/>
      <c r="F351" s="58"/>
      <c r="G351" s="58"/>
    </row>
    <row r="352">
      <c r="D352" s="58"/>
      <c r="E352" s="58"/>
      <c r="F352" s="58"/>
      <c r="G352" s="58"/>
    </row>
    <row r="353">
      <c r="D353" s="58"/>
      <c r="E353" s="58"/>
      <c r="F353" s="58"/>
      <c r="G353" s="58"/>
    </row>
    <row r="354">
      <c r="D354" s="58"/>
      <c r="E354" s="58"/>
      <c r="F354" s="58"/>
      <c r="G354" s="58"/>
    </row>
    <row r="355">
      <c r="D355" s="58"/>
      <c r="E355" s="58"/>
      <c r="F355" s="58"/>
      <c r="G355" s="58"/>
    </row>
    <row r="356">
      <c r="D356" s="58"/>
      <c r="E356" s="58"/>
      <c r="F356" s="58"/>
      <c r="G356" s="58"/>
    </row>
    <row r="357">
      <c r="D357" s="58"/>
      <c r="E357" s="58"/>
      <c r="F357" s="58"/>
      <c r="G357" s="58"/>
    </row>
    <row r="358">
      <c r="D358" s="58"/>
      <c r="E358" s="58"/>
      <c r="F358" s="58"/>
      <c r="G358" s="58"/>
    </row>
    <row r="359">
      <c r="D359" s="58"/>
      <c r="E359" s="58"/>
      <c r="F359" s="58"/>
      <c r="G359" s="58"/>
    </row>
    <row r="360">
      <c r="D360" s="58"/>
      <c r="E360" s="58"/>
      <c r="F360" s="58"/>
      <c r="G360" s="58"/>
    </row>
    <row r="361">
      <c r="D361" s="58"/>
      <c r="E361" s="58"/>
      <c r="F361" s="58"/>
      <c r="G361" s="58"/>
    </row>
    <row r="362">
      <c r="D362" s="58"/>
      <c r="E362" s="58"/>
      <c r="F362" s="58"/>
      <c r="G362" s="58"/>
    </row>
    <row r="363">
      <c r="D363" s="58"/>
      <c r="E363" s="58"/>
      <c r="F363" s="58"/>
      <c r="G363" s="58"/>
    </row>
    <row r="364">
      <c r="D364" s="58"/>
      <c r="E364" s="58"/>
      <c r="F364" s="58"/>
      <c r="G364" s="58"/>
    </row>
    <row r="365">
      <c r="D365" s="58"/>
      <c r="E365" s="58"/>
      <c r="F365" s="58"/>
      <c r="G365" s="58"/>
    </row>
    <row r="366">
      <c r="D366" s="58"/>
      <c r="E366" s="58"/>
      <c r="F366" s="58"/>
      <c r="G366" s="58"/>
    </row>
    <row r="367">
      <c r="D367" s="58"/>
      <c r="E367" s="58"/>
      <c r="F367" s="58"/>
      <c r="G367" s="58"/>
    </row>
    <row r="368">
      <c r="D368" s="58"/>
      <c r="E368" s="58"/>
      <c r="F368" s="58"/>
      <c r="G368" s="58"/>
    </row>
    <row r="369">
      <c r="D369" s="58"/>
      <c r="E369" s="58"/>
      <c r="F369" s="58"/>
      <c r="G369" s="58"/>
    </row>
    <row r="370">
      <c r="D370" s="58"/>
      <c r="E370" s="58"/>
      <c r="F370" s="58"/>
      <c r="G370" s="58"/>
    </row>
    <row r="371">
      <c r="D371" s="58"/>
      <c r="E371" s="58"/>
      <c r="F371" s="58"/>
      <c r="G371" s="58"/>
    </row>
    <row r="372">
      <c r="D372" s="58"/>
      <c r="E372" s="58"/>
      <c r="F372" s="58"/>
      <c r="G372" s="58"/>
    </row>
    <row r="373">
      <c r="D373" s="58"/>
      <c r="E373" s="58"/>
      <c r="F373" s="58"/>
      <c r="G373" s="58"/>
    </row>
    <row r="374">
      <c r="D374" s="58"/>
      <c r="E374" s="58"/>
      <c r="F374" s="58"/>
      <c r="G374" s="58"/>
    </row>
    <row r="375">
      <c r="D375" s="58"/>
      <c r="E375" s="58"/>
      <c r="F375" s="58"/>
      <c r="G375" s="58"/>
    </row>
    <row r="376">
      <c r="D376" s="58"/>
      <c r="E376" s="58"/>
      <c r="F376" s="58"/>
      <c r="G376" s="58"/>
    </row>
    <row r="377">
      <c r="D377" s="58"/>
      <c r="E377" s="58"/>
      <c r="F377" s="58"/>
      <c r="G377" s="58"/>
    </row>
    <row r="378">
      <c r="D378" s="58"/>
      <c r="E378" s="58"/>
      <c r="F378" s="58"/>
      <c r="G378" s="58"/>
    </row>
    <row r="379">
      <c r="D379" s="58"/>
      <c r="E379" s="58"/>
      <c r="F379" s="58"/>
      <c r="G379" s="58"/>
    </row>
    <row r="380">
      <c r="D380" s="58"/>
      <c r="E380" s="58"/>
      <c r="F380" s="58"/>
      <c r="G380" s="58"/>
    </row>
    <row r="381">
      <c r="D381" s="58"/>
      <c r="E381" s="58"/>
      <c r="F381" s="58"/>
      <c r="G381" s="58"/>
    </row>
    <row r="382">
      <c r="D382" s="58"/>
      <c r="E382" s="58"/>
      <c r="F382" s="58"/>
      <c r="G382" s="58"/>
    </row>
    <row r="383">
      <c r="D383" s="58"/>
      <c r="E383" s="58"/>
      <c r="F383" s="58"/>
      <c r="G383" s="58"/>
    </row>
    <row r="384">
      <c r="D384" s="58"/>
      <c r="E384" s="58"/>
      <c r="F384" s="58"/>
      <c r="G384" s="58"/>
    </row>
    <row r="385">
      <c r="D385" s="58"/>
      <c r="E385" s="58"/>
      <c r="F385" s="58"/>
      <c r="G385" s="58"/>
    </row>
    <row r="386">
      <c r="D386" s="58"/>
      <c r="E386" s="58"/>
      <c r="F386" s="58"/>
      <c r="G386" s="58"/>
    </row>
    <row r="387">
      <c r="D387" s="58"/>
      <c r="E387" s="58"/>
      <c r="F387" s="58"/>
      <c r="G387" s="58"/>
    </row>
    <row r="388">
      <c r="D388" s="58"/>
      <c r="E388" s="58"/>
      <c r="F388" s="58"/>
      <c r="G388" s="58"/>
    </row>
    <row r="389">
      <c r="D389" s="58"/>
      <c r="E389" s="58"/>
      <c r="F389" s="58"/>
      <c r="G389" s="58"/>
    </row>
    <row r="390">
      <c r="D390" s="58"/>
      <c r="E390" s="58"/>
      <c r="F390" s="58"/>
      <c r="G390" s="58"/>
    </row>
    <row r="391">
      <c r="D391" s="58"/>
      <c r="E391" s="58"/>
      <c r="F391" s="58"/>
      <c r="G391" s="58"/>
    </row>
    <row r="392">
      <c r="D392" s="58"/>
      <c r="E392" s="58"/>
      <c r="F392" s="58"/>
      <c r="G392" s="58"/>
    </row>
    <row r="393">
      <c r="D393" s="58"/>
      <c r="E393" s="58"/>
      <c r="F393" s="58"/>
      <c r="G393" s="58"/>
    </row>
    <row r="394">
      <c r="D394" s="58"/>
      <c r="E394" s="58"/>
      <c r="F394" s="58"/>
      <c r="G394" s="58"/>
    </row>
    <row r="395">
      <c r="D395" s="58"/>
      <c r="E395" s="58"/>
      <c r="F395" s="58"/>
      <c r="G395" s="58"/>
    </row>
    <row r="396">
      <c r="D396" s="58"/>
      <c r="E396" s="58"/>
      <c r="F396" s="58"/>
      <c r="G396" s="58"/>
    </row>
    <row r="397">
      <c r="D397" s="58"/>
      <c r="E397" s="58"/>
      <c r="F397" s="58"/>
      <c r="G397" s="58"/>
    </row>
    <row r="398">
      <c r="D398" s="58"/>
      <c r="E398" s="58"/>
      <c r="F398" s="58"/>
      <c r="G398" s="58"/>
    </row>
    <row r="399">
      <c r="D399" s="58"/>
      <c r="E399" s="58"/>
      <c r="F399" s="58"/>
      <c r="G399" s="58"/>
    </row>
    <row r="400">
      <c r="D400" s="58"/>
      <c r="E400" s="58"/>
      <c r="F400" s="58"/>
      <c r="G400" s="58"/>
    </row>
    <row r="401">
      <c r="D401" s="58"/>
      <c r="E401" s="58"/>
      <c r="F401" s="58"/>
      <c r="G401" s="58"/>
    </row>
    <row r="402">
      <c r="D402" s="58"/>
      <c r="E402" s="58"/>
      <c r="F402" s="58"/>
      <c r="G402" s="58"/>
    </row>
    <row r="403">
      <c r="D403" s="58"/>
      <c r="E403" s="58"/>
      <c r="F403" s="58"/>
      <c r="G403" s="58"/>
    </row>
    <row r="404">
      <c r="D404" s="58"/>
      <c r="E404" s="58"/>
      <c r="F404" s="58"/>
      <c r="G404" s="58"/>
    </row>
    <row r="405">
      <c r="D405" s="58"/>
      <c r="E405" s="58"/>
      <c r="F405" s="58"/>
      <c r="G405" s="58"/>
    </row>
    <row r="406">
      <c r="D406" s="58"/>
      <c r="E406" s="58"/>
      <c r="F406" s="58"/>
      <c r="G406" s="58"/>
    </row>
    <row r="407">
      <c r="D407" s="58"/>
      <c r="E407" s="58"/>
      <c r="F407" s="58"/>
      <c r="G407" s="58"/>
    </row>
    <row r="408">
      <c r="D408" s="58"/>
      <c r="E408" s="58"/>
      <c r="F408" s="58"/>
      <c r="G408" s="58"/>
    </row>
    <row r="409">
      <c r="D409" s="58"/>
      <c r="E409" s="58"/>
      <c r="F409" s="58"/>
      <c r="G409" s="58"/>
    </row>
    <row r="410">
      <c r="D410" s="58"/>
      <c r="E410" s="58"/>
      <c r="F410" s="58"/>
      <c r="G410" s="58"/>
    </row>
    <row r="411">
      <c r="D411" s="58"/>
      <c r="E411" s="58"/>
      <c r="F411" s="58"/>
      <c r="G411" s="58"/>
    </row>
    <row r="412">
      <c r="D412" s="58"/>
      <c r="E412" s="58"/>
      <c r="F412" s="58"/>
      <c r="G412" s="58"/>
    </row>
    <row r="413">
      <c r="D413" s="58"/>
      <c r="E413" s="58"/>
      <c r="F413" s="58"/>
      <c r="G413" s="58"/>
    </row>
    <row r="414">
      <c r="D414" s="58"/>
      <c r="E414" s="58"/>
      <c r="F414" s="58"/>
      <c r="G414" s="58"/>
    </row>
    <row r="415">
      <c r="D415" s="58"/>
      <c r="E415" s="58"/>
      <c r="F415" s="58"/>
      <c r="G415" s="58"/>
    </row>
    <row r="416">
      <c r="D416" s="58"/>
      <c r="E416" s="58"/>
      <c r="F416" s="58"/>
      <c r="G416" s="58"/>
    </row>
    <row r="417">
      <c r="D417" s="58"/>
      <c r="E417" s="58"/>
      <c r="F417" s="58"/>
      <c r="G417" s="58"/>
    </row>
    <row r="418">
      <c r="D418" s="58"/>
      <c r="E418" s="58"/>
      <c r="F418" s="58"/>
      <c r="G418" s="58"/>
    </row>
    <row r="419">
      <c r="D419" s="58"/>
      <c r="E419" s="58"/>
      <c r="F419" s="58"/>
      <c r="G419" s="58"/>
    </row>
    <row r="420">
      <c r="D420" s="58"/>
      <c r="E420" s="58"/>
      <c r="F420" s="58"/>
      <c r="G420" s="58"/>
    </row>
    <row r="421">
      <c r="D421" s="58"/>
      <c r="E421" s="58"/>
      <c r="F421" s="58"/>
      <c r="G421" s="58"/>
    </row>
    <row r="422">
      <c r="D422" s="58"/>
      <c r="E422" s="58"/>
      <c r="F422" s="58"/>
      <c r="G422" s="58"/>
    </row>
    <row r="423">
      <c r="D423" s="58"/>
      <c r="E423" s="58"/>
      <c r="F423" s="58"/>
      <c r="G423" s="58"/>
    </row>
    <row r="424">
      <c r="D424" s="58"/>
      <c r="E424" s="58"/>
      <c r="F424" s="58"/>
      <c r="G424" s="58"/>
    </row>
    <row r="425">
      <c r="D425" s="58"/>
      <c r="E425" s="58"/>
      <c r="F425" s="58"/>
      <c r="G425" s="58"/>
    </row>
    <row r="426">
      <c r="D426" s="58"/>
      <c r="E426" s="58"/>
      <c r="F426" s="58"/>
      <c r="G426" s="58"/>
    </row>
    <row r="427">
      <c r="D427" s="58"/>
      <c r="E427" s="58"/>
      <c r="F427" s="58"/>
      <c r="G427" s="58"/>
    </row>
    <row r="428">
      <c r="D428" s="58"/>
      <c r="E428" s="58"/>
      <c r="F428" s="58"/>
      <c r="G428" s="58"/>
    </row>
    <row r="429">
      <c r="D429" s="58"/>
      <c r="E429" s="58"/>
      <c r="F429" s="58"/>
      <c r="G429" s="58"/>
    </row>
    <row r="430">
      <c r="D430" s="58"/>
      <c r="E430" s="58"/>
      <c r="F430" s="58"/>
      <c r="G430" s="58"/>
    </row>
    <row r="431">
      <c r="D431" s="58"/>
      <c r="E431" s="58"/>
      <c r="F431" s="58"/>
      <c r="G431" s="58"/>
    </row>
    <row r="432">
      <c r="D432" s="58"/>
      <c r="E432" s="58"/>
      <c r="F432" s="58"/>
      <c r="G432" s="58"/>
    </row>
    <row r="433">
      <c r="D433" s="58"/>
      <c r="E433" s="58"/>
      <c r="F433" s="58"/>
      <c r="G433" s="58"/>
    </row>
    <row r="434">
      <c r="D434" s="58"/>
      <c r="E434" s="58"/>
      <c r="F434" s="58"/>
      <c r="G434" s="58"/>
    </row>
    <row r="435">
      <c r="D435" s="58"/>
      <c r="E435" s="58"/>
      <c r="F435" s="58"/>
      <c r="G435" s="58"/>
    </row>
    <row r="436">
      <c r="D436" s="58"/>
      <c r="E436" s="58"/>
      <c r="F436" s="58"/>
      <c r="G436" s="58"/>
    </row>
    <row r="437">
      <c r="D437" s="58"/>
      <c r="E437" s="58"/>
      <c r="F437" s="58"/>
      <c r="G437" s="58"/>
    </row>
    <row r="438">
      <c r="D438" s="58"/>
      <c r="E438" s="58"/>
      <c r="F438" s="58"/>
      <c r="G438" s="58"/>
    </row>
    <row r="439">
      <c r="D439" s="58"/>
      <c r="E439" s="58"/>
      <c r="F439" s="58"/>
      <c r="G439" s="58"/>
    </row>
    <row r="440">
      <c r="D440" s="58"/>
      <c r="E440" s="58"/>
      <c r="F440" s="58"/>
      <c r="G440" s="58"/>
    </row>
    <row r="441">
      <c r="D441" s="58"/>
      <c r="E441" s="58"/>
      <c r="F441" s="58"/>
      <c r="G441" s="58"/>
    </row>
    <row r="442">
      <c r="D442" s="58"/>
      <c r="E442" s="58"/>
      <c r="F442" s="58"/>
      <c r="G442" s="58"/>
    </row>
    <row r="443">
      <c r="D443" s="58"/>
      <c r="E443" s="58"/>
      <c r="F443" s="58"/>
      <c r="G443" s="58"/>
    </row>
    <row r="444">
      <c r="D444" s="58"/>
      <c r="E444" s="58"/>
      <c r="F444" s="58"/>
      <c r="G444" s="58"/>
    </row>
    <row r="445">
      <c r="D445" s="58"/>
      <c r="E445" s="58"/>
      <c r="F445" s="58"/>
      <c r="G445" s="58"/>
    </row>
    <row r="446">
      <c r="D446" s="58"/>
      <c r="E446" s="58"/>
      <c r="F446" s="58"/>
      <c r="G446" s="58"/>
    </row>
    <row r="447">
      <c r="D447" s="58"/>
      <c r="E447" s="58"/>
      <c r="F447" s="58"/>
      <c r="G447" s="58"/>
    </row>
    <row r="448">
      <c r="D448" s="58"/>
      <c r="E448" s="58"/>
      <c r="F448" s="58"/>
      <c r="G448" s="58"/>
    </row>
    <row r="449">
      <c r="D449" s="58"/>
      <c r="E449" s="58"/>
      <c r="F449" s="58"/>
      <c r="G449" s="58"/>
    </row>
    <row r="450">
      <c r="D450" s="58"/>
      <c r="E450" s="58"/>
      <c r="F450" s="58"/>
      <c r="G450" s="58"/>
    </row>
    <row r="451">
      <c r="D451" s="58"/>
      <c r="E451" s="58"/>
      <c r="F451" s="58"/>
      <c r="G451" s="58"/>
    </row>
    <row r="452">
      <c r="D452" s="58"/>
      <c r="E452" s="58"/>
      <c r="F452" s="58"/>
      <c r="G452" s="58"/>
    </row>
    <row r="453">
      <c r="D453" s="58"/>
      <c r="E453" s="58"/>
      <c r="F453" s="58"/>
      <c r="G453" s="58"/>
    </row>
    <row r="454">
      <c r="D454" s="58"/>
      <c r="E454" s="58"/>
      <c r="F454" s="58"/>
      <c r="G454" s="58"/>
    </row>
    <row r="455">
      <c r="D455" s="58"/>
      <c r="E455" s="58"/>
      <c r="F455" s="58"/>
      <c r="G455" s="58"/>
    </row>
    <row r="456">
      <c r="D456" s="58"/>
      <c r="E456" s="58"/>
      <c r="F456" s="58"/>
      <c r="G456" s="58"/>
    </row>
    <row r="457">
      <c r="D457" s="58"/>
      <c r="E457" s="58"/>
      <c r="F457" s="58"/>
      <c r="G457" s="58"/>
    </row>
    <row r="458">
      <c r="D458" s="58"/>
      <c r="E458" s="58"/>
      <c r="F458" s="58"/>
      <c r="G458" s="58"/>
    </row>
    <row r="459">
      <c r="D459" s="58"/>
      <c r="E459" s="58"/>
      <c r="F459" s="58"/>
      <c r="G459" s="58"/>
    </row>
    <row r="460">
      <c r="D460" s="58"/>
      <c r="E460" s="58"/>
      <c r="F460" s="58"/>
      <c r="G460" s="58"/>
    </row>
    <row r="461">
      <c r="D461" s="58"/>
      <c r="E461" s="58"/>
      <c r="F461" s="58"/>
      <c r="G461" s="58"/>
    </row>
    <row r="462">
      <c r="D462" s="58"/>
      <c r="E462" s="58"/>
      <c r="F462" s="58"/>
      <c r="G462" s="58"/>
    </row>
    <row r="463">
      <c r="D463" s="58"/>
      <c r="E463" s="58"/>
      <c r="F463" s="58"/>
      <c r="G463" s="58"/>
    </row>
    <row r="464">
      <c r="D464" s="58"/>
      <c r="E464" s="58"/>
      <c r="F464" s="58"/>
      <c r="G464" s="58"/>
    </row>
    <row r="465">
      <c r="D465" s="58"/>
      <c r="E465" s="58"/>
      <c r="F465" s="58"/>
      <c r="G465" s="58"/>
    </row>
    <row r="466">
      <c r="D466" s="58"/>
      <c r="E466" s="58"/>
      <c r="F466" s="58"/>
      <c r="G466" s="58"/>
    </row>
    <row r="467">
      <c r="D467" s="58"/>
      <c r="E467" s="58"/>
      <c r="F467" s="58"/>
      <c r="G467" s="58"/>
    </row>
    <row r="468">
      <c r="D468" s="58"/>
      <c r="E468" s="58"/>
      <c r="F468" s="58"/>
      <c r="G468" s="58"/>
    </row>
    <row r="469">
      <c r="D469" s="58"/>
      <c r="E469" s="58"/>
      <c r="F469" s="58"/>
      <c r="G469" s="58"/>
    </row>
    <row r="470">
      <c r="D470" s="58"/>
      <c r="E470" s="58"/>
      <c r="F470" s="58"/>
      <c r="G470" s="58"/>
    </row>
    <row r="471">
      <c r="D471" s="58"/>
      <c r="E471" s="58"/>
      <c r="F471" s="58"/>
      <c r="G471" s="58"/>
    </row>
    <row r="472">
      <c r="D472" s="58"/>
      <c r="E472" s="58"/>
      <c r="F472" s="58"/>
      <c r="G472" s="58"/>
    </row>
    <row r="473">
      <c r="D473" s="58"/>
      <c r="E473" s="58"/>
      <c r="F473" s="58"/>
      <c r="G473" s="58"/>
    </row>
    <row r="474">
      <c r="D474" s="58"/>
      <c r="E474" s="58"/>
      <c r="F474" s="58"/>
      <c r="G474" s="58"/>
    </row>
    <row r="475">
      <c r="D475" s="58"/>
      <c r="E475" s="58"/>
      <c r="F475" s="58"/>
      <c r="G475" s="58"/>
    </row>
    <row r="476">
      <c r="D476" s="58"/>
      <c r="E476" s="58"/>
      <c r="F476" s="58"/>
      <c r="G476" s="58"/>
    </row>
    <row r="477">
      <c r="D477" s="58"/>
      <c r="E477" s="58"/>
      <c r="F477" s="58"/>
      <c r="G477" s="58"/>
    </row>
    <row r="478">
      <c r="D478" s="58"/>
      <c r="E478" s="58"/>
      <c r="F478" s="58"/>
      <c r="G478" s="58"/>
    </row>
    <row r="479">
      <c r="D479" s="58"/>
      <c r="E479" s="58"/>
      <c r="F479" s="58"/>
      <c r="G479" s="58"/>
    </row>
    <row r="480">
      <c r="D480" s="58"/>
      <c r="E480" s="58"/>
      <c r="F480" s="58"/>
      <c r="G480" s="58"/>
    </row>
    <row r="481">
      <c r="D481" s="58"/>
      <c r="E481" s="58"/>
      <c r="F481" s="58"/>
      <c r="G481" s="58"/>
    </row>
    <row r="482">
      <c r="D482" s="58"/>
      <c r="E482" s="58"/>
      <c r="F482" s="58"/>
      <c r="G482" s="58"/>
    </row>
    <row r="483">
      <c r="D483" s="58"/>
      <c r="E483" s="58"/>
      <c r="F483" s="58"/>
      <c r="G483" s="58"/>
    </row>
    <row r="484">
      <c r="D484" s="58"/>
      <c r="E484" s="58"/>
      <c r="F484" s="58"/>
      <c r="G484" s="58"/>
    </row>
    <row r="485">
      <c r="D485" s="58"/>
      <c r="E485" s="58"/>
      <c r="F485" s="58"/>
      <c r="G485" s="58"/>
    </row>
    <row r="486">
      <c r="D486" s="58"/>
      <c r="E486" s="58"/>
      <c r="F486" s="58"/>
      <c r="G486" s="58"/>
    </row>
    <row r="487">
      <c r="D487" s="58"/>
      <c r="E487" s="58"/>
      <c r="F487" s="58"/>
      <c r="G487" s="58"/>
    </row>
    <row r="488">
      <c r="D488" s="58"/>
      <c r="E488" s="58"/>
      <c r="F488" s="58"/>
      <c r="G488" s="58"/>
    </row>
    <row r="489">
      <c r="D489" s="58"/>
      <c r="E489" s="58"/>
      <c r="F489" s="58"/>
      <c r="G489" s="58"/>
    </row>
    <row r="490">
      <c r="D490" s="58"/>
      <c r="E490" s="58"/>
      <c r="F490" s="58"/>
      <c r="G490" s="58"/>
    </row>
    <row r="491">
      <c r="D491" s="58"/>
      <c r="E491" s="58"/>
      <c r="F491" s="58"/>
      <c r="G491" s="58"/>
    </row>
    <row r="492">
      <c r="D492" s="58"/>
      <c r="E492" s="58"/>
      <c r="F492" s="58"/>
      <c r="G492" s="58"/>
    </row>
    <row r="493">
      <c r="D493" s="58"/>
      <c r="E493" s="58"/>
      <c r="F493" s="58"/>
      <c r="G493" s="58"/>
    </row>
    <row r="494">
      <c r="D494" s="58"/>
      <c r="E494" s="58"/>
      <c r="F494" s="58"/>
      <c r="G494" s="58"/>
    </row>
    <row r="495">
      <c r="D495" s="58"/>
      <c r="E495" s="58"/>
      <c r="F495" s="58"/>
      <c r="G495" s="58"/>
    </row>
    <row r="496">
      <c r="D496" s="58"/>
      <c r="E496" s="58"/>
      <c r="F496" s="58"/>
      <c r="G496" s="58"/>
    </row>
    <row r="497">
      <c r="D497" s="58"/>
      <c r="E497" s="58"/>
      <c r="F497" s="58"/>
      <c r="G497" s="58"/>
    </row>
    <row r="498">
      <c r="D498" s="58"/>
      <c r="E498" s="58"/>
      <c r="F498" s="58"/>
      <c r="G498" s="58"/>
    </row>
    <row r="499">
      <c r="D499" s="58"/>
      <c r="E499" s="58"/>
      <c r="F499" s="58"/>
      <c r="G499" s="58"/>
    </row>
    <row r="500">
      <c r="D500" s="58"/>
      <c r="E500" s="58"/>
      <c r="F500" s="58"/>
      <c r="G500" s="58"/>
    </row>
    <row r="501">
      <c r="D501" s="58"/>
      <c r="E501" s="58"/>
      <c r="F501" s="58"/>
      <c r="G501" s="58"/>
    </row>
    <row r="502">
      <c r="D502" s="58"/>
      <c r="E502" s="58"/>
      <c r="F502" s="58"/>
      <c r="G502" s="58"/>
    </row>
    <row r="503">
      <c r="D503" s="58"/>
      <c r="E503" s="58"/>
      <c r="F503" s="58"/>
      <c r="G503" s="58"/>
    </row>
    <row r="504">
      <c r="D504" s="58"/>
      <c r="E504" s="58"/>
      <c r="F504" s="58"/>
      <c r="G504" s="58"/>
    </row>
    <row r="505">
      <c r="D505" s="58"/>
      <c r="E505" s="58"/>
      <c r="F505" s="58"/>
      <c r="G505" s="58"/>
    </row>
    <row r="506">
      <c r="D506" s="58"/>
      <c r="E506" s="58"/>
      <c r="F506" s="58"/>
      <c r="G506" s="58"/>
    </row>
    <row r="507">
      <c r="D507" s="58"/>
      <c r="E507" s="58"/>
      <c r="F507" s="58"/>
      <c r="G507" s="58"/>
    </row>
    <row r="508">
      <c r="D508" s="58"/>
      <c r="E508" s="58"/>
      <c r="F508" s="58"/>
      <c r="G508" s="58"/>
    </row>
    <row r="509">
      <c r="D509" s="58"/>
      <c r="E509" s="58"/>
      <c r="F509" s="58"/>
      <c r="G509" s="58"/>
    </row>
    <row r="510">
      <c r="D510" s="58"/>
      <c r="E510" s="58"/>
      <c r="F510" s="58"/>
      <c r="G510" s="58"/>
    </row>
    <row r="511">
      <c r="D511" s="58"/>
      <c r="E511" s="58"/>
      <c r="F511" s="58"/>
      <c r="G511" s="58"/>
    </row>
    <row r="512">
      <c r="D512" s="58"/>
      <c r="E512" s="58"/>
      <c r="F512" s="58"/>
      <c r="G512" s="58"/>
    </row>
    <row r="513">
      <c r="D513" s="58"/>
      <c r="E513" s="58"/>
      <c r="F513" s="58"/>
      <c r="G513" s="58"/>
    </row>
    <row r="514">
      <c r="D514" s="58"/>
      <c r="E514" s="58"/>
      <c r="F514" s="58"/>
      <c r="G514" s="58"/>
    </row>
    <row r="515">
      <c r="D515" s="58"/>
      <c r="E515" s="58"/>
      <c r="F515" s="58"/>
      <c r="G515" s="58"/>
    </row>
    <row r="516">
      <c r="D516" s="58"/>
      <c r="E516" s="58"/>
      <c r="F516" s="58"/>
      <c r="G516" s="58"/>
    </row>
    <row r="517">
      <c r="D517" s="58"/>
      <c r="E517" s="58"/>
      <c r="F517" s="58"/>
      <c r="G517" s="58"/>
    </row>
    <row r="518">
      <c r="D518" s="58"/>
      <c r="E518" s="58"/>
      <c r="F518" s="58"/>
      <c r="G518" s="58"/>
    </row>
    <row r="519">
      <c r="D519" s="58"/>
      <c r="E519" s="58"/>
      <c r="F519" s="58"/>
      <c r="G519" s="58"/>
    </row>
    <row r="520">
      <c r="D520" s="58"/>
      <c r="E520" s="58"/>
      <c r="F520" s="58"/>
      <c r="G520" s="58"/>
    </row>
    <row r="521">
      <c r="D521" s="58"/>
      <c r="E521" s="58"/>
      <c r="F521" s="58"/>
      <c r="G521" s="58"/>
    </row>
    <row r="522">
      <c r="D522" s="58"/>
      <c r="E522" s="58"/>
      <c r="F522" s="58"/>
      <c r="G522" s="58"/>
    </row>
    <row r="523">
      <c r="D523" s="58"/>
      <c r="E523" s="58"/>
      <c r="F523" s="58"/>
      <c r="G523" s="58"/>
    </row>
    <row r="524">
      <c r="D524" s="58"/>
      <c r="E524" s="58"/>
      <c r="F524" s="58"/>
      <c r="G524" s="58"/>
    </row>
    <row r="525">
      <c r="D525" s="58"/>
      <c r="E525" s="58"/>
      <c r="F525" s="58"/>
      <c r="G525" s="58"/>
    </row>
    <row r="526">
      <c r="D526" s="58"/>
      <c r="E526" s="58"/>
      <c r="F526" s="58"/>
      <c r="G526" s="58"/>
    </row>
    <row r="527">
      <c r="D527" s="58"/>
      <c r="E527" s="58"/>
      <c r="F527" s="58"/>
      <c r="G527" s="58"/>
    </row>
    <row r="528">
      <c r="D528" s="58"/>
      <c r="E528" s="58"/>
      <c r="F528" s="58"/>
      <c r="G528" s="58"/>
    </row>
    <row r="529">
      <c r="D529" s="58"/>
      <c r="E529" s="58"/>
      <c r="F529" s="58"/>
      <c r="G529" s="58"/>
    </row>
    <row r="530">
      <c r="D530" s="58"/>
      <c r="E530" s="58"/>
      <c r="F530" s="58"/>
      <c r="G530" s="58"/>
    </row>
    <row r="531">
      <c r="D531" s="58"/>
      <c r="E531" s="58"/>
      <c r="F531" s="58"/>
      <c r="G531" s="58"/>
    </row>
    <row r="532">
      <c r="D532" s="58"/>
      <c r="E532" s="58"/>
      <c r="F532" s="58"/>
      <c r="G532" s="58"/>
    </row>
    <row r="533">
      <c r="D533" s="58"/>
      <c r="E533" s="58"/>
      <c r="F533" s="58"/>
      <c r="G533" s="58"/>
    </row>
    <row r="534">
      <c r="D534" s="58"/>
      <c r="E534" s="58"/>
      <c r="F534" s="58"/>
      <c r="G534" s="58"/>
    </row>
    <row r="535">
      <c r="D535" s="58"/>
      <c r="E535" s="58"/>
      <c r="F535" s="58"/>
      <c r="G535" s="58"/>
    </row>
    <row r="536">
      <c r="D536" s="58"/>
      <c r="E536" s="58"/>
      <c r="F536" s="58"/>
      <c r="G536" s="58"/>
    </row>
    <row r="537">
      <c r="D537" s="58"/>
      <c r="E537" s="58"/>
      <c r="F537" s="58"/>
      <c r="G537" s="58"/>
    </row>
    <row r="538">
      <c r="D538" s="58"/>
      <c r="E538" s="58"/>
      <c r="F538" s="58"/>
      <c r="G538" s="58"/>
    </row>
    <row r="539">
      <c r="D539" s="58"/>
      <c r="E539" s="58"/>
      <c r="F539" s="58"/>
      <c r="G539" s="58"/>
    </row>
    <row r="540">
      <c r="D540" s="58"/>
      <c r="E540" s="58"/>
      <c r="F540" s="58"/>
      <c r="G540" s="58"/>
    </row>
    <row r="541">
      <c r="D541" s="58"/>
      <c r="E541" s="58"/>
      <c r="F541" s="58"/>
      <c r="G541" s="58"/>
    </row>
    <row r="542">
      <c r="D542" s="58"/>
      <c r="E542" s="58"/>
      <c r="F542" s="58"/>
      <c r="G542" s="58"/>
    </row>
    <row r="543">
      <c r="D543" s="58"/>
      <c r="E543" s="58"/>
      <c r="F543" s="58"/>
      <c r="G543" s="58"/>
    </row>
    <row r="544">
      <c r="D544" s="58"/>
      <c r="E544" s="58"/>
      <c r="F544" s="58"/>
      <c r="G544" s="58"/>
    </row>
    <row r="545">
      <c r="D545" s="58"/>
      <c r="E545" s="58"/>
      <c r="F545" s="58"/>
      <c r="G545" s="58"/>
    </row>
    <row r="546">
      <c r="D546" s="58"/>
      <c r="E546" s="58"/>
      <c r="F546" s="58"/>
      <c r="G546" s="58"/>
    </row>
    <row r="547">
      <c r="D547" s="58"/>
      <c r="E547" s="58"/>
      <c r="F547" s="58"/>
      <c r="G547" s="58"/>
    </row>
    <row r="548">
      <c r="D548" s="58"/>
      <c r="E548" s="58"/>
      <c r="F548" s="58"/>
      <c r="G548" s="58"/>
    </row>
    <row r="549">
      <c r="D549" s="58"/>
      <c r="E549" s="58"/>
      <c r="F549" s="58"/>
      <c r="G549" s="58"/>
    </row>
    <row r="550">
      <c r="D550" s="58"/>
      <c r="E550" s="58"/>
      <c r="F550" s="58"/>
      <c r="G550" s="58"/>
    </row>
    <row r="551">
      <c r="D551" s="58"/>
      <c r="E551" s="58"/>
      <c r="F551" s="58"/>
      <c r="G551" s="58"/>
    </row>
    <row r="552">
      <c r="D552" s="58"/>
      <c r="E552" s="58"/>
      <c r="F552" s="58"/>
      <c r="G552" s="58"/>
    </row>
    <row r="553">
      <c r="D553" s="58"/>
      <c r="E553" s="58"/>
      <c r="F553" s="58"/>
      <c r="G553" s="58"/>
    </row>
    <row r="554">
      <c r="D554" s="58"/>
      <c r="E554" s="58"/>
      <c r="F554" s="58"/>
      <c r="G554" s="58"/>
    </row>
    <row r="555">
      <c r="D555" s="58"/>
      <c r="E555" s="58"/>
      <c r="F555" s="58"/>
      <c r="G555" s="58"/>
    </row>
    <row r="556">
      <c r="D556" s="58"/>
      <c r="E556" s="58"/>
      <c r="F556" s="58"/>
      <c r="G556" s="58"/>
    </row>
    <row r="557">
      <c r="D557" s="58"/>
      <c r="E557" s="58"/>
      <c r="F557" s="58"/>
      <c r="G557" s="58"/>
    </row>
    <row r="558">
      <c r="D558" s="58"/>
      <c r="E558" s="58"/>
      <c r="F558" s="58"/>
      <c r="G558" s="58"/>
    </row>
    <row r="559">
      <c r="D559" s="58"/>
      <c r="E559" s="58"/>
      <c r="F559" s="58"/>
      <c r="G559" s="58"/>
    </row>
    <row r="560">
      <c r="D560" s="58"/>
      <c r="E560" s="58"/>
      <c r="F560" s="58"/>
      <c r="G560" s="58"/>
    </row>
    <row r="561">
      <c r="D561" s="58"/>
      <c r="E561" s="58"/>
      <c r="F561" s="58"/>
      <c r="G561" s="58"/>
    </row>
    <row r="562">
      <c r="D562" s="58"/>
      <c r="E562" s="58"/>
      <c r="F562" s="58"/>
      <c r="G562" s="58"/>
    </row>
    <row r="563">
      <c r="D563" s="58"/>
      <c r="E563" s="58"/>
      <c r="F563" s="58"/>
      <c r="G563" s="58"/>
    </row>
    <row r="564">
      <c r="D564" s="58"/>
      <c r="E564" s="58"/>
      <c r="F564" s="58"/>
      <c r="G564" s="58"/>
    </row>
    <row r="565">
      <c r="D565" s="58"/>
      <c r="E565" s="58"/>
      <c r="F565" s="58"/>
      <c r="G565" s="58"/>
    </row>
    <row r="566">
      <c r="D566" s="58"/>
      <c r="E566" s="58"/>
      <c r="F566" s="58"/>
      <c r="G566" s="58"/>
    </row>
    <row r="567">
      <c r="D567" s="58"/>
      <c r="E567" s="58"/>
      <c r="F567" s="58"/>
      <c r="G567" s="58"/>
    </row>
    <row r="568">
      <c r="D568" s="58"/>
      <c r="E568" s="58"/>
      <c r="F568" s="58"/>
      <c r="G568" s="58"/>
    </row>
    <row r="569">
      <c r="D569" s="58"/>
      <c r="E569" s="58"/>
      <c r="F569" s="58"/>
      <c r="G569" s="58"/>
    </row>
    <row r="570">
      <c r="D570" s="58"/>
      <c r="E570" s="58"/>
      <c r="F570" s="58"/>
      <c r="G570" s="58"/>
    </row>
    <row r="571">
      <c r="D571" s="58"/>
      <c r="E571" s="58"/>
      <c r="F571" s="58"/>
      <c r="G571" s="58"/>
    </row>
    <row r="572">
      <c r="D572" s="58"/>
      <c r="E572" s="58"/>
      <c r="F572" s="58"/>
      <c r="G572" s="58"/>
    </row>
    <row r="573">
      <c r="D573" s="58"/>
      <c r="E573" s="58"/>
      <c r="F573" s="58"/>
      <c r="G573" s="58"/>
    </row>
    <row r="574">
      <c r="D574" s="58"/>
      <c r="E574" s="58"/>
      <c r="F574" s="58"/>
      <c r="G574" s="58"/>
    </row>
    <row r="575">
      <c r="D575" s="58"/>
      <c r="E575" s="58"/>
      <c r="F575" s="58"/>
      <c r="G575" s="58"/>
    </row>
    <row r="576">
      <c r="D576" s="58"/>
      <c r="E576" s="58"/>
      <c r="F576" s="58"/>
      <c r="G576" s="58"/>
    </row>
    <row r="577">
      <c r="D577" s="58"/>
      <c r="E577" s="58"/>
      <c r="F577" s="58"/>
      <c r="G577" s="58"/>
    </row>
    <row r="578">
      <c r="D578" s="58"/>
      <c r="E578" s="58"/>
      <c r="F578" s="58"/>
      <c r="G578" s="58"/>
    </row>
    <row r="579">
      <c r="D579" s="58"/>
      <c r="E579" s="58"/>
      <c r="F579" s="58"/>
      <c r="G579" s="58"/>
    </row>
    <row r="580">
      <c r="D580" s="58"/>
      <c r="E580" s="58"/>
      <c r="F580" s="58"/>
      <c r="G580" s="58"/>
    </row>
    <row r="581">
      <c r="D581" s="58"/>
      <c r="E581" s="58"/>
      <c r="F581" s="58"/>
      <c r="G581" s="58"/>
    </row>
    <row r="582">
      <c r="D582" s="58"/>
      <c r="E582" s="58"/>
      <c r="F582" s="58"/>
      <c r="G582" s="58"/>
    </row>
    <row r="583">
      <c r="D583" s="58"/>
      <c r="E583" s="58"/>
      <c r="F583" s="58"/>
      <c r="G583" s="58"/>
    </row>
    <row r="584">
      <c r="D584" s="58"/>
      <c r="E584" s="58"/>
      <c r="F584" s="58"/>
      <c r="G584" s="58"/>
    </row>
    <row r="585">
      <c r="D585" s="58"/>
      <c r="E585" s="58"/>
      <c r="F585" s="58"/>
      <c r="G585" s="58"/>
    </row>
    <row r="586">
      <c r="D586" s="58"/>
      <c r="E586" s="58"/>
      <c r="F586" s="58"/>
      <c r="G586" s="58"/>
    </row>
    <row r="587">
      <c r="D587" s="58"/>
      <c r="E587" s="58"/>
      <c r="F587" s="58"/>
      <c r="G587" s="58"/>
    </row>
    <row r="588">
      <c r="D588" s="58"/>
      <c r="E588" s="58"/>
      <c r="F588" s="58"/>
      <c r="G588" s="58"/>
    </row>
    <row r="589">
      <c r="D589" s="58"/>
      <c r="E589" s="58"/>
      <c r="F589" s="58"/>
      <c r="G589" s="58"/>
    </row>
    <row r="590">
      <c r="D590" s="58"/>
      <c r="E590" s="58"/>
      <c r="F590" s="58"/>
      <c r="G590" s="58"/>
    </row>
    <row r="591">
      <c r="D591" s="58"/>
      <c r="E591" s="58"/>
      <c r="F591" s="58"/>
      <c r="G591" s="58"/>
    </row>
    <row r="592">
      <c r="D592" s="58"/>
      <c r="E592" s="58"/>
      <c r="F592" s="58"/>
      <c r="G592" s="58"/>
    </row>
    <row r="593">
      <c r="D593" s="58"/>
      <c r="E593" s="58"/>
      <c r="F593" s="58"/>
      <c r="G593" s="58"/>
    </row>
    <row r="594">
      <c r="D594" s="58"/>
      <c r="E594" s="58"/>
      <c r="F594" s="58"/>
      <c r="G594" s="58"/>
    </row>
    <row r="595">
      <c r="D595" s="58"/>
      <c r="E595" s="58"/>
      <c r="F595" s="58"/>
      <c r="G595" s="58"/>
    </row>
    <row r="596">
      <c r="D596" s="58"/>
      <c r="E596" s="58"/>
      <c r="F596" s="58"/>
      <c r="G596" s="58"/>
    </row>
    <row r="597">
      <c r="D597" s="58"/>
      <c r="E597" s="58"/>
      <c r="F597" s="58"/>
      <c r="G597" s="58"/>
    </row>
    <row r="598">
      <c r="D598" s="58"/>
      <c r="E598" s="58"/>
      <c r="F598" s="58"/>
      <c r="G598" s="58"/>
    </row>
    <row r="599">
      <c r="D599" s="58"/>
      <c r="E599" s="58"/>
      <c r="F599" s="58"/>
      <c r="G599" s="58"/>
    </row>
    <row r="600">
      <c r="D600" s="58"/>
      <c r="E600" s="58"/>
      <c r="F600" s="58"/>
      <c r="G600" s="58"/>
    </row>
    <row r="601">
      <c r="D601" s="58"/>
      <c r="E601" s="58"/>
      <c r="F601" s="58"/>
      <c r="G601" s="58"/>
    </row>
    <row r="602">
      <c r="D602" s="58"/>
      <c r="E602" s="58"/>
      <c r="F602" s="58"/>
      <c r="G602" s="58"/>
    </row>
    <row r="603">
      <c r="D603" s="58"/>
      <c r="E603" s="58"/>
      <c r="F603" s="58"/>
      <c r="G603" s="58"/>
    </row>
    <row r="604">
      <c r="D604" s="58"/>
      <c r="E604" s="58"/>
      <c r="F604" s="58"/>
      <c r="G604" s="58"/>
    </row>
    <row r="605">
      <c r="D605" s="58"/>
      <c r="E605" s="58"/>
      <c r="F605" s="58"/>
      <c r="G605" s="58"/>
    </row>
    <row r="606">
      <c r="D606" s="58"/>
      <c r="E606" s="58"/>
      <c r="F606" s="58"/>
      <c r="G606" s="58"/>
    </row>
    <row r="607">
      <c r="D607" s="58"/>
      <c r="E607" s="58"/>
      <c r="F607" s="58"/>
      <c r="G607" s="58"/>
    </row>
    <row r="608">
      <c r="D608" s="58"/>
      <c r="E608" s="58"/>
      <c r="F608" s="58"/>
      <c r="G608" s="58"/>
    </row>
    <row r="609">
      <c r="D609" s="58"/>
      <c r="E609" s="58"/>
      <c r="F609" s="58"/>
      <c r="G609" s="58"/>
    </row>
    <row r="610">
      <c r="D610" s="58"/>
      <c r="E610" s="58"/>
      <c r="F610" s="58"/>
      <c r="G610" s="58"/>
    </row>
    <row r="611">
      <c r="D611" s="58"/>
      <c r="E611" s="58"/>
      <c r="F611" s="58"/>
      <c r="G611" s="58"/>
    </row>
    <row r="612">
      <c r="D612" s="58"/>
      <c r="E612" s="58"/>
      <c r="F612" s="58"/>
      <c r="G612" s="58"/>
    </row>
    <row r="613">
      <c r="D613" s="58"/>
      <c r="E613" s="58"/>
      <c r="F613" s="58"/>
      <c r="G613" s="58"/>
    </row>
    <row r="614">
      <c r="D614" s="58"/>
      <c r="E614" s="58"/>
      <c r="F614" s="58"/>
      <c r="G614" s="58"/>
    </row>
    <row r="615">
      <c r="D615" s="58"/>
      <c r="E615" s="58"/>
      <c r="F615" s="58"/>
      <c r="G615" s="58"/>
    </row>
    <row r="616">
      <c r="D616" s="58"/>
      <c r="E616" s="58"/>
      <c r="F616" s="58"/>
      <c r="G616" s="58"/>
    </row>
    <row r="617">
      <c r="D617" s="58"/>
      <c r="E617" s="58"/>
      <c r="F617" s="58"/>
      <c r="G617" s="58"/>
    </row>
    <row r="618">
      <c r="D618" s="58"/>
      <c r="E618" s="58"/>
      <c r="F618" s="58"/>
      <c r="G618" s="58"/>
    </row>
    <row r="619">
      <c r="D619" s="58"/>
      <c r="E619" s="58"/>
      <c r="F619" s="58"/>
      <c r="G619" s="58"/>
    </row>
    <row r="620">
      <c r="D620" s="58"/>
      <c r="E620" s="58"/>
      <c r="F620" s="58"/>
      <c r="G620" s="58"/>
    </row>
    <row r="621">
      <c r="D621" s="58"/>
      <c r="E621" s="58"/>
      <c r="F621" s="58"/>
      <c r="G621" s="58"/>
    </row>
    <row r="622">
      <c r="D622" s="58"/>
      <c r="E622" s="58"/>
      <c r="F622" s="58"/>
      <c r="G622" s="58"/>
    </row>
    <row r="623">
      <c r="D623" s="58"/>
      <c r="E623" s="58"/>
      <c r="F623" s="58"/>
      <c r="G623" s="58"/>
    </row>
    <row r="624">
      <c r="D624" s="58"/>
      <c r="E624" s="58"/>
      <c r="F624" s="58"/>
      <c r="G624" s="58"/>
    </row>
    <row r="625">
      <c r="D625" s="58"/>
      <c r="E625" s="58"/>
      <c r="F625" s="58"/>
      <c r="G625" s="58"/>
    </row>
    <row r="626">
      <c r="D626" s="58"/>
      <c r="E626" s="58"/>
      <c r="F626" s="58"/>
      <c r="G626" s="58"/>
    </row>
    <row r="627">
      <c r="D627" s="58"/>
      <c r="E627" s="58"/>
      <c r="F627" s="58"/>
      <c r="G627" s="58"/>
    </row>
    <row r="628">
      <c r="D628" s="58"/>
      <c r="E628" s="58"/>
      <c r="F628" s="58"/>
      <c r="G628" s="58"/>
    </row>
    <row r="629">
      <c r="D629" s="58"/>
      <c r="E629" s="58"/>
      <c r="F629" s="58"/>
      <c r="G629" s="58"/>
    </row>
    <row r="630">
      <c r="D630" s="58"/>
      <c r="E630" s="58"/>
      <c r="F630" s="58"/>
      <c r="G630" s="58"/>
    </row>
    <row r="631">
      <c r="D631" s="58"/>
      <c r="E631" s="58"/>
      <c r="F631" s="58"/>
      <c r="G631" s="58"/>
    </row>
    <row r="632">
      <c r="D632" s="58"/>
      <c r="E632" s="58"/>
      <c r="F632" s="58"/>
      <c r="G632" s="58"/>
    </row>
    <row r="633">
      <c r="D633" s="58"/>
      <c r="E633" s="58"/>
      <c r="F633" s="58"/>
      <c r="G633" s="58"/>
    </row>
    <row r="634">
      <c r="D634" s="58"/>
      <c r="E634" s="58"/>
      <c r="F634" s="58"/>
      <c r="G634" s="58"/>
    </row>
    <row r="635">
      <c r="D635" s="58"/>
      <c r="E635" s="58"/>
      <c r="F635" s="58"/>
      <c r="G635" s="58"/>
    </row>
    <row r="636">
      <c r="D636" s="58"/>
      <c r="E636" s="58"/>
      <c r="F636" s="58"/>
      <c r="G636" s="58"/>
    </row>
    <row r="637">
      <c r="D637" s="58"/>
      <c r="E637" s="58"/>
      <c r="F637" s="58"/>
      <c r="G637" s="58"/>
    </row>
    <row r="638">
      <c r="D638" s="58"/>
      <c r="E638" s="58"/>
      <c r="F638" s="58"/>
      <c r="G638" s="58"/>
    </row>
    <row r="639">
      <c r="D639" s="58"/>
      <c r="E639" s="58"/>
      <c r="F639" s="58"/>
      <c r="G639" s="58"/>
    </row>
    <row r="640">
      <c r="D640" s="58"/>
      <c r="E640" s="58"/>
      <c r="F640" s="58"/>
      <c r="G640" s="58"/>
    </row>
    <row r="641">
      <c r="D641" s="58"/>
      <c r="E641" s="58"/>
      <c r="F641" s="58"/>
      <c r="G641" s="58"/>
    </row>
    <row r="642">
      <c r="D642" s="58"/>
      <c r="E642" s="58"/>
      <c r="F642" s="58"/>
      <c r="G642" s="58"/>
    </row>
    <row r="643">
      <c r="D643" s="58"/>
      <c r="E643" s="58"/>
      <c r="F643" s="58"/>
      <c r="G643" s="58"/>
    </row>
    <row r="644">
      <c r="D644" s="58"/>
      <c r="E644" s="58"/>
      <c r="F644" s="58"/>
      <c r="G644" s="58"/>
    </row>
    <row r="645">
      <c r="D645" s="58"/>
      <c r="E645" s="58"/>
      <c r="F645" s="58"/>
      <c r="G645" s="58"/>
    </row>
    <row r="646">
      <c r="D646" s="58"/>
      <c r="E646" s="58"/>
      <c r="F646" s="58"/>
      <c r="G646" s="58"/>
    </row>
    <row r="647">
      <c r="D647" s="58"/>
      <c r="E647" s="58"/>
      <c r="F647" s="58"/>
      <c r="G647" s="58"/>
    </row>
    <row r="648">
      <c r="D648" s="58"/>
      <c r="E648" s="58"/>
      <c r="F648" s="58"/>
      <c r="G648" s="58"/>
    </row>
    <row r="649">
      <c r="D649" s="58"/>
      <c r="E649" s="58"/>
      <c r="F649" s="58"/>
      <c r="G649" s="58"/>
    </row>
    <row r="650">
      <c r="D650" s="58"/>
      <c r="E650" s="58"/>
      <c r="F650" s="58"/>
      <c r="G650" s="58"/>
    </row>
    <row r="651">
      <c r="D651" s="58"/>
      <c r="E651" s="58"/>
      <c r="F651" s="58"/>
      <c r="G651" s="58"/>
    </row>
    <row r="652">
      <c r="D652" s="58"/>
      <c r="E652" s="58"/>
      <c r="F652" s="58"/>
      <c r="G652" s="58"/>
    </row>
    <row r="653">
      <c r="D653" s="58"/>
      <c r="E653" s="58"/>
      <c r="F653" s="58"/>
      <c r="G653" s="58"/>
    </row>
    <row r="654">
      <c r="D654" s="58"/>
      <c r="E654" s="58"/>
      <c r="F654" s="58"/>
      <c r="G654" s="58"/>
    </row>
    <row r="655">
      <c r="D655" s="58"/>
      <c r="E655" s="58"/>
      <c r="F655" s="58"/>
      <c r="G655" s="58"/>
    </row>
    <row r="656">
      <c r="D656" s="58"/>
      <c r="E656" s="58"/>
      <c r="F656" s="58"/>
      <c r="G656" s="58"/>
    </row>
    <row r="657">
      <c r="D657" s="58"/>
      <c r="E657" s="58"/>
      <c r="F657" s="58"/>
      <c r="G657" s="58"/>
    </row>
    <row r="658">
      <c r="D658" s="58"/>
      <c r="E658" s="58"/>
      <c r="F658" s="58"/>
      <c r="G658" s="58"/>
    </row>
    <row r="659">
      <c r="D659" s="58"/>
      <c r="E659" s="58"/>
      <c r="F659" s="58"/>
      <c r="G659" s="58"/>
    </row>
    <row r="660">
      <c r="D660" s="58"/>
      <c r="E660" s="58"/>
      <c r="F660" s="58"/>
      <c r="G660" s="58"/>
    </row>
    <row r="661">
      <c r="D661" s="58"/>
      <c r="E661" s="58"/>
      <c r="F661" s="58"/>
      <c r="G661" s="58"/>
    </row>
    <row r="662">
      <c r="D662" s="58"/>
      <c r="E662" s="58"/>
      <c r="F662" s="58"/>
      <c r="G662" s="58"/>
    </row>
    <row r="663">
      <c r="D663" s="58"/>
      <c r="E663" s="58"/>
      <c r="F663" s="58"/>
      <c r="G663" s="58"/>
    </row>
    <row r="664">
      <c r="D664" s="58"/>
      <c r="E664" s="58"/>
      <c r="F664" s="58"/>
      <c r="G664" s="58"/>
    </row>
    <row r="665">
      <c r="D665" s="58"/>
      <c r="E665" s="58"/>
      <c r="F665" s="58"/>
      <c r="G665" s="58"/>
    </row>
    <row r="666">
      <c r="D666" s="58"/>
      <c r="E666" s="58"/>
      <c r="F666" s="58"/>
      <c r="G666" s="58"/>
    </row>
    <row r="667">
      <c r="D667" s="58"/>
      <c r="E667" s="58"/>
      <c r="F667" s="58"/>
      <c r="G667" s="58"/>
    </row>
    <row r="668">
      <c r="D668" s="58"/>
      <c r="E668" s="58"/>
      <c r="F668" s="58"/>
      <c r="G668" s="58"/>
    </row>
    <row r="669">
      <c r="D669" s="58"/>
      <c r="E669" s="58"/>
      <c r="F669" s="58"/>
      <c r="G669" s="58"/>
    </row>
    <row r="670">
      <c r="D670" s="58"/>
      <c r="E670" s="58"/>
      <c r="F670" s="58"/>
      <c r="G670" s="58"/>
    </row>
    <row r="671">
      <c r="D671" s="58"/>
      <c r="E671" s="58"/>
      <c r="F671" s="58"/>
      <c r="G671" s="58"/>
    </row>
    <row r="672">
      <c r="D672" s="58"/>
      <c r="E672" s="58"/>
      <c r="F672" s="58"/>
      <c r="G672" s="58"/>
    </row>
    <row r="673">
      <c r="D673" s="58"/>
      <c r="E673" s="58"/>
      <c r="F673" s="58"/>
      <c r="G673" s="58"/>
    </row>
    <row r="674">
      <c r="D674" s="58"/>
      <c r="E674" s="58"/>
      <c r="F674" s="58"/>
      <c r="G674" s="58"/>
    </row>
    <row r="675">
      <c r="D675" s="58"/>
      <c r="E675" s="58"/>
      <c r="F675" s="58"/>
      <c r="G675" s="58"/>
    </row>
    <row r="676">
      <c r="D676" s="58"/>
      <c r="E676" s="58"/>
      <c r="F676" s="58"/>
      <c r="G676" s="58"/>
    </row>
    <row r="677">
      <c r="D677" s="58"/>
      <c r="E677" s="58"/>
      <c r="F677" s="58"/>
      <c r="G677" s="58"/>
    </row>
    <row r="678">
      <c r="D678" s="58"/>
      <c r="E678" s="58"/>
      <c r="F678" s="58"/>
      <c r="G678" s="58"/>
    </row>
    <row r="679">
      <c r="D679" s="58"/>
      <c r="E679" s="58"/>
      <c r="F679" s="58"/>
      <c r="G679" s="58"/>
    </row>
    <row r="680">
      <c r="D680" s="58"/>
      <c r="E680" s="58"/>
      <c r="F680" s="58"/>
      <c r="G680" s="58"/>
    </row>
    <row r="681">
      <c r="D681" s="58"/>
      <c r="E681" s="58"/>
      <c r="F681" s="58"/>
      <c r="G681" s="58"/>
    </row>
    <row r="682">
      <c r="D682" s="58"/>
      <c r="E682" s="58"/>
      <c r="F682" s="58"/>
      <c r="G682" s="58"/>
    </row>
    <row r="683">
      <c r="D683" s="58"/>
      <c r="E683" s="58"/>
      <c r="F683" s="58"/>
      <c r="G683" s="58"/>
    </row>
    <row r="684">
      <c r="D684" s="58"/>
      <c r="E684" s="58"/>
      <c r="F684" s="58"/>
      <c r="G684" s="58"/>
    </row>
    <row r="685">
      <c r="D685" s="58"/>
      <c r="E685" s="58"/>
      <c r="F685" s="58"/>
      <c r="G685" s="58"/>
    </row>
    <row r="686">
      <c r="D686" s="58"/>
      <c r="E686" s="58"/>
      <c r="F686" s="58"/>
      <c r="G686" s="58"/>
    </row>
    <row r="687">
      <c r="D687" s="58"/>
      <c r="E687" s="58"/>
      <c r="F687" s="58"/>
      <c r="G687" s="58"/>
    </row>
    <row r="688">
      <c r="D688" s="58"/>
      <c r="E688" s="58"/>
      <c r="F688" s="58"/>
      <c r="G688" s="58"/>
    </row>
    <row r="689">
      <c r="D689" s="58"/>
      <c r="E689" s="58"/>
      <c r="F689" s="58"/>
      <c r="G689" s="58"/>
    </row>
    <row r="690">
      <c r="D690" s="58"/>
      <c r="E690" s="58"/>
      <c r="F690" s="58"/>
      <c r="G690" s="58"/>
    </row>
    <row r="691">
      <c r="D691" s="58"/>
      <c r="E691" s="58"/>
      <c r="F691" s="58"/>
      <c r="G691" s="58"/>
    </row>
    <row r="692">
      <c r="D692" s="58"/>
      <c r="E692" s="58"/>
      <c r="F692" s="58"/>
      <c r="G692" s="58"/>
    </row>
    <row r="693">
      <c r="D693" s="58"/>
      <c r="E693" s="58"/>
      <c r="F693" s="58"/>
      <c r="G693" s="58"/>
    </row>
    <row r="694">
      <c r="D694" s="58"/>
      <c r="E694" s="58"/>
      <c r="F694" s="58"/>
      <c r="G694" s="58"/>
    </row>
    <row r="695">
      <c r="D695" s="58"/>
      <c r="E695" s="58"/>
      <c r="F695" s="58"/>
      <c r="G695" s="58"/>
    </row>
    <row r="696">
      <c r="D696" s="58"/>
      <c r="E696" s="58"/>
      <c r="F696" s="58"/>
      <c r="G696" s="58"/>
    </row>
    <row r="697">
      <c r="D697" s="58"/>
      <c r="E697" s="58"/>
      <c r="F697" s="58"/>
      <c r="G697" s="58"/>
    </row>
    <row r="698">
      <c r="D698" s="58"/>
      <c r="E698" s="58"/>
      <c r="F698" s="58"/>
      <c r="G698" s="58"/>
    </row>
    <row r="699">
      <c r="D699" s="58"/>
      <c r="E699" s="58"/>
      <c r="F699" s="58"/>
      <c r="G699" s="58"/>
    </row>
    <row r="700">
      <c r="D700" s="58"/>
      <c r="E700" s="58"/>
      <c r="F700" s="58"/>
      <c r="G700" s="58"/>
    </row>
    <row r="701">
      <c r="D701" s="58"/>
      <c r="E701" s="58"/>
      <c r="F701" s="58"/>
      <c r="G701" s="58"/>
    </row>
    <row r="702">
      <c r="D702" s="58"/>
      <c r="E702" s="58"/>
      <c r="F702" s="58"/>
      <c r="G702" s="58"/>
    </row>
    <row r="703">
      <c r="D703" s="58"/>
      <c r="E703" s="58"/>
      <c r="F703" s="58"/>
      <c r="G703" s="58"/>
    </row>
    <row r="704">
      <c r="D704" s="58"/>
      <c r="E704" s="58"/>
      <c r="F704" s="58"/>
      <c r="G704" s="58"/>
    </row>
    <row r="705">
      <c r="D705" s="58"/>
      <c r="E705" s="58"/>
      <c r="F705" s="58"/>
      <c r="G705" s="58"/>
    </row>
    <row r="706">
      <c r="D706" s="58"/>
      <c r="E706" s="58"/>
      <c r="F706" s="58"/>
      <c r="G706" s="58"/>
    </row>
    <row r="707">
      <c r="D707" s="58"/>
      <c r="E707" s="58"/>
      <c r="F707" s="58"/>
      <c r="G707" s="58"/>
    </row>
    <row r="708">
      <c r="D708" s="58"/>
      <c r="E708" s="58"/>
      <c r="F708" s="58"/>
      <c r="G708" s="58"/>
    </row>
    <row r="709">
      <c r="D709" s="58"/>
      <c r="E709" s="58"/>
      <c r="F709" s="58"/>
      <c r="G709" s="58"/>
    </row>
    <row r="710">
      <c r="D710" s="58"/>
      <c r="E710" s="58"/>
      <c r="F710" s="58"/>
      <c r="G710" s="58"/>
    </row>
    <row r="711">
      <c r="D711" s="58"/>
      <c r="E711" s="58"/>
      <c r="F711" s="58"/>
      <c r="G711" s="58"/>
    </row>
    <row r="712">
      <c r="D712" s="58"/>
      <c r="E712" s="58"/>
      <c r="F712" s="58"/>
      <c r="G712" s="58"/>
    </row>
    <row r="713">
      <c r="D713" s="58"/>
      <c r="E713" s="58"/>
      <c r="F713" s="58"/>
      <c r="G713" s="58"/>
    </row>
    <row r="714">
      <c r="D714" s="58"/>
      <c r="E714" s="58"/>
      <c r="F714" s="58"/>
      <c r="G714" s="58"/>
    </row>
    <row r="715">
      <c r="D715" s="58"/>
      <c r="E715" s="58"/>
      <c r="F715" s="58"/>
      <c r="G715" s="58"/>
    </row>
    <row r="716">
      <c r="D716" s="58"/>
      <c r="E716" s="58"/>
      <c r="F716" s="58"/>
      <c r="G716" s="58"/>
    </row>
    <row r="717">
      <c r="D717" s="58"/>
      <c r="E717" s="58"/>
      <c r="F717" s="58"/>
      <c r="G717" s="58"/>
    </row>
    <row r="718">
      <c r="D718" s="58"/>
      <c r="E718" s="58"/>
      <c r="F718" s="58"/>
      <c r="G718" s="58"/>
    </row>
    <row r="719">
      <c r="D719" s="58"/>
      <c r="E719" s="58"/>
      <c r="F719" s="58"/>
      <c r="G719" s="58"/>
    </row>
    <row r="720">
      <c r="D720" s="58"/>
      <c r="E720" s="58"/>
      <c r="F720" s="58"/>
      <c r="G720" s="58"/>
    </row>
    <row r="721">
      <c r="D721" s="58"/>
      <c r="E721" s="58"/>
      <c r="F721" s="58"/>
      <c r="G721" s="58"/>
    </row>
    <row r="722">
      <c r="D722" s="58"/>
      <c r="E722" s="58"/>
      <c r="F722" s="58"/>
      <c r="G722" s="58"/>
    </row>
    <row r="723">
      <c r="D723" s="58"/>
      <c r="E723" s="58"/>
      <c r="F723" s="58"/>
      <c r="G723" s="58"/>
    </row>
    <row r="724">
      <c r="D724" s="58"/>
      <c r="E724" s="58"/>
      <c r="F724" s="58"/>
      <c r="G724" s="58"/>
    </row>
    <row r="725">
      <c r="D725" s="58"/>
      <c r="E725" s="58"/>
      <c r="F725" s="58"/>
      <c r="G725" s="58"/>
    </row>
    <row r="726">
      <c r="D726" s="58"/>
      <c r="E726" s="58"/>
      <c r="F726" s="58"/>
      <c r="G726" s="58"/>
    </row>
    <row r="727">
      <c r="D727" s="58"/>
      <c r="E727" s="58"/>
      <c r="F727" s="58"/>
      <c r="G727" s="58"/>
    </row>
    <row r="728">
      <c r="D728" s="58"/>
      <c r="E728" s="58"/>
      <c r="F728" s="58"/>
      <c r="G728" s="58"/>
    </row>
    <row r="729">
      <c r="D729" s="58"/>
      <c r="E729" s="58"/>
      <c r="F729" s="58"/>
      <c r="G729" s="58"/>
    </row>
    <row r="730">
      <c r="D730" s="58"/>
      <c r="E730" s="58"/>
      <c r="F730" s="58"/>
      <c r="G730" s="58"/>
    </row>
    <row r="731">
      <c r="D731" s="58"/>
      <c r="E731" s="58"/>
      <c r="F731" s="58"/>
      <c r="G731" s="58"/>
    </row>
    <row r="732">
      <c r="D732" s="58"/>
      <c r="E732" s="58"/>
      <c r="F732" s="58"/>
      <c r="G732" s="58"/>
    </row>
    <row r="733">
      <c r="D733" s="58"/>
      <c r="E733" s="58"/>
      <c r="F733" s="58"/>
      <c r="G733" s="58"/>
    </row>
    <row r="734">
      <c r="D734" s="58"/>
      <c r="E734" s="58"/>
      <c r="F734" s="58"/>
      <c r="G734" s="58"/>
    </row>
    <row r="735">
      <c r="D735" s="58"/>
      <c r="E735" s="58"/>
      <c r="F735" s="58"/>
      <c r="G735" s="58"/>
    </row>
    <row r="736">
      <c r="D736" s="58"/>
      <c r="E736" s="58"/>
      <c r="F736" s="58"/>
      <c r="G736" s="58"/>
    </row>
    <row r="737">
      <c r="D737" s="58"/>
      <c r="E737" s="58"/>
      <c r="F737" s="58"/>
      <c r="G737" s="58"/>
    </row>
    <row r="738">
      <c r="D738" s="58"/>
      <c r="E738" s="58"/>
      <c r="F738" s="58"/>
      <c r="G738" s="58"/>
    </row>
    <row r="739">
      <c r="D739" s="58"/>
      <c r="E739" s="58"/>
      <c r="F739" s="58"/>
      <c r="G739" s="58"/>
    </row>
    <row r="740">
      <c r="D740" s="58"/>
      <c r="E740" s="58"/>
      <c r="F740" s="58"/>
      <c r="G740" s="58"/>
    </row>
    <row r="741">
      <c r="D741" s="58"/>
      <c r="E741" s="58"/>
      <c r="F741" s="58"/>
      <c r="G741" s="58"/>
    </row>
    <row r="742">
      <c r="D742" s="58"/>
      <c r="E742" s="58"/>
      <c r="F742" s="58"/>
      <c r="G742" s="58"/>
    </row>
    <row r="743">
      <c r="D743" s="58"/>
      <c r="E743" s="58"/>
      <c r="F743" s="58"/>
      <c r="G743" s="58"/>
    </row>
    <row r="744">
      <c r="D744" s="58"/>
      <c r="E744" s="58"/>
      <c r="F744" s="58"/>
      <c r="G744" s="58"/>
    </row>
    <row r="745">
      <c r="D745" s="58"/>
      <c r="E745" s="58"/>
      <c r="F745" s="58"/>
      <c r="G745" s="58"/>
    </row>
    <row r="746">
      <c r="D746" s="58"/>
      <c r="E746" s="58"/>
      <c r="F746" s="58"/>
      <c r="G746" s="58"/>
    </row>
    <row r="747">
      <c r="D747" s="58"/>
      <c r="E747" s="58"/>
      <c r="F747" s="58"/>
      <c r="G747" s="58"/>
    </row>
    <row r="748">
      <c r="D748" s="58"/>
      <c r="E748" s="58"/>
      <c r="F748" s="58"/>
      <c r="G748" s="58"/>
    </row>
    <row r="749">
      <c r="D749" s="58"/>
      <c r="E749" s="58"/>
      <c r="F749" s="58"/>
      <c r="G749" s="58"/>
    </row>
    <row r="750">
      <c r="D750" s="58"/>
      <c r="E750" s="58"/>
      <c r="F750" s="58"/>
      <c r="G750" s="58"/>
    </row>
    <row r="751">
      <c r="D751" s="58"/>
      <c r="E751" s="58"/>
      <c r="F751" s="58"/>
      <c r="G751" s="58"/>
    </row>
    <row r="752">
      <c r="D752" s="58"/>
      <c r="E752" s="58"/>
      <c r="F752" s="58"/>
      <c r="G752" s="58"/>
    </row>
    <row r="753">
      <c r="D753" s="58"/>
      <c r="E753" s="58"/>
      <c r="F753" s="58"/>
      <c r="G753" s="58"/>
    </row>
    <row r="754">
      <c r="D754" s="58"/>
      <c r="E754" s="58"/>
      <c r="F754" s="58"/>
      <c r="G754" s="58"/>
    </row>
    <row r="755">
      <c r="D755" s="58"/>
      <c r="E755" s="58"/>
      <c r="F755" s="58"/>
      <c r="G755" s="58"/>
    </row>
    <row r="756">
      <c r="D756" s="58"/>
      <c r="E756" s="58"/>
      <c r="F756" s="58"/>
      <c r="G756" s="58"/>
    </row>
    <row r="757">
      <c r="D757" s="58"/>
      <c r="E757" s="58"/>
      <c r="F757" s="58"/>
      <c r="G757" s="58"/>
    </row>
    <row r="758">
      <c r="D758" s="58"/>
      <c r="E758" s="58"/>
      <c r="F758" s="58"/>
      <c r="G758" s="58"/>
    </row>
    <row r="759">
      <c r="D759" s="58"/>
      <c r="E759" s="58"/>
      <c r="F759" s="58"/>
      <c r="G759" s="58"/>
    </row>
    <row r="760">
      <c r="D760" s="58"/>
      <c r="E760" s="58"/>
      <c r="F760" s="58"/>
      <c r="G760" s="58"/>
    </row>
    <row r="761">
      <c r="D761" s="58"/>
      <c r="E761" s="58"/>
      <c r="F761" s="58"/>
      <c r="G761" s="58"/>
    </row>
    <row r="762">
      <c r="D762" s="58"/>
      <c r="E762" s="58"/>
      <c r="F762" s="58"/>
      <c r="G762" s="58"/>
    </row>
    <row r="763">
      <c r="D763" s="58"/>
      <c r="E763" s="58"/>
      <c r="F763" s="58"/>
      <c r="G763" s="58"/>
    </row>
    <row r="764">
      <c r="D764" s="58"/>
      <c r="E764" s="58"/>
      <c r="F764" s="58"/>
      <c r="G764" s="58"/>
    </row>
    <row r="765">
      <c r="D765" s="58"/>
      <c r="E765" s="58"/>
      <c r="F765" s="58"/>
      <c r="G765" s="58"/>
    </row>
    <row r="766">
      <c r="D766" s="58"/>
      <c r="E766" s="58"/>
      <c r="F766" s="58"/>
      <c r="G766" s="58"/>
    </row>
    <row r="767">
      <c r="D767" s="58"/>
      <c r="E767" s="58"/>
      <c r="F767" s="58"/>
      <c r="G767" s="58"/>
    </row>
    <row r="768">
      <c r="D768" s="58"/>
      <c r="E768" s="58"/>
      <c r="F768" s="58"/>
      <c r="G768" s="58"/>
    </row>
    <row r="769">
      <c r="D769" s="58"/>
      <c r="E769" s="58"/>
      <c r="F769" s="58"/>
      <c r="G769" s="58"/>
    </row>
    <row r="770">
      <c r="D770" s="58"/>
      <c r="E770" s="58"/>
      <c r="F770" s="58"/>
      <c r="G770" s="58"/>
    </row>
    <row r="771">
      <c r="D771" s="58"/>
      <c r="E771" s="58"/>
      <c r="F771" s="58"/>
      <c r="G771" s="58"/>
    </row>
    <row r="772">
      <c r="D772" s="58"/>
      <c r="E772" s="58"/>
      <c r="F772" s="58"/>
      <c r="G772" s="58"/>
    </row>
    <row r="773">
      <c r="D773" s="58"/>
      <c r="E773" s="58"/>
      <c r="F773" s="58"/>
      <c r="G773" s="58"/>
    </row>
    <row r="774">
      <c r="D774" s="58"/>
      <c r="E774" s="58"/>
      <c r="F774" s="58"/>
      <c r="G774" s="58"/>
    </row>
    <row r="775">
      <c r="D775" s="58"/>
      <c r="E775" s="58"/>
      <c r="F775" s="58"/>
      <c r="G775" s="58"/>
    </row>
    <row r="776">
      <c r="D776" s="58"/>
      <c r="E776" s="58"/>
      <c r="F776" s="58"/>
      <c r="G776" s="58"/>
    </row>
    <row r="777">
      <c r="D777" s="58"/>
      <c r="E777" s="58"/>
      <c r="F777" s="58"/>
      <c r="G777" s="58"/>
    </row>
    <row r="778">
      <c r="D778" s="58"/>
      <c r="E778" s="58"/>
      <c r="F778" s="58"/>
      <c r="G778" s="58"/>
    </row>
    <row r="779">
      <c r="D779" s="58"/>
      <c r="E779" s="58"/>
      <c r="F779" s="58"/>
      <c r="G779" s="58"/>
    </row>
    <row r="780">
      <c r="D780" s="58"/>
      <c r="E780" s="58"/>
      <c r="F780" s="58"/>
      <c r="G780" s="58"/>
    </row>
    <row r="781">
      <c r="D781" s="58"/>
      <c r="E781" s="58"/>
      <c r="F781" s="58"/>
      <c r="G781" s="58"/>
    </row>
    <row r="782">
      <c r="D782" s="58"/>
      <c r="E782" s="58"/>
      <c r="F782" s="58"/>
      <c r="G782" s="58"/>
    </row>
    <row r="783">
      <c r="D783" s="58"/>
      <c r="E783" s="58"/>
      <c r="F783" s="58"/>
      <c r="G783" s="58"/>
    </row>
    <row r="784">
      <c r="D784" s="58"/>
      <c r="E784" s="58"/>
      <c r="F784" s="58"/>
      <c r="G784" s="58"/>
    </row>
    <row r="785">
      <c r="D785" s="58"/>
      <c r="E785" s="58"/>
      <c r="F785" s="58"/>
      <c r="G785" s="58"/>
    </row>
    <row r="786">
      <c r="D786" s="58"/>
      <c r="E786" s="58"/>
      <c r="F786" s="58"/>
      <c r="G786" s="58"/>
    </row>
    <row r="787">
      <c r="D787" s="58"/>
      <c r="E787" s="58"/>
      <c r="F787" s="58"/>
      <c r="G787" s="58"/>
    </row>
    <row r="788">
      <c r="D788" s="58"/>
      <c r="E788" s="58"/>
      <c r="F788" s="58"/>
      <c r="G788" s="58"/>
    </row>
    <row r="789">
      <c r="D789" s="58"/>
      <c r="E789" s="58"/>
      <c r="F789" s="58"/>
      <c r="G789" s="58"/>
    </row>
    <row r="790">
      <c r="D790" s="58"/>
      <c r="E790" s="58"/>
      <c r="F790" s="58"/>
      <c r="G790" s="58"/>
    </row>
    <row r="791">
      <c r="D791" s="58"/>
      <c r="E791" s="58"/>
      <c r="F791" s="58"/>
      <c r="G791" s="58"/>
    </row>
    <row r="792">
      <c r="D792" s="58"/>
      <c r="E792" s="58"/>
      <c r="F792" s="58"/>
      <c r="G792" s="58"/>
    </row>
    <row r="793">
      <c r="D793" s="58"/>
      <c r="E793" s="58"/>
      <c r="F793" s="58"/>
      <c r="G793" s="58"/>
    </row>
    <row r="794">
      <c r="D794" s="58"/>
      <c r="E794" s="58"/>
      <c r="F794" s="58"/>
      <c r="G794" s="58"/>
    </row>
    <row r="795">
      <c r="D795" s="58"/>
      <c r="E795" s="58"/>
      <c r="F795" s="58"/>
      <c r="G795" s="58"/>
    </row>
    <row r="796">
      <c r="D796" s="58"/>
      <c r="E796" s="58"/>
      <c r="F796" s="58"/>
      <c r="G796" s="58"/>
    </row>
    <row r="797">
      <c r="D797" s="58"/>
      <c r="E797" s="58"/>
      <c r="F797" s="58"/>
      <c r="G797" s="58"/>
    </row>
    <row r="798">
      <c r="D798" s="58"/>
      <c r="E798" s="58"/>
      <c r="F798" s="58"/>
      <c r="G798" s="58"/>
    </row>
    <row r="799">
      <c r="D799" s="58"/>
      <c r="E799" s="58"/>
      <c r="F799" s="58"/>
      <c r="G799" s="58"/>
    </row>
    <row r="800">
      <c r="D800" s="58"/>
      <c r="E800" s="58"/>
      <c r="F800" s="58"/>
      <c r="G800" s="58"/>
    </row>
    <row r="801">
      <c r="D801" s="58"/>
      <c r="E801" s="58"/>
      <c r="F801" s="58"/>
      <c r="G801" s="58"/>
    </row>
    <row r="802">
      <c r="D802" s="58"/>
      <c r="E802" s="58"/>
      <c r="F802" s="58"/>
      <c r="G802" s="58"/>
    </row>
    <row r="803">
      <c r="D803" s="58"/>
      <c r="E803" s="58"/>
      <c r="F803" s="58"/>
      <c r="G803" s="58"/>
    </row>
    <row r="804">
      <c r="D804" s="58"/>
      <c r="E804" s="58"/>
      <c r="F804" s="58"/>
      <c r="G804" s="58"/>
    </row>
    <row r="805">
      <c r="D805" s="58"/>
      <c r="E805" s="58"/>
      <c r="F805" s="58"/>
      <c r="G805" s="58"/>
    </row>
    <row r="806">
      <c r="D806" s="58"/>
      <c r="E806" s="58"/>
      <c r="F806" s="58"/>
      <c r="G806" s="58"/>
    </row>
    <row r="807">
      <c r="D807" s="58"/>
      <c r="E807" s="58"/>
      <c r="F807" s="58"/>
      <c r="G807" s="58"/>
    </row>
    <row r="808">
      <c r="D808" s="58"/>
      <c r="E808" s="58"/>
      <c r="F808" s="58"/>
      <c r="G808" s="58"/>
    </row>
    <row r="809">
      <c r="D809" s="58"/>
      <c r="E809" s="58"/>
      <c r="F809" s="58"/>
      <c r="G809" s="58"/>
    </row>
    <row r="810">
      <c r="D810" s="58"/>
      <c r="E810" s="58"/>
      <c r="F810" s="58"/>
      <c r="G810" s="58"/>
    </row>
    <row r="811">
      <c r="D811" s="58"/>
      <c r="E811" s="58"/>
      <c r="F811" s="58"/>
      <c r="G811" s="58"/>
    </row>
    <row r="812">
      <c r="D812" s="58"/>
      <c r="E812" s="58"/>
      <c r="F812" s="58"/>
      <c r="G812" s="58"/>
    </row>
    <row r="813">
      <c r="D813" s="58"/>
      <c r="E813" s="58"/>
      <c r="F813" s="58"/>
      <c r="G813" s="58"/>
    </row>
    <row r="814">
      <c r="D814" s="58"/>
      <c r="E814" s="58"/>
      <c r="F814" s="58"/>
      <c r="G814" s="58"/>
    </row>
    <row r="815">
      <c r="D815" s="58"/>
      <c r="E815" s="58"/>
      <c r="F815" s="58"/>
      <c r="G815" s="58"/>
    </row>
    <row r="816">
      <c r="D816" s="58"/>
      <c r="E816" s="58"/>
      <c r="F816" s="58"/>
      <c r="G816" s="58"/>
    </row>
    <row r="817">
      <c r="D817" s="58"/>
      <c r="E817" s="58"/>
      <c r="F817" s="58"/>
      <c r="G817" s="58"/>
    </row>
    <row r="818">
      <c r="D818" s="58"/>
      <c r="E818" s="58"/>
      <c r="F818" s="58"/>
      <c r="G818" s="58"/>
    </row>
    <row r="819">
      <c r="D819" s="58"/>
      <c r="E819" s="58"/>
      <c r="F819" s="58"/>
      <c r="G819" s="58"/>
    </row>
    <row r="820">
      <c r="D820" s="58"/>
      <c r="E820" s="58"/>
      <c r="F820" s="58"/>
      <c r="G820" s="58"/>
    </row>
    <row r="821">
      <c r="D821" s="58"/>
      <c r="E821" s="58"/>
      <c r="F821" s="58"/>
      <c r="G821" s="58"/>
    </row>
    <row r="822">
      <c r="D822" s="58"/>
      <c r="E822" s="58"/>
      <c r="F822" s="58"/>
      <c r="G822" s="58"/>
    </row>
    <row r="823">
      <c r="D823" s="58"/>
      <c r="E823" s="58"/>
      <c r="F823" s="58"/>
      <c r="G823" s="58"/>
    </row>
    <row r="824">
      <c r="D824" s="58"/>
      <c r="E824" s="58"/>
      <c r="F824" s="58"/>
      <c r="G824" s="58"/>
    </row>
    <row r="825">
      <c r="D825" s="58"/>
      <c r="E825" s="58"/>
      <c r="F825" s="58"/>
      <c r="G825" s="58"/>
    </row>
    <row r="826">
      <c r="D826" s="58"/>
      <c r="E826" s="58"/>
      <c r="F826" s="58"/>
      <c r="G826" s="58"/>
    </row>
    <row r="827">
      <c r="D827" s="58"/>
      <c r="E827" s="58"/>
      <c r="F827" s="58"/>
      <c r="G827" s="58"/>
    </row>
    <row r="828">
      <c r="D828" s="58"/>
      <c r="E828" s="58"/>
      <c r="F828" s="58"/>
      <c r="G828" s="58"/>
    </row>
    <row r="829">
      <c r="D829" s="58"/>
      <c r="E829" s="58"/>
      <c r="F829" s="58"/>
      <c r="G829" s="58"/>
    </row>
    <row r="830">
      <c r="D830" s="58"/>
      <c r="E830" s="58"/>
      <c r="F830" s="58"/>
      <c r="G830" s="58"/>
    </row>
    <row r="831">
      <c r="D831" s="58"/>
      <c r="E831" s="58"/>
      <c r="F831" s="58"/>
      <c r="G831" s="58"/>
    </row>
    <row r="832">
      <c r="D832" s="58"/>
      <c r="E832" s="58"/>
      <c r="F832" s="58"/>
      <c r="G832" s="58"/>
    </row>
    <row r="833">
      <c r="D833" s="58"/>
      <c r="E833" s="58"/>
      <c r="F833" s="58"/>
      <c r="G833" s="58"/>
    </row>
    <row r="834">
      <c r="D834" s="58"/>
      <c r="E834" s="58"/>
      <c r="F834" s="58"/>
      <c r="G834" s="58"/>
    </row>
    <row r="835">
      <c r="D835" s="58"/>
      <c r="E835" s="58"/>
      <c r="F835" s="58"/>
      <c r="G835" s="58"/>
    </row>
    <row r="836">
      <c r="D836" s="58"/>
      <c r="E836" s="58"/>
      <c r="F836" s="58"/>
      <c r="G836" s="58"/>
    </row>
    <row r="837">
      <c r="D837" s="58"/>
      <c r="E837" s="58"/>
      <c r="F837" s="58"/>
      <c r="G837" s="58"/>
    </row>
    <row r="838">
      <c r="D838" s="58"/>
      <c r="E838" s="58"/>
      <c r="F838" s="58"/>
      <c r="G838" s="58"/>
    </row>
    <row r="839">
      <c r="D839" s="58"/>
      <c r="E839" s="58"/>
      <c r="F839" s="58"/>
      <c r="G839" s="58"/>
    </row>
    <row r="840">
      <c r="D840" s="58"/>
      <c r="E840" s="58"/>
      <c r="F840" s="58"/>
      <c r="G840" s="58"/>
    </row>
    <row r="841">
      <c r="D841" s="58"/>
      <c r="E841" s="58"/>
      <c r="F841" s="58"/>
      <c r="G841" s="58"/>
    </row>
    <row r="842">
      <c r="D842" s="58"/>
      <c r="E842" s="58"/>
      <c r="F842" s="58"/>
      <c r="G842" s="58"/>
    </row>
    <row r="843">
      <c r="D843" s="58"/>
      <c r="E843" s="58"/>
      <c r="F843" s="58"/>
      <c r="G843" s="58"/>
    </row>
    <row r="844">
      <c r="D844" s="58"/>
      <c r="E844" s="58"/>
      <c r="F844" s="58"/>
      <c r="G844" s="58"/>
    </row>
    <row r="845">
      <c r="D845" s="58"/>
      <c r="E845" s="58"/>
      <c r="F845" s="58"/>
      <c r="G845" s="58"/>
    </row>
    <row r="846">
      <c r="D846" s="58"/>
      <c r="E846" s="58"/>
      <c r="F846" s="58"/>
      <c r="G846" s="58"/>
    </row>
    <row r="847">
      <c r="D847" s="58"/>
      <c r="E847" s="58"/>
      <c r="F847" s="58"/>
      <c r="G847" s="58"/>
    </row>
    <row r="848">
      <c r="D848" s="58"/>
      <c r="E848" s="58"/>
      <c r="F848" s="58"/>
      <c r="G848" s="58"/>
    </row>
    <row r="849">
      <c r="D849" s="58"/>
      <c r="E849" s="58"/>
      <c r="F849" s="58"/>
      <c r="G849" s="58"/>
    </row>
    <row r="850">
      <c r="D850" s="58"/>
      <c r="E850" s="58"/>
      <c r="F850" s="58"/>
      <c r="G850" s="58"/>
    </row>
    <row r="851">
      <c r="D851" s="58"/>
      <c r="E851" s="58"/>
      <c r="F851" s="58"/>
      <c r="G851" s="58"/>
    </row>
    <row r="852">
      <c r="D852" s="58"/>
      <c r="E852" s="58"/>
      <c r="F852" s="58"/>
      <c r="G852" s="58"/>
    </row>
    <row r="853">
      <c r="D853" s="58"/>
      <c r="E853" s="58"/>
      <c r="F853" s="58"/>
      <c r="G853" s="58"/>
    </row>
    <row r="854">
      <c r="D854" s="58"/>
      <c r="E854" s="58"/>
      <c r="F854" s="58"/>
      <c r="G854" s="58"/>
    </row>
    <row r="855">
      <c r="D855" s="58"/>
      <c r="E855" s="58"/>
      <c r="F855" s="58"/>
      <c r="G855" s="58"/>
    </row>
    <row r="856">
      <c r="D856" s="58"/>
      <c r="E856" s="58"/>
      <c r="F856" s="58"/>
      <c r="G856" s="58"/>
    </row>
    <row r="857">
      <c r="D857" s="58"/>
      <c r="E857" s="58"/>
      <c r="F857" s="58"/>
      <c r="G857" s="58"/>
    </row>
    <row r="858">
      <c r="D858" s="58"/>
      <c r="E858" s="58"/>
      <c r="F858" s="58"/>
      <c r="G858" s="58"/>
    </row>
    <row r="859">
      <c r="D859" s="58"/>
      <c r="E859" s="58"/>
      <c r="F859" s="58"/>
      <c r="G859" s="58"/>
    </row>
    <row r="860">
      <c r="D860" s="58"/>
      <c r="E860" s="58"/>
      <c r="F860" s="58"/>
      <c r="G860" s="58"/>
    </row>
    <row r="861">
      <c r="D861" s="58"/>
      <c r="E861" s="58"/>
      <c r="F861" s="58"/>
      <c r="G861" s="58"/>
    </row>
    <row r="862">
      <c r="D862" s="58"/>
      <c r="E862" s="58"/>
      <c r="F862" s="58"/>
      <c r="G862" s="58"/>
    </row>
    <row r="863">
      <c r="D863" s="58"/>
      <c r="E863" s="58"/>
      <c r="F863" s="58"/>
      <c r="G863" s="58"/>
    </row>
    <row r="864">
      <c r="D864" s="58"/>
      <c r="E864" s="58"/>
      <c r="F864" s="58"/>
      <c r="G864" s="58"/>
    </row>
    <row r="865">
      <c r="D865" s="58"/>
      <c r="E865" s="58"/>
      <c r="F865" s="58"/>
      <c r="G865" s="58"/>
    </row>
    <row r="866">
      <c r="D866" s="58"/>
      <c r="E866" s="58"/>
      <c r="F866" s="58"/>
      <c r="G866" s="58"/>
    </row>
    <row r="867">
      <c r="D867" s="58"/>
      <c r="E867" s="58"/>
      <c r="F867" s="58"/>
      <c r="G867" s="58"/>
    </row>
    <row r="868">
      <c r="D868" s="58"/>
      <c r="E868" s="58"/>
      <c r="F868" s="58"/>
      <c r="G868" s="58"/>
    </row>
    <row r="869">
      <c r="D869" s="58"/>
      <c r="E869" s="58"/>
      <c r="F869" s="58"/>
      <c r="G869" s="58"/>
    </row>
    <row r="870">
      <c r="D870" s="58"/>
      <c r="E870" s="58"/>
      <c r="F870" s="58"/>
      <c r="G870" s="58"/>
    </row>
    <row r="871">
      <c r="D871" s="58"/>
      <c r="E871" s="58"/>
      <c r="F871" s="58"/>
      <c r="G871" s="58"/>
    </row>
    <row r="872">
      <c r="D872" s="58"/>
      <c r="E872" s="58"/>
      <c r="F872" s="58"/>
      <c r="G872" s="58"/>
    </row>
    <row r="873">
      <c r="D873" s="58"/>
      <c r="E873" s="58"/>
      <c r="F873" s="58"/>
      <c r="G873" s="58"/>
    </row>
    <row r="874">
      <c r="D874" s="58"/>
      <c r="E874" s="58"/>
      <c r="F874" s="58"/>
      <c r="G874" s="58"/>
    </row>
    <row r="875">
      <c r="D875" s="58"/>
      <c r="E875" s="58"/>
      <c r="F875" s="58"/>
      <c r="G875" s="58"/>
    </row>
    <row r="876">
      <c r="D876" s="58"/>
      <c r="E876" s="58"/>
      <c r="F876" s="58"/>
      <c r="G876" s="58"/>
    </row>
    <row r="877">
      <c r="D877" s="58"/>
      <c r="E877" s="58"/>
      <c r="F877" s="58"/>
      <c r="G877" s="58"/>
    </row>
    <row r="878">
      <c r="D878" s="58"/>
      <c r="E878" s="58"/>
      <c r="F878" s="58"/>
      <c r="G878" s="58"/>
    </row>
    <row r="879">
      <c r="D879" s="58"/>
      <c r="E879" s="58"/>
      <c r="F879" s="58"/>
      <c r="G879" s="58"/>
    </row>
    <row r="880">
      <c r="D880" s="58"/>
      <c r="E880" s="58"/>
      <c r="F880" s="58"/>
      <c r="G880" s="58"/>
    </row>
    <row r="881">
      <c r="D881" s="58"/>
      <c r="E881" s="58"/>
      <c r="F881" s="58"/>
      <c r="G881" s="58"/>
    </row>
    <row r="882">
      <c r="D882" s="58"/>
      <c r="E882" s="58"/>
      <c r="F882" s="58"/>
      <c r="G882" s="58"/>
    </row>
    <row r="883">
      <c r="D883" s="58"/>
      <c r="E883" s="58"/>
      <c r="F883" s="58"/>
      <c r="G883" s="58"/>
    </row>
    <row r="884">
      <c r="D884" s="58"/>
      <c r="E884" s="58"/>
      <c r="F884" s="58"/>
      <c r="G884" s="58"/>
    </row>
    <row r="885">
      <c r="D885" s="58"/>
      <c r="E885" s="58"/>
      <c r="F885" s="58"/>
      <c r="G885" s="58"/>
    </row>
    <row r="886">
      <c r="D886" s="58"/>
      <c r="E886" s="58"/>
      <c r="F886" s="58"/>
      <c r="G886" s="58"/>
    </row>
    <row r="887">
      <c r="D887" s="58"/>
      <c r="E887" s="58"/>
      <c r="F887" s="58"/>
      <c r="G887" s="58"/>
    </row>
    <row r="888">
      <c r="D888" s="58"/>
      <c r="E888" s="58"/>
      <c r="F888" s="58"/>
      <c r="G888" s="58"/>
    </row>
    <row r="889">
      <c r="D889" s="58"/>
      <c r="E889" s="58"/>
      <c r="F889" s="58"/>
      <c r="G889" s="58"/>
    </row>
    <row r="890">
      <c r="D890" s="58"/>
      <c r="E890" s="58"/>
      <c r="F890" s="58"/>
      <c r="G890" s="58"/>
    </row>
    <row r="891">
      <c r="D891" s="58"/>
      <c r="E891" s="58"/>
      <c r="F891" s="58"/>
      <c r="G891" s="58"/>
    </row>
    <row r="892">
      <c r="D892" s="58"/>
      <c r="E892" s="58"/>
      <c r="F892" s="58"/>
      <c r="G892" s="58"/>
    </row>
    <row r="893">
      <c r="D893" s="58"/>
      <c r="E893" s="58"/>
      <c r="F893" s="58"/>
      <c r="G893" s="58"/>
    </row>
    <row r="894">
      <c r="D894" s="58"/>
      <c r="E894" s="58"/>
      <c r="F894" s="58"/>
      <c r="G894" s="58"/>
    </row>
    <row r="895">
      <c r="D895" s="58"/>
      <c r="E895" s="58"/>
      <c r="F895" s="58"/>
      <c r="G895" s="58"/>
    </row>
    <row r="896">
      <c r="D896" s="58"/>
      <c r="E896" s="58"/>
      <c r="F896" s="58"/>
      <c r="G896" s="58"/>
    </row>
    <row r="897">
      <c r="D897" s="58"/>
      <c r="E897" s="58"/>
      <c r="F897" s="58"/>
      <c r="G897" s="58"/>
    </row>
    <row r="898">
      <c r="D898" s="58"/>
      <c r="E898" s="58"/>
      <c r="F898" s="58"/>
      <c r="G898" s="58"/>
    </row>
    <row r="899">
      <c r="D899" s="58"/>
      <c r="E899" s="58"/>
      <c r="F899" s="58"/>
      <c r="G899" s="58"/>
    </row>
    <row r="900">
      <c r="D900" s="58"/>
      <c r="E900" s="58"/>
      <c r="F900" s="58"/>
      <c r="G900" s="58"/>
    </row>
    <row r="901">
      <c r="D901" s="58"/>
      <c r="E901" s="58"/>
      <c r="F901" s="58"/>
      <c r="G901" s="58"/>
    </row>
    <row r="902">
      <c r="D902" s="58"/>
      <c r="E902" s="58"/>
      <c r="F902" s="58"/>
      <c r="G902" s="58"/>
    </row>
    <row r="903">
      <c r="D903" s="58"/>
      <c r="E903" s="58"/>
      <c r="F903" s="58"/>
      <c r="G903" s="58"/>
    </row>
    <row r="904">
      <c r="D904" s="58"/>
      <c r="E904" s="58"/>
      <c r="F904" s="58"/>
      <c r="G904" s="58"/>
    </row>
    <row r="905">
      <c r="D905" s="58"/>
      <c r="E905" s="58"/>
      <c r="F905" s="58"/>
      <c r="G905" s="58"/>
    </row>
    <row r="906">
      <c r="D906" s="58"/>
      <c r="E906" s="58"/>
      <c r="F906" s="58"/>
      <c r="G906" s="58"/>
    </row>
    <row r="907">
      <c r="D907" s="58"/>
      <c r="E907" s="58"/>
      <c r="F907" s="58"/>
      <c r="G907" s="58"/>
    </row>
    <row r="908">
      <c r="D908" s="58"/>
      <c r="E908" s="58"/>
      <c r="F908" s="58"/>
      <c r="G908" s="58"/>
    </row>
    <row r="909">
      <c r="D909" s="58"/>
      <c r="E909" s="58"/>
      <c r="F909" s="58"/>
      <c r="G909" s="58"/>
    </row>
    <row r="910">
      <c r="D910" s="58"/>
      <c r="E910" s="58"/>
      <c r="F910" s="58"/>
      <c r="G910" s="58"/>
    </row>
    <row r="911">
      <c r="D911" s="58"/>
      <c r="E911" s="58"/>
      <c r="F911" s="58"/>
      <c r="G911" s="58"/>
    </row>
    <row r="912">
      <c r="D912" s="58"/>
      <c r="E912" s="58"/>
      <c r="F912" s="58"/>
      <c r="G912" s="58"/>
    </row>
    <row r="913">
      <c r="D913" s="58"/>
      <c r="E913" s="58"/>
      <c r="F913" s="58"/>
      <c r="G913" s="58"/>
    </row>
    <row r="914">
      <c r="D914" s="58"/>
      <c r="E914" s="58"/>
      <c r="F914" s="58"/>
      <c r="G914" s="58"/>
    </row>
    <row r="915">
      <c r="D915" s="58"/>
      <c r="E915" s="58"/>
      <c r="F915" s="58"/>
      <c r="G915" s="58"/>
    </row>
    <row r="916">
      <c r="D916" s="58"/>
      <c r="E916" s="58"/>
      <c r="F916" s="58"/>
      <c r="G916" s="58"/>
    </row>
    <row r="917">
      <c r="D917" s="58"/>
      <c r="E917" s="58"/>
      <c r="F917" s="58"/>
      <c r="G917" s="58"/>
    </row>
    <row r="918">
      <c r="D918" s="58"/>
      <c r="E918" s="58"/>
      <c r="F918" s="58"/>
      <c r="G918" s="58"/>
    </row>
    <row r="919">
      <c r="D919" s="58"/>
      <c r="E919" s="58"/>
      <c r="F919" s="58"/>
      <c r="G919" s="58"/>
    </row>
    <row r="920">
      <c r="D920" s="58"/>
      <c r="E920" s="58"/>
      <c r="F920" s="58"/>
      <c r="G920" s="58"/>
    </row>
    <row r="921">
      <c r="D921" s="58"/>
      <c r="E921" s="58"/>
      <c r="F921" s="58"/>
      <c r="G921" s="58"/>
    </row>
    <row r="922">
      <c r="D922" s="58"/>
      <c r="E922" s="58"/>
      <c r="F922" s="58"/>
      <c r="G922" s="58"/>
    </row>
    <row r="923">
      <c r="D923" s="58"/>
      <c r="E923" s="58"/>
      <c r="F923" s="58"/>
      <c r="G923" s="58"/>
    </row>
    <row r="924">
      <c r="D924" s="58"/>
      <c r="E924" s="58"/>
      <c r="F924" s="58"/>
      <c r="G924" s="58"/>
    </row>
    <row r="925">
      <c r="D925" s="58"/>
      <c r="E925" s="58"/>
      <c r="F925" s="58"/>
      <c r="G925" s="58"/>
    </row>
    <row r="926">
      <c r="D926" s="58"/>
      <c r="E926" s="58"/>
      <c r="F926" s="58"/>
      <c r="G926" s="58"/>
    </row>
    <row r="927">
      <c r="D927" s="58"/>
      <c r="E927" s="58"/>
      <c r="F927" s="58"/>
      <c r="G927" s="58"/>
    </row>
    <row r="928">
      <c r="D928" s="58"/>
      <c r="E928" s="58"/>
      <c r="F928" s="58"/>
      <c r="G928" s="58"/>
    </row>
    <row r="929">
      <c r="D929" s="58"/>
      <c r="E929" s="58"/>
      <c r="F929" s="58"/>
      <c r="G929" s="58"/>
    </row>
    <row r="930">
      <c r="D930" s="58"/>
      <c r="E930" s="58"/>
      <c r="F930" s="58"/>
      <c r="G930" s="58"/>
    </row>
    <row r="931">
      <c r="D931" s="58"/>
      <c r="E931" s="58"/>
      <c r="F931" s="58"/>
      <c r="G931" s="58"/>
    </row>
    <row r="932">
      <c r="D932" s="58"/>
      <c r="E932" s="58"/>
      <c r="F932" s="58"/>
      <c r="G932" s="58"/>
    </row>
    <row r="933">
      <c r="D933" s="58"/>
      <c r="E933" s="58"/>
      <c r="F933" s="58"/>
      <c r="G933" s="58"/>
    </row>
    <row r="934">
      <c r="D934" s="58"/>
      <c r="E934" s="58"/>
      <c r="F934" s="58"/>
      <c r="G934" s="58"/>
    </row>
    <row r="935">
      <c r="D935" s="58"/>
      <c r="E935" s="58"/>
      <c r="F935" s="58"/>
      <c r="G935" s="58"/>
    </row>
    <row r="936">
      <c r="D936" s="58"/>
      <c r="E936" s="58"/>
      <c r="F936" s="58"/>
      <c r="G936" s="58"/>
    </row>
    <row r="937">
      <c r="D937" s="58"/>
      <c r="E937" s="58"/>
      <c r="F937" s="58"/>
      <c r="G937" s="58"/>
    </row>
    <row r="938">
      <c r="D938" s="58"/>
      <c r="E938" s="58"/>
      <c r="F938" s="58"/>
      <c r="G938" s="58"/>
    </row>
    <row r="939">
      <c r="D939" s="58"/>
      <c r="E939" s="58"/>
      <c r="F939" s="58"/>
      <c r="G939" s="58"/>
    </row>
    <row r="940">
      <c r="D940" s="58"/>
      <c r="E940" s="58"/>
      <c r="F940" s="58"/>
      <c r="G940" s="58"/>
    </row>
    <row r="941">
      <c r="D941" s="58"/>
      <c r="E941" s="58"/>
      <c r="F941" s="58"/>
      <c r="G941" s="58"/>
    </row>
    <row r="942">
      <c r="D942" s="58"/>
      <c r="E942" s="58"/>
      <c r="F942" s="58"/>
      <c r="G942" s="58"/>
    </row>
    <row r="943">
      <c r="D943" s="58"/>
      <c r="E943" s="58"/>
      <c r="F943" s="58"/>
      <c r="G943" s="58"/>
    </row>
    <row r="944">
      <c r="D944" s="58"/>
      <c r="E944" s="58"/>
      <c r="F944" s="58"/>
      <c r="G944" s="58"/>
    </row>
    <row r="945">
      <c r="D945" s="58"/>
      <c r="E945" s="58"/>
      <c r="F945" s="58"/>
      <c r="G945" s="58"/>
    </row>
    <row r="946">
      <c r="D946" s="58"/>
      <c r="E946" s="58"/>
      <c r="F946" s="58"/>
      <c r="G946" s="58"/>
    </row>
    <row r="947">
      <c r="D947" s="58"/>
      <c r="E947" s="58"/>
      <c r="F947" s="58"/>
      <c r="G947" s="58"/>
    </row>
    <row r="948">
      <c r="D948" s="58"/>
      <c r="E948" s="58"/>
      <c r="F948" s="58"/>
      <c r="G948" s="58"/>
    </row>
    <row r="949">
      <c r="D949" s="58"/>
      <c r="E949" s="58"/>
      <c r="F949" s="58"/>
      <c r="G949" s="58"/>
    </row>
    <row r="950">
      <c r="D950" s="58"/>
      <c r="E950" s="58"/>
      <c r="F950" s="58"/>
      <c r="G950" s="58"/>
    </row>
    <row r="951">
      <c r="D951" s="58"/>
      <c r="E951" s="58"/>
      <c r="F951" s="58"/>
      <c r="G951" s="58"/>
    </row>
    <row r="952">
      <c r="D952" s="58"/>
      <c r="E952" s="58"/>
      <c r="F952" s="58"/>
      <c r="G952" s="58"/>
    </row>
    <row r="953">
      <c r="D953" s="58"/>
      <c r="E953" s="58"/>
      <c r="F953" s="58"/>
      <c r="G953" s="58"/>
    </row>
    <row r="954">
      <c r="D954" s="58"/>
      <c r="E954" s="58"/>
      <c r="F954" s="58"/>
      <c r="G954" s="58"/>
    </row>
    <row r="955">
      <c r="D955" s="58"/>
      <c r="E955" s="58"/>
      <c r="F955" s="58"/>
      <c r="G955" s="58"/>
    </row>
    <row r="956">
      <c r="D956" s="58"/>
      <c r="E956" s="58"/>
      <c r="F956" s="58"/>
      <c r="G956" s="58"/>
    </row>
    <row r="957">
      <c r="D957" s="58"/>
      <c r="E957" s="58"/>
      <c r="F957" s="58"/>
      <c r="G957" s="58"/>
    </row>
    <row r="958">
      <c r="D958" s="58"/>
      <c r="E958" s="58"/>
      <c r="F958" s="58"/>
      <c r="G958" s="58"/>
    </row>
    <row r="959">
      <c r="D959" s="58"/>
      <c r="E959" s="58"/>
      <c r="F959" s="58"/>
      <c r="G959" s="58"/>
    </row>
    <row r="960">
      <c r="D960" s="58"/>
      <c r="E960" s="58"/>
      <c r="F960" s="58"/>
      <c r="G960" s="58"/>
    </row>
    <row r="961">
      <c r="D961" s="58"/>
      <c r="E961" s="58"/>
      <c r="F961" s="58"/>
      <c r="G961" s="58"/>
    </row>
    <row r="962">
      <c r="D962" s="58"/>
      <c r="E962" s="58"/>
      <c r="F962" s="58"/>
      <c r="G962" s="58"/>
    </row>
    <row r="963">
      <c r="D963" s="58"/>
      <c r="E963" s="58"/>
      <c r="F963" s="58"/>
      <c r="G963" s="58"/>
    </row>
    <row r="964">
      <c r="D964" s="58"/>
      <c r="E964" s="58"/>
      <c r="F964" s="58"/>
      <c r="G964" s="58"/>
    </row>
    <row r="965">
      <c r="D965" s="58"/>
      <c r="E965" s="58"/>
      <c r="F965" s="58"/>
      <c r="G965" s="58"/>
    </row>
    <row r="966">
      <c r="D966" s="58"/>
      <c r="E966" s="58"/>
      <c r="F966" s="58"/>
      <c r="G966" s="58"/>
    </row>
    <row r="967">
      <c r="D967" s="58"/>
      <c r="E967" s="58"/>
      <c r="F967" s="58"/>
      <c r="G967" s="58"/>
    </row>
    <row r="968">
      <c r="D968" s="58"/>
      <c r="E968" s="58"/>
      <c r="F968" s="58"/>
      <c r="G968" s="58"/>
    </row>
    <row r="969">
      <c r="D969" s="58"/>
      <c r="E969" s="58"/>
      <c r="F969" s="58"/>
      <c r="G969" s="58"/>
    </row>
    <row r="970">
      <c r="D970" s="58"/>
      <c r="E970" s="58"/>
      <c r="F970" s="58"/>
      <c r="G970" s="58"/>
    </row>
    <row r="971">
      <c r="D971" s="58"/>
      <c r="E971" s="58"/>
      <c r="F971" s="58"/>
      <c r="G971" s="58"/>
    </row>
    <row r="972">
      <c r="D972" s="58"/>
      <c r="E972" s="58"/>
      <c r="F972" s="58"/>
      <c r="G972" s="58"/>
    </row>
    <row r="973">
      <c r="D973" s="58"/>
      <c r="E973" s="58"/>
      <c r="F973" s="58"/>
      <c r="G973" s="58"/>
    </row>
    <row r="974">
      <c r="D974" s="58"/>
      <c r="E974" s="58"/>
      <c r="F974" s="58"/>
      <c r="G974" s="58"/>
    </row>
    <row r="975">
      <c r="D975" s="58"/>
      <c r="E975" s="58"/>
      <c r="F975" s="58"/>
      <c r="G975" s="58"/>
    </row>
    <row r="976">
      <c r="D976" s="58"/>
      <c r="E976" s="58"/>
      <c r="F976" s="58"/>
      <c r="G976" s="58"/>
    </row>
    <row r="977">
      <c r="D977" s="58"/>
      <c r="E977" s="58"/>
      <c r="F977" s="58"/>
      <c r="G977" s="58"/>
    </row>
    <row r="978">
      <c r="D978" s="58"/>
      <c r="E978" s="58"/>
      <c r="F978" s="58"/>
      <c r="G978" s="58"/>
    </row>
    <row r="979">
      <c r="D979" s="58"/>
      <c r="E979" s="58"/>
      <c r="F979" s="58"/>
      <c r="G979" s="58"/>
    </row>
    <row r="980">
      <c r="D980" s="58"/>
      <c r="E980" s="58"/>
      <c r="F980" s="58"/>
      <c r="G980" s="58"/>
    </row>
    <row r="981">
      <c r="D981" s="58"/>
      <c r="E981" s="58"/>
      <c r="F981" s="58"/>
      <c r="G981" s="58"/>
    </row>
    <row r="982">
      <c r="D982" s="58"/>
      <c r="E982" s="58"/>
      <c r="F982" s="58"/>
      <c r="G982" s="58"/>
    </row>
    <row r="983">
      <c r="D983" s="58"/>
      <c r="E983" s="58"/>
      <c r="F983" s="58"/>
      <c r="G983" s="58"/>
    </row>
    <row r="984">
      <c r="D984" s="58"/>
      <c r="E984" s="58"/>
      <c r="F984" s="58"/>
      <c r="G984" s="58"/>
    </row>
    <row r="985">
      <c r="D985" s="58"/>
      <c r="E985" s="58"/>
      <c r="F985" s="58"/>
      <c r="G985" s="58"/>
    </row>
    <row r="986">
      <c r="D986" s="58"/>
      <c r="E986" s="58"/>
      <c r="F986" s="58"/>
      <c r="G986" s="58"/>
    </row>
    <row r="987">
      <c r="D987" s="58"/>
      <c r="E987" s="58"/>
      <c r="F987" s="58"/>
      <c r="G987" s="58"/>
    </row>
    <row r="988">
      <c r="D988" s="58"/>
      <c r="E988" s="58"/>
      <c r="F988" s="58"/>
      <c r="G988" s="58"/>
    </row>
    <row r="989">
      <c r="D989" s="58"/>
      <c r="E989" s="58"/>
      <c r="F989" s="58"/>
      <c r="G989" s="58"/>
    </row>
    <row r="990">
      <c r="D990" s="58"/>
      <c r="E990" s="58"/>
      <c r="F990" s="58"/>
      <c r="G990" s="58"/>
    </row>
    <row r="991">
      <c r="D991" s="58"/>
      <c r="E991" s="58"/>
      <c r="F991" s="58"/>
      <c r="G991" s="58"/>
    </row>
    <row r="992">
      <c r="D992" s="58"/>
      <c r="E992" s="58"/>
      <c r="F992" s="58"/>
      <c r="G992" s="58"/>
    </row>
    <row r="993">
      <c r="D993" s="58"/>
      <c r="E993" s="58"/>
      <c r="F993" s="58"/>
      <c r="G993" s="58"/>
    </row>
    <row r="994">
      <c r="D994" s="58"/>
      <c r="E994" s="58"/>
      <c r="F994" s="58"/>
      <c r="G994" s="58"/>
    </row>
    <row r="995">
      <c r="D995" s="58"/>
      <c r="E995" s="58"/>
      <c r="F995" s="58"/>
      <c r="G995" s="58"/>
    </row>
    <row r="996">
      <c r="D996" s="58"/>
      <c r="E996" s="58"/>
      <c r="F996" s="58"/>
      <c r="G996" s="58"/>
    </row>
    <row r="997">
      <c r="D997" s="58"/>
      <c r="E997" s="58"/>
      <c r="F997" s="58"/>
      <c r="G997" s="58"/>
    </row>
    <row r="998">
      <c r="D998" s="58"/>
      <c r="E998" s="58"/>
      <c r="F998" s="58"/>
      <c r="G998" s="58"/>
    </row>
    <row r="999">
      <c r="D999" s="58"/>
      <c r="E999" s="58"/>
      <c r="F999" s="58"/>
      <c r="G999" s="58"/>
    </row>
    <row r="1000">
      <c r="D1000" s="58"/>
      <c r="E1000" s="58"/>
      <c r="F1000" s="58"/>
      <c r="G1000" s="58"/>
    </row>
    <row r="1001">
      <c r="D1001" s="58"/>
      <c r="E1001" s="58"/>
      <c r="F1001" s="58"/>
      <c r="G1001" s="58"/>
    </row>
    <row r="1002">
      <c r="D1002" s="58"/>
      <c r="E1002" s="58"/>
      <c r="F1002" s="58"/>
      <c r="G1002" s="58"/>
    </row>
    <row r="1003">
      <c r="D1003" s="58"/>
      <c r="E1003" s="58"/>
      <c r="F1003" s="58"/>
      <c r="G1003" s="58"/>
    </row>
    <row r="1004">
      <c r="D1004" s="58"/>
      <c r="E1004" s="58"/>
      <c r="F1004" s="58"/>
      <c r="G1004" s="58"/>
    </row>
    <row r="1005">
      <c r="D1005" s="58"/>
      <c r="E1005" s="58"/>
      <c r="F1005" s="58"/>
      <c r="G1005" s="58"/>
    </row>
    <row r="1006">
      <c r="D1006" s="58"/>
      <c r="E1006" s="58"/>
      <c r="F1006" s="58"/>
      <c r="G1006" s="58"/>
    </row>
    <row r="1007">
      <c r="D1007" s="58"/>
      <c r="E1007" s="58"/>
      <c r="F1007" s="58"/>
      <c r="G1007" s="58"/>
    </row>
    <row r="1008">
      <c r="D1008" s="58"/>
      <c r="E1008" s="58"/>
      <c r="F1008" s="58"/>
      <c r="G1008" s="58"/>
    </row>
    <row r="1009">
      <c r="D1009" s="58"/>
      <c r="E1009" s="58"/>
      <c r="F1009" s="58"/>
      <c r="G1009" s="58"/>
    </row>
    <row r="1010">
      <c r="D1010" s="58"/>
      <c r="E1010" s="58"/>
      <c r="F1010" s="58"/>
      <c r="G1010" s="58"/>
    </row>
    <row r="1011">
      <c r="D1011" s="58"/>
      <c r="E1011" s="58"/>
      <c r="F1011" s="58"/>
      <c r="G1011" s="58"/>
    </row>
    <row r="1012">
      <c r="D1012" s="58"/>
      <c r="E1012" s="58"/>
      <c r="F1012" s="58"/>
      <c r="G1012" s="58"/>
    </row>
    <row r="1013">
      <c r="D1013" s="58"/>
      <c r="E1013" s="58"/>
      <c r="F1013" s="58"/>
      <c r="G1013" s="58"/>
    </row>
    <row r="1014">
      <c r="D1014" s="58"/>
      <c r="E1014" s="58"/>
      <c r="F1014" s="58"/>
      <c r="G1014" s="58"/>
    </row>
    <row r="1015">
      <c r="D1015" s="58"/>
      <c r="E1015" s="58"/>
      <c r="F1015" s="58"/>
      <c r="G1015" s="58"/>
    </row>
    <row r="1016">
      <c r="D1016" s="58"/>
      <c r="E1016" s="58"/>
      <c r="F1016" s="58"/>
      <c r="G1016" s="58"/>
    </row>
    <row r="1017">
      <c r="D1017" s="58"/>
      <c r="E1017" s="58"/>
      <c r="F1017" s="58"/>
      <c r="G1017" s="58"/>
    </row>
    <row r="1018">
      <c r="D1018" s="58"/>
      <c r="E1018" s="58"/>
      <c r="F1018" s="58"/>
      <c r="G1018" s="58"/>
    </row>
    <row r="1019">
      <c r="D1019" s="58"/>
      <c r="E1019" s="58"/>
      <c r="F1019" s="58"/>
      <c r="G1019" s="58"/>
    </row>
    <row r="1020">
      <c r="D1020" s="58"/>
      <c r="E1020" s="58"/>
      <c r="F1020" s="58"/>
      <c r="G1020" s="58"/>
    </row>
    <row r="1021">
      <c r="D1021" s="58"/>
      <c r="E1021" s="58"/>
      <c r="F1021" s="58"/>
      <c r="G1021" s="58"/>
    </row>
    <row r="1022">
      <c r="D1022" s="58"/>
      <c r="E1022" s="58"/>
      <c r="F1022" s="58"/>
      <c r="G1022" s="58"/>
    </row>
    <row r="1023">
      <c r="D1023" s="58"/>
      <c r="E1023" s="58"/>
      <c r="F1023" s="58"/>
      <c r="G1023" s="58"/>
    </row>
    <row r="1024">
      <c r="D1024" s="58"/>
      <c r="E1024" s="58"/>
      <c r="F1024" s="58"/>
      <c r="G1024" s="58"/>
    </row>
    <row r="1025">
      <c r="D1025" s="58"/>
      <c r="E1025" s="58"/>
      <c r="F1025" s="58"/>
      <c r="G1025" s="58"/>
    </row>
    <row r="1026">
      <c r="D1026" s="58"/>
      <c r="E1026" s="58"/>
      <c r="F1026" s="58"/>
      <c r="G1026" s="58"/>
    </row>
    <row r="1027">
      <c r="D1027" s="58"/>
      <c r="E1027" s="58"/>
      <c r="F1027" s="58"/>
      <c r="G1027" s="58"/>
    </row>
    <row r="1028">
      <c r="D1028" s="58"/>
      <c r="E1028" s="58"/>
      <c r="F1028" s="58"/>
      <c r="G1028" s="58"/>
    </row>
    <row r="1029">
      <c r="D1029" s="58"/>
      <c r="E1029" s="58"/>
      <c r="F1029" s="58"/>
      <c r="G1029" s="58"/>
    </row>
    <row r="1030">
      <c r="D1030" s="58"/>
      <c r="E1030" s="58"/>
      <c r="F1030" s="58"/>
      <c r="G1030" s="58"/>
    </row>
    <row r="1031">
      <c r="D1031" s="58"/>
      <c r="E1031" s="58"/>
      <c r="F1031" s="58"/>
      <c r="G1031" s="58"/>
    </row>
    <row r="1032">
      <c r="D1032" s="58"/>
      <c r="E1032" s="58"/>
      <c r="F1032" s="58"/>
      <c r="G1032" s="58"/>
    </row>
    <row r="1033">
      <c r="D1033" s="58"/>
      <c r="E1033" s="58"/>
      <c r="F1033" s="58"/>
      <c r="G1033" s="58"/>
    </row>
    <row r="1034">
      <c r="D1034" s="58"/>
      <c r="E1034" s="58"/>
      <c r="F1034" s="58"/>
      <c r="G1034" s="58"/>
    </row>
    <row r="1035">
      <c r="D1035" s="58"/>
      <c r="E1035" s="58"/>
      <c r="F1035" s="58"/>
      <c r="G1035" s="58"/>
    </row>
    <row r="1036">
      <c r="D1036" s="58"/>
      <c r="E1036" s="58"/>
      <c r="F1036" s="58"/>
      <c r="G1036" s="58"/>
    </row>
    <row r="1037">
      <c r="D1037" s="58"/>
      <c r="E1037" s="58"/>
      <c r="F1037" s="58"/>
      <c r="G1037" s="58"/>
    </row>
    <row r="1038">
      <c r="D1038" s="58"/>
      <c r="E1038" s="58"/>
      <c r="F1038" s="58"/>
      <c r="G1038" s="58"/>
    </row>
    <row r="1039">
      <c r="D1039" s="58"/>
      <c r="E1039" s="58"/>
      <c r="F1039" s="58"/>
      <c r="G1039" s="58"/>
    </row>
    <row r="1040">
      <c r="D1040" s="58"/>
      <c r="E1040" s="58"/>
      <c r="F1040" s="58"/>
      <c r="G1040" s="58"/>
    </row>
    <row r="1041">
      <c r="D1041" s="58"/>
      <c r="E1041" s="58"/>
      <c r="F1041" s="58"/>
      <c r="G1041" s="58"/>
    </row>
    <row r="1042">
      <c r="D1042" s="58"/>
      <c r="E1042" s="58"/>
      <c r="F1042" s="58"/>
      <c r="G1042" s="58"/>
    </row>
    <row r="1043">
      <c r="D1043" s="58"/>
      <c r="E1043" s="58"/>
      <c r="F1043" s="58"/>
      <c r="G1043" s="58"/>
    </row>
    <row r="1044">
      <c r="D1044" s="58"/>
      <c r="E1044" s="58"/>
      <c r="F1044" s="58"/>
      <c r="G1044" s="58"/>
    </row>
    <row r="1045">
      <c r="D1045" s="58"/>
      <c r="E1045" s="58"/>
      <c r="F1045" s="58"/>
      <c r="G1045" s="58"/>
    </row>
    <row r="1046">
      <c r="D1046" s="58"/>
      <c r="E1046" s="58"/>
      <c r="F1046" s="58"/>
      <c r="G1046" s="58"/>
    </row>
    <row r="1047">
      <c r="D1047" s="58"/>
      <c r="E1047" s="58"/>
      <c r="F1047" s="58"/>
      <c r="G1047" s="58"/>
    </row>
    <row r="1048">
      <c r="D1048" s="58"/>
      <c r="E1048" s="58"/>
      <c r="F1048" s="58"/>
      <c r="G1048" s="58"/>
    </row>
    <row r="1049">
      <c r="D1049" s="58"/>
      <c r="E1049" s="58"/>
      <c r="F1049" s="58"/>
      <c r="G1049" s="58"/>
    </row>
    <row r="1050">
      <c r="D1050" s="58"/>
      <c r="E1050" s="58"/>
      <c r="F1050" s="58"/>
      <c r="G1050" s="58"/>
    </row>
    <row r="1051">
      <c r="D1051" s="58"/>
      <c r="E1051" s="58"/>
      <c r="F1051" s="58"/>
      <c r="G1051" s="58"/>
    </row>
    <row r="1052">
      <c r="D1052" s="58"/>
      <c r="E1052" s="58"/>
      <c r="F1052" s="58"/>
      <c r="G1052" s="58"/>
    </row>
    <row r="1053">
      <c r="D1053" s="58"/>
      <c r="E1053" s="58"/>
      <c r="F1053" s="58"/>
      <c r="G1053" s="58"/>
    </row>
    <row r="1054">
      <c r="D1054" s="58"/>
      <c r="E1054" s="58"/>
      <c r="F1054" s="58"/>
      <c r="G1054" s="58"/>
    </row>
    <row r="1055">
      <c r="D1055" s="58"/>
      <c r="E1055" s="58"/>
      <c r="F1055" s="58"/>
      <c r="G1055" s="58"/>
    </row>
    <row r="1056">
      <c r="D1056" s="58"/>
      <c r="E1056" s="58"/>
      <c r="F1056" s="58"/>
      <c r="G1056" s="58"/>
    </row>
    <row r="1057">
      <c r="D1057" s="58"/>
      <c r="E1057" s="58"/>
      <c r="F1057" s="58"/>
      <c r="G1057" s="58"/>
    </row>
    <row r="1058">
      <c r="D1058" s="58"/>
      <c r="E1058" s="58"/>
      <c r="F1058" s="58"/>
      <c r="G1058" s="58"/>
    </row>
    <row r="1059">
      <c r="D1059" s="58"/>
      <c r="E1059" s="58"/>
      <c r="F1059" s="58"/>
      <c r="G1059" s="58"/>
    </row>
    <row r="1060">
      <c r="D1060" s="58"/>
      <c r="E1060" s="58"/>
      <c r="F1060" s="58"/>
      <c r="G1060" s="58"/>
    </row>
    <row r="1061">
      <c r="D1061" s="58"/>
      <c r="E1061" s="58"/>
      <c r="F1061" s="58"/>
      <c r="G1061" s="58"/>
    </row>
    <row r="1062">
      <c r="D1062" s="58"/>
      <c r="E1062" s="58"/>
      <c r="F1062" s="58"/>
      <c r="G1062" s="58"/>
    </row>
    <row r="1063">
      <c r="D1063" s="58"/>
      <c r="E1063" s="58"/>
      <c r="F1063" s="58"/>
      <c r="G1063" s="58"/>
    </row>
    <row r="1064">
      <c r="D1064" s="58"/>
      <c r="E1064" s="58"/>
      <c r="F1064" s="58"/>
      <c r="G1064" s="58"/>
    </row>
    <row r="1065">
      <c r="D1065" s="58"/>
      <c r="E1065" s="58"/>
      <c r="F1065" s="58"/>
      <c r="G1065" s="58"/>
    </row>
    <row r="1066">
      <c r="D1066" s="58"/>
      <c r="E1066" s="58"/>
      <c r="F1066" s="58"/>
      <c r="G1066" s="58"/>
    </row>
    <row r="1067">
      <c r="D1067" s="58"/>
      <c r="E1067" s="58"/>
      <c r="F1067" s="58"/>
      <c r="G1067" s="58"/>
    </row>
    <row r="1068">
      <c r="D1068" s="58"/>
      <c r="E1068" s="58"/>
      <c r="F1068" s="58"/>
      <c r="G1068" s="58"/>
    </row>
    <row r="1069">
      <c r="D1069" s="58"/>
      <c r="E1069" s="58"/>
      <c r="F1069" s="58"/>
      <c r="G1069" s="58"/>
    </row>
    <row r="1070">
      <c r="D1070" s="58"/>
      <c r="E1070" s="58"/>
      <c r="F1070" s="58"/>
      <c r="G1070" s="58"/>
    </row>
    <row r="1071">
      <c r="D1071" s="58"/>
      <c r="E1071" s="58"/>
      <c r="F1071" s="58"/>
      <c r="G1071" s="58"/>
    </row>
    <row r="1072">
      <c r="D1072" s="58"/>
      <c r="E1072" s="58"/>
      <c r="F1072" s="58"/>
      <c r="G1072" s="58"/>
    </row>
    <row r="1073">
      <c r="D1073" s="58"/>
      <c r="E1073" s="58"/>
      <c r="F1073" s="58"/>
      <c r="G1073" s="58"/>
    </row>
    <row r="1074">
      <c r="D1074" s="58"/>
      <c r="E1074" s="58"/>
      <c r="F1074" s="58"/>
      <c r="G1074" s="58"/>
    </row>
    <row r="1075">
      <c r="D1075" s="58"/>
      <c r="E1075" s="58"/>
      <c r="F1075" s="58"/>
      <c r="G1075" s="58"/>
    </row>
    <row r="1076">
      <c r="D1076" s="58"/>
      <c r="E1076" s="58"/>
      <c r="F1076" s="58"/>
      <c r="G1076" s="58"/>
    </row>
    <row r="1077">
      <c r="D1077" s="58"/>
      <c r="E1077" s="58"/>
      <c r="F1077" s="58"/>
      <c r="G1077" s="58"/>
    </row>
    <row r="1078">
      <c r="D1078" s="58"/>
      <c r="E1078" s="58"/>
      <c r="F1078" s="58"/>
      <c r="G1078" s="58"/>
    </row>
    <row r="1079">
      <c r="D1079" s="58"/>
      <c r="E1079" s="58"/>
      <c r="F1079" s="58"/>
      <c r="G1079" s="58"/>
    </row>
    <row r="1080">
      <c r="D1080" s="58"/>
      <c r="E1080" s="58"/>
      <c r="F1080" s="58"/>
      <c r="G1080" s="58"/>
    </row>
    <row r="1081">
      <c r="D1081" s="58"/>
      <c r="E1081" s="58"/>
      <c r="F1081" s="58"/>
      <c r="G1081" s="58"/>
    </row>
    <row r="1082">
      <c r="D1082" s="58"/>
      <c r="E1082" s="58"/>
      <c r="F1082" s="58"/>
      <c r="G1082" s="58"/>
    </row>
    <row r="1083">
      <c r="D1083" s="58"/>
      <c r="E1083" s="58"/>
      <c r="F1083" s="58"/>
      <c r="G1083" s="58"/>
    </row>
    <row r="1084">
      <c r="D1084" s="58"/>
      <c r="E1084" s="58"/>
      <c r="F1084" s="58"/>
      <c r="G1084" s="58"/>
    </row>
    <row r="1085">
      <c r="D1085" s="58"/>
      <c r="E1085" s="58"/>
      <c r="F1085" s="58"/>
      <c r="G1085" s="58"/>
    </row>
    <row r="1086">
      <c r="D1086" s="58"/>
      <c r="E1086" s="58"/>
      <c r="F1086" s="58"/>
      <c r="G1086" s="58"/>
    </row>
    <row r="1087">
      <c r="D1087" s="58"/>
      <c r="E1087" s="58"/>
      <c r="F1087" s="58"/>
      <c r="G1087" s="58"/>
    </row>
    <row r="1088">
      <c r="D1088" s="58"/>
      <c r="E1088" s="58"/>
      <c r="F1088" s="58"/>
      <c r="G1088" s="58"/>
    </row>
    <row r="1089">
      <c r="D1089" s="58"/>
      <c r="E1089" s="58"/>
      <c r="F1089" s="58"/>
      <c r="G1089" s="58"/>
    </row>
    <row r="1090">
      <c r="D1090" s="58"/>
      <c r="E1090" s="58"/>
      <c r="F1090" s="58"/>
      <c r="G1090" s="58"/>
    </row>
    <row r="1091">
      <c r="D1091" s="58"/>
      <c r="E1091" s="58"/>
      <c r="F1091" s="58"/>
      <c r="G1091" s="58"/>
    </row>
    <row r="1092">
      <c r="D1092" s="58"/>
      <c r="E1092" s="58"/>
      <c r="F1092" s="58"/>
      <c r="G1092" s="58"/>
    </row>
    <row r="1093">
      <c r="D1093" s="58"/>
      <c r="E1093" s="58"/>
      <c r="F1093" s="58"/>
      <c r="G1093" s="58"/>
    </row>
    <row r="1094">
      <c r="D1094" s="58"/>
      <c r="E1094" s="58"/>
      <c r="F1094" s="58"/>
      <c r="G1094" s="58"/>
    </row>
    <row r="1095">
      <c r="D1095" s="58"/>
      <c r="E1095" s="58"/>
      <c r="F1095" s="58"/>
      <c r="G1095" s="58"/>
    </row>
    <row r="1096">
      <c r="D1096" s="58"/>
      <c r="E1096" s="58"/>
      <c r="F1096" s="58"/>
      <c r="G1096" s="58"/>
    </row>
    <row r="1097">
      <c r="D1097" s="58"/>
      <c r="E1097" s="58"/>
      <c r="F1097" s="58"/>
      <c r="G1097" s="58"/>
    </row>
    <row r="1098">
      <c r="D1098" s="58"/>
      <c r="E1098" s="58"/>
      <c r="F1098" s="58"/>
      <c r="G1098" s="58"/>
    </row>
    <row r="1099">
      <c r="D1099" s="58"/>
      <c r="E1099" s="58"/>
      <c r="F1099" s="58"/>
      <c r="G1099" s="58"/>
    </row>
    <row r="1100">
      <c r="D1100" s="58"/>
      <c r="E1100" s="58"/>
      <c r="F1100" s="58"/>
      <c r="G1100" s="58"/>
    </row>
    <row r="1101">
      <c r="D1101" s="58"/>
      <c r="E1101" s="58"/>
      <c r="F1101" s="58"/>
      <c r="G1101" s="58"/>
    </row>
    <row r="1102">
      <c r="D1102" s="58"/>
      <c r="E1102" s="58"/>
      <c r="F1102" s="58"/>
      <c r="G1102" s="58"/>
    </row>
    <row r="1103">
      <c r="D1103" s="58"/>
      <c r="E1103" s="58"/>
      <c r="F1103" s="58"/>
      <c r="G1103" s="58"/>
    </row>
    <row r="1104">
      <c r="D1104" s="58"/>
      <c r="E1104" s="58"/>
      <c r="F1104" s="58"/>
      <c r="G1104" s="58"/>
    </row>
    <row r="1105">
      <c r="D1105" s="58"/>
      <c r="E1105" s="58"/>
      <c r="F1105" s="58"/>
      <c r="G1105" s="58"/>
    </row>
    <row r="1106">
      <c r="D1106" s="58"/>
      <c r="E1106" s="58"/>
      <c r="F1106" s="58"/>
      <c r="G1106" s="58"/>
    </row>
    <row r="1107">
      <c r="D1107" s="58"/>
      <c r="E1107" s="58"/>
      <c r="F1107" s="58"/>
      <c r="G1107" s="58"/>
    </row>
    <row r="1108">
      <c r="D1108" s="58"/>
      <c r="E1108" s="58"/>
      <c r="F1108" s="58"/>
      <c r="G1108" s="58"/>
    </row>
    <row r="1109">
      <c r="D1109" s="58"/>
      <c r="E1109" s="58"/>
      <c r="F1109" s="58"/>
      <c r="G1109" s="58"/>
    </row>
    <row r="1110">
      <c r="D1110" s="58"/>
      <c r="E1110" s="58"/>
      <c r="F1110" s="58"/>
      <c r="G1110" s="58"/>
    </row>
    <row r="1111">
      <c r="D1111" s="58"/>
      <c r="E1111" s="58"/>
      <c r="F1111" s="58"/>
      <c r="G1111" s="58"/>
    </row>
    <row r="1112">
      <c r="D1112" s="58"/>
      <c r="E1112" s="58"/>
      <c r="F1112" s="58"/>
      <c r="G1112" s="58"/>
    </row>
    <row r="1113">
      <c r="D1113" s="58"/>
      <c r="E1113" s="58"/>
      <c r="F1113" s="58"/>
      <c r="G1113" s="58"/>
    </row>
    <row r="1114">
      <c r="D1114" s="58"/>
      <c r="E1114" s="58"/>
      <c r="F1114" s="58"/>
      <c r="G1114" s="58"/>
    </row>
    <row r="1115">
      <c r="D1115" s="58"/>
      <c r="E1115" s="58"/>
      <c r="F1115" s="58"/>
      <c r="G1115" s="58"/>
    </row>
    <row r="1116">
      <c r="D1116" s="58"/>
      <c r="E1116" s="58"/>
      <c r="F1116" s="58"/>
      <c r="G1116" s="58"/>
    </row>
    <row r="1117">
      <c r="D1117" s="58"/>
      <c r="E1117" s="58"/>
      <c r="F1117" s="58"/>
      <c r="G1117" s="58"/>
    </row>
    <row r="1118">
      <c r="D1118" s="58"/>
      <c r="E1118" s="58"/>
      <c r="F1118" s="58"/>
      <c r="G1118" s="58"/>
    </row>
    <row r="1119">
      <c r="D1119" s="58"/>
      <c r="E1119" s="58"/>
      <c r="F1119" s="58"/>
      <c r="G1119" s="58"/>
    </row>
    <row r="1120">
      <c r="D1120" s="58"/>
      <c r="E1120" s="58"/>
      <c r="F1120" s="58"/>
      <c r="G1120" s="58"/>
    </row>
    <row r="1121">
      <c r="D1121" s="58"/>
      <c r="E1121" s="58"/>
      <c r="F1121" s="58"/>
      <c r="G1121" s="58"/>
    </row>
    <row r="1122">
      <c r="D1122" s="58"/>
      <c r="E1122" s="58"/>
      <c r="F1122" s="58"/>
      <c r="G1122" s="58"/>
    </row>
    <row r="1123">
      <c r="D1123" s="58"/>
      <c r="E1123" s="58"/>
      <c r="F1123" s="58"/>
      <c r="G1123" s="58"/>
    </row>
    <row r="1124">
      <c r="D1124" s="58"/>
      <c r="E1124" s="58"/>
      <c r="F1124" s="58"/>
      <c r="G1124" s="58"/>
    </row>
    <row r="1125">
      <c r="D1125" s="58"/>
      <c r="E1125" s="58"/>
      <c r="F1125" s="58"/>
      <c r="G1125" s="58"/>
    </row>
    <row r="1126">
      <c r="D1126" s="58"/>
      <c r="E1126" s="58"/>
      <c r="F1126" s="58"/>
      <c r="G1126" s="58"/>
    </row>
    <row r="1127">
      <c r="D1127" s="58"/>
      <c r="E1127" s="58"/>
      <c r="F1127" s="58"/>
      <c r="G1127" s="58"/>
    </row>
    <row r="1128">
      <c r="D1128" s="58"/>
      <c r="E1128" s="58"/>
      <c r="F1128" s="58"/>
      <c r="G1128" s="58"/>
    </row>
    <row r="1129">
      <c r="D1129" s="58"/>
      <c r="E1129" s="58"/>
      <c r="F1129" s="58"/>
      <c r="G1129" s="58"/>
    </row>
    <row r="1130">
      <c r="D1130" s="58"/>
      <c r="E1130" s="58"/>
      <c r="F1130" s="58"/>
      <c r="G1130" s="58"/>
    </row>
    <row r="1131">
      <c r="D1131" s="58"/>
      <c r="E1131" s="58"/>
      <c r="F1131" s="58"/>
      <c r="G1131" s="58"/>
    </row>
    <row r="1132">
      <c r="D1132" s="58"/>
      <c r="E1132" s="58"/>
      <c r="F1132" s="58"/>
      <c r="G1132" s="58"/>
    </row>
    <row r="1133">
      <c r="D1133" s="58"/>
      <c r="E1133" s="58"/>
      <c r="F1133" s="58"/>
      <c r="G1133" s="58"/>
    </row>
    <row r="1134">
      <c r="D1134" s="58"/>
      <c r="E1134" s="58"/>
      <c r="F1134" s="58"/>
      <c r="G1134" s="58"/>
    </row>
    <row r="1135">
      <c r="D1135" s="58"/>
      <c r="E1135" s="58"/>
      <c r="F1135" s="58"/>
      <c r="G1135" s="58"/>
    </row>
    <row r="1136">
      <c r="D1136" s="58"/>
      <c r="E1136" s="58"/>
      <c r="F1136" s="58"/>
      <c r="G1136" s="58"/>
    </row>
    <row r="1137">
      <c r="D1137" s="58"/>
      <c r="E1137" s="58"/>
      <c r="F1137" s="58"/>
      <c r="G1137" s="58"/>
    </row>
    <row r="1138">
      <c r="D1138" s="58"/>
      <c r="E1138" s="58"/>
      <c r="F1138" s="58"/>
      <c r="G1138" s="58"/>
    </row>
    <row r="1139">
      <c r="D1139" s="58"/>
      <c r="E1139" s="58"/>
      <c r="F1139" s="58"/>
      <c r="G1139" s="58"/>
    </row>
    <row r="1140">
      <c r="D1140" s="58"/>
      <c r="E1140" s="58"/>
      <c r="F1140" s="58"/>
      <c r="G1140" s="58"/>
    </row>
    <row r="1141">
      <c r="D1141" s="58"/>
      <c r="E1141" s="58"/>
      <c r="F1141" s="58"/>
      <c r="G1141" s="58"/>
    </row>
    <row r="1142">
      <c r="D1142" s="58"/>
      <c r="E1142" s="58"/>
      <c r="F1142" s="58"/>
      <c r="G1142" s="58"/>
    </row>
    <row r="1143">
      <c r="D1143" s="58"/>
      <c r="E1143" s="58"/>
      <c r="F1143" s="58"/>
      <c r="G1143" s="58"/>
    </row>
    <row r="1144">
      <c r="D1144" s="58"/>
      <c r="E1144" s="58"/>
      <c r="F1144" s="58"/>
      <c r="G1144" s="58"/>
    </row>
    <row r="1145">
      <c r="D1145" s="58"/>
      <c r="E1145" s="58"/>
      <c r="F1145" s="58"/>
      <c r="G1145" s="58"/>
    </row>
    <row r="1146">
      <c r="D1146" s="58"/>
      <c r="E1146" s="58"/>
      <c r="F1146" s="58"/>
      <c r="G1146" s="58"/>
    </row>
    <row r="1147">
      <c r="D1147" s="58"/>
      <c r="E1147" s="58"/>
      <c r="F1147" s="58"/>
      <c r="G1147" s="58"/>
    </row>
    <row r="1148">
      <c r="D1148" s="58"/>
      <c r="E1148" s="58"/>
      <c r="F1148" s="58"/>
      <c r="G1148" s="58"/>
    </row>
    <row r="1149">
      <c r="D1149" s="58"/>
      <c r="E1149" s="58"/>
      <c r="F1149" s="58"/>
      <c r="G1149" s="58"/>
    </row>
    <row r="1150">
      <c r="D1150" s="58"/>
      <c r="E1150" s="58"/>
      <c r="F1150" s="58"/>
      <c r="G1150" s="58"/>
    </row>
    <row r="1151">
      <c r="D1151" s="58"/>
      <c r="E1151" s="58"/>
      <c r="F1151" s="58"/>
      <c r="G1151" s="58"/>
    </row>
    <row r="1152">
      <c r="D1152" s="58"/>
      <c r="E1152" s="58"/>
      <c r="F1152" s="58"/>
      <c r="G1152" s="58"/>
    </row>
    <row r="1153">
      <c r="D1153" s="58"/>
      <c r="E1153" s="58"/>
      <c r="F1153" s="58"/>
      <c r="G1153" s="58"/>
    </row>
    <row r="1154">
      <c r="D1154" s="58"/>
      <c r="E1154" s="58"/>
      <c r="F1154" s="58"/>
      <c r="G1154" s="58"/>
    </row>
    <row r="1155">
      <c r="D1155" s="58"/>
      <c r="E1155" s="58"/>
      <c r="F1155" s="58"/>
      <c r="G1155" s="58"/>
    </row>
    <row r="1156">
      <c r="D1156" s="58"/>
      <c r="E1156" s="58"/>
      <c r="F1156" s="58"/>
      <c r="G1156" s="58"/>
    </row>
    <row r="1157">
      <c r="D1157" s="58"/>
      <c r="E1157" s="58"/>
      <c r="F1157" s="58"/>
      <c r="G1157" s="58"/>
    </row>
    <row r="1158">
      <c r="D1158" s="58"/>
      <c r="E1158" s="58"/>
      <c r="F1158" s="58"/>
      <c r="G1158" s="58"/>
    </row>
    <row r="1159">
      <c r="D1159" s="58"/>
      <c r="E1159" s="58"/>
      <c r="F1159" s="58"/>
      <c r="G1159" s="58"/>
    </row>
    <row r="1160">
      <c r="D1160" s="58"/>
      <c r="E1160" s="58"/>
      <c r="F1160" s="58"/>
      <c r="G1160" s="58"/>
    </row>
    <row r="1161">
      <c r="D1161" s="58"/>
      <c r="E1161" s="58"/>
      <c r="F1161" s="58"/>
      <c r="G1161" s="58"/>
    </row>
    <row r="1162">
      <c r="D1162" s="58"/>
      <c r="E1162" s="58"/>
      <c r="F1162" s="58"/>
      <c r="G1162" s="58"/>
    </row>
    <row r="1163">
      <c r="D1163" s="58"/>
      <c r="E1163" s="58"/>
      <c r="F1163" s="58"/>
      <c r="G1163" s="58"/>
    </row>
    <row r="1164">
      <c r="D1164" s="58"/>
      <c r="E1164" s="58"/>
      <c r="F1164" s="58"/>
      <c r="G1164" s="58"/>
    </row>
    <row r="1165">
      <c r="D1165" s="58"/>
      <c r="E1165" s="58"/>
      <c r="F1165" s="58"/>
      <c r="G1165" s="58"/>
    </row>
    <row r="1166">
      <c r="D1166" s="58"/>
      <c r="E1166" s="58"/>
      <c r="F1166" s="58"/>
      <c r="G1166" s="58"/>
    </row>
    <row r="1167">
      <c r="D1167" s="58"/>
      <c r="E1167" s="58"/>
      <c r="F1167" s="58"/>
      <c r="G1167" s="58"/>
    </row>
    <row r="1168">
      <c r="D1168" s="58"/>
      <c r="E1168" s="58"/>
      <c r="F1168" s="58"/>
      <c r="G1168" s="58"/>
    </row>
    <row r="1169">
      <c r="D1169" s="58"/>
      <c r="E1169" s="58"/>
      <c r="F1169" s="58"/>
      <c r="G1169" s="58"/>
    </row>
    <row r="1170">
      <c r="D1170" s="58"/>
      <c r="E1170" s="58"/>
      <c r="F1170" s="58"/>
      <c r="G1170" s="58"/>
    </row>
    <row r="1171">
      <c r="D1171" s="58"/>
      <c r="E1171" s="58"/>
      <c r="F1171" s="58"/>
      <c r="G1171" s="58"/>
    </row>
    <row r="1172">
      <c r="D1172" s="58"/>
      <c r="E1172" s="58"/>
      <c r="F1172" s="58"/>
      <c r="G1172" s="58"/>
    </row>
    <row r="1173">
      <c r="D1173" s="58"/>
      <c r="E1173" s="58"/>
      <c r="F1173" s="58"/>
      <c r="G1173" s="58"/>
    </row>
    <row r="1174">
      <c r="D1174" s="58"/>
      <c r="E1174" s="58"/>
      <c r="F1174" s="58"/>
      <c r="G1174" s="58"/>
    </row>
    <row r="1175">
      <c r="D1175" s="58"/>
      <c r="E1175" s="58"/>
      <c r="F1175" s="58"/>
      <c r="G1175" s="58"/>
    </row>
    <row r="1176">
      <c r="D1176" s="58"/>
      <c r="E1176" s="58"/>
      <c r="F1176" s="58"/>
      <c r="G1176" s="58"/>
    </row>
    <row r="1177">
      <c r="D1177" s="58"/>
      <c r="E1177" s="58"/>
      <c r="F1177" s="58"/>
      <c r="G1177" s="58"/>
    </row>
    <row r="1178">
      <c r="D1178" s="58"/>
      <c r="E1178" s="58"/>
      <c r="F1178" s="58"/>
      <c r="G1178" s="58"/>
    </row>
    <row r="1179">
      <c r="D1179" s="58"/>
      <c r="E1179" s="58"/>
      <c r="F1179" s="58"/>
      <c r="G1179" s="58"/>
    </row>
    <row r="1180">
      <c r="D1180" s="58"/>
      <c r="E1180" s="58"/>
      <c r="F1180" s="58"/>
      <c r="G1180" s="58"/>
    </row>
    <row r="1181">
      <c r="D1181" s="58"/>
      <c r="E1181" s="58"/>
      <c r="F1181" s="58"/>
      <c r="G1181" s="58"/>
    </row>
    <row r="1182">
      <c r="D1182" s="58"/>
      <c r="E1182" s="58"/>
      <c r="F1182" s="58"/>
      <c r="G1182" s="58"/>
    </row>
    <row r="1183">
      <c r="D1183" s="58"/>
      <c r="E1183" s="58"/>
      <c r="F1183" s="58"/>
      <c r="G1183" s="58"/>
    </row>
    <row r="1184">
      <c r="D1184" s="58"/>
      <c r="E1184" s="58"/>
      <c r="F1184" s="58"/>
      <c r="G1184" s="58"/>
    </row>
    <row r="1185">
      <c r="D1185" s="58"/>
      <c r="E1185" s="58"/>
      <c r="F1185" s="58"/>
      <c r="G1185" s="58"/>
    </row>
    <row r="1186">
      <c r="D1186" s="58"/>
      <c r="E1186" s="58"/>
      <c r="F1186" s="58"/>
      <c r="G1186" s="58"/>
    </row>
    <row r="1187">
      <c r="D1187" s="58"/>
      <c r="E1187" s="58"/>
      <c r="F1187" s="58"/>
      <c r="G1187" s="58"/>
    </row>
    <row r="1188">
      <c r="D1188" s="58"/>
      <c r="E1188" s="58"/>
      <c r="F1188" s="58"/>
      <c r="G1188" s="58"/>
    </row>
    <row r="1189">
      <c r="D1189" s="58"/>
      <c r="E1189" s="58"/>
      <c r="F1189" s="58"/>
      <c r="G1189" s="58"/>
    </row>
    <row r="1190">
      <c r="D1190" s="58"/>
      <c r="E1190" s="58"/>
      <c r="F1190" s="58"/>
      <c r="G1190" s="58"/>
    </row>
    <row r="1191">
      <c r="D1191" s="58"/>
      <c r="E1191" s="58"/>
      <c r="F1191" s="58"/>
      <c r="G1191" s="58"/>
    </row>
    <row r="1192">
      <c r="D1192" s="58"/>
      <c r="E1192" s="58"/>
      <c r="F1192" s="58"/>
      <c r="G1192" s="58"/>
    </row>
    <row r="1193">
      <c r="D1193" s="58"/>
      <c r="E1193" s="58"/>
      <c r="F1193" s="58"/>
      <c r="G1193" s="58"/>
    </row>
    <row r="1194">
      <c r="D1194" s="58"/>
      <c r="E1194" s="58"/>
      <c r="F1194" s="58"/>
      <c r="G1194" s="58"/>
    </row>
    <row r="1195">
      <c r="D1195" s="58"/>
      <c r="E1195" s="58"/>
      <c r="F1195" s="58"/>
      <c r="G1195" s="58"/>
    </row>
    <row r="1196">
      <c r="D1196" s="58"/>
      <c r="E1196" s="58"/>
      <c r="F1196" s="58"/>
      <c r="G1196" s="58"/>
    </row>
    <row r="1197">
      <c r="D1197" s="58"/>
      <c r="E1197" s="58"/>
      <c r="F1197" s="58"/>
      <c r="G1197" s="58"/>
    </row>
    <row r="1198">
      <c r="D1198" s="58"/>
      <c r="E1198" s="58"/>
      <c r="F1198" s="58"/>
      <c r="G1198" s="58"/>
    </row>
    <row r="1199">
      <c r="D1199" s="58"/>
      <c r="E1199" s="58"/>
      <c r="F1199" s="58"/>
      <c r="G1199" s="58"/>
    </row>
    <row r="1200">
      <c r="D1200" s="58"/>
      <c r="E1200" s="58"/>
      <c r="F1200" s="58"/>
      <c r="G1200" s="58"/>
    </row>
    <row r="1201">
      <c r="D1201" s="58"/>
      <c r="E1201" s="58"/>
      <c r="F1201" s="58"/>
      <c r="G1201" s="58"/>
    </row>
    <row r="1202">
      <c r="D1202" s="58"/>
      <c r="E1202" s="58"/>
      <c r="F1202" s="58"/>
      <c r="G1202" s="58"/>
    </row>
    <row r="1203">
      <c r="D1203" s="58"/>
      <c r="E1203" s="58"/>
      <c r="F1203" s="58"/>
      <c r="G1203" s="58"/>
    </row>
    <row r="1204">
      <c r="D1204" s="58"/>
      <c r="E1204" s="58"/>
      <c r="F1204" s="58"/>
      <c r="G1204" s="58"/>
    </row>
    <row r="1205">
      <c r="D1205" s="58"/>
      <c r="E1205" s="58"/>
      <c r="F1205" s="58"/>
      <c r="G1205" s="58"/>
    </row>
    <row r="1206">
      <c r="D1206" s="58"/>
      <c r="E1206" s="58"/>
      <c r="F1206" s="58"/>
      <c r="G1206" s="58"/>
    </row>
    <row r="1207">
      <c r="D1207" s="58"/>
      <c r="E1207" s="58"/>
      <c r="F1207" s="58"/>
      <c r="G1207" s="58"/>
    </row>
    <row r="1208">
      <c r="D1208" s="58"/>
      <c r="E1208" s="58"/>
      <c r="F1208" s="58"/>
      <c r="G1208" s="58"/>
    </row>
    <row r="1209">
      <c r="D1209" s="58"/>
      <c r="E1209" s="58"/>
      <c r="F1209" s="58"/>
      <c r="G1209" s="58"/>
    </row>
    <row r="1210">
      <c r="D1210" s="58"/>
      <c r="E1210" s="58"/>
      <c r="F1210" s="58"/>
      <c r="G1210" s="58"/>
    </row>
    <row r="1211">
      <c r="D1211" s="58"/>
      <c r="E1211" s="58"/>
      <c r="F1211" s="58"/>
      <c r="G1211" s="58"/>
    </row>
    <row r="1212">
      <c r="D1212" s="58"/>
      <c r="E1212" s="58"/>
      <c r="F1212" s="58"/>
      <c r="G1212" s="58"/>
    </row>
    <row r="1213">
      <c r="D1213" s="58"/>
      <c r="E1213" s="58"/>
      <c r="F1213" s="58"/>
      <c r="G1213" s="58"/>
    </row>
    <row r="1214">
      <c r="D1214" s="58"/>
      <c r="E1214" s="58"/>
      <c r="F1214" s="58"/>
      <c r="G1214" s="58"/>
    </row>
    <row r="1215">
      <c r="D1215" s="58"/>
      <c r="E1215" s="58"/>
      <c r="F1215" s="58"/>
      <c r="G1215" s="58"/>
    </row>
    <row r="1216">
      <c r="D1216" s="58"/>
      <c r="E1216" s="58"/>
      <c r="F1216" s="58"/>
      <c r="G1216" s="58"/>
    </row>
    <row r="1217">
      <c r="D1217" s="58"/>
      <c r="E1217" s="58"/>
      <c r="F1217" s="58"/>
      <c r="G1217" s="58"/>
    </row>
    <row r="1218">
      <c r="D1218" s="58"/>
      <c r="E1218" s="58"/>
      <c r="F1218" s="58"/>
      <c r="G1218" s="58"/>
    </row>
    <row r="1219">
      <c r="D1219" s="58"/>
      <c r="E1219" s="58"/>
      <c r="F1219" s="58"/>
      <c r="G1219" s="58"/>
    </row>
    <row r="1220">
      <c r="D1220" s="58"/>
      <c r="E1220" s="58"/>
      <c r="F1220" s="58"/>
      <c r="G1220" s="58"/>
    </row>
    <row r="1221">
      <c r="D1221" s="58"/>
      <c r="E1221" s="58"/>
      <c r="F1221" s="58"/>
      <c r="G1221" s="58"/>
    </row>
    <row r="1222">
      <c r="D1222" s="58"/>
      <c r="E1222" s="58"/>
      <c r="F1222" s="58"/>
      <c r="G1222" s="58"/>
    </row>
    <row r="1223">
      <c r="D1223" s="58"/>
      <c r="E1223" s="58"/>
      <c r="F1223" s="58"/>
      <c r="G1223" s="58"/>
    </row>
    <row r="1224">
      <c r="D1224" s="58"/>
      <c r="E1224" s="58"/>
      <c r="F1224" s="58"/>
      <c r="G1224" s="58"/>
    </row>
    <row r="1225">
      <c r="D1225" s="58"/>
      <c r="E1225" s="58"/>
      <c r="F1225" s="58"/>
      <c r="G1225" s="58"/>
    </row>
    <row r="1226">
      <c r="D1226" s="58"/>
      <c r="E1226" s="58"/>
      <c r="F1226" s="58"/>
      <c r="G1226" s="58"/>
    </row>
    <row r="1227">
      <c r="D1227" s="58"/>
      <c r="E1227" s="58"/>
      <c r="F1227" s="58"/>
      <c r="G1227" s="58"/>
    </row>
    <row r="1228">
      <c r="D1228" s="58"/>
      <c r="E1228" s="58"/>
      <c r="F1228" s="58"/>
      <c r="G1228" s="58"/>
    </row>
    <row r="1229">
      <c r="D1229" s="58"/>
      <c r="E1229" s="58"/>
      <c r="F1229" s="58"/>
      <c r="G1229" s="58"/>
    </row>
    <row r="1230">
      <c r="D1230" s="58"/>
      <c r="E1230" s="58"/>
      <c r="F1230" s="58"/>
      <c r="G1230" s="58"/>
    </row>
    <row r="1231">
      <c r="D1231" s="58"/>
      <c r="E1231" s="58"/>
      <c r="F1231" s="58"/>
      <c r="G1231" s="58"/>
    </row>
    <row r="1232">
      <c r="D1232" s="58"/>
      <c r="E1232" s="58"/>
      <c r="F1232" s="58"/>
      <c r="G1232" s="58"/>
    </row>
    <row r="1233">
      <c r="D1233" s="58"/>
      <c r="E1233" s="58"/>
      <c r="F1233" s="58"/>
      <c r="G1233" s="58"/>
    </row>
    <row r="1234">
      <c r="D1234" s="58"/>
      <c r="E1234" s="58"/>
      <c r="F1234" s="58"/>
      <c r="G1234" s="58"/>
    </row>
    <row r="1235">
      <c r="D1235" s="58"/>
      <c r="E1235" s="58"/>
      <c r="F1235" s="58"/>
      <c r="G1235" s="58"/>
    </row>
    <row r="1236">
      <c r="D1236" s="58"/>
      <c r="E1236" s="58"/>
      <c r="F1236" s="58"/>
      <c r="G1236" s="58"/>
    </row>
    <row r="1237">
      <c r="D1237" s="58"/>
      <c r="E1237" s="58"/>
      <c r="F1237" s="58"/>
      <c r="G1237" s="58"/>
    </row>
    <row r="1238">
      <c r="D1238" s="58"/>
      <c r="E1238" s="58"/>
      <c r="F1238" s="58"/>
      <c r="G1238" s="58"/>
    </row>
    <row r="1239">
      <c r="D1239" s="58"/>
      <c r="E1239" s="58"/>
      <c r="F1239" s="58"/>
      <c r="G1239" s="58"/>
    </row>
    <row r="1240">
      <c r="D1240" s="58"/>
      <c r="E1240" s="58"/>
      <c r="F1240" s="58"/>
      <c r="G1240" s="58"/>
    </row>
    <row r="1241">
      <c r="D1241" s="58"/>
      <c r="E1241" s="58"/>
      <c r="F1241" s="58"/>
      <c r="G1241" s="58"/>
    </row>
    <row r="1242">
      <c r="D1242" s="58"/>
      <c r="E1242" s="58"/>
      <c r="F1242" s="58"/>
      <c r="G1242" s="58"/>
    </row>
    <row r="1243">
      <c r="D1243" s="58"/>
      <c r="E1243" s="58"/>
      <c r="F1243" s="58"/>
      <c r="G1243" s="58"/>
    </row>
    <row r="1244">
      <c r="D1244" s="58"/>
      <c r="E1244" s="58"/>
      <c r="F1244" s="58"/>
      <c r="G1244" s="58"/>
    </row>
    <row r="1245">
      <c r="D1245" s="58"/>
      <c r="E1245" s="58"/>
      <c r="F1245" s="58"/>
      <c r="G1245" s="58"/>
    </row>
    <row r="1246">
      <c r="D1246" s="58"/>
      <c r="E1246" s="58"/>
      <c r="F1246" s="58"/>
      <c r="G1246" s="58"/>
    </row>
    <row r="1247">
      <c r="D1247" s="58"/>
      <c r="E1247" s="58"/>
      <c r="F1247" s="58"/>
      <c r="G1247" s="58"/>
    </row>
    <row r="1248">
      <c r="D1248" s="58"/>
      <c r="E1248" s="58"/>
      <c r="F1248" s="58"/>
      <c r="G1248" s="58"/>
    </row>
    <row r="1249">
      <c r="D1249" s="58"/>
      <c r="E1249" s="58"/>
      <c r="F1249" s="58"/>
      <c r="G1249" s="58"/>
    </row>
    <row r="1250">
      <c r="D1250" s="58"/>
      <c r="E1250" s="58"/>
      <c r="F1250" s="58"/>
      <c r="G1250" s="58"/>
    </row>
    <row r="1251">
      <c r="D1251" s="58"/>
      <c r="E1251" s="58"/>
      <c r="F1251" s="58"/>
      <c r="G1251" s="58"/>
    </row>
    <row r="1252">
      <c r="D1252" s="58"/>
      <c r="E1252" s="58"/>
      <c r="F1252" s="58"/>
      <c r="G1252" s="58"/>
    </row>
    <row r="1253">
      <c r="D1253" s="58"/>
      <c r="E1253" s="58"/>
      <c r="F1253" s="58"/>
      <c r="G1253" s="58"/>
    </row>
    <row r="1254">
      <c r="D1254" s="58"/>
      <c r="E1254" s="58"/>
      <c r="F1254" s="58"/>
      <c r="G1254" s="58"/>
    </row>
    <row r="1255">
      <c r="D1255" s="58"/>
      <c r="E1255" s="58"/>
      <c r="F1255" s="58"/>
      <c r="G1255" s="58"/>
    </row>
    <row r="1256">
      <c r="D1256" s="58"/>
      <c r="E1256" s="58"/>
      <c r="F1256" s="58"/>
      <c r="G1256" s="58"/>
    </row>
    <row r="1257">
      <c r="D1257" s="58"/>
      <c r="E1257" s="58"/>
      <c r="F1257" s="58"/>
      <c r="G1257" s="58"/>
    </row>
    <row r="1258">
      <c r="D1258" s="58"/>
      <c r="E1258" s="58"/>
      <c r="F1258" s="58"/>
      <c r="G1258" s="58"/>
    </row>
    <row r="1259">
      <c r="D1259" s="58"/>
      <c r="E1259" s="58"/>
      <c r="F1259" s="58"/>
      <c r="G1259" s="58"/>
    </row>
    <row r="1260">
      <c r="D1260" s="58"/>
      <c r="E1260" s="58"/>
      <c r="F1260" s="58"/>
      <c r="G1260" s="58"/>
    </row>
    <row r="1261">
      <c r="D1261" s="58"/>
      <c r="E1261" s="58"/>
      <c r="F1261" s="58"/>
      <c r="G1261" s="58"/>
    </row>
    <row r="1262">
      <c r="D1262" s="58"/>
      <c r="E1262" s="58"/>
      <c r="F1262" s="58"/>
      <c r="G1262" s="58"/>
    </row>
    <row r="1263">
      <c r="D1263" s="58"/>
      <c r="E1263" s="58"/>
      <c r="F1263" s="58"/>
      <c r="G1263" s="58"/>
    </row>
    <row r="1264">
      <c r="D1264" s="58"/>
      <c r="E1264" s="58"/>
      <c r="F1264" s="58"/>
      <c r="G1264" s="58"/>
    </row>
    <row r="1265">
      <c r="D1265" s="58"/>
      <c r="E1265" s="58"/>
      <c r="F1265" s="58"/>
      <c r="G1265" s="58"/>
    </row>
    <row r="1266">
      <c r="D1266" s="58"/>
      <c r="E1266" s="58"/>
      <c r="F1266" s="58"/>
      <c r="G1266" s="58"/>
    </row>
    <row r="1267">
      <c r="D1267" s="58"/>
      <c r="E1267" s="58"/>
      <c r="F1267" s="58"/>
      <c r="G1267" s="58"/>
    </row>
    <row r="1268">
      <c r="D1268" s="58"/>
      <c r="E1268" s="58"/>
      <c r="F1268" s="58"/>
      <c r="G1268" s="58"/>
    </row>
    <row r="1269">
      <c r="D1269" s="58"/>
      <c r="E1269" s="58"/>
      <c r="F1269" s="58"/>
      <c r="G1269" s="58"/>
    </row>
    <row r="1270">
      <c r="D1270" s="58"/>
      <c r="E1270" s="58"/>
      <c r="F1270" s="58"/>
      <c r="G1270" s="58"/>
    </row>
    <row r="1271">
      <c r="D1271" s="58"/>
      <c r="E1271" s="58"/>
      <c r="F1271" s="58"/>
      <c r="G1271" s="58"/>
    </row>
    <row r="1272">
      <c r="D1272" s="58"/>
      <c r="E1272" s="58"/>
      <c r="F1272" s="58"/>
      <c r="G1272" s="58"/>
    </row>
    <row r="1273">
      <c r="D1273" s="58"/>
      <c r="E1273" s="58"/>
      <c r="F1273" s="58"/>
      <c r="G1273" s="58"/>
    </row>
    <row r="1274">
      <c r="D1274" s="58"/>
      <c r="E1274" s="58"/>
      <c r="F1274" s="58"/>
      <c r="G1274" s="58"/>
    </row>
    <row r="1275">
      <c r="D1275" s="58"/>
      <c r="E1275" s="58"/>
      <c r="F1275" s="58"/>
      <c r="G1275" s="58"/>
    </row>
    <row r="1276">
      <c r="D1276" s="58"/>
      <c r="E1276" s="58"/>
      <c r="F1276" s="58"/>
      <c r="G1276" s="58"/>
    </row>
    <row r="1277">
      <c r="D1277" s="58"/>
      <c r="E1277" s="58"/>
      <c r="F1277" s="58"/>
      <c r="G1277" s="58"/>
    </row>
    <row r="1278">
      <c r="D1278" s="58"/>
      <c r="E1278" s="58"/>
      <c r="F1278" s="58"/>
      <c r="G1278" s="58"/>
    </row>
    <row r="1279">
      <c r="D1279" s="58"/>
      <c r="E1279" s="58"/>
      <c r="F1279" s="58"/>
      <c r="G1279" s="58"/>
    </row>
    <row r="1280">
      <c r="D1280" s="58"/>
      <c r="E1280" s="58"/>
      <c r="F1280" s="58"/>
      <c r="G1280" s="58"/>
    </row>
    <row r="1281">
      <c r="D1281" s="58"/>
      <c r="E1281" s="58"/>
      <c r="F1281" s="58"/>
      <c r="G1281" s="58"/>
    </row>
    <row r="1282">
      <c r="D1282" s="58"/>
      <c r="E1282" s="58"/>
      <c r="F1282" s="58"/>
      <c r="G1282" s="58"/>
    </row>
    <row r="1283">
      <c r="D1283" s="58"/>
      <c r="E1283" s="58"/>
      <c r="F1283" s="58"/>
      <c r="G1283" s="58"/>
    </row>
    <row r="1284">
      <c r="D1284" s="58"/>
      <c r="E1284" s="58"/>
      <c r="F1284" s="58"/>
      <c r="G1284" s="58"/>
    </row>
    <row r="1285">
      <c r="D1285" s="58"/>
      <c r="E1285" s="58"/>
      <c r="F1285" s="58"/>
      <c r="G1285" s="58"/>
    </row>
    <row r="1286">
      <c r="D1286" s="58"/>
      <c r="E1286" s="58"/>
      <c r="F1286" s="58"/>
      <c r="G1286" s="58"/>
    </row>
    <row r="1287">
      <c r="D1287" s="58"/>
      <c r="E1287" s="58"/>
      <c r="F1287" s="58"/>
      <c r="G1287" s="58"/>
    </row>
    <row r="1288">
      <c r="D1288" s="58"/>
      <c r="E1288" s="58"/>
      <c r="F1288" s="58"/>
      <c r="G1288" s="58"/>
    </row>
    <row r="1289">
      <c r="D1289" s="58"/>
      <c r="E1289" s="58"/>
      <c r="F1289" s="58"/>
      <c r="G1289" s="58"/>
    </row>
    <row r="1290">
      <c r="D1290" s="58"/>
      <c r="E1290" s="58"/>
      <c r="F1290" s="58"/>
      <c r="G1290" s="58"/>
    </row>
    <row r="1291">
      <c r="D1291" s="58"/>
      <c r="E1291" s="58"/>
      <c r="F1291" s="58"/>
      <c r="G1291" s="58"/>
    </row>
    <row r="1292">
      <c r="D1292" s="58"/>
      <c r="E1292" s="58"/>
      <c r="F1292" s="58"/>
      <c r="G1292" s="58"/>
    </row>
    <row r="1293">
      <c r="D1293" s="58"/>
      <c r="E1293" s="58"/>
      <c r="F1293" s="58"/>
      <c r="G1293" s="58"/>
    </row>
    <row r="1294">
      <c r="D1294" s="58"/>
      <c r="E1294" s="58"/>
      <c r="F1294" s="58"/>
      <c r="G1294" s="58"/>
    </row>
    <row r="1295">
      <c r="D1295" s="58"/>
      <c r="E1295" s="58"/>
      <c r="F1295" s="58"/>
      <c r="G1295" s="58"/>
    </row>
    <row r="1296">
      <c r="D1296" s="58"/>
      <c r="E1296" s="58"/>
      <c r="F1296" s="58"/>
      <c r="G1296" s="58"/>
    </row>
    <row r="1297">
      <c r="D1297" s="58"/>
      <c r="E1297" s="58"/>
      <c r="F1297" s="58"/>
      <c r="G1297" s="58"/>
    </row>
    <row r="1298">
      <c r="D1298" s="58"/>
      <c r="E1298" s="58"/>
      <c r="F1298" s="58"/>
      <c r="G1298" s="58"/>
    </row>
    <row r="1299">
      <c r="D1299" s="58"/>
      <c r="E1299" s="58"/>
      <c r="F1299" s="58"/>
      <c r="G1299" s="58"/>
    </row>
    <row r="1300">
      <c r="D1300" s="58"/>
      <c r="E1300" s="58"/>
      <c r="F1300" s="58"/>
      <c r="G1300" s="58"/>
    </row>
    <row r="1301">
      <c r="D1301" s="58"/>
      <c r="E1301" s="58"/>
      <c r="F1301" s="58"/>
      <c r="G1301" s="58"/>
    </row>
    <row r="1302">
      <c r="D1302" s="58"/>
      <c r="E1302" s="58"/>
      <c r="F1302" s="58"/>
      <c r="G1302" s="58"/>
    </row>
    <row r="1303">
      <c r="D1303" s="58"/>
      <c r="E1303" s="58"/>
      <c r="F1303" s="58"/>
      <c r="G1303" s="58"/>
    </row>
    <row r="1304">
      <c r="D1304" s="58"/>
      <c r="E1304" s="58"/>
      <c r="F1304" s="58"/>
      <c r="G1304" s="58"/>
    </row>
    <row r="1305">
      <c r="D1305" s="58"/>
      <c r="E1305" s="58"/>
      <c r="F1305" s="58"/>
      <c r="G1305" s="58"/>
    </row>
    <row r="1306">
      <c r="D1306" s="58"/>
      <c r="E1306" s="58"/>
      <c r="F1306" s="58"/>
      <c r="G1306" s="58"/>
    </row>
    <row r="1307">
      <c r="D1307" s="58"/>
      <c r="E1307" s="58"/>
      <c r="F1307" s="58"/>
      <c r="G1307" s="58"/>
    </row>
    <row r="1308">
      <c r="D1308" s="58"/>
      <c r="E1308" s="58"/>
      <c r="F1308" s="58"/>
      <c r="G1308" s="58"/>
    </row>
    <row r="1309">
      <c r="D1309" s="58"/>
      <c r="E1309" s="58"/>
      <c r="F1309" s="58"/>
      <c r="G1309" s="58"/>
    </row>
    <row r="1310">
      <c r="D1310" s="58"/>
      <c r="E1310" s="58"/>
      <c r="F1310" s="58"/>
      <c r="G1310" s="58"/>
    </row>
    <row r="1311">
      <c r="D1311" s="58"/>
      <c r="E1311" s="58"/>
      <c r="F1311" s="58"/>
      <c r="G1311" s="58"/>
    </row>
    <row r="1312">
      <c r="D1312" s="58"/>
      <c r="E1312" s="58"/>
      <c r="F1312" s="58"/>
      <c r="G1312" s="58"/>
    </row>
    <row r="1313">
      <c r="D1313" s="58"/>
      <c r="E1313" s="58"/>
      <c r="F1313" s="58"/>
      <c r="G1313" s="58"/>
    </row>
    <row r="1314">
      <c r="D1314" s="58"/>
      <c r="E1314" s="58"/>
      <c r="F1314" s="58"/>
      <c r="G1314" s="58"/>
    </row>
    <row r="1315">
      <c r="D1315" s="58"/>
      <c r="E1315" s="58"/>
      <c r="F1315" s="58"/>
      <c r="G1315" s="58"/>
    </row>
    <row r="1316">
      <c r="D1316" s="58"/>
      <c r="E1316" s="58"/>
      <c r="F1316" s="58"/>
      <c r="G1316" s="58"/>
    </row>
    <row r="1317">
      <c r="D1317" s="58"/>
      <c r="E1317" s="58"/>
      <c r="F1317" s="58"/>
      <c r="G1317" s="58"/>
    </row>
    <row r="1318">
      <c r="D1318" s="58"/>
      <c r="E1318" s="58"/>
      <c r="F1318" s="58"/>
      <c r="G1318" s="58"/>
    </row>
    <row r="1319">
      <c r="D1319" s="58"/>
      <c r="E1319" s="58"/>
      <c r="F1319" s="58"/>
      <c r="G1319" s="58"/>
    </row>
    <row r="1320">
      <c r="D1320" s="58"/>
      <c r="E1320" s="58"/>
      <c r="F1320" s="58"/>
      <c r="G1320" s="58"/>
    </row>
    <row r="1321">
      <c r="D1321" s="58"/>
      <c r="E1321" s="58"/>
      <c r="F1321" s="58"/>
      <c r="G1321" s="58"/>
    </row>
    <row r="1322">
      <c r="D1322" s="58"/>
      <c r="E1322" s="58"/>
      <c r="F1322" s="58"/>
      <c r="G1322" s="58"/>
    </row>
    <row r="1323">
      <c r="D1323" s="58"/>
      <c r="E1323" s="58"/>
      <c r="F1323" s="58"/>
      <c r="G1323" s="58"/>
    </row>
    <row r="1324">
      <c r="D1324" s="58"/>
      <c r="E1324" s="58"/>
      <c r="F1324" s="58"/>
      <c r="G1324" s="58"/>
    </row>
    <row r="1325">
      <c r="D1325" s="58"/>
      <c r="E1325" s="58"/>
      <c r="F1325" s="58"/>
      <c r="G1325" s="58"/>
    </row>
    <row r="1326">
      <c r="D1326" s="58"/>
      <c r="E1326" s="58"/>
      <c r="F1326" s="58"/>
      <c r="G1326" s="58"/>
    </row>
    <row r="1327">
      <c r="D1327" s="58"/>
      <c r="E1327" s="58"/>
      <c r="F1327" s="58"/>
      <c r="G1327" s="58"/>
    </row>
    <row r="1328">
      <c r="D1328" s="58"/>
      <c r="E1328" s="58"/>
      <c r="F1328" s="58"/>
      <c r="G1328" s="58"/>
    </row>
    <row r="1329">
      <c r="D1329" s="58"/>
      <c r="E1329" s="58"/>
      <c r="F1329" s="58"/>
      <c r="G1329" s="58"/>
    </row>
    <row r="1330">
      <c r="D1330" s="58"/>
      <c r="E1330" s="58"/>
      <c r="F1330" s="58"/>
      <c r="G1330" s="58"/>
    </row>
    <row r="1331">
      <c r="D1331" s="58"/>
      <c r="E1331" s="58"/>
      <c r="F1331" s="58"/>
      <c r="G1331" s="58"/>
    </row>
    <row r="1332">
      <c r="D1332" s="58"/>
      <c r="E1332" s="58"/>
      <c r="F1332" s="58"/>
      <c r="G1332" s="58"/>
    </row>
    <row r="1333">
      <c r="D1333" s="58"/>
      <c r="E1333" s="58"/>
      <c r="F1333" s="58"/>
      <c r="G1333" s="58"/>
    </row>
    <row r="1334">
      <c r="D1334" s="58"/>
      <c r="E1334" s="58"/>
      <c r="F1334" s="58"/>
      <c r="G1334" s="58"/>
    </row>
    <row r="1335">
      <c r="D1335" s="58"/>
      <c r="E1335" s="58"/>
      <c r="F1335" s="58"/>
      <c r="G1335" s="58"/>
    </row>
    <row r="1336">
      <c r="D1336" s="58"/>
      <c r="E1336" s="58"/>
      <c r="F1336" s="58"/>
      <c r="G1336" s="58"/>
    </row>
    <row r="1337">
      <c r="D1337" s="58"/>
      <c r="E1337" s="58"/>
      <c r="F1337" s="58"/>
      <c r="G1337" s="58"/>
    </row>
    <row r="1338">
      <c r="D1338" s="58"/>
      <c r="E1338" s="58"/>
      <c r="F1338" s="58"/>
      <c r="G1338" s="58"/>
    </row>
    <row r="1339">
      <c r="D1339" s="58"/>
      <c r="E1339" s="58"/>
      <c r="F1339" s="58"/>
      <c r="G1339" s="58"/>
    </row>
    <row r="1340">
      <c r="D1340" s="58"/>
      <c r="E1340" s="58"/>
      <c r="F1340" s="58"/>
      <c r="G1340" s="58"/>
    </row>
    <row r="1341">
      <c r="D1341" s="58"/>
      <c r="E1341" s="58"/>
      <c r="F1341" s="58"/>
      <c r="G1341" s="58"/>
    </row>
    <row r="1342">
      <c r="D1342" s="58"/>
      <c r="E1342" s="58"/>
      <c r="F1342" s="58"/>
      <c r="G1342" s="58"/>
    </row>
    <row r="1343">
      <c r="D1343" s="58"/>
      <c r="E1343" s="58"/>
      <c r="F1343" s="58"/>
      <c r="G1343" s="58"/>
    </row>
    <row r="1344">
      <c r="D1344" s="58"/>
      <c r="E1344" s="58"/>
      <c r="F1344" s="58"/>
      <c r="G1344" s="58"/>
    </row>
    <row r="1345">
      <c r="D1345" s="58"/>
      <c r="E1345" s="58"/>
      <c r="F1345" s="58"/>
      <c r="G1345" s="58"/>
    </row>
    <row r="1346">
      <c r="D1346" s="58"/>
      <c r="E1346" s="58"/>
      <c r="F1346" s="58"/>
      <c r="G1346" s="58"/>
    </row>
    <row r="1347">
      <c r="D1347" s="58"/>
      <c r="E1347" s="58"/>
      <c r="F1347" s="58"/>
      <c r="G1347" s="58"/>
    </row>
    <row r="1348">
      <c r="D1348" s="58"/>
      <c r="E1348" s="58"/>
      <c r="F1348" s="58"/>
      <c r="G1348" s="58"/>
    </row>
    <row r="1349">
      <c r="D1349" s="58"/>
      <c r="E1349" s="58"/>
      <c r="F1349" s="58"/>
      <c r="G1349" s="58"/>
    </row>
    <row r="1350">
      <c r="D1350" s="58"/>
      <c r="E1350" s="58"/>
      <c r="F1350" s="58"/>
      <c r="G1350" s="58"/>
    </row>
    <row r="1351">
      <c r="D1351" s="58"/>
      <c r="E1351" s="58"/>
      <c r="F1351" s="58"/>
      <c r="G1351" s="58"/>
    </row>
    <row r="1352">
      <c r="D1352" s="58"/>
      <c r="E1352" s="58"/>
      <c r="F1352" s="58"/>
      <c r="G1352" s="58"/>
    </row>
    <row r="1353">
      <c r="D1353" s="58"/>
      <c r="E1353" s="58"/>
      <c r="F1353" s="58"/>
      <c r="G1353" s="58"/>
    </row>
    <row r="1354">
      <c r="D1354" s="58"/>
      <c r="E1354" s="58"/>
      <c r="F1354" s="58"/>
      <c r="G1354" s="58"/>
    </row>
    <row r="1355">
      <c r="D1355" s="58"/>
      <c r="E1355" s="58"/>
      <c r="F1355" s="58"/>
      <c r="G1355" s="58"/>
    </row>
    <row r="1356">
      <c r="D1356" s="58"/>
      <c r="E1356" s="58"/>
      <c r="F1356" s="58"/>
      <c r="G1356" s="58"/>
    </row>
    <row r="1357">
      <c r="D1357" s="58"/>
      <c r="E1357" s="58"/>
      <c r="F1357" s="58"/>
      <c r="G1357" s="58"/>
    </row>
    <row r="1358">
      <c r="D1358" s="58"/>
      <c r="E1358" s="58"/>
      <c r="F1358" s="58"/>
      <c r="G1358" s="58"/>
    </row>
    <row r="1359">
      <c r="D1359" s="58"/>
      <c r="E1359" s="58"/>
      <c r="F1359" s="58"/>
      <c r="G1359" s="58"/>
    </row>
    <row r="1360">
      <c r="D1360" s="58"/>
      <c r="E1360" s="58"/>
      <c r="F1360" s="58"/>
      <c r="G1360" s="58"/>
    </row>
    <row r="1361">
      <c r="D1361" s="58"/>
      <c r="E1361" s="58"/>
      <c r="F1361" s="58"/>
      <c r="G1361" s="58"/>
    </row>
    <row r="1362">
      <c r="D1362" s="58"/>
      <c r="E1362" s="58"/>
      <c r="F1362" s="58"/>
      <c r="G1362" s="58"/>
    </row>
    <row r="1363">
      <c r="D1363" s="58"/>
      <c r="E1363" s="58"/>
      <c r="F1363" s="58"/>
      <c r="G1363" s="58"/>
    </row>
    <row r="1364">
      <c r="D1364" s="58"/>
      <c r="E1364" s="58"/>
      <c r="F1364" s="58"/>
      <c r="G1364" s="58"/>
    </row>
    <row r="1365">
      <c r="D1365" s="58"/>
      <c r="E1365" s="58"/>
      <c r="F1365" s="58"/>
      <c r="G1365" s="58"/>
    </row>
    <row r="1366">
      <c r="D1366" s="58"/>
      <c r="E1366" s="58"/>
      <c r="F1366" s="58"/>
      <c r="G1366" s="58"/>
    </row>
    <row r="1367">
      <c r="D1367" s="58"/>
      <c r="E1367" s="58"/>
      <c r="F1367" s="58"/>
      <c r="G1367" s="58"/>
    </row>
    <row r="1368">
      <c r="D1368" s="58"/>
      <c r="E1368" s="58"/>
      <c r="F1368" s="58"/>
      <c r="G1368" s="58"/>
    </row>
    <row r="1369">
      <c r="D1369" s="58"/>
      <c r="E1369" s="58"/>
      <c r="F1369" s="58"/>
      <c r="G1369" s="58"/>
    </row>
    <row r="1370">
      <c r="D1370" s="58"/>
      <c r="E1370" s="58"/>
      <c r="F1370" s="58"/>
      <c r="G1370" s="58"/>
    </row>
    <row r="1371">
      <c r="D1371" s="58"/>
      <c r="E1371" s="58"/>
      <c r="F1371" s="58"/>
      <c r="G1371" s="58"/>
    </row>
    <row r="1372">
      <c r="D1372" s="58"/>
      <c r="E1372" s="58"/>
      <c r="F1372" s="58"/>
      <c r="G1372" s="58"/>
    </row>
    <row r="1373">
      <c r="D1373" s="58"/>
      <c r="E1373" s="58"/>
      <c r="F1373" s="58"/>
      <c r="G1373" s="58"/>
    </row>
    <row r="1374">
      <c r="D1374" s="58"/>
      <c r="E1374" s="58"/>
      <c r="F1374" s="58"/>
      <c r="G1374" s="58"/>
    </row>
    <row r="1375">
      <c r="D1375" s="58"/>
      <c r="E1375" s="58"/>
      <c r="F1375" s="58"/>
      <c r="G1375" s="58"/>
    </row>
    <row r="1376">
      <c r="D1376" s="58"/>
      <c r="E1376" s="58"/>
      <c r="F1376" s="58"/>
      <c r="G1376" s="58"/>
    </row>
    <row r="1377">
      <c r="D1377" s="58"/>
      <c r="E1377" s="58"/>
      <c r="F1377" s="58"/>
      <c r="G1377" s="58"/>
    </row>
    <row r="1378">
      <c r="D1378" s="58"/>
      <c r="E1378" s="58"/>
      <c r="F1378" s="58"/>
      <c r="G1378" s="58"/>
    </row>
    <row r="1379">
      <c r="D1379" s="58"/>
      <c r="E1379" s="58"/>
      <c r="F1379" s="58"/>
      <c r="G1379" s="58"/>
    </row>
    <row r="1380">
      <c r="D1380" s="58"/>
      <c r="E1380" s="58"/>
      <c r="F1380" s="58"/>
      <c r="G1380" s="58"/>
    </row>
    <row r="1381">
      <c r="D1381" s="58"/>
      <c r="E1381" s="58"/>
      <c r="F1381" s="58"/>
      <c r="G1381" s="58"/>
    </row>
    <row r="1382">
      <c r="D1382" s="58"/>
      <c r="E1382" s="58"/>
      <c r="F1382" s="58"/>
      <c r="G1382" s="58"/>
    </row>
    <row r="1383">
      <c r="D1383" s="58"/>
      <c r="E1383" s="58"/>
      <c r="F1383" s="58"/>
      <c r="G1383" s="58"/>
    </row>
    <row r="1384">
      <c r="D1384" s="58"/>
      <c r="E1384" s="58"/>
      <c r="F1384" s="58"/>
      <c r="G1384" s="58"/>
    </row>
    <row r="1385">
      <c r="D1385" s="58"/>
      <c r="E1385" s="58"/>
      <c r="F1385" s="58"/>
      <c r="G1385" s="58"/>
    </row>
    <row r="1386">
      <c r="D1386" s="58"/>
      <c r="E1386" s="58"/>
      <c r="F1386" s="58"/>
      <c r="G1386" s="58"/>
    </row>
    <row r="1387">
      <c r="D1387" s="58"/>
      <c r="E1387" s="58"/>
      <c r="F1387" s="58"/>
      <c r="G1387" s="58"/>
    </row>
    <row r="1388">
      <c r="D1388" s="58"/>
      <c r="E1388" s="58"/>
      <c r="F1388" s="58"/>
      <c r="G1388" s="58"/>
    </row>
    <row r="1389">
      <c r="D1389" s="58"/>
      <c r="E1389" s="58"/>
      <c r="F1389" s="58"/>
      <c r="G1389" s="58"/>
    </row>
    <row r="1390">
      <c r="D1390" s="58"/>
      <c r="E1390" s="58"/>
      <c r="F1390" s="58"/>
      <c r="G1390" s="58"/>
    </row>
    <row r="1391">
      <c r="D1391" s="58"/>
      <c r="E1391" s="58"/>
      <c r="F1391" s="58"/>
      <c r="G1391" s="58"/>
    </row>
    <row r="1392">
      <c r="D1392" s="58"/>
      <c r="E1392" s="58"/>
      <c r="F1392" s="58"/>
      <c r="G1392" s="58"/>
    </row>
    <row r="1393">
      <c r="D1393" s="58"/>
      <c r="E1393" s="58"/>
      <c r="F1393" s="58"/>
      <c r="G1393" s="58"/>
    </row>
    <row r="1394">
      <c r="D1394" s="58"/>
      <c r="E1394" s="58"/>
      <c r="F1394" s="58"/>
      <c r="G1394" s="58"/>
    </row>
    <row r="1395">
      <c r="D1395" s="58"/>
      <c r="E1395" s="58"/>
      <c r="F1395" s="58"/>
      <c r="G1395" s="58"/>
    </row>
    <row r="1396">
      <c r="D1396" s="58"/>
      <c r="E1396" s="58"/>
      <c r="F1396" s="58"/>
      <c r="G1396" s="58"/>
    </row>
    <row r="1397">
      <c r="D1397" s="58"/>
      <c r="E1397" s="58"/>
      <c r="F1397" s="58"/>
      <c r="G1397" s="58"/>
    </row>
    <row r="1398">
      <c r="D1398" s="58"/>
      <c r="E1398" s="58"/>
      <c r="F1398" s="58"/>
      <c r="G1398" s="58"/>
    </row>
    <row r="1399">
      <c r="D1399" s="58"/>
      <c r="E1399" s="58"/>
      <c r="F1399" s="58"/>
      <c r="G1399" s="58"/>
    </row>
    <row r="1400">
      <c r="D1400" s="58"/>
      <c r="E1400" s="58"/>
      <c r="F1400" s="58"/>
      <c r="G1400" s="58"/>
    </row>
    <row r="1401">
      <c r="D1401" s="58"/>
      <c r="E1401" s="58"/>
      <c r="F1401" s="58"/>
      <c r="G1401" s="58"/>
    </row>
    <row r="1402">
      <c r="D1402" s="58"/>
      <c r="E1402" s="58"/>
      <c r="F1402" s="58"/>
      <c r="G1402" s="58"/>
    </row>
    <row r="1403">
      <c r="D1403" s="58"/>
      <c r="E1403" s="58"/>
      <c r="F1403" s="58"/>
      <c r="G1403" s="58"/>
    </row>
    <row r="1404">
      <c r="D1404" s="58"/>
      <c r="E1404" s="58"/>
      <c r="F1404" s="58"/>
      <c r="G1404" s="58"/>
    </row>
    <row r="1405">
      <c r="D1405" s="58"/>
      <c r="E1405" s="58"/>
      <c r="F1405" s="58"/>
      <c r="G1405" s="58"/>
    </row>
    <row r="1406">
      <c r="D1406" s="58"/>
      <c r="E1406" s="58"/>
      <c r="F1406" s="58"/>
      <c r="G1406" s="58"/>
    </row>
    <row r="1407">
      <c r="D1407" s="58"/>
      <c r="E1407" s="58"/>
      <c r="F1407" s="58"/>
      <c r="G1407" s="58"/>
    </row>
    <row r="1408">
      <c r="D1408" s="58"/>
      <c r="E1408" s="58"/>
      <c r="F1408" s="58"/>
      <c r="G1408" s="58"/>
    </row>
    <row r="1409">
      <c r="D1409" s="58"/>
      <c r="E1409" s="58"/>
      <c r="F1409" s="58"/>
      <c r="G1409" s="58"/>
    </row>
    <row r="1410">
      <c r="D1410" s="58"/>
      <c r="E1410" s="58"/>
      <c r="F1410" s="58"/>
      <c r="G1410" s="58"/>
    </row>
    <row r="1411">
      <c r="D1411" s="58"/>
      <c r="E1411" s="58"/>
      <c r="F1411" s="58"/>
      <c r="G1411" s="58"/>
    </row>
    <row r="1412">
      <c r="D1412" s="58"/>
      <c r="E1412" s="58"/>
      <c r="F1412" s="58"/>
      <c r="G1412" s="58"/>
    </row>
    <row r="1413">
      <c r="D1413" s="58"/>
      <c r="E1413" s="58"/>
      <c r="F1413" s="58"/>
      <c r="G1413" s="58"/>
    </row>
    <row r="1414">
      <c r="D1414" s="58"/>
      <c r="E1414" s="58"/>
      <c r="F1414" s="58"/>
      <c r="G1414" s="58"/>
    </row>
    <row r="1415">
      <c r="D1415" s="58"/>
      <c r="E1415" s="58"/>
      <c r="F1415" s="58"/>
      <c r="G1415" s="58"/>
    </row>
    <row r="1416">
      <c r="D1416" s="58"/>
      <c r="E1416" s="58"/>
      <c r="F1416" s="58"/>
      <c r="G1416" s="58"/>
    </row>
    <row r="1417">
      <c r="D1417" s="58"/>
      <c r="E1417" s="58"/>
      <c r="F1417" s="58"/>
      <c r="G1417" s="58"/>
    </row>
    <row r="1418">
      <c r="D1418" s="58"/>
      <c r="E1418" s="58"/>
      <c r="F1418" s="58"/>
      <c r="G1418" s="58"/>
    </row>
    <row r="1419">
      <c r="D1419" s="58"/>
      <c r="E1419" s="58"/>
      <c r="F1419" s="58"/>
      <c r="G1419" s="58"/>
    </row>
    <row r="1420">
      <c r="D1420" s="58"/>
      <c r="E1420" s="58"/>
      <c r="F1420" s="58"/>
      <c r="G1420" s="58"/>
    </row>
    <row r="1421">
      <c r="D1421" s="58"/>
      <c r="E1421" s="58"/>
      <c r="F1421" s="58"/>
      <c r="G1421" s="58"/>
    </row>
    <row r="1422">
      <c r="D1422" s="58"/>
      <c r="E1422" s="58"/>
      <c r="F1422" s="58"/>
      <c r="G1422" s="58"/>
    </row>
    <row r="1423">
      <c r="D1423" s="58"/>
      <c r="E1423" s="58"/>
      <c r="F1423" s="58"/>
      <c r="G1423" s="58"/>
    </row>
    <row r="1424">
      <c r="D1424" s="58"/>
      <c r="E1424" s="58"/>
      <c r="F1424" s="58"/>
      <c r="G1424" s="58"/>
    </row>
    <row r="1425">
      <c r="D1425" s="58"/>
      <c r="E1425" s="58"/>
      <c r="F1425" s="58"/>
      <c r="G1425" s="58"/>
    </row>
    <row r="1426">
      <c r="D1426" s="58"/>
      <c r="E1426" s="58"/>
      <c r="F1426" s="58"/>
      <c r="G1426" s="58"/>
    </row>
    <row r="1427">
      <c r="D1427" s="58"/>
      <c r="E1427" s="58"/>
      <c r="F1427" s="58"/>
      <c r="G1427" s="58"/>
    </row>
    <row r="1428">
      <c r="D1428" s="58"/>
      <c r="E1428" s="58"/>
      <c r="F1428" s="58"/>
      <c r="G1428" s="58"/>
    </row>
    <row r="1429">
      <c r="D1429" s="58"/>
      <c r="E1429" s="58"/>
      <c r="F1429" s="58"/>
      <c r="G1429" s="58"/>
    </row>
    <row r="1430">
      <c r="D1430" s="58"/>
      <c r="E1430" s="58"/>
      <c r="F1430" s="58"/>
      <c r="G1430" s="58"/>
    </row>
    <row r="1431">
      <c r="D1431" s="58"/>
      <c r="E1431" s="58"/>
      <c r="F1431" s="58"/>
      <c r="G1431" s="58"/>
    </row>
    <row r="1432">
      <c r="D1432" s="58"/>
      <c r="E1432" s="58"/>
      <c r="F1432" s="58"/>
      <c r="G1432" s="58"/>
    </row>
    <row r="1433">
      <c r="D1433" s="58"/>
      <c r="E1433" s="58"/>
      <c r="F1433" s="58"/>
      <c r="G1433" s="58"/>
    </row>
    <row r="1434">
      <c r="D1434" s="58"/>
      <c r="E1434" s="58"/>
      <c r="F1434" s="58"/>
      <c r="G1434" s="58"/>
    </row>
    <row r="1435">
      <c r="D1435" s="58"/>
      <c r="E1435" s="58"/>
      <c r="F1435" s="58"/>
      <c r="G1435" s="58"/>
    </row>
    <row r="1436">
      <c r="D1436" s="58"/>
      <c r="E1436" s="58"/>
      <c r="F1436" s="58"/>
      <c r="G1436" s="58"/>
    </row>
    <row r="1437">
      <c r="D1437" s="58"/>
      <c r="E1437" s="58"/>
      <c r="F1437" s="58"/>
      <c r="G1437" s="58"/>
    </row>
    <row r="1438">
      <c r="D1438" s="58"/>
      <c r="E1438" s="58"/>
      <c r="F1438" s="58"/>
      <c r="G1438" s="58"/>
    </row>
    <row r="1439">
      <c r="D1439" s="58"/>
      <c r="E1439" s="58"/>
      <c r="F1439" s="58"/>
      <c r="G1439" s="58"/>
    </row>
    <row r="1440">
      <c r="D1440" s="58"/>
      <c r="E1440" s="58"/>
      <c r="F1440" s="58"/>
      <c r="G1440" s="58"/>
    </row>
    <row r="1441">
      <c r="D1441" s="58"/>
      <c r="E1441" s="58"/>
      <c r="F1441" s="58"/>
      <c r="G1441" s="58"/>
    </row>
    <row r="1442">
      <c r="D1442" s="58"/>
      <c r="E1442" s="58"/>
      <c r="F1442" s="58"/>
      <c r="G1442" s="58"/>
    </row>
    <row r="1443">
      <c r="D1443" s="58"/>
      <c r="E1443" s="58"/>
      <c r="F1443" s="58"/>
      <c r="G1443" s="58"/>
    </row>
    <row r="1444">
      <c r="D1444" s="58"/>
      <c r="E1444" s="58"/>
      <c r="F1444" s="58"/>
      <c r="G1444" s="58"/>
    </row>
    <row r="1445">
      <c r="D1445" s="58"/>
      <c r="E1445" s="58"/>
      <c r="F1445" s="58"/>
      <c r="G1445" s="58"/>
    </row>
    <row r="1446">
      <c r="D1446" s="58"/>
      <c r="E1446" s="58"/>
      <c r="F1446" s="58"/>
      <c r="G1446" s="58"/>
    </row>
    <row r="1447">
      <c r="D1447" s="58"/>
      <c r="E1447" s="58"/>
      <c r="F1447" s="58"/>
      <c r="G1447" s="58"/>
    </row>
    <row r="1448">
      <c r="D1448" s="58"/>
      <c r="E1448" s="58"/>
      <c r="F1448" s="58"/>
      <c r="G1448" s="58"/>
    </row>
    <row r="1449">
      <c r="D1449" s="58"/>
      <c r="E1449" s="58"/>
      <c r="F1449" s="58"/>
      <c r="G1449" s="58"/>
    </row>
    <row r="1450">
      <c r="D1450" s="58"/>
      <c r="E1450" s="58"/>
      <c r="F1450" s="58"/>
      <c r="G1450" s="58"/>
    </row>
    <row r="1451">
      <c r="D1451" s="58"/>
      <c r="E1451" s="58"/>
      <c r="F1451" s="58"/>
      <c r="G1451" s="58"/>
    </row>
    <row r="1452">
      <c r="D1452" s="58"/>
      <c r="E1452" s="58"/>
      <c r="F1452" s="58"/>
      <c r="G1452" s="58"/>
    </row>
    <row r="1453">
      <c r="D1453" s="58"/>
      <c r="E1453" s="58"/>
      <c r="F1453" s="58"/>
      <c r="G1453" s="58"/>
    </row>
    <row r="1454">
      <c r="D1454" s="58"/>
      <c r="E1454" s="58"/>
      <c r="F1454" s="58"/>
      <c r="G1454" s="58"/>
    </row>
    <row r="1455">
      <c r="D1455" s="58"/>
      <c r="E1455" s="58"/>
      <c r="F1455" s="58"/>
      <c r="G1455" s="58"/>
    </row>
    <row r="1456">
      <c r="D1456" s="58"/>
      <c r="E1456" s="58"/>
      <c r="F1456" s="58"/>
      <c r="G1456" s="58"/>
    </row>
    <row r="1457">
      <c r="D1457" s="58"/>
      <c r="E1457" s="58"/>
      <c r="F1457" s="58"/>
      <c r="G1457" s="58"/>
    </row>
    <row r="1458">
      <c r="D1458" s="58"/>
      <c r="E1458" s="58"/>
      <c r="F1458" s="58"/>
      <c r="G1458" s="58"/>
    </row>
    <row r="1459">
      <c r="D1459" s="58"/>
      <c r="E1459" s="58"/>
      <c r="F1459" s="58"/>
      <c r="G1459" s="58"/>
    </row>
    <row r="1460">
      <c r="D1460" s="58"/>
      <c r="E1460" s="58"/>
      <c r="F1460" s="58"/>
      <c r="G1460" s="58"/>
    </row>
    <row r="1461">
      <c r="D1461" s="58"/>
      <c r="E1461" s="58"/>
      <c r="F1461" s="58"/>
      <c r="G1461" s="58"/>
    </row>
    <row r="1462">
      <c r="D1462" s="58"/>
      <c r="E1462" s="58"/>
      <c r="F1462" s="58"/>
      <c r="G1462" s="58"/>
    </row>
    <row r="1463">
      <c r="D1463" s="58"/>
      <c r="E1463" s="58"/>
      <c r="F1463" s="58"/>
      <c r="G1463" s="58"/>
    </row>
    <row r="1464">
      <c r="D1464" s="58"/>
      <c r="E1464" s="58"/>
      <c r="F1464" s="58"/>
      <c r="G1464" s="58"/>
    </row>
    <row r="1465">
      <c r="D1465" s="58"/>
      <c r="E1465" s="58"/>
      <c r="F1465" s="58"/>
      <c r="G1465" s="58"/>
    </row>
    <row r="1466">
      <c r="D1466" s="58"/>
      <c r="E1466" s="58"/>
      <c r="F1466" s="58"/>
      <c r="G1466" s="58"/>
    </row>
    <row r="1467">
      <c r="D1467" s="58"/>
      <c r="E1467" s="58"/>
      <c r="F1467" s="58"/>
      <c r="G1467" s="58"/>
    </row>
    <row r="1468">
      <c r="D1468" s="58"/>
      <c r="E1468" s="58"/>
      <c r="F1468" s="58"/>
      <c r="G1468" s="58"/>
    </row>
    <row r="1469">
      <c r="D1469" s="58"/>
      <c r="E1469" s="58"/>
      <c r="F1469" s="58"/>
      <c r="G1469" s="58"/>
    </row>
    <row r="1470">
      <c r="D1470" s="58"/>
      <c r="E1470" s="58"/>
      <c r="F1470" s="58"/>
      <c r="G1470" s="58"/>
    </row>
    <row r="1471">
      <c r="D1471" s="58"/>
      <c r="E1471" s="58"/>
      <c r="F1471" s="58"/>
      <c r="G1471" s="58"/>
    </row>
    <row r="1472">
      <c r="D1472" s="58"/>
      <c r="E1472" s="58"/>
      <c r="F1472" s="58"/>
      <c r="G1472" s="58"/>
    </row>
    <row r="1473">
      <c r="D1473" s="58"/>
      <c r="E1473" s="58"/>
      <c r="F1473" s="58"/>
      <c r="G1473" s="58"/>
    </row>
    <row r="1474">
      <c r="D1474" s="58"/>
      <c r="E1474" s="58"/>
      <c r="F1474" s="58"/>
      <c r="G1474" s="58"/>
    </row>
    <row r="1475">
      <c r="D1475" s="58"/>
      <c r="E1475" s="58"/>
      <c r="F1475" s="58"/>
      <c r="G1475" s="58"/>
    </row>
    <row r="1476">
      <c r="D1476" s="58"/>
      <c r="E1476" s="58"/>
      <c r="F1476" s="58"/>
      <c r="G1476" s="58"/>
    </row>
    <row r="1477">
      <c r="D1477" s="58"/>
      <c r="E1477" s="58"/>
      <c r="F1477" s="58"/>
      <c r="G1477" s="58"/>
    </row>
    <row r="1478">
      <c r="D1478" s="58"/>
      <c r="E1478" s="58"/>
      <c r="F1478" s="58"/>
      <c r="G1478" s="58"/>
    </row>
    <row r="1479">
      <c r="D1479" s="58"/>
      <c r="E1479" s="58"/>
      <c r="F1479" s="58"/>
      <c r="G1479" s="58"/>
    </row>
    <row r="1480">
      <c r="D1480" s="58"/>
      <c r="E1480" s="58"/>
      <c r="F1480" s="58"/>
      <c r="G1480" s="58"/>
    </row>
    <row r="1481">
      <c r="D1481" s="58"/>
      <c r="E1481" s="58"/>
      <c r="F1481" s="58"/>
      <c r="G1481" s="58"/>
    </row>
    <row r="1482">
      <c r="D1482" s="58"/>
      <c r="E1482" s="58"/>
      <c r="F1482" s="58"/>
      <c r="G1482" s="58"/>
    </row>
    <row r="1483">
      <c r="D1483" s="58"/>
      <c r="E1483" s="58"/>
      <c r="F1483" s="58"/>
      <c r="G1483" s="58"/>
    </row>
    <row r="1484">
      <c r="D1484" s="58"/>
      <c r="E1484" s="58"/>
      <c r="F1484" s="58"/>
      <c r="G1484" s="58"/>
    </row>
    <row r="1485">
      <c r="D1485" s="58"/>
      <c r="E1485" s="58"/>
      <c r="F1485" s="58"/>
      <c r="G1485" s="58"/>
    </row>
    <row r="1486">
      <c r="D1486" s="58"/>
      <c r="E1486" s="58"/>
      <c r="F1486" s="58"/>
      <c r="G1486" s="58"/>
    </row>
    <row r="1487">
      <c r="D1487" s="58"/>
      <c r="E1487" s="58"/>
      <c r="F1487" s="58"/>
      <c r="G1487" s="58"/>
    </row>
    <row r="1488">
      <c r="D1488" s="58"/>
      <c r="E1488" s="58"/>
      <c r="F1488" s="58"/>
      <c r="G1488" s="58"/>
    </row>
    <row r="1489">
      <c r="D1489" s="58"/>
      <c r="E1489" s="58"/>
      <c r="F1489" s="58"/>
      <c r="G1489" s="58"/>
    </row>
    <row r="1490">
      <c r="D1490" s="58"/>
      <c r="E1490" s="58"/>
      <c r="F1490" s="58"/>
      <c r="G1490" s="58"/>
    </row>
    <row r="1491">
      <c r="D1491" s="58"/>
      <c r="E1491" s="58"/>
      <c r="F1491" s="58"/>
      <c r="G1491" s="58"/>
    </row>
    <row r="1492">
      <c r="D1492" s="58"/>
      <c r="E1492" s="58"/>
      <c r="F1492" s="58"/>
      <c r="G1492" s="58"/>
    </row>
    <row r="1493">
      <c r="D1493" s="58"/>
      <c r="E1493" s="58"/>
      <c r="F1493" s="58"/>
      <c r="G1493" s="58"/>
    </row>
    <row r="1494">
      <c r="D1494" s="58"/>
      <c r="E1494" s="58"/>
      <c r="F1494" s="58"/>
      <c r="G1494" s="58"/>
    </row>
    <row r="1495">
      <c r="D1495" s="58"/>
      <c r="E1495" s="58"/>
      <c r="F1495" s="58"/>
      <c r="G1495" s="58"/>
    </row>
    <row r="1496">
      <c r="D1496" s="58"/>
      <c r="E1496" s="58"/>
      <c r="F1496" s="58"/>
      <c r="G1496" s="58"/>
    </row>
    <row r="1497">
      <c r="D1497" s="58"/>
      <c r="E1497" s="58"/>
      <c r="F1497" s="58"/>
      <c r="G1497" s="58"/>
    </row>
    <row r="1498">
      <c r="D1498" s="58"/>
      <c r="E1498" s="58"/>
      <c r="F1498" s="58"/>
      <c r="G1498" s="58"/>
    </row>
    <row r="1499">
      <c r="D1499" s="58"/>
      <c r="E1499" s="58"/>
      <c r="F1499" s="58"/>
      <c r="G1499" s="58"/>
    </row>
    <row r="1500">
      <c r="D1500" s="58"/>
      <c r="E1500" s="58"/>
      <c r="F1500" s="58"/>
      <c r="G1500" s="58"/>
    </row>
    <row r="1501">
      <c r="D1501" s="58"/>
      <c r="E1501" s="58"/>
      <c r="F1501" s="58"/>
      <c r="G1501" s="58"/>
    </row>
    <row r="1502">
      <c r="D1502" s="58"/>
      <c r="E1502" s="58"/>
      <c r="F1502" s="58"/>
      <c r="G1502" s="58"/>
    </row>
    <row r="1503">
      <c r="D1503" s="58"/>
      <c r="E1503" s="58"/>
      <c r="F1503" s="58"/>
      <c r="G1503" s="58"/>
    </row>
    <row r="1504">
      <c r="D1504" s="58"/>
      <c r="E1504" s="58"/>
      <c r="F1504" s="58"/>
      <c r="G1504" s="58"/>
    </row>
    <row r="1505">
      <c r="D1505" s="58"/>
      <c r="E1505" s="58"/>
      <c r="F1505" s="58"/>
      <c r="G1505" s="58"/>
    </row>
    <row r="1506">
      <c r="D1506" s="58"/>
      <c r="E1506" s="58"/>
      <c r="F1506" s="58"/>
      <c r="G1506" s="58"/>
    </row>
    <row r="1507">
      <c r="D1507" s="58"/>
      <c r="E1507" s="58"/>
      <c r="F1507" s="58"/>
      <c r="G1507" s="58"/>
    </row>
    <row r="1508">
      <c r="D1508" s="58"/>
      <c r="E1508" s="58"/>
      <c r="F1508" s="58"/>
      <c r="G1508" s="58"/>
    </row>
    <row r="1509">
      <c r="D1509" s="58"/>
      <c r="E1509" s="58"/>
      <c r="F1509" s="58"/>
      <c r="G1509" s="58"/>
    </row>
    <row r="1510">
      <c r="D1510" s="58"/>
      <c r="E1510" s="58"/>
      <c r="F1510" s="58"/>
      <c r="G1510" s="58"/>
    </row>
    <row r="1511">
      <c r="D1511" s="58"/>
      <c r="E1511" s="58"/>
      <c r="F1511" s="58"/>
      <c r="G1511" s="58"/>
    </row>
    <row r="1512">
      <c r="D1512" s="58"/>
      <c r="E1512" s="58"/>
      <c r="F1512" s="58"/>
      <c r="G1512" s="58"/>
    </row>
    <row r="1513">
      <c r="D1513" s="58"/>
      <c r="E1513" s="58"/>
      <c r="F1513" s="58"/>
      <c r="G1513" s="58"/>
    </row>
    <row r="1514">
      <c r="D1514" s="58"/>
      <c r="E1514" s="58"/>
      <c r="F1514" s="58"/>
      <c r="G1514" s="58"/>
    </row>
    <row r="1515">
      <c r="D1515" s="58"/>
      <c r="E1515" s="58"/>
      <c r="F1515" s="58"/>
      <c r="G1515" s="58"/>
    </row>
    <row r="1516">
      <c r="D1516" s="58"/>
      <c r="E1516" s="58"/>
      <c r="F1516" s="58"/>
      <c r="G1516" s="58"/>
    </row>
    <row r="1517">
      <c r="D1517" s="58"/>
      <c r="E1517" s="58"/>
      <c r="F1517" s="58"/>
      <c r="G1517" s="58"/>
    </row>
    <row r="1518">
      <c r="D1518" s="58"/>
      <c r="E1518" s="58"/>
      <c r="F1518" s="58"/>
      <c r="G1518" s="58"/>
    </row>
    <row r="1519">
      <c r="D1519" s="58"/>
      <c r="E1519" s="58"/>
      <c r="F1519" s="58"/>
      <c r="G1519" s="58"/>
    </row>
    <row r="1520">
      <c r="D1520" s="58"/>
      <c r="E1520" s="58"/>
      <c r="F1520" s="58"/>
      <c r="G1520" s="58"/>
    </row>
    <row r="1521">
      <c r="D1521" s="58"/>
      <c r="E1521" s="58"/>
      <c r="F1521" s="58"/>
      <c r="G1521" s="58"/>
    </row>
    <row r="1522">
      <c r="D1522" s="58"/>
      <c r="E1522" s="58"/>
      <c r="F1522" s="58"/>
      <c r="G1522" s="58"/>
    </row>
    <row r="1523">
      <c r="D1523" s="58"/>
      <c r="E1523" s="58"/>
      <c r="F1523" s="58"/>
      <c r="G1523" s="58"/>
    </row>
    <row r="1524">
      <c r="D1524" s="58"/>
      <c r="E1524" s="58"/>
      <c r="F1524" s="58"/>
      <c r="G1524" s="58"/>
    </row>
    <row r="1525">
      <c r="D1525" s="58"/>
      <c r="E1525" s="58"/>
      <c r="F1525" s="58"/>
      <c r="G1525" s="58"/>
    </row>
    <row r="1526">
      <c r="D1526" s="58"/>
      <c r="E1526" s="58"/>
      <c r="F1526" s="58"/>
      <c r="G1526" s="58"/>
    </row>
    <row r="1527">
      <c r="D1527" s="58"/>
      <c r="E1527" s="58"/>
      <c r="F1527" s="58"/>
      <c r="G1527" s="58"/>
    </row>
    <row r="1528">
      <c r="D1528" s="58"/>
      <c r="E1528" s="58"/>
      <c r="F1528" s="58"/>
      <c r="G1528" s="58"/>
    </row>
    <row r="1529">
      <c r="D1529" s="58"/>
      <c r="E1529" s="58"/>
      <c r="F1529" s="58"/>
      <c r="G1529" s="58"/>
    </row>
    <row r="1530">
      <c r="D1530" s="58"/>
      <c r="E1530" s="58"/>
      <c r="F1530" s="58"/>
      <c r="G1530" s="58"/>
    </row>
    <row r="1531">
      <c r="D1531" s="58"/>
      <c r="E1531" s="58"/>
      <c r="F1531" s="58"/>
      <c r="G1531" s="58"/>
    </row>
    <row r="1532">
      <c r="D1532" s="58"/>
      <c r="E1532" s="58"/>
      <c r="F1532" s="58"/>
      <c r="G1532" s="58"/>
    </row>
    <row r="1533">
      <c r="D1533" s="58"/>
      <c r="E1533" s="58"/>
      <c r="F1533" s="58"/>
      <c r="G1533" s="58"/>
    </row>
    <row r="1534">
      <c r="D1534" s="58"/>
      <c r="E1534" s="58"/>
      <c r="F1534" s="58"/>
      <c r="G1534" s="58"/>
    </row>
    <row r="1535">
      <c r="D1535" s="58"/>
      <c r="E1535" s="58"/>
      <c r="F1535" s="58"/>
      <c r="G1535" s="58"/>
    </row>
    <row r="1536">
      <c r="D1536" s="58"/>
      <c r="E1536" s="58"/>
      <c r="F1536" s="58"/>
      <c r="G1536" s="58"/>
    </row>
    <row r="1537">
      <c r="D1537" s="58"/>
      <c r="E1537" s="58"/>
      <c r="F1537" s="58"/>
      <c r="G1537" s="58"/>
    </row>
    <row r="1538">
      <c r="D1538" s="58"/>
      <c r="E1538" s="58"/>
      <c r="F1538" s="58"/>
      <c r="G1538" s="58"/>
    </row>
    <row r="1539">
      <c r="D1539" s="58"/>
      <c r="E1539" s="58"/>
      <c r="F1539" s="58"/>
      <c r="G1539" s="58"/>
    </row>
    <row r="1540">
      <c r="D1540" s="58"/>
      <c r="E1540" s="58"/>
      <c r="F1540" s="58"/>
      <c r="G1540" s="58"/>
    </row>
    <row r="1541">
      <c r="D1541" s="58"/>
      <c r="E1541" s="58"/>
      <c r="F1541" s="58"/>
      <c r="G1541" s="58"/>
    </row>
    <row r="1542">
      <c r="D1542" s="58"/>
      <c r="E1542" s="58"/>
      <c r="F1542" s="58"/>
      <c r="G1542" s="58"/>
    </row>
    <row r="1543">
      <c r="D1543" s="58"/>
      <c r="E1543" s="58"/>
      <c r="F1543" s="58"/>
      <c r="G1543" s="58"/>
    </row>
    <row r="1544">
      <c r="D1544" s="58"/>
      <c r="E1544" s="58"/>
      <c r="F1544" s="58"/>
      <c r="G1544" s="58"/>
    </row>
    <row r="1545">
      <c r="D1545" s="58"/>
      <c r="E1545" s="58"/>
      <c r="F1545" s="58"/>
      <c r="G1545" s="58"/>
    </row>
    <row r="1546">
      <c r="D1546" s="58"/>
      <c r="E1546" s="58"/>
      <c r="F1546" s="58"/>
      <c r="G1546" s="58"/>
    </row>
    <row r="1547">
      <c r="D1547" s="58"/>
      <c r="E1547" s="58"/>
      <c r="F1547" s="58"/>
      <c r="G1547" s="58"/>
    </row>
    <row r="1548">
      <c r="D1548" s="58"/>
      <c r="E1548" s="58"/>
      <c r="F1548" s="58"/>
      <c r="G1548" s="58"/>
    </row>
    <row r="1549">
      <c r="D1549" s="58"/>
      <c r="E1549" s="58"/>
      <c r="F1549" s="58"/>
      <c r="G1549" s="58"/>
    </row>
    <row r="1550">
      <c r="D1550" s="58"/>
      <c r="E1550" s="58"/>
      <c r="F1550" s="58"/>
      <c r="G1550" s="58"/>
    </row>
    <row r="1551">
      <c r="D1551" s="58"/>
      <c r="E1551" s="58"/>
      <c r="F1551" s="58"/>
      <c r="G1551" s="58"/>
    </row>
    <row r="1552">
      <c r="D1552" s="58"/>
      <c r="E1552" s="58"/>
      <c r="F1552" s="58"/>
      <c r="G1552" s="58"/>
    </row>
    <row r="1553">
      <c r="D1553" s="58"/>
      <c r="E1553" s="58"/>
      <c r="F1553" s="58"/>
      <c r="G1553" s="58"/>
    </row>
    <row r="1554">
      <c r="D1554" s="58"/>
      <c r="E1554" s="58"/>
      <c r="F1554" s="58"/>
      <c r="G1554" s="58"/>
    </row>
    <row r="1555">
      <c r="D1555" s="58"/>
      <c r="E1555" s="58"/>
      <c r="F1555" s="58"/>
      <c r="G1555" s="58"/>
    </row>
    <row r="1556">
      <c r="D1556" s="58"/>
      <c r="E1556" s="58"/>
      <c r="F1556" s="58"/>
      <c r="G1556" s="58"/>
    </row>
    <row r="1557">
      <c r="D1557" s="58"/>
      <c r="E1557" s="58"/>
      <c r="F1557" s="58"/>
      <c r="G1557" s="58"/>
    </row>
    <row r="1558">
      <c r="D1558" s="58"/>
      <c r="E1558" s="58"/>
      <c r="F1558" s="58"/>
      <c r="G1558" s="58"/>
    </row>
    <row r="1559">
      <c r="D1559" s="58"/>
      <c r="E1559" s="58"/>
      <c r="F1559" s="58"/>
      <c r="G1559" s="58"/>
    </row>
    <row r="1560">
      <c r="D1560" s="58"/>
      <c r="E1560" s="58"/>
      <c r="F1560" s="58"/>
      <c r="G1560" s="58"/>
    </row>
    <row r="1561">
      <c r="D1561" s="58"/>
      <c r="E1561" s="58"/>
      <c r="F1561" s="58"/>
      <c r="G1561" s="58"/>
    </row>
    <row r="1562">
      <c r="D1562" s="58"/>
      <c r="E1562" s="58"/>
      <c r="F1562" s="58"/>
      <c r="G1562" s="58"/>
    </row>
    <row r="1563">
      <c r="D1563" s="58"/>
      <c r="E1563" s="58"/>
      <c r="F1563" s="58"/>
      <c r="G1563" s="58"/>
    </row>
    <row r="1564">
      <c r="D1564" s="58"/>
      <c r="E1564" s="58"/>
      <c r="F1564" s="58"/>
      <c r="G1564" s="58"/>
    </row>
    <row r="1565">
      <c r="D1565" s="58"/>
      <c r="E1565" s="58"/>
      <c r="F1565" s="58"/>
      <c r="G1565" s="58"/>
    </row>
    <row r="1566">
      <c r="D1566" s="58"/>
      <c r="E1566" s="58"/>
      <c r="F1566" s="58"/>
      <c r="G1566" s="58"/>
    </row>
    <row r="1567">
      <c r="D1567" s="58"/>
      <c r="E1567" s="58"/>
      <c r="F1567" s="58"/>
      <c r="G1567" s="58"/>
    </row>
    <row r="1568">
      <c r="D1568" s="58"/>
      <c r="E1568" s="58"/>
      <c r="F1568" s="58"/>
      <c r="G1568" s="58"/>
    </row>
    <row r="1569">
      <c r="D1569" s="58"/>
      <c r="E1569" s="58"/>
      <c r="F1569" s="58"/>
      <c r="G1569" s="58"/>
    </row>
    <row r="1570">
      <c r="D1570" s="58"/>
      <c r="E1570" s="58"/>
      <c r="F1570" s="58"/>
      <c r="G1570" s="58"/>
    </row>
    <row r="1571">
      <c r="D1571" s="58"/>
      <c r="E1571" s="58"/>
      <c r="F1571" s="58"/>
      <c r="G1571" s="58"/>
    </row>
    <row r="1572">
      <c r="D1572" s="58"/>
      <c r="E1572" s="58"/>
      <c r="F1572" s="58"/>
      <c r="G1572" s="58"/>
    </row>
    <row r="1573">
      <c r="D1573" s="58"/>
      <c r="E1573" s="58"/>
      <c r="F1573" s="58"/>
      <c r="G1573" s="58"/>
    </row>
    <row r="1574">
      <c r="D1574" s="58"/>
      <c r="E1574" s="58"/>
      <c r="F1574" s="58"/>
      <c r="G1574" s="58"/>
    </row>
    <row r="1575">
      <c r="D1575" s="58"/>
      <c r="E1575" s="58"/>
      <c r="F1575" s="58"/>
      <c r="G1575" s="58"/>
    </row>
    <row r="1576">
      <c r="D1576" s="58"/>
      <c r="E1576" s="58"/>
      <c r="F1576" s="58"/>
      <c r="G1576" s="58"/>
    </row>
    <row r="1577">
      <c r="D1577" s="58"/>
      <c r="E1577" s="58"/>
      <c r="F1577" s="58"/>
      <c r="G1577" s="58"/>
    </row>
    <row r="1578">
      <c r="D1578" s="58"/>
      <c r="E1578" s="58"/>
      <c r="F1578" s="58"/>
      <c r="G1578" s="58"/>
    </row>
    <row r="1579">
      <c r="D1579" s="58"/>
      <c r="E1579" s="58"/>
      <c r="F1579" s="58"/>
      <c r="G1579" s="58"/>
    </row>
    <row r="1580">
      <c r="D1580" s="58"/>
      <c r="E1580" s="58"/>
      <c r="F1580" s="58"/>
      <c r="G1580" s="58"/>
    </row>
    <row r="1581">
      <c r="D1581" s="58"/>
      <c r="E1581" s="58"/>
      <c r="F1581" s="58"/>
      <c r="G1581" s="58"/>
    </row>
    <row r="1582">
      <c r="D1582" s="58"/>
      <c r="E1582" s="58"/>
      <c r="F1582" s="58"/>
      <c r="G1582" s="58"/>
    </row>
    <row r="1583">
      <c r="D1583" s="58"/>
      <c r="E1583" s="58"/>
      <c r="F1583" s="58"/>
      <c r="G1583" s="58"/>
    </row>
    <row r="1584">
      <c r="D1584" s="58"/>
      <c r="E1584" s="58"/>
      <c r="F1584" s="58"/>
      <c r="G1584" s="58"/>
    </row>
    <row r="1585">
      <c r="D1585" s="58"/>
      <c r="E1585" s="58"/>
      <c r="F1585" s="58"/>
      <c r="G1585" s="58"/>
    </row>
    <row r="1586">
      <c r="D1586" s="58"/>
      <c r="E1586" s="58"/>
      <c r="F1586" s="58"/>
      <c r="G1586" s="58"/>
    </row>
    <row r="1587">
      <c r="D1587" s="58"/>
      <c r="E1587" s="58"/>
      <c r="F1587" s="58"/>
      <c r="G1587" s="58"/>
    </row>
    <row r="1588">
      <c r="D1588" s="58"/>
      <c r="E1588" s="58"/>
      <c r="F1588" s="58"/>
      <c r="G1588" s="58"/>
    </row>
    <row r="1589">
      <c r="D1589" s="58"/>
      <c r="E1589" s="58"/>
      <c r="F1589" s="58"/>
      <c r="G1589" s="58"/>
    </row>
    <row r="1590">
      <c r="D1590" s="58"/>
      <c r="E1590" s="58"/>
      <c r="F1590" s="58"/>
      <c r="G1590" s="58"/>
    </row>
    <row r="1591">
      <c r="D1591" s="58"/>
      <c r="E1591" s="58"/>
      <c r="F1591" s="58"/>
      <c r="G1591" s="58"/>
    </row>
    <row r="1592">
      <c r="D1592" s="58"/>
      <c r="E1592" s="58"/>
      <c r="F1592" s="58"/>
      <c r="G1592" s="58"/>
    </row>
    <row r="1593">
      <c r="D1593" s="58"/>
      <c r="E1593" s="58"/>
      <c r="F1593" s="58"/>
      <c r="G1593" s="58"/>
    </row>
    <row r="1594">
      <c r="D1594" s="58"/>
      <c r="E1594" s="58"/>
      <c r="F1594" s="58"/>
      <c r="G1594" s="58"/>
    </row>
    <row r="1595">
      <c r="D1595" s="58"/>
      <c r="E1595" s="58"/>
      <c r="F1595" s="58"/>
      <c r="G1595" s="58"/>
    </row>
    <row r="1596">
      <c r="D1596" s="58"/>
      <c r="E1596" s="58"/>
      <c r="F1596" s="58"/>
      <c r="G1596" s="58"/>
    </row>
    <row r="1597">
      <c r="D1597" s="58"/>
      <c r="E1597" s="58"/>
      <c r="F1597" s="58"/>
      <c r="G1597" s="58"/>
    </row>
    <row r="1598">
      <c r="D1598" s="58"/>
      <c r="E1598" s="58"/>
      <c r="F1598" s="58"/>
      <c r="G1598" s="58"/>
    </row>
    <row r="1599">
      <c r="D1599" s="58"/>
      <c r="E1599" s="58"/>
      <c r="F1599" s="58"/>
      <c r="G1599" s="58"/>
    </row>
    <row r="1600">
      <c r="D1600" s="58"/>
      <c r="E1600" s="58"/>
      <c r="F1600" s="58"/>
      <c r="G1600" s="58"/>
    </row>
    <row r="1601">
      <c r="D1601" s="58"/>
      <c r="E1601" s="58"/>
      <c r="F1601" s="58"/>
      <c r="G1601" s="58"/>
    </row>
    <row r="1602">
      <c r="D1602" s="58"/>
      <c r="E1602" s="58"/>
      <c r="F1602" s="58"/>
      <c r="G1602" s="58"/>
    </row>
    <row r="1603">
      <c r="D1603" s="58"/>
      <c r="E1603" s="58"/>
      <c r="F1603" s="58"/>
      <c r="G1603" s="58"/>
    </row>
    <row r="1604">
      <c r="D1604" s="58"/>
      <c r="E1604" s="58"/>
      <c r="F1604" s="58"/>
      <c r="G1604" s="58"/>
    </row>
    <row r="1605">
      <c r="D1605" s="58"/>
      <c r="E1605" s="58"/>
      <c r="F1605" s="58"/>
      <c r="G1605" s="58"/>
    </row>
    <row r="1606">
      <c r="D1606" s="58"/>
      <c r="E1606" s="58"/>
      <c r="F1606" s="58"/>
      <c r="G1606" s="58"/>
    </row>
    <row r="1607">
      <c r="D1607" s="58"/>
      <c r="E1607" s="58"/>
      <c r="F1607" s="58"/>
      <c r="G1607" s="58"/>
    </row>
    <row r="1608">
      <c r="D1608" s="58"/>
      <c r="E1608" s="58"/>
      <c r="F1608" s="58"/>
      <c r="G1608" s="58"/>
    </row>
    <row r="1609">
      <c r="D1609" s="58"/>
      <c r="E1609" s="58"/>
      <c r="F1609" s="58"/>
      <c r="G1609" s="58"/>
    </row>
    <row r="1610">
      <c r="D1610" s="58"/>
      <c r="E1610" s="58"/>
      <c r="F1610" s="58"/>
      <c r="G1610" s="58"/>
    </row>
    <row r="1611">
      <c r="D1611" s="58"/>
      <c r="E1611" s="58"/>
      <c r="F1611" s="58"/>
      <c r="G1611" s="58"/>
    </row>
    <row r="1612">
      <c r="D1612" s="58"/>
      <c r="E1612" s="58"/>
      <c r="F1612" s="58"/>
      <c r="G1612" s="58"/>
    </row>
    <row r="1613">
      <c r="D1613" s="58"/>
      <c r="E1613" s="58"/>
      <c r="F1613" s="58"/>
      <c r="G1613" s="58"/>
    </row>
    <row r="1614">
      <c r="D1614" s="58"/>
      <c r="E1614" s="58"/>
      <c r="F1614" s="58"/>
      <c r="G1614" s="58"/>
    </row>
    <row r="1615">
      <c r="D1615" s="58"/>
      <c r="E1615" s="58"/>
      <c r="F1615" s="58"/>
      <c r="G1615" s="58"/>
    </row>
    <row r="1616">
      <c r="D1616" s="58"/>
      <c r="E1616" s="58"/>
      <c r="F1616" s="58"/>
      <c r="G1616" s="58"/>
    </row>
    <row r="1617">
      <c r="D1617" s="58"/>
      <c r="E1617" s="58"/>
      <c r="F1617" s="58"/>
      <c r="G1617" s="58"/>
    </row>
    <row r="1618">
      <c r="D1618" s="58"/>
      <c r="E1618" s="58"/>
      <c r="F1618" s="58"/>
      <c r="G1618" s="58"/>
    </row>
    <row r="1619">
      <c r="D1619" s="58"/>
      <c r="E1619" s="58"/>
      <c r="F1619" s="58"/>
      <c r="G1619" s="58"/>
    </row>
    <row r="1620">
      <c r="D1620" s="58"/>
      <c r="E1620" s="58"/>
      <c r="F1620" s="58"/>
      <c r="G1620" s="58"/>
    </row>
    <row r="1621">
      <c r="D1621" s="58"/>
      <c r="E1621" s="58"/>
      <c r="F1621" s="58"/>
      <c r="G1621" s="58"/>
    </row>
    <row r="1622">
      <c r="D1622" s="58"/>
      <c r="E1622" s="58"/>
      <c r="F1622" s="58"/>
      <c r="G1622" s="58"/>
    </row>
    <row r="1623">
      <c r="D1623" s="58"/>
      <c r="E1623" s="58"/>
      <c r="F1623" s="58"/>
      <c r="G1623" s="58"/>
    </row>
    <row r="1624">
      <c r="D1624" s="58"/>
      <c r="E1624" s="58"/>
      <c r="F1624" s="58"/>
      <c r="G1624" s="58"/>
    </row>
    <row r="1625">
      <c r="D1625" s="58"/>
      <c r="E1625" s="58"/>
      <c r="F1625" s="58"/>
      <c r="G1625" s="58"/>
    </row>
    <row r="1626">
      <c r="D1626" s="58"/>
      <c r="E1626" s="58"/>
      <c r="F1626" s="58"/>
      <c r="G1626" s="58"/>
    </row>
    <row r="1627">
      <c r="D1627" s="58"/>
      <c r="E1627" s="58"/>
      <c r="F1627" s="58"/>
      <c r="G1627" s="58"/>
    </row>
    <row r="1628">
      <c r="D1628" s="58"/>
      <c r="E1628" s="58"/>
      <c r="F1628" s="58"/>
      <c r="G1628" s="58"/>
    </row>
    <row r="1629">
      <c r="D1629" s="58"/>
      <c r="E1629" s="58"/>
      <c r="F1629" s="58"/>
      <c r="G1629" s="58"/>
    </row>
    <row r="1630">
      <c r="D1630" s="58"/>
      <c r="E1630" s="58"/>
      <c r="F1630" s="58"/>
      <c r="G1630" s="58"/>
    </row>
    <row r="1631">
      <c r="D1631" s="58"/>
      <c r="E1631" s="58"/>
      <c r="F1631" s="58"/>
      <c r="G1631" s="58"/>
    </row>
    <row r="1632">
      <c r="D1632" s="58"/>
      <c r="E1632" s="58"/>
      <c r="F1632" s="58"/>
      <c r="G1632" s="58"/>
    </row>
    <row r="1633">
      <c r="D1633" s="58"/>
      <c r="E1633" s="58"/>
      <c r="F1633" s="58"/>
      <c r="G1633" s="58"/>
    </row>
    <row r="1634">
      <c r="D1634" s="58"/>
      <c r="E1634" s="58"/>
      <c r="F1634" s="58"/>
      <c r="G1634" s="58"/>
    </row>
    <row r="1635">
      <c r="D1635" s="58"/>
      <c r="E1635" s="58"/>
      <c r="F1635" s="58"/>
      <c r="G1635" s="58"/>
    </row>
    <row r="1636">
      <c r="D1636" s="58"/>
      <c r="E1636" s="58"/>
      <c r="F1636" s="58"/>
      <c r="G1636" s="58"/>
    </row>
    <row r="1637">
      <c r="D1637" s="58"/>
      <c r="E1637" s="58"/>
      <c r="F1637" s="58"/>
      <c r="G1637" s="58"/>
    </row>
    <row r="1638">
      <c r="D1638" s="58"/>
      <c r="E1638" s="58"/>
      <c r="F1638" s="58"/>
      <c r="G1638" s="58"/>
    </row>
    <row r="1639">
      <c r="D1639" s="58"/>
      <c r="E1639" s="58"/>
      <c r="F1639" s="58"/>
      <c r="G1639" s="58"/>
    </row>
    <row r="1640">
      <c r="D1640" s="58"/>
      <c r="E1640" s="58"/>
      <c r="F1640" s="58"/>
      <c r="G1640" s="58"/>
    </row>
    <row r="1641">
      <c r="D1641" s="58"/>
      <c r="E1641" s="58"/>
      <c r="F1641" s="58"/>
      <c r="G1641" s="58"/>
    </row>
    <row r="1642">
      <c r="D1642" s="58"/>
      <c r="E1642" s="58"/>
      <c r="F1642" s="58"/>
      <c r="G1642" s="58"/>
    </row>
    <row r="1643">
      <c r="D1643" s="58"/>
      <c r="E1643" s="58"/>
      <c r="F1643" s="58"/>
      <c r="G1643" s="58"/>
    </row>
    <row r="1644">
      <c r="D1644" s="58"/>
      <c r="E1644" s="58"/>
      <c r="F1644" s="58"/>
      <c r="G1644" s="58"/>
    </row>
    <row r="1645">
      <c r="D1645" s="58"/>
      <c r="E1645" s="58"/>
      <c r="F1645" s="58"/>
      <c r="G1645" s="58"/>
    </row>
    <row r="1646">
      <c r="D1646" s="58"/>
      <c r="E1646" s="58"/>
      <c r="F1646" s="58"/>
      <c r="G1646" s="58"/>
    </row>
    <row r="1647">
      <c r="D1647" s="58"/>
      <c r="E1647" s="58"/>
      <c r="F1647" s="58"/>
      <c r="G1647" s="58"/>
    </row>
    <row r="1648">
      <c r="D1648" s="58"/>
      <c r="E1648" s="58"/>
      <c r="F1648" s="58"/>
      <c r="G1648" s="58"/>
    </row>
    <row r="1649">
      <c r="D1649" s="58"/>
      <c r="E1649" s="58"/>
      <c r="F1649" s="58"/>
      <c r="G1649" s="58"/>
    </row>
    <row r="1650">
      <c r="D1650" s="58"/>
      <c r="E1650" s="58"/>
      <c r="F1650" s="58"/>
      <c r="G1650" s="58"/>
    </row>
    <row r="1651">
      <c r="D1651" s="58"/>
      <c r="E1651" s="58"/>
      <c r="F1651" s="58"/>
      <c r="G1651" s="58"/>
    </row>
    <row r="1652">
      <c r="D1652" s="58"/>
      <c r="E1652" s="58"/>
      <c r="F1652" s="58"/>
      <c r="G1652" s="58"/>
    </row>
    <row r="1653">
      <c r="D1653" s="58"/>
      <c r="E1653" s="58"/>
      <c r="F1653" s="58"/>
      <c r="G1653" s="58"/>
    </row>
    <row r="1654">
      <c r="D1654" s="58"/>
      <c r="E1654" s="58"/>
      <c r="F1654" s="58"/>
      <c r="G1654" s="58"/>
    </row>
    <row r="1655">
      <c r="D1655" s="58"/>
      <c r="E1655" s="58"/>
      <c r="F1655" s="58"/>
      <c r="G1655" s="58"/>
    </row>
    <row r="1656">
      <c r="D1656" s="58"/>
      <c r="E1656" s="58"/>
      <c r="F1656" s="58"/>
      <c r="G1656" s="58"/>
    </row>
    <row r="1657">
      <c r="D1657" s="58"/>
      <c r="E1657" s="58"/>
      <c r="F1657" s="58"/>
      <c r="G1657" s="58"/>
    </row>
    <row r="1658">
      <c r="D1658" s="58"/>
      <c r="E1658" s="58"/>
      <c r="F1658" s="58"/>
      <c r="G1658" s="58"/>
    </row>
    <row r="1659">
      <c r="D1659" s="58"/>
      <c r="E1659" s="58"/>
      <c r="F1659" s="58"/>
      <c r="G1659" s="58"/>
    </row>
    <row r="1660">
      <c r="D1660" s="58"/>
      <c r="E1660" s="58"/>
      <c r="F1660" s="58"/>
      <c r="G1660" s="58"/>
    </row>
    <row r="1661">
      <c r="D1661" s="58"/>
      <c r="E1661" s="58"/>
      <c r="F1661" s="58"/>
      <c r="G1661" s="58"/>
    </row>
    <row r="1662">
      <c r="D1662" s="58"/>
      <c r="E1662" s="58"/>
      <c r="F1662" s="58"/>
      <c r="G1662" s="58"/>
    </row>
    <row r="1663">
      <c r="D1663" s="58"/>
      <c r="E1663" s="58"/>
      <c r="F1663" s="58"/>
      <c r="G1663" s="58"/>
    </row>
    <row r="1664">
      <c r="D1664" s="58"/>
      <c r="E1664" s="58"/>
      <c r="F1664" s="58"/>
      <c r="G1664" s="58"/>
    </row>
    <row r="1665">
      <c r="D1665" s="58"/>
      <c r="E1665" s="58"/>
      <c r="F1665" s="58"/>
      <c r="G1665" s="58"/>
    </row>
    <row r="1666">
      <c r="D1666" s="58"/>
      <c r="E1666" s="58"/>
      <c r="F1666" s="58"/>
      <c r="G1666" s="58"/>
    </row>
    <row r="1667">
      <c r="D1667" s="58"/>
      <c r="E1667" s="58"/>
      <c r="F1667" s="58"/>
      <c r="G1667" s="58"/>
    </row>
    <row r="1668">
      <c r="D1668" s="58"/>
      <c r="E1668" s="58"/>
      <c r="F1668" s="58"/>
      <c r="G1668" s="58"/>
    </row>
    <row r="1669">
      <c r="D1669" s="58"/>
      <c r="E1669" s="58"/>
      <c r="F1669" s="58"/>
      <c r="G1669" s="58"/>
    </row>
    <row r="1670">
      <c r="D1670" s="58"/>
      <c r="E1670" s="58"/>
      <c r="F1670" s="58"/>
      <c r="G1670" s="58"/>
    </row>
    <row r="1671">
      <c r="D1671" s="58"/>
      <c r="E1671" s="58"/>
      <c r="F1671" s="58"/>
      <c r="G1671" s="58"/>
    </row>
    <row r="1672">
      <c r="D1672" s="58"/>
      <c r="E1672" s="58"/>
      <c r="F1672" s="58"/>
      <c r="G1672" s="58"/>
    </row>
    <row r="1673">
      <c r="D1673" s="58"/>
      <c r="E1673" s="58"/>
      <c r="F1673" s="58"/>
      <c r="G1673" s="58"/>
    </row>
    <row r="1674">
      <c r="D1674" s="58"/>
      <c r="E1674" s="58"/>
      <c r="F1674" s="58"/>
      <c r="G1674" s="58"/>
    </row>
    <row r="1675">
      <c r="D1675" s="58"/>
      <c r="E1675" s="58"/>
      <c r="F1675" s="58"/>
      <c r="G1675" s="58"/>
    </row>
    <row r="1676">
      <c r="D1676" s="58"/>
      <c r="E1676" s="58"/>
      <c r="F1676" s="58"/>
      <c r="G1676" s="58"/>
    </row>
    <row r="1677">
      <c r="D1677" s="58"/>
      <c r="E1677" s="58"/>
      <c r="F1677" s="58"/>
      <c r="G1677" s="58"/>
    </row>
    <row r="1678">
      <c r="D1678" s="58"/>
      <c r="E1678" s="58"/>
      <c r="F1678" s="58"/>
      <c r="G1678" s="58"/>
    </row>
    <row r="1679">
      <c r="D1679" s="58"/>
      <c r="E1679" s="58"/>
      <c r="F1679" s="58"/>
      <c r="G1679" s="58"/>
    </row>
    <row r="1680">
      <c r="D1680" s="58"/>
      <c r="E1680" s="58"/>
      <c r="F1680" s="58"/>
      <c r="G1680" s="58"/>
    </row>
    <row r="1681">
      <c r="D1681" s="58"/>
      <c r="E1681" s="58"/>
      <c r="F1681" s="58"/>
      <c r="G1681" s="58"/>
    </row>
    <row r="1682">
      <c r="D1682" s="58"/>
      <c r="E1682" s="58"/>
      <c r="F1682" s="58"/>
      <c r="G1682" s="58"/>
    </row>
    <row r="1683">
      <c r="D1683" s="58"/>
      <c r="E1683" s="58"/>
      <c r="F1683" s="58"/>
      <c r="G1683" s="58"/>
    </row>
    <row r="1684">
      <c r="D1684" s="58"/>
      <c r="E1684" s="58"/>
      <c r="F1684" s="58"/>
      <c r="G1684" s="58"/>
    </row>
    <row r="1685">
      <c r="D1685" s="58"/>
      <c r="E1685" s="58"/>
      <c r="F1685" s="58"/>
      <c r="G1685" s="58"/>
    </row>
    <row r="1686">
      <c r="D1686" s="58"/>
      <c r="E1686" s="58"/>
      <c r="F1686" s="58"/>
      <c r="G1686" s="58"/>
    </row>
    <row r="1687">
      <c r="D1687" s="58"/>
      <c r="E1687" s="58"/>
      <c r="F1687" s="58"/>
      <c r="G1687" s="58"/>
    </row>
    <row r="1688">
      <c r="D1688" s="58"/>
      <c r="E1688" s="58"/>
      <c r="F1688" s="58"/>
      <c r="G1688" s="58"/>
    </row>
    <row r="1689">
      <c r="D1689" s="58"/>
      <c r="E1689" s="58"/>
      <c r="F1689" s="58"/>
      <c r="G1689" s="58"/>
    </row>
    <row r="1690">
      <c r="D1690" s="58"/>
      <c r="E1690" s="58"/>
      <c r="F1690" s="58"/>
      <c r="G1690" s="58"/>
    </row>
    <row r="1691">
      <c r="D1691" s="58"/>
      <c r="E1691" s="58"/>
      <c r="F1691" s="58"/>
      <c r="G1691" s="58"/>
    </row>
    <row r="1692">
      <c r="D1692" s="58"/>
      <c r="E1692" s="58"/>
      <c r="F1692" s="58"/>
      <c r="G1692" s="58"/>
    </row>
    <row r="1693">
      <c r="D1693" s="58"/>
      <c r="E1693" s="58"/>
      <c r="F1693" s="58"/>
      <c r="G1693" s="58"/>
    </row>
    <row r="1694">
      <c r="D1694" s="58"/>
      <c r="E1694" s="58"/>
      <c r="F1694" s="58"/>
      <c r="G1694" s="58"/>
    </row>
    <row r="1695">
      <c r="D1695" s="58"/>
      <c r="E1695" s="58"/>
      <c r="F1695" s="58"/>
      <c r="G1695" s="58"/>
    </row>
    <row r="1696">
      <c r="D1696" s="58"/>
      <c r="E1696" s="58"/>
      <c r="F1696" s="58"/>
      <c r="G1696" s="58"/>
    </row>
    <row r="1697">
      <c r="D1697" s="58"/>
      <c r="E1697" s="58"/>
      <c r="F1697" s="58"/>
      <c r="G1697" s="58"/>
    </row>
    <row r="1698">
      <c r="D1698" s="58"/>
      <c r="E1698" s="58"/>
      <c r="F1698" s="58"/>
      <c r="G1698" s="58"/>
    </row>
    <row r="1699">
      <c r="D1699" s="58"/>
      <c r="E1699" s="58"/>
      <c r="F1699" s="58"/>
      <c r="G1699" s="58"/>
    </row>
    <row r="1700">
      <c r="D1700" s="58"/>
      <c r="E1700" s="58"/>
      <c r="F1700" s="58"/>
      <c r="G1700" s="58"/>
    </row>
    <row r="1701">
      <c r="D1701" s="58"/>
      <c r="E1701" s="58"/>
      <c r="F1701" s="58"/>
      <c r="G1701" s="58"/>
    </row>
    <row r="1702">
      <c r="D1702" s="58"/>
      <c r="E1702" s="58"/>
      <c r="F1702" s="58"/>
      <c r="G1702" s="58"/>
    </row>
    <row r="1703">
      <c r="D1703" s="58"/>
      <c r="E1703" s="58"/>
      <c r="F1703" s="58"/>
      <c r="G1703" s="58"/>
    </row>
    <row r="1704">
      <c r="D1704" s="58"/>
      <c r="E1704" s="58"/>
      <c r="F1704" s="58"/>
      <c r="G1704" s="58"/>
    </row>
    <row r="1705">
      <c r="D1705" s="58"/>
      <c r="E1705" s="58"/>
      <c r="F1705" s="58"/>
      <c r="G1705" s="58"/>
    </row>
    <row r="1706">
      <c r="D1706" s="58"/>
      <c r="E1706" s="58"/>
      <c r="F1706" s="58"/>
      <c r="G1706" s="58"/>
    </row>
    <row r="1707">
      <c r="D1707" s="58"/>
      <c r="E1707" s="58"/>
      <c r="F1707" s="58"/>
      <c r="G1707" s="58"/>
    </row>
    <row r="1708">
      <c r="D1708" s="58"/>
      <c r="E1708" s="58"/>
      <c r="F1708" s="58"/>
      <c r="G1708" s="58"/>
    </row>
    <row r="1709">
      <c r="D1709" s="58"/>
      <c r="E1709" s="58"/>
      <c r="F1709" s="58"/>
      <c r="G1709" s="58"/>
    </row>
    <row r="1710">
      <c r="D1710" s="58"/>
      <c r="E1710" s="58"/>
      <c r="F1710" s="58"/>
      <c r="G1710" s="58"/>
    </row>
    <row r="1711">
      <c r="D1711" s="58"/>
      <c r="E1711" s="58"/>
      <c r="F1711" s="58"/>
      <c r="G1711" s="58"/>
    </row>
    <row r="1712">
      <c r="D1712" s="58"/>
      <c r="E1712" s="58"/>
      <c r="F1712" s="58"/>
      <c r="G1712" s="58"/>
    </row>
    <row r="1713">
      <c r="D1713" s="58"/>
      <c r="E1713" s="58"/>
      <c r="F1713" s="58"/>
      <c r="G1713" s="58"/>
    </row>
    <row r="1714">
      <c r="D1714" s="58"/>
      <c r="E1714" s="58"/>
      <c r="F1714" s="58"/>
      <c r="G1714" s="58"/>
    </row>
    <row r="1715">
      <c r="D1715" s="58"/>
      <c r="E1715" s="58"/>
      <c r="F1715" s="58"/>
      <c r="G1715" s="58"/>
    </row>
    <row r="1716">
      <c r="D1716" s="58"/>
      <c r="E1716" s="58"/>
      <c r="F1716" s="58"/>
      <c r="G1716" s="58"/>
    </row>
    <row r="1717">
      <c r="D1717" s="58"/>
      <c r="E1717" s="58"/>
      <c r="F1717" s="58"/>
      <c r="G1717" s="58"/>
    </row>
    <row r="1718">
      <c r="D1718" s="58"/>
      <c r="E1718" s="58"/>
      <c r="F1718" s="58"/>
      <c r="G1718" s="58"/>
    </row>
    <row r="1719">
      <c r="D1719" s="58"/>
      <c r="E1719" s="58"/>
      <c r="F1719" s="58"/>
      <c r="G1719" s="58"/>
    </row>
    <row r="1720">
      <c r="D1720" s="58"/>
      <c r="E1720" s="58"/>
      <c r="F1720" s="58"/>
      <c r="G1720" s="58"/>
    </row>
    <row r="1721">
      <c r="D1721" s="58"/>
      <c r="E1721" s="58"/>
      <c r="F1721" s="58"/>
      <c r="G1721" s="58"/>
    </row>
    <row r="1722">
      <c r="D1722" s="58"/>
      <c r="E1722" s="58"/>
      <c r="F1722" s="58"/>
      <c r="G1722" s="58"/>
    </row>
    <row r="1723">
      <c r="D1723" s="58"/>
      <c r="E1723" s="58"/>
      <c r="F1723" s="58"/>
      <c r="G1723" s="58"/>
    </row>
    <row r="1724">
      <c r="D1724" s="58"/>
      <c r="E1724" s="58"/>
      <c r="F1724" s="58"/>
      <c r="G1724" s="58"/>
    </row>
    <row r="1725">
      <c r="D1725" s="58"/>
      <c r="E1725" s="58"/>
      <c r="F1725" s="58"/>
      <c r="G1725" s="58"/>
    </row>
    <row r="1726">
      <c r="D1726" s="58"/>
      <c r="E1726" s="58"/>
      <c r="F1726" s="58"/>
      <c r="G1726" s="58"/>
    </row>
    <row r="1727">
      <c r="D1727" s="58"/>
      <c r="E1727" s="58"/>
      <c r="F1727" s="58"/>
      <c r="G1727" s="58"/>
    </row>
    <row r="1728">
      <c r="D1728" s="58"/>
      <c r="E1728" s="58"/>
      <c r="F1728" s="58"/>
      <c r="G1728" s="58"/>
    </row>
    <row r="1729">
      <c r="D1729" s="58"/>
      <c r="E1729" s="58"/>
      <c r="F1729" s="58"/>
      <c r="G1729" s="58"/>
    </row>
    <row r="1730">
      <c r="D1730" s="58"/>
      <c r="E1730" s="58"/>
      <c r="F1730" s="58"/>
      <c r="G1730" s="58"/>
    </row>
    <row r="1731">
      <c r="D1731" s="58"/>
      <c r="E1731" s="58"/>
      <c r="F1731" s="58"/>
      <c r="G1731" s="58"/>
    </row>
    <row r="1732">
      <c r="D1732" s="58"/>
      <c r="E1732" s="58"/>
      <c r="F1732" s="58"/>
      <c r="G1732" s="58"/>
    </row>
    <row r="1733">
      <c r="D1733" s="58"/>
      <c r="E1733" s="58"/>
      <c r="F1733" s="58"/>
      <c r="G1733" s="58"/>
    </row>
    <row r="1734">
      <c r="D1734" s="58"/>
      <c r="E1734" s="58"/>
      <c r="F1734" s="58"/>
      <c r="G1734" s="58"/>
    </row>
    <row r="1735">
      <c r="D1735" s="58"/>
      <c r="E1735" s="58"/>
      <c r="F1735" s="58"/>
      <c r="G1735" s="58"/>
    </row>
    <row r="1736">
      <c r="D1736" s="58"/>
      <c r="E1736" s="58"/>
      <c r="F1736" s="58"/>
      <c r="G1736" s="58"/>
    </row>
    <row r="1737">
      <c r="D1737" s="58"/>
      <c r="E1737" s="58"/>
      <c r="F1737" s="58"/>
      <c r="G1737" s="58"/>
    </row>
    <row r="1738">
      <c r="D1738" s="58"/>
      <c r="E1738" s="58"/>
      <c r="F1738" s="58"/>
      <c r="G1738" s="58"/>
    </row>
    <row r="1739">
      <c r="D1739" s="58"/>
      <c r="E1739" s="58"/>
      <c r="F1739" s="58"/>
      <c r="G1739" s="58"/>
    </row>
    <row r="1740">
      <c r="D1740" s="58"/>
      <c r="E1740" s="58"/>
      <c r="F1740" s="58"/>
      <c r="G1740" s="58"/>
    </row>
    <row r="1741">
      <c r="D1741" s="58"/>
      <c r="E1741" s="58"/>
      <c r="F1741" s="58"/>
      <c r="G1741" s="58"/>
    </row>
    <row r="1742">
      <c r="D1742" s="58"/>
      <c r="E1742" s="58"/>
      <c r="F1742" s="58"/>
      <c r="G1742" s="58"/>
    </row>
    <row r="1743">
      <c r="D1743" s="58"/>
      <c r="E1743" s="58"/>
      <c r="F1743" s="58"/>
      <c r="G1743" s="58"/>
    </row>
    <row r="1744">
      <c r="D1744" s="58"/>
      <c r="E1744" s="58"/>
      <c r="F1744" s="58"/>
      <c r="G1744" s="58"/>
    </row>
    <row r="1745">
      <c r="D1745" s="58"/>
      <c r="E1745" s="58"/>
      <c r="F1745" s="58"/>
      <c r="G1745" s="58"/>
    </row>
    <row r="1746">
      <c r="D1746" s="58"/>
      <c r="E1746" s="58"/>
      <c r="F1746" s="58"/>
      <c r="G1746" s="58"/>
    </row>
    <row r="1747">
      <c r="D1747" s="58"/>
      <c r="E1747" s="58"/>
      <c r="F1747" s="58"/>
      <c r="G1747" s="58"/>
    </row>
    <row r="1748">
      <c r="D1748" s="58"/>
      <c r="E1748" s="58"/>
      <c r="F1748" s="58"/>
      <c r="G1748" s="58"/>
    </row>
    <row r="1749">
      <c r="D1749" s="58"/>
      <c r="E1749" s="58"/>
      <c r="F1749" s="58"/>
      <c r="G1749" s="58"/>
    </row>
    <row r="1750">
      <c r="D1750" s="58"/>
      <c r="E1750" s="58"/>
      <c r="F1750" s="58"/>
      <c r="G1750" s="58"/>
    </row>
    <row r="1751">
      <c r="D1751" s="58"/>
      <c r="E1751" s="58"/>
      <c r="F1751" s="58"/>
      <c r="G1751" s="58"/>
    </row>
    <row r="1752">
      <c r="D1752" s="58"/>
      <c r="E1752" s="58"/>
      <c r="F1752" s="58"/>
      <c r="G1752" s="58"/>
    </row>
    <row r="1753">
      <c r="D1753" s="58"/>
      <c r="E1753" s="58"/>
      <c r="F1753" s="58"/>
      <c r="G1753" s="58"/>
    </row>
    <row r="1754">
      <c r="D1754" s="58"/>
      <c r="E1754" s="58"/>
      <c r="F1754" s="58"/>
      <c r="G1754" s="58"/>
    </row>
    <row r="1755">
      <c r="D1755" s="58"/>
      <c r="E1755" s="58"/>
      <c r="F1755" s="58"/>
      <c r="G1755" s="58"/>
    </row>
    <row r="1756">
      <c r="D1756" s="58"/>
      <c r="E1756" s="58"/>
      <c r="F1756" s="58"/>
      <c r="G1756" s="58"/>
    </row>
    <row r="1757">
      <c r="D1757" s="58"/>
      <c r="E1757" s="58"/>
      <c r="F1757" s="58"/>
      <c r="G1757" s="58"/>
    </row>
    <row r="1758">
      <c r="D1758" s="58"/>
      <c r="E1758" s="58"/>
      <c r="F1758" s="58"/>
      <c r="G1758" s="58"/>
    </row>
    <row r="1759">
      <c r="D1759" s="58"/>
      <c r="E1759" s="58"/>
      <c r="F1759" s="58"/>
      <c r="G1759" s="58"/>
    </row>
    <row r="1760">
      <c r="D1760" s="58"/>
      <c r="E1760" s="58"/>
      <c r="F1760" s="58"/>
      <c r="G1760" s="58"/>
    </row>
    <row r="1761">
      <c r="D1761" s="58"/>
      <c r="E1761" s="58"/>
      <c r="F1761" s="58"/>
      <c r="G1761" s="58"/>
    </row>
    <row r="1762">
      <c r="D1762" s="58"/>
      <c r="E1762" s="58"/>
      <c r="F1762" s="58"/>
      <c r="G1762" s="58"/>
    </row>
    <row r="1763">
      <c r="D1763" s="58"/>
      <c r="E1763" s="58"/>
      <c r="F1763" s="58"/>
      <c r="G1763" s="58"/>
    </row>
    <row r="1764">
      <c r="D1764" s="58"/>
      <c r="E1764" s="58"/>
      <c r="F1764" s="58"/>
      <c r="G1764" s="58"/>
    </row>
    <row r="1765">
      <c r="D1765" s="58"/>
      <c r="E1765" s="58"/>
      <c r="F1765" s="58"/>
      <c r="G1765" s="58"/>
    </row>
    <row r="1766">
      <c r="D1766" s="58"/>
      <c r="E1766" s="58"/>
      <c r="F1766" s="58"/>
      <c r="G1766" s="58"/>
    </row>
    <row r="1767">
      <c r="D1767" s="58"/>
      <c r="E1767" s="58"/>
      <c r="F1767" s="58"/>
      <c r="G1767" s="58"/>
    </row>
    <row r="1768">
      <c r="D1768" s="58"/>
      <c r="E1768" s="58"/>
      <c r="F1768" s="58"/>
      <c r="G1768" s="58"/>
    </row>
    <row r="1769">
      <c r="D1769" s="58"/>
      <c r="E1769" s="58"/>
      <c r="F1769" s="58"/>
      <c r="G1769" s="58"/>
    </row>
    <row r="1770">
      <c r="D1770" s="58"/>
      <c r="E1770" s="58"/>
      <c r="F1770" s="58"/>
      <c r="G1770" s="58"/>
    </row>
    <row r="1771">
      <c r="D1771" s="58"/>
      <c r="E1771" s="58"/>
      <c r="F1771" s="58"/>
      <c r="G1771" s="58"/>
    </row>
    <row r="1772">
      <c r="D1772" s="58"/>
      <c r="E1772" s="58"/>
      <c r="F1772" s="58"/>
      <c r="G1772" s="58"/>
    </row>
    <row r="1773">
      <c r="D1773" s="58"/>
      <c r="E1773" s="58"/>
      <c r="F1773" s="58"/>
      <c r="G1773" s="58"/>
    </row>
    <row r="1774">
      <c r="D1774" s="58"/>
      <c r="E1774" s="58"/>
      <c r="F1774" s="58"/>
      <c r="G1774" s="58"/>
    </row>
    <row r="1775">
      <c r="D1775" s="58"/>
      <c r="E1775" s="58"/>
      <c r="F1775" s="58"/>
      <c r="G1775" s="58"/>
    </row>
    <row r="1776">
      <c r="D1776" s="58"/>
      <c r="E1776" s="58"/>
      <c r="F1776" s="58"/>
      <c r="G1776" s="58"/>
    </row>
    <row r="1777">
      <c r="D1777" s="58"/>
      <c r="E1777" s="58"/>
      <c r="F1777" s="58"/>
      <c r="G1777" s="58"/>
    </row>
    <row r="1778">
      <c r="D1778" s="58"/>
      <c r="E1778" s="58"/>
      <c r="F1778" s="58"/>
      <c r="G1778" s="58"/>
    </row>
    <row r="1779">
      <c r="D1779" s="58"/>
      <c r="E1779" s="58"/>
      <c r="F1779" s="58"/>
      <c r="G1779" s="58"/>
    </row>
    <row r="1780">
      <c r="D1780" s="58"/>
      <c r="E1780" s="58"/>
      <c r="F1780" s="58"/>
      <c r="G1780" s="58"/>
    </row>
    <row r="1781">
      <c r="D1781" s="58"/>
      <c r="E1781" s="58"/>
      <c r="F1781" s="58"/>
      <c r="G1781" s="58"/>
    </row>
    <row r="1782">
      <c r="D1782" s="58"/>
      <c r="E1782" s="58"/>
      <c r="F1782" s="58"/>
      <c r="G1782" s="58"/>
    </row>
    <row r="1783">
      <c r="D1783" s="58"/>
      <c r="E1783" s="58"/>
      <c r="F1783" s="58"/>
      <c r="G1783" s="58"/>
    </row>
    <row r="1784">
      <c r="D1784" s="58"/>
      <c r="E1784" s="58"/>
      <c r="F1784" s="58"/>
      <c r="G1784" s="58"/>
    </row>
    <row r="1785">
      <c r="D1785" s="58"/>
      <c r="E1785" s="58"/>
      <c r="F1785" s="58"/>
      <c r="G1785" s="58"/>
    </row>
    <row r="1786">
      <c r="D1786" s="58"/>
      <c r="E1786" s="58"/>
      <c r="F1786" s="58"/>
      <c r="G1786" s="58"/>
    </row>
    <row r="1787">
      <c r="D1787" s="58"/>
      <c r="E1787" s="58"/>
      <c r="F1787" s="58"/>
      <c r="G1787" s="58"/>
    </row>
    <row r="1788">
      <c r="D1788" s="58"/>
      <c r="E1788" s="58"/>
      <c r="F1788" s="58"/>
      <c r="G1788" s="58"/>
    </row>
    <row r="1789">
      <c r="D1789" s="58"/>
      <c r="E1789" s="58"/>
      <c r="F1789" s="58"/>
      <c r="G1789" s="58"/>
    </row>
    <row r="1790">
      <c r="D1790" s="58"/>
      <c r="E1790" s="58"/>
      <c r="F1790" s="58"/>
      <c r="G1790" s="58"/>
    </row>
    <row r="1791">
      <c r="D1791" s="58"/>
      <c r="E1791" s="58"/>
      <c r="F1791" s="58"/>
      <c r="G1791" s="58"/>
    </row>
    <row r="1792">
      <c r="D1792" s="58"/>
      <c r="E1792" s="58"/>
      <c r="F1792" s="58"/>
      <c r="G1792" s="58"/>
    </row>
    <row r="1793">
      <c r="D1793" s="58"/>
      <c r="E1793" s="58"/>
      <c r="F1793" s="58"/>
      <c r="G1793" s="58"/>
    </row>
    <row r="1794">
      <c r="D1794" s="58"/>
      <c r="E1794" s="58"/>
      <c r="F1794" s="58"/>
      <c r="G1794" s="58"/>
    </row>
    <row r="1795">
      <c r="D1795" s="58"/>
      <c r="E1795" s="58"/>
      <c r="F1795" s="58"/>
      <c r="G1795" s="58"/>
    </row>
    <row r="1796">
      <c r="D1796" s="58"/>
      <c r="E1796" s="58"/>
      <c r="F1796" s="58"/>
      <c r="G1796" s="58"/>
    </row>
    <row r="1797">
      <c r="D1797" s="58"/>
      <c r="E1797" s="58"/>
      <c r="F1797" s="58"/>
      <c r="G1797" s="58"/>
    </row>
    <row r="1798">
      <c r="D1798" s="58"/>
      <c r="E1798" s="58"/>
      <c r="F1798" s="58"/>
      <c r="G1798" s="58"/>
    </row>
    <row r="1799">
      <c r="D1799" s="58"/>
      <c r="E1799" s="58"/>
      <c r="F1799" s="58"/>
      <c r="G1799" s="58"/>
    </row>
    <row r="1800">
      <c r="D1800" s="58"/>
      <c r="E1800" s="58"/>
      <c r="F1800" s="58"/>
      <c r="G1800" s="58"/>
    </row>
    <row r="1801">
      <c r="D1801" s="58"/>
      <c r="E1801" s="58"/>
      <c r="F1801" s="58"/>
      <c r="G1801" s="58"/>
    </row>
    <row r="1802">
      <c r="D1802" s="58"/>
      <c r="E1802" s="58"/>
      <c r="F1802" s="58"/>
      <c r="G1802" s="58"/>
    </row>
    <row r="1803">
      <c r="D1803" s="58"/>
      <c r="E1803" s="58"/>
      <c r="F1803" s="58"/>
      <c r="G1803" s="58"/>
    </row>
    <row r="1804">
      <c r="D1804" s="58"/>
      <c r="E1804" s="58"/>
      <c r="F1804" s="58"/>
      <c r="G1804" s="58"/>
    </row>
    <row r="1805">
      <c r="D1805" s="58"/>
      <c r="E1805" s="58"/>
      <c r="F1805" s="58"/>
      <c r="G1805" s="58"/>
    </row>
    <row r="1806">
      <c r="D1806" s="58"/>
      <c r="E1806" s="58"/>
      <c r="F1806" s="58"/>
      <c r="G1806" s="58"/>
    </row>
    <row r="1807">
      <c r="D1807" s="58"/>
      <c r="E1807" s="58"/>
      <c r="F1807" s="58"/>
      <c r="G1807" s="58"/>
    </row>
    <row r="1808">
      <c r="D1808" s="58"/>
      <c r="E1808" s="58"/>
      <c r="F1808" s="58"/>
      <c r="G1808" s="58"/>
    </row>
    <row r="1809">
      <c r="D1809" s="58"/>
      <c r="E1809" s="58"/>
      <c r="F1809" s="58"/>
      <c r="G1809" s="58"/>
    </row>
    <row r="1810">
      <c r="D1810" s="58"/>
      <c r="E1810" s="58"/>
      <c r="F1810" s="58"/>
      <c r="G1810" s="58"/>
    </row>
    <row r="1811">
      <c r="D1811" s="58"/>
      <c r="E1811" s="58"/>
      <c r="F1811" s="58"/>
      <c r="G1811" s="58"/>
    </row>
    <row r="1812">
      <c r="D1812" s="58"/>
      <c r="E1812" s="58"/>
      <c r="F1812" s="58"/>
      <c r="G1812" s="58"/>
    </row>
    <row r="1813">
      <c r="D1813" s="58"/>
      <c r="E1813" s="58"/>
      <c r="F1813" s="58"/>
      <c r="G1813" s="58"/>
    </row>
    <row r="1814">
      <c r="D1814" s="58"/>
      <c r="E1814" s="58"/>
      <c r="F1814" s="58"/>
      <c r="G1814" s="58"/>
    </row>
    <row r="1815">
      <c r="D1815" s="58"/>
      <c r="E1815" s="58"/>
      <c r="F1815" s="58"/>
      <c r="G1815" s="58"/>
    </row>
    <row r="1816">
      <c r="D1816" s="58"/>
      <c r="E1816" s="58"/>
      <c r="F1816" s="58"/>
      <c r="G1816" s="58"/>
    </row>
    <row r="1817">
      <c r="D1817" s="58"/>
      <c r="E1817" s="58"/>
      <c r="F1817" s="58"/>
      <c r="G1817" s="58"/>
    </row>
    <row r="1818">
      <c r="D1818" s="58"/>
      <c r="E1818" s="58"/>
      <c r="F1818" s="58"/>
      <c r="G1818" s="58"/>
    </row>
    <row r="1819">
      <c r="D1819" s="58"/>
      <c r="E1819" s="58"/>
      <c r="F1819" s="58"/>
      <c r="G1819" s="58"/>
    </row>
    <row r="1820">
      <c r="D1820" s="58"/>
      <c r="E1820" s="58"/>
      <c r="F1820" s="58"/>
      <c r="G1820" s="58"/>
    </row>
    <row r="1821">
      <c r="D1821" s="58"/>
      <c r="E1821" s="58"/>
      <c r="F1821" s="58"/>
      <c r="G1821" s="58"/>
    </row>
    <row r="1822">
      <c r="D1822" s="58"/>
      <c r="E1822" s="58"/>
      <c r="F1822" s="58"/>
      <c r="G1822" s="58"/>
    </row>
    <row r="1823">
      <c r="D1823" s="58"/>
      <c r="E1823" s="58"/>
      <c r="F1823" s="58"/>
      <c r="G1823" s="58"/>
    </row>
    <row r="1824">
      <c r="D1824" s="58"/>
      <c r="E1824" s="58"/>
      <c r="F1824" s="58"/>
      <c r="G1824" s="58"/>
    </row>
    <row r="1825">
      <c r="D1825" s="58"/>
      <c r="E1825" s="58"/>
      <c r="F1825" s="58"/>
      <c r="G1825" s="58"/>
    </row>
    <row r="1826">
      <c r="D1826" s="58"/>
      <c r="E1826" s="58"/>
      <c r="F1826" s="58"/>
      <c r="G1826" s="58"/>
    </row>
    <row r="1827">
      <c r="D1827" s="58"/>
      <c r="E1827" s="58"/>
      <c r="F1827" s="58"/>
      <c r="G1827" s="58"/>
    </row>
    <row r="1828">
      <c r="D1828" s="58"/>
      <c r="E1828" s="58"/>
      <c r="F1828" s="58"/>
      <c r="G1828" s="58"/>
    </row>
    <row r="1829">
      <c r="D1829" s="58"/>
      <c r="E1829" s="58"/>
      <c r="F1829" s="58"/>
      <c r="G1829" s="58"/>
    </row>
    <row r="1830">
      <c r="D1830" s="58"/>
      <c r="E1830" s="58"/>
      <c r="F1830" s="58"/>
      <c r="G1830" s="58"/>
    </row>
    <row r="1831">
      <c r="D1831" s="58"/>
      <c r="E1831" s="58"/>
      <c r="F1831" s="58"/>
      <c r="G1831" s="58"/>
    </row>
    <row r="1832">
      <c r="D1832" s="58"/>
      <c r="E1832" s="58"/>
      <c r="F1832" s="58"/>
      <c r="G1832" s="58"/>
    </row>
    <row r="1833">
      <c r="D1833" s="58"/>
      <c r="E1833" s="58"/>
      <c r="F1833" s="58"/>
      <c r="G1833" s="58"/>
    </row>
    <row r="1834">
      <c r="D1834" s="58"/>
      <c r="E1834" s="58"/>
      <c r="F1834" s="58"/>
      <c r="G1834" s="58"/>
    </row>
    <row r="1835">
      <c r="D1835" s="58"/>
      <c r="E1835" s="58"/>
      <c r="F1835" s="58"/>
      <c r="G1835" s="58"/>
    </row>
    <row r="1836">
      <c r="D1836" s="58"/>
      <c r="E1836" s="58"/>
      <c r="F1836" s="58"/>
      <c r="G1836" s="58"/>
    </row>
    <row r="1837">
      <c r="D1837" s="58"/>
      <c r="E1837" s="58"/>
      <c r="F1837" s="58"/>
      <c r="G1837" s="58"/>
    </row>
    <row r="1838">
      <c r="D1838" s="58"/>
      <c r="E1838" s="58"/>
      <c r="F1838" s="58"/>
      <c r="G1838" s="58"/>
    </row>
    <row r="1839">
      <c r="D1839" s="58"/>
      <c r="E1839" s="58"/>
      <c r="F1839" s="58"/>
      <c r="G1839" s="58"/>
    </row>
    <row r="1840">
      <c r="D1840" s="58"/>
      <c r="E1840" s="58"/>
      <c r="F1840" s="58"/>
      <c r="G1840" s="58"/>
    </row>
    <row r="1841">
      <c r="D1841" s="58"/>
      <c r="E1841" s="58"/>
      <c r="F1841" s="58"/>
      <c r="G1841" s="58"/>
    </row>
    <row r="1842">
      <c r="D1842" s="58"/>
      <c r="E1842" s="58"/>
      <c r="F1842" s="58"/>
      <c r="G1842" s="58"/>
    </row>
    <row r="1843">
      <c r="D1843" s="58"/>
      <c r="E1843" s="58"/>
      <c r="F1843" s="58"/>
      <c r="G1843" s="58"/>
    </row>
    <row r="1844">
      <c r="D1844" s="58"/>
      <c r="E1844" s="58"/>
      <c r="F1844" s="58"/>
      <c r="G1844" s="58"/>
    </row>
    <row r="1845">
      <c r="D1845" s="58"/>
      <c r="E1845" s="58"/>
      <c r="F1845" s="58"/>
      <c r="G1845" s="58"/>
    </row>
    <row r="1846">
      <c r="D1846" s="58"/>
      <c r="E1846" s="58"/>
      <c r="F1846" s="58"/>
      <c r="G1846" s="58"/>
    </row>
    <row r="1847">
      <c r="D1847" s="58"/>
      <c r="E1847" s="58"/>
      <c r="F1847" s="58"/>
      <c r="G1847" s="58"/>
    </row>
    <row r="1848">
      <c r="D1848" s="58"/>
      <c r="E1848" s="58"/>
      <c r="F1848" s="58"/>
      <c r="G1848" s="58"/>
    </row>
    <row r="1849">
      <c r="D1849" s="58"/>
      <c r="E1849" s="58"/>
      <c r="F1849" s="58"/>
      <c r="G1849" s="58"/>
    </row>
    <row r="1850">
      <c r="D1850" s="58"/>
      <c r="E1850" s="58"/>
      <c r="F1850" s="58"/>
      <c r="G1850" s="58"/>
    </row>
    <row r="1851">
      <c r="D1851" s="58"/>
      <c r="E1851" s="58"/>
      <c r="F1851" s="58"/>
      <c r="G1851" s="58"/>
    </row>
    <row r="1852">
      <c r="D1852" s="58"/>
      <c r="E1852" s="58"/>
      <c r="F1852" s="58"/>
      <c r="G1852" s="58"/>
    </row>
    <row r="1853">
      <c r="D1853" s="58"/>
      <c r="E1853" s="58"/>
      <c r="F1853" s="58"/>
      <c r="G1853" s="58"/>
    </row>
    <row r="1854">
      <c r="D1854" s="58"/>
      <c r="E1854" s="58"/>
      <c r="F1854" s="58"/>
      <c r="G1854" s="58"/>
    </row>
    <row r="1855">
      <c r="D1855" s="58"/>
      <c r="E1855" s="58"/>
      <c r="F1855" s="58"/>
      <c r="G1855" s="58"/>
    </row>
    <row r="1856">
      <c r="D1856" s="58"/>
      <c r="E1856" s="58"/>
      <c r="F1856" s="58"/>
      <c r="G1856" s="58"/>
    </row>
    <row r="1857">
      <c r="D1857" s="58"/>
      <c r="E1857" s="58"/>
      <c r="F1857" s="58"/>
      <c r="G1857" s="58"/>
    </row>
    <row r="1858">
      <c r="D1858" s="58"/>
      <c r="E1858" s="58"/>
      <c r="F1858" s="58"/>
      <c r="G1858" s="58"/>
    </row>
    <row r="1859">
      <c r="D1859" s="58"/>
      <c r="E1859" s="58"/>
      <c r="F1859" s="58"/>
      <c r="G1859" s="58"/>
    </row>
    <row r="1860">
      <c r="D1860" s="58"/>
      <c r="E1860" s="58"/>
      <c r="F1860" s="58"/>
      <c r="G1860" s="58"/>
    </row>
    <row r="1861">
      <c r="D1861" s="58"/>
      <c r="E1861" s="58"/>
      <c r="F1861" s="58"/>
      <c r="G1861" s="58"/>
    </row>
    <row r="1862">
      <c r="D1862" s="58"/>
      <c r="E1862" s="58"/>
      <c r="F1862" s="58"/>
      <c r="G1862" s="58"/>
    </row>
    <row r="1863">
      <c r="D1863" s="58"/>
      <c r="E1863" s="58"/>
      <c r="F1863" s="58"/>
      <c r="G1863" s="58"/>
    </row>
    <row r="1864">
      <c r="D1864" s="58"/>
      <c r="E1864" s="58"/>
      <c r="F1864" s="58"/>
      <c r="G1864" s="58"/>
    </row>
    <row r="1865">
      <c r="D1865" s="58"/>
      <c r="E1865" s="58"/>
      <c r="F1865" s="58"/>
      <c r="G1865" s="58"/>
    </row>
    <row r="1866">
      <c r="D1866" s="58"/>
      <c r="E1866" s="58"/>
      <c r="F1866" s="58"/>
      <c r="G1866" s="58"/>
    </row>
    <row r="1867">
      <c r="D1867" s="58"/>
      <c r="E1867" s="58"/>
      <c r="F1867" s="58"/>
      <c r="G1867" s="58"/>
    </row>
    <row r="1868">
      <c r="D1868" s="58"/>
      <c r="E1868" s="58"/>
      <c r="F1868" s="58"/>
      <c r="G1868" s="58"/>
    </row>
    <row r="1869">
      <c r="D1869" s="58"/>
      <c r="E1869" s="58"/>
      <c r="F1869" s="58"/>
      <c r="G1869" s="58"/>
    </row>
    <row r="1870">
      <c r="D1870" s="58"/>
      <c r="E1870" s="58"/>
      <c r="F1870" s="58"/>
      <c r="G1870" s="58"/>
    </row>
    <row r="1871">
      <c r="D1871" s="58"/>
      <c r="E1871" s="58"/>
      <c r="F1871" s="58"/>
      <c r="G1871" s="58"/>
    </row>
    <row r="1872">
      <c r="D1872" s="58"/>
      <c r="E1872" s="58"/>
      <c r="F1872" s="58"/>
      <c r="G1872" s="58"/>
    </row>
    <row r="1873">
      <c r="D1873" s="58"/>
      <c r="E1873" s="58"/>
      <c r="F1873" s="58"/>
      <c r="G1873" s="58"/>
    </row>
    <row r="1874">
      <c r="D1874" s="58"/>
      <c r="E1874" s="58"/>
      <c r="F1874" s="58"/>
      <c r="G1874" s="58"/>
    </row>
    <row r="1875">
      <c r="D1875" s="58"/>
      <c r="E1875" s="58"/>
      <c r="F1875" s="58"/>
      <c r="G1875" s="58"/>
    </row>
    <row r="1876">
      <c r="D1876" s="58"/>
      <c r="E1876" s="58"/>
      <c r="F1876" s="58"/>
      <c r="G1876" s="58"/>
    </row>
    <row r="1877">
      <c r="D1877" s="58"/>
      <c r="E1877" s="58"/>
      <c r="F1877" s="58"/>
      <c r="G1877" s="58"/>
    </row>
    <row r="1878">
      <c r="D1878" s="58"/>
      <c r="E1878" s="58"/>
      <c r="F1878" s="58"/>
      <c r="G1878" s="58"/>
    </row>
    <row r="1879">
      <c r="D1879" s="58"/>
      <c r="E1879" s="58"/>
      <c r="F1879" s="58"/>
      <c r="G1879" s="58"/>
    </row>
    <row r="1880">
      <c r="D1880" s="58"/>
      <c r="E1880" s="58"/>
      <c r="F1880" s="58"/>
      <c r="G1880" s="58"/>
    </row>
    <row r="1881">
      <c r="D1881" s="58"/>
      <c r="E1881" s="58"/>
      <c r="F1881" s="58"/>
      <c r="G1881" s="58"/>
    </row>
    <row r="1882">
      <c r="D1882" s="58"/>
      <c r="E1882" s="58"/>
      <c r="F1882" s="58"/>
      <c r="G1882" s="58"/>
    </row>
    <row r="1883">
      <c r="D1883" s="58"/>
      <c r="E1883" s="58"/>
      <c r="F1883" s="58"/>
      <c r="G1883" s="58"/>
    </row>
    <row r="1884">
      <c r="D1884" s="58"/>
      <c r="E1884" s="58"/>
      <c r="F1884" s="58"/>
      <c r="G1884" s="58"/>
    </row>
    <row r="1885">
      <c r="D1885" s="58"/>
      <c r="E1885" s="58"/>
      <c r="F1885" s="58"/>
      <c r="G1885" s="58"/>
    </row>
    <row r="1886">
      <c r="D1886" s="58"/>
      <c r="E1886" s="58"/>
      <c r="F1886" s="58"/>
      <c r="G1886" s="58"/>
    </row>
    <row r="1887">
      <c r="D1887" s="58"/>
      <c r="E1887" s="58"/>
      <c r="F1887" s="58"/>
      <c r="G1887" s="58"/>
    </row>
    <row r="1888">
      <c r="D1888" s="58"/>
      <c r="E1888" s="58"/>
      <c r="F1888" s="58"/>
      <c r="G1888" s="58"/>
    </row>
    <row r="1889">
      <c r="D1889" s="58"/>
      <c r="E1889" s="58"/>
      <c r="F1889" s="58"/>
      <c r="G1889" s="58"/>
    </row>
    <row r="1890">
      <c r="D1890" s="58"/>
      <c r="E1890" s="58"/>
      <c r="F1890" s="58"/>
      <c r="G1890" s="58"/>
    </row>
    <row r="1891">
      <c r="D1891" s="58"/>
      <c r="E1891" s="58"/>
      <c r="F1891" s="58"/>
      <c r="G1891" s="58"/>
    </row>
    <row r="1892">
      <c r="D1892" s="58"/>
      <c r="E1892" s="58"/>
      <c r="F1892" s="58"/>
      <c r="G1892" s="58"/>
    </row>
    <row r="1893">
      <c r="D1893" s="58"/>
      <c r="E1893" s="58"/>
      <c r="F1893" s="58"/>
      <c r="G1893" s="58"/>
    </row>
    <row r="1894">
      <c r="D1894" s="58"/>
      <c r="E1894" s="58"/>
      <c r="F1894" s="58"/>
      <c r="G1894" s="58"/>
    </row>
    <row r="1895">
      <c r="D1895" s="58"/>
      <c r="E1895" s="58"/>
      <c r="F1895" s="58"/>
      <c r="G1895" s="58"/>
    </row>
    <row r="1896">
      <c r="D1896" s="58"/>
      <c r="E1896" s="58"/>
      <c r="F1896" s="58"/>
      <c r="G1896" s="58"/>
    </row>
    <row r="1897">
      <c r="D1897" s="58"/>
      <c r="E1897" s="58"/>
      <c r="F1897" s="58"/>
      <c r="G1897" s="58"/>
    </row>
    <row r="1898">
      <c r="D1898" s="58"/>
      <c r="E1898" s="58"/>
      <c r="F1898" s="58"/>
      <c r="G1898" s="58"/>
    </row>
    <row r="1899">
      <c r="D1899" s="58"/>
      <c r="E1899" s="58"/>
      <c r="F1899" s="58"/>
      <c r="G1899" s="58"/>
    </row>
    <row r="1900">
      <c r="D1900" s="58"/>
      <c r="E1900" s="58"/>
      <c r="F1900" s="58"/>
      <c r="G1900" s="58"/>
    </row>
    <row r="1901">
      <c r="D1901" s="58"/>
      <c r="E1901" s="58"/>
      <c r="F1901" s="58"/>
      <c r="G1901" s="58"/>
    </row>
    <row r="1902">
      <c r="D1902" s="58"/>
      <c r="E1902" s="58"/>
      <c r="F1902" s="58"/>
      <c r="G1902" s="58"/>
    </row>
    <row r="1903">
      <c r="D1903" s="58"/>
      <c r="E1903" s="58"/>
      <c r="F1903" s="58"/>
      <c r="G1903" s="58"/>
    </row>
    <row r="1904">
      <c r="D1904" s="58"/>
      <c r="E1904" s="58"/>
      <c r="F1904" s="58"/>
      <c r="G1904" s="58"/>
    </row>
    <row r="1905">
      <c r="D1905" s="58"/>
      <c r="E1905" s="58"/>
      <c r="F1905" s="58"/>
      <c r="G1905" s="58"/>
    </row>
    <row r="1906">
      <c r="D1906" s="58"/>
      <c r="E1906" s="58"/>
      <c r="F1906" s="58"/>
      <c r="G1906" s="58"/>
    </row>
    <row r="1907">
      <c r="D1907" s="58"/>
      <c r="E1907" s="58"/>
      <c r="F1907" s="58"/>
      <c r="G1907" s="58"/>
    </row>
    <row r="1908">
      <c r="D1908" s="58"/>
      <c r="E1908" s="58"/>
      <c r="F1908" s="58"/>
      <c r="G1908" s="58"/>
    </row>
    <row r="1909">
      <c r="D1909" s="58"/>
      <c r="E1909" s="58"/>
      <c r="F1909" s="58"/>
      <c r="G1909" s="58"/>
    </row>
    <row r="1910">
      <c r="D1910" s="58"/>
      <c r="E1910" s="58"/>
      <c r="F1910" s="58"/>
      <c r="G1910" s="58"/>
    </row>
    <row r="1911">
      <c r="D1911" s="58"/>
      <c r="E1911" s="58"/>
      <c r="F1911" s="58"/>
      <c r="G1911" s="58"/>
    </row>
    <row r="1912">
      <c r="D1912" s="58"/>
      <c r="E1912" s="58"/>
      <c r="F1912" s="58"/>
      <c r="G1912" s="58"/>
    </row>
    <row r="1913">
      <c r="D1913" s="58"/>
      <c r="E1913" s="58"/>
      <c r="F1913" s="58"/>
      <c r="G1913" s="58"/>
    </row>
    <row r="1914">
      <c r="D1914" s="58"/>
      <c r="E1914" s="58"/>
      <c r="F1914" s="58"/>
      <c r="G1914" s="58"/>
    </row>
    <row r="1915">
      <c r="D1915" s="58"/>
      <c r="E1915" s="58"/>
      <c r="F1915" s="58"/>
      <c r="G1915" s="58"/>
    </row>
    <row r="1916">
      <c r="D1916" s="58"/>
      <c r="E1916" s="58"/>
      <c r="F1916" s="58"/>
      <c r="G1916" s="58"/>
    </row>
    <row r="1917">
      <c r="D1917" s="58"/>
      <c r="E1917" s="58"/>
      <c r="F1917" s="58"/>
      <c r="G1917" s="58"/>
    </row>
    <row r="1918">
      <c r="D1918" s="58"/>
      <c r="E1918" s="58"/>
      <c r="F1918" s="58"/>
      <c r="G1918" s="58"/>
    </row>
    <row r="1919">
      <c r="D1919" s="58"/>
      <c r="E1919" s="58"/>
      <c r="F1919" s="58"/>
      <c r="G1919" s="58"/>
    </row>
    <row r="1920">
      <c r="D1920" s="58"/>
      <c r="E1920" s="58"/>
      <c r="F1920" s="58"/>
      <c r="G1920" s="58"/>
    </row>
    <row r="1921">
      <c r="D1921" s="58"/>
      <c r="E1921" s="58"/>
      <c r="F1921" s="58"/>
      <c r="G1921" s="58"/>
    </row>
    <row r="1922">
      <c r="D1922" s="58"/>
      <c r="E1922" s="58"/>
      <c r="F1922" s="58"/>
      <c r="G1922" s="58"/>
    </row>
    <row r="1923">
      <c r="D1923" s="58"/>
      <c r="E1923" s="58"/>
      <c r="F1923" s="58"/>
      <c r="G1923" s="58"/>
    </row>
    <row r="1924">
      <c r="D1924" s="58"/>
      <c r="E1924" s="58"/>
      <c r="F1924" s="58"/>
      <c r="G1924" s="58"/>
    </row>
    <row r="1925">
      <c r="D1925" s="58"/>
      <c r="E1925" s="58"/>
      <c r="F1925" s="58"/>
      <c r="G1925" s="58"/>
    </row>
    <row r="1926">
      <c r="D1926" s="58"/>
      <c r="E1926" s="58"/>
      <c r="F1926" s="58"/>
      <c r="G1926" s="58"/>
    </row>
    <row r="1927">
      <c r="D1927" s="58"/>
      <c r="E1927" s="58"/>
      <c r="F1927" s="58"/>
      <c r="G1927" s="58"/>
    </row>
    <row r="1928">
      <c r="D1928" s="58"/>
      <c r="E1928" s="58"/>
      <c r="F1928" s="58"/>
      <c r="G1928" s="58"/>
    </row>
    <row r="1929">
      <c r="D1929" s="58"/>
      <c r="E1929" s="58"/>
      <c r="F1929" s="58"/>
      <c r="G1929" s="58"/>
    </row>
    <row r="1930">
      <c r="D1930" s="58"/>
      <c r="E1930" s="58"/>
      <c r="F1930" s="58"/>
      <c r="G1930" s="58"/>
    </row>
    <row r="1931">
      <c r="D1931" s="58"/>
      <c r="E1931" s="58"/>
      <c r="F1931" s="58"/>
      <c r="G1931" s="58"/>
    </row>
    <row r="1932">
      <c r="D1932" s="58"/>
      <c r="E1932" s="58"/>
      <c r="F1932" s="58"/>
      <c r="G1932" s="58"/>
    </row>
    <row r="1933">
      <c r="D1933" s="58"/>
      <c r="E1933" s="58"/>
      <c r="F1933" s="58"/>
      <c r="G1933" s="58"/>
    </row>
    <row r="1934">
      <c r="D1934" s="58"/>
      <c r="E1934" s="58"/>
      <c r="F1934" s="58"/>
      <c r="G1934" s="58"/>
    </row>
    <row r="1935">
      <c r="D1935" s="58"/>
      <c r="E1935" s="58"/>
      <c r="F1935" s="58"/>
      <c r="G1935" s="58"/>
    </row>
    <row r="1936">
      <c r="D1936" s="58"/>
      <c r="E1936" s="58"/>
      <c r="F1936" s="58"/>
      <c r="G1936" s="58"/>
    </row>
    <row r="1937">
      <c r="D1937" s="58"/>
      <c r="E1937" s="58"/>
      <c r="F1937" s="58"/>
      <c r="G1937" s="58"/>
    </row>
    <row r="1938">
      <c r="D1938" s="58"/>
      <c r="E1938" s="58"/>
      <c r="F1938" s="58"/>
      <c r="G1938" s="58"/>
    </row>
    <row r="1939">
      <c r="D1939" s="58"/>
      <c r="E1939" s="58"/>
      <c r="F1939" s="58"/>
      <c r="G1939" s="58"/>
    </row>
    <row r="1940">
      <c r="D1940" s="58"/>
      <c r="E1940" s="58"/>
      <c r="F1940" s="58"/>
      <c r="G1940" s="58"/>
    </row>
    <row r="1941">
      <c r="D1941" s="58"/>
      <c r="E1941" s="58"/>
      <c r="F1941" s="58"/>
      <c r="G1941" s="58"/>
    </row>
    <row r="1942">
      <c r="D1942" s="58"/>
      <c r="E1942" s="58"/>
      <c r="F1942" s="58"/>
      <c r="G1942" s="58"/>
    </row>
    <row r="1943">
      <c r="D1943" s="58"/>
      <c r="E1943" s="58"/>
      <c r="F1943" s="58"/>
      <c r="G1943" s="58"/>
    </row>
    <row r="1944">
      <c r="D1944" s="58"/>
      <c r="E1944" s="58"/>
      <c r="F1944" s="58"/>
      <c r="G1944" s="58"/>
    </row>
    <row r="1945">
      <c r="D1945" s="58"/>
      <c r="E1945" s="58"/>
      <c r="F1945" s="58"/>
      <c r="G1945" s="58"/>
    </row>
    <row r="1946">
      <c r="D1946" s="58"/>
      <c r="E1946" s="58"/>
      <c r="F1946" s="58"/>
      <c r="G1946" s="58"/>
    </row>
    <row r="1947">
      <c r="D1947" s="58"/>
      <c r="E1947" s="58"/>
      <c r="F1947" s="58"/>
      <c r="G1947" s="58"/>
    </row>
    <row r="1948">
      <c r="D1948" s="58"/>
      <c r="E1948" s="58"/>
      <c r="F1948" s="58"/>
      <c r="G1948" s="58"/>
    </row>
    <row r="1949">
      <c r="D1949" s="58"/>
      <c r="E1949" s="58"/>
      <c r="F1949" s="58"/>
      <c r="G1949" s="58"/>
    </row>
    <row r="1950">
      <c r="D1950" s="58"/>
      <c r="E1950" s="58"/>
      <c r="F1950" s="58"/>
      <c r="G1950" s="58"/>
    </row>
    <row r="1951">
      <c r="D1951" s="58"/>
      <c r="E1951" s="58"/>
      <c r="F1951" s="58"/>
      <c r="G1951" s="58"/>
    </row>
    <row r="1952">
      <c r="D1952" s="58"/>
      <c r="E1952" s="58"/>
      <c r="F1952" s="58"/>
      <c r="G1952" s="58"/>
    </row>
    <row r="1953">
      <c r="D1953" s="58"/>
      <c r="E1953" s="58"/>
      <c r="F1953" s="58"/>
      <c r="G1953" s="58"/>
    </row>
    <row r="1954">
      <c r="D1954" s="58"/>
      <c r="E1954" s="58"/>
      <c r="F1954" s="58"/>
      <c r="G1954" s="58"/>
    </row>
    <row r="1955">
      <c r="D1955" s="58"/>
      <c r="E1955" s="58"/>
      <c r="F1955" s="58"/>
      <c r="G1955" s="58"/>
    </row>
    <row r="1956">
      <c r="D1956" s="58"/>
      <c r="E1956" s="58"/>
      <c r="F1956" s="58"/>
      <c r="G1956" s="58"/>
    </row>
    <row r="1957">
      <c r="D1957" s="58"/>
      <c r="E1957" s="58"/>
      <c r="F1957" s="58"/>
      <c r="G1957" s="58"/>
    </row>
    <row r="1958">
      <c r="D1958" s="58"/>
      <c r="E1958" s="58"/>
      <c r="F1958" s="58"/>
      <c r="G1958" s="58"/>
    </row>
    <row r="1959">
      <c r="D1959" s="58"/>
      <c r="E1959" s="58"/>
      <c r="F1959" s="58"/>
      <c r="G1959" s="58"/>
    </row>
    <row r="1960">
      <c r="D1960" s="58"/>
      <c r="E1960" s="58"/>
      <c r="F1960" s="58"/>
      <c r="G1960" s="58"/>
    </row>
    <row r="1961">
      <c r="D1961" s="58"/>
      <c r="E1961" s="58"/>
      <c r="F1961" s="58"/>
      <c r="G1961" s="58"/>
    </row>
    <row r="1962">
      <c r="D1962" s="58"/>
      <c r="E1962" s="58"/>
      <c r="F1962" s="58"/>
      <c r="G1962" s="58"/>
    </row>
    <row r="1963">
      <c r="D1963" s="58"/>
      <c r="E1963" s="58"/>
      <c r="F1963" s="58"/>
      <c r="G1963" s="58"/>
    </row>
    <row r="1964">
      <c r="D1964" s="58"/>
      <c r="E1964" s="58"/>
      <c r="F1964" s="58"/>
      <c r="G1964" s="58"/>
    </row>
    <row r="1965">
      <c r="D1965" s="58"/>
      <c r="E1965" s="58"/>
      <c r="F1965" s="58"/>
      <c r="G1965" s="58"/>
    </row>
    <row r="1966">
      <c r="D1966" s="58"/>
      <c r="E1966" s="58"/>
      <c r="F1966" s="58"/>
      <c r="G1966" s="58"/>
    </row>
    <row r="1967">
      <c r="D1967" s="58"/>
      <c r="E1967" s="58"/>
      <c r="F1967" s="58"/>
      <c r="G1967" s="58"/>
    </row>
    <row r="1968">
      <c r="D1968" s="58"/>
      <c r="E1968" s="58"/>
      <c r="F1968" s="58"/>
      <c r="G1968" s="58"/>
    </row>
    <row r="1969">
      <c r="D1969" s="58"/>
      <c r="E1969" s="58"/>
      <c r="F1969" s="58"/>
      <c r="G1969" s="58"/>
    </row>
    <row r="1970">
      <c r="D1970" s="58"/>
      <c r="E1970" s="58"/>
      <c r="F1970" s="58"/>
      <c r="G1970" s="58"/>
    </row>
    <row r="1971">
      <c r="D1971" s="58"/>
      <c r="E1971" s="58"/>
      <c r="F1971" s="58"/>
      <c r="G1971" s="58"/>
    </row>
    <row r="1972">
      <c r="D1972" s="58"/>
      <c r="E1972" s="58"/>
      <c r="F1972" s="58"/>
      <c r="G1972" s="58"/>
    </row>
    <row r="1973">
      <c r="D1973" s="58"/>
      <c r="E1973" s="58"/>
      <c r="F1973" s="58"/>
      <c r="G1973" s="58"/>
    </row>
    <row r="1974">
      <c r="D1974" s="58"/>
      <c r="E1974" s="58"/>
      <c r="F1974" s="58"/>
      <c r="G1974" s="58"/>
    </row>
    <row r="1975">
      <c r="D1975" s="58"/>
      <c r="E1975" s="58"/>
      <c r="F1975" s="58"/>
      <c r="G1975" s="58"/>
    </row>
    <row r="1976">
      <c r="D1976" s="58"/>
      <c r="E1976" s="58"/>
      <c r="F1976" s="58"/>
      <c r="G1976" s="58"/>
    </row>
    <row r="1977">
      <c r="D1977" s="58"/>
      <c r="E1977" s="58"/>
      <c r="F1977" s="58"/>
      <c r="G1977" s="58"/>
    </row>
    <row r="1978">
      <c r="D1978" s="58"/>
      <c r="E1978" s="58"/>
      <c r="F1978" s="58"/>
      <c r="G1978" s="58"/>
    </row>
    <row r="1979">
      <c r="D1979" s="58"/>
      <c r="E1979" s="58"/>
      <c r="F1979" s="58"/>
      <c r="G1979" s="58"/>
    </row>
    <row r="1980">
      <c r="D1980" s="58"/>
      <c r="E1980" s="58"/>
      <c r="F1980" s="58"/>
      <c r="G1980" s="58"/>
    </row>
    <row r="1981">
      <c r="D1981" s="58"/>
      <c r="E1981" s="58"/>
      <c r="F1981" s="58"/>
      <c r="G1981" s="58"/>
    </row>
    <row r="1982">
      <c r="D1982" s="58"/>
      <c r="E1982" s="58"/>
      <c r="F1982" s="58"/>
      <c r="G1982" s="58"/>
    </row>
    <row r="1983">
      <c r="D1983" s="58"/>
      <c r="E1983" s="58"/>
      <c r="F1983" s="58"/>
      <c r="G1983" s="58"/>
    </row>
    <row r="1984">
      <c r="D1984" s="58"/>
      <c r="E1984" s="58"/>
      <c r="F1984" s="58"/>
      <c r="G1984" s="58"/>
    </row>
    <row r="1985">
      <c r="D1985" s="58"/>
      <c r="E1985" s="58"/>
      <c r="F1985" s="58"/>
      <c r="G1985" s="58"/>
    </row>
    <row r="1986">
      <c r="D1986" s="58"/>
      <c r="E1986" s="58"/>
      <c r="F1986" s="58"/>
      <c r="G1986" s="58"/>
    </row>
    <row r="1987">
      <c r="D1987" s="58"/>
      <c r="E1987" s="58"/>
      <c r="F1987" s="58"/>
      <c r="G1987" s="58"/>
    </row>
    <row r="1988">
      <c r="D1988" s="58"/>
      <c r="E1988" s="58"/>
      <c r="F1988" s="58"/>
      <c r="G1988" s="58"/>
    </row>
    <row r="1989">
      <c r="D1989" s="58"/>
      <c r="E1989" s="58"/>
      <c r="F1989" s="58"/>
      <c r="G1989" s="58"/>
    </row>
    <row r="1990">
      <c r="D1990" s="58"/>
      <c r="E1990" s="58"/>
      <c r="F1990" s="58"/>
      <c r="G1990" s="58"/>
    </row>
    <row r="1991">
      <c r="D1991" s="58"/>
      <c r="E1991" s="58"/>
      <c r="F1991" s="58"/>
      <c r="G1991" s="58"/>
    </row>
    <row r="1992">
      <c r="D1992" s="58"/>
      <c r="E1992" s="58"/>
      <c r="F1992" s="58"/>
      <c r="G1992" s="58"/>
    </row>
    <row r="1993">
      <c r="D1993" s="58"/>
      <c r="E1993" s="58"/>
      <c r="F1993" s="58"/>
      <c r="G1993" s="58"/>
    </row>
    <row r="1994">
      <c r="D1994" s="58"/>
      <c r="E1994" s="58"/>
      <c r="F1994" s="58"/>
      <c r="G1994" s="58"/>
    </row>
    <row r="1995">
      <c r="D1995" s="58"/>
      <c r="E1995" s="58"/>
      <c r="F1995" s="58"/>
      <c r="G1995" s="58"/>
    </row>
    <row r="1996">
      <c r="D1996" s="58"/>
      <c r="E1996" s="58"/>
      <c r="F1996" s="58"/>
      <c r="G1996" s="58"/>
    </row>
    <row r="1997">
      <c r="D1997" s="58"/>
      <c r="E1997" s="58"/>
      <c r="F1997" s="58"/>
      <c r="G1997" s="58"/>
    </row>
    <row r="1998">
      <c r="D1998" s="58"/>
      <c r="E1998" s="58"/>
      <c r="F1998" s="58"/>
      <c r="G1998" s="58"/>
    </row>
    <row r="1999">
      <c r="D1999" s="58"/>
      <c r="E1999" s="58"/>
      <c r="F1999" s="58"/>
      <c r="G1999" s="58"/>
    </row>
    <row r="2000">
      <c r="D2000" s="58"/>
      <c r="E2000" s="58"/>
      <c r="F2000" s="58"/>
      <c r="G2000" s="58"/>
    </row>
    <row r="2001">
      <c r="D2001" s="58"/>
      <c r="E2001" s="58"/>
      <c r="F2001" s="58"/>
      <c r="G2001" s="58"/>
    </row>
    <row r="2002">
      <c r="D2002" s="58"/>
      <c r="E2002" s="58"/>
      <c r="F2002" s="58"/>
      <c r="G2002" s="58"/>
    </row>
    <row r="2003">
      <c r="D2003" s="58"/>
      <c r="E2003" s="58"/>
      <c r="F2003" s="58"/>
      <c r="G2003" s="58"/>
    </row>
    <row r="2004">
      <c r="D2004" s="58"/>
      <c r="E2004" s="58"/>
      <c r="F2004" s="58"/>
      <c r="G2004" s="58"/>
    </row>
    <row r="2005">
      <c r="D2005" s="58"/>
      <c r="E2005" s="58"/>
      <c r="F2005" s="58"/>
      <c r="G2005" s="58"/>
    </row>
    <row r="2006">
      <c r="D2006" s="58"/>
      <c r="E2006" s="58"/>
      <c r="F2006" s="58"/>
      <c r="G2006" s="58"/>
    </row>
    <row r="2007">
      <c r="D2007" s="58"/>
      <c r="E2007" s="58"/>
      <c r="F2007" s="58"/>
      <c r="G2007" s="58"/>
    </row>
    <row r="2008">
      <c r="D2008" s="58"/>
      <c r="E2008" s="58"/>
      <c r="F2008" s="58"/>
      <c r="G2008" s="58"/>
    </row>
    <row r="2009">
      <c r="D2009" s="58"/>
      <c r="E2009" s="58"/>
      <c r="F2009" s="58"/>
      <c r="G2009" s="58"/>
    </row>
    <row r="2010">
      <c r="D2010" s="58"/>
      <c r="E2010" s="58"/>
      <c r="F2010" s="58"/>
      <c r="G2010" s="58"/>
    </row>
    <row r="2011">
      <c r="D2011" s="58"/>
      <c r="E2011" s="58"/>
      <c r="F2011" s="58"/>
      <c r="G2011" s="58"/>
    </row>
    <row r="2012">
      <c r="D2012" s="58"/>
      <c r="E2012" s="58"/>
      <c r="F2012" s="58"/>
      <c r="G2012" s="58"/>
    </row>
    <row r="2013">
      <c r="D2013" s="58"/>
      <c r="E2013" s="58"/>
      <c r="F2013" s="58"/>
      <c r="G2013" s="58"/>
    </row>
    <row r="2014">
      <c r="D2014" s="58"/>
      <c r="E2014" s="58"/>
      <c r="F2014" s="58"/>
      <c r="G2014" s="58"/>
    </row>
    <row r="2015">
      <c r="D2015" s="58"/>
      <c r="E2015" s="58"/>
      <c r="F2015" s="58"/>
      <c r="G2015" s="58"/>
    </row>
    <row r="2016">
      <c r="D2016" s="58"/>
      <c r="E2016" s="58"/>
      <c r="F2016" s="58"/>
      <c r="G2016" s="58"/>
    </row>
    <row r="2017">
      <c r="D2017" s="58"/>
      <c r="E2017" s="58"/>
      <c r="F2017" s="58"/>
      <c r="G2017" s="58"/>
    </row>
    <row r="2018">
      <c r="D2018" s="58"/>
      <c r="E2018" s="58"/>
      <c r="F2018" s="58"/>
      <c r="G2018" s="58"/>
    </row>
    <row r="2019">
      <c r="D2019" s="58"/>
      <c r="E2019" s="58"/>
      <c r="F2019" s="58"/>
      <c r="G2019" s="58"/>
    </row>
    <row r="2020">
      <c r="D2020" s="58"/>
      <c r="E2020" s="58"/>
      <c r="F2020" s="58"/>
      <c r="G2020" s="58"/>
    </row>
    <row r="2021">
      <c r="D2021" s="58"/>
      <c r="E2021" s="58"/>
      <c r="F2021" s="58"/>
      <c r="G2021" s="58"/>
    </row>
    <row r="2022">
      <c r="D2022" s="58"/>
      <c r="E2022" s="58"/>
      <c r="F2022" s="58"/>
      <c r="G2022" s="58"/>
    </row>
    <row r="2023">
      <c r="D2023" s="58"/>
      <c r="E2023" s="58"/>
      <c r="F2023" s="58"/>
      <c r="G2023" s="58"/>
    </row>
    <row r="2024">
      <c r="D2024" s="58"/>
      <c r="E2024" s="58"/>
      <c r="F2024" s="58"/>
      <c r="G2024" s="58"/>
    </row>
    <row r="2025">
      <c r="D2025" s="58"/>
      <c r="E2025" s="58"/>
      <c r="F2025" s="58"/>
      <c r="G2025" s="58"/>
    </row>
    <row r="2026">
      <c r="D2026" s="58"/>
      <c r="E2026" s="58"/>
      <c r="F2026" s="58"/>
      <c r="G2026" s="58"/>
    </row>
    <row r="2027">
      <c r="D2027" s="58"/>
      <c r="E2027" s="58"/>
      <c r="F2027" s="58"/>
      <c r="G2027" s="58"/>
    </row>
    <row r="2028">
      <c r="D2028" s="58"/>
      <c r="E2028" s="58"/>
      <c r="F2028" s="58"/>
      <c r="G2028" s="58"/>
    </row>
    <row r="2029">
      <c r="D2029" s="58"/>
      <c r="E2029" s="58"/>
      <c r="F2029" s="58"/>
      <c r="G2029" s="58"/>
    </row>
    <row r="2030">
      <c r="D2030" s="58"/>
      <c r="E2030" s="58"/>
      <c r="F2030" s="58"/>
      <c r="G2030" s="58"/>
    </row>
    <row r="2031">
      <c r="D2031" s="58"/>
      <c r="E2031" s="58"/>
      <c r="F2031" s="58"/>
      <c r="G2031" s="58"/>
    </row>
    <row r="2032">
      <c r="D2032" s="58"/>
      <c r="E2032" s="58"/>
      <c r="F2032" s="58"/>
      <c r="G2032" s="58"/>
    </row>
    <row r="2033">
      <c r="D2033" s="58"/>
      <c r="E2033" s="58"/>
      <c r="F2033" s="58"/>
      <c r="G2033" s="58"/>
    </row>
    <row r="2034">
      <c r="D2034" s="58"/>
      <c r="E2034" s="58"/>
      <c r="F2034" s="58"/>
      <c r="G2034" s="58"/>
    </row>
    <row r="2035">
      <c r="D2035" s="58"/>
      <c r="E2035" s="58"/>
      <c r="F2035" s="58"/>
      <c r="G2035" s="58"/>
    </row>
    <row r="2036">
      <c r="D2036" s="58"/>
      <c r="E2036" s="58"/>
      <c r="F2036" s="58"/>
      <c r="G2036" s="58"/>
    </row>
    <row r="2037">
      <c r="D2037" s="58"/>
      <c r="E2037" s="58"/>
      <c r="F2037" s="58"/>
      <c r="G2037" s="58"/>
    </row>
    <row r="2038">
      <c r="D2038" s="58"/>
      <c r="E2038" s="58"/>
      <c r="F2038" s="58"/>
      <c r="G2038" s="58"/>
    </row>
    <row r="2039">
      <c r="D2039" s="58"/>
      <c r="E2039" s="58"/>
      <c r="F2039" s="58"/>
      <c r="G2039" s="58"/>
    </row>
    <row r="2040">
      <c r="D2040" s="58"/>
      <c r="E2040" s="58"/>
      <c r="F2040" s="58"/>
      <c r="G2040" s="58"/>
    </row>
    <row r="2041">
      <c r="D2041" s="58"/>
      <c r="E2041" s="58"/>
      <c r="F2041" s="58"/>
      <c r="G2041" s="58"/>
    </row>
    <row r="2042">
      <c r="D2042" s="58"/>
      <c r="E2042" s="58"/>
      <c r="F2042" s="58"/>
      <c r="G2042" s="58"/>
    </row>
    <row r="2043">
      <c r="D2043" s="58"/>
      <c r="E2043" s="58"/>
      <c r="F2043" s="58"/>
      <c r="G2043" s="58"/>
    </row>
    <row r="2044">
      <c r="D2044" s="58"/>
      <c r="E2044" s="58"/>
      <c r="F2044" s="58"/>
      <c r="G2044" s="58"/>
    </row>
    <row r="2045">
      <c r="D2045" s="58"/>
      <c r="E2045" s="58"/>
      <c r="F2045" s="58"/>
      <c r="G2045" s="58"/>
    </row>
    <row r="2046">
      <c r="D2046" s="58"/>
      <c r="E2046" s="58"/>
      <c r="F2046" s="58"/>
      <c r="G2046" s="58"/>
    </row>
    <row r="2047">
      <c r="D2047" s="58"/>
      <c r="E2047" s="58"/>
      <c r="F2047" s="58"/>
      <c r="G2047" s="58"/>
    </row>
    <row r="2048">
      <c r="D2048" s="58"/>
      <c r="E2048" s="58"/>
      <c r="F2048" s="58"/>
      <c r="G2048" s="58"/>
    </row>
    <row r="2049">
      <c r="D2049" s="58"/>
      <c r="E2049" s="58"/>
      <c r="F2049" s="58"/>
      <c r="G2049" s="58"/>
    </row>
    <row r="2050">
      <c r="D2050" s="58"/>
      <c r="E2050" s="58"/>
      <c r="F2050" s="58"/>
      <c r="G2050" s="58"/>
    </row>
    <row r="2051">
      <c r="D2051" s="58"/>
      <c r="E2051" s="58"/>
      <c r="F2051" s="58"/>
      <c r="G2051" s="58"/>
    </row>
    <row r="2052">
      <c r="D2052" s="58"/>
      <c r="E2052" s="58"/>
      <c r="F2052" s="58"/>
      <c r="G2052" s="58"/>
    </row>
    <row r="2053">
      <c r="D2053" s="58"/>
      <c r="E2053" s="58"/>
      <c r="F2053" s="58"/>
      <c r="G2053" s="58"/>
    </row>
    <row r="2054">
      <c r="D2054" s="58"/>
      <c r="E2054" s="58"/>
      <c r="F2054" s="58"/>
      <c r="G2054" s="58"/>
    </row>
    <row r="2055">
      <c r="D2055" s="58"/>
      <c r="E2055" s="58"/>
      <c r="F2055" s="58"/>
      <c r="G2055" s="58"/>
    </row>
    <row r="2056">
      <c r="D2056" s="58"/>
      <c r="E2056" s="58"/>
      <c r="F2056" s="58"/>
      <c r="G2056" s="58"/>
    </row>
    <row r="2057">
      <c r="D2057" s="58"/>
      <c r="E2057" s="58"/>
      <c r="F2057" s="58"/>
      <c r="G2057" s="58"/>
    </row>
    <row r="2058">
      <c r="D2058" s="58"/>
      <c r="E2058" s="58"/>
      <c r="F2058" s="58"/>
      <c r="G2058" s="58"/>
    </row>
    <row r="2059">
      <c r="D2059" s="58"/>
      <c r="E2059" s="58"/>
      <c r="F2059" s="58"/>
      <c r="G2059" s="58"/>
    </row>
    <row r="2060">
      <c r="D2060" s="58"/>
      <c r="E2060" s="58"/>
      <c r="F2060" s="58"/>
      <c r="G2060" s="58"/>
    </row>
    <row r="2061">
      <c r="D2061" s="58"/>
      <c r="E2061" s="58"/>
      <c r="F2061" s="58"/>
      <c r="G2061" s="58"/>
    </row>
    <row r="2062">
      <c r="D2062" s="58"/>
      <c r="E2062" s="58"/>
      <c r="F2062" s="58"/>
      <c r="G2062" s="58"/>
    </row>
    <row r="2063">
      <c r="D2063" s="58"/>
      <c r="E2063" s="58"/>
      <c r="F2063" s="58"/>
      <c r="G2063" s="58"/>
    </row>
    <row r="2064">
      <c r="D2064" s="58"/>
      <c r="E2064" s="58"/>
      <c r="F2064" s="58"/>
      <c r="G2064" s="58"/>
    </row>
    <row r="2065">
      <c r="D2065" s="58"/>
      <c r="E2065" s="58"/>
      <c r="F2065" s="58"/>
      <c r="G2065" s="58"/>
    </row>
    <row r="2066">
      <c r="D2066" s="58"/>
      <c r="E2066" s="58"/>
      <c r="F2066" s="58"/>
      <c r="G2066" s="58"/>
    </row>
    <row r="2067">
      <c r="D2067" s="58"/>
      <c r="E2067" s="58"/>
      <c r="F2067" s="58"/>
      <c r="G2067" s="58"/>
    </row>
    <row r="2068">
      <c r="D2068" s="58"/>
      <c r="E2068" s="58"/>
      <c r="F2068" s="58"/>
      <c r="G2068" s="58"/>
    </row>
    <row r="2069">
      <c r="D2069" s="58"/>
      <c r="E2069" s="58"/>
      <c r="F2069" s="58"/>
      <c r="G2069" s="58"/>
    </row>
    <row r="2070">
      <c r="D2070" s="58"/>
      <c r="E2070" s="58"/>
      <c r="F2070" s="58"/>
      <c r="G2070" s="58"/>
    </row>
    <row r="2071">
      <c r="D2071" s="58"/>
      <c r="E2071" s="58"/>
      <c r="F2071" s="58"/>
      <c r="G2071" s="58"/>
    </row>
    <row r="2072">
      <c r="D2072" s="58"/>
      <c r="E2072" s="58"/>
      <c r="F2072" s="58"/>
      <c r="G2072" s="58"/>
    </row>
    <row r="2073">
      <c r="D2073" s="58"/>
      <c r="E2073" s="58"/>
      <c r="F2073" s="58"/>
      <c r="G2073" s="58"/>
    </row>
    <row r="2074">
      <c r="D2074" s="58"/>
      <c r="E2074" s="58"/>
      <c r="F2074" s="58"/>
      <c r="G2074" s="58"/>
    </row>
    <row r="2075">
      <c r="D2075" s="58"/>
      <c r="E2075" s="58"/>
      <c r="F2075" s="58"/>
      <c r="G2075" s="58"/>
    </row>
    <row r="2076">
      <c r="D2076" s="58"/>
      <c r="E2076" s="58"/>
      <c r="F2076" s="58"/>
      <c r="G2076" s="58"/>
    </row>
    <row r="2077">
      <c r="D2077" s="58"/>
      <c r="E2077" s="58"/>
      <c r="F2077" s="58"/>
      <c r="G2077" s="58"/>
    </row>
    <row r="2078">
      <c r="D2078" s="58"/>
      <c r="E2078" s="58"/>
      <c r="F2078" s="58"/>
      <c r="G2078" s="58"/>
    </row>
    <row r="2079">
      <c r="D2079" s="58"/>
      <c r="E2079" s="58"/>
      <c r="F2079" s="58"/>
      <c r="G2079" s="58"/>
    </row>
    <row r="2080">
      <c r="D2080" s="58"/>
      <c r="E2080" s="58"/>
      <c r="F2080" s="58"/>
      <c r="G2080" s="58"/>
    </row>
    <row r="2081">
      <c r="D2081" s="58"/>
      <c r="E2081" s="58"/>
      <c r="F2081" s="58"/>
      <c r="G2081" s="58"/>
    </row>
    <row r="2082">
      <c r="D2082" s="58"/>
      <c r="E2082" s="58"/>
      <c r="F2082" s="58"/>
      <c r="G2082" s="58"/>
    </row>
    <row r="2083">
      <c r="D2083" s="58"/>
      <c r="E2083" s="58"/>
      <c r="F2083" s="58"/>
      <c r="G2083" s="58"/>
    </row>
    <row r="2084">
      <c r="D2084" s="58"/>
      <c r="E2084" s="58"/>
      <c r="F2084" s="58"/>
      <c r="G2084" s="58"/>
    </row>
    <row r="2085">
      <c r="D2085" s="58"/>
      <c r="E2085" s="58"/>
      <c r="F2085" s="58"/>
      <c r="G2085" s="58"/>
    </row>
    <row r="2086">
      <c r="D2086" s="58"/>
      <c r="E2086" s="58"/>
      <c r="F2086" s="58"/>
      <c r="G2086" s="58"/>
    </row>
    <row r="2087">
      <c r="D2087" s="58"/>
      <c r="E2087" s="58"/>
      <c r="F2087" s="58"/>
      <c r="G2087" s="58"/>
    </row>
    <row r="2088">
      <c r="D2088" s="58"/>
      <c r="E2088" s="58"/>
      <c r="F2088" s="58"/>
      <c r="G2088" s="58"/>
    </row>
    <row r="2089">
      <c r="D2089" s="58"/>
      <c r="E2089" s="58"/>
      <c r="F2089" s="58"/>
      <c r="G2089" s="58"/>
    </row>
    <row r="2090">
      <c r="D2090" s="58"/>
      <c r="E2090" s="58"/>
      <c r="F2090" s="58"/>
      <c r="G2090" s="58"/>
    </row>
    <row r="2091">
      <c r="D2091" s="58"/>
      <c r="E2091" s="58"/>
      <c r="F2091" s="58"/>
      <c r="G2091" s="58"/>
    </row>
    <row r="2092">
      <c r="D2092" s="58"/>
      <c r="E2092" s="58"/>
      <c r="F2092" s="58"/>
      <c r="G2092" s="58"/>
    </row>
    <row r="2093">
      <c r="D2093" s="58"/>
      <c r="E2093" s="58"/>
      <c r="F2093" s="58"/>
      <c r="G2093" s="58"/>
    </row>
    <row r="2094">
      <c r="D2094" s="58"/>
      <c r="E2094" s="58"/>
      <c r="F2094" s="58"/>
      <c r="G2094" s="58"/>
    </row>
    <row r="2095">
      <c r="D2095" s="58"/>
      <c r="E2095" s="58"/>
      <c r="F2095" s="58"/>
      <c r="G2095" s="58"/>
    </row>
    <row r="2096">
      <c r="D2096" s="58"/>
      <c r="E2096" s="58"/>
      <c r="F2096" s="58"/>
      <c r="G2096" s="58"/>
    </row>
    <row r="2097">
      <c r="D2097" s="58"/>
      <c r="E2097" s="58"/>
      <c r="F2097" s="58"/>
      <c r="G2097" s="58"/>
    </row>
    <row r="2098">
      <c r="D2098" s="58"/>
      <c r="E2098" s="58"/>
      <c r="F2098" s="58"/>
      <c r="G2098" s="58"/>
    </row>
    <row r="2099">
      <c r="D2099" s="58"/>
      <c r="E2099" s="58"/>
      <c r="F2099" s="58"/>
      <c r="G2099" s="58"/>
    </row>
    <row r="2100">
      <c r="D2100" s="58"/>
      <c r="E2100" s="58"/>
      <c r="F2100" s="58"/>
      <c r="G2100" s="58"/>
    </row>
    <row r="2101">
      <c r="D2101" s="58"/>
      <c r="E2101" s="58"/>
      <c r="F2101" s="58"/>
      <c r="G2101" s="58"/>
    </row>
    <row r="2102">
      <c r="D2102" s="58"/>
      <c r="E2102" s="58"/>
      <c r="F2102" s="58"/>
      <c r="G2102" s="58"/>
    </row>
    <row r="2103">
      <c r="D2103" s="58"/>
      <c r="E2103" s="58"/>
      <c r="F2103" s="58"/>
      <c r="G2103" s="58"/>
    </row>
    <row r="2104">
      <c r="D2104" s="58"/>
      <c r="E2104" s="58"/>
      <c r="F2104" s="58"/>
      <c r="G2104" s="58"/>
    </row>
    <row r="2105">
      <c r="D2105" s="58"/>
      <c r="E2105" s="58"/>
      <c r="F2105" s="58"/>
      <c r="G2105" s="58"/>
    </row>
    <row r="2106">
      <c r="D2106" s="58"/>
      <c r="E2106" s="58"/>
      <c r="F2106" s="58"/>
      <c r="G2106" s="58"/>
    </row>
    <row r="2107">
      <c r="D2107" s="58"/>
      <c r="E2107" s="58"/>
      <c r="F2107" s="58"/>
      <c r="G2107" s="58"/>
    </row>
    <row r="2108">
      <c r="D2108" s="58"/>
      <c r="E2108" s="58"/>
      <c r="F2108" s="58"/>
      <c r="G2108" s="58"/>
    </row>
    <row r="2109">
      <c r="D2109" s="58"/>
      <c r="E2109" s="58"/>
      <c r="F2109" s="58"/>
      <c r="G2109" s="58"/>
    </row>
    <row r="2110">
      <c r="D2110" s="58"/>
      <c r="E2110" s="58"/>
      <c r="F2110" s="58"/>
      <c r="G2110" s="58"/>
    </row>
    <row r="2111">
      <c r="D2111" s="58"/>
      <c r="E2111" s="58"/>
      <c r="F2111" s="58"/>
      <c r="G2111" s="58"/>
    </row>
    <row r="2112">
      <c r="D2112" s="58"/>
      <c r="E2112" s="58"/>
      <c r="F2112" s="58"/>
      <c r="G2112" s="58"/>
    </row>
    <row r="2113">
      <c r="D2113" s="58"/>
      <c r="E2113" s="58"/>
      <c r="F2113" s="58"/>
      <c r="G2113" s="58"/>
    </row>
    <row r="2114">
      <c r="D2114" s="58"/>
      <c r="E2114" s="58"/>
      <c r="F2114" s="58"/>
      <c r="G2114" s="58"/>
    </row>
    <row r="2115">
      <c r="D2115" s="58"/>
      <c r="E2115" s="58"/>
      <c r="F2115" s="58"/>
      <c r="G2115" s="58"/>
    </row>
    <row r="2116">
      <c r="D2116" s="58"/>
      <c r="E2116" s="58"/>
      <c r="F2116" s="58"/>
      <c r="G2116" s="58"/>
    </row>
    <row r="2117">
      <c r="D2117" s="58"/>
      <c r="E2117" s="58"/>
      <c r="F2117" s="58"/>
      <c r="G2117" s="58"/>
    </row>
    <row r="2118">
      <c r="D2118" s="58"/>
      <c r="E2118" s="58"/>
      <c r="F2118" s="58"/>
      <c r="G2118" s="58"/>
    </row>
    <row r="2119">
      <c r="D2119" s="58"/>
      <c r="E2119" s="58"/>
      <c r="F2119" s="58"/>
      <c r="G2119" s="58"/>
    </row>
    <row r="2120">
      <c r="D2120" s="58"/>
      <c r="E2120" s="58"/>
      <c r="F2120" s="58"/>
      <c r="G2120" s="58"/>
    </row>
    <row r="2121">
      <c r="D2121" s="58"/>
      <c r="E2121" s="58"/>
      <c r="F2121" s="58"/>
      <c r="G2121" s="58"/>
    </row>
    <row r="2122">
      <c r="D2122" s="58"/>
      <c r="E2122" s="58"/>
      <c r="F2122" s="58"/>
      <c r="G2122" s="58"/>
    </row>
    <row r="2123">
      <c r="D2123" s="58"/>
      <c r="E2123" s="58"/>
      <c r="F2123" s="58"/>
      <c r="G2123" s="58"/>
    </row>
    <row r="2124">
      <c r="D2124" s="58"/>
      <c r="E2124" s="58"/>
      <c r="F2124" s="58"/>
      <c r="G2124" s="58"/>
    </row>
    <row r="2125">
      <c r="D2125" s="58"/>
      <c r="E2125" s="58"/>
      <c r="F2125" s="58"/>
      <c r="G2125" s="58"/>
    </row>
    <row r="2126">
      <c r="D2126" s="58"/>
      <c r="E2126" s="58"/>
      <c r="F2126" s="58"/>
      <c r="G2126" s="58"/>
    </row>
    <row r="2127">
      <c r="D2127" s="58"/>
      <c r="E2127" s="58"/>
      <c r="F2127" s="58"/>
      <c r="G2127" s="58"/>
    </row>
    <row r="2128">
      <c r="D2128" s="58"/>
      <c r="E2128" s="58"/>
      <c r="F2128" s="58"/>
      <c r="G2128" s="58"/>
    </row>
    <row r="2129">
      <c r="D2129" s="58"/>
      <c r="E2129" s="58"/>
      <c r="F2129" s="58"/>
      <c r="G2129" s="58"/>
    </row>
    <row r="2130">
      <c r="D2130" s="58"/>
      <c r="E2130" s="58"/>
      <c r="F2130" s="58"/>
      <c r="G2130" s="58"/>
    </row>
    <row r="2131">
      <c r="D2131" s="58"/>
      <c r="E2131" s="58"/>
      <c r="F2131" s="58"/>
      <c r="G2131" s="58"/>
    </row>
    <row r="2132">
      <c r="D2132" s="58"/>
      <c r="E2132" s="58"/>
      <c r="F2132" s="58"/>
      <c r="G2132" s="58"/>
    </row>
    <row r="2133">
      <c r="D2133" s="58"/>
      <c r="E2133" s="58"/>
      <c r="F2133" s="58"/>
      <c r="G2133" s="58"/>
    </row>
    <row r="2134">
      <c r="D2134" s="58"/>
      <c r="E2134" s="58"/>
      <c r="F2134" s="58"/>
      <c r="G2134" s="58"/>
    </row>
    <row r="2135">
      <c r="D2135" s="58"/>
      <c r="E2135" s="58"/>
      <c r="F2135" s="58"/>
      <c r="G2135" s="58"/>
    </row>
    <row r="2136">
      <c r="D2136" s="58"/>
      <c r="E2136" s="58"/>
      <c r="F2136" s="58"/>
      <c r="G2136" s="58"/>
    </row>
    <row r="2137">
      <c r="D2137" s="58"/>
      <c r="E2137" s="58"/>
      <c r="F2137" s="58"/>
      <c r="G2137" s="58"/>
    </row>
    <row r="2138">
      <c r="D2138" s="58"/>
      <c r="E2138" s="58"/>
      <c r="F2138" s="58"/>
      <c r="G2138" s="58"/>
    </row>
    <row r="2139">
      <c r="D2139" s="58"/>
      <c r="E2139" s="58"/>
      <c r="F2139" s="58"/>
      <c r="G2139" s="58"/>
    </row>
    <row r="2140">
      <c r="D2140" s="58"/>
      <c r="E2140" s="58"/>
      <c r="F2140" s="58"/>
      <c r="G2140" s="58"/>
    </row>
    <row r="2141">
      <c r="D2141" s="58"/>
      <c r="E2141" s="58"/>
      <c r="F2141" s="58"/>
      <c r="G2141" s="58"/>
    </row>
    <row r="2142">
      <c r="D2142" s="58"/>
      <c r="E2142" s="58"/>
      <c r="F2142" s="58"/>
      <c r="G2142" s="58"/>
    </row>
    <row r="2143">
      <c r="D2143" s="58"/>
      <c r="E2143" s="58"/>
      <c r="F2143" s="58"/>
      <c r="G2143" s="58"/>
    </row>
    <row r="2144">
      <c r="D2144" s="58"/>
      <c r="E2144" s="58"/>
      <c r="F2144" s="58"/>
      <c r="G2144" s="58"/>
    </row>
    <row r="2145">
      <c r="D2145" s="58"/>
      <c r="E2145" s="58"/>
      <c r="F2145" s="58"/>
      <c r="G2145" s="58"/>
    </row>
    <row r="2146">
      <c r="D2146" s="58"/>
      <c r="E2146" s="58"/>
      <c r="F2146" s="58"/>
      <c r="G2146" s="58"/>
    </row>
    <row r="2147">
      <c r="D2147" s="58"/>
      <c r="E2147" s="58"/>
      <c r="F2147" s="58"/>
      <c r="G2147" s="58"/>
    </row>
    <row r="2148">
      <c r="D2148" s="58"/>
      <c r="E2148" s="58"/>
      <c r="F2148" s="58"/>
      <c r="G2148" s="58"/>
    </row>
    <row r="2149">
      <c r="D2149" s="58"/>
      <c r="E2149" s="58"/>
      <c r="F2149" s="58"/>
      <c r="G2149" s="58"/>
    </row>
    <row r="2150">
      <c r="D2150" s="58"/>
      <c r="E2150" s="58"/>
      <c r="F2150" s="58"/>
      <c r="G2150" s="58"/>
    </row>
    <row r="2151">
      <c r="D2151" s="58"/>
      <c r="E2151" s="58"/>
      <c r="F2151" s="58"/>
      <c r="G2151" s="58"/>
    </row>
    <row r="2152">
      <c r="D2152" s="58"/>
      <c r="E2152" s="58"/>
      <c r="F2152" s="58"/>
      <c r="G2152" s="58"/>
    </row>
    <row r="2153">
      <c r="D2153" s="58"/>
      <c r="E2153" s="58"/>
      <c r="F2153" s="58"/>
      <c r="G2153" s="58"/>
    </row>
    <row r="2154">
      <c r="D2154" s="58"/>
      <c r="E2154" s="58"/>
      <c r="F2154" s="58"/>
      <c r="G2154" s="58"/>
    </row>
    <row r="2155">
      <c r="D2155" s="58"/>
      <c r="E2155" s="58"/>
      <c r="F2155" s="58"/>
      <c r="G2155" s="58"/>
    </row>
    <row r="2156">
      <c r="D2156" s="58"/>
      <c r="E2156" s="58"/>
      <c r="F2156" s="58"/>
      <c r="G2156" s="58"/>
    </row>
    <row r="2157">
      <c r="D2157" s="58"/>
      <c r="E2157" s="58"/>
      <c r="F2157" s="58"/>
      <c r="G2157" s="58"/>
    </row>
    <row r="2158">
      <c r="D2158" s="58"/>
      <c r="E2158" s="58"/>
      <c r="F2158" s="58"/>
      <c r="G2158" s="58"/>
    </row>
    <row r="2159">
      <c r="D2159" s="58"/>
      <c r="E2159" s="58"/>
      <c r="F2159" s="58"/>
      <c r="G2159" s="58"/>
    </row>
    <row r="2160">
      <c r="D2160" s="58"/>
      <c r="E2160" s="58"/>
      <c r="F2160" s="58"/>
      <c r="G2160" s="58"/>
    </row>
    <row r="2161">
      <c r="D2161" s="58"/>
      <c r="E2161" s="58"/>
      <c r="F2161" s="58"/>
      <c r="G2161" s="58"/>
    </row>
    <row r="2162">
      <c r="D2162" s="58"/>
      <c r="E2162" s="58"/>
      <c r="F2162" s="58"/>
      <c r="G2162" s="58"/>
    </row>
    <row r="2163">
      <c r="D2163" s="58"/>
      <c r="E2163" s="58"/>
      <c r="F2163" s="58"/>
      <c r="G2163" s="58"/>
    </row>
    <row r="2164">
      <c r="D2164" s="58"/>
      <c r="E2164" s="58"/>
      <c r="F2164" s="58"/>
      <c r="G2164" s="58"/>
    </row>
    <row r="2165">
      <c r="D2165" s="58"/>
      <c r="E2165" s="58"/>
      <c r="F2165" s="58"/>
      <c r="G2165" s="58"/>
    </row>
    <row r="2166">
      <c r="D2166" s="58"/>
      <c r="E2166" s="58"/>
      <c r="F2166" s="58"/>
      <c r="G2166" s="58"/>
    </row>
    <row r="2167">
      <c r="D2167" s="58"/>
      <c r="E2167" s="58"/>
      <c r="F2167" s="58"/>
      <c r="G2167" s="58"/>
    </row>
    <row r="2168">
      <c r="D2168" s="58"/>
      <c r="E2168" s="58"/>
      <c r="F2168" s="58"/>
      <c r="G2168" s="58"/>
    </row>
    <row r="2169">
      <c r="D2169" s="58"/>
      <c r="E2169" s="58"/>
      <c r="F2169" s="58"/>
      <c r="G2169" s="58"/>
    </row>
    <row r="2170">
      <c r="D2170" s="58"/>
      <c r="E2170" s="58"/>
      <c r="F2170" s="58"/>
      <c r="G2170" s="58"/>
    </row>
    <row r="2171">
      <c r="D2171" s="58"/>
      <c r="E2171" s="58"/>
      <c r="F2171" s="58"/>
      <c r="G2171" s="58"/>
    </row>
    <row r="2172">
      <c r="D2172" s="58"/>
      <c r="E2172" s="58"/>
      <c r="F2172" s="58"/>
      <c r="G2172" s="58"/>
    </row>
    <row r="2173">
      <c r="D2173" s="58"/>
      <c r="E2173" s="58"/>
      <c r="F2173" s="58"/>
      <c r="G2173" s="58"/>
    </row>
    <row r="2174">
      <c r="D2174" s="58"/>
      <c r="E2174" s="58"/>
      <c r="F2174" s="58"/>
      <c r="G2174" s="58"/>
    </row>
    <row r="2175">
      <c r="D2175" s="58"/>
      <c r="E2175" s="58"/>
      <c r="F2175" s="58"/>
      <c r="G2175" s="58"/>
    </row>
    <row r="2176">
      <c r="D2176" s="58"/>
      <c r="E2176" s="58"/>
      <c r="F2176" s="58"/>
      <c r="G2176" s="58"/>
    </row>
    <row r="2177">
      <c r="D2177" s="58"/>
      <c r="E2177" s="58"/>
      <c r="F2177" s="58"/>
      <c r="G2177" s="58"/>
    </row>
    <row r="2178">
      <c r="D2178" s="58"/>
      <c r="E2178" s="58"/>
      <c r="F2178" s="58"/>
      <c r="G2178" s="58"/>
    </row>
    <row r="2179">
      <c r="D2179" s="58"/>
      <c r="E2179" s="58"/>
      <c r="F2179" s="58"/>
      <c r="G2179" s="58"/>
    </row>
    <row r="2180">
      <c r="D2180" s="58"/>
      <c r="E2180" s="58"/>
      <c r="F2180" s="58"/>
      <c r="G2180" s="58"/>
    </row>
    <row r="2181">
      <c r="D2181" s="58"/>
      <c r="E2181" s="58"/>
      <c r="F2181" s="58"/>
      <c r="G2181" s="58"/>
    </row>
    <row r="2182">
      <c r="D2182" s="58"/>
      <c r="E2182" s="58"/>
      <c r="F2182" s="58"/>
      <c r="G2182" s="58"/>
    </row>
    <row r="2183">
      <c r="D2183" s="58"/>
      <c r="E2183" s="58"/>
      <c r="F2183" s="58"/>
      <c r="G2183" s="58"/>
    </row>
    <row r="2184">
      <c r="D2184" s="58"/>
      <c r="E2184" s="58"/>
      <c r="F2184" s="58"/>
      <c r="G2184" s="58"/>
    </row>
    <row r="2185">
      <c r="D2185" s="58"/>
      <c r="E2185" s="58"/>
      <c r="F2185" s="58"/>
      <c r="G2185" s="58"/>
    </row>
    <row r="2186">
      <c r="D2186" s="58"/>
      <c r="E2186" s="58"/>
      <c r="F2186" s="58"/>
      <c r="G2186" s="58"/>
    </row>
    <row r="2187">
      <c r="D2187" s="58"/>
      <c r="E2187" s="58"/>
      <c r="F2187" s="58"/>
      <c r="G2187" s="58"/>
    </row>
    <row r="2188">
      <c r="D2188" s="58"/>
      <c r="E2188" s="58"/>
      <c r="F2188" s="58"/>
      <c r="G2188" s="58"/>
    </row>
    <row r="2189">
      <c r="D2189" s="58"/>
      <c r="E2189" s="58"/>
      <c r="F2189" s="58"/>
      <c r="G2189" s="58"/>
    </row>
    <row r="2190">
      <c r="D2190" s="58"/>
      <c r="E2190" s="58"/>
      <c r="F2190" s="58"/>
      <c r="G2190" s="58"/>
    </row>
    <row r="2191">
      <c r="D2191" s="58"/>
      <c r="E2191" s="58"/>
      <c r="F2191" s="58"/>
      <c r="G2191" s="58"/>
    </row>
    <row r="2192">
      <c r="D2192" s="58"/>
      <c r="E2192" s="58"/>
      <c r="F2192" s="58"/>
      <c r="G2192" s="58"/>
    </row>
    <row r="2193">
      <c r="D2193" s="58"/>
      <c r="E2193" s="58"/>
      <c r="F2193" s="58"/>
      <c r="G2193" s="58"/>
    </row>
    <row r="2194">
      <c r="D2194" s="58"/>
      <c r="E2194" s="58"/>
      <c r="F2194" s="58"/>
      <c r="G2194" s="58"/>
    </row>
    <row r="2195">
      <c r="D2195" s="58"/>
      <c r="E2195" s="58"/>
      <c r="F2195" s="58"/>
      <c r="G2195" s="58"/>
    </row>
    <row r="2196">
      <c r="D2196" s="58"/>
      <c r="E2196" s="58"/>
      <c r="F2196" s="58"/>
      <c r="G2196" s="58"/>
    </row>
    <row r="2197">
      <c r="D2197" s="58"/>
      <c r="E2197" s="58"/>
      <c r="F2197" s="58"/>
      <c r="G2197" s="58"/>
    </row>
    <row r="2198">
      <c r="D2198" s="58"/>
      <c r="E2198" s="58"/>
      <c r="F2198" s="58"/>
      <c r="G2198" s="58"/>
    </row>
    <row r="2199">
      <c r="D2199" s="58"/>
      <c r="E2199" s="58"/>
      <c r="F2199" s="58"/>
      <c r="G2199" s="58"/>
    </row>
    <row r="2200">
      <c r="D2200" s="58"/>
      <c r="E2200" s="58"/>
      <c r="F2200" s="58"/>
      <c r="G2200" s="58"/>
    </row>
    <row r="2201">
      <c r="D2201" s="58"/>
      <c r="E2201" s="58"/>
      <c r="F2201" s="58"/>
      <c r="G2201" s="58"/>
    </row>
    <row r="2202">
      <c r="D2202" s="58"/>
      <c r="E2202" s="58"/>
      <c r="F2202" s="58"/>
      <c r="G2202" s="58"/>
    </row>
    <row r="2203">
      <c r="D2203" s="58"/>
      <c r="E2203" s="58"/>
      <c r="F2203" s="58"/>
      <c r="G2203" s="58"/>
    </row>
    <row r="2204">
      <c r="D2204" s="58"/>
      <c r="E2204" s="58"/>
      <c r="F2204" s="58"/>
      <c r="G2204" s="58"/>
    </row>
    <row r="2205">
      <c r="D2205" s="58"/>
      <c r="E2205" s="58"/>
      <c r="F2205" s="58"/>
      <c r="G2205" s="58"/>
    </row>
    <row r="2206">
      <c r="D2206" s="58"/>
      <c r="E2206" s="58"/>
      <c r="F2206" s="58"/>
      <c r="G2206" s="58"/>
    </row>
    <row r="2207">
      <c r="D2207" s="58"/>
      <c r="E2207" s="58"/>
      <c r="F2207" s="58"/>
      <c r="G2207" s="58"/>
    </row>
    <row r="2208">
      <c r="D2208" s="58"/>
      <c r="E2208" s="58"/>
      <c r="F2208" s="58"/>
      <c r="G2208" s="58"/>
    </row>
    <row r="2209">
      <c r="D2209" s="58"/>
      <c r="E2209" s="58"/>
      <c r="F2209" s="58"/>
      <c r="G2209" s="58"/>
    </row>
    <row r="2210">
      <c r="D2210" s="58"/>
      <c r="E2210" s="58"/>
      <c r="F2210" s="58"/>
      <c r="G2210" s="58"/>
    </row>
    <row r="2211">
      <c r="D2211" s="58"/>
      <c r="E2211" s="58"/>
      <c r="F2211" s="58"/>
      <c r="G2211" s="58"/>
    </row>
    <row r="2212">
      <c r="D2212" s="58"/>
      <c r="E2212" s="58"/>
      <c r="F2212" s="58"/>
      <c r="G2212" s="58"/>
    </row>
    <row r="2213">
      <c r="D2213" s="58"/>
      <c r="E2213" s="58"/>
      <c r="F2213" s="58"/>
      <c r="G2213" s="58"/>
    </row>
    <row r="2214">
      <c r="D2214" s="58"/>
      <c r="E2214" s="58"/>
      <c r="F2214" s="58"/>
      <c r="G2214" s="58"/>
    </row>
    <row r="2215">
      <c r="D2215" s="58"/>
      <c r="E2215" s="58"/>
      <c r="F2215" s="58"/>
      <c r="G2215" s="58"/>
    </row>
    <row r="2216">
      <c r="D2216" s="58"/>
      <c r="E2216" s="58"/>
      <c r="F2216" s="58"/>
      <c r="G2216" s="58"/>
    </row>
    <row r="2217">
      <c r="D2217" s="58"/>
      <c r="E2217" s="58"/>
      <c r="F2217" s="58"/>
      <c r="G2217" s="58"/>
    </row>
    <row r="2218">
      <c r="D2218" s="58"/>
      <c r="E2218" s="58"/>
      <c r="F2218" s="58"/>
      <c r="G2218" s="58"/>
    </row>
    <row r="2219">
      <c r="D2219" s="58"/>
      <c r="E2219" s="58"/>
      <c r="F2219" s="58"/>
      <c r="G2219" s="58"/>
    </row>
    <row r="2220">
      <c r="D2220" s="58"/>
      <c r="E2220" s="58"/>
      <c r="F2220" s="58"/>
      <c r="G2220" s="58"/>
    </row>
    <row r="2221">
      <c r="D2221" s="58"/>
      <c r="E2221" s="58"/>
      <c r="F2221" s="58"/>
      <c r="G2221" s="58"/>
    </row>
    <row r="2222">
      <c r="D2222" s="58"/>
      <c r="E2222" s="58"/>
      <c r="F2222" s="58"/>
      <c r="G2222" s="58"/>
    </row>
    <row r="2223">
      <c r="D2223" s="58"/>
      <c r="E2223" s="58"/>
      <c r="F2223" s="58"/>
      <c r="G2223" s="58"/>
    </row>
    <row r="2224">
      <c r="D2224" s="58"/>
      <c r="E2224" s="58"/>
      <c r="F2224" s="58"/>
      <c r="G2224" s="58"/>
    </row>
    <row r="2225">
      <c r="D2225" s="58"/>
      <c r="E2225" s="58"/>
      <c r="F2225" s="58"/>
      <c r="G2225" s="58"/>
    </row>
    <row r="2226">
      <c r="D2226" s="58"/>
      <c r="E2226" s="58"/>
      <c r="F2226" s="58"/>
      <c r="G2226" s="58"/>
    </row>
    <row r="2227">
      <c r="D2227" s="58"/>
      <c r="E2227" s="58"/>
      <c r="F2227" s="58"/>
      <c r="G2227" s="58"/>
    </row>
    <row r="2228">
      <c r="D2228" s="58"/>
      <c r="E2228" s="58"/>
      <c r="F2228" s="58"/>
      <c r="G2228" s="58"/>
    </row>
    <row r="2229">
      <c r="D2229" s="58"/>
      <c r="E2229" s="58"/>
      <c r="F2229" s="58"/>
      <c r="G2229" s="58"/>
    </row>
    <row r="2230">
      <c r="D2230" s="58"/>
      <c r="E2230" s="58"/>
      <c r="F2230" s="58"/>
      <c r="G2230" s="58"/>
    </row>
    <row r="2231">
      <c r="D2231" s="58"/>
      <c r="E2231" s="58"/>
      <c r="F2231" s="58"/>
      <c r="G2231" s="58"/>
    </row>
    <row r="2232">
      <c r="D2232" s="58"/>
      <c r="E2232" s="58"/>
      <c r="F2232" s="58"/>
      <c r="G2232" s="58"/>
    </row>
    <row r="2233">
      <c r="D2233" s="58"/>
      <c r="E2233" s="58"/>
      <c r="F2233" s="58"/>
      <c r="G2233" s="58"/>
    </row>
    <row r="2234">
      <c r="D2234" s="58"/>
      <c r="E2234" s="58"/>
      <c r="F2234" s="58"/>
      <c r="G2234" s="58"/>
    </row>
    <row r="2235">
      <c r="D2235" s="58"/>
      <c r="E2235" s="58"/>
      <c r="F2235" s="58"/>
      <c r="G2235" s="58"/>
    </row>
    <row r="2236">
      <c r="D2236" s="58"/>
      <c r="E2236" s="58"/>
      <c r="F2236" s="58"/>
      <c r="G2236" s="58"/>
    </row>
    <row r="2237">
      <c r="D2237" s="58"/>
      <c r="E2237" s="58"/>
      <c r="F2237" s="58"/>
      <c r="G2237" s="58"/>
    </row>
    <row r="2238">
      <c r="D2238" s="58"/>
      <c r="E2238" s="58"/>
      <c r="F2238" s="58"/>
      <c r="G2238" s="58"/>
    </row>
    <row r="2239">
      <c r="D2239" s="58"/>
      <c r="E2239" s="58"/>
      <c r="F2239" s="58"/>
      <c r="G2239" s="58"/>
    </row>
    <row r="2240">
      <c r="D2240" s="58"/>
      <c r="E2240" s="58"/>
      <c r="F2240" s="58"/>
      <c r="G2240" s="58"/>
    </row>
    <row r="2241">
      <c r="D2241" s="58"/>
      <c r="E2241" s="58"/>
      <c r="F2241" s="58"/>
      <c r="G2241" s="58"/>
    </row>
    <row r="2242">
      <c r="D2242" s="58"/>
      <c r="E2242" s="58"/>
      <c r="F2242" s="58"/>
      <c r="G2242" s="58"/>
    </row>
    <row r="2243">
      <c r="D2243" s="58"/>
      <c r="E2243" s="58"/>
      <c r="F2243" s="58"/>
      <c r="G2243" s="58"/>
    </row>
    <row r="2244">
      <c r="D2244" s="58"/>
      <c r="E2244" s="58"/>
      <c r="F2244" s="58"/>
      <c r="G2244" s="58"/>
    </row>
    <row r="2245">
      <c r="D2245" s="58"/>
      <c r="E2245" s="58"/>
      <c r="F2245" s="58"/>
      <c r="G2245" s="58"/>
    </row>
    <row r="2246">
      <c r="D2246" s="58"/>
      <c r="E2246" s="58"/>
      <c r="F2246" s="58"/>
      <c r="G2246" s="58"/>
    </row>
    <row r="2247">
      <c r="D2247" s="58"/>
      <c r="E2247" s="58"/>
      <c r="F2247" s="58"/>
      <c r="G2247" s="58"/>
    </row>
    <row r="2248">
      <c r="D2248" s="58"/>
      <c r="E2248" s="58"/>
      <c r="F2248" s="58"/>
      <c r="G2248" s="58"/>
    </row>
    <row r="2249">
      <c r="D2249" s="58"/>
      <c r="E2249" s="58"/>
      <c r="F2249" s="58"/>
      <c r="G2249" s="58"/>
    </row>
    <row r="2250">
      <c r="D2250" s="58"/>
      <c r="E2250" s="58"/>
      <c r="F2250" s="58"/>
      <c r="G2250" s="58"/>
    </row>
    <row r="2251">
      <c r="D2251" s="58"/>
      <c r="E2251" s="58"/>
      <c r="F2251" s="58"/>
      <c r="G2251" s="58"/>
    </row>
    <row r="2252">
      <c r="D2252" s="58"/>
      <c r="E2252" s="58"/>
      <c r="F2252" s="58"/>
      <c r="G2252" s="58"/>
    </row>
    <row r="2253">
      <c r="D2253" s="58"/>
      <c r="E2253" s="58"/>
      <c r="F2253" s="58"/>
      <c r="G2253" s="58"/>
    </row>
    <row r="2254">
      <c r="D2254" s="58"/>
      <c r="E2254" s="58"/>
      <c r="F2254" s="58"/>
      <c r="G2254" s="58"/>
    </row>
    <row r="2255">
      <c r="D2255" s="58"/>
      <c r="E2255" s="58"/>
      <c r="F2255" s="58"/>
      <c r="G2255" s="58"/>
    </row>
    <row r="2256">
      <c r="D2256" s="58"/>
      <c r="E2256" s="58"/>
      <c r="F2256" s="58"/>
      <c r="G2256" s="58"/>
    </row>
    <row r="2257">
      <c r="D2257" s="58"/>
      <c r="E2257" s="58"/>
      <c r="F2257" s="58"/>
      <c r="G2257" s="58"/>
    </row>
    <row r="2258">
      <c r="D2258" s="58"/>
      <c r="E2258" s="58"/>
      <c r="F2258" s="58"/>
      <c r="G2258" s="58"/>
    </row>
    <row r="2259">
      <c r="D2259" s="58"/>
      <c r="E2259" s="58"/>
      <c r="F2259" s="58"/>
      <c r="G2259" s="58"/>
    </row>
    <row r="2260">
      <c r="D2260" s="58"/>
      <c r="E2260" s="58"/>
      <c r="F2260" s="58"/>
      <c r="G2260" s="58"/>
    </row>
    <row r="2261">
      <c r="D2261" s="58"/>
      <c r="E2261" s="58"/>
      <c r="F2261" s="58"/>
      <c r="G2261" s="58"/>
    </row>
    <row r="2262">
      <c r="D2262" s="58"/>
      <c r="E2262" s="58"/>
      <c r="F2262" s="58"/>
      <c r="G2262" s="58"/>
    </row>
    <row r="2263">
      <c r="D2263" s="58"/>
      <c r="E2263" s="58"/>
      <c r="F2263" s="58"/>
      <c r="G2263" s="58"/>
    </row>
    <row r="2264">
      <c r="D2264" s="58"/>
      <c r="E2264" s="58"/>
      <c r="F2264" s="58"/>
      <c r="G2264" s="58"/>
    </row>
    <row r="2265">
      <c r="D2265" s="58"/>
      <c r="E2265" s="58"/>
      <c r="F2265" s="58"/>
      <c r="G2265" s="58"/>
    </row>
    <row r="2266">
      <c r="D2266" s="58"/>
      <c r="E2266" s="58"/>
      <c r="F2266" s="58"/>
      <c r="G2266" s="58"/>
    </row>
    <row r="2267">
      <c r="D2267" s="58"/>
      <c r="E2267" s="58"/>
      <c r="F2267" s="58"/>
      <c r="G2267" s="58"/>
    </row>
    <row r="2268">
      <c r="D2268" s="58"/>
      <c r="E2268" s="58"/>
      <c r="F2268" s="58"/>
      <c r="G2268" s="58"/>
    </row>
    <row r="2269">
      <c r="D2269" s="58"/>
      <c r="E2269" s="58"/>
      <c r="F2269" s="58"/>
      <c r="G2269" s="58"/>
    </row>
    <row r="2270">
      <c r="D2270" s="58"/>
      <c r="E2270" s="58"/>
      <c r="F2270" s="58"/>
      <c r="G2270" s="58"/>
    </row>
    <row r="2271">
      <c r="D2271" s="58"/>
      <c r="E2271" s="58"/>
      <c r="F2271" s="58"/>
      <c r="G2271" s="58"/>
    </row>
    <row r="2272">
      <c r="D2272" s="58"/>
      <c r="E2272" s="58"/>
      <c r="F2272" s="58"/>
      <c r="G2272" s="58"/>
    </row>
    <row r="2273">
      <c r="D2273" s="58"/>
      <c r="E2273" s="58"/>
      <c r="F2273" s="58"/>
      <c r="G2273" s="58"/>
    </row>
    <row r="2274">
      <c r="D2274" s="58"/>
      <c r="E2274" s="58"/>
      <c r="F2274" s="58"/>
      <c r="G2274" s="58"/>
    </row>
    <row r="2275">
      <c r="D2275" s="58"/>
      <c r="E2275" s="58"/>
      <c r="F2275" s="58"/>
      <c r="G2275" s="58"/>
    </row>
    <row r="2276">
      <c r="D2276" s="58"/>
      <c r="E2276" s="58"/>
      <c r="F2276" s="58"/>
      <c r="G2276" s="58"/>
    </row>
    <row r="2277">
      <c r="D2277" s="58"/>
      <c r="E2277" s="58"/>
      <c r="F2277" s="58"/>
      <c r="G2277" s="58"/>
    </row>
    <row r="2278">
      <c r="D2278" s="58"/>
      <c r="E2278" s="58"/>
      <c r="F2278" s="58"/>
      <c r="G2278" s="58"/>
    </row>
    <row r="2279">
      <c r="D2279" s="58"/>
      <c r="E2279" s="58"/>
      <c r="F2279" s="58"/>
      <c r="G2279" s="58"/>
    </row>
    <row r="2280">
      <c r="D2280" s="58"/>
      <c r="E2280" s="58"/>
      <c r="F2280" s="58"/>
      <c r="G2280" s="58"/>
    </row>
    <row r="2281">
      <c r="D2281" s="58"/>
      <c r="E2281" s="58"/>
      <c r="F2281" s="58"/>
      <c r="G2281" s="58"/>
    </row>
    <row r="2282">
      <c r="D2282" s="58"/>
      <c r="E2282" s="58"/>
      <c r="F2282" s="58"/>
      <c r="G2282" s="58"/>
    </row>
    <row r="2283">
      <c r="D2283" s="58"/>
      <c r="E2283" s="58"/>
      <c r="F2283" s="58"/>
      <c r="G2283" s="58"/>
    </row>
    <row r="2284">
      <c r="D2284" s="58"/>
      <c r="E2284" s="58"/>
      <c r="F2284" s="58"/>
      <c r="G2284" s="58"/>
    </row>
    <row r="2285">
      <c r="D2285" s="58"/>
      <c r="E2285" s="58"/>
      <c r="F2285" s="58"/>
      <c r="G2285" s="58"/>
    </row>
    <row r="2286">
      <c r="D2286" s="58"/>
      <c r="E2286" s="58"/>
      <c r="F2286" s="58"/>
      <c r="G2286" s="58"/>
    </row>
    <row r="2287">
      <c r="D2287" s="58"/>
      <c r="E2287" s="58"/>
      <c r="F2287" s="58"/>
      <c r="G2287" s="58"/>
    </row>
    <row r="2288">
      <c r="D2288" s="58"/>
      <c r="E2288" s="58"/>
      <c r="F2288" s="58"/>
      <c r="G2288" s="58"/>
    </row>
    <row r="2289">
      <c r="D2289" s="58"/>
      <c r="E2289" s="58"/>
      <c r="F2289" s="58"/>
      <c r="G2289" s="58"/>
    </row>
    <row r="2290">
      <c r="D2290" s="58"/>
      <c r="E2290" s="58"/>
      <c r="F2290" s="58"/>
      <c r="G2290" s="58"/>
    </row>
    <row r="2291">
      <c r="D2291" s="58"/>
      <c r="E2291" s="58"/>
      <c r="F2291" s="58"/>
      <c r="G2291" s="58"/>
    </row>
    <row r="2292">
      <c r="D2292" s="58"/>
      <c r="E2292" s="58"/>
      <c r="F2292" s="58"/>
      <c r="G2292" s="58"/>
    </row>
    <row r="2293">
      <c r="D2293" s="58"/>
      <c r="E2293" s="58"/>
      <c r="F2293" s="58"/>
      <c r="G2293" s="58"/>
    </row>
    <row r="2294">
      <c r="D2294" s="58"/>
      <c r="E2294" s="58"/>
      <c r="F2294" s="58"/>
      <c r="G2294" s="58"/>
    </row>
    <row r="2295">
      <c r="D2295" s="58"/>
      <c r="E2295" s="58"/>
      <c r="F2295" s="58"/>
      <c r="G2295" s="58"/>
    </row>
    <row r="2296">
      <c r="D2296" s="58"/>
      <c r="E2296" s="58"/>
      <c r="F2296" s="58"/>
      <c r="G2296" s="58"/>
    </row>
    <row r="2297">
      <c r="D2297" s="58"/>
      <c r="E2297" s="58"/>
      <c r="F2297" s="58"/>
      <c r="G2297" s="58"/>
    </row>
    <row r="2298">
      <c r="D2298" s="58"/>
      <c r="E2298" s="58"/>
      <c r="F2298" s="58"/>
      <c r="G2298" s="58"/>
    </row>
    <row r="2299">
      <c r="D2299" s="58"/>
      <c r="E2299" s="58"/>
      <c r="F2299" s="58"/>
      <c r="G2299" s="58"/>
    </row>
    <row r="2300">
      <c r="D2300" s="58"/>
      <c r="E2300" s="58"/>
      <c r="F2300" s="58"/>
      <c r="G2300" s="58"/>
    </row>
    <row r="2301">
      <c r="D2301" s="58"/>
      <c r="E2301" s="58"/>
      <c r="F2301" s="58"/>
      <c r="G2301" s="58"/>
    </row>
    <row r="2302">
      <c r="D2302" s="58"/>
      <c r="E2302" s="58"/>
      <c r="F2302" s="58"/>
      <c r="G2302" s="58"/>
    </row>
    <row r="2303">
      <c r="D2303" s="58"/>
      <c r="E2303" s="58"/>
      <c r="F2303" s="58"/>
      <c r="G2303" s="58"/>
    </row>
    <row r="2304">
      <c r="D2304" s="58"/>
      <c r="E2304" s="58"/>
      <c r="F2304" s="58"/>
      <c r="G2304" s="58"/>
    </row>
    <row r="2305">
      <c r="D2305" s="58"/>
      <c r="E2305" s="58"/>
      <c r="F2305" s="58"/>
      <c r="G2305" s="58"/>
    </row>
    <row r="2306">
      <c r="D2306" s="58"/>
      <c r="E2306" s="58"/>
      <c r="F2306" s="58"/>
      <c r="G2306" s="58"/>
    </row>
    <row r="2307">
      <c r="D2307" s="58"/>
      <c r="E2307" s="58"/>
      <c r="F2307" s="58"/>
      <c r="G2307" s="58"/>
    </row>
    <row r="2308">
      <c r="D2308" s="58"/>
      <c r="E2308" s="58"/>
      <c r="F2308" s="58"/>
      <c r="G2308" s="58"/>
    </row>
    <row r="2309">
      <c r="D2309" s="58"/>
      <c r="E2309" s="58"/>
      <c r="F2309" s="58"/>
      <c r="G2309" s="58"/>
    </row>
    <row r="2310">
      <c r="D2310" s="58"/>
      <c r="E2310" s="58"/>
      <c r="F2310" s="58"/>
      <c r="G2310" s="58"/>
    </row>
    <row r="2311">
      <c r="D2311" s="58"/>
      <c r="E2311" s="58"/>
      <c r="F2311" s="58"/>
      <c r="G2311" s="58"/>
    </row>
    <row r="2312">
      <c r="D2312" s="58"/>
      <c r="E2312" s="58"/>
      <c r="F2312" s="58"/>
      <c r="G2312" s="58"/>
    </row>
    <row r="2313">
      <c r="D2313" s="58"/>
      <c r="E2313" s="58"/>
      <c r="F2313" s="58"/>
      <c r="G2313" s="58"/>
    </row>
    <row r="2314">
      <c r="D2314" s="58"/>
      <c r="E2314" s="58"/>
      <c r="F2314" s="58"/>
      <c r="G2314" s="58"/>
    </row>
    <row r="2315">
      <c r="D2315" s="58"/>
      <c r="E2315" s="58"/>
      <c r="F2315" s="58"/>
      <c r="G2315" s="58"/>
    </row>
    <row r="2316">
      <c r="D2316" s="58"/>
      <c r="E2316" s="58"/>
      <c r="F2316" s="58"/>
      <c r="G2316" s="58"/>
    </row>
    <row r="2317">
      <c r="D2317" s="58"/>
      <c r="E2317" s="58"/>
      <c r="F2317" s="58"/>
      <c r="G2317" s="58"/>
    </row>
    <row r="2318">
      <c r="D2318" s="58"/>
      <c r="E2318" s="58"/>
      <c r="F2318" s="58"/>
      <c r="G2318" s="58"/>
    </row>
    <row r="2319">
      <c r="D2319" s="58"/>
      <c r="E2319" s="58"/>
      <c r="F2319" s="58"/>
      <c r="G2319" s="58"/>
    </row>
    <row r="2320">
      <c r="D2320" s="58"/>
      <c r="E2320" s="58"/>
      <c r="F2320" s="58"/>
      <c r="G2320" s="58"/>
    </row>
    <row r="2321">
      <c r="D2321" s="58"/>
      <c r="E2321" s="58"/>
      <c r="F2321" s="58"/>
      <c r="G2321" s="58"/>
    </row>
    <row r="2322">
      <c r="D2322" s="58"/>
      <c r="E2322" s="58"/>
      <c r="F2322" s="58"/>
      <c r="G2322" s="58"/>
    </row>
    <row r="2323">
      <c r="D2323" s="58"/>
      <c r="E2323" s="58"/>
      <c r="F2323" s="58"/>
      <c r="G2323" s="58"/>
    </row>
    <row r="2324">
      <c r="D2324" s="58"/>
      <c r="E2324" s="58"/>
      <c r="F2324" s="58"/>
      <c r="G2324" s="58"/>
    </row>
    <row r="2325">
      <c r="D2325" s="58"/>
      <c r="E2325" s="58"/>
      <c r="F2325" s="58"/>
      <c r="G2325" s="58"/>
    </row>
    <row r="2326">
      <c r="D2326" s="58"/>
      <c r="E2326" s="58"/>
      <c r="F2326" s="58"/>
      <c r="G2326" s="58"/>
    </row>
    <row r="2327">
      <c r="D2327" s="58"/>
      <c r="E2327" s="58"/>
      <c r="F2327" s="58"/>
      <c r="G2327" s="58"/>
    </row>
    <row r="2328">
      <c r="D2328" s="58"/>
      <c r="E2328" s="58"/>
      <c r="F2328" s="58"/>
      <c r="G2328" s="58"/>
    </row>
    <row r="2329">
      <c r="D2329" s="58"/>
      <c r="E2329" s="58"/>
      <c r="F2329" s="58"/>
      <c r="G2329" s="58"/>
    </row>
    <row r="2330">
      <c r="D2330" s="58"/>
      <c r="E2330" s="58"/>
      <c r="F2330" s="58"/>
      <c r="G2330" s="58"/>
    </row>
    <row r="2331">
      <c r="D2331" s="58"/>
      <c r="E2331" s="58"/>
      <c r="F2331" s="58"/>
      <c r="G2331" s="58"/>
    </row>
    <row r="2332">
      <c r="D2332" s="58"/>
      <c r="E2332" s="58"/>
      <c r="F2332" s="58"/>
      <c r="G2332" s="58"/>
    </row>
    <row r="2333">
      <c r="D2333" s="58"/>
      <c r="E2333" s="58"/>
      <c r="F2333" s="58"/>
      <c r="G2333" s="58"/>
    </row>
    <row r="2334">
      <c r="D2334" s="58"/>
      <c r="E2334" s="58"/>
      <c r="F2334" s="58"/>
      <c r="G2334" s="58"/>
    </row>
    <row r="2335">
      <c r="D2335" s="58"/>
      <c r="E2335" s="58"/>
      <c r="F2335" s="58"/>
      <c r="G2335" s="58"/>
    </row>
    <row r="2336">
      <c r="D2336" s="58"/>
      <c r="E2336" s="58"/>
      <c r="F2336" s="58"/>
      <c r="G2336" s="58"/>
    </row>
    <row r="2337">
      <c r="D2337" s="58"/>
      <c r="E2337" s="58"/>
      <c r="F2337" s="58"/>
      <c r="G2337" s="58"/>
    </row>
    <row r="2338">
      <c r="D2338" s="58"/>
      <c r="E2338" s="58"/>
      <c r="F2338" s="58"/>
      <c r="G2338" s="58"/>
    </row>
    <row r="2339">
      <c r="D2339" s="58"/>
      <c r="E2339" s="58"/>
      <c r="F2339" s="58"/>
      <c r="G2339" s="58"/>
    </row>
    <row r="2340">
      <c r="D2340" s="58"/>
      <c r="E2340" s="58"/>
      <c r="F2340" s="58"/>
      <c r="G2340" s="58"/>
    </row>
    <row r="2341">
      <c r="D2341" s="58"/>
      <c r="E2341" s="58"/>
      <c r="F2341" s="58"/>
      <c r="G2341" s="58"/>
    </row>
    <row r="2342">
      <c r="D2342" s="58"/>
      <c r="E2342" s="58"/>
      <c r="F2342" s="58"/>
      <c r="G2342" s="58"/>
    </row>
    <row r="2343">
      <c r="D2343" s="58"/>
      <c r="E2343" s="58"/>
      <c r="F2343" s="58"/>
      <c r="G2343" s="58"/>
    </row>
    <row r="2344">
      <c r="D2344" s="58"/>
      <c r="E2344" s="58"/>
      <c r="F2344" s="58"/>
      <c r="G2344" s="58"/>
    </row>
    <row r="2345">
      <c r="D2345" s="58"/>
      <c r="E2345" s="58"/>
      <c r="F2345" s="58"/>
      <c r="G2345" s="58"/>
    </row>
    <row r="2346">
      <c r="D2346" s="58"/>
      <c r="E2346" s="58"/>
      <c r="F2346" s="58"/>
      <c r="G2346" s="58"/>
    </row>
    <row r="2347">
      <c r="D2347" s="58"/>
      <c r="E2347" s="58"/>
      <c r="F2347" s="58"/>
      <c r="G2347" s="58"/>
    </row>
    <row r="2348">
      <c r="D2348" s="58"/>
      <c r="E2348" s="58"/>
      <c r="F2348" s="58"/>
      <c r="G2348" s="58"/>
    </row>
    <row r="2349">
      <c r="D2349" s="58"/>
      <c r="E2349" s="58"/>
      <c r="F2349" s="58"/>
      <c r="G2349" s="58"/>
    </row>
    <row r="2350">
      <c r="D2350" s="58"/>
      <c r="E2350" s="58"/>
      <c r="F2350" s="58"/>
      <c r="G2350" s="58"/>
    </row>
    <row r="2351">
      <c r="D2351" s="58"/>
      <c r="E2351" s="58"/>
      <c r="F2351" s="58"/>
      <c r="G2351" s="58"/>
    </row>
    <row r="2352">
      <c r="D2352" s="58"/>
      <c r="E2352" s="58"/>
      <c r="F2352" s="58"/>
      <c r="G2352" s="58"/>
    </row>
    <row r="2353">
      <c r="D2353" s="58"/>
      <c r="E2353" s="58"/>
      <c r="F2353" s="58"/>
      <c r="G2353" s="58"/>
    </row>
    <row r="2354">
      <c r="D2354" s="58"/>
      <c r="E2354" s="58"/>
      <c r="F2354" s="58"/>
      <c r="G2354" s="58"/>
    </row>
    <row r="2355">
      <c r="D2355" s="58"/>
      <c r="E2355" s="58"/>
      <c r="F2355" s="58"/>
      <c r="G2355" s="58"/>
    </row>
    <row r="2356">
      <c r="D2356" s="58"/>
      <c r="E2356" s="58"/>
      <c r="F2356" s="58"/>
      <c r="G2356" s="58"/>
    </row>
    <row r="2357">
      <c r="D2357" s="58"/>
      <c r="E2357" s="58"/>
      <c r="F2357" s="58"/>
      <c r="G2357" s="58"/>
    </row>
    <row r="2358">
      <c r="D2358" s="58"/>
      <c r="E2358" s="58"/>
      <c r="F2358" s="58"/>
      <c r="G2358" s="58"/>
    </row>
    <row r="2359">
      <c r="D2359" s="58"/>
      <c r="E2359" s="58"/>
      <c r="F2359" s="58"/>
      <c r="G2359" s="58"/>
    </row>
    <row r="2360">
      <c r="D2360" s="58"/>
      <c r="E2360" s="58"/>
      <c r="F2360" s="58"/>
      <c r="G2360" s="58"/>
    </row>
    <row r="2361">
      <c r="D2361" s="58"/>
      <c r="E2361" s="58"/>
      <c r="F2361" s="58"/>
      <c r="G2361" s="58"/>
    </row>
    <row r="2362">
      <c r="D2362" s="58"/>
      <c r="E2362" s="58"/>
      <c r="F2362" s="58"/>
      <c r="G2362" s="58"/>
    </row>
    <row r="2363">
      <c r="D2363" s="58"/>
      <c r="E2363" s="58"/>
      <c r="F2363" s="58"/>
      <c r="G2363" s="58"/>
    </row>
    <row r="2364">
      <c r="D2364" s="58"/>
      <c r="E2364" s="58"/>
      <c r="F2364" s="58"/>
      <c r="G2364" s="58"/>
    </row>
    <row r="2365">
      <c r="D2365" s="58"/>
      <c r="E2365" s="58"/>
      <c r="F2365" s="58"/>
      <c r="G2365" s="58"/>
    </row>
    <row r="2366">
      <c r="D2366" s="58"/>
      <c r="E2366" s="58"/>
      <c r="F2366" s="58"/>
      <c r="G2366" s="58"/>
    </row>
    <row r="2367">
      <c r="D2367" s="58"/>
      <c r="E2367" s="58"/>
      <c r="F2367" s="58"/>
      <c r="G2367" s="58"/>
    </row>
    <row r="2368">
      <c r="D2368" s="58"/>
      <c r="E2368" s="58"/>
      <c r="F2368" s="58"/>
      <c r="G2368" s="58"/>
    </row>
    <row r="2369">
      <c r="D2369" s="58"/>
      <c r="E2369" s="58"/>
      <c r="F2369" s="58"/>
      <c r="G2369" s="58"/>
    </row>
    <row r="2370">
      <c r="D2370" s="58"/>
      <c r="E2370" s="58"/>
      <c r="F2370" s="58"/>
      <c r="G2370" s="58"/>
    </row>
    <row r="2371">
      <c r="D2371" s="58"/>
      <c r="E2371" s="58"/>
      <c r="F2371" s="58"/>
      <c r="G2371" s="58"/>
    </row>
    <row r="2372">
      <c r="D2372" s="58"/>
      <c r="E2372" s="58"/>
      <c r="F2372" s="58"/>
      <c r="G2372" s="58"/>
    </row>
    <row r="2373">
      <c r="D2373" s="58"/>
      <c r="E2373" s="58"/>
      <c r="F2373" s="58"/>
      <c r="G2373" s="58"/>
    </row>
    <row r="2374">
      <c r="D2374" s="58"/>
      <c r="E2374" s="58"/>
      <c r="F2374" s="58"/>
      <c r="G2374" s="58"/>
    </row>
    <row r="2375">
      <c r="D2375" s="58"/>
      <c r="E2375" s="58"/>
      <c r="F2375" s="58"/>
      <c r="G2375" s="58"/>
    </row>
    <row r="2376">
      <c r="D2376" s="58"/>
      <c r="E2376" s="58"/>
      <c r="F2376" s="58"/>
      <c r="G2376" s="58"/>
    </row>
    <row r="2377">
      <c r="D2377" s="58"/>
      <c r="E2377" s="58"/>
      <c r="F2377" s="58"/>
      <c r="G2377" s="58"/>
    </row>
    <row r="2378">
      <c r="D2378" s="58"/>
      <c r="E2378" s="58"/>
      <c r="F2378" s="58"/>
      <c r="G2378" s="58"/>
    </row>
    <row r="2379">
      <c r="D2379" s="58"/>
      <c r="E2379" s="58"/>
      <c r="F2379" s="58"/>
      <c r="G2379" s="58"/>
    </row>
    <row r="2380">
      <c r="D2380" s="58"/>
      <c r="E2380" s="58"/>
      <c r="F2380" s="58"/>
      <c r="G2380" s="58"/>
    </row>
    <row r="2381">
      <c r="D2381" s="58"/>
      <c r="E2381" s="58"/>
      <c r="F2381" s="58"/>
      <c r="G2381" s="58"/>
    </row>
    <row r="2382">
      <c r="D2382" s="58"/>
      <c r="E2382" s="58"/>
      <c r="F2382" s="58"/>
      <c r="G2382" s="58"/>
    </row>
    <row r="2383">
      <c r="D2383" s="58"/>
      <c r="E2383" s="58"/>
      <c r="F2383" s="58"/>
      <c r="G2383" s="58"/>
    </row>
    <row r="2384">
      <c r="D2384" s="58"/>
      <c r="E2384" s="58"/>
      <c r="F2384" s="58"/>
      <c r="G2384" s="58"/>
    </row>
    <row r="2385">
      <c r="D2385" s="58"/>
      <c r="E2385" s="58"/>
      <c r="F2385" s="58"/>
      <c r="G2385" s="58"/>
    </row>
    <row r="2386">
      <c r="D2386" s="58"/>
      <c r="E2386" s="58"/>
      <c r="F2386" s="58"/>
      <c r="G2386" s="58"/>
    </row>
    <row r="2387">
      <c r="D2387" s="58"/>
      <c r="E2387" s="58"/>
      <c r="F2387" s="58"/>
      <c r="G2387" s="58"/>
    </row>
    <row r="2388">
      <c r="D2388" s="58"/>
      <c r="E2388" s="58"/>
      <c r="F2388" s="58"/>
      <c r="G2388" s="58"/>
    </row>
    <row r="2389">
      <c r="D2389" s="58"/>
      <c r="E2389" s="58"/>
      <c r="F2389" s="58"/>
      <c r="G2389" s="58"/>
    </row>
    <row r="2390">
      <c r="D2390" s="58"/>
      <c r="E2390" s="58"/>
      <c r="F2390" s="58"/>
      <c r="G2390" s="58"/>
    </row>
    <row r="2391">
      <c r="D2391" s="58"/>
      <c r="E2391" s="58"/>
      <c r="F2391" s="58"/>
      <c r="G2391" s="58"/>
    </row>
    <row r="2392">
      <c r="D2392" s="58"/>
      <c r="E2392" s="58"/>
      <c r="F2392" s="58"/>
      <c r="G2392" s="58"/>
    </row>
    <row r="2393">
      <c r="D2393" s="58"/>
      <c r="E2393" s="58"/>
      <c r="F2393" s="58"/>
      <c r="G2393" s="58"/>
    </row>
    <row r="2394">
      <c r="D2394" s="58"/>
      <c r="E2394" s="58"/>
      <c r="F2394" s="58"/>
      <c r="G2394" s="58"/>
    </row>
    <row r="2395">
      <c r="D2395" s="58"/>
      <c r="E2395" s="58"/>
      <c r="F2395" s="58"/>
      <c r="G2395" s="58"/>
    </row>
    <row r="2396">
      <c r="D2396" s="58"/>
      <c r="E2396" s="58"/>
      <c r="F2396" s="58"/>
      <c r="G2396" s="58"/>
    </row>
    <row r="2397">
      <c r="D2397" s="58"/>
      <c r="E2397" s="58"/>
      <c r="F2397" s="58"/>
      <c r="G2397" s="58"/>
    </row>
    <row r="2398">
      <c r="D2398" s="58"/>
      <c r="E2398" s="58"/>
      <c r="F2398" s="58"/>
      <c r="G2398" s="58"/>
    </row>
    <row r="2399">
      <c r="D2399" s="58"/>
      <c r="E2399" s="58"/>
      <c r="F2399" s="58"/>
      <c r="G2399" s="58"/>
    </row>
    <row r="2400">
      <c r="D2400" s="58"/>
      <c r="E2400" s="58"/>
      <c r="F2400" s="58"/>
      <c r="G2400" s="58"/>
    </row>
    <row r="2401">
      <c r="D2401" s="58"/>
      <c r="E2401" s="58"/>
      <c r="F2401" s="58"/>
      <c r="G2401" s="58"/>
    </row>
    <row r="2402">
      <c r="D2402" s="58"/>
      <c r="E2402" s="58"/>
      <c r="F2402" s="58"/>
      <c r="G2402" s="58"/>
    </row>
    <row r="2403">
      <c r="D2403" s="58"/>
      <c r="E2403" s="58"/>
      <c r="F2403" s="58"/>
      <c r="G2403" s="58"/>
    </row>
    <row r="2404">
      <c r="D2404" s="58"/>
      <c r="E2404" s="58"/>
      <c r="F2404" s="58"/>
      <c r="G2404" s="58"/>
    </row>
    <row r="2405">
      <c r="D2405" s="58"/>
      <c r="E2405" s="58"/>
      <c r="F2405" s="58"/>
      <c r="G2405" s="58"/>
    </row>
    <row r="2406">
      <c r="D2406" s="58"/>
      <c r="E2406" s="58"/>
      <c r="F2406" s="58"/>
      <c r="G2406" s="58"/>
    </row>
    <row r="2407">
      <c r="D2407" s="58"/>
      <c r="E2407" s="58"/>
      <c r="F2407" s="58"/>
      <c r="G2407" s="58"/>
    </row>
    <row r="2408">
      <c r="D2408" s="58"/>
      <c r="E2408" s="58"/>
      <c r="F2408" s="58"/>
      <c r="G2408" s="58"/>
    </row>
    <row r="2409">
      <c r="D2409" s="58"/>
      <c r="E2409" s="58"/>
      <c r="F2409" s="58"/>
      <c r="G2409" s="58"/>
    </row>
    <row r="2410">
      <c r="D2410" s="58"/>
      <c r="E2410" s="58"/>
      <c r="F2410" s="58"/>
      <c r="G2410" s="58"/>
    </row>
    <row r="2411">
      <c r="D2411" s="58"/>
      <c r="E2411" s="58"/>
      <c r="F2411" s="58"/>
      <c r="G2411" s="58"/>
    </row>
    <row r="2412">
      <c r="D2412" s="58"/>
      <c r="E2412" s="58"/>
      <c r="F2412" s="58"/>
      <c r="G2412" s="58"/>
    </row>
    <row r="2413">
      <c r="D2413" s="58"/>
      <c r="E2413" s="58"/>
      <c r="F2413" s="58"/>
      <c r="G2413" s="58"/>
    </row>
    <row r="2414">
      <c r="D2414" s="58"/>
      <c r="E2414" s="58"/>
      <c r="F2414" s="58"/>
      <c r="G2414" s="58"/>
    </row>
    <row r="2415">
      <c r="D2415" s="58"/>
      <c r="E2415" s="58"/>
      <c r="F2415" s="58"/>
      <c r="G2415" s="58"/>
    </row>
    <row r="2416">
      <c r="D2416" s="58"/>
      <c r="E2416" s="58"/>
      <c r="F2416" s="58"/>
      <c r="G2416" s="58"/>
    </row>
    <row r="2417">
      <c r="D2417" s="58"/>
      <c r="E2417" s="58"/>
      <c r="F2417" s="58"/>
      <c r="G2417" s="58"/>
    </row>
    <row r="2418">
      <c r="D2418" s="58"/>
      <c r="E2418" s="58"/>
      <c r="F2418" s="58"/>
      <c r="G2418" s="58"/>
    </row>
    <row r="2419">
      <c r="D2419" s="58"/>
      <c r="E2419" s="58"/>
      <c r="F2419" s="58"/>
      <c r="G2419" s="58"/>
    </row>
    <row r="2420">
      <c r="D2420" s="58"/>
      <c r="E2420" s="58"/>
      <c r="F2420" s="58"/>
      <c r="G2420" s="58"/>
    </row>
    <row r="2421">
      <c r="D2421" s="58"/>
      <c r="E2421" s="58"/>
      <c r="F2421" s="58"/>
      <c r="G2421" s="58"/>
    </row>
    <row r="2422">
      <c r="D2422" s="58"/>
      <c r="E2422" s="58"/>
      <c r="F2422" s="58"/>
      <c r="G2422" s="58"/>
    </row>
    <row r="2423">
      <c r="D2423" s="58"/>
      <c r="E2423" s="58"/>
      <c r="F2423" s="58"/>
      <c r="G2423" s="58"/>
    </row>
    <row r="2424">
      <c r="D2424" s="58"/>
      <c r="E2424" s="58"/>
      <c r="F2424" s="58"/>
      <c r="G2424" s="58"/>
    </row>
    <row r="2425">
      <c r="D2425" s="58"/>
      <c r="E2425" s="58"/>
      <c r="F2425" s="58"/>
      <c r="G2425" s="58"/>
    </row>
    <row r="2426">
      <c r="D2426" s="58"/>
      <c r="E2426" s="58"/>
      <c r="F2426" s="58"/>
      <c r="G2426" s="58"/>
    </row>
    <row r="2427">
      <c r="D2427" s="58"/>
      <c r="E2427" s="58"/>
      <c r="F2427" s="58"/>
      <c r="G2427" s="58"/>
    </row>
    <row r="2428">
      <c r="D2428" s="58"/>
      <c r="E2428" s="58"/>
      <c r="F2428" s="58"/>
      <c r="G2428" s="58"/>
    </row>
    <row r="2429">
      <c r="D2429" s="58"/>
      <c r="E2429" s="58"/>
      <c r="F2429" s="58"/>
      <c r="G2429" s="58"/>
    </row>
    <row r="2430">
      <c r="D2430" s="58"/>
      <c r="E2430" s="58"/>
      <c r="F2430" s="58"/>
      <c r="G2430" s="58"/>
    </row>
    <row r="2431">
      <c r="D2431" s="58"/>
      <c r="E2431" s="58"/>
      <c r="F2431" s="58"/>
      <c r="G2431" s="58"/>
    </row>
    <row r="2432">
      <c r="D2432" s="58"/>
      <c r="E2432" s="58"/>
      <c r="F2432" s="58"/>
      <c r="G2432" s="58"/>
    </row>
    <row r="2433">
      <c r="D2433" s="58"/>
      <c r="E2433" s="58"/>
      <c r="F2433" s="58"/>
      <c r="G2433" s="58"/>
    </row>
    <row r="2434">
      <c r="D2434" s="58"/>
      <c r="E2434" s="58"/>
      <c r="F2434" s="58"/>
      <c r="G2434" s="58"/>
    </row>
    <row r="2435">
      <c r="D2435" s="58"/>
      <c r="E2435" s="58"/>
      <c r="F2435" s="58"/>
      <c r="G2435" s="58"/>
    </row>
    <row r="2436">
      <c r="D2436" s="58"/>
      <c r="E2436" s="58"/>
      <c r="F2436" s="58"/>
      <c r="G2436" s="58"/>
    </row>
    <row r="2437">
      <c r="D2437" s="58"/>
      <c r="E2437" s="58"/>
      <c r="F2437" s="58"/>
      <c r="G2437" s="58"/>
    </row>
    <row r="2438">
      <c r="D2438" s="58"/>
      <c r="E2438" s="58"/>
      <c r="F2438" s="58"/>
      <c r="G2438" s="58"/>
    </row>
    <row r="2439">
      <c r="D2439" s="58"/>
      <c r="E2439" s="58"/>
      <c r="F2439" s="58"/>
      <c r="G2439" s="58"/>
    </row>
    <row r="2440">
      <c r="D2440" s="58"/>
      <c r="E2440" s="58"/>
      <c r="F2440" s="58"/>
      <c r="G2440" s="58"/>
    </row>
    <row r="2441">
      <c r="D2441" s="58"/>
      <c r="E2441" s="58"/>
      <c r="F2441" s="58"/>
      <c r="G2441" s="58"/>
    </row>
    <row r="2442">
      <c r="D2442" s="58"/>
      <c r="E2442" s="58"/>
      <c r="F2442" s="58"/>
      <c r="G2442" s="58"/>
    </row>
    <row r="2443">
      <c r="D2443" s="58"/>
      <c r="E2443" s="58"/>
      <c r="F2443" s="58"/>
      <c r="G2443" s="58"/>
    </row>
    <row r="2444">
      <c r="D2444" s="58"/>
      <c r="E2444" s="58"/>
      <c r="F2444" s="58"/>
      <c r="G2444" s="58"/>
    </row>
    <row r="2445">
      <c r="D2445" s="58"/>
      <c r="E2445" s="58"/>
      <c r="F2445" s="58"/>
      <c r="G2445" s="58"/>
    </row>
    <row r="2446">
      <c r="D2446" s="58"/>
      <c r="E2446" s="58"/>
      <c r="F2446" s="58"/>
      <c r="G2446" s="58"/>
    </row>
    <row r="2447">
      <c r="D2447" s="58"/>
      <c r="E2447" s="58"/>
      <c r="F2447" s="58"/>
      <c r="G2447" s="58"/>
    </row>
    <row r="2448">
      <c r="D2448" s="58"/>
      <c r="E2448" s="58"/>
      <c r="F2448" s="58"/>
      <c r="G2448" s="58"/>
    </row>
    <row r="2449">
      <c r="D2449" s="58"/>
      <c r="E2449" s="58"/>
      <c r="F2449" s="58"/>
      <c r="G2449" s="58"/>
    </row>
    <row r="2450">
      <c r="D2450" s="58"/>
      <c r="E2450" s="58"/>
      <c r="F2450" s="58"/>
      <c r="G2450" s="58"/>
    </row>
    <row r="2451">
      <c r="D2451" s="58"/>
      <c r="E2451" s="58"/>
      <c r="F2451" s="58"/>
      <c r="G2451" s="58"/>
    </row>
    <row r="2452">
      <c r="D2452" s="58"/>
      <c r="E2452" s="58"/>
      <c r="F2452" s="58"/>
      <c r="G2452" s="58"/>
    </row>
    <row r="2453">
      <c r="D2453" s="58"/>
      <c r="E2453" s="58"/>
      <c r="F2453" s="58"/>
      <c r="G2453" s="58"/>
    </row>
    <row r="2454">
      <c r="D2454" s="58"/>
      <c r="E2454" s="58"/>
      <c r="F2454" s="58"/>
      <c r="G2454" s="58"/>
    </row>
    <row r="2455">
      <c r="D2455" s="58"/>
      <c r="E2455" s="58"/>
      <c r="F2455" s="58"/>
      <c r="G2455" s="58"/>
    </row>
    <row r="2456">
      <c r="D2456" s="58"/>
      <c r="E2456" s="58"/>
      <c r="F2456" s="58"/>
      <c r="G2456" s="58"/>
    </row>
    <row r="2457">
      <c r="D2457" s="58"/>
      <c r="E2457" s="58"/>
      <c r="F2457" s="58"/>
      <c r="G2457" s="58"/>
    </row>
    <row r="2458">
      <c r="D2458" s="58"/>
      <c r="E2458" s="58"/>
      <c r="F2458" s="58"/>
      <c r="G2458" s="58"/>
    </row>
    <row r="2459">
      <c r="D2459" s="58"/>
      <c r="E2459" s="58"/>
      <c r="F2459" s="58"/>
      <c r="G2459" s="58"/>
    </row>
    <row r="2460">
      <c r="D2460" s="58"/>
      <c r="E2460" s="58"/>
      <c r="F2460" s="58"/>
      <c r="G2460" s="58"/>
    </row>
    <row r="2461">
      <c r="D2461" s="58"/>
      <c r="E2461" s="58"/>
      <c r="F2461" s="58"/>
      <c r="G2461" s="58"/>
    </row>
    <row r="2462">
      <c r="D2462" s="58"/>
      <c r="E2462" s="58"/>
      <c r="F2462" s="58"/>
      <c r="G2462" s="58"/>
    </row>
    <row r="2463">
      <c r="D2463" s="58"/>
      <c r="E2463" s="58"/>
      <c r="F2463" s="58"/>
      <c r="G2463" s="58"/>
    </row>
    <row r="2464">
      <c r="D2464" s="58"/>
      <c r="E2464" s="58"/>
      <c r="F2464" s="58"/>
      <c r="G2464" s="58"/>
    </row>
    <row r="2465">
      <c r="D2465" s="58"/>
      <c r="E2465" s="58"/>
      <c r="F2465" s="58"/>
      <c r="G2465" s="58"/>
    </row>
    <row r="2466">
      <c r="D2466" s="58"/>
      <c r="E2466" s="58"/>
      <c r="F2466" s="58"/>
      <c r="G2466" s="58"/>
    </row>
    <row r="2467">
      <c r="D2467" s="58"/>
      <c r="E2467" s="58"/>
      <c r="F2467" s="58"/>
      <c r="G2467" s="58"/>
    </row>
    <row r="2468">
      <c r="D2468" s="58"/>
      <c r="E2468" s="58"/>
      <c r="F2468" s="58"/>
      <c r="G2468" s="58"/>
    </row>
    <row r="2469">
      <c r="D2469" s="58"/>
      <c r="E2469" s="58"/>
      <c r="F2469" s="58"/>
      <c r="G2469" s="58"/>
    </row>
    <row r="2470">
      <c r="D2470" s="58"/>
      <c r="E2470" s="58"/>
      <c r="F2470" s="58"/>
      <c r="G2470" s="58"/>
    </row>
    <row r="2471">
      <c r="D2471" s="58"/>
      <c r="E2471" s="58"/>
      <c r="F2471" s="58"/>
      <c r="G2471" s="58"/>
    </row>
    <row r="2472">
      <c r="D2472" s="58"/>
      <c r="E2472" s="58"/>
      <c r="F2472" s="58"/>
      <c r="G2472" s="58"/>
    </row>
    <row r="2473">
      <c r="D2473" s="58"/>
      <c r="E2473" s="58"/>
      <c r="F2473" s="58"/>
      <c r="G2473" s="58"/>
    </row>
    <row r="2474">
      <c r="D2474" s="58"/>
      <c r="E2474" s="58"/>
      <c r="F2474" s="58"/>
      <c r="G2474" s="58"/>
    </row>
    <row r="2475">
      <c r="D2475" s="58"/>
      <c r="E2475" s="58"/>
      <c r="F2475" s="58"/>
      <c r="G2475" s="58"/>
    </row>
    <row r="2476">
      <c r="D2476" s="58"/>
      <c r="E2476" s="58"/>
      <c r="F2476" s="58"/>
      <c r="G2476" s="58"/>
    </row>
    <row r="2477">
      <c r="D2477" s="58"/>
      <c r="E2477" s="58"/>
      <c r="F2477" s="58"/>
      <c r="G2477" s="58"/>
    </row>
    <row r="2478">
      <c r="D2478" s="58"/>
      <c r="E2478" s="58"/>
      <c r="F2478" s="58"/>
      <c r="G2478" s="58"/>
    </row>
    <row r="2479">
      <c r="D2479" s="58"/>
      <c r="E2479" s="58"/>
      <c r="F2479" s="58"/>
      <c r="G2479" s="58"/>
    </row>
    <row r="2480">
      <c r="D2480" s="58"/>
      <c r="E2480" s="58"/>
      <c r="F2480" s="58"/>
      <c r="G2480" s="58"/>
    </row>
    <row r="2481">
      <c r="D2481" s="58"/>
      <c r="E2481" s="58"/>
      <c r="F2481" s="58"/>
      <c r="G2481" s="58"/>
    </row>
    <row r="2482">
      <c r="D2482" s="58"/>
      <c r="E2482" s="58"/>
      <c r="F2482" s="58"/>
      <c r="G2482" s="58"/>
    </row>
    <row r="2483">
      <c r="D2483" s="58"/>
      <c r="E2483" s="58"/>
      <c r="F2483" s="58"/>
      <c r="G2483" s="58"/>
    </row>
    <row r="2484">
      <c r="D2484" s="58"/>
      <c r="E2484" s="58"/>
      <c r="F2484" s="58"/>
      <c r="G2484" s="58"/>
    </row>
    <row r="2485">
      <c r="D2485" s="58"/>
      <c r="E2485" s="58"/>
      <c r="F2485" s="58"/>
      <c r="G2485" s="58"/>
    </row>
    <row r="2486">
      <c r="D2486" s="58"/>
      <c r="E2486" s="58"/>
      <c r="F2486" s="58"/>
      <c r="G2486" s="58"/>
    </row>
    <row r="2487">
      <c r="D2487" s="58"/>
      <c r="E2487" s="58"/>
      <c r="F2487" s="58"/>
      <c r="G2487" s="58"/>
    </row>
    <row r="2488">
      <c r="D2488" s="58"/>
      <c r="E2488" s="58"/>
      <c r="F2488" s="58"/>
      <c r="G2488" s="58"/>
    </row>
    <row r="2489">
      <c r="D2489" s="58"/>
      <c r="E2489" s="58"/>
      <c r="F2489" s="58"/>
      <c r="G2489" s="58"/>
    </row>
    <row r="2490">
      <c r="D2490" s="58"/>
      <c r="E2490" s="58"/>
      <c r="F2490" s="58"/>
      <c r="G2490" s="58"/>
    </row>
    <row r="2491">
      <c r="D2491" s="58"/>
      <c r="E2491" s="58"/>
      <c r="F2491" s="58"/>
      <c r="G2491" s="58"/>
    </row>
    <row r="2492">
      <c r="D2492" s="58"/>
      <c r="E2492" s="58"/>
      <c r="F2492" s="58"/>
      <c r="G2492" s="58"/>
    </row>
    <row r="2493">
      <c r="D2493" s="58"/>
      <c r="E2493" s="58"/>
      <c r="F2493" s="58"/>
      <c r="G2493" s="58"/>
    </row>
    <row r="2494">
      <c r="D2494" s="58"/>
      <c r="E2494" s="58"/>
      <c r="F2494" s="58"/>
      <c r="G2494" s="58"/>
    </row>
    <row r="2495">
      <c r="D2495" s="58"/>
      <c r="E2495" s="58"/>
      <c r="F2495" s="58"/>
      <c r="G2495" s="58"/>
    </row>
    <row r="2496">
      <c r="D2496" s="58"/>
      <c r="E2496" s="58"/>
      <c r="F2496" s="58"/>
      <c r="G2496" s="58"/>
    </row>
    <row r="2497">
      <c r="D2497" s="58"/>
      <c r="E2497" s="58"/>
      <c r="F2497" s="58"/>
      <c r="G2497" s="58"/>
    </row>
    <row r="2498">
      <c r="D2498" s="58"/>
      <c r="E2498" s="58"/>
      <c r="F2498" s="58"/>
      <c r="G2498" s="58"/>
    </row>
    <row r="2499">
      <c r="D2499" s="58"/>
      <c r="E2499" s="58"/>
      <c r="F2499" s="58"/>
      <c r="G2499" s="58"/>
    </row>
    <row r="2500">
      <c r="D2500" s="58"/>
      <c r="E2500" s="58"/>
      <c r="F2500" s="58"/>
      <c r="G2500" s="58"/>
    </row>
    <row r="2501">
      <c r="D2501" s="58"/>
      <c r="E2501" s="58"/>
      <c r="F2501" s="58"/>
      <c r="G2501" s="58"/>
    </row>
    <row r="2502">
      <c r="D2502" s="58"/>
      <c r="E2502" s="58"/>
      <c r="F2502" s="58"/>
      <c r="G2502" s="58"/>
    </row>
    <row r="2503">
      <c r="D2503" s="58"/>
      <c r="E2503" s="58"/>
      <c r="F2503" s="58"/>
      <c r="G2503" s="58"/>
    </row>
    <row r="2504">
      <c r="D2504" s="58"/>
      <c r="E2504" s="58"/>
      <c r="F2504" s="58"/>
      <c r="G2504" s="58"/>
    </row>
    <row r="2505">
      <c r="D2505" s="58"/>
      <c r="E2505" s="58"/>
      <c r="F2505" s="58"/>
      <c r="G2505" s="58"/>
    </row>
    <row r="2506">
      <c r="D2506" s="58"/>
      <c r="E2506" s="58"/>
      <c r="F2506" s="58"/>
      <c r="G2506" s="58"/>
    </row>
    <row r="2507">
      <c r="D2507" s="58"/>
      <c r="E2507" s="58"/>
      <c r="F2507" s="58"/>
      <c r="G2507" s="58"/>
    </row>
    <row r="2508">
      <c r="D2508" s="58"/>
      <c r="E2508" s="58"/>
      <c r="F2508" s="58"/>
      <c r="G2508" s="58"/>
    </row>
    <row r="2509">
      <c r="D2509" s="58"/>
      <c r="E2509" s="58"/>
      <c r="F2509" s="58"/>
      <c r="G2509" s="58"/>
    </row>
    <row r="2510">
      <c r="D2510" s="58"/>
      <c r="E2510" s="58"/>
      <c r="F2510" s="58"/>
      <c r="G2510" s="58"/>
    </row>
    <row r="2511">
      <c r="D2511" s="58"/>
      <c r="E2511" s="58"/>
      <c r="F2511" s="58"/>
      <c r="G2511" s="58"/>
    </row>
    <row r="2512">
      <c r="D2512" s="58"/>
      <c r="E2512" s="58"/>
      <c r="F2512" s="58"/>
      <c r="G2512" s="58"/>
    </row>
    <row r="2513">
      <c r="D2513" s="58"/>
      <c r="E2513" s="58"/>
      <c r="F2513" s="58"/>
      <c r="G2513" s="58"/>
    </row>
    <row r="2514">
      <c r="D2514" s="58"/>
      <c r="E2514" s="58"/>
      <c r="F2514" s="58"/>
      <c r="G2514" s="58"/>
    </row>
    <row r="2515">
      <c r="D2515" s="58"/>
      <c r="E2515" s="58"/>
      <c r="F2515" s="58"/>
      <c r="G2515" s="58"/>
    </row>
    <row r="2516">
      <c r="D2516" s="58"/>
      <c r="E2516" s="58"/>
      <c r="F2516" s="58"/>
      <c r="G2516" s="58"/>
    </row>
    <row r="2517">
      <c r="D2517" s="58"/>
      <c r="E2517" s="58"/>
      <c r="F2517" s="58"/>
      <c r="G2517" s="58"/>
    </row>
    <row r="2518">
      <c r="D2518" s="58"/>
      <c r="E2518" s="58"/>
      <c r="F2518" s="58"/>
      <c r="G2518" s="58"/>
    </row>
    <row r="2519">
      <c r="D2519" s="58"/>
      <c r="E2519" s="58"/>
      <c r="F2519" s="58"/>
      <c r="G2519" s="58"/>
    </row>
    <row r="2520">
      <c r="D2520" s="58"/>
      <c r="E2520" s="58"/>
      <c r="F2520" s="58"/>
      <c r="G2520" s="58"/>
    </row>
    <row r="2521">
      <c r="D2521" s="58"/>
      <c r="E2521" s="58"/>
      <c r="F2521" s="58"/>
      <c r="G2521" s="58"/>
    </row>
    <row r="2522">
      <c r="D2522" s="58"/>
      <c r="E2522" s="58"/>
      <c r="F2522" s="58"/>
      <c r="G2522" s="58"/>
    </row>
    <row r="2523">
      <c r="D2523" s="58"/>
      <c r="E2523" s="58"/>
      <c r="F2523" s="58"/>
      <c r="G2523" s="58"/>
    </row>
    <row r="2524">
      <c r="D2524" s="58"/>
      <c r="E2524" s="58"/>
      <c r="F2524" s="58"/>
      <c r="G2524" s="58"/>
    </row>
    <row r="2525">
      <c r="D2525" s="58"/>
      <c r="E2525" s="58"/>
      <c r="F2525" s="58"/>
      <c r="G2525" s="58"/>
    </row>
    <row r="2526">
      <c r="D2526" s="58"/>
      <c r="E2526" s="58"/>
      <c r="F2526" s="58"/>
      <c r="G2526" s="58"/>
    </row>
    <row r="2527">
      <c r="D2527" s="58"/>
      <c r="E2527" s="58"/>
      <c r="F2527" s="58"/>
      <c r="G2527" s="58"/>
    </row>
    <row r="2528">
      <c r="D2528" s="58"/>
      <c r="E2528" s="58"/>
      <c r="F2528" s="58"/>
      <c r="G2528" s="58"/>
    </row>
    <row r="2529">
      <c r="D2529" s="58"/>
      <c r="E2529" s="58"/>
      <c r="F2529" s="58"/>
      <c r="G2529" s="58"/>
    </row>
    <row r="2530">
      <c r="D2530" s="58"/>
      <c r="E2530" s="58"/>
      <c r="F2530" s="58"/>
      <c r="G2530" s="58"/>
    </row>
    <row r="2531">
      <c r="D2531" s="58"/>
      <c r="E2531" s="58"/>
      <c r="F2531" s="58"/>
      <c r="G2531" s="58"/>
    </row>
    <row r="2532">
      <c r="D2532" s="58"/>
      <c r="E2532" s="58"/>
      <c r="F2532" s="58"/>
      <c r="G2532" s="58"/>
    </row>
    <row r="2533">
      <c r="D2533" s="58"/>
      <c r="E2533" s="58"/>
      <c r="F2533" s="58"/>
      <c r="G2533" s="58"/>
    </row>
    <row r="2534">
      <c r="D2534" s="58"/>
      <c r="E2534" s="58"/>
      <c r="F2534" s="58"/>
      <c r="G2534" s="58"/>
    </row>
    <row r="2535">
      <c r="D2535" s="58"/>
      <c r="E2535" s="58"/>
      <c r="F2535" s="58"/>
      <c r="G2535" s="58"/>
    </row>
    <row r="2536">
      <c r="D2536" s="58"/>
      <c r="E2536" s="58"/>
      <c r="F2536" s="58"/>
      <c r="G2536" s="58"/>
    </row>
    <row r="2537">
      <c r="D2537" s="58"/>
      <c r="E2537" s="58"/>
      <c r="F2537" s="58"/>
      <c r="G2537" s="58"/>
    </row>
    <row r="2538">
      <c r="D2538" s="58"/>
      <c r="E2538" s="58"/>
      <c r="F2538" s="58"/>
      <c r="G2538" s="58"/>
    </row>
    <row r="2539">
      <c r="D2539" s="58"/>
      <c r="E2539" s="58"/>
      <c r="F2539" s="58"/>
      <c r="G2539" s="58"/>
    </row>
    <row r="2540">
      <c r="D2540" s="58"/>
      <c r="E2540" s="58"/>
      <c r="F2540" s="58"/>
      <c r="G2540" s="58"/>
    </row>
    <row r="2541">
      <c r="D2541" s="58"/>
      <c r="E2541" s="58"/>
      <c r="F2541" s="58"/>
      <c r="G2541" s="58"/>
    </row>
    <row r="2542">
      <c r="D2542" s="58"/>
      <c r="E2542" s="58"/>
      <c r="F2542" s="58"/>
      <c r="G2542" s="58"/>
    </row>
    <row r="2543">
      <c r="D2543" s="58"/>
      <c r="E2543" s="58"/>
      <c r="F2543" s="58"/>
      <c r="G2543" s="58"/>
    </row>
    <row r="2544">
      <c r="D2544" s="58"/>
      <c r="E2544" s="58"/>
      <c r="F2544" s="58"/>
      <c r="G2544" s="58"/>
    </row>
    <row r="2545">
      <c r="D2545" s="58"/>
      <c r="E2545" s="58"/>
      <c r="F2545" s="58"/>
      <c r="G2545" s="58"/>
    </row>
    <row r="2546">
      <c r="D2546" s="58"/>
      <c r="E2546" s="58"/>
      <c r="F2546" s="58"/>
      <c r="G2546" s="58"/>
    </row>
    <row r="2547">
      <c r="D2547" s="58"/>
      <c r="E2547" s="58"/>
      <c r="F2547" s="58"/>
      <c r="G2547" s="58"/>
    </row>
    <row r="2548">
      <c r="D2548" s="58"/>
      <c r="E2548" s="58"/>
      <c r="F2548" s="58"/>
      <c r="G2548" s="58"/>
    </row>
    <row r="2549">
      <c r="D2549" s="58"/>
      <c r="E2549" s="58"/>
      <c r="F2549" s="58"/>
      <c r="G2549" s="58"/>
    </row>
    <row r="2550">
      <c r="D2550" s="58"/>
      <c r="E2550" s="58"/>
      <c r="F2550" s="58"/>
      <c r="G2550" s="58"/>
    </row>
    <row r="2551">
      <c r="D2551" s="58"/>
      <c r="E2551" s="58"/>
      <c r="F2551" s="58"/>
      <c r="G2551" s="58"/>
    </row>
    <row r="2552">
      <c r="D2552" s="58"/>
      <c r="E2552" s="58"/>
      <c r="F2552" s="58"/>
      <c r="G2552" s="58"/>
    </row>
    <row r="2553">
      <c r="D2553" s="58"/>
      <c r="E2553" s="58"/>
      <c r="F2553" s="58"/>
      <c r="G2553" s="58"/>
    </row>
    <row r="2554">
      <c r="D2554" s="58"/>
      <c r="E2554" s="58"/>
      <c r="F2554" s="58"/>
      <c r="G2554" s="58"/>
    </row>
    <row r="2555">
      <c r="D2555" s="58"/>
      <c r="E2555" s="58"/>
      <c r="F2555" s="58"/>
      <c r="G2555" s="58"/>
    </row>
    <row r="2556">
      <c r="D2556" s="58"/>
      <c r="E2556" s="58"/>
      <c r="F2556" s="58"/>
      <c r="G2556" s="58"/>
    </row>
    <row r="2557">
      <c r="D2557" s="58"/>
      <c r="E2557" s="58"/>
      <c r="F2557" s="58"/>
      <c r="G2557" s="58"/>
    </row>
    <row r="2558">
      <c r="D2558" s="58"/>
      <c r="E2558" s="58"/>
      <c r="F2558" s="58"/>
      <c r="G2558" s="58"/>
    </row>
    <row r="2559">
      <c r="D2559" s="58"/>
      <c r="E2559" s="58"/>
      <c r="F2559" s="58"/>
      <c r="G2559" s="58"/>
    </row>
    <row r="2560">
      <c r="D2560" s="58"/>
      <c r="E2560" s="58"/>
      <c r="F2560" s="58"/>
      <c r="G2560" s="58"/>
    </row>
    <row r="2561">
      <c r="D2561" s="58"/>
      <c r="E2561" s="58"/>
      <c r="F2561" s="58"/>
      <c r="G2561" s="58"/>
    </row>
    <row r="2562">
      <c r="D2562" s="58"/>
      <c r="E2562" s="58"/>
      <c r="F2562" s="58"/>
      <c r="G2562" s="58"/>
    </row>
    <row r="2563">
      <c r="D2563" s="58"/>
      <c r="E2563" s="58"/>
      <c r="F2563" s="58"/>
      <c r="G2563" s="58"/>
    </row>
    <row r="2564">
      <c r="D2564" s="58"/>
      <c r="E2564" s="58"/>
      <c r="F2564" s="58"/>
      <c r="G2564" s="58"/>
    </row>
    <row r="2565">
      <c r="D2565" s="58"/>
      <c r="E2565" s="58"/>
      <c r="F2565" s="58"/>
      <c r="G2565" s="58"/>
    </row>
    <row r="2566">
      <c r="D2566" s="58"/>
      <c r="E2566" s="58"/>
      <c r="F2566" s="58"/>
      <c r="G2566" s="58"/>
    </row>
    <row r="2567">
      <c r="D2567" s="58"/>
      <c r="E2567" s="58"/>
      <c r="F2567" s="58"/>
      <c r="G2567" s="58"/>
    </row>
    <row r="2568">
      <c r="D2568" s="58"/>
      <c r="E2568" s="58"/>
      <c r="F2568" s="58"/>
      <c r="G2568" s="58"/>
    </row>
    <row r="2569">
      <c r="D2569" s="58"/>
      <c r="E2569" s="58"/>
      <c r="F2569" s="58"/>
      <c r="G2569" s="58"/>
    </row>
    <row r="2570">
      <c r="D2570" s="58"/>
      <c r="E2570" s="58"/>
      <c r="F2570" s="58"/>
      <c r="G2570" s="58"/>
    </row>
    <row r="2571">
      <c r="D2571" s="58"/>
      <c r="E2571" s="58"/>
      <c r="F2571" s="58"/>
      <c r="G2571" s="58"/>
    </row>
    <row r="2572">
      <c r="D2572" s="58"/>
      <c r="E2572" s="58"/>
      <c r="F2572" s="58"/>
      <c r="G2572" s="58"/>
    </row>
    <row r="2573">
      <c r="D2573" s="58"/>
      <c r="E2573" s="58"/>
      <c r="F2573" s="58"/>
      <c r="G2573" s="58"/>
    </row>
    <row r="2574">
      <c r="D2574" s="58"/>
      <c r="E2574" s="58"/>
      <c r="F2574" s="58"/>
      <c r="G2574" s="58"/>
    </row>
    <row r="2575">
      <c r="D2575" s="58"/>
      <c r="E2575" s="58"/>
      <c r="F2575" s="58"/>
      <c r="G2575" s="58"/>
    </row>
    <row r="2576">
      <c r="D2576" s="58"/>
      <c r="E2576" s="58"/>
      <c r="F2576" s="58"/>
      <c r="G2576" s="58"/>
    </row>
    <row r="2577">
      <c r="D2577" s="58"/>
      <c r="E2577" s="58"/>
      <c r="F2577" s="58"/>
      <c r="G2577" s="58"/>
    </row>
    <row r="2578">
      <c r="D2578" s="58"/>
      <c r="E2578" s="58"/>
      <c r="F2578" s="58"/>
      <c r="G2578" s="58"/>
    </row>
    <row r="2579">
      <c r="D2579" s="58"/>
      <c r="E2579" s="58"/>
      <c r="F2579" s="58"/>
      <c r="G2579" s="58"/>
    </row>
    <row r="2580">
      <c r="D2580" s="58"/>
      <c r="E2580" s="58"/>
      <c r="F2580" s="58"/>
      <c r="G2580" s="58"/>
    </row>
    <row r="2581">
      <c r="D2581" s="58"/>
      <c r="E2581" s="58"/>
      <c r="F2581" s="58"/>
      <c r="G2581" s="58"/>
    </row>
    <row r="2582">
      <c r="D2582" s="58"/>
      <c r="E2582" s="58"/>
      <c r="F2582" s="58"/>
      <c r="G2582" s="58"/>
    </row>
    <row r="2583">
      <c r="D2583" s="58"/>
      <c r="E2583" s="58"/>
      <c r="F2583" s="58"/>
      <c r="G2583" s="58"/>
    </row>
    <row r="2584">
      <c r="D2584" s="58"/>
      <c r="E2584" s="58"/>
      <c r="F2584" s="58"/>
      <c r="G2584" s="58"/>
    </row>
    <row r="2585">
      <c r="D2585" s="58"/>
      <c r="E2585" s="58"/>
      <c r="F2585" s="58"/>
      <c r="G2585" s="58"/>
    </row>
    <row r="2586">
      <c r="D2586" s="58"/>
      <c r="E2586" s="58"/>
      <c r="F2586" s="58"/>
      <c r="G2586" s="58"/>
    </row>
    <row r="2587">
      <c r="D2587" s="58"/>
      <c r="E2587" s="58"/>
      <c r="F2587" s="58"/>
      <c r="G2587" s="58"/>
    </row>
    <row r="2588">
      <c r="D2588" s="58"/>
      <c r="E2588" s="58"/>
      <c r="F2588" s="58"/>
      <c r="G2588" s="58"/>
    </row>
    <row r="2589">
      <c r="D2589" s="58"/>
      <c r="E2589" s="58"/>
      <c r="F2589" s="58"/>
      <c r="G2589" s="58"/>
    </row>
    <row r="2590">
      <c r="D2590" s="58"/>
      <c r="E2590" s="58"/>
      <c r="F2590" s="58"/>
      <c r="G2590" s="58"/>
    </row>
    <row r="2591">
      <c r="D2591" s="58"/>
      <c r="E2591" s="58"/>
      <c r="F2591" s="58"/>
      <c r="G2591" s="58"/>
    </row>
    <row r="2592">
      <c r="D2592" s="58"/>
      <c r="E2592" s="58"/>
      <c r="F2592" s="58"/>
      <c r="G2592" s="58"/>
    </row>
    <row r="2593">
      <c r="D2593" s="58"/>
      <c r="E2593" s="58"/>
      <c r="F2593" s="58"/>
      <c r="G2593" s="58"/>
    </row>
    <row r="2594">
      <c r="D2594" s="58"/>
      <c r="E2594" s="58"/>
      <c r="F2594" s="58"/>
      <c r="G2594" s="58"/>
    </row>
    <row r="2595">
      <c r="D2595" s="58"/>
      <c r="E2595" s="58"/>
      <c r="F2595" s="58"/>
      <c r="G2595" s="58"/>
    </row>
    <row r="2596">
      <c r="D2596" s="58"/>
      <c r="E2596" s="58"/>
      <c r="F2596" s="58"/>
      <c r="G2596" s="58"/>
    </row>
    <row r="2597">
      <c r="D2597" s="58"/>
      <c r="E2597" s="58"/>
      <c r="F2597" s="58"/>
      <c r="G2597" s="58"/>
    </row>
    <row r="2598">
      <c r="D2598" s="58"/>
      <c r="E2598" s="58"/>
      <c r="F2598" s="58"/>
      <c r="G2598" s="58"/>
    </row>
    <row r="2599">
      <c r="D2599" s="58"/>
      <c r="E2599" s="58"/>
      <c r="F2599" s="58"/>
      <c r="G2599" s="58"/>
    </row>
    <row r="2600">
      <c r="D2600" s="58"/>
      <c r="E2600" s="58"/>
      <c r="F2600" s="58"/>
      <c r="G2600" s="58"/>
    </row>
    <row r="2601">
      <c r="D2601" s="58"/>
      <c r="E2601" s="58"/>
      <c r="F2601" s="58"/>
      <c r="G2601" s="58"/>
    </row>
    <row r="2602">
      <c r="D2602" s="58"/>
      <c r="E2602" s="58"/>
      <c r="F2602" s="58"/>
      <c r="G2602" s="58"/>
    </row>
    <row r="2603">
      <c r="D2603" s="58"/>
      <c r="E2603" s="58"/>
      <c r="F2603" s="58"/>
      <c r="G2603" s="58"/>
    </row>
    <row r="2604">
      <c r="D2604" s="58"/>
      <c r="E2604" s="58"/>
      <c r="F2604" s="58"/>
      <c r="G2604" s="58"/>
    </row>
    <row r="2605">
      <c r="D2605" s="58"/>
      <c r="E2605" s="58"/>
      <c r="F2605" s="58"/>
      <c r="G2605" s="58"/>
    </row>
    <row r="2606">
      <c r="D2606" s="58"/>
      <c r="E2606" s="58"/>
      <c r="F2606" s="58"/>
      <c r="G2606" s="58"/>
    </row>
    <row r="2607">
      <c r="D2607" s="58"/>
      <c r="E2607" s="58"/>
      <c r="F2607" s="58"/>
      <c r="G2607" s="58"/>
    </row>
    <row r="2608">
      <c r="D2608" s="58"/>
      <c r="E2608" s="58"/>
      <c r="F2608" s="58"/>
      <c r="G2608" s="58"/>
    </row>
    <row r="2609">
      <c r="D2609" s="58"/>
      <c r="E2609" s="58"/>
      <c r="F2609" s="58"/>
      <c r="G2609" s="58"/>
    </row>
    <row r="2610">
      <c r="D2610" s="58"/>
      <c r="E2610" s="58"/>
      <c r="F2610" s="58"/>
      <c r="G2610" s="58"/>
    </row>
    <row r="2611">
      <c r="D2611" s="58"/>
      <c r="E2611" s="58"/>
      <c r="F2611" s="58"/>
      <c r="G2611" s="58"/>
    </row>
    <row r="2612">
      <c r="D2612" s="58"/>
      <c r="E2612" s="58"/>
      <c r="F2612" s="58"/>
      <c r="G2612" s="58"/>
    </row>
    <row r="2613">
      <c r="D2613" s="58"/>
      <c r="E2613" s="58"/>
      <c r="F2613" s="58"/>
      <c r="G2613" s="58"/>
    </row>
    <row r="2614">
      <c r="D2614" s="58"/>
      <c r="E2614" s="58"/>
      <c r="F2614" s="58"/>
      <c r="G2614" s="58"/>
    </row>
    <row r="2615">
      <c r="D2615" s="58"/>
      <c r="E2615" s="58"/>
      <c r="F2615" s="58"/>
      <c r="G2615" s="58"/>
    </row>
    <row r="2616">
      <c r="D2616" s="58"/>
      <c r="E2616" s="58"/>
      <c r="F2616" s="58"/>
      <c r="G2616" s="58"/>
    </row>
    <row r="2617">
      <c r="D2617" s="58"/>
      <c r="E2617" s="58"/>
      <c r="F2617" s="58"/>
      <c r="G2617" s="58"/>
    </row>
    <row r="2618">
      <c r="D2618" s="58"/>
      <c r="E2618" s="58"/>
      <c r="F2618" s="58"/>
      <c r="G2618" s="58"/>
    </row>
    <row r="2619">
      <c r="D2619" s="58"/>
      <c r="E2619" s="58"/>
      <c r="F2619" s="58"/>
      <c r="G2619" s="58"/>
    </row>
    <row r="2620">
      <c r="D2620" s="58"/>
      <c r="E2620" s="58"/>
      <c r="F2620" s="58"/>
      <c r="G2620" s="58"/>
    </row>
    <row r="2621">
      <c r="D2621" s="58"/>
      <c r="E2621" s="58"/>
      <c r="F2621" s="58"/>
      <c r="G2621" s="58"/>
    </row>
    <row r="2622">
      <c r="D2622" s="58"/>
      <c r="E2622" s="58"/>
      <c r="F2622" s="58"/>
      <c r="G2622" s="58"/>
    </row>
    <row r="2623">
      <c r="D2623" s="58"/>
      <c r="E2623" s="58"/>
      <c r="F2623" s="58"/>
      <c r="G2623" s="58"/>
    </row>
    <row r="2624">
      <c r="D2624" s="58"/>
      <c r="E2624" s="58"/>
      <c r="F2624" s="58"/>
      <c r="G2624" s="58"/>
    </row>
    <row r="2625">
      <c r="D2625" s="58"/>
      <c r="E2625" s="58"/>
      <c r="F2625" s="58"/>
      <c r="G2625" s="58"/>
    </row>
    <row r="2626">
      <c r="D2626" s="58"/>
      <c r="E2626" s="58"/>
      <c r="F2626" s="58"/>
      <c r="G2626" s="58"/>
    </row>
    <row r="2627">
      <c r="D2627" s="58"/>
      <c r="E2627" s="58"/>
      <c r="F2627" s="58"/>
      <c r="G2627" s="58"/>
    </row>
    <row r="2628">
      <c r="D2628" s="58"/>
      <c r="E2628" s="58"/>
      <c r="F2628" s="58"/>
      <c r="G2628" s="58"/>
    </row>
    <row r="2629">
      <c r="D2629" s="58"/>
      <c r="E2629" s="58"/>
      <c r="F2629" s="58"/>
      <c r="G2629" s="58"/>
    </row>
    <row r="2630">
      <c r="D2630" s="58"/>
      <c r="E2630" s="58"/>
      <c r="F2630" s="58"/>
      <c r="G2630" s="58"/>
    </row>
    <row r="2631">
      <c r="D2631" s="58"/>
      <c r="E2631" s="58"/>
      <c r="F2631" s="58"/>
      <c r="G2631" s="58"/>
    </row>
    <row r="2632">
      <c r="D2632" s="58"/>
      <c r="E2632" s="58"/>
      <c r="F2632" s="58"/>
      <c r="G2632" s="58"/>
    </row>
    <row r="2633">
      <c r="D2633" s="58"/>
      <c r="E2633" s="58"/>
      <c r="F2633" s="58"/>
      <c r="G2633" s="58"/>
    </row>
    <row r="2634">
      <c r="D2634" s="58"/>
      <c r="E2634" s="58"/>
      <c r="F2634" s="58"/>
      <c r="G2634" s="58"/>
    </row>
    <row r="2635">
      <c r="D2635" s="58"/>
      <c r="E2635" s="58"/>
      <c r="F2635" s="58"/>
      <c r="G2635" s="58"/>
    </row>
    <row r="2636">
      <c r="D2636" s="58"/>
      <c r="E2636" s="58"/>
      <c r="F2636" s="58"/>
      <c r="G2636" s="58"/>
    </row>
    <row r="2637">
      <c r="D2637" s="58"/>
      <c r="E2637" s="58"/>
      <c r="F2637" s="58"/>
      <c r="G2637" s="58"/>
    </row>
    <row r="2638">
      <c r="D2638" s="58"/>
      <c r="E2638" s="58"/>
      <c r="F2638" s="58"/>
      <c r="G2638" s="58"/>
    </row>
    <row r="2639">
      <c r="D2639" s="58"/>
      <c r="E2639" s="58"/>
      <c r="F2639" s="58"/>
      <c r="G2639" s="58"/>
    </row>
    <row r="2640">
      <c r="D2640" s="58"/>
      <c r="E2640" s="58"/>
      <c r="F2640" s="58"/>
      <c r="G2640" s="58"/>
    </row>
    <row r="2641">
      <c r="D2641" s="58"/>
      <c r="E2641" s="58"/>
      <c r="F2641" s="58"/>
      <c r="G2641" s="58"/>
    </row>
    <row r="2642">
      <c r="D2642" s="58"/>
      <c r="E2642" s="58"/>
      <c r="F2642" s="58"/>
      <c r="G2642" s="58"/>
    </row>
    <row r="2643">
      <c r="D2643" s="58"/>
      <c r="E2643" s="58"/>
      <c r="F2643" s="58"/>
      <c r="G2643" s="58"/>
    </row>
    <row r="2644">
      <c r="D2644" s="58"/>
      <c r="E2644" s="58"/>
      <c r="F2644" s="58"/>
      <c r="G2644" s="58"/>
    </row>
    <row r="2645">
      <c r="D2645" s="58"/>
      <c r="E2645" s="58"/>
      <c r="F2645" s="58"/>
      <c r="G2645" s="58"/>
    </row>
    <row r="2646">
      <c r="D2646" s="58"/>
      <c r="E2646" s="58"/>
      <c r="F2646" s="58"/>
      <c r="G2646" s="58"/>
    </row>
    <row r="2647">
      <c r="D2647" s="58"/>
      <c r="E2647" s="58"/>
      <c r="F2647" s="58"/>
      <c r="G2647" s="58"/>
    </row>
    <row r="2648">
      <c r="D2648" s="58"/>
      <c r="E2648" s="58"/>
      <c r="F2648" s="58"/>
      <c r="G2648" s="58"/>
    </row>
    <row r="2649">
      <c r="D2649" s="58"/>
      <c r="E2649" s="58"/>
      <c r="F2649" s="58"/>
      <c r="G2649" s="58"/>
    </row>
    <row r="2650">
      <c r="D2650" s="58"/>
      <c r="E2650" s="58"/>
      <c r="F2650" s="58"/>
      <c r="G2650" s="58"/>
    </row>
    <row r="2651">
      <c r="D2651" s="58"/>
      <c r="E2651" s="58"/>
      <c r="F2651" s="58"/>
      <c r="G2651" s="58"/>
    </row>
    <row r="2652">
      <c r="D2652" s="58"/>
      <c r="E2652" s="58"/>
      <c r="F2652" s="58"/>
      <c r="G2652" s="58"/>
    </row>
    <row r="2653">
      <c r="D2653" s="58"/>
      <c r="E2653" s="58"/>
      <c r="F2653" s="58"/>
      <c r="G2653" s="58"/>
    </row>
    <row r="2654">
      <c r="D2654" s="58"/>
      <c r="E2654" s="58"/>
      <c r="F2654" s="58"/>
      <c r="G2654" s="58"/>
    </row>
    <row r="2655">
      <c r="D2655" s="58"/>
      <c r="E2655" s="58"/>
      <c r="F2655" s="58"/>
      <c r="G2655" s="58"/>
    </row>
    <row r="2656">
      <c r="D2656" s="58"/>
      <c r="E2656" s="58"/>
      <c r="F2656" s="58"/>
      <c r="G2656" s="58"/>
    </row>
    <row r="2657">
      <c r="D2657" s="58"/>
      <c r="E2657" s="58"/>
      <c r="F2657" s="58"/>
      <c r="G2657" s="58"/>
    </row>
    <row r="2658">
      <c r="D2658" s="58"/>
      <c r="E2658" s="58"/>
      <c r="F2658" s="58"/>
      <c r="G2658" s="58"/>
    </row>
    <row r="2659">
      <c r="D2659" s="58"/>
      <c r="E2659" s="58"/>
      <c r="F2659" s="58"/>
      <c r="G2659" s="58"/>
    </row>
    <row r="2660">
      <c r="D2660" s="58"/>
      <c r="E2660" s="58"/>
      <c r="F2660" s="58"/>
      <c r="G2660" s="58"/>
    </row>
    <row r="2661">
      <c r="D2661" s="58"/>
      <c r="E2661" s="58"/>
      <c r="F2661" s="58"/>
      <c r="G2661" s="58"/>
    </row>
    <row r="2662">
      <c r="D2662" s="58"/>
      <c r="E2662" s="58"/>
      <c r="F2662" s="58"/>
      <c r="G2662" s="58"/>
    </row>
    <row r="2663">
      <c r="D2663" s="58"/>
      <c r="E2663" s="58"/>
      <c r="F2663" s="58"/>
      <c r="G2663" s="58"/>
    </row>
    <row r="2664">
      <c r="D2664" s="58"/>
      <c r="E2664" s="58"/>
      <c r="F2664" s="58"/>
      <c r="G2664" s="58"/>
    </row>
    <row r="2665">
      <c r="D2665" s="58"/>
      <c r="E2665" s="58"/>
      <c r="F2665" s="58"/>
      <c r="G2665" s="58"/>
    </row>
    <row r="2666">
      <c r="D2666" s="58"/>
      <c r="E2666" s="58"/>
      <c r="F2666" s="58"/>
      <c r="G2666" s="58"/>
    </row>
    <row r="2667">
      <c r="D2667" s="58"/>
      <c r="E2667" s="58"/>
      <c r="F2667" s="58"/>
      <c r="G2667" s="58"/>
    </row>
    <row r="2668">
      <c r="D2668" s="58"/>
      <c r="E2668" s="58"/>
      <c r="F2668" s="58"/>
      <c r="G2668" s="58"/>
    </row>
    <row r="2669">
      <c r="D2669" s="58"/>
      <c r="E2669" s="58"/>
      <c r="F2669" s="58"/>
      <c r="G2669" s="58"/>
    </row>
    <row r="2670">
      <c r="D2670" s="58"/>
      <c r="E2670" s="58"/>
      <c r="F2670" s="58"/>
      <c r="G2670" s="58"/>
    </row>
    <row r="2671">
      <c r="D2671" s="58"/>
      <c r="E2671" s="58"/>
      <c r="F2671" s="58"/>
      <c r="G2671" s="58"/>
    </row>
    <row r="2672">
      <c r="D2672" s="58"/>
      <c r="E2672" s="58"/>
      <c r="F2672" s="58"/>
      <c r="G2672" s="58"/>
    </row>
    <row r="2673">
      <c r="D2673" s="58"/>
      <c r="E2673" s="58"/>
      <c r="F2673" s="58"/>
      <c r="G2673" s="58"/>
    </row>
    <row r="2674">
      <c r="D2674" s="58"/>
      <c r="E2674" s="58"/>
      <c r="F2674" s="58"/>
      <c r="G2674" s="58"/>
    </row>
    <row r="2675">
      <c r="D2675" s="58"/>
      <c r="E2675" s="58"/>
      <c r="F2675" s="58"/>
      <c r="G2675" s="58"/>
    </row>
    <row r="2676">
      <c r="D2676" s="58"/>
      <c r="E2676" s="58"/>
      <c r="F2676" s="58"/>
      <c r="G2676" s="58"/>
    </row>
    <row r="2677">
      <c r="D2677" s="58"/>
      <c r="E2677" s="58"/>
      <c r="F2677" s="58"/>
      <c r="G2677" s="58"/>
    </row>
    <row r="2678">
      <c r="D2678" s="58"/>
      <c r="E2678" s="58"/>
      <c r="F2678" s="58"/>
      <c r="G2678" s="58"/>
    </row>
    <row r="2679">
      <c r="D2679" s="58"/>
      <c r="E2679" s="58"/>
      <c r="F2679" s="58"/>
      <c r="G2679" s="58"/>
    </row>
    <row r="2680">
      <c r="D2680" s="58"/>
      <c r="E2680" s="58"/>
      <c r="F2680" s="58"/>
      <c r="G2680" s="58"/>
    </row>
    <row r="2681">
      <c r="D2681" s="58"/>
      <c r="E2681" s="58"/>
      <c r="F2681" s="58"/>
      <c r="G2681" s="58"/>
    </row>
    <row r="2682">
      <c r="D2682" s="58"/>
      <c r="E2682" s="58"/>
      <c r="F2682" s="58"/>
      <c r="G2682" s="58"/>
    </row>
    <row r="2683">
      <c r="D2683" s="58"/>
      <c r="E2683" s="58"/>
      <c r="F2683" s="58"/>
      <c r="G2683" s="58"/>
    </row>
    <row r="2684">
      <c r="D2684" s="58"/>
      <c r="E2684" s="58"/>
      <c r="F2684" s="58"/>
      <c r="G2684" s="58"/>
    </row>
    <row r="2685">
      <c r="D2685" s="58"/>
      <c r="E2685" s="58"/>
      <c r="F2685" s="58"/>
      <c r="G2685" s="58"/>
    </row>
    <row r="2686">
      <c r="D2686" s="58"/>
      <c r="E2686" s="58"/>
      <c r="F2686" s="58"/>
      <c r="G2686" s="58"/>
    </row>
    <row r="2687">
      <c r="D2687" s="58"/>
      <c r="E2687" s="58"/>
      <c r="F2687" s="58"/>
      <c r="G2687" s="58"/>
    </row>
    <row r="2688">
      <c r="D2688" s="58"/>
      <c r="E2688" s="58"/>
      <c r="F2688" s="58"/>
      <c r="G2688" s="58"/>
    </row>
    <row r="2689">
      <c r="D2689" s="58"/>
      <c r="E2689" s="58"/>
      <c r="F2689" s="58"/>
      <c r="G2689" s="58"/>
    </row>
    <row r="2690">
      <c r="D2690" s="58"/>
      <c r="E2690" s="58"/>
      <c r="F2690" s="58"/>
      <c r="G2690" s="58"/>
    </row>
    <row r="2691">
      <c r="D2691" s="58"/>
      <c r="E2691" s="58"/>
      <c r="F2691" s="58"/>
      <c r="G2691" s="58"/>
    </row>
    <row r="2692">
      <c r="D2692" s="58"/>
      <c r="E2692" s="58"/>
      <c r="F2692" s="58"/>
      <c r="G2692" s="58"/>
    </row>
    <row r="2693">
      <c r="D2693" s="58"/>
      <c r="E2693" s="58"/>
      <c r="F2693" s="58"/>
      <c r="G2693" s="58"/>
    </row>
    <row r="2694">
      <c r="D2694" s="58"/>
      <c r="E2694" s="58"/>
      <c r="F2694" s="58"/>
      <c r="G2694" s="58"/>
    </row>
    <row r="2695">
      <c r="D2695" s="58"/>
      <c r="E2695" s="58"/>
      <c r="F2695" s="58"/>
      <c r="G2695" s="58"/>
    </row>
    <row r="2696">
      <c r="D2696" s="58"/>
      <c r="E2696" s="58"/>
      <c r="F2696" s="58"/>
      <c r="G2696" s="58"/>
    </row>
    <row r="2697">
      <c r="D2697" s="58"/>
      <c r="E2697" s="58"/>
      <c r="F2697" s="58"/>
      <c r="G2697" s="58"/>
    </row>
    <row r="2698">
      <c r="D2698" s="58"/>
      <c r="E2698" s="58"/>
      <c r="F2698" s="58"/>
      <c r="G2698" s="58"/>
    </row>
    <row r="2699">
      <c r="D2699" s="58"/>
      <c r="E2699" s="58"/>
      <c r="F2699" s="58"/>
      <c r="G2699" s="58"/>
    </row>
    <row r="2700">
      <c r="D2700" s="58"/>
      <c r="E2700" s="58"/>
      <c r="F2700" s="58"/>
      <c r="G2700" s="58"/>
    </row>
    <row r="2701">
      <c r="D2701" s="58"/>
      <c r="E2701" s="58"/>
      <c r="F2701" s="58"/>
      <c r="G2701" s="58"/>
    </row>
    <row r="2702">
      <c r="D2702" s="58"/>
      <c r="E2702" s="58"/>
      <c r="F2702" s="58"/>
      <c r="G2702" s="58"/>
    </row>
    <row r="2703">
      <c r="D2703" s="58"/>
      <c r="E2703" s="58"/>
      <c r="F2703" s="58"/>
      <c r="G2703" s="58"/>
    </row>
    <row r="2704">
      <c r="D2704" s="58"/>
      <c r="E2704" s="58"/>
      <c r="F2704" s="58"/>
      <c r="G2704" s="58"/>
    </row>
    <row r="2705">
      <c r="D2705" s="58"/>
      <c r="E2705" s="58"/>
      <c r="F2705" s="58"/>
      <c r="G2705" s="58"/>
    </row>
    <row r="2706">
      <c r="D2706" s="58"/>
      <c r="E2706" s="58"/>
      <c r="F2706" s="58"/>
      <c r="G2706" s="58"/>
    </row>
    <row r="2707">
      <c r="D2707" s="58"/>
      <c r="E2707" s="58"/>
      <c r="F2707" s="58"/>
      <c r="G2707" s="58"/>
    </row>
    <row r="2708">
      <c r="D2708" s="58"/>
      <c r="E2708" s="58"/>
      <c r="F2708" s="58"/>
      <c r="G2708" s="58"/>
    </row>
    <row r="2709">
      <c r="D2709" s="58"/>
      <c r="E2709" s="58"/>
      <c r="F2709" s="58"/>
      <c r="G2709" s="58"/>
    </row>
    <row r="2710">
      <c r="D2710" s="58"/>
      <c r="E2710" s="58"/>
      <c r="F2710" s="58"/>
      <c r="G2710" s="58"/>
    </row>
    <row r="2711">
      <c r="D2711" s="58"/>
      <c r="E2711" s="58"/>
      <c r="F2711" s="58"/>
      <c r="G2711" s="58"/>
    </row>
    <row r="2712">
      <c r="D2712" s="58"/>
      <c r="E2712" s="58"/>
      <c r="F2712" s="58"/>
      <c r="G2712" s="58"/>
    </row>
    <row r="2713">
      <c r="D2713" s="58"/>
      <c r="E2713" s="58"/>
      <c r="F2713" s="58"/>
      <c r="G2713" s="58"/>
    </row>
    <row r="2714">
      <c r="D2714" s="58"/>
      <c r="E2714" s="58"/>
      <c r="F2714" s="58"/>
      <c r="G2714" s="58"/>
    </row>
    <row r="2715">
      <c r="D2715" s="58"/>
      <c r="E2715" s="58"/>
      <c r="F2715" s="58"/>
      <c r="G2715" s="58"/>
    </row>
    <row r="2716">
      <c r="D2716" s="58"/>
      <c r="E2716" s="58"/>
      <c r="F2716" s="58"/>
      <c r="G2716" s="58"/>
    </row>
    <row r="2717">
      <c r="D2717" s="58"/>
      <c r="E2717" s="58"/>
      <c r="F2717" s="58"/>
      <c r="G2717" s="58"/>
    </row>
    <row r="2718">
      <c r="D2718" s="58"/>
      <c r="E2718" s="58"/>
      <c r="F2718" s="58"/>
      <c r="G2718" s="58"/>
    </row>
    <row r="2719">
      <c r="D2719" s="58"/>
      <c r="E2719" s="58"/>
      <c r="F2719" s="58"/>
      <c r="G2719" s="58"/>
    </row>
    <row r="2720">
      <c r="D2720" s="58"/>
      <c r="E2720" s="58"/>
      <c r="F2720" s="58"/>
      <c r="G2720" s="58"/>
    </row>
    <row r="2721">
      <c r="D2721" s="58"/>
      <c r="E2721" s="58"/>
      <c r="F2721" s="58"/>
      <c r="G2721" s="58"/>
    </row>
    <row r="2722">
      <c r="D2722" s="58"/>
      <c r="E2722" s="58"/>
      <c r="F2722" s="58"/>
      <c r="G2722" s="58"/>
    </row>
    <row r="2723">
      <c r="D2723" s="58"/>
      <c r="E2723" s="58"/>
      <c r="F2723" s="58"/>
      <c r="G2723" s="58"/>
    </row>
    <row r="2724">
      <c r="D2724" s="58"/>
      <c r="E2724" s="58"/>
      <c r="F2724" s="58"/>
      <c r="G2724" s="58"/>
    </row>
    <row r="2725">
      <c r="D2725" s="58"/>
      <c r="E2725" s="58"/>
      <c r="F2725" s="58"/>
      <c r="G2725" s="58"/>
    </row>
    <row r="2726">
      <c r="D2726" s="58"/>
      <c r="E2726" s="58"/>
      <c r="F2726" s="58"/>
      <c r="G2726" s="58"/>
    </row>
    <row r="2727">
      <c r="D2727" s="58"/>
      <c r="E2727" s="58"/>
      <c r="F2727" s="58"/>
      <c r="G2727" s="58"/>
    </row>
    <row r="2728">
      <c r="D2728" s="58"/>
      <c r="E2728" s="58"/>
      <c r="F2728" s="58"/>
      <c r="G2728" s="58"/>
    </row>
    <row r="2729">
      <c r="D2729" s="58"/>
      <c r="E2729" s="58"/>
      <c r="F2729" s="58"/>
      <c r="G2729" s="58"/>
    </row>
    <row r="2730">
      <c r="D2730" s="58"/>
      <c r="E2730" s="58"/>
      <c r="F2730" s="58"/>
      <c r="G2730" s="58"/>
    </row>
    <row r="2731">
      <c r="D2731" s="58"/>
      <c r="E2731" s="58"/>
      <c r="F2731" s="58"/>
      <c r="G2731" s="58"/>
    </row>
    <row r="2732">
      <c r="D2732" s="58"/>
      <c r="E2732" s="58"/>
      <c r="F2732" s="58"/>
      <c r="G2732" s="58"/>
    </row>
    <row r="2733">
      <c r="D2733" s="58"/>
      <c r="E2733" s="58"/>
      <c r="F2733" s="58"/>
      <c r="G2733" s="58"/>
    </row>
    <row r="2734">
      <c r="D2734" s="58"/>
      <c r="E2734" s="58"/>
      <c r="F2734" s="58"/>
      <c r="G2734" s="58"/>
    </row>
    <row r="2735">
      <c r="D2735" s="58"/>
      <c r="E2735" s="58"/>
      <c r="F2735" s="58"/>
      <c r="G2735" s="58"/>
    </row>
    <row r="2736">
      <c r="D2736" s="58"/>
      <c r="E2736" s="58"/>
      <c r="F2736" s="58"/>
      <c r="G2736" s="58"/>
    </row>
    <row r="2737">
      <c r="D2737" s="58"/>
      <c r="E2737" s="58"/>
      <c r="F2737" s="58"/>
      <c r="G2737" s="58"/>
    </row>
    <row r="2738">
      <c r="D2738" s="58"/>
      <c r="E2738" s="58"/>
      <c r="F2738" s="58"/>
      <c r="G2738" s="58"/>
    </row>
    <row r="2739">
      <c r="D2739" s="58"/>
      <c r="E2739" s="58"/>
      <c r="F2739" s="58"/>
      <c r="G2739" s="58"/>
    </row>
    <row r="2740">
      <c r="D2740" s="58"/>
      <c r="E2740" s="58"/>
      <c r="F2740" s="58"/>
      <c r="G2740" s="58"/>
    </row>
    <row r="2741">
      <c r="D2741" s="58"/>
      <c r="E2741" s="58"/>
      <c r="F2741" s="58"/>
      <c r="G2741" s="58"/>
    </row>
    <row r="2742">
      <c r="D2742" s="58"/>
      <c r="E2742" s="58"/>
      <c r="F2742" s="58"/>
      <c r="G2742" s="58"/>
    </row>
    <row r="2743">
      <c r="D2743" s="58"/>
      <c r="E2743" s="58"/>
      <c r="F2743" s="58"/>
      <c r="G2743" s="58"/>
    </row>
    <row r="2744">
      <c r="D2744" s="58"/>
      <c r="E2744" s="58"/>
      <c r="F2744" s="58"/>
      <c r="G2744" s="58"/>
    </row>
    <row r="2745">
      <c r="D2745" s="58"/>
      <c r="E2745" s="58"/>
      <c r="F2745" s="58"/>
      <c r="G2745" s="58"/>
    </row>
    <row r="2746">
      <c r="D2746" s="58"/>
      <c r="E2746" s="58"/>
      <c r="F2746" s="58"/>
      <c r="G2746" s="58"/>
    </row>
    <row r="2747">
      <c r="D2747" s="58"/>
      <c r="E2747" s="58"/>
      <c r="F2747" s="58"/>
      <c r="G2747" s="58"/>
    </row>
    <row r="2748">
      <c r="D2748" s="58"/>
      <c r="E2748" s="58"/>
      <c r="F2748" s="58"/>
      <c r="G2748" s="58"/>
    </row>
    <row r="2749">
      <c r="D2749" s="58"/>
      <c r="E2749" s="58"/>
      <c r="F2749" s="58"/>
      <c r="G2749" s="58"/>
    </row>
    <row r="2750">
      <c r="D2750" s="58"/>
      <c r="E2750" s="58"/>
      <c r="F2750" s="58"/>
      <c r="G2750" s="58"/>
    </row>
    <row r="2751">
      <c r="D2751" s="58"/>
      <c r="E2751" s="58"/>
      <c r="F2751" s="58"/>
      <c r="G2751" s="58"/>
    </row>
    <row r="2752">
      <c r="D2752" s="58"/>
      <c r="E2752" s="58"/>
      <c r="F2752" s="58"/>
      <c r="G2752" s="58"/>
    </row>
    <row r="2753">
      <c r="D2753" s="58"/>
      <c r="E2753" s="58"/>
      <c r="F2753" s="58"/>
      <c r="G2753" s="58"/>
    </row>
    <row r="2754">
      <c r="D2754" s="58"/>
      <c r="E2754" s="58"/>
      <c r="F2754" s="58"/>
      <c r="G2754" s="58"/>
    </row>
    <row r="2755">
      <c r="D2755" s="58"/>
      <c r="E2755" s="58"/>
      <c r="F2755" s="58"/>
      <c r="G2755" s="58"/>
    </row>
    <row r="2756">
      <c r="D2756" s="58"/>
      <c r="E2756" s="58"/>
      <c r="F2756" s="58"/>
      <c r="G2756" s="58"/>
    </row>
    <row r="2757">
      <c r="D2757" s="58"/>
      <c r="E2757" s="58"/>
      <c r="F2757" s="58"/>
      <c r="G2757" s="58"/>
    </row>
    <row r="2758">
      <c r="D2758" s="58"/>
      <c r="E2758" s="58"/>
      <c r="F2758" s="58"/>
      <c r="G2758" s="58"/>
    </row>
    <row r="2759">
      <c r="D2759" s="58"/>
      <c r="E2759" s="58"/>
      <c r="F2759" s="58"/>
      <c r="G2759" s="58"/>
    </row>
    <row r="2760">
      <c r="D2760" s="58"/>
      <c r="E2760" s="58"/>
      <c r="F2760" s="58"/>
      <c r="G2760" s="58"/>
    </row>
    <row r="2761">
      <c r="D2761" s="58"/>
      <c r="E2761" s="58"/>
      <c r="F2761" s="58"/>
      <c r="G2761" s="58"/>
    </row>
    <row r="2762">
      <c r="D2762" s="58"/>
      <c r="E2762" s="58"/>
      <c r="F2762" s="58"/>
      <c r="G2762" s="58"/>
    </row>
    <row r="2763">
      <c r="D2763" s="58"/>
      <c r="E2763" s="58"/>
      <c r="F2763" s="58"/>
      <c r="G2763" s="58"/>
    </row>
    <row r="2764">
      <c r="D2764" s="58"/>
      <c r="E2764" s="58"/>
      <c r="F2764" s="58"/>
      <c r="G2764" s="58"/>
    </row>
    <row r="2765">
      <c r="D2765" s="58"/>
      <c r="E2765" s="58"/>
      <c r="F2765" s="58"/>
      <c r="G2765" s="58"/>
    </row>
    <row r="2766">
      <c r="D2766" s="58"/>
      <c r="E2766" s="58"/>
      <c r="F2766" s="58"/>
      <c r="G2766" s="58"/>
    </row>
    <row r="2767">
      <c r="D2767" s="58"/>
      <c r="E2767" s="58"/>
      <c r="F2767" s="58"/>
      <c r="G2767" s="58"/>
    </row>
    <row r="2768">
      <c r="D2768" s="58"/>
      <c r="E2768" s="58"/>
      <c r="F2768" s="58"/>
      <c r="G2768" s="58"/>
    </row>
    <row r="2769">
      <c r="D2769" s="58"/>
      <c r="E2769" s="58"/>
      <c r="F2769" s="58"/>
      <c r="G2769" s="58"/>
    </row>
    <row r="2770">
      <c r="D2770" s="58"/>
      <c r="E2770" s="58"/>
      <c r="F2770" s="58"/>
      <c r="G2770" s="58"/>
    </row>
    <row r="2771">
      <c r="D2771" s="58"/>
      <c r="E2771" s="58"/>
      <c r="F2771" s="58"/>
      <c r="G2771" s="58"/>
    </row>
    <row r="2772">
      <c r="D2772" s="58"/>
      <c r="E2772" s="58"/>
      <c r="F2772" s="58"/>
      <c r="G2772" s="58"/>
    </row>
    <row r="2773">
      <c r="D2773" s="58"/>
      <c r="E2773" s="58"/>
      <c r="F2773" s="58"/>
      <c r="G2773" s="58"/>
    </row>
    <row r="2774">
      <c r="D2774" s="58"/>
      <c r="E2774" s="58"/>
      <c r="F2774" s="58"/>
      <c r="G2774" s="58"/>
    </row>
    <row r="2775">
      <c r="D2775" s="58"/>
      <c r="E2775" s="58"/>
      <c r="F2775" s="58"/>
      <c r="G2775" s="58"/>
    </row>
    <row r="2776">
      <c r="D2776" s="58"/>
      <c r="E2776" s="58"/>
      <c r="F2776" s="58"/>
      <c r="G2776" s="58"/>
    </row>
    <row r="2777">
      <c r="D2777" s="58"/>
      <c r="E2777" s="58"/>
      <c r="F2777" s="58"/>
      <c r="G2777" s="58"/>
    </row>
    <row r="2778">
      <c r="D2778" s="58"/>
      <c r="E2778" s="58"/>
      <c r="F2778" s="58"/>
      <c r="G2778" s="58"/>
    </row>
    <row r="2779">
      <c r="D2779" s="58"/>
      <c r="E2779" s="58"/>
      <c r="F2779" s="58"/>
      <c r="G2779" s="58"/>
    </row>
    <row r="2780">
      <c r="D2780" s="58"/>
      <c r="E2780" s="58"/>
      <c r="F2780" s="58"/>
      <c r="G2780" s="58"/>
    </row>
    <row r="2781">
      <c r="D2781" s="58"/>
      <c r="E2781" s="58"/>
      <c r="F2781" s="58"/>
      <c r="G2781" s="58"/>
    </row>
    <row r="2782">
      <c r="D2782" s="58"/>
      <c r="E2782" s="58"/>
      <c r="F2782" s="58"/>
      <c r="G2782" s="58"/>
    </row>
    <row r="2783">
      <c r="D2783" s="58"/>
      <c r="E2783" s="58"/>
      <c r="F2783" s="58"/>
      <c r="G2783" s="58"/>
    </row>
    <row r="2784">
      <c r="D2784" s="58"/>
      <c r="E2784" s="58"/>
      <c r="F2784" s="58"/>
      <c r="G2784" s="58"/>
    </row>
    <row r="2785">
      <c r="D2785" s="58"/>
      <c r="E2785" s="58"/>
      <c r="F2785" s="58"/>
      <c r="G2785" s="58"/>
    </row>
    <row r="2786">
      <c r="D2786" s="58"/>
      <c r="E2786" s="58"/>
      <c r="F2786" s="58"/>
      <c r="G2786" s="58"/>
    </row>
    <row r="2787">
      <c r="D2787" s="58"/>
      <c r="E2787" s="58"/>
      <c r="F2787" s="58"/>
      <c r="G2787" s="58"/>
    </row>
    <row r="2788">
      <c r="D2788" s="58"/>
      <c r="E2788" s="58"/>
      <c r="F2788" s="58"/>
      <c r="G2788" s="58"/>
    </row>
    <row r="2789">
      <c r="D2789" s="58"/>
      <c r="E2789" s="58"/>
      <c r="F2789" s="58"/>
      <c r="G2789" s="58"/>
    </row>
    <row r="2790">
      <c r="D2790" s="58"/>
      <c r="E2790" s="58"/>
      <c r="F2790" s="58"/>
      <c r="G2790" s="58"/>
    </row>
    <row r="2791">
      <c r="D2791" s="58"/>
      <c r="E2791" s="58"/>
      <c r="F2791" s="58"/>
      <c r="G2791" s="58"/>
    </row>
    <row r="2792">
      <c r="D2792" s="58"/>
      <c r="E2792" s="58"/>
      <c r="F2792" s="58"/>
      <c r="G2792" s="58"/>
    </row>
    <row r="2793">
      <c r="D2793" s="58"/>
      <c r="E2793" s="58"/>
      <c r="F2793" s="58"/>
      <c r="G2793" s="58"/>
    </row>
    <row r="2794">
      <c r="D2794" s="58"/>
      <c r="E2794" s="58"/>
      <c r="F2794" s="58"/>
      <c r="G2794" s="58"/>
    </row>
    <row r="2795">
      <c r="D2795" s="58"/>
      <c r="E2795" s="58"/>
      <c r="F2795" s="58"/>
      <c r="G2795" s="58"/>
    </row>
    <row r="2796">
      <c r="D2796" s="58"/>
      <c r="E2796" s="58"/>
      <c r="F2796" s="58"/>
      <c r="G2796" s="58"/>
    </row>
    <row r="2797">
      <c r="D2797" s="58"/>
      <c r="E2797" s="58"/>
      <c r="F2797" s="58"/>
      <c r="G2797" s="58"/>
    </row>
    <row r="2798">
      <c r="D2798" s="58"/>
      <c r="E2798" s="58"/>
      <c r="F2798" s="58"/>
      <c r="G2798" s="58"/>
    </row>
    <row r="2799">
      <c r="D2799" s="58"/>
      <c r="E2799" s="58"/>
      <c r="F2799" s="58"/>
      <c r="G2799" s="58"/>
    </row>
    <row r="2800">
      <c r="D2800" s="58"/>
      <c r="E2800" s="58"/>
      <c r="F2800" s="58"/>
      <c r="G2800" s="58"/>
    </row>
    <row r="2801">
      <c r="D2801" s="58"/>
      <c r="E2801" s="58"/>
      <c r="F2801" s="58"/>
      <c r="G2801" s="58"/>
    </row>
    <row r="2802">
      <c r="D2802" s="58"/>
      <c r="E2802" s="58"/>
      <c r="F2802" s="58"/>
      <c r="G2802" s="58"/>
    </row>
    <row r="2803">
      <c r="D2803" s="58"/>
      <c r="E2803" s="58"/>
      <c r="F2803" s="58"/>
      <c r="G2803" s="58"/>
    </row>
    <row r="2804">
      <c r="D2804" s="58"/>
      <c r="E2804" s="58"/>
      <c r="F2804" s="58"/>
      <c r="G2804" s="58"/>
    </row>
    <row r="2805">
      <c r="D2805" s="58"/>
      <c r="E2805" s="58"/>
      <c r="F2805" s="58"/>
      <c r="G2805" s="58"/>
    </row>
    <row r="2806">
      <c r="D2806" s="58"/>
      <c r="E2806" s="58"/>
      <c r="F2806" s="58"/>
      <c r="G2806" s="58"/>
    </row>
    <row r="2807">
      <c r="D2807" s="58"/>
      <c r="E2807" s="58"/>
      <c r="F2807" s="58"/>
      <c r="G2807" s="58"/>
    </row>
    <row r="2808">
      <c r="D2808" s="58"/>
      <c r="E2808" s="58"/>
      <c r="F2808" s="58"/>
      <c r="G2808" s="58"/>
    </row>
    <row r="2809">
      <c r="D2809" s="58"/>
      <c r="E2809" s="58"/>
      <c r="F2809" s="58"/>
      <c r="G2809" s="58"/>
    </row>
    <row r="2810">
      <c r="D2810" s="58"/>
      <c r="E2810" s="58"/>
      <c r="F2810" s="58"/>
      <c r="G2810" s="58"/>
    </row>
    <row r="2811">
      <c r="D2811" s="58"/>
      <c r="E2811" s="58"/>
      <c r="F2811" s="58"/>
      <c r="G2811" s="58"/>
    </row>
    <row r="2812">
      <c r="D2812" s="58"/>
      <c r="E2812" s="58"/>
      <c r="F2812" s="58"/>
      <c r="G2812" s="58"/>
    </row>
    <row r="2813">
      <c r="D2813" s="58"/>
      <c r="E2813" s="58"/>
      <c r="F2813" s="58"/>
      <c r="G2813" s="58"/>
    </row>
    <row r="2814">
      <c r="D2814" s="58"/>
      <c r="E2814" s="58"/>
      <c r="F2814" s="58"/>
      <c r="G2814" s="58"/>
    </row>
    <row r="2815">
      <c r="D2815" s="58"/>
      <c r="E2815" s="58"/>
      <c r="F2815" s="58"/>
      <c r="G2815" s="58"/>
    </row>
    <row r="2816">
      <c r="D2816" s="58"/>
      <c r="E2816" s="58"/>
      <c r="F2816" s="58"/>
      <c r="G2816" s="58"/>
    </row>
    <row r="2817">
      <c r="D2817" s="58"/>
      <c r="E2817" s="58"/>
      <c r="F2817" s="58"/>
      <c r="G2817" s="58"/>
    </row>
    <row r="2818">
      <c r="D2818" s="58"/>
      <c r="E2818" s="58"/>
      <c r="F2818" s="58"/>
      <c r="G2818" s="58"/>
    </row>
    <row r="2819">
      <c r="D2819" s="58"/>
      <c r="E2819" s="58"/>
      <c r="F2819" s="58"/>
      <c r="G2819" s="58"/>
    </row>
    <row r="2820">
      <c r="D2820" s="58"/>
      <c r="E2820" s="58"/>
      <c r="F2820" s="58"/>
      <c r="G2820" s="58"/>
    </row>
    <row r="2821">
      <c r="D2821" s="58"/>
      <c r="E2821" s="58"/>
      <c r="F2821" s="58"/>
      <c r="G2821" s="58"/>
    </row>
    <row r="2822">
      <c r="D2822" s="58"/>
      <c r="E2822" s="58"/>
      <c r="F2822" s="58"/>
      <c r="G2822" s="58"/>
    </row>
    <row r="2823">
      <c r="D2823" s="58"/>
      <c r="E2823" s="58"/>
      <c r="F2823" s="58"/>
      <c r="G2823" s="58"/>
    </row>
    <row r="2824">
      <c r="D2824" s="58"/>
      <c r="E2824" s="58"/>
      <c r="F2824" s="58"/>
      <c r="G2824" s="58"/>
    </row>
    <row r="2825">
      <c r="D2825" s="58"/>
      <c r="E2825" s="58"/>
      <c r="F2825" s="58"/>
      <c r="G2825" s="58"/>
    </row>
    <row r="2826">
      <c r="D2826" s="58"/>
      <c r="E2826" s="58"/>
      <c r="F2826" s="58"/>
      <c r="G2826" s="58"/>
    </row>
    <row r="2827">
      <c r="D2827" s="58"/>
      <c r="E2827" s="58"/>
      <c r="F2827" s="58"/>
      <c r="G2827" s="58"/>
    </row>
    <row r="2828">
      <c r="D2828" s="58"/>
      <c r="E2828" s="58"/>
      <c r="F2828" s="58"/>
      <c r="G2828" s="58"/>
    </row>
    <row r="2829">
      <c r="D2829" s="58"/>
      <c r="E2829" s="58"/>
      <c r="F2829" s="58"/>
      <c r="G2829" s="58"/>
    </row>
    <row r="2830">
      <c r="D2830" s="58"/>
      <c r="E2830" s="58"/>
      <c r="F2830" s="58"/>
      <c r="G2830" s="58"/>
    </row>
    <row r="2831">
      <c r="D2831" s="58"/>
      <c r="E2831" s="58"/>
      <c r="F2831" s="58"/>
      <c r="G2831" s="58"/>
    </row>
    <row r="2832">
      <c r="D2832" s="58"/>
      <c r="E2832" s="58"/>
      <c r="F2832" s="58"/>
      <c r="G2832" s="58"/>
    </row>
    <row r="2833">
      <c r="D2833" s="58"/>
      <c r="E2833" s="58"/>
      <c r="F2833" s="58"/>
      <c r="G2833" s="58"/>
    </row>
    <row r="2834">
      <c r="D2834" s="58"/>
      <c r="E2834" s="58"/>
      <c r="F2834" s="58"/>
      <c r="G2834" s="58"/>
    </row>
    <row r="2835">
      <c r="D2835" s="58"/>
      <c r="E2835" s="58"/>
      <c r="F2835" s="58"/>
      <c r="G2835" s="58"/>
    </row>
    <row r="2836">
      <c r="D2836" s="58"/>
      <c r="E2836" s="58"/>
      <c r="F2836" s="58"/>
      <c r="G2836" s="58"/>
    </row>
    <row r="2837">
      <c r="D2837" s="58"/>
      <c r="E2837" s="58"/>
      <c r="F2837" s="58"/>
      <c r="G2837" s="58"/>
    </row>
    <row r="2838">
      <c r="D2838" s="58"/>
      <c r="E2838" s="58"/>
      <c r="F2838" s="58"/>
      <c r="G2838" s="58"/>
    </row>
    <row r="2839">
      <c r="D2839" s="58"/>
      <c r="E2839" s="58"/>
      <c r="F2839" s="58"/>
      <c r="G2839" s="58"/>
    </row>
    <row r="2840">
      <c r="D2840" s="58"/>
      <c r="E2840" s="58"/>
      <c r="F2840" s="58"/>
      <c r="G2840" s="58"/>
    </row>
    <row r="2841">
      <c r="D2841" s="58"/>
      <c r="E2841" s="58"/>
      <c r="F2841" s="58"/>
      <c r="G2841" s="58"/>
    </row>
    <row r="2842">
      <c r="D2842" s="58"/>
      <c r="E2842" s="58"/>
      <c r="F2842" s="58"/>
      <c r="G2842" s="58"/>
    </row>
    <row r="2843">
      <c r="D2843" s="58"/>
      <c r="E2843" s="58"/>
      <c r="F2843" s="58"/>
      <c r="G2843" s="58"/>
    </row>
    <row r="2844">
      <c r="D2844" s="58"/>
      <c r="E2844" s="58"/>
      <c r="F2844" s="58"/>
      <c r="G2844" s="58"/>
    </row>
    <row r="2845">
      <c r="D2845" s="58"/>
      <c r="E2845" s="58"/>
      <c r="F2845" s="58"/>
      <c r="G2845" s="58"/>
    </row>
    <row r="2846">
      <c r="D2846" s="58"/>
      <c r="E2846" s="58"/>
      <c r="F2846" s="58"/>
      <c r="G2846" s="58"/>
    </row>
    <row r="2847">
      <c r="D2847" s="58"/>
      <c r="E2847" s="58"/>
      <c r="F2847" s="58"/>
      <c r="G2847" s="58"/>
    </row>
    <row r="2848">
      <c r="D2848" s="58"/>
      <c r="E2848" s="58"/>
      <c r="F2848" s="58"/>
      <c r="G2848" s="58"/>
    </row>
    <row r="2849">
      <c r="D2849" s="58"/>
      <c r="E2849" s="58"/>
      <c r="F2849" s="58"/>
      <c r="G2849" s="58"/>
    </row>
    <row r="2850">
      <c r="D2850" s="58"/>
      <c r="E2850" s="58"/>
      <c r="F2850" s="58"/>
      <c r="G2850" s="58"/>
    </row>
    <row r="2851">
      <c r="D2851" s="58"/>
      <c r="E2851" s="58"/>
      <c r="F2851" s="58"/>
      <c r="G2851" s="58"/>
    </row>
    <row r="2852">
      <c r="D2852" s="58"/>
      <c r="E2852" s="58"/>
      <c r="F2852" s="58"/>
      <c r="G2852" s="58"/>
    </row>
    <row r="2853">
      <c r="D2853" s="58"/>
      <c r="E2853" s="58"/>
      <c r="F2853" s="58"/>
      <c r="G2853" s="58"/>
    </row>
    <row r="2854">
      <c r="D2854" s="58"/>
      <c r="E2854" s="58"/>
      <c r="F2854" s="58"/>
      <c r="G2854" s="58"/>
    </row>
    <row r="2855">
      <c r="D2855" s="58"/>
      <c r="E2855" s="58"/>
      <c r="F2855" s="58"/>
      <c r="G2855" s="58"/>
    </row>
    <row r="2856">
      <c r="D2856" s="58"/>
      <c r="E2856" s="58"/>
      <c r="F2856" s="58"/>
      <c r="G2856" s="58"/>
    </row>
    <row r="2857">
      <c r="D2857" s="58"/>
      <c r="E2857" s="58"/>
      <c r="F2857" s="58"/>
      <c r="G2857" s="58"/>
    </row>
    <row r="2858">
      <c r="D2858" s="58"/>
      <c r="E2858" s="58"/>
      <c r="F2858" s="58"/>
      <c r="G2858" s="58"/>
    </row>
    <row r="2859">
      <c r="D2859" s="58"/>
      <c r="E2859" s="58"/>
      <c r="F2859" s="58"/>
      <c r="G2859" s="58"/>
    </row>
    <row r="2860">
      <c r="D2860" s="58"/>
      <c r="E2860" s="58"/>
      <c r="F2860" s="58"/>
      <c r="G2860" s="58"/>
    </row>
    <row r="2861">
      <c r="D2861" s="58"/>
      <c r="E2861" s="58"/>
      <c r="F2861" s="58"/>
      <c r="G2861" s="58"/>
    </row>
    <row r="2862">
      <c r="D2862" s="58"/>
      <c r="E2862" s="58"/>
      <c r="F2862" s="58"/>
      <c r="G2862" s="58"/>
    </row>
    <row r="2863">
      <c r="D2863" s="58"/>
      <c r="E2863" s="58"/>
      <c r="F2863" s="58"/>
      <c r="G2863" s="58"/>
    </row>
    <row r="2864">
      <c r="D2864" s="58"/>
      <c r="E2864" s="58"/>
      <c r="F2864" s="58"/>
      <c r="G2864" s="58"/>
    </row>
    <row r="2865">
      <c r="D2865" s="58"/>
      <c r="E2865" s="58"/>
      <c r="F2865" s="58"/>
      <c r="G2865" s="58"/>
    </row>
    <row r="2866">
      <c r="D2866" s="58"/>
      <c r="E2866" s="58"/>
      <c r="F2866" s="58"/>
      <c r="G2866" s="58"/>
    </row>
    <row r="2867">
      <c r="D2867" s="58"/>
      <c r="E2867" s="58"/>
      <c r="F2867" s="58"/>
      <c r="G2867" s="58"/>
    </row>
    <row r="2868">
      <c r="D2868" s="58"/>
      <c r="E2868" s="58"/>
      <c r="F2868" s="58"/>
      <c r="G2868" s="58"/>
    </row>
    <row r="2869">
      <c r="D2869" s="58"/>
      <c r="E2869" s="58"/>
      <c r="F2869" s="58"/>
      <c r="G2869" s="58"/>
    </row>
    <row r="2870">
      <c r="D2870" s="58"/>
      <c r="E2870" s="58"/>
      <c r="F2870" s="58"/>
      <c r="G2870" s="58"/>
    </row>
    <row r="2871">
      <c r="D2871" s="58"/>
      <c r="E2871" s="58"/>
      <c r="F2871" s="58"/>
      <c r="G2871" s="58"/>
    </row>
    <row r="2872">
      <c r="D2872" s="58"/>
      <c r="E2872" s="58"/>
      <c r="F2872" s="58"/>
      <c r="G2872" s="58"/>
    </row>
    <row r="2873">
      <c r="D2873" s="58"/>
      <c r="E2873" s="58"/>
      <c r="F2873" s="58"/>
      <c r="G2873" s="58"/>
    </row>
    <row r="2874">
      <c r="D2874" s="58"/>
      <c r="E2874" s="58"/>
      <c r="F2874" s="58"/>
      <c r="G2874" s="58"/>
    </row>
    <row r="2875">
      <c r="D2875" s="58"/>
      <c r="E2875" s="58"/>
      <c r="F2875" s="58"/>
      <c r="G2875" s="58"/>
    </row>
    <row r="2876">
      <c r="D2876" s="58"/>
      <c r="E2876" s="58"/>
      <c r="F2876" s="58"/>
      <c r="G2876" s="58"/>
    </row>
    <row r="2877">
      <c r="D2877" s="58"/>
      <c r="E2877" s="58"/>
      <c r="F2877" s="58"/>
      <c r="G2877" s="58"/>
    </row>
    <row r="2878">
      <c r="D2878" s="58"/>
      <c r="E2878" s="58"/>
      <c r="F2878" s="58"/>
      <c r="G2878" s="58"/>
    </row>
    <row r="2879">
      <c r="D2879" s="58"/>
      <c r="E2879" s="58"/>
      <c r="F2879" s="58"/>
      <c r="G2879" s="58"/>
    </row>
    <row r="2880">
      <c r="D2880" s="58"/>
      <c r="E2880" s="58"/>
      <c r="F2880" s="58"/>
      <c r="G2880" s="58"/>
    </row>
    <row r="2881">
      <c r="D2881" s="58"/>
      <c r="E2881" s="58"/>
      <c r="F2881" s="58"/>
      <c r="G2881" s="58"/>
    </row>
    <row r="2882">
      <c r="D2882" s="58"/>
      <c r="E2882" s="58"/>
      <c r="F2882" s="58"/>
      <c r="G2882" s="58"/>
    </row>
    <row r="2883">
      <c r="D2883" s="58"/>
      <c r="E2883" s="58"/>
      <c r="F2883" s="58"/>
      <c r="G2883" s="58"/>
    </row>
    <row r="2884">
      <c r="D2884" s="58"/>
      <c r="E2884" s="58"/>
      <c r="F2884" s="58"/>
      <c r="G2884" s="58"/>
    </row>
    <row r="2885">
      <c r="D2885" s="58"/>
      <c r="E2885" s="58"/>
      <c r="F2885" s="58"/>
      <c r="G2885" s="58"/>
    </row>
    <row r="2886">
      <c r="D2886" s="58"/>
      <c r="E2886" s="58"/>
      <c r="F2886" s="58"/>
      <c r="G2886" s="58"/>
    </row>
    <row r="2887">
      <c r="D2887" s="58"/>
      <c r="E2887" s="58"/>
      <c r="F2887" s="58"/>
      <c r="G2887" s="58"/>
    </row>
    <row r="2888">
      <c r="D2888" s="58"/>
      <c r="E2888" s="58"/>
      <c r="F2888" s="58"/>
      <c r="G2888" s="58"/>
    </row>
    <row r="2889">
      <c r="D2889" s="58"/>
      <c r="E2889" s="58"/>
      <c r="F2889" s="58"/>
      <c r="G2889" s="58"/>
    </row>
    <row r="2890">
      <c r="D2890" s="58"/>
      <c r="E2890" s="58"/>
      <c r="F2890" s="58"/>
      <c r="G2890" s="58"/>
    </row>
    <row r="2891">
      <c r="D2891" s="58"/>
      <c r="E2891" s="58"/>
      <c r="F2891" s="58"/>
      <c r="G2891" s="58"/>
    </row>
    <row r="2892">
      <c r="D2892" s="58"/>
      <c r="E2892" s="58"/>
      <c r="F2892" s="58"/>
      <c r="G2892" s="58"/>
    </row>
    <row r="2893">
      <c r="D2893" s="58"/>
      <c r="E2893" s="58"/>
      <c r="F2893" s="58"/>
      <c r="G2893" s="58"/>
    </row>
    <row r="2894">
      <c r="D2894" s="58"/>
      <c r="E2894" s="58"/>
      <c r="F2894" s="58"/>
      <c r="G2894" s="58"/>
    </row>
    <row r="2895">
      <c r="D2895" s="58"/>
      <c r="E2895" s="58"/>
      <c r="F2895" s="58"/>
      <c r="G2895" s="58"/>
    </row>
    <row r="2896">
      <c r="D2896" s="58"/>
      <c r="E2896" s="58"/>
      <c r="F2896" s="58"/>
      <c r="G2896" s="58"/>
    </row>
    <row r="2897">
      <c r="D2897" s="58"/>
      <c r="E2897" s="58"/>
      <c r="F2897" s="58"/>
      <c r="G2897" s="58"/>
    </row>
    <row r="2898">
      <c r="D2898" s="58"/>
      <c r="E2898" s="58"/>
      <c r="F2898" s="58"/>
      <c r="G2898" s="58"/>
    </row>
    <row r="2899">
      <c r="D2899" s="58"/>
      <c r="E2899" s="58"/>
      <c r="F2899" s="58"/>
      <c r="G2899" s="58"/>
    </row>
    <row r="2900">
      <c r="D2900" s="58"/>
      <c r="E2900" s="58"/>
      <c r="F2900" s="58"/>
      <c r="G2900" s="58"/>
    </row>
    <row r="2901">
      <c r="D2901" s="58"/>
      <c r="E2901" s="58"/>
      <c r="F2901" s="58"/>
      <c r="G2901" s="58"/>
    </row>
    <row r="2902">
      <c r="D2902" s="58"/>
      <c r="E2902" s="58"/>
      <c r="F2902" s="58"/>
      <c r="G2902" s="58"/>
    </row>
    <row r="2903">
      <c r="D2903" s="58"/>
      <c r="E2903" s="58"/>
      <c r="F2903" s="58"/>
      <c r="G2903" s="58"/>
    </row>
    <row r="2904">
      <c r="D2904" s="58"/>
      <c r="E2904" s="58"/>
      <c r="F2904" s="58"/>
      <c r="G2904" s="58"/>
    </row>
    <row r="2905">
      <c r="D2905" s="58"/>
      <c r="E2905" s="58"/>
      <c r="F2905" s="58"/>
      <c r="G2905" s="58"/>
    </row>
    <row r="2906">
      <c r="D2906" s="58"/>
      <c r="E2906" s="58"/>
      <c r="F2906" s="58"/>
      <c r="G2906" s="58"/>
    </row>
    <row r="2907">
      <c r="D2907" s="58"/>
      <c r="E2907" s="58"/>
      <c r="F2907" s="58"/>
      <c r="G2907" s="58"/>
    </row>
    <row r="2908">
      <c r="D2908" s="58"/>
      <c r="E2908" s="58"/>
      <c r="F2908" s="58"/>
      <c r="G2908" s="58"/>
    </row>
    <row r="2909">
      <c r="D2909" s="58"/>
      <c r="E2909" s="58"/>
      <c r="F2909" s="58"/>
      <c r="G2909" s="58"/>
    </row>
    <row r="2910">
      <c r="D2910" s="58"/>
      <c r="E2910" s="58"/>
      <c r="F2910" s="58"/>
      <c r="G2910" s="58"/>
    </row>
    <row r="2911">
      <c r="D2911" s="58"/>
      <c r="E2911" s="58"/>
      <c r="F2911" s="58"/>
      <c r="G2911" s="58"/>
    </row>
    <row r="2912">
      <c r="D2912" s="58"/>
      <c r="E2912" s="58"/>
      <c r="F2912" s="58"/>
      <c r="G2912" s="58"/>
    </row>
    <row r="2913">
      <c r="D2913" s="58"/>
      <c r="E2913" s="58"/>
      <c r="F2913" s="58"/>
      <c r="G2913" s="58"/>
    </row>
    <row r="2914">
      <c r="D2914" s="58"/>
      <c r="E2914" s="58"/>
      <c r="F2914" s="58"/>
      <c r="G2914" s="58"/>
    </row>
    <row r="2915">
      <c r="D2915" s="58"/>
      <c r="E2915" s="58"/>
      <c r="F2915" s="58"/>
      <c r="G2915" s="58"/>
    </row>
    <row r="2916">
      <c r="D2916" s="58"/>
      <c r="E2916" s="58"/>
      <c r="F2916" s="58"/>
      <c r="G2916" s="58"/>
    </row>
    <row r="2917">
      <c r="D2917" s="58"/>
      <c r="E2917" s="58"/>
      <c r="F2917" s="58"/>
      <c r="G2917" s="58"/>
    </row>
    <row r="2918">
      <c r="D2918" s="58"/>
      <c r="E2918" s="58"/>
      <c r="F2918" s="58"/>
      <c r="G2918" s="58"/>
    </row>
    <row r="2919">
      <c r="D2919" s="58"/>
      <c r="E2919" s="58"/>
      <c r="F2919" s="58"/>
      <c r="G2919" s="58"/>
    </row>
    <row r="2920">
      <c r="D2920" s="58"/>
      <c r="E2920" s="58"/>
      <c r="F2920" s="58"/>
      <c r="G2920" s="58"/>
    </row>
    <row r="2921">
      <c r="D2921" s="58"/>
      <c r="E2921" s="58"/>
      <c r="F2921" s="58"/>
      <c r="G2921" s="58"/>
    </row>
    <row r="2922">
      <c r="D2922" s="58"/>
      <c r="E2922" s="58"/>
      <c r="F2922" s="58"/>
      <c r="G2922" s="58"/>
    </row>
    <row r="2923">
      <c r="D2923" s="58"/>
      <c r="E2923" s="58"/>
      <c r="F2923" s="58"/>
      <c r="G2923" s="58"/>
    </row>
    <row r="2924">
      <c r="D2924" s="58"/>
      <c r="E2924" s="58"/>
      <c r="F2924" s="58"/>
      <c r="G2924" s="58"/>
    </row>
    <row r="2925">
      <c r="D2925" s="58"/>
      <c r="E2925" s="58"/>
      <c r="F2925" s="58"/>
      <c r="G2925" s="58"/>
    </row>
    <row r="2926">
      <c r="D2926" s="58"/>
      <c r="E2926" s="58"/>
      <c r="F2926" s="58"/>
      <c r="G2926" s="58"/>
    </row>
    <row r="2927">
      <c r="D2927" s="58"/>
      <c r="E2927" s="58"/>
      <c r="F2927" s="58"/>
      <c r="G2927" s="58"/>
    </row>
    <row r="2928">
      <c r="D2928" s="58"/>
      <c r="E2928" s="58"/>
      <c r="F2928" s="58"/>
      <c r="G2928" s="58"/>
    </row>
    <row r="2929">
      <c r="D2929" s="58"/>
      <c r="E2929" s="58"/>
      <c r="F2929" s="58"/>
      <c r="G2929" s="58"/>
    </row>
    <row r="2930">
      <c r="D2930" s="58"/>
      <c r="E2930" s="58"/>
      <c r="F2930" s="58"/>
      <c r="G2930" s="58"/>
    </row>
    <row r="2931">
      <c r="D2931" s="58"/>
      <c r="E2931" s="58"/>
      <c r="F2931" s="58"/>
      <c r="G2931" s="58"/>
    </row>
    <row r="2932">
      <c r="D2932" s="58"/>
      <c r="E2932" s="58"/>
      <c r="F2932" s="58"/>
      <c r="G2932" s="58"/>
    </row>
    <row r="2933">
      <c r="D2933" s="58"/>
      <c r="E2933" s="58"/>
      <c r="F2933" s="58"/>
      <c r="G2933" s="58"/>
    </row>
    <row r="2934">
      <c r="D2934" s="58"/>
      <c r="E2934" s="58"/>
      <c r="F2934" s="58"/>
      <c r="G2934" s="58"/>
    </row>
    <row r="2935">
      <c r="D2935" s="58"/>
      <c r="E2935" s="58"/>
      <c r="F2935" s="58"/>
      <c r="G2935" s="58"/>
    </row>
    <row r="2936">
      <c r="D2936" s="58"/>
      <c r="E2936" s="58"/>
      <c r="F2936" s="58"/>
      <c r="G2936" s="58"/>
    </row>
    <row r="2937">
      <c r="D2937" s="58"/>
      <c r="E2937" s="58"/>
      <c r="F2937" s="58"/>
      <c r="G2937" s="58"/>
    </row>
    <row r="2938">
      <c r="D2938" s="58"/>
      <c r="E2938" s="58"/>
      <c r="F2938" s="58"/>
      <c r="G2938" s="58"/>
    </row>
    <row r="2939">
      <c r="D2939" s="58"/>
      <c r="E2939" s="58"/>
      <c r="F2939" s="58"/>
      <c r="G2939" s="58"/>
    </row>
    <row r="2940">
      <c r="D2940" s="58"/>
      <c r="E2940" s="58"/>
      <c r="F2940" s="58"/>
      <c r="G2940" s="58"/>
    </row>
    <row r="2941">
      <c r="D2941" s="58"/>
      <c r="E2941" s="58"/>
      <c r="F2941" s="58"/>
      <c r="G2941" s="58"/>
    </row>
    <row r="2942">
      <c r="D2942" s="58"/>
      <c r="E2942" s="58"/>
      <c r="F2942" s="58"/>
      <c r="G2942" s="58"/>
    </row>
    <row r="2943">
      <c r="D2943" s="58"/>
      <c r="E2943" s="58"/>
      <c r="F2943" s="58"/>
      <c r="G2943" s="58"/>
    </row>
    <row r="2944">
      <c r="D2944" s="58"/>
      <c r="E2944" s="58"/>
      <c r="F2944" s="58"/>
      <c r="G2944" s="58"/>
    </row>
    <row r="2945">
      <c r="D2945" s="58"/>
      <c r="E2945" s="58"/>
      <c r="F2945" s="58"/>
      <c r="G2945" s="58"/>
    </row>
    <row r="2946">
      <c r="D2946" s="58"/>
      <c r="E2946" s="58"/>
      <c r="F2946" s="58"/>
      <c r="G2946" s="58"/>
    </row>
    <row r="2947">
      <c r="D2947" s="58"/>
      <c r="E2947" s="58"/>
      <c r="F2947" s="58"/>
      <c r="G2947" s="58"/>
    </row>
    <row r="2948">
      <c r="D2948" s="58"/>
      <c r="E2948" s="58"/>
      <c r="F2948" s="58"/>
      <c r="G2948" s="58"/>
    </row>
    <row r="2949">
      <c r="D2949" s="58"/>
      <c r="E2949" s="58"/>
      <c r="F2949" s="58"/>
      <c r="G2949" s="58"/>
    </row>
    <row r="2950">
      <c r="D2950" s="58"/>
      <c r="E2950" s="58"/>
      <c r="F2950" s="58"/>
      <c r="G2950" s="58"/>
    </row>
    <row r="2951">
      <c r="D2951" s="58"/>
      <c r="E2951" s="58"/>
      <c r="F2951" s="58"/>
      <c r="G2951" s="58"/>
    </row>
    <row r="2952">
      <c r="D2952" s="58"/>
      <c r="E2952" s="58"/>
      <c r="F2952" s="58"/>
      <c r="G2952" s="58"/>
    </row>
    <row r="2953">
      <c r="D2953" s="58"/>
      <c r="E2953" s="58"/>
      <c r="F2953" s="58"/>
      <c r="G2953" s="58"/>
    </row>
    <row r="2954">
      <c r="D2954" s="58"/>
      <c r="E2954" s="58"/>
      <c r="F2954" s="58"/>
      <c r="G2954" s="58"/>
    </row>
    <row r="2955">
      <c r="D2955" s="58"/>
      <c r="E2955" s="58"/>
      <c r="F2955" s="58"/>
      <c r="G2955" s="58"/>
    </row>
    <row r="2956">
      <c r="D2956" s="58"/>
      <c r="E2956" s="58"/>
      <c r="F2956" s="58"/>
      <c r="G2956" s="58"/>
    </row>
    <row r="2957">
      <c r="D2957" s="58"/>
      <c r="E2957" s="58"/>
      <c r="F2957" s="58"/>
      <c r="G2957" s="58"/>
    </row>
    <row r="2958">
      <c r="D2958" s="58"/>
      <c r="E2958" s="58"/>
      <c r="F2958" s="58"/>
      <c r="G2958" s="58"/>
    </row>
    <row r="2959">
      <c r="D2959" s="58"/>
      <c r="E2959" s="58"/>
      <c r="F2959" s="58"/>
      <c r="G2959" s="58"/>
    </row>
    <row r="2960">
      <c r="D2960" s="58"/>
      <c r="E2960" s="58"/>
      <c r="F2960" s="58"/>
      <c r="G2960" s="58"/>
    </row>
    <row r="2961">
      <c r="D2961" s="58"/>
      <c r="E2961" s="58"/>
      <c r="F2961" s="58"/>
      <c r="G2961" s="58"/>
    </row>
    <row r="2962">
      <c r="D2962" s="58"/>
      <c r="E2962" s="58"/>
      <c r="F2962" s="58"/>
      <c r="G2962" s="58"/>
    </row>
    <row r="2963">
      <c r="D2963" s="58"/>
      <c r="E2963" s="58"/>
      <c r="F2963" s="58"/>
      <c r="G2963" s="58"/>
    </row>
    <row r="2964">
      <c r="D2964" s="58"/>
      <c r="E2964" s="58"/>
      <c r="F2964" s="58"/>
      <c r="G2964" s="58"/>
    </row>
    <row r="2965">
      <c r="D2965" s="58"/>
      <c r="E2965" s="58"/>
      <c r="F2965" s="58"/>
      <c r="G2965" s="58"/>
    </row>
    <row r="2966">
      <c r="D2966" s="58"/>
      <c r="E2966" s="58"/>
      <c r="F2966" s="58"/>
      <c r="G2966" s="58"/>
    </row>
    <row r="2967">
      <c r="D2967" s="58"/>
      <c r="E2967" s="58"/>
      <c r="F2967" s="58"/>
      <c r="G2967" s="58"/>
    </row>
    <row r="2968">
      <c r="D2968" s="58"/>
      <c r="E2968" s="58"/>
      <c r="F2968" s="58"/>
      <c r="G2968" s="58"/>
    </row>
    <row r="2969">
      <c r="D2969" s="58"/>
      <c r="E2969" s="58"/>
      <c r="F2969" s="58"/>
      <c r="G2969" s="58"/>
    </row>
    <row r="2970">
      <c r="D2970" s="58"/>
      <c r="E2970" s="58"/>
      <c r="F2970" s="58"/>
      <c r="G2970" s="58"/>
    </row>
    <row r="2971">
      <c r="D2971" s="58"/>
      <c r="E2971" s="58"/>
      <c r="F2971" s="58"/>
      <c r="G2971" s="58"/>
    </row>
    <row r="2972">
      <c r="D2972" s="58"/>
      <c r="E2972" s="58"/>
      <c r="F2972" s="58"/>
      <c r="G2972" s="58"/>
    </row>
    <row r="2973">
      <c r="D2973" s="58"/>
      <c r="E2973" s="58"/>
      <c r="F2973" s="58"/>
      <c r="G2973" s="58"/>
    </row>
    <row r="2974">
      <c r="D2974" s="58"/>
      <c r="E2974" s="58"/>
      <c r="F2974" s="58"/>
      <c r="G2974" s="58"/>
    </row>
    <row r="2975">
      <c r="D2975" s="58"/>
      <c r="E2975" s="58"/>
      <c r="F2975" s="58"/>
      <c r="G2975" s="58"/>
    </row>
    <row r="2976">
      <c r="D2976" s="58"/>
      <c r="E2976" s="58"/>
      <c r="F2976" s="58"/>
      <c r="G2976" s="58"/>
    </row>
    <row r="2977">
      <c r="D2977" s="58"/>
      <c r="E2977" s="58"/>
      <c r="F2977" s="58"/>
      <c r="G2977" s="58"/>
    </row>
    <row r="2978">
      <c r="D2978" s="58"/>
      <c r="E2978" s="58"/>
      <c r="F2978" s="58"/>
      <c r="G2978" s="58"/>
    </row>
    <row r="2979">
      <c r="D2979" s="58"/>
      <c r="E2979" s="58"/>
      <c r="F2979" s="58"/>
      <c r="G2979" s="58"/>
    </row>
    <row r="2980">
      <c r="D2980" s="58"/>
      <c r="E2980" s="58"/>
      <c r="F2980" s="58"/>
      <c r="G2980" s="58"/>
    </row>
    <row r="2981">
      <c r="D2981" s="58"/>
      <c r="E2981" s="58"/>
      <c r="F2981" s="58"/>
      <c r="G2981" s="58"/>
    </row>
    <row r="2982">
      <c r="D2982" s="58"/>
      <c r="E2982" s="58"/>
      <c r="F2982" s="58"/>
      <c r="G2982" s="58"/>
    </row>
    <row r="2983">
      <c r="D2983" s="58"/>
      <c r="E2983" s="58"/>
      <c r="F2983" s="58"/>
      <c r="G2983" s="58"/>
    </row>
    <row r="2984">
      <c r="D2984" s="58"/>
      <c r="E2984" s="58"/>
      <c r="F2984" s="58"/>
      <c r="G2984" s="58"/>
    </row>
    <row r="2985">
      <c r="D2985" s="58"/>
      <c r="E2985" s="58"/>
      <c r="F2985" s="58"/>
      <c r="G2985" s="58"/>
    </row>
    <row r="2986">
      <c r="D2986" s="58"/>
      <c r="E2986" s="58"/>
      <c r="F2986" s="58"/>
      <c r="G2986" s="58"/>
    </row>
    <row r="2987">
      <c r="D2987" s="58"/>
      <c r="E2987" s="58"/>
      <c r="F2987" s="58"/>
      <c r="G2987" s="58"/>
    </row>
    <row r="2988">
      <c r="D2988" s="58"/>
      <c r="E2988" s="58"/>
      <c r="F2988" s="58"/>
      <c r="G2988" s="58"/>
    </row>
    <row r="2989">
      <c r="D2989" s="58"/>
      <c r="E2989" s="58"/>
      <c r="F2989" s="58"/>
      <c r="G2989" s="58"/>
    </row>
    <row r="2990">
      <c r="D2990" s="58"/>
      <c r="E2990" s="58"/>
      <c r="F2990" s="58"/>
      <c r="G2990" s="58"/>
    </row>
    <row r="2991">
      <c r="D2991" s="58"/>
      <c r="E2991" s="58"/>
      <c r="F2991" s="58"/>
      <c r="G2991" s="58"/>
    </row>
    <row r="2992">
      <c r="D2992" s="58"/>
      <c r="E2992" s="58"/>
      <c r="F2992" s="58"/>
      <c r="G2992" s="58"/>
    </row>
    <row r="2993">
      <c r="D2993" s="58"/>
      <c r="E2993" s="58"/>
      <c r="F2993" s="58"/>
      <c r="G2993" s="58"/>
    </row>
    <row r="2994">
      <c r="D2994" s="58"/>
      <c r="E2994" s="58"/>
      <c r="F2994" s="58"/>
      <c r="G2994" s="58"/>
    </row>
    <row r="2995">
      <c r="D2995" s="58"/>
      <c r="E2995" s="58"/>
      <c r="F2995" s="58"/>
      <c r="G2995" s="58"/>
    </row>
    <row r="2996">
      <c r="D2996" s="58"/>
      <c r="E2996" s="58"/>
      <c r="F2996" s="58"/>
      <c r="G2996" s="58"/>
    </row>
    <row r="2997">
      <c r="D2997" s="58"/>
      <c r="E2997" s="58"/>
      <c r="F2997" s="58"/>
      <c r="G2997" s="58"/>
    </row>
    <row r="2998">
      <c r="D2998" s="58"/>
      <c r="E2998" s="58"/>
      <c r="F2998" s="58"/>
      <c r="G2998" s="58"/>
    </row>
    <row r="2999">
      <c r="D2999" s="58"/>
      <c r="E2999" s="58"/>
      <c r="F2999" s="58"/>
      <c r="G2999" s="58"/>
    </row>
    <row r="3000">
      <c r="D3000" s="58"/>
      <c r="E3000" s="58"/>
      <c r="F3000" s="58"/>
      <c r="G3000" s="58"/>
    </row>
    <row r="3001">
      <c r="D3001" s="58"/>
      <c r="E3001" s="58"/>
      <c r="F3001" s="58"/>
      <c r="G3001" s="58"/>
    </row>
    <row r="3002">
      <c r="D3002" s="58"/>
      <c r="E3002" s="58"/>
      <c r="F3002" s="58"/>
      <c r="G3002" s="58"/>
    </row>
    <row r="3003">
      <c r="D3003" s="58"/>
      <c r="E3003" s="58"/>
      <c r="F3003" s="58"/>
      <c r="G3003" s="58"/>
    </row>
    <row r="3004">
      <c r="D3004" s="58"/>
      <c r="E3004" s="58"/>
      <c r="F3004" s="58"/>
      <c r="G3004" s="58"/>
    </row>
    <row r="3005">
      <c r="D3005" s="58"/>
      <c r="E3005" s="58"/>
      <c r="F3005" s="58"/>
      <c r="G3005" s="58"/>
    </row>
    <row r="3006">
      <c r="D3006" s="58"/>
      <c r="E3006" s="58"/>
      <c r="F3006" s="58"/>
      <c r="G3006" s="58"/>
    </row>
    <row r="3007">
      <c r="D3007" s="58"/>
      <c r="E3007" s="58"/>
      <c r="F3007" s="58"/>
      <c r="G3007" s="58"/>
    </row>
    <row r="3008">
      <c r="D3008" s="58"/>
      <c r="E3008" s="58"/>
      <c r="F3008" s="58"/>
      <c r="G3008" s="58"/>
    </row>
    <row r="3009">
      <c r="D3009" s="58"/>
      <c r="E3009" s="58"/>
      <c r="F3009" s="58"/>
      <c r="G3009" s="58"/>
    </row>
    <row r="3010">
      <c r="D3010" s="58"/>
      <c r="E3010" s="58"/>
      <c r="F3010" s="58"/>
      <c r="G3010" s="58"/>
    </row>
    <row r="3011">
      <c r="D3011" s="58"/>
      <c r="E3011" s="58"/>
      <c r="F3011" s="58"/>
      <c r="G3011" s="58"/>
    </row>
    <row r="3012">
      <c r="D3012" s="58"/>
      <c r="E3012" s="58"/>
      <c r="F3012" s="58"/>
      <c r="G3012" s="58"/>
    </row>
    <row r="3013">
      <c r="D3013" s="58"/>
      <c r="E3013" s="58"/>
      <c r="F3013" s="58"/>
      <c r="G3013" s="58"/>
    </row>
    <row r="3014">
      <c r="D3014" s="58"/>
      <c r="E3014" s="58"/>
      <c r="F3014" s="58"/>
      <c r="G3014" s="58"/>
    </row>
    <row r="3015">
      <c r="D3015" s="58"/>
      <c r="E3015" s="58"/>
      <c r="F3015" s="58"/>
      <c r="G3015" s="58"/>
    </row>
    <row r="3016">
      <c r="D3016" s="58"/>
      <c r="E3016" s="58"/>
      <c r="F3016" s="58"/>
      <c r="G3016" s="58"/>
    </row>
    <row r="3017">
      <c r="D3017" s="58"/>
      <c r="E3017" s="58"/>
      <c r="F3017" s="58"/>
      <c r="G3017" s="58"/>
    </row>
    <row r="3018">
      <c r="D3018" s="58"/>
      <c r="E3018" s="58"/>
      <c r="F3018" s="58"/>
      <c r="G3018" s="58"/>
    </row>
    <row r="3019">
      <c r="D3019" s="58"/>
      <c r="E3019" s="58"/>
      <c r="F3019" s="58"/>
      <c r="G3019" s="58"/>
    </row>
    <row r="3020">
      <c r="D3020" s="58"/>
      <c r="E3020" s="58"/>
      <c r="F3020" s="58"/>
      <c r="G3020" s="58"/>
    </row>
    <row r="3021">
      <c r="D3021" s="58"/>
      <c r="E3021" s="58"/>
      <c r="F3021" s="58"/>
      <c r="G3021" s="58"/>
    </row>
    <row r="3022">
      <c r="D3022" s="58"/>
      <c r="E3022" s="58"/>
      <c r="F3022" s="58"/>
      <c r="G3022" s="58"/>
    </row>
    <row r="3023">
      <c r="D3023" s="58"/>
      <c r="E3023" s="58"/>
      <c r="F3023" s="58"/>
      <c r="G3023" s="58"/>
    </row>
    <row r="3024">
      <c r="D3024" s="58"/>
      <c r="E3024" s="58"/>
      <c r="F3024" s="58"/>
      <c r="G3024" s="58"/>
    </row>
    <row r="3025">
      <c r="D3025" s="58"/>
      <c r="E3025" s="58"/>
      <c r="F3025" s="58"/>
      <c r="G3025" s="58"/>
    </row>
    <row r="3026">
      <c r="D3026" s="58"/>
      <c r="E3026" s="58"/>
      <c r="F3026" s="58"/>
      <c r="G3026" s="58"/>
    </row>
    <row r="3027">
      <c r="D3027" s="58"/>
      <c r="E3027" s="58"/>
      <c r="F3027" s="58"/>
      <c r="G3027" s="58"/>
    </row>
    <row r="3028">
      <c r="D3028" s="58"/>
      <c r="E3028" s="58"/>
      <c r="F3028" s="58"/>
      <c r="G3028" s="58"/>
    </row>
    <row r="3029">
      <c r="D3029" s="58"/>
      <c r="E3029" s="58"/>
      <c r="F3029" s="58"/>
      <c r="G3029" s="58"/>
    </row>
    <row r="3030">
      <c r="D3030" s="58"/>
      <c r="E3030" s="58"/>
      <c r="F3030" s="58"/>
      <c r="G3030" s="58"/>
    </row>
    <row r="3031">
      <c r="D3031" s="58"/>
      <c r="E3031" s="58"/>
      <c r="F3031" s="58"/>
      <c r="G3031" s="58"/>
    </row>
    <row r="3032">
      <c r="D3032" s="58"/>
      <c r="E3032" s="58"/>
      <c r="F3032" s="58"/>
      <c r="G3032" s="58"/>
    </row>
    <row r="3033">
      <c r="D3033" s="58"/>
      <c r="E3033" s="58"/>
      <c r="F3033" s="58"/>
      <c r="G3033" s="58"/>
    </row>
    <row r="3034">
      <c r="D3034" s="58"/>
      <c r="E3034" s="58"/>
      <c r="F3034" s="58"/>
      <c r="G3034" s="58"/>
    </row>
    <row r="3035">
      <c r="D3035" s="58"/>
      <c r="E3035" s="58"/>
      <c r="F3035" s="58"/>
      <c r="G3035" s="58"/>
    </row>
    <row r="3036">
      <c r="D3036" s="58"/>
      <c r="E3036" s="58"/>
      <c r="F3036" s="58"/>
      <c r="G3036" s="58"/>
    </row>
    <row r="3037">
      <c r="D3037" s="58"/>
      <c r="E3037" s="58"/>
      <c r="F3037" s="58"/>
      <c r="G3037" s="58"/>
    </row>
    <row r="3038">
      <c r="D3038" s="58"/>
      <c r="E3038" s="58"/>
      <c r="F3038" s="58"/>
      <c r="G3038" s="58"/>
    </row>
    <row r="3039">
      <c r="D3039" s="58"/>
      <c r="E3039" s="58"/>
      <c r="F3039" s="58"/>
      <c r="G3039" s="58"/>
    </row>
    <row r="3040">
      <c r="D3040" s="58"/>
      <c r="E3040" s="58"/>
      <c r="F3040" s="58"/>
      <c r="G3040" s="58"/>
    </row>
    <row r="3041">
      <c r="D3041" s="58"/>
      <c r="E3041" s="58"/>
      <c r="F3041" s="58"/>
      <c r="G3041" s="58"/>
    </row>
    <row r="3042">
      <c r="D3042" s="58"/>
      <c r="E3042" s="58"/>
      <c r="F3042" s="58"/>
      <c r="G3042" s="58"/>
    </row>
    <row r="3043">
      <c r="D3043" s="58"/>
      <c r="E3043" s="58"/>
      <c r="F3043" s="58"/>
      <c r="G3043" s="58"/>
    </row>
    <row r="3044">
      <c r="D3044" s="58"/>
      <c r="E3044" s="58"/>
      <c r="F3044" s="58"/>
      <c r="G3044" s="58"/>
    </row>
    <row r="3045">
      <c r="D3045" s="58"/>
      <c r="E3045" s="58"/>
      <c r="F3045" s="58"/>
      <c r="G3045" s="58"/>
    </row>
    <row r="3046">
      <c r="D3046" s="58"/>
      <c r="E3046" s="58"/>
      <c r="F3046" s="58"/>
      <c r="G3046" s="58"/>
    </row>
    <row r="3047">
      <c r="D3047" s="58"/>
      <c r="E3047" s="58"/>
      <c r="F3047" s="58"/>
      <c r="G3047" s="58"/>
    </row>
    <row r="3048">
      <c r="D3048" s="58"/>
      <c r="E3048" s="58"/>
      <c r="F3048" s="58"/>
      <c r="G3048" s="58"/>
    </row>
    <row r="3049">
      <c r="D3049" s="58"/>
      <c r="E3049" s="58"/>
      <c r="F3049" s="58"/>
      <c r="G3049" s="58"/>
    </row>
    <row r="3050">
      <c r="D3050" s="58"/>
      <c r="E3050" s="58"/>
      <c r="F3050" s="58"/>
      <c r="G3050" s="58"/>
    </row>
    <row r="3051">
      <c r="D3051" s="58"/>
      <c r="E3051" s="58"/>
      <c r="F3051" s="58"/>
      <c r="G3051" s="58"/>
    </row>
    <row r="3052">
      <c r="D3052" s="58"/>
      <c r="E3052" s="58"/>
      <c r="F3052" s="58"/>
      <c r="G3052" s="58"/>
    </row>
    <row r="3053">
      <c r="D3053" s="58"/>
      <c r="E3053" s="58"/>
      <c r="F3053" s="58"/>
      <c r="G3053" s="58"/>
    </row>
    <row r="3054">
      <c r="D3054" s="58"/>
      <c r="E3054" s="58"/>
      <c r="F3054" s="58"/>
      <c r="G3054" s="58"/>
    </row>
    <row r="3055">
      <c r="D3055" s="58"/>
      <c r="E3055" s="58"/>
      <c r="F3055" s="58"/>
      <c r="G3055" s="58"/>
    </row>
    <row r="3056">
      <c r="D3056" s="58"/>
      <c r="E3056" s="58"/>
      <c r="F3056" s="58"/>
      <c r="G3056" s="58"/>
    </row>
    <row r="3057">
      <c r="D3057" s="58"/>
      <c r="E3057" s="58"/>
      <c r="F3057" s="58"/>
      <c r="G3057" s="58"/>
    </row>
    <row r="3058">
      <c r="D3058" s="58"/>
      <c r="E3058" s="58"/>
      <c r="F3058" s="58"/>
      <c r="G3058" s="58"/>
    </row>
    <row r="3059">
      <c r="D3059" s="58"/>
      <c r="E3059" s="58"/>
      <c r="F3059" s="58"/>
      <c r="G3059" s="58"/>
    </row>
    <row r="3060">
      <c r="D3060" s="58"/>
      <c r="E3060" s="58"/>
      <c r="F3060" s="58"/>
      <c r="G3060" s="58"/>
    </row>
    <row r="3061">
      <c r="D3061" s="58"/>
      <c r="E3061" s="58"/>
      <c r="F3061" s="58"/>
      <c r="G3061" s="58"/>
    </row>
    <row r="3062">
      <c r="D3062" s="58"/>
      <c r="E3062" s="58"/>
      <c r="F3062" s="58"/>
      <c r="G3062" s="58"/>
    </row>
    <row r="3063">
      <c r="D3063" s="58"/>
      <c r="E3063" s="58"/>
      <c r="F3063" s="58"/>
      <c r="G3063" s="58"/>
    </row>
    <row r="3064">
      <c r="D3064" s="58"/>
      <c r="E3064" s="58"/>
      <c r="F3064" s="58"/>
      <c r="G3064" s="58"/>
    </row>
    <row r="3065">
      <c r="D3065" s="58"/>
      <c r="E3065" s="58"/>
      <c r="F3065" s="58"/>
      <c r="G3065" s="58"/>
    </row>
    <row r="3066">
      <c r="D3066" s="58"/>
      <c r="E3066" s="58"/>
      <c r="F3066" s="58"/>
      <c r="G3066" s="58"/>
    </row>
    <row r="3067">
      <c r="D3067" s="58"/>
      <c r="E3067" s="58"/>
      <c r="F3067" s="58"/>
      <c r="G3067" s="58"/>
    </row>
    <row r="3068">
      <c r="D3068" s="58"/>
      <c r="E3068" s="58"/>
      <c r="F3068" s="58"/>
      <c r="G3068" s="58"/>
    </row>
    <row r="3069">
      <c r="D3069" s="58"/>
      <c r="E3069" s="58"/>
      <c r="F3069" s="58"/>
      <c r="G3069" s="58"/>
    </row>
    <row r="3070">
      <c r="D3070" s="58"/>
      <c r="E3070" s="58"/>
      <c r="F3070" s="58"/>
      <c r="G3070" s="58"/>
    </row>
    <row r="3071">
      <c r="D3071" s="58"/>
      <c r="E3071" s="58"/>
      <c r="F3071" s="58"/>
      <c r="G3071" s="58"/>
    </row>
    <row r="3072">
      <c r="D3072" s="58"/>
      <c r="E3072" s="58"/>
      <c r="F3072" s="58"/>
      <c r="G3072" s="58"/>
    </row>
    <row r="3073">
      <c r="D3073" s="58"/>
      <c r="E3073" s="58"/>
      <c r="F3073" s="58"/>
      <c r="G3073" s="58"/>
    </row>
    <row r="3074">
      <c r="D3074" s="58"/>
      <c r="E3074" s="58"/>
      <c r="F3074" s="58"/>
      <c r="G3074" s="58"/>
    </row>
    <row r="3075">
      <c r="D3075" s="58"/>
      <c r="E3075" s="58"/>
      <c r="F3075" s="58"/>
      <c r="G3075" s="58"/>
    </row>
    <row r="3076">
      <c r="D3076" s="58"/>
      <c r="E3076" s="58"/>
      <c r="F3076" s="58"/>
      <c r="G3076" s="58"/>
    </row>
    <row r="3077">
      <c r="D3077" s="58"/>
      <c r="E3077" s="58"/>
      <c r="F3077" s="58"/>
      <c r="G3077" s="58"/>
    </row>
    <row r="3078">
      <c r="D3078" s="58"/>
      <c r="E3078" s="58"/>
      <c r="F3078" s="58"/>
      <c r="G3078" s="58"/>
    </row>
    <row r="3079">
      <c r="D3079" s="58"/>
      <c r="E3079" s="58"/>
      <c r="F3079" s="58"/>
      <c r="G3079" s="58"/>
    </row>
    <row r="3080">
      <c r="D3080" s="58"/>
      <c r="E3080" s="58"/>
      <c r="F3080" s="58"/>
      <c r="G3080" s="58"/>
    </row>
    <row r="3081">
      <c r="D3081" s="58"/>
      <c r="E3081" s="58"/>
      <c r="F3081" s="58"/>
      <c r="G3081" s="58"/>
    </row>
    <row r="3082">
      <c r="D3082" s="58"/>
      <c r="E3082" s="58"/>
      <c r="F3082" s="58"/>
      <c r="G3082" s="58"/>
    </row>
    <row r="3083">
      <c r="D3083" s="58"/>
      <c r="E3083" s="58"/>
      <c r="F3083" s="58"/>
      <c r="G3083" s="58"/>
    </row>
    <row r="3084">
      <c r="D3084" s="58"/>
      <c r="E3084" s="58"/>
      <c r="F3084" s="58"/>
      <c r="G3084" s="58"/>
    </row>
    <row r="3085">
      <c r="D3085" s="58"/>
      <c r="E3085" s="58"/>
      <c r="F3085" s="58"/>
      <c r="G3085" s="58"/>
    </row>
    <row r="3086">
      <c r="D3086" s="58"/>
      <c r="E3086" s="58"/>
      <c r="F3086" s="58"/>
      <c r="G3086" s="58"/>
    </row>
    <row r="3087">
      <c r="D3087" s="58"/>
      <c r="E3087" s="58"/>
      <c r="F3087" s="58"/>
      <c r="G3087" s="58"/>
    </row>
    <row r="3088">
      <c r="D3088" s="58"/>
      <c r="E3088" s="58"/>
      <c r="F3088" s="58"/>
      <c r="G3088" s="58"/>
    </row>
    <row r="3089">
      <c r="D3089" s="58"/>
      <c r="E3089" s="58"/>
      <c r="F3089" s="58"/>
      <c r="G3089" s="58"/>
    </row>
    <row r="3090">
      <c r="D3090" s="58"/>
      <c r="E3090" s="58"/>
      <c r="F3090" s="58"/>
      <c r="G3090" s="58"/>
    </row>
    <row r="3091">
      <c r="D3091" s="58"/>
      <c r="E3091" s="58"/>
      <c r="F3091" s="58"/>
      <c r="G3091" s="58"/>
    </row>
    <row r="3092">
      <c r="D3092" s="58"/>
      <c r="E3092" s="58"/>
      <c r="F3092" s="58"/>
      <c r="G3092" s="58"/>
    </row>
    <row r="3093">
      <c r="D3093" s="58"/>
      <c r="E3093" s="58"/>
      <c r="F3093" s="58"/>
      <c r="G3093" s="58"/>
    </row>
    <row r="3094">
      <c r="D3094" s="58"/>
      <c r="E3094" s="58"/>
      <c r="F3094" s="58"/>
      <c r="G3094" s="58"/>
    </row>
    <row r="3095">
      <c r="D3095" s="58"/>
      <c r="E3095" s="58"/>
      <c r="F3095" s="58"/>
      <c r="G3095" s="58"/>
    </row>
    <row r="3096">
      <c r="D3096" s="58"/>
      <c r="E3096" s="58"/>
      <c r="F3096" s="58"/>
      <c r="G3096" s="58"/>
    </row>
    <row r="3097">
      <c r="D3097" s="58"/>
      <c r="E3097" s="58"/>
      <c r="F3097" s="58"/>
      <c r="G3097" s="58"/>
    </row>
    <row r="3098">
      <c r="D3098" s="58"/>
      <c r="E3098" s="58"/>
      <c r="F3098" s="58"/>
      <c r="G3098" s="58"/>
    </row>
    <row r="3099">
      <c r="D3099" s="58"/>
      <c r="E3099" s="58"/>
      <c r="F3099" s="58"/>
      <c r="G3099" s="58"/>
    </row>
    <row r="3100">
      <c r="D3100" s="58"/>
      <c r="E3100" s="58"/>
      <c r="F3100" s="58"/>
      <c r="G3100" s="58"/>
    </row>
    <row r="3101">
      <c r="D3101" s="58"/>
      <c r="E3101" s="58"/>
      <c r="F3101" s="58"/>
      <c r="G3101" s="58"/>
    </row>
    <row r="3102">
      <c r="D3102" s="58"/>
      <c r="E3102" s="58"/>
      <c r="F3102" s="58"/>
      <c r="G3102" s="58"/>
    </row>
    <row r="3103">
      <c r="D3103" s="58"/>
      <c r="E3103" s="58"/>
      <c r="F3103" s="58"/>
      <c r="G3103" s="58"/>
    </row>
    <row r="3104">
      <c r="D3104" s="58"/>
      <c r="E3104" s="58"/>
      <c r="F3104" s="58"/>
      <c r="G3104" s="58"/>
    </row>
    <row r="3105">
      <c r="D3105" s="58"/>
      <c r="E3105" s="58"/>
      <c r="F3105" s="58"/>
      <c r="G3105" s="58"/>
    </row>
    <row r="3106">
      <c r="D3106" s="58"/>
      <c r="E3106" s="58"/>
      <c r="F3106" s="58"/>
      <c r="G3106" s="58"/>
    </row>
    <row r="3107">
      <c r="D3107" s="58"/>
      <c r="E3107" s="58"/>
      <c r="F3107" s="58"/>
      <c r="G3107" s="58"/>
    </row>
    <row r="3108">
      <c r="D3108" s="58"/>
      <c r="E3108" s="58"/>
      <c r="F3108" s="58"/>
      <c r="G3108" s="58"/>
    </row>
    <row r="3109">
      <c r="D3109" s="58"/>
      <c r="E3109" s="58"/>
      <c r="F3109" s="58"/>
      <c r="G3109" s="58"/>
    </row>
    <row r="3110">
      <c r="D3110" s="58"/>
      <c r="E3110" s="58"/>
      <c r="F3110" s="58"/>
      <c r="G3110" s="58"/>
    </row>
    <row r="3111">
      <c r="D3111" s="58"/>
      <c r="E3111" s="58"/>
      <c r="F3111" s="58"/>
      <c r="G3111" s="58"/>
    </row>
    <row r="3112">
      <c r="D3112" s="58"/>
      <c r="E3112" s="58"/>
      <c r="F3112" s="58"/>
      <c r="G3112" s="58"/>
    </row>
    <row r="3113">
      <c r="D3113" s="58"/>
      <c r="E3113" s="58"/>
      <c r="F3113" s="58"/>
      <c r="G3113" s="58"/>
    </row>
    <row r="3114">
      <c r="D3114" s="58"/>
      <c r="E3114" s="58"/>
      <c r="F3114" s="58"/>
      <c r="G3114" s="58"/>
    </row>
    <row r="3115">
      <c r="D3115" s="58"/>
      <c r="E3115" s="58"/>
      <c r="F3115" s="58"/>
      <c r="G3115" s="58"/>
    </row>
    <row r="3116">
      <c r="D3116" s="58"/>
      <c r="E3116" s="58"/>
      <c r="F3116" s="58"/>
      <c r="G3116" s="58"/>
    </row>
    <row r="3117">
      <c r="D3117" s="58"/>
      <c r="E3117" s="58"/>
      <c r="F3117" s="58"/>
      <c r="G3117" s="58"/>
    </row>
    <row r="3118">
      <c r="D3118" s="58"/>
      <c r="E3118" s="58"/>
      <c r="F3118" s="58"/>
      <c r="G3118" s="58"/>
    </row>
    <row r="3119">
      <c r="D3119" s="58"/>
      <c r="E3119" s="58"/>
      <c r="F3119" s="58"/>
      <c r="G3119" s="58"/>
    </row>
    <row r="3120">
      <c r="D3120" s="58"/>
      <c r="E3120" s="58"/>
      <c r="F3120" s="58"/>
      <c r="G3120" s="58"/>
    </row>
    <row r="3121">
      <c r="D3121" s="58"/>
      <c r="E3121" s="58"/>
      <c r="F3121" s="58"/>
      <c r="G3121" s="58"/>
    </row>
    <row r="3122">
      <c r="D3122" s="58"/>
      <c r="E3122" s="58"/>
      <c r="F3122" s="58"/>
      <c r="G3122" s="58"/>
    </row>
    <row r="3123">
      <c r="D3123" s="58"/>
      <c r="E3123" s="58"/>
      <c r="F3123" s="58"/>
      <c r="G3123" s="58"/>
    </row>
    <row r="3124">
      <c r="D3124" s="58"/>
      <c r="E3124" s="58"/>
      <c r="F3124" s="58"/>
      <c r="G3124" s="58"/>
    </row>
    <row r="3125">
      <c r="D3125" s="58"/>
      <c r="E3125" s="58"/>
      <c r="F3125" s="58"/>
      <c r="G3125" s="58"/>
    </row>
    <row r="3126">
      <c r="D3126" s="58"/>
      <c r="E3126" s="58"/>
      <c r="F3126" s="58"/>
      <c r="G3126" s="58"/>
    </row>
    <row r="3127">
      <c r="D3127" s="58"/>
      <c r="E3127" s="58"/>
      <c r="F3127" s="58"/>
      <c r="G3127" s="58"/>
    </row>
    <row r="3128">
      <c r="D3128" s="58"/>
      <c r="E3128" s="58"/>
      <c r="F3128" s="58"/>
      <c r="G3128" s="58"/>
    </row>
    <row r="3129">
      <c r="D3129" s="58"/>
      <c r="E3129" s="58"/>
      <c r="F3129" s="58"/>
      <c r="G3129" s="58"/>
    </row>
    <row r="3130">
      <c r="D3130" s="58"/>
      <c r="E3130" s="58"/>
      <c r="F3130" s="58"/>
      <c r="G3130" s="58"/>
    </row>
    <row r="3131">
      <c r="D3131" s="58"/>
      <c r="E3131" s="58"/>
      <c r="F3131" s="58"/>
      <c r="G3131" s="58"/>
    </row>
    <row r="3132">
      <c r="D3132" s="58"/>
      <c r="E3132" s="58"/>
      <c r="F3132" s="58"/>
      <c r="G3132" s="58"/>
    </row>
    <row r="3133">
      <c r="D3133" s="58"/>
      <c r="E3133" s="58"/>
      <c r="F3133" s="58"/>
      <c r="G3133" s="58"/>
    </row>
    <row r="3134">
      <c r="D3134" s="58"/>
      <c r="E3134" s="58"/>
      <c r="F3134" s="58"/>
      <c r="G3134" s="58"/>
    </row>
    <row r="3135">
      <c r="D3135" s="58"/>
      <c r="E3135" s="58"/>
      <c r="F3135" s="58"/>
      <c r="G3135" s="58"/>
    </row>
    <row r="3136">
      <c r="D3136" s="58"/>
      <c r="E3136" s="58"/>
      <c r="F3136" s="58"/>
      <c r="G3136" s="58"/>
    </row>
    <row r="3137">
      <c r="D3137" s="58"/>
      <c r="E3137" s="58"/>
      <c r="F3137" s="58"/>
      <c r="G3137" s="58"/>
    </row>
    <row r="3138">
      <c r="D3138" s="58"/>
      <c r="E3138" s="58"/>
      <c r="F3138" s="58"/>
      <c r="G3138" s="58"/>
    </row>
    <row r="3139">
      <c r="D3139" s="58"/>
      <c r="E3139" s="58"/>
      <c r="F3139" s="58"/>
      <c r="G3139" s="58"/>
    </row>
    <row r="3140">
      <c r="D3140" s="58"/>
      <c r="E3140" s="58"/>
      <c r="F3140" s="58"/>
      <c r="G3140" s="58"/>
    </row>
    <row r="3141">
      <c r="D3141" s="58"/>
      <c r="E3141" s="58"/>
      <c r="F3141" s="58"/>
      <c r="G3141" s="58"/>
    </row>
    <row r="3142">
      <c r="D3142" s="58"/>
      <c r="E3142" s="58"/>
      <c r="F3142" s="58"/>
      <c r="G3142" s="58"/>
    </row>
    <row r="3143">
      <c r="D3143" s="58"/>
      <c r="E3143" s="58"/>
      <c r="F3143" s="58"/>
      <c r="G3143" s="58"/>
    </row>
    <row r="3144">
      <c r="D3144" s="58"/>
      <c r="E3144" s="58"/>
      <c r="F3144" s="58"/>
      <c r="G3144" s="58"/>
    </row>
    <row r="3145">
      <c r="D3145" s="58"/>
      <c r="E3145" s="58"/>
      <c r="F3145" s="58"/>
      <c r="G3145" s="58"/>
    </row>
    <row r="3146">
      <c r="D3146" s="58"/>
      <c r="E3146" s="58"/>
      <c r="F3146" s="58"/>
      <c r="G3146" s="58"/>
    </row>
    <row r="3147">
      <c r="D3147" s="58"/>
      <c r="E3147" s="58"/>
      <c r="F3147" s="58"/>
      <c r="G3147" s="58"/>
    </row>
    <row r="3148">
      <c r="D3148" s="58"/>
      <c r="E3148" s="58"/>
      <c r="F3148" s="58"/>
      <c r="G3148" s="58"/>
    </row>
    <row r="3149">
      <c r="D3149" s="58"/>
      <c r="E3149" s="58"/>
      <c r="F3149" s="58"/>
      <c r="G3149" s="58"/>
    </row>
    <row r="3150">
      <c r="D3150" s="58"/>
      <c r="E3150" s="58"/>
      <c r="F3150" s="58"/>
      <c r="G3150" s="58"/>
    </row>
    <row r="3151">
      <c r="D3151" s="58"/>
      <c r="E3151" s="58"/>
      <c r="F3151" s="58"/>
      <c r="G3151" s="58"/>
    </row>
    <row r="3152">
      <c r="D3152" s="58"/>
      <c r="E3152" s="58"/>
      <c r="F3152" s="58"/>
      <c r="G3152" s="58"/>
    </row>
    <row r="3153">
      <c r="D3153" s="58"/>
      <c r="E3153" s="58"/>
      <c r="F3153" s="58"/>
      <c r="G3153" s="58"/>
    </row>
    <row r="3154">
      <c r="D3154" s="58"/>
      <c r="E3154" s="58"/>
      <c r="F3154" s="58"/>
      <c r="G3154" s="58"/>
    </row>
    <row r="3155">
      <c r="D3155" s="58"/>
      <c r="E3155" s="58"/>
      <c r="F3155" s="58"/>
      <c r="G3155" s="58"/>
    </row>
    <row r="3156">
      <c r="D3156" s="58"/>
      <c r="E3156" s="58"/>
      <c r="F3156" s="58"/>
      <c r="G3156" s="58"/>
    </row>
    <row r="3157">
      <c r="D3157" s="58"/>
      <c r="E3157" s="58"/>
      <c r="F3157" s="58"/>
      <c r="G3157" s="58"/>
    </row>
    <row r="3158">
      <c r="D3158" s="58"/>
      <c r="E3158" s="58"/>
      <c r="F3158" s="58"/>
      <c r="G3158" s="58"/>
    </row>
    <row r="3159">
      <c r="D3159" s="58"/>
      <c r="E3159" s="58"/>
      <c r="F3159" s="58"/>
      <c r="G3159" s="58"/>
    </row>
    <row r="3160">
      <c r="D3160" s="58"/>
      <c r="E3160" s="58"/>
      <c r="F3160" s="58"/>
      <c r="G3160" s="58"/>
    </row>
    <row r="3161">
      <c r="D3161" s="58"/>
      <c r="E3161" s="58"/>
      <c r="F3161" s="58"/>
      <c r="G3161" s="58"/>
    </row>
    <row r="3162">
      <c r="D3162" s="58"/>
      <c r="E3162" s="58"/>
      <c r="F3162" s="58"/>
      <c r="G3162" s="58"/>
    </row>
    <row r="3163">
      <c r="D3163" s="58"/>
      <c r="E3163" s="58"/>
      <c r="F3163" s="58"/>
      <c r="G3163" s="58"/>
    </row>
    <row r="3164">
      <c r="D3164" s="58"/>
      <c r="E3164" s="58"/>
      <c r="F3164" s="58"/>
      <c r="G3164" s="58"/>
    </row>
    <row r="3165">
      <c r="D3165" s="58"/>
      <c r="E3165" s="58"/>
      <c r="F3165" s="58"/>
      <c r="G3165" s="58"/>
    </row>
    <row r="3166">
      <c r="D3166" s="58"/>
      <c r="E3166" s="58"/>
      <c r="F3166" s="58"/>
      <c r="G3166" s="58"/>
    </row>
    <row r="3167">
      <c r="D3167" s="58"/>
      <c r="E3167" s="58"/>
      <c r="F3167" s="58"/>
      <c r="G3167" s="58"/>
    </row>
    <row r="3168">
      <c r="D3168" s="58"/>
      <c r="E3168" s="58"/>
      <c r="F3168" s="58"/>
      <c r="G3168" s="58"/>
    </row>
    <row r="3169">
      <c r="D3169" s="58"/>
      <c r="E3169" s="58"/>
      <c r="F3169" s="58"/>
      <c r="G3169" s="58"/>
    </row>
    <row r="3170">
      <c r="D3170" s="58"/>
      <c r="E3170" s="58"/>
      <c r="F3170" s="58"/>
      <c r="G3170" s="58"/>
    </row>
    <row r="3171">
      <c r="D3171" s="58"/>
      <c r="E3171" s="58"/>
      <c r="F3171" s="58"/>
      <c r="G3171" s="58"/>
    </row>
    <row r="3172">
      <c r="D3172" s="58"/>
      <c r="E3172" s="58"/>
      <c r="F3172" s="58"/>
      <c r="G3172" s="58"/>
    </row>
    <row r="3173">
      <c r="D3173" s="58"/>
      <c r="E3173" s="58"/>
      <c r="F3173" s="58"/>
      <c r="G3173" s="58"/>
    </row>
    <row r="3174">
      <c r="D3174" s="58"/>
      <c r="E3174" s="58"/>
      <c r="F3174" s="58"/>
      <c r="G3174" s="58"/>
    </row>
    <row r="3175">
      <c r="D3175" s="58"/>
      <c r="E3175" s="58"/>
      <c r="F3175" s="58"/>
      <c r="G3175" s="58"/>
    </row>
    <row r="3176">
      <c r="D3176" s="58"/>
      <c r="E3176" s="58"/>
      <c r="F3176" s="58"/>
      <c r="G3176" s="58"/>
    </row>
    <row r="3177">
      <c r="D3177" s="58"/>
      <c r="E3177" s="58"/>
      <c r="F3177" s="58"/>
      <c r="G3177" s="58"/>
    </row>
    <row r="3178">
      <c r="D3178" s="58"/>
      <c r="E3178" s="58"/>
      <c r="F3178" s="58"/>
      <c r="G3178" s="58"/>
    </row>
    <row r="3179">
      <c r="D3179" s="58"/>
      <c r="E3179" s="58"/>
      <c r="F3179" s="58"/>
      <c r="G3179" s="58"/>
    </row>
    <row r="3180">
      <c r="D3180" s="58"/>
      <c r="E3180" s="58"/>
      <c r="F3180" s="58"/>
      <c r="G3180" s="58"/>
    </row>
    <row r="3181">
      <c r="D3181" s="58"/>
      <c r="E3181" s="58"/>
      <c r="F3181" s="58"/>
      <c r="G3181" s="58"/>
    </row>
    <row r="3182">
      <c r="D3182" s="58"/>
      <c r="E3182" s="58"/>
      <c r="F3182" s="58"/>
      <c r="G3182" s="58"/>
    </row>
    <row r="3183">
      <c r="D3183" s="58"/>
      <c r="E3183" s="58"/>
      <c r="F3183" s="58"/>
      <c r="G3183" s="58"/>
    </row>
    <row r="3184">
      <c r="D3184" s="58"/>
      <c r="E3184" s="58"/>
      <c r="F3184" s="58"/>
      <c r="G3184" s="58"/>
    </row>
    <row r="3185">
      <c r="D3185" s="58"/>
      <c r="E3185" s="58"/>
      <c r="F3185" s="58"/>
      <c r="G3185" s="58"/>
    </row>
    <row r="3186">
      <c r="D3186" s="58"/>
      <c r="E3186" s="58"/>
      <c r="F3186" s="58"/>
      <c r="G3186" s="58"/>
    </row>
    <row r="3187">
      <c r="D3187" s="58"/>
      <c r="E3187" s="58"/>
      <c r="F3187" s="58"/>
      <c r="G3187" s="58"/>
    </row>
    <row r="3188">
      <c r="D3188" s="58"/>
      <c r="E3188" s="58"/>
      <c r="F3188" s="58"/>
      <c r="G3188" s="58"/>
    </row>
    <row r="3189">
      <c r="D3189" s="58"/>
      <c r="E3189" s="58"/>
      <c r="F3189" s="58"/>
      <c r="G3189" s="58"/>
    </row>
    <row r="3190">
      <c r="D3190" s="58"/>
      <c r="E3190" s="58"/>
      <c r="F3190" s="58"/>
      <c r="G3190" s="58"/>
    </row>
    <row r="3191">
      <c r="D3191" s="58"/>
      <c r="E3191" s="58"/>
      <c r="F3191" s="58"/>
      <c r="G3191" s="58"/>
    </row>
    <row r="3192">
      <c r="D3192" s="58"/>
      <c r="E3192" s="58"/>
      <c r="F3192" s="58"/>
      <c r="G3192" s="58"/>
    </row>
    <row r="3193">
      <c r="D3193" s="58"/>
      <c r="E3193" s="58"/>
      <c r="F3193" s="58"/>
      <c r="G3193" s="58"/>
    </row>
    <row r="3194">
      <c r="D3194" s="58"/>
      <c r="E3194" s="58"/>
      <c r="F3194" s="58"/>
      <c r="G3194" s="58"/>
    </row>
    <row r="3195">
      <c r="D3195" s="58"/>
      <c r="E3195" s="58"/>
      <c r="F3195" s="58"/>
      <c r="G3195" s="58"/>
    </row>
    <row r="3196">
      <c r="D3196" s="58"/>
      <c r="E3196" s="58"/>
      <c r="F3196" s="58"/>
      <c r="G3196" s="58"/>
    </row>
    <row r="3197">
      <c r="D3197" s="58"/>
      <c r="E3197" s="58"/>
      <c r="F3197" s="58"/>
      <c r="G3197" s="58"/>
    </row>
    <row r="3198">
      <c r="D3198" s="58"/>
      <c r="E3198" s="58"/>
      <c r="F3198" s="58"/>
      <c r="G3198" s="58"/>
    </row>
    <row r="3199">
      <c r="D3199" s="58"/>
      <c r="E3199" s="58"/>
      <c r="F3199" s="58"/>
      <c r="G3199" s="58"/>
    </row>
    <row r="3200">
      <c r="D3200" s="58"/>
      <c r="E3200" s="58"/>
      <c r="F3200" s="58"/>
      <c r="G3200" s="58"/>
    </row>
    <row r="3201">
      <c r="D3201" s="58"/>
      <c r="E3201" s="58"/>
      <c r="F3201" s="58"/>
      <c r="G3201" s="58"/>
    </row>
    <row r="3202">
      <c r="D3202" s="58"/>
      <c r="E3202" s="58"/>
      <c r="F3202" s="58"/>
      <c r="G3202" s="58"/>
    </row>
    <row r="3203">
      <c r="D3203" s="58"/>
      <c r="E3203" s="58"/>
      <c r="F3203" s="58"/>
      <c r="G3203" s="58"/>
    </row>
    <row r="3204">
      <c r="D3204" s="58"/>
      <c r="E3204" s="58"/>
      <c r="F3204" s="58"/>
      <c r="G3204" s="58"/>
    </row>
    <row r="3205">
      <c r="D3205" s="58"/>
      <c r="E3205" s="58"/>
      <c r="F3205" s="58"/>
      <c r="G3205" s="58"/>
    </row>
    <row r="3206">
      <c r="D3206" s="58"/>
      <c r="E3206" s="58"/>
      <c r="F3206" s="58"/>
      <c r="G3206" s="58"/>
    </row>
    <row r="3207">
      <c r="D3207" s="58"/>
      <c r="E3207" s="58"/>
      <c r="F3207" s="58"/>
      <c r="G3207" s="58"/>
    </row>
    <row r="3208">
      <c r="D3208" s="58"/>
      <c r="E3208" s="58"/>
      <c r="F3208" s="58"/>
      <c r="G3208" s="58"/>
    </row>
    <row r="3209">
      <c r="D3209" s="58"/>
      <c r="E3209" s="58"/>
      <c r="F3209" s="58"/>
      <c r="G3209" s="58"/>
    </row>
    <row r="3210">
      <c r="D3210" s="58"/>
      <c r="E3210" s="58"/>
      <c r="F3210" s="58"/>
      <c r="G3210" s="58"/>
    </row>
    <row r="3211">
      <c r="D3211" s="58"/>
      <c r="E3211" s="58"/>
      <c r="F3211" s="58"/>
      <c r="G3211" s="58"/>
    </row>
    <row r="3212">
      <c r="D3212" s="58"/>
      <c r="E3212" s="58"/>
      <c r="F3212" s="58"/>
      <c r="G3212" s="58"/>
    </row>
    <row r="3213">
      <c r="D3213" s="58"/>
      <c r="E3213" s="58"/>
      <c r="F3213" s="58"/>
      <c r="G3213" s="58"/>
    </row>
    <row r="3214">
      <c r="D3214" s="58"/>
      <c r="E3214" s="58"/>
      <c r="F3214" s="58"/>
      <c r="G3214" s="58"/>
    </row>
    <row r="3215">
      <c r="D3215" s="58"/>
      <c r="E3215" s="58"/>
      <c r="F3215" s="58"/>
      <c r="G3215" s="58"/>
    </row>
    <row r="3216">
      <c r="D3216" s="58"/>
      <c r="E3216" s="58"/>
      <c r="F3216" s="58"/>
      <c r="G3216" s="58"/>
    </row>
    <row r="3217">
      <c r="D3217" s="58"/>
      <c r="E3217" s="58"/>
      <c r="F3217" s="58"/>
      <c r="G3217" s="58"/>
    </row>
    <row r="3218">
      <c r="D3218" s="58"/>
      <c r="E3218" s="58"/>
      <c r="F3218" s="58"/>
      <c r="G3218" s="58"/>
    </row>
    <row r="3219">
      <c r="D3219" s="58"/>
      <c r="E3219" s="58"/>
      <c r="F3219" s="58"/>
      <c r="G3219" s="58"/>
    </row>
    <row r="3220">
      <c r="D3220" s="58"/>
      <c r="E3220" s="58"/>
      <c r="F3220" s="58"/>
      <c r="G3220" s="58"/>
    </row>
    <row r="3221">
      <c r="D3221" s="58"/>
      <c r="E3221" s="58"/>
      <c r="F3221" s="58"/>
      <c r="G3221" s="58"/>
    </row>
    <row r="3222">
      <c r="D3222" s="58"/>
      <c r="E3222" s="58"/>
      <c r="F3222" s="58"/>
      <c r="G3222" s="58"/>
    </row>
    <row r="3223">
      <c r="D3223" s="58"/>
      <c r="E3223" s="58"/>
      <c r="F3223" s="58"/>
      <c r="G3223" s="58"/>
    </row>
    <row r="3224">
      <c r="D3224" s="58"/>
      <c r="E3224" s="58"/>
      <c r="F3224" s="58"/>
      <c r="G3224" s="58"/>
    </row>
    <row r="3225">
      <c r="D3225" s="58"/>
      <c r="E3225" s="58"/>
      <c r="F3225" s="58"/>
      <c r="G3225" s="58"/>
    </row>
    <row r="3226">
      <c r="D3226" s="58"/>
      <c r="E3226" s="58"/>
      <c r="F3226" s="58"/>
      <c r="G3226" s="58"/>
    </row>
    <row r="3227">
      <c r="D3227" s="58"/>
      <c r="E3227" s="58"/>
      <c r="F3227" s="58"/>
      <c r="G3227" s="58"/>
    </row>
    <row r="3228">
      <c r="D3228" s="58"/>
      <c r="E3228" s="58"/>
      <c r="F3228" s="58"/>
      <c r="G3228" s="58"/>
    </row>
    <row r="3229">
      <c r="D3229" s="58"/>
      <c r="E3229" s="58"/>
      <c r="F3229" s="58"/>
      <c r="G3229" s="58"/>
    </row>
    <row r="3230">
      <c r="D3230" s="58"/>
      <c r="E3230" s="58"/>
      <c r="F3230" s="58"/>
      <c r="G3230" s="58"/>
    </row>
    <row r="3231">
      <c r="D3231" s="58"/>
      <c r="E3231" s="58"/>
      <c r="F3231" s="58"/>
      <c r="G3231" s="58"/>
    </row>
    <row r="3232">
      <c r="D3232" s="58"/>
      <c r="E3232" s="58"/>
      <c r="F3232" s="58"/>
      <c r="G3232" s="58"/>
    </row>
    <row r="3233">
      <c r="D3233" s="58"/>
      <c r="E3233" s="58"/>
      <c r="F3233" s="58"/>
      <c r="G3233" s="58"/>
    </row>
    <row r="3234">
      <c r="D3234" s="58"/>
      <c r="E3234" s="58"/>
      <c r="F3234" s="58"/>
      <c r="G3234" s="58"/>
    </row>
    <row r="3235">
      <c r="D3235" s="58"/>
      <c r="E3235" s="58"/>
      <c r="F3235" s="58"/>
      <c r="G3235" s="58"/>
    </row>
    <row r="3236">
      <c r="D3236" s="58"/>
      <c r="E3236" s="58"/>
      <c r="F3236" s="58"/>
      <c r="G3236" s="58"/>
    </row>
    <row r="3237">
      <c r="D3237" s="58"/>
      <c r="E3237" s="58"/>
      <c r="F3237" s="58"/>
      <c r="G3237" s="58"/>
    </row>
    <row r="3238">
      <c r="D3238" s="58"/>
      <c r="E3238" s="58"/>
      <c r="F3238" s="58"/>
      <c r="G3238" s="58"/>
    </row>
    <row r="3239">
      <c r="D3239" s="58"/>
      <c r="E3239" s="58"/>
      <c r="F3239" s="58"/>
      <c r="G3239" s="58"/>
    </row>
    <row r="3240">
      <c r="D3240" s="58"/>
      <c r="E3240" s="58"/>
      <c r="F3240" s="58"/>
      <c r="G3240" s="58"/>
    </row>
    <row r="3241">
      <c r="D3241" s="58"/>
      <c r="E3241" s="58"/>
      <c r="F3241" s="58"/>
      <c r="G3241" s="58"/>
    </row>
    <row r="3242">
      <c r="D3242" s="58"/>
      <c r="E3242" s="58"/>
      <c r="F3242" s="58"/>
      <c r="G3242" s="58"/>
    </row>
    <row r="3243">
      <c r="D3243" s="58"/>
      <c r="E3243" s="58"/>
      <c r="F3243" s="58"/>
      <c r="G3243" s="58"/>
    </row>
    <row r="3244">
      <c r="D3244" s="58"/>
      <c r="E3244" s="58"/>
      <c r="F3244" s="58"/>
      <c r="G3244" s="58"/>
    </row>
    <row r="3245">
      <c r="D3245" s="58"/>
      <c r="E3245" s="58"/>
      <c r="F3245" s="58"/>
      <c r="G3245" s="58"/>
    </row>
    <row r="3246">
      <c r="D3246" s="58"/>
      <c r="E3246" s="58"/>
      <c r="F3246" s="58"/>
      <c r="G3246" s="58"/>
    </row>
    <row r="3247">
      <c r="D3247" s="58"/>
      <c r="E3247" s="58"/>
      <c r="F3247" s="58"/>
      <c r="G3247" s="58"/>
    </row>
    <row r="3248">
      <c r="D3248" s="58"/>
      <c r="E3248" s="58"/>
      <c r="F3248" s="58"/>
      <c r="G3248" s="58"/>
    </row>
    <row r="3249">
      <c r="D3249" s="58"/>
      <c r="E3249" s="58"/>
      <c r="F3249" s="58"/>
      <c r="G3249" s="58"/>
    </row>
    <row r="3250">
      <c r="D3250" s="58"/>
      <c r="E3250" s="58"/>
      <c r="F3250" s="58"/>
      <c r="G3250" s="58"/>
    </row>
    <row r="3251">
      <c r="D3251" s="58"/>
      <c r="E3251" s="58"/>
      <c r="F3251" s="58"/>
      <c r="G3251" s="58"/>
    </row>
    <row r="3252">
      <c r="D3252" s="58"/>
      <c r="E3252" s="58"/>
      <c r="F3252" s="58"/>
      <c r="G3252" s="58"/>
    </row>
    <row r="3253">
      <c r="D3253" s="58"/>
      <c r="E3253" s="58"/>
      <c r="F3253" s="58"/>
      <c r="G3253" s="58"/>
    </row>
    <row r="3254">
      <c r="D3254" s="58"/>
      <c r="E3254" s="58"/>
      <c r="F3254" s="58"/>
      <c r="G3254" s="58"/>
    </row>
    <row r="3255">
      <c r="D3255" s="58"/>
      <c r="E3255" s="58"/>
      <c r="F3255" s="58"/>
      <c r="G3255" s="58"/>
    </row>
    <row r="3256">
      <c r="D3256" s="58"/>
      <c r="E3256" s="58"/>
      <c r="F3256" s="58"/>
      <c r="G3256" s="58"/>
    </row>
    <row r="3257">
      <c r="D3257" s="58"/>
      <c r="E3257" s="58"/>
      <c r="F3257" s="58"/>
      <c r="G3257" s="58"/>
    </row>
    <row r="3258">
      <c r="D3258" s="58"/>
      <c r="E3258" s="58"/>
      <c r="F3258" s="58"/>
      <c r="G3258" s="58"/>
    </row>
    <row r="3259">
      <c r="D3259" s="58"/>
      <c r="E3259" s="58"/>
      <c r="F3259" s="58"/>
      <c r="G3259" s="58"/>
    </row>
    <row r="3260">
      <c r="D3260" s="58"/>
      <c r="E3260" s="58"/>
      <c r="F3260" s="58"/>
      <c r="G3260" s="58"/>
    </row>
    <row r="3261">
      <c r="D3261" s="58"/>
      <c r="E3261" s="58"/>
      <c r="F3261" s="58"/>
      <c r="G3261" s="58"/>
    </row>
    <row r="3262">
      <c r="D3262" s="58"/>
      <c r="E3262" s="58"/>
      <c r="F3262" s="58"/>
      <c r="G3262" s="58"/>
    </row>
    <row r="3263">
      <c r="D3263" s="58"/>
      <c r="E3263" s="58"/>
      <c r="F3263" s="58"/>
      <c r="G3263" s="58"/>
    </row>
    <row r="3264">
      <c r="D3264" s="58"/>
      <c r="E3264" s="58"/>
      <c r="F3264" s="58"/>
      <c r="G3264" s="58"/>
    </row>
    <row r="3265">
      <c r="D3265" s="58"/>
      <c r="E3265" s="58"/>
      <c r="F3265" s="58"/>
      <c r="G3265" s="58"/>
    </row>
    <row r="3266">
      <c r="D3266" s="58"/>
      <c r="E3266" s="58"/>
      <c r="F3266" s="58"/>
      <c r="G3266" s="58"/>
    </row>
    <row r="3267">
      <c r="D3267" s="58"/>
      <c r="E3267" s="58"/>
      <c r="F3267" s="58"/>
      <c r="G3267" s="58"/>
    </row>
    <row r="3268">
      <c r="D3268" s="58"/>
      <c r="E3268" s="58"/>
      <c r="F3268" s="58"/>
      <c r="G3268" s="58"/>
    </row>
    <row r="3269">
      <c r="D3269" s="58"/>
      <c r="E3269" s="58"/>
      <c r="F3269" s="58"/>
      <c r="G3269" s="58"/>
    </row>
    <row r="3270">
      <c r="D3270" s="58"/>
      <c r="E3270" s="58"/>
      <c r="F3270" s="58"/>
      <c r="G3270" s="58"/>
    </row>
    <row r="3271">
      <c r="D3271" s="58"/>
      <c r="E3271" s="58"/>
      <c r="F3271" s="58"/>
      <c r="G3271" s="58"/>
    </row>
    <row r="3272">
      <c r="D3272" s="58"/>
      <c r="E3272" s="58"/>
      <c r="F3272" s="58"/>
      <c r="G3272" s="58"/>
    </row>
    <row r="3273">
      <c r="D3273" s="58"/>
      <c r="E3273" s="58"/>
      <c r="F3273" s="58"/>
      <c r="G3273" s="58"/>
    </row>
    <row r="3274">
      <c r="D3274" s="58"/>
      <c r="E3274" s="58"/>
      <c r="F3274" s="58"/>
      <c r="G3274" s="58"/>
    </row>
    <row r="3275">
      <c r="D3275" s="58"/>
      <c r="E3275" s="58"/>
      <c r="F3275" s="58"/>
      <c r="G3275" s="58"/>
    </row>
    <row r="3276">
      <c r="D3276" s="58"/>
      <c r="E3276" s="58"/>
      <c r="F3276" s="58"/>
      <c r="G3276" s="58"/>
    </row>
    <row r="3277">
      <c r="D3277" s="58"/>
      <c r="E3277" s="58"/>
      <c r="F3277" s="58"/>
      <c r="G3277" s="58"/>
    </row>
    <row r="3278">
      <c r="D3278" s="58"/>
      <c r="E3278" s="58"/>
      <c r="F3278" s="58"/>
      <c r="G3278" s="58"/>
    </row>
    <row r="3279">
      <c r="D3279" s="58"/>
      <c r="E3279" s="58"/>
      <c r="F3279" s="58"/>
      <c r="G3279" s="58"/>
    </row>
    <row r="3280">
      <c r="D3280" s="58"/>
      <c r="E3280" s="58"/>
      <c r="F3280" s="58"/>
      <c r="G3280" s="58"/>
    </row>
    <row r="3281">
      <c r="D3281" s="58"/>
      <c r="E3281" s="58"/>
      <c r="F3281" s="58"/>
      <c r="G3281" s="58"/>
    </row>
    <row r="3282">
      <c r="D3282" s="58"/>
      <c r="E3282" s="58"/>
      <c r="F3282" s="58"/>
      <c r="G3282" s="58"/>
    </row>
    <row r="3283">
      <c r="D3283" s="58"/>
      <c r="E3283" s="58"/>
      <c r="F3283" s="58"/>
      <c r="G3283" s="58"/>
    </row>
    <row r="3284">
      <c r="D3284" s="58"/>
      <c r="E3284" s="58"/>
      <c r="F3284" s="58"/>
      <c r="G3284" s="58"/>
    </row>
    <row r="3285">
      <c r="D3285" s="58"/>
      <c r="E3285" s="58"/>
      <c r="F3285" s="58"/>
      <c r="G3285" s="58"/>
    </row>
    <row r="3286">
      <c r="D3286" s="58"/>
      <c r="E3286" s="58"/>
      <c r="F3286" s="58"/>
      <c r="G3286" s="58"/>
    </row>
    <row r="3287">
      <c r="D3287" s="58"/>
      <c r="E3287" s="58"/>
      <c r="F3287" s="58"/>
      <c r="G3287" s="58"/>
    </row>
    <row r="3288">
      <c r="D3288" s="58"/>
      <c r="E3288" s="58"/>
      <c r="F3288" s="58"/>
      <c r="G3288" s="58"/>
    </row>
    <row r="3289">
      <c r="D3289" s="58"/>
      <c r="E3289" s="58"/>
      <c r="F3289" s="58"/>
      <c r="G3289" s="58"/>
    </row>
    <row r="3290">
      <c r="D3290" s="58"/>
      <c r="E3290" s="58"/>
      <c r="F3290" s="58"/>
      <c r="G3290" s="58"/>
    </row>
    <row r="3291">
      <c r="D3291" s="58"/>
      <c r="E3291" s="58"/>
      <c r="F3291" s="58"/>
      <c r="G3291" s="58"/>
    </row>
    <row r="3292">
      <c r="D3292" s="58"/>
      <c r="E3292" s="58"/>
      <c r="F3292" s="58"/>
      <c r="G3292" s="58"/>
    </row>
    <row r="3293">
      <c r="D3293" s="58"/>
      <c r="E3293" s="58"/>
      <c r="F3293" s="58"/>
      <c r="G3293" s="58"/>
    </row>
    <row r="3294">
      <c r="D3294" s="58"/>
      <c r="E3294" s="58"/>
      <c r="F3294" s="58"/>
      <c r="G3294" s="58"/>
    </row>
    <row r="3295">
      <c r="D3295" s="58"/>
      <c r="E3295" s="58"/>
      <c r="F3295" s="58"/>
      <c r="G3295" s="58"/>
    </row>
    <row r="3296">
      <c r="D3296" s="58"/>
      <c r="E3296" s="58"/>
      <c r="F3296" s="58"/>
      <c r="G3296" s="58"/>
    </row>
    <row r="3297">
      <c r="D3297" s="58"/>
      <c r="E3297" s="58"/>
      <c r="F3297" s="58"/>
      <c r="G3297" s="58"/>
    </row>
    <row r="3298">
      <c r="D3298" s="58"/>
      <c r="E3298" s="58"/>
      <c r="F3298" s="58"/>
      <c r="G3298" s="58"/>
    </row>
    <row r="3299">
      <c r="D3299" s="58"/>
      <c r="E3299" s="58"/>
      <c r="F3299" s="58"/>
      <c r="G3299" s="58"/>
    </row>
    <row r="3300">
      <c r="D3300" s="58"/>
      <c r="E3300" s="58"/>
      <c r="F3300" s="58"/>
      <c r="G3300" s="58"/>
    </row>
    <row r="3301">
      <c r="D3301" s="58"/>
      <c r="E3301" s="58"/>
      <c r="F3301" s="58"/>
      <c r="G3301" s="58"/>
    </row>
    <row r="3302">
      <c r="D3302" s="58"/>
      <c r="E3302" s="58"/>
      <c r="F3302" s="58"/>
      <c r="G3302" s="58"/>
    </row>
    <row r="3303">
      <c r="D3303" s="58"/>
      <c r="E3303" s="58"/>
      <c r="F3303" s="58"/>
      <c r="G3303" s="58"/>
    </row>
    <row r="3304">
      <c r="D3304" s="58"/>
      <c r="E3304" s="58"/>
      <c r="F3304" s="58"/>
      <c r="G3304" s="58"/>
    </row>
    <row r="3305">
      <c r="D3305" s="58"/>
      <c r="E3305" s="58"/>
      <c r="F3305" s="58"/>
      <c r="G3305" s="58"/>
    </row>
    <row r="3306">
      <c r="D3306" s="58"/>
      <c r="E3306" s="58"/>
      <c r="F3306" s="58"/>
      <c r="G3306" s="58"/>
    </row>
    <row r="3307">
      <c r="D3307" s="58"/>
      <c r="E3307" s="58"/>
      <c r="F3307" s="58"/>
      <c r="G3307" s="58"/>
    </row>
    <row r="3308">
      <c r="D3308" s="58"/>
      <c r="E3308" s="58"/>
      <c r="F3308" s="58"/>
      <c r="G3308" s="58"/>
    </row>
    <row r="3309">
      <c r="D3309" s="58"/>
      <c r="E3309" s="58"/>
      <c r="F3309" s="58"/>
      <c r="G3309" s="58"/>
    </row>
    <row r="3310">
      <c r="D3310" s="58"/>
      <c r="E3310" s="58"/>
      <c r="F3310" s="58"/>
      <c r="G3310" s="58"/>
    </row>
    <row r="3311">
      <c r="D3311" s="58"/>
      <c r="E3311" s="58"/>
      <c r="F3311" s="58"/>
      <c r="G3311" s="58"/>
    </row>
    <row r="3312">
      <c r="D3312" s="58"/>
      <c r="E3312" s="58"/>
      <c r="F3312" s="58"/>
      <c r="G3312" s="58"/>
    </row>
    <row r="3313">
      <c r="D3313" s="58"/>
      <c r="E3313" s="58"/>
      <c r="F3313" s="58"/>
      <c r="G3313" s="58"/>
    </row>
    <row r="3314">
      <c r="D3314" s="58"/>
      <c r="E3314" s="58"/>
      <c r="F3314" s="58"/>
      <c r="G3314" s="58"/>
    </row>
    <row r="3315">
      <c r="D3315" s="58"/>
      <c r="E3315" s="58"/>
      <c r="F3315" s="58"/>
      <c r="G3315" s="58"/>
    </row>
    <row r="3316">
      <c r="D3316" s="58"/>
      <c r="E3316" s="58"/>
      <c r="F3316" s="58"/>
      <c r="G3316" s="58"/>
    </row>
    <row r="3317">
      <c r="D3317" s="58"/>
      <c r="E3317" s="58"/>
      <c r="F3317" s="58"/>
      <c r="G3317" s="58"/>
    </row>
    <row r="3318">
      <c r="D3318" s="58"/>
      <c r="E3318" s="58"/>
      <c r="F3318" s="58"/>
      <c r="G3318" s="58"/>
    </row>
    <row r="3319">
      <c r="D3319" s="58"/>
      <c r="E3319" s="58"/>
      <c r="F3319" s="58"/>
      <c r="G3319" s="58"/>
    </row>
    <row r="3320">
      <c r="D3320" s="58"/>
      <c r="E3320" s="58"/>
      <c r="F3320" s="58"/>
      <c r="G3320" s="58"/>
    </row>
    <row r="3321">
      <c r="D3321" s="58"/>
      <c r="E3321" s="58"/>
      <c r="F3321" s="58"/>
      <c r="G3321" s="58"/>
    </row>
    <row r="3322">
      <c r="D3322" s="58"/>
      <c r="E3322" s="58"/>
      <c r="F3322" s="58"/>
      <c r="G3322" s="58"/>
    </row>
    <row r="3323">
      <c r="D3323" s="58"/>
      <c r="E3323" s="58"/>
      <c r="F3323" s="58"/>
      <c r="G3323" s="58"/>
    </row>
    <row r="3324">
      <c r="D3324" s="58"/>
      <c r="E3324" s="58"/>
      <c r="F3324" s="58"/>
      <c r="G3324" s="58"/>
    </row>
    <row r="3325">
      <c r="D3325" s="58"/>
      <c r="E3325" s="58"/>
      <c r="F3325" s="58"/>
      <c r="G3325" s="58"/>
    </row>
    <row r="3326">
      <c r="D3326" s="58"/>
      <c r="E3326" s="58"/>
      <c r="F3326" s="58"/>
      <c r="G3326" s="58"/>
    </row>
    <row r="3327">
      <c r="D3327" s="58"/>
      <c r="E3327" s="58"/>
      <c r="F3327" s="58"/>
      <c r="G3327" s="58"/>
    </row>
    <row r="3328">
      <c r="D3328" s="58"/>
      <c r="E3328" s="58"/>
      <c r="F3328" s="58"/>
      <c r="G3328" s="58"/>
    </row>
    <row r="3329">
      <c r="D3329" s="58"/>
      <c r="E3329" s="58"/>
      <c r="F3329" s="58"/>
      <c r="G3329" s="58"/>
    </row>
    <row r="3330">
      <c r="D3330" s="58"/>
      <c r="E3330" s="58"/>
      <c r="F3330" s="58"/>
      <c r="G3330" s="58"/>
    </row>
    <row r="3331">
      <c r="D3331" s="58"/>
      <c r="E3331" s="58"/>
      <c r="F3331" s="58"/>
      <c r="G3331" s="58"/>
    </row>
    <row r="3332">
      <c r="D3332" s="58"/>
      <c r="E3332" s="58"/>
      <c r="F3332" s="58"/>
      <c r="G3332" s="58"/>
    </row>
    <row r="3333">
      <c r="D3333" s="58"/>
      <c r="E3333" s="58"/>
      <c r="F3333" s="58"/>
      <c r="G3333" s="58"/>
    </row>
    <row r="3334">
      <c r="D3334" s="58"/>
      <c r="E3334" s="58"/>
      <c r="F3334" s="58"/>
      <c r="G3334" s="58"/>
    </row>
    <row r="3335">
      <c r="D3335" s="58"/>
      <c r="E3335" s="58"/>
      <c r="F3335" s="58"/>
      <c r="G3335" s="58"/>
    </row>
    <row r="3336">
      <c r="D3336" s="58"/>
      <c r="E3336" s="58"/>
      <c r="F3336" s="58"/>
      <c r="G3336" s="58"/>
    </row>
    <row r="3337">
      <c r="D3337" s="58"/>
      <c r="E3337" s="58"/>
      <c r="F3337" s="58"/>
      <c r="G3337" s="58"/>
    </row>
    <row r="3338">
      <c r="D3338" s="58"/>
      <c r="E3338" s="58"/>
      <c r="F3338" s="58"/>
      <c r="G3338" s="58"/>
    </row>
    <row r="3339">
      <c r="D3339" s="58"/>
      <c r="E3339" s="58"/>
      <c r="F3339" s="58"/>
      <c r="G3339" s="58"/>
    </row>
    <row r="3340">
      <c r="D3340" s="58"/>
      <c r="E3340" s="58"/>
      <c r="F3340" s="58"/>
      <c r="G3340" s="58"/>
    </row>
    <row r="3341">
      <c r="D3341" s="58"/>
      <c r="E3341" s="58"/>
      <c r="F3341" s="58"/>
      <c r="G3341" s="58"/>
    </row>
    <row r="3342">
      <c r="D3342" s="58"/>
      <c r="E3342" s="58"/>
      <c r="F3342" s="58"/>
      <c r="G3342" s="58"/>
    </row>
    <row r="3343">
      <c r="D3343" s="58"/>
      <c r="E3343" s="58"/>
      <c r="F3343" s="58"/>
      <c r="G3343" s="58"/>
    </row>
    <row r="3344">
      <c r="D3344" s="58"/>
      <c r="E3344" s="58"/>
      <c r="F3344" s="58"/>
      <c r="G3344" s="58"/>
    </row>
    <row r="3345">
      <c r="D3345" s="58"/>
      <c r="E3345" s="58"/>
      <c r="F3345" s="58"/>
      <c r="G3345" s="58"/>
    </row>
    <row r="3346">
      <c r="D3346" s="58"/>
      <c r="E3346" s="58"/>
      <c r="F3346" s="58"/>
      <c r="G3346" s="58"/>
    </row>
    <row r="3347">
      <c r="D3347" s="58"/>
      <c r="E3347" s="58"/>
      <c r="F3347" s="58"/>
      <c r="G3347" s="58"/>
    </row>
    <row r="3348">
      <c r="D3348" s="58"/>
      <c r="E3348" s="58"/>
      <c r="F3348" s="58"/>
      <c r="G3348" s="58"/>
    </row>
    <row r="3349">
      <c r="D3349" s="58"/>
      <c r="E3349" s="58"/>
      <c r="F3349" s="58"/>
      <c r="G3349" s="58"/>
    </row>
    <row r="3350">
      <c r="D3350" s="58"/>
      <c r="E3350" s="58"/>
      <c r="F3350" s="58"/>
      <c r="G3350" s="58"/>
    </row>
    <row r="3351">
      <c r="D3351" s="58"/>
      <c r="E3351" s="58"/>
      <c r="F3351" s="58"/>
      <c r="G3351" s="58"/>
    </row>
    <row r="3352">
      <c r="D3352" s="58"/>
      <c r="E3352" s="58"/>
      <c r="F3352" s="58"/>
      <c r="G3352" s="58"/>
    </row>
    <row r="3353">
      <c r="D3353" s="58"/>
      <c r="E3353" s="58"/>
      <c r="F3353" s="58"/>
      <c r="G3353" s="58"/>
    </row>
    <row r="3354">
      <c r="D3354" s="58"/>
      <c r="E3354" s="58"/>
      <c r="F3354" s="58"/>
      <c r="G3354" s="58"/>
    </row>
    <row r="3355">
      <c r="D3355" s="58"/>
      <c r="E3355" s="58"/>
      <c r="F3355" s="58"/>
      <c r="G3355" s="58"/>
    </row>
    <row r="3356">
      <c r="D3356" s="58"/>
      <c r="E3356" s="58"/>
      <c r="F3356" s="58"/>
      <c r="G3356" s="58"/>
    </row>
    <row r="3357">
      <c r="D3357" s="58"/>
      <c r="E3357" s="58"/>
      <c r="F3357" s="58"/>
      <c r="G3357" s="58"/>
    </row>
    <row r="3358">
      <c r="D3358" s="58"/>
      <c r="E3358" s="58"/>
      <c r="F3358" s="58"/>
      <c r="G3358" s="58"/>
    </row>
    <row r="3359">
      <c r="D3359" s="58"/>
      <c r="E3359" s="58"/>
      <c r="F3359" s="58"/>
      <c r="G3359" s="58"/>
    </row>
    <row r="3360">
      <c r="D3360" s="58"/>
      <c r="E3360" s="58"/>
      <c r="F3360" s="58"/>
      <c r="G3360" s="58"/>
    </row>
    <row r="3361">
      <c r="D3361" s="58"/>
      <c r="E3361" s="58"/>
      <c r="F3361" s="58"/>
      <c r="G3361" s="58"/>
    </row>
    <row r="3362">
      <c r="D3362" s="58"/>
      <c r="E3362" s="58"/>
      <c r="F3362" s="58"/>
      <c r="G3362" s="58"/>
    </row>
    <row r="3363">
      <c r="D3363" s="58"/>
      <c r="E3363" s="58"/>
      <c r="F3363" s="58"/>
      <c r="G3363" s="58"/>
    </row>
    <row r="3364">
      <c r="D3364" s="58"/>
      <c r="E3364" s="58"/>
      <c r="F3364" s="58"/>
      <c r="G3364" s="58"/>
    </row>
    <row r="3365">
      <c r="D3365" s="58"/>
      <c r="E3365" s="58"/>
      <c r="F3365" s="58"/>
      <c r="G3365" s="58"/>
    </row>
    <row r="3366">
      <c r="D3366" s="58"/>
      <c r="E3366" s="58"/>
      <c r="F3366" s="58"/>
      <c r="G3366" s="58"/>
    </row>
    <row r="3367">
      <c r="D3367" s="58"/>
      <c r="E3367" s="58"/>
      <c r="F3367" s="58"/>
      <c r="G3367" s="58"/>
    </row>
    <row r="3368">
      <c r="D3368" s="58"/>
      <c r="E3368" s="58"/>
      <c r="F3368" s="58"/>
      <c r="G3368" s="58"/>
    </row>
    <row r="3369">
      <c r="D3369" s="58"/>
      <c r="E3369" s="58"/>
      <c r="F3369" s="58"/>
      <c r="G3369" s="58"/>
    </row>
    <row r="3370">
      <c r="D3370" s="58"/>
      <c r="E3370" s="58"/>
      <c r="F3370" s="58"/>
      <c r="G3370" s="58"/>
    </row>
    <row r="3371">
      <c r="D3371" s="58"/>
      <c r="E3371" s="58"/>
      <c r="F3371" s="58"/>
      <c r="G3371" s="58"/>
    </row>
    <row r="3372">
      <c r="D3372" s="58"/>
      <c r="E3372" s="58"/>
      <c r="F3372" s="58"/>
      <c r="G3372" s="58"/>
    </row>
    <row r="3373">
      <c r="D3373" s="58"/>
      <c r="E3373" s="58"/>
      <c r="F3373" s="58"/>
      <c r="G3373" s="58"/>
    </row>
    <row r="3374">
      <c r="D3374" s="58"/>
      <c r="E3374" s="58"/>
      <c r="F3374" s="58"/>
      <c r="G3374" s="58"/>
    </row>
    <row r="3375">
      <c r="D3375" s="58"/>
      <c r="E3375" s="58"/>
      <c r="F3375" s="58"/>
      <c r="G3375" s="58"/>
    </row>
    <row r="3376">
      <c r="D3376" s="58"/>
      <c r="E3376" s="58"/>
      <c r="F3376" s="58"/>
      <c r="G3376" s="58"/>
    </row>
    <row r="3377">
      <c r="D3377" s="58"/>
      <c r="E3377" s="58"/>
      <c r="F3377" s="58"/>
      <c r="G3377" s="58"/>
    </row>
    <row r="3378">
      <c r="D3378" s="58"/>
      <c r="E3378" s="58"/>
      <c r="F3378" s="58"/>
      <c r="G3378" s="58"/>
    </row>
    <row r="3379">
      <c r="D3379" s="58"/>
      <c r="E3379" s="58"/>
      <c r="F3379" s="58"/>
      <c r="G3379" s="58"/>
    </row>
    <row r="3380">
      <c r="D3380" s="58"/>
      <c r="E3380" s="58"/>
      <c r="F3380" s="58"/>
      <c r="G3380" s="58"/>
    </row>
    <row r="3381">
      <c r="D3381" s="58"/>
      <c r="E3381" s="58"/>
      <c r="F3381" s="58"/>
      <c r="G3381" s="58"/>
    </row>
    <row r="3382">
      <c r="D3382" s="58"/>
      <c r="E3382" s="58"/>
      <c r="F3382" s="58"/>
      <c r="G3382" s="58"/>
    </row>
    <row r="3383">
      <c r="D3383" s="58"/>
      <c r="E3383" s="58"/>
      <c r="F3383" s="58"/>
      <c r="G3383" s="58"/>
    </row>
    <row r="3384">
      <c r="D3384" s="58"/>
      <c r="E3384" s="58"/>
      <c r="F3384" s="58"/>
      <c r="G3384" s="58"/>
    </row>
    <row r="3385">
      <c r="D3385" s="58"/>
      <c r="E3385" s="58"/>
      <c r="F3385" s="58"/>
      <c r="G3385" s="58"/>
    </row>
    <row r="3386">
      <c r="D3386" s="58"/>
      <c r="E3386" s="58"/>
      <c r="F3386" s="58"/>
      <c r="G3386" s="58"/>
    </row>
    <row r="3387">
      <c r="D3387" s="58"/>
      <c r="E3387" s="58"/>
      <c r="F3387" s="58"/>
      <c r="G3387" s="58"/>
    </row>
    <row r="3388">
      <c r="D3388" s="58"/>
      <c r="E3388" s="58"/>
      <c r="F3388" s="58"/>
      <c r="G3388" s="58"/>
    </row>
    <row r="3389">
      <c r="D3389" s="58"/>
      <c r="E3389" s="58"/>
      <c r="F3389" s="58"/>
      <c r="G3389" s="58"/>
    </row>
    <row r="3390">
      <c r="D3390" s="58"/>
      <c r="E3390" s="58"/>
      <c r="F3390" s="58"/>
      <c r="G3390" s="58"/>
    </row>
    <row r="3391">
      <c r="D3391" s="58"/>
      <c r="E3391" s="58"/>
      <c r="F3391" s="58"/>
      <c r="G3391" s="58"/>
    </row>
    <row r="3392">
      <c r="D3392" s="58"/>
      <c r="E3392" s="58"/>
      <c r="F3392" s="58"/>
      <c r="G3392" s="58"/>
    </row>
    <row r="3393">
      <c r="D3393" s="58"/>
      <c r="E3393" s="58"/>
      <c r="F3393" s="58"/>
      <c r="G3393" s="58"/>
    </row>
    <row r="3394">
      <c r="D3394" s="58"/>
      <c r="E3394" s="58"/>
      <c r="F3394" s="58"/>
      <c r="G3394" s="58"/>
    </row>
    <row r="3395">
      <c r="D3395" s="58"/>
      <c r="E3395" s="58"/>
      <c r="F3395" s="58"/>
      <c r="G3395" s="58"/>
    </row>
    <row r="3396">
      <c r="D3396" s="58"/>
      <c r="E3396" s="58"/>
      <c r="F3396" s="58"/>
      <c r="G3396" s="58"/>
    </row>
    <row r="3397">
      <c r="D3397" s="58"/>
      <c r="E3397" s="58"/>
      <c r="F3397" s="58"/>
      <c r="G3397" s="58"/>
    </row>
    <row r="3398">
      <c r="D3398" s="58"/>
      <c r="E3398" s="58"/>
      <c r="F3398" s="58"/>
      <c r="G3398" s="58"/>
    </row>
    <row r="3399">
      <c r="D3399" s="58"/>
      <c r="E3399" s="58"/>
      <c r="F3399" s="58"/>
      <c r="G3399" s="58"/>
    </row>
    <row r="3400">
      <c r="D3400" s="58"/>
      <c r="E3400" s="58"/>
      <c r="F3400" s="58"/>
      <c r="G3400" s="58"/>
    </row>
    <row r="3401">
      <c r="D3401" s="58"/>
      <c r="E3401" s="58"/>
      <c r="F3401" s="58"/>
      <c r="G3401" s="58"/>
    </row>
    <row r="3402">
      <c r="D3402" s="58"/>
      <c r="E3402" s="58"/>
      <c r="F3402" s="58"/>
      <c r="G3402" s="58"/>
    </row>
    <row r="3403">
      <c r="D3403" s="58"/>
      <c r="E3403" s="58"/>
      <c r="F3403" s="58"/>
      <c r="G3403" s="58"/>
    </row>
    <row r="3404">
      <c r="D3404" s="58"/>
      <c r="E3404" s="58"/>
      <c r="F3404" s="58"/>
      <c r="G3404" s="58"/>
    </row>
    <row r="3405">
      <c r="D3405" s="58"/>
      <c r="E3405" s="58"/>
      <c r="F3405" s="58"/>
      <c r="G3405" s="58"/>
    </row>
    <row r="3406">
      <c r="D3406" s="58"/>
      <c r="E3406" s="58"/>
      <c r="F3406" s="58"/>
      <c r="G3406" s="58"/>
    </row>
    <row r="3407">
      <c r="D3407" s="58"/>
      <c r="E3407" s="58"/>
      <c r="F3407" s="58"/>
      <c r="G3407" s="58"/>
    </row>
    <row r="3408">
      <c r="D3408" s="58"/>
      <c r="E3408" s="58"/>
      <c r="F3408" s="58"/>
      <c r="G3408" s="58"/>
    </row>
    <row r="3409">
      <c r="D3409" s="58"/>
      <c r="E3409" s="58"/>
      <c r="F3409" s="58"/>
      <c r="G3409" s="58"/>
    </row>
    <row r="3410">
      <c r="D3410" s="58"/>
      <c r="E3410" s="58"/>
      <c r="F3410" s="58"/>
      <c r="G3410" s="58"/>
    </row>
    <row r="3411">
      <c r="D3411" s="58"/>
      <c r="E3411" s="58"/>
      <c r="F3411" s="58"/>
      <c r="G3411" s="58"/>
    </row>
    <row r="3412">
      <c r="D3412" s="58"/>
      <c r="E3412" s="58"/>
      <c r="F3412" s="58"/>
      <c r="G3412" s="58"/>
    </row>
    <row r="3413">
      <c r="D3413" s="58"/>
      <c r="E3413" s="58"/>
      <c r="F3413" s="58"/>
      <c r="G3413" s="58"/>
    </row>
    <row r="3414">
      <c r="D3414" s="58"/>
      <c r="E3414" s="58"/>
      <c r="F3414" s="58"/>
      <c r="G3414" s="58"/>
    </row>
    <row r="3415">
      <c r="D3415" s="58"/>
      <c r="E3415" s="58"/>
      <c r="F3415" s="58"/>
      <c r="G3415" s="58"/>
    </row>
    <row r="3416">
      <c r="D3416" s="58"/>
      <c r="E3416" s="58"/>
      <c r="F3416" s="58"/>
      <c r="G3416" s="58"/>
    </row>
    <row r="3417">
      <c r="D3417" s="58"/>
      <c r="E3417" s="58"/>
      <c r="F3417" s="58"/>
      <c r="G3417" s="58"/>
    </row>
    <row r="3418">
      <c r="D3418" s="58"/>
      <c r="E3418" s="58"/>
      <c r="F3418" s="58"/>
      <c r="G3418" s="58"/>
    </row>
    <row r="3419">
      <c r="D3419" s="58"/>
      <c r="E3419" s="58"/>
      <c r="F3419" s="58"/>
      <c r="G3419" s="58"/>
    </row>
    <row r="3420">
      <c r="D3420" s="58"/>
      <c r="E3420" s="58"/>
      <c r="F3420" s="58"/>
      <c r="G3420" s="58"/>
    </row>
    <row r="3421">
      <c r="D3421" s="58"/>
      <c r="E3421" s="58"/>
      <c r="F3421" s="58"/>
      <c r="G3421" s="58"/>
    </row>
    <row r="3422">
      <c r="D3422" s="58"/>
      <c r="E3422" s="58"/>
      <c r="F3422" s="58"/>
      <c r="G3422" s="58"/>
    </row>
    <row r="3423">
      <c r="D3423" s="58"/>
      <c r="E3423" s="58"/>
      <c r="F3423" s="58"/>
      <c r="G3423" s="58"/>
    </row>
    <row r="3424">
      <c r="D3424" s="58"/>
      <c r="E3424" s="58"/>
      <c r="F3424" s="58"/>
      <c r="G3424" s="58"/>
    </row>
    <row r="3425">
      <c r="D3425" s="58"/>
      <c r="E3425" s="58"/>
      <c r="F3425" s="58"/>
      <c r="G3425" s="58"/>
    </row>
    <row r="3426">
      <c r="D3426" s="58"/>
      <c r="E3426" s="58"/>
      <c r="F3426" s="58"/>
      <c r="G3426" s="58"/>
    </row>
    <row r="3427">
      <c r="D3427" s="58"/>
      <c r="E3427" s="58"/>
      <c r="F3427" s="58"/>
      <c r="G3427" s="58"/>
    </row>
    <row r="3428">
      <c r="D3428" s="58"/>
      <c r="E3428" s="58"/>
      <c r="F3428" s="58"/>
      <c r="G3428" s="58"/>
    </row>
    <row r="3429">
      <c r="D3429" s="58"/>
      <c r="E3429" s="58"/>
      <c r="F3429" s="58"/>
      <c r="G3429" s="58"/>
    </row>
    <row r="3430">
      <c r="D3430" s="58"/>
      <c r="E3430" s="58"/>
      <c r="F3430" s="58"/>
      <c r="G3430" s="58"/>
    </row>
    <row r="3431">
      <c r="D3431" s="58"/>
      <c r="E3431" s="58"/>
      <c r="F3431" s="58"/>
      <c r="G3431" s="58"/>
    </row>
    <row r="3432">
      <c r="D3432" s="58"/>
      <c r="E3432" s="58"/>
      <c r="F3432" s="58"/>
      <c r="G3432" s="58"/>
    </row>
    <row r="3433">
      <c r="D3433" s="58"/>
      <c r="E3433" s="58"/>
      <c r="F3433" s="58"/>
      <c r="G3433" s="58"/>
    </row>
    <row r="3434">
      <c r="D3434" s="58"/>
      <c r="E3434" s="58"/>
      <c r="F3434" s="58"/>
      <c r="G3434" s="58"/>
    </row>
    <row r="3435">
      <c r="D3435" s="58"/>
      <c r="E3435" s="58"/>
      <c r="F3435" s="58"/>
      <c r="G3435" s="58"/>
    </row>
    <row r="3436">
      <c r="D3436" s="58"/>
      <c r="E3436" s="58"/>
      <c r="F3436" s="58"/>
      <c r="G3436" s="58"/>
    </row>
    <row r="3437">
      <c r="D3437" s="58"/>
      <c r="E3437" s="58"/>
      <c r="F3437" s="58"/>
      <c r="G3437" s="58"/>
    </row>
    <row r="3438">
      <c r="D3438" s="58"/>
      <c r="E3438" s="58"/>
      <c r="F3438" s="58"/>
      <c r="G3438" s="58"/>
    </row>
    <row r="3439">
      <c r="D3439" s="58"/>
      <c r="E3439" s="58"/>
      <c r="F3439" s="58"/>
      <c r="G3439" s="58"/>
    </row>
    <row r="3440">
      <c r="D3440" s="58"/>
      <c r="E3440" s="58"/>
      <c r="F3440" s="58"/>
      <c r="G3440" s="58"/>
    </row>
    <row r="3441">
      <c r="D3441" s="58"/>
      <c r="E3441" s="58"/>
      <c r="F3441" s="58"/>
      <c r="G3441" s="58"/>
    </row>
    <row r="3442">
      <c r="D3442" s="58"/>
      <c r="E3442" s="58"/>
      <c r="F3442" s="58"/>
      <c r="G3442" s="58"/>
    </row>
    <row r="3443">
      <c r="D3443" s="58"/>
      <c r="E3443" s="58"/>
      <c r="F3443" s="58"/>
      <c r="G3443" s="58"/>
    </row>
    <row r="3444">
      <c r="D3444" s="58"/>
      <c r="E3444" s="58"/>
      <c r="F3444" s="58"/>
      <c r="G3444" s="58"/>
    </row>
    <row r="3445">
      <c r="D3445" s="58"/>
      <c r="E3445" s="58"/>
      <c r="F3445" s="58"/>
      <c r="G3445" s="58"/>
    </row>
    <row r="3446">
      <c r="D3446" s="58"/>
      <c r="E3446" s="58"/>
      <c r="F3446" s="58"/>
      <c r="G3446" s="58"/>
    </row>
    <row r="3447">
      <c r="D3447" s="58"/>
      <c r="E3447" s="58"/>
      <c r="F3447" s="58"/>
      <c r="G3447" s="58"/>
    </row>
    <row r="3448">
      <c r="D3448" s="58"/>
      <c r="E3448" s="58"/>
      <c r="F3448" s="58"/>
      <c r="G3448" s="58"/>
    </row>
    <row r="3449">
      <c r="D3449" s="58"/>
      <c r="E3449" s="58"/>
      <c r="F3449" s="58"/>
      <c r="G3449" s="58"/>
    </row>
    <row r="3450">
      <c r="D3450" s="58"/>
      <c r="E3450" s="58"/>
      <c r="F3450" s="58"/>
      <c r="G3450" s="58"/>
    </row>
    <row r="3451">
      <c r="D3451" s="58"/>
      <c r="E3451" s="58"/>
      <c r="F3451" s="58"/>
      <c r="G3451" s="58"/>
    </row>
    <row r="3452">
      <c r="D3452" s="58"/>
      <c r="E3452" s="58"/>
      <c r="F3452" s="58"/>
      <c r="G3452" s="58"/>
    </row>
    <row r="3453">
      <c r="D3453" s="58"/>
      <c r="E3453" s="58"/>
      <c r="F3453" s="58"/>
      <c r="G3453" s="58"/>
    </row>
    <row r="3454">
      <c r="D3454" s="58"/>
      <c r="E3454" s="58"/>
      <c r="F3454" s="58"/>
      <c r="G3454" s="58"/>
    </row>
    <row r="3455">
      <c r="D3455" s="58"/>
      <c r="E3455" s="58"/>
      <c r="F3455" s="58"/>
      <c r="G3455" s="58"/>
    </row>
    <row r="3456">
      <c r="D3456" s="58"/>
      <c r="E3456" s="58"/>
      <c r="F3456" s="58"/>
      <c r="G3456" s="58"/>
    </row>
    <row r="3457">
      <c r="D3457" s="58"/>
      <c r="E3457" s="58"/>
      <c r="F3457" s="58"/>
      <c r="G3457" s="58"/>
    </row>
    <row r="3458">
      <c r="D3458" s="58"/>
      <c r="E3458" s="58"/>
      <c r="F3458" s="58"/>
      <c r="G3458" s="58"/>
    </row>
    <row r="3459">
      <c r="D3459" s="58"/>
      <c r="E3459" s="58"/>
      <c r="F3459" s="58"/>
      <c r="G3459" s="58"/>
    </row>
    <row r="3460">
      <c r="D3460" s="58"/>
      <c r="E3460" s="58"/>
      <c r="F3460" s="58"/>
      <c r="G3460" s="58"/>
    </row>
    <row r="3461">
      <c r="D3461" s="58"/>
      <c r="E3461" s="58"/>
      <c r="F3461" s="58"/>
      <c r="G3461" s="58"/>
    </row>
    <row r="3462">
      <c r="D3462" s="58"/>
      <c r="E3462" s="58"/>
      <c r="F3462" s="58"/>
      <c r="G3462" s="58"/>
    </row>
    <row r="3463">
      <c r="D3463" s="58"/>
      <c r="E3463" s="58"/>
      <c r="F3463" s="58"/>
      <c r="G3463" s="58"/>
    </row>
    <row r="3464">
      <c r="D3464" s="58"/>
      <c r="E3464" s="58"/>
      <c r="F3464" s="58"/>
      <c r="G3464" s="58"/>
    </row>
    <row r="3465">
      <c r="D3465" s="58"/>
      <c r="E3465" s="58"/>
      <c r="F3465" s="58"/>
      <c r="G3465" s="58"/>
    </row>
    <row r="3466">
      <c r="D3466" s="58"/>
      <c r="E3466" s="58"/>
      <c r="F3466" s="58"/>
      <c r="G3466" s="58"/>
    </row>
    <row r="3467">
      <c r="D3467" s="58"/>
      <c r="E3467" s="58"/>
      <c r="F3467" s="58"/>
      <c r="G3467" s="58"/>
    </row>
    <row r="3468">
      <c r="D3468" s="58"/>
      <c r="E3468" s="58"/>
      <c r="F3468" s="58"/>
      <c r="G3468" s="58"/>
    </row>
    <row r="3469">
      <c r="D3469" s="58"/>
      <c r="E3469" s="58"/>
      <c r="F3469" s="58"/>
      <c r="G3469" s="58"/>
    </row>
    <row r="3470">
      <c r="D3470" s="58"/>
      <c r="E3470" s="58"/>
      <c r="F3470" s="58"/>
      <c r="G3470" s="58"/>
    </row>
    <row r="3471">
      <c r="D3471" s="58"/>
      <c r="E3471" s="58"/>
      <c r="F3471" s="58"/>
      <c r="G3471" s="58"/>
    </row>
    <row r="3472">
      <c r="D3472" s="58"/>
      <c r="E3472" s="58"/>
      <c r="F3472" s="58"/>
      <c r="G3472" s="58"/>
    </row>
    <row r="3473">
      <c r="D3473" s="58"/>
      <c r="E3473" s="58"/>
      <c r="F3473" s="58"/>
      <c r="G3473" s="58"/>
    </row>
    <row r="3474">
      <c r="D3474" s="58"/>
      <c r="E3474" s="58"/>
      <c r="F3474" s="58"/>
      <c r="G3474" s="58"/>
    </row>
    <row r="3475">
      <c r="D3475" s="58"/>
      <c r="E3475" s="58"/>
      <c r="F3475" s="58"/>
      <c r="G3475" s="58"/>
    </row>
    <row r="3476">
      <c r="D3476" s="58"/>
      <c r="E3476" s="58"/>
      <c r="F3476" s="58"/>
      <c r="G3476" s="58"/>
    </row>
    <row r="3477">
      <c r="D3477" s="58"/>
      <c r="E3477" s="58"/>
      <c r="F3477" s="58"/>
      <c r="G3477" s="58"/>
    </row>
    <row r="3478">
      <c r="D3478" s="58"/>
      <c r="E3478" s="58"/>
      <c r="F3478" s="58"/>
      <c r="G3478" s="58"/>
    </row>
    <row r="3479">
      <c r="D3479" s="58"/>
      <c r="E3479" s="58"/>
      <c r="F3479" s="58"/>
      <c r="G3479" s="58"/>
    </row>
    <row r="3480">
      <c r="D3480" s="58"/>
      <c r="E3480" s="58"/>
      <c r="F3480" s="58"/>
      <c r="G3480" s="58"/>
    </row>
    <row r="3481">
      <c r="D3481" s="58"/>
      <c r="E3481" s="58"/>
      <c r="F3481" s="58"/>
      <c r="G3481" s="58"/>
    </row>
    <row r="3482">
      <c r="D3482" s="58"/>
      <c r="E3482" s="58"/>
      <c r="F3482" s="58"/>
      <c r="G3482" s="58"/>
    </row>
    <row r="3483">
      <c r="D3483" s="58"/>
      <c r="E3483" s="58"/>
      <c r="F3483" s="58"/>
      <c r="G3483" s="58"/>
    </row>
    <row r="3484">
      <c r="D3484" s="58"/>
      <c r="E3484" s="58"/>
      <c r="F3484" s="58"/>
      <c r="G3484" s="58"/>
    </row>
    <row r="3485">
      <c r="D3485" s="58"/>
      <c r="E3485" s="58"/>
      <c r="F3485" s="58"/>
      <c r="G3485" s="58"/>
    </row>
    <row r="3486">
      <c r="D3486" s="58"/>
      <c r="E3486" s="58"/>
      <c r="F3486" s="58"/>
      <c r="G3486" s="58"/>
    </row>
    <row r="3487">
      <c r="D3487" s="58"/>
      <c r="E3487" s="58"/>
      <c r="F3487" s="58"/>
      <c r="G3487" s="58"/>
    </row>
    <row r="3488">
      <c r="D3488" s="58"/>
      <c r="E3488" s="58"/>
      <c r="F3488" s="58"/>
      <c r="G3488" s="58"/>
    </row>
    <row r="3489">
      <c r="D3489" s="58"/>
      <c r="E3489" s="58"/>
      <c r="F3489" s="58"/>
      <c r="G3489" s="58"/>
    </row>
    <row r="3490">
      <c r="D3490" s="58"/>
      <c r="E3490" s="58"/>
      <c r="F3490" s="58"/>
      <c r="G3490" s="58"/>
    </row>
    <row r="3491">
      <c r="D3491" s="58"/>
      <c r="E3491" s="58"/>
      <c r="F3491" s="58"/>
      <c r="G3491" s="58"/>
    </row>
    <row r="3492">
      <c r="D3492" s="58"/>
      <c r="E3492" s="58"/>
      <c r="F3492" s="58"/>
      <c r="G3492" s="58"/>
    </row>
    <row r="3493">
      <c r="D3493" s="58"/>
      <c r="E3493" s="58"/>
      <c r="F3493" s="58"/>
      <c r="G3493" s="58"/>
    </row>
    <row r="3494">
      <c r="D3494" s="58"/>
      <c r="E3494" s="58"/>
      <c r="F3494" s="58"/>
      <c r="G3494" s="58"/>
    </row>
    <row r="3495">
      <c r="D3495" s="58"/>
      <c r="E3495" s="58"/>
      <c r="F3495" s="58"/>
      <c r="G3495" s="58"/>
    </row>
    <row r="3496">
      <c r="D3496" s="58"/>
      <c r="E3496" s="58"/>
      <c r="F3496" s="58"/>
      <c r="G3496" s="58"/>
    </row>
    <row r="3497">
      <c r="D3497" s="58"/>
      <c r="E3497" s="58"/>
      <c r="F3497" s="58"/>
      <c r="G3497" s="58"/>
    </row>
    <row r="3498">
      <c r="D3498" s="58"/>
      <c r="E3498" s="58"/>
      <c r="F3498" s="58"/>
      <c r="G3498" s="58"/>
    </row>
    <row r="3499">
      <c r="D3499" s="58"/>
      <c r="E3499" s="58"/>
      <c r="F3499" s="58"/>
      <c r="G3499" s="58"/>
    </row>
    <row r="3500">
      <c r="D3500" s="58"/>
      <c r="E3500" s="58"/>
      <c r="F3500" s="58"/>
      <c r="G3500" s="58"/>
    </row>
    <row r="3501">
      <c r="D3501" s="58"/>
      <c r="E3501" s="58"/>
      <c r="F3501" s="58"/>
      <c r="G3501" s="58"/>
    </row>
    <row r="3502">
      <c r="D3502" s="58"/>
      <c r="E3502" s="58"/>
      <c r="F3502" s="58"/>
      <c r="G3502" s="58"/>
    </row>
    <row r="3503">
      <c r="D3503" s="58"/>
      <c r="E3503" s="58"/>
      <c r="F3503" s="58"/>
      <c r="G3503" s="58"/>
    </row>
    <row r="3504">
      <c r="D3504" s="58"/>
      <c r="E3504" s="58"/>
      <c r="F3504" s="58"/>
      <c r="G3504" s="58"/>
    </row>
    <row r="3505">
      <c r="D3505" s="58"/>
      <c r="E3505" s="58"/>
      <c r="F3505" s="58"/>
      <c r="G3505" s="58"/>
    </row>
    <row r="3506">
      <c r="D3506" s="58"/>
      <c r="E3506" s="58"/>
      <c r="F3506" s="58"/>
      <c r="G3506" s="58"/>
    </row>
    <row r="3507">
      <c r="D3507" s="58"/>
      <c r="E3507" s="58"/>
      <c r="F3507" s="58"/>
      <c r="G3507" s="58"/>
    </row>
    <row r="3508">
      <c r="D3508" s="58"/>
      <c r="E3508" s="58"/>
      <c r="F3508" s="58"/>
      <c r="G3508" s="58"/>
    </row>
    <row r="3509">
      <c r="D3509" s="58"/>
      <c r="E3509" s="58"/>
      <c r="F3509" s="58"/>
      <c r="G3509" s="58"/>
    </row>
    <row r="3510">
      <c r="D3510" s="58"/>
      <c r="E3510" s="58"/>
      <c r="F3510" s="58"/>
      <c r="G3510" s="58"/>
    </row>
    <row r="3511">
      <c r="D3511" s="58"/>
      <c r="E3511" s="58"/>
      <c r="F3511" s="58"/>
      <c r="G3511" s="58"/>
    </row>
    <row r="3512">
      <c r="D3512" s="58"/>
      <c r="E3512" s="58"/>
      <c r="F3512" s="58"/>
      <c r="G3512" s="58"/>
    </row>
    <row r="3513">
      <c r="D3513" s="58"/>
      <c r="E3513" s="58"/>
      <c r="F3513" s="58"/>
      <c r="G3513" s="58"/>
    </row>
    <row r="3514">
      <c r="D3514" s="58"/>
      <c r="E3514" s="58"/>
      <c r="F3514" s="58"/>
      <c r="G3514" s="58"/>
    </row>
    <row r="3515">
      <c r="D3515" s="58"/>
      <c r="E3515" s="58"/>
      <c r="F3515" s="58"/>
      <c r="G3515" s="58"/>
    </row>
    <row r="3516">
      <c r="D3516" s="58"/>
      <c r="E3516" s="58"/>
      <c r="F3516" s="58"/>
      <c r="G3516" s="58"/>
    </row>
    <row r="3517">
      <c r="D3517" s="58"/>
      <c r="E3517" s="58"/>
      <c r="F3517" s="58"/>
      <c r="G3517" s="58"/>
    </row>
    <row r="3518">
      <c r="D3518" s="58"/>
      <c r="E3518" s="58"/>
      <c r="F3518" s="58"/>
      <c r="G3518" s="58"/>
    </row>
    <row r="3519">
      <c r="D3519" s="58"/>
      <c r="E3519" s="58"/>
      <c r="F3519" s="58"/>
      <c r="G3519" s="58"/>
    </row>
    <row r="3520">
      <c r="D3520" s="58"/>
      <c r="E3520" s="58"/>
      <c r="F3520" s="58"/>
      <c r="G3520" s="58"/>
    </row>
    <row r="3521">
      <c r="D3521" s="58"/>
      <c r="E3521" s="58"/>
      <c r="F3521" s="58"/>
      <c r="G3521" s="58"/>
    </row>
    <row r="3522">
      <c r="D3522" s="58"/>
      <c r="E3522" s="58"/>
      <c r="F3522" s="58"/>
      <c r="G3522" s="58"/>
    </row>
    <row r="3523">
      <c r="D3523" s="58"/>
      <c r="E3523" s="58"/>
      <c r="F3523" s="58"/>
      <c r="G3523" s="58"/>
    </row>
    <row r="3524">
      <c r="D3524" s="58"/>
      <c r="E3524" s="58"/>
      <c r="F3524" s="58"/>
      <c r="G3524" s="58"/>
    </row>
    <row r="3525">
      <c r="D3525" s="58"/>
      <c r="E3525" s="58"/>
      <c r="F3525" s="58"/>
      <c r="G3525" s="58"/>
    </row>
    <row r="3526">
      <c r="D3526" s="58"/>
      <c r="E3526" s="58"/>
      <c r="F3526" s="58"/>
      <c r="G3526" s="58"/>
    </row>
    <row r="3527">
      <c r="D3527" s="58"/>
      <c r="E3527" s="58"/>
      <c r="F3527" s="58"/>
      <c r="G3527" s="58"/>
    </row>
    <row r="3528">
      <c r="D3528" s="58"/>
      <c r="E3528" s="58"/>
      <c r="F3528" s="58"/>
      <c r="G3528" s="58"/>
    </row>
    <row r="3529">
      <c r="D3529" s="58"/>
      <c r="E3529" s="58"/>
      <c r="F3529" s="58"/>
      <c r="G3529" s="58"/>
    </row>
    <row r="3530">
      <c r="D3530" s="58"/>
      <c r="E3530" s="58"/>
      <c r="F3530" s="58"/>
      <c r="G3530" s="58"/>
    </row>
    <row r="3531">
      <c r="D3531" s="58"/>
      <c r="E3531" s="58"/>
      <c r="F3531" s="58"/>
      <c r="G3531" s="58"/>
    </row>
    <row r="3532">
      <c r="D3532" s="58"/>
      <c r="E3532" s="58"/>
      <c r="F3532" s="58"/>
      <c r="G3532" s="58"/>
    </row>
    <row r="3533">
      <c r="D3533" s="58"/>
      <c r="E3533" s="58"/>
      <c r="F3533" s="58"/>
      <c r="G3533" s="58"/>
    </row>
    <row r="3534">
      <c r="D3534" s="58"/>
      <c r="E3534" s="58"/>
      <c r="F3534" s="58"/>
      <c r="G3534" s="58"/>
    </row>
    <row r="3535">
      <c r="D3535" s="58"/>
      <c r="E3535" s="58"/>
      <c r="F3535" s="58"/>
      <c r="G3535" s="58"/>
    </row>
    <row r="3536">
      <c r="D3536" s="58"/>
      <c r="E3536" s="58"/>
      <c r="F3536" s="58"/>
      <c r="G3536" s="58"/>
    </row>
    <row r="3537">
      <c r="D3537" s="58"/>
      <c r="E3537" s="58"/>
      <c r="F3537" s="58"/>
      <c r="G3537" s="58"/>
    </row>
    <row r="3538">
      <c r="D3538" s="58"/>
      <c r="E3538" s="58"/>
      <c r="F3538" s="58"/>
      <c r="G3538" s="58"/>
    </row>
    <row r="3539">
      <c r="D3539" s="58"/>
      <c r="E3539" s="58"/>
      <c r="F3539" s="58"/>
      <c r="G3539" s="58"/>
    </row>
    <row r="3540">
      <c r="D3540" s="58"/>
      <c r="E3540" s="58"/>
      <c r="F3540" s="58"/>
      <c r="G3540" s="58"/>
    </row>
    <row r="3541">
      <c r="D3541" s="58"/>
      <c r="E3541" s="58"/>
      <c r="F3541" s="58"/>
      <c r="G3541" s="58"/>
    </row>
    <row r="3542">
      <c r="D3542" s="58"/>
      <c r="E3542" s="58"/>
      <c r="F3542" s="58"/>
      <c r="G3542" s="58"/>
    </row>
    <row r="3543">
      <c r="D3543" s="58"/>
      <c r="E3543" s="58"/>
      <c r="F3543" s="58"/>
      <c r="G3543" s="58"/>
    </row>
    <row r="3544">
      <c r="D3544" s="58"/>
      <c r="E3544" s="58"/>
      <c r="F3544" s="58"/>
      <c r="G3544" s="58"/>
    </row>
    <row r="3545">
      <c r="D3545" s="58"/>
      <c r="E3545" s="58"/>
      <c r="F3545" s="58"/>
      <c r="G3545" s="58"/>
    </row>
    <row r="3546">
      <c r="D3546" s="58"/>
      <c r="E3546" s="58"/>
      <c r="F3546" s="58"/>
      <c r="G3546" s="58"/>
    </row>
    <row r="3547">
      <c r="D3547" s="58"/>
      <c r="E3547" s="58"/>
      <c r="F3547" s="58"/>
      <c r="G3547" s="58"/>
    </row>
    <row r="3548">
      <c r="D3548" s="58"/>
      <c r="E3548" s="58"/>
      <c r="F3548" s="58"/>
      <c r="G3548" s="58"/>
    </row>
    <row r="3549">
      <c r="D3549" s="58"/>
      <c r="E3549" s="58"/>
      <c r="F3549" s="58"/>
      <c r="G3549" s="58"/>
    </row>
    <row r="3550">
      <c r="D3550" s="58"/>
      <c r="E3550" s="58"/>
      <c r="F3550" s="58"/>
      <c r="G3550" s="58"/>
    </row>
    <row r="3551">
      <c r="D3551" s="58"/>
      <c r="E3551" s="58"/>
      <c r="F3551" s="58"/>
      <c r="G3551" s="58"/>
    </row>
    <row r="3552">
      <c r="D3552" s="58"/>
      <c r="E3552" s="58"/>
      <c r="F3552" s="58"/>
      <c r="G3552" s="58"/>
    </row>
    <row r="3553">
      <c r="D3553" s="58"/>
      <c r="E3553" s="58"/>
      <c r="F3553" s="58"/>
      <c r="G3553" s="58"/>
    </row>
    <row r="3554">
      <c r="D3554" s="58"/>
      <c r="E3554" s="58"/>
      <c r="F3554" s="58"/>
      <c r="G3554" s="58"/>
    </row>
    <row r="3555">
      <c r="D3555" s="58"/>
      <c r="E3555" s="58"/>
      <c r="F3555" s="58"/>
      <c r="G3555" s="58"/>
    </row>
    <row r="3556">
      <c r="D3556" s="58"/>
      <c r="E3556" s="58"/>
      <c r="F3556" s="58"/>
      <c r="G3556" s="58"/>
    </row>
    <row r="3557">
      <c r="D3557" s="58"/>
      <c r="E3557" s="58"/>
      <c r="F3557" s="58"/>
      <c r="G3557" s="58"/>
    </row>
    <row r="3558">
      <c r="D3558" s="58"/>
      <c r="E3558" s="58"/>
      <c r="F3558" s="58"/>
      <c r="G3558" s="58"/>
    </row>
    <row r="3559">
      <c r="D3559" s="58"/>
      <c r="E3559" s="58"/>
      <c r="F3559" s="58"/>
      <c r="G3559" s="58"/>
    </row>
    <row r="3560">
      <c r="D3560" s="58"/>
      <c r="E3560" s="58"/>
      <c r="F3560" s="58"/>
      <c r="G3560" s="58"/>
    </row>
    <row r="3561">
      <c r="D3561" s="58"/>
      <c r="E3561" s="58"/>
      <c r="F3561" s="58"/>
      <c r="G3561" s="58"/>
    </row>
    <row r="3562">
      <c r="D3562" s="58"/>
      <c r="E3562" s="58"/>
      <c r="F3562" s="58"/>
      <c r="G3562" s="58"/>
    </row>
    <row r="3563">
      <c r="D3563" s="58"/>
      <c r="E3563" s="58"/>
      <c r="F3563" s="58"/>
      <c r="G3563" s="58"/>
    </row>
    <row r="3564">
      <c r="D3564" s="58"/>
      <c r="E3564" s="58"/>
      <c r="F3564" s="58"/>
      <c r="G3564" s="58"/>
    </row>
    <row r="3565">
      <c r="D3565" s="58"/>
      <c r="E3565" s="58"/>
      <c r="F3565" s="58"/>
      <c r="G3565" s="58"/>
    </row>
    <row r="3566">
      <c r="D3566" s="58"/>
      <c r="E3566" s="58"/>
      <c r="F3566" s="58"/>
      <c r="G3566" s="58"/>
    </row>
    <row r="3567">
      <c r="D3567" s="58"/>
      <c r="E3567" s="58"/>
      <c r="F3567" s="58"/>
      <c r="G3567" s="58"/>
    </row>
    <row r="3568">
      <c r="D3568" s="58"/>
      <c r="E3568" s="58"/>
      <c r="F3568" s="58"/>
      <c r="G3568" s="58"/>
    </row>
    <row r="3569">
      <c r="D3569" s="58"/>
      <c r="E3569" s="58"/>
      <c r="F3569" s="58"/>
      <c r="G3569" s="58"/>
    </row>
    <row r="3570">
      <c r="D3570" s="58"/>
      <c r="E3570" s="58"/>
      <c r="F3570" s="58"/>
      <c r="G3570" s="58"/>
    </row>
    <row r="3571">
      <c r="D3571" s="58"/>
      <c r="E3571" s="58"/>
      <c r="F3571" s="58"/>
      <c r="G3571" s="58"/>
    </row>
    <row r="3572">
      <c r="D3572" s="58"/>
      <c r="E3572" s="58"/>
      <c r="F3572" s="58"/>
      <c r="G3572" s="58"/>
    </row>
    <row r="3573">
      <c r="D3573" s="58"/>
      <c r="E3573" s="58"/>
      <c r="F3573" s="58"/>
      <c r="G3573" s="58"/>
    </row>
    <row r="3574">
      <c r="D3574" s="58"/>
      <c r="E3574" s="58"/>
      <c r="F3574" s="58"/>
      <c r="G3574" s="58"/>
    </row>
    <row r="3575">
      <c r="D3575" s="58"/>
      <c r="E3575" s="58"/>
      <c r="F3575" s="58"/>
      <c r="G3575" s="58"/>
    </row>
    <row r="3576">
      <c r="D3576" s="58"/>
      <c r="E3576" s="58"/>
      <c r="F3576" s="58"/>
      <c r="G3576" s="58"/>
    </row>
    <row r="3577">
      <c r="D3577" s="58"/>
      <c r="E3577" s="58"/>
      <c r="F3577" s="58"/>
      <c r="G3577" s="58"/>
    </row>
    <row r="3578">
      <c r="D3578" s="58"/>
      <c r="E3578" s="58"/>
      <c r="F3578" s="58"/>
      <c r="G3578" s="58"/>
    </row>
    <row r="3579">
      <c r="D3579" s="58"/>
      <c r="E3579" s="58"/>
      <c r="F3579" s="58"/>
      <c r="G3579" s="58"/>
    </row>
    <row r="3580">
      <c r="D3580" s="58"/>
      <c r="E3580" s="58"/>
      <c r="F3580" s="58"/>
      <c r="G3580" s="58"/>
    </row>
    <row r="3581">
      <c r="D3581" s="58"/>
      <c r="E3581" s="58"/>
      <c r="F3581" s="58"/>
      <c r="G3581" s="58"/>
    </row>
    <row r="3582">
      <c r="D3582" s="58"/>
      <c r="E3582" s="58"/>
      <c r="F3582" s="58"/>
      <c r="G3582" s="58"/>
    </row>
    <row r="3583">
      <c r="D3583" s="58"/>
      <c r="E3583" s="58"/>
      <c r="F3583" s="58"/>
      <c r="G3583" s="58"/>
    </row>
    <row r="3584">
      <c r="D3584" s="58"/>
      <c r="E3584" s="58"/>
      <c r="F3584" s="58"/>
      <c r="G3584" s="58"/>
    </row>
    <row r="3585">
      <c r="D3585" s="58"/>
      <c r="E3585" s="58"/>
      <c r="F3585" s="58"/>
      <c r="G3585" s="58"/>
    </row>
    <row r="3586">
      <c r="D3586" s="58"/>
      <c r="E3586" s="58"/>
      <c r="F3586" s="58"/>
      <c r="G3586" s="58"/>
    </row>
    <row r="3587">
      <c r="D3587" s="58"/>
      <c r="E3587" s="58"/>
      <c r="F3587" s="58"/>
      <c r="G3587" s="58"/>
    </row>
    <row r="3588">
      <c r="D3588" s="58"/>
      <c r="E3588" s="58"/>
      <c r="F3588" s="58"/>
      <c r="G3588" s="58"/>
    </row>
    <row r="3589">
      <c r="D3589" s="58"/>
      <c r="E3589" s="58"/>
      <c r="F3589" s="58"/>
      <c r="G3589" s="58"/>
    </row>
    <row r="3590">
      <c r="D3590" s="58"/>
      <c r="E3590" s="58"/>
      <c r="F3590" s="58"/>
      <c r="G3590" s="58"/>
    </row>
    <row r="3591">
      <c r="D3591" s="58"/>
      <c r="E3591" s="58"/>
      <c r="F3591" s="58"/>
      <c r="G3591" s="58"/>
    </row>
    <row r="3592">
      <c r="D3592" s="58"/>
      <c r="E3592" s="58"/>
      <c r="F3592" s="58"/>
      <c r="G3592" s="58"/>
    </row>
    <row r="3593">
      <c r="D3593" s="58"/>
      <c r="E3593" s="58"/>
      <c r="F3593" s="58"/>
      <c r="G3593" s="58"/>
    </row>
    <row r="3594">
      <c r="D3594" s="58"/>
      <c r="E3594" s="58"/>
      <c r="F3594" s="58"/>
      <c r="G3594" s="58"/>
    </row>
    <row r="3595">
      <c r="D3595" s="58"/>
      <c r="E3595" s="58"/>
      <c r="F3595" s="58"/>
      <c r="G3595" s="58"/>
    </row>
    <row r="3596">
      <c r="D3596" s="58"/>
      <c r="E3596" s="58"/>
      <c r="F3596" s="58"/>
      <c r="G3596" s="58"/>
    </row>
    <row r="3597">
      <c r="D3597" s="58"/>
      <c r="E3597" s="58"/>
      <c r="F3597" s="58"/>
      <c r="G3597" s="58"/>
    </row>
    <row r="3598">
      <c r="D3598" s="58"/>
      <c r="E3598" s="58"/>
      <c r="F3598" s="58"/>
      <c r="G3598" s="58"/>
    </row>
    <row r="3599">
      <c r="D3599" s="58"/>
      <c r="E3599" s="58"/>
      <c r="F3599" s="58"/>
      <c r="G3599" s="58"/>
    </row>
    <row r="3600">
      <c r="D3600" s="58"/>
      <c r="E3600" s="58"/>
      <c r="F3600" s="58"/>
      <c r="G3600" s="58"/>
    </row>
    <row r="3601">
      <c r="D3601" s="58"/>
      <c r="E3601" s="58"/>
      <c r="F3601" s="58"/>
      <c r="G3601" s="58"/>
    </row>
    <row r="3602">
      <c r="D3602" s="58"/>
      <c r="E3602" s="58"/>
      <c r="F3602" s="58"/>
      <c r="G3602" s="58"/>
    </row>
    <row r="3603">
      <c r="D3603" s="58"/>
      <c r="E3603" s="58"/>
      <c r="F3603" s="58"/>
      <c r="G3603" s="58"/>
    </row>
    <row r="3604">
      <c r="D3604" s="58"/>
      <c r="E3604" s="58"/>
      <c r="F3604" s="58"/>
      <c r="G3604" s="58"/>
    </row>
    <row r="3605">
      <c r="D3605" s="58"/>
      <c r="E3605" s="58"/>
      <c r="F3605" s="58"/>
      <c r="G3605" s="58"/>
    </row>
    <row r="3606">
      <c r="D3606" s="58"/>
      <c r="E3606" s="58"/>
      <c r="F3606" s="58"/>
      <c r="G3606" s="58"/>
    </row>
    <row r="3607">
      <c r="D3607" s="58"/>
      <c r="E3607" s="58"/>
      <c r="F3607" s="58"/>
      <c r="G3607" s="58"/>
    </row>
    <row r="3608">
      <c r="D3608" s="58"/>
      <c r="E3608" s="58"/>
      <c r="F3608" s="58"/>
      <c r="G3608" s="58"/>
    </row>
    <row r="3609">
      <c r="D3609" s="58"/>
      <c r="E3609" s="58"/>
      <c r="F3609" s="58"/>
      <c r="G3609" s="58"/>
    </row>
    <row r="3610">
      <c r="D3610" s="58"/>
      <c r="E3610" s="58"/>
      <c r="F3610" s="58"/>
      <c r="G3610" s="58"/>
    </row>
    <row r="3611">
      <c r="D3611" s="58"/>
      <c r="E3611" s="58"/>
      <c r="F3611" s="58"/>
      <c r="G3611" s="58"/>
    </row>
    <row r="3612">
      <c r="D3612" s="58"/>
      <c r="E3612" s="58"/>
      <c r="F3612" s="58"/>
      <c r="G3612" s="58"/>
    </row>
    <row r="3613">
      <c r="D3613" s="58"/>
      <c r="E3613" s="58"/>
      <c r="F3613" s="58"/>
      <c r="G3613" s="58"/>
    </row>
    <row r="3614">
      <c r="D3614" s="58"/>
      <c r="E3614" s="58"/>
      <c r="F3614" s="58"/>
      <c r="G3614" s="58"/>
    </row>
    <row r="3615">
      <c r="D3615" s="58"/>
      <c r="E3615" s="58"/>
      <c r="F3615" s="58"/>
      <c r="G3615" s="58"/>
    </row>
    <row r="3616">
      <c r="D3616" s="58"/>
      <c r="E3616" s="58"/>
      <c r="F3616" s="58"/>
      <c r="G3616" s="58"/>
    </row>
    <row r="3617">
      <c r="D3617" s="58"/>
      <c r="E3617" s="58"/>
      <c r="F3617" s="58"/>
      <c r="G3617" s="58"/>
    </row>
    <row r="3618">
      <c r="D3618" s="58"/>
      <c r="E3618" s="58"/>
      <c r="F3618" s="58"/>
      <c r="G3618" s="58"/>
    </row>
    <row r="3619">
      <c r="D3619" s="58"/>
      <c r="E3619" s="58"/>
      <c r="F3619" s="58"/>
      <c r="G3619" s="58"/>
    </row>
    <row r="3620">
      <c r="D3620" s="58"/>
      <c r="E3620" s="58"/>
      <c r="F3620" s="58"/>
      <c r="G3620" s="58"/>
    </row>
    <row r="3621">
      <c r="D3621" s="58"/>
      <c r="E3621" s="58"/>
      <c r="F3621" s="58"/>
      <c r="G3621" s="58"/>
    </row>
    <row r="3622">
      <c r="D3622" s="58"/>
      <c r="E3622" s="58"/>
      <c r="F3622" s="58"/>
      <c r="G3622" s="58"/>
    </row>
    <row r="3623">
      <c r="D3623" s="58"/>
      <c r="E3623" s="58"/>
      <c r="F3623" s="58"/>
      <c r="G3623" s="58"/>
    </row>
    <row r="3624">
      <c r="D3624" s="58"/>
      <c r="E3624" s="58"/>
      <c r="F3624" s="58"/>
      <c r="G3624" s="58"/>
    </row>
    <row r="3625">
      <c r="D3625" s="58"/>
      <c r="E3625" s="58"/>
      <c r="F3625" s="58"/>
      <c r="G3625" s="58"/>
    </row>
    <row r="3626">
      <c r="D3626" s="58"/>
      <c r="E3626" s="58"/>
      <c r="F3626" s="58"/>
      <c r="G3626" s="58"/>
    </row>
    <row r="3627">
      <c r="D3627" s="58"/>
      <c r="E3627" s="58"/>
      <c r="F3627" s="58"/>
      <c r="G3627" s="58"/>
    </row>
    <row r="3628">
      <c r="D3628" s="58"/>
      <c r="E3628" s="58"/>
      <c r="F3628" s="58"/>
      <c r="G3628" s="58"/>
    </row>
    <row r="3629">
      <c r="D3629" s="58"/>
      <c r="E3629" s="58"/>
      <c r="F3629" s="58"/>
      <c r="G3629" s="58"/>
    </row>
    <row r="3630">
      <c r="D3630" s="58"/>
      <c r="E3630" s="58"/>
      <c r="F3630" s="58"/>
      <c r="G3630" s="58"/>
    </row>
    <row r="3631">
      <c r="D3631" s="58"/>
      <c r="E3631" s="58"/>
      <c r="F3631" s="58"/>
      <c r="G3631" s="58"/>
    </row>
    <row r="3632">
      <c r="D3632" s="58"/>
      <c r="E3632" s="58"/>
      <c r="F3632" s="58"/>
      <c r="G3632" s="58"/>
    </row>
    <row r="3633">
      <c r="D3633" s="58"/>
      <c r="E3633" s="58"/>
      <c r="F3633" s="58"/>
      <c r="G3633" s="58"/>
    </row>
    <row r="3634">
      <c r="D3634" s="58"/>
      <c r="E3634" s="58"/>
      <c r="F3634" s="58"/>
      <c r="G3634" s="58"/>
    </row>
    <row r="3635">
      <c r="D3635" s="58"/>
      <c r="E3635" s="58"/>
      <c r="F3635" s="58"/>
      <c r="G3635" s="58"/>
    </row>
    <row r="3636">
      <c r="D3636" s="58"/>
      <c r="E3636" s="58"/>
      <c r="F3636" s="58"/>
      <c r="G3636" s="58"/>
    </row>
    <row r="3637">
      <c r="D3637" s="58"/>
      <c r="E3637" s="58"/>
      <c r="F3637" s="58"/>
      <c r="G3637" s="58"/>
    </row>
    <row r="3638">
      <c r="D3638" s="58"/>
      <c r="E3638" s="58"/>
      <c r="F3638" s="58"/>
      <c r="G3638" s="58"/>
    </row>
    <row r="3639">
      <c r="D3639" s="58"/>
      <c r="E3639" s="58"/>
      <c r="F3639" s="58"/>
      <c r="G3639" s="58"/>
    </row>
    <row r="3640">
      <c r="D3640" s="58"/>
      <c r="E3640" s="58"/>
      <c r="F3640" s="58"/>
      <c r="G3640" s="58"/>
    </row>
    <row r="3641">
      <c r="D3641" s="58"/>
      <c r="E3641" s="58"/>
      <c r="F3641" s="58"/>
      <c r="G3641" s="58"/>
    </row>
    <row r="3642">
      <c r="D3642" s="58"/>
      <c r="E3642" s="58"/>
      <c r="F3642" s="58"/>
      <c r="G3642" s="58"/>
    </row>
    <row r="3643">
      <c r="D3643" s="58"/>
      <c r="E3643" s="58"/>
      <c r="F3643" s="58"/>
      <c r="G3643" s="58"/>
    </row>
    <row r="3644">
      <c r="D3644" s="58"/>
      <c r="E3644" s="58"/>
      <c r="F3644" s="58"/>
      <c r="G3644" s="58"/>
    </row>
    <row r="3645">
      <c r="D3645" s="58"/>
      <c r="E3645" s="58"/>
      <c r="F3645" s="58"/>
      <c r="G3645" s="58"/>
    </row>
    <row r="3646">
      <c r="D3646" s="58"/>
      <c r="E3646" s="58"/>
      <c r="F3646" s="58"/>
      <c r="G3646" s="58"/>
    </row>
    <row r="3647">
      <c r="D3647" s="58"/>
      <c r="E3647" s="58"/>
      <c r="F3647" s="58"/>
      <c r="G3647" s="58"/>
    </row>
    <row r="3648">
      <c r="D3648" s="58"/>
      <c r="E3648" s="58"/>
      <c r="F3648" s="58"/>
      <c r="G3648" s="58"/>
    </row>
    <row r="3649">
      <c r="D3649" s="58"/>
      <c r="E3649" s="58"/>
      <c r="F3649" s="58"/>
      <c r="G3649" s="58"/>
    </row>
    <row r="3650">
      <c r="D3650" s="58"/>
      <c r="E3650" s="58"/>
      <c r="F3650" s="58"/>
      <c r="G3650" s="58"/>
    </row>
    <row r="3651">
      <c r="D3651" s="58"/>
      <c r="E3651" s="58"/>
      <c r="F3651" s="58"/>
      <c r="G3651" s="58"/>
    </row>
    <row r="3652">
      <c r="D3652" s="58"/>
      <c r="E3652" s="58"/>
      <c r="F3652" s="58"/>
      <c r="G3652" s="58"/>
    </row>
    <row r="3653">
      <c r="D3653" s="58"/>
      <c r="E3653" s="58"/>
      <c r="F3653" s="58"/>
      <c r="G3653" s="58"/>
    </row>
    <row r="3654">
      <c r="D3654" s="58"/>
      <c r="E3654" s="58"/>
      <c r="F3654" s="58"/>
      <c r="G3654" s="58"/>
    </row>
    <row r="3655">
      <c r="D3655" s="58"/>
      <c r="E3655" s="58"/>
      <c r="F3655" s="58"/>
      <c r="G3655" s="58"/>
    </row>
    <row r="3656">
      <c r="D3656" s="58"/>
      <c r="E3656" s="58"/>
      <c r="F3656" s="58"/>
      <c r="G3656" s="58"/>
    </row>
    <row r="3657">
      <c r="D3657" s="58"/>
      <c r="E3657" s="58"/>
      <c r="F3657" s="58"/>
      <c r="G3657" s="58"/>
    </row>
    <row r="3658">
      <c r="D3658" s="58"/>
      <c r="E3658" s="58"/>
      <c r="F3658" s="58"/>
      <c r="G3658" s="58"/>
    </row>
    <row r="3659">
      <c r="D3659" s="58"/>
      <c r="E3659" s="58"/>
      <c r="F3659" s="58"/>
      <c r="G3659" s="58"/>
    </row>
    <row r="3660">
      <c r="D3660" s="58"/>
      <c r="E3660" s="58"/>
      <c r="F3660" s="58"/>
      <c r="G3660" s="58"/>
    </row>
    <row r="3661">
      <c r="D3661" s="58"/>
      <c r="E3661" s="58"/>
      <c r="F3661" s="58"/>
      <c r="G3661" s="58"/>
    </row>
    <row r="3662">
      <c r="D3662" s="58"/>
      <c r="E3662" s="58"/>
      <c r="F3662" s="58"/>
      <c r="G3662" s="58"/>
    </row>
    <row r="3663">
      <c r="D3663" s="58"/>
      <c r="E3663" s="58"/>
      <c r="F3663" s="58"/>
      <c r="G3663" s="58"/>
    </row>
    <row r="3664">
      <c r="D3664" s="58"/>
      <c r="E3664" s="58"/>
      <c r="F3664" s="58"/>
      <c r="G3664" s="58"/>
    </row>
    <row r="3665">
      <c r="D3665" s="58"/>
      <c r="E3665" s="58"/>
      <c r="F3665" s="58"/>
      <c r="G3665" s="58"/>
    </row>
    <row r="3666">
      <c r="D3666" s="58"/>
      <c r="E3666" s="58"/>
      <c r="F3666" s="58"/>
      <c r="G3666" s="58"/>
    </row>
    <row r="3667">
      <c r="D3667" s="58"/>
      <c r="E3667" s="58"/>
      <c r="F3667" s="58"/>
      <c r="G3667" s="58"/>
    </row>
    <row r="3668">
      <c r="D3668" s="58"/>
      <c r="E3668" s="58"/>
      <c r="F3668" s="58"/>
      <c r="G3668" s="58"/>
    </row>
    <row r="3669">
      <c r="D3669" s="58"/>
      <c r="E3669" s="58"/>
      <c r="F3669" s="58"/>
      <c r="G3669" s="58"/>
    </row>
    <row r="3670">
      <c r="D3670" s="58"/>
      <c r="E3670" s="58"/>
      <c r="F3670" s="58"/>
      <c r="G3670" s="58"/>
    </row>
    <row r="3671">
      <c r="D3671" s="58"/>
      <c r="E3671" s="58"/>
      <c r="F3671" s="58"/>
      <c r="G3671" s="58"/>
    </row>
    <row r="3672">
      <c r="D3672" s="58"/>
      <c r="E3672" s="58"/>
      <c r="F3672" s="58"/>
      <c r="G3672" s="58"/>
    </row>
    <row r="3673">
      <c r="D3673" s="58"/>
      <c r="E3673" s="58"/>
      <c r="F3673" s="58"/>
      <c r="G3673" s="58"/>
    </row>
    <row r="3674">
      <c r="D3674" s="58"/>
      <c r="E3674" s="58"/>
      <c r="F3674" s="58"/>
      <c r="G3674" s="58"/>
    </row>
    <row r="3675">
      <c r="D3675" s="58"/>
      <c r="E3675" s="58"/>
      <c r="F3675" s="58"/>
      <c r="G3675" s="58"/>
    </row>
    <row r="3676">
      <c r="D3676" s="58"/>
      <c r="E3676" s="58"/>
      <c r="F3676" s="58"/>
      <c r="G3676" s="58"/>
    </row>
    <row r="3677">
      <c r="D3677" s="58"/>
      <c r="E3677" s="58"/>
      <c r="F3677" s="58"/>
      <c r="G3677" s="58"/>
    </row>
    <row r="3678">
      <c r="D3678" s="58"/>
      <c r="E3678" s="58"/>
      <c r="F3678" s="58"/>
      <c r="G3678" s="58"/>
    </row>
    <row r="3679">
      <c r="D3679" s="58"/>
      <c r="E3679" s="58"/>
      <c r="F3679" s="58"/>
      <c r="G3679" s="58"/>
    </row>
    <row r="3680">
      <c r="D3680" s="58"/>
      <c r="E3680" s="58"/>
      <c r="F3680" s="58"/>
      <c r="G3680" s="58"/>
    </row>
    <row r="3681">
      <c r="D3681" s="58"/>
      <c r="E3681" s="58"/>
      <c r="F3681" s="58"/>
      <c r="G3681" s="58"/>
    </row>
    <row r="3682">
      <c r="D3682" s="58"/>
      <c r="E3682" s="58"/>
      <c r="F3682" s="58"/>
      <c r="G3682" s="58"/>
    </row>
    <row r="3683">
      <c r="D3683" s="58"/>
      <c r="E3683" s="58"/>
      <c r="F3683" s="58"/>
      <c r="G3683" s="58"/>
    </row>
    <row r="3684">
      <c r="D3684" s="58"/>
      <c r="E3684" s="58"/>
      <c r="F3684" s="58"/>
      <c r="G3684" s="58"/>
    </row>
    <row r="3685">
      <c r="D3685" s="58"/>
      <c r="E3685" s="58"/>
      <c r="F3685" s="58"/>
      <c r="G3685" s="58"/>
    </row>
    <row r="3686">
      <c r="D3686" s="58"/>
      <c r="E3686" s="58"/>
      <c r="F3686" s="58"/>
      <c r="G3686" s="58"/>
    </row>
    <row r="3687">
      <c r="D3687" s="58"/>
      <c r="E3687" s="58"/>
      <c r="F3687" s="58"/>
      <c r="G3687" s="58"/>
    </row>
    <row r="3688">
      <c r="D3688" s="58"/>
      <c r="E3688" s="58"/>
      <c r="F3688" s="58"/>
      <c r="G3688" s="58"/>
    </row>
    <row r="3689">
      <c r="D3689" s="58"/>
      <c r="E3689" s="58"/>
      <c r="F3689" s="58"/>
      <c r="G3689" s="58"/>
    </row>
    <row r="3690">
      <c r="D3690" s="58"/>
      <c r="E3690" s="58"/>
      <c r="F3690" s="58"/>
      <c r="G3690" s="58"/>
    </row>
    <row r="3691">
      <c r="D3691" s="58"/>
      <c r="E3691" s="58"/>
      <c r="F3691" s="58"/>
      <c r="G3691" s="58"/>
    </row>
    <row r="3692">
      <c r="D3692" s="58"/>
      <c r="E3692" s="58"/>
      <c r="F3692" s="58"/>
      <c r="G3692" s="58"/>
    </row>
    <row r="3693">
      <c r="D3693" s="58"/>
      <c r="E3693" s="58"/>
      <c r="F3693" s="58"/>
      <c r="G3693" s="58"/>
    </row>
    <row r="3694">
      <c r="D3694" s="58"/>
      <c r="E3694" s="58"/>
      <c r="F3694" s="58"/>
      <c r="G3694" s="58"/>
    </row>
    <row r="3695">
      <c r="D3695" s="58"/>
      <c r="E3695" s="58"/>
      <c r="F3695" s="58"/>
      <c r="G3695" s="58"/>
    </row>
    <row r="3696">
      <c r="D3696" s="58"/>
      <c r="E3696" s="58"/>
      <c r="F3696" s="58"/>
      <c r="G3696" s="58"/>
    </row>
    <row r="3697">
      <c r="D3697" s="58"/>
      <c r="E3697" s="58"/>
      <c r="F3697" s="58"/>
      <c r="G3697" s="58"/>
    </row>
    <row r="3698">
      <c r="D3698" s="58"/>
      <c r="E3698" s="58"/>
      <c r="F3698" s="58"/>
      <c r="G3698" s="58"/>
    </row>
    <row r="3699">
      <c r="D3699" s="58"/>
      <c r="E3699" s="58"/>
      <c r="F3699" s="58"/>
      <c r="G3699" s="58"/>
    </row>
    <row r="3700">
      <c r="D3700" s="58"/>
      <c r="E3700" s="58"/>
      <c r="F3700" s="58"/>
      <c r="G3700" s="58"/>
    </row>
    <row r="3701">
      <c r="D3701" s="58"/>
      <c r="E3701" s="58"/>
      <c r="F3701" s="58"/>
      <c r="G3701" s="58"/>
    </row>
    <row r="3702">
      <c r="D3702" s="58"/>
      <c r="E3702" s="58"/>
      <c r="F3702" s="58"/>
      <c r="G3702" s="58"/>
    </row>
    <row r="3703">
      <c r="D3703" s="58"/>
      <c r="E3703" s="58"/>
      <c r="F3703" s="58"/>
      <c r="G3703" s="58"/>
    </row>
    <row r="3704">
      <c r="D3704" s="58"/>
      <c r="E3704" s="58"/>
      <c r="F3704" s="58"/>
      <c r="G3704" s="58"/>
    </row>
    <row r="3705">
      <c r="D3705" s="58"/>
      <c r="E3705" s="58"/>
      <c r="F3705" s="58"/>
      <c r="G3705" s="58"/>
    </row>
    <row r="3706">
      <c r="D3706" s="58"/>
      <c r="E3706" s="58"/>
      <c r="F3706" s="58"/>
      <c r="G3706" s="58"/>
    </row>
    <row r="3707">
      <c r="D3707" s="58"/>
      <c r="E3707" s="58"/>
      <c r="F3707" s="58"/>
      <c r="G3707" s="58"/>
    </row>
    <row r="3708">
      <c r="D3708" s="58"/>
      <c r="E3708" s="58"/>
      <c r="F3708" s="58"/>
      <c r="G3708" s="58"/>
    </row>
    <row r="3709">
      <c r="D3709" s="58"/>
      <c r="E3709" s="58"/>
      <c r="F3709" s="58"/>
      <c r="G3709" s="58"/>
    </row>
    <row r="3710">
      <c r="D3710" s="58"/>
      <c r="E3710" s="58"/>
      <c r="F3710" s="58"/>
      <c r="G3710" s="58"/>
    </row>
    <row r="3711">
      <c r="D3711" s="58"/>
      <c r="E3711" s="58"/>
      <c r="F3711" s="58"/>
      <c r="G3711" s="58"/>
    </row>
    <row r="3712">
      <c r="D3712" s="58"/>
      <c r="E3712" s="58"/>
      <c r="F3712" s="58"/>
      <c r="G3712" s="58"/>
    </row>
    <row r="3713">
      <c r="D3713" s="58"/>
      <c r="E3713" s="58"/>
      <c r="F3713" s="58"/>
      <c r="G3713" s="58"/>
    </row>
    <row r="3714">
      <c r="D3714" s="58"/>
      <c r="E3714" s="58"/>
      <c r="F3714" s="58"/>
      <c r="G3714" s="58"/>
    </row>
    <row r="3715">
      <c r="D3715" s="58"/>
      <c r="E3715" s="58"/>
      <c r="F3715" s="58"/>
      <c r="G3715" s="58"/>
    </row>
    <row r="3716">
      <c r="D3716" s="58"/>
      <c r="E3716" s="58"/>
      <c r="F3716" s="58"/>
      <c r="G3716" s="58"/>
    </row>
    <row r="3717">
      <c r="D3717" s="58"/>
      <c r="E3717" s="58"/>
      <c r="F3717" s="58"/>
      <c r="G3717" s="58"/>
    </row>
    <row r="3718">
      <c r="D3718" s="58"/>
      <c r="E3718" s="58"/>
      <c r="F3718" s="58"/>
      <c r="G3718" s="58"/>
    </row>
    <row r="3719">
      <c r="D3719" s="58"/>
      <c r="E3719" s="58"/>
      <c r="F3719" s="58"/>
      <c r="G3719" s="58"/>
    </row>
    <row r="3720">
      <c r="D3720" s="58"/>
      <c r="E3720" s="58"/>
      <c r="F3720" s="58"/>
      <c r="G3720" s="58"/>
    </row>
    <row r="3721">
      <c r="D3721" s="58"/>
      <c r="E3721" s="58"/>
      <c r="F3721" s="58"/>
      <c r="G3721" s="58"/>
    </row>
    <row r="3722">
      <c r="D3722" s="58"/>
      <c r="E3722" s="58"/>
      <c r="F3722" s="58"/>
      <c r="G3722" s="58"/>
    </row>
    <row r="3723">
      <c r="D3723" s="58"/>
      <c r="E3723" s="58"/>
      <c r="F3723" s="58"/>
      <c r="G3723" s="58"/>
    </row>
    <row r="3724">
      <c r="D3724" s="58"/>
      <c r="E3724" s="58"/>
      <c r="F3724" s="58"/>
      <c r="G3724" s="58"/>
    </row>
    <row r="3725">
      <c r="D3725" s="58"/>
      <c r="E3725" s="58"/>
      <c r="F3725" s="58"/>
      <c r="G3725" s="58"/>
    </row>
    <row r="3726">
      <c r="D3726" s="58"/>
      <c r="E3726" s="58"/>
      <c r="F3726" s="58"/>
      <c r="G3726" s="58"/>
    </row>
    <row r="3727">
      <c r="D3727" s="58"/>
      <c r="E3727" s="58"/>
      <c r="F3727" s="58"/>
      <c r="G3727" s="58"/>
    </row>
    <row r="3728">
      <c r="D3728" s="58"/>
      <c r="E3728" s="58"/>
      <c r="F3728" s="58"/>
      <c r="G3728" s="58"/>
    </row>
    <row r="3729">
      <c r="D3729" s="58"/>
      <c r="E3729" s="58"/>
      <c r="F3729" s="58"/>
      <c r="G3729" s="58"/>
    </row>
    <row r="3730">
      <c r="D3730" s="58"/>
      <c r="E3730" s="58"/>
      <c r="F3730" s="58"/>
      <c r="G3730" s="58"/>
    </row>
    <row r="3731">
      <c r="D3731" s="58"/>
      <c r="E3731" s="58"/>
      <c r="F3731" s="58"/>
      <c r="G3731" s="58"/>
    </row>
    <row r="3732">
      <c r="D3732" s="58"/>
      <c r="E3732" s="58"/>
      <c r="F3732" s="58"/>
      <c r="G3732" s="58"/>
    </row>
    <row r="3733">
      <c r="D3733" s="58"/>
      <c r="E3733" s="58"/>
      <c r="F3733" s="58"/>
      <c r="G3733" s="58"/>
    </row>
    <row r="3734">
      <c r="D3734" s="58"/>
      <c r="E3734" s="58"/>
      <c r="F3734" s="58"/>
      <c r="G3734" s="58"/>
    </row>
    <row r="3735">
      <c r="D3735" s="58"/>
      <c r="E3735" s="58"/>
      <c r="F3735" s="58"/>
      <c r="G3735" s="58"/>
    </row>
    <row r="3736">
      <c r="D3736" s="58"/>
      <c r="E3736" s="58"/>
      <c r="F3736" s="58"/>
      <c r="G3736" s="58"/>
    </row>
    <row r="3737">
      <c r="D3737" s="58"/>
      <c r="E3737" s="58"/>
      <c r="F3737" s="58"/>
      <c r="G3737" s="58"/>
    </row>
    <row r="3738">
      <c r="D3738" s="58"/>
      <c r="E3738" s="58"/>
      <c r="F3738" s="58"/>
      <c r="G3738" s="58"/>
    </row>
    <row r="3739">
      <c r="D3739" s="58"/>
      <c r="E3739" s="58"/>
      <c r="F3739" s="58"/>
      <c r="G3739" s="58"/>
    </row>
    <row r="3740">
      <c r="D3740" s="58"/>
      <c r="E3740" s="58"/>
      <c r="F3740" s="58"/>
      <c r="G3740" s="58"/>
    </row>
    <row r="3741">
      <c r="D3741" s="58"/>
      <c r="E3741" s="58"/>
      <c r="F3741" s="58"/>
      <c r="G3741" s="58"/>
    </row>
    <row r="3742">
      <c r="D3742" s="58"/>
      <c r="E3742" s="58"/>
      <c r="F3742" s="58"/>
      <c r="G3742" s="58"/>
    </row>
    <row r="3743">
      <c r="D3743" s="58"/>
      <c r="E3743" s="58"/>
      <c r="F3743" s="58"/>
      <c r="G3743" s="58"/>
    </row>
    <row r="3744">
      <c r="D3744" s="58"/>
      <c r="E3744" s="58"/>
      <c r="F3744" s="58"/>
      <c r="G3744" s="58"/>
    </row>
    <row r="3745">
      <c r="D3745" s="58"/>
      <c r="E3745" s="58"/>
      <c r="F3745" s="58"/>
      <c r="G3745" s="58"/>
    </row>
    <row r="3746">
      <c r="D3746" s="58"/>
      <c r="E3746" s="58"/>
      <c r="F3746" s="58"/>
      <c r="G3746" s="58"/>
    </row>
    <row r="3747">
      <c r="D3747" s="58"/>
      <c r="E3747" s="58"/>
      <c r="F3747" s="58"/>
      <c r="G3747" s="58"/>
    </row>
    <row r="3748">
      <c r="D3748" s="58"/>
      <c r="E3748" s="58"/>
      <c r="F3748" s="58"/>
      <c r="G3748" s="58"/>
    </row>
    <row r="3749">
      <c r="D3749" s="58"/>
      <c r="E3749" s="58"/>
      <c r="F3749" s="58"/>
      <c r="G3749" s="58"/>
    </row>
    <row r="3750">
      <c r="D3750" s="58"/>
      <c r="E3750" s="58"/>
      <c r="F3750" s="58"/>
      <c r="G3750" s="58"/>
    </row>
    <row r="3751">
      <c r="D3751" s="58"/>
      <c r="E3751" s="58"/>
      <c r="F3751" s="58"/>
      <c r="G3751" s="58"/>
    </row>
    <row r="3752">
      <c r="D3752" s="58"/>
      <c r="E3752" s="58"/>
      <c r="F3752" s="58"/>
      <c r="G3752" s="58"/>
    </row>
    <row r="3753">
      <c r="D3753" s="58"/>
      <c r="E3753" s="58"/>
      <c r="F3753" s="58"/>
      <c r="G3753" s="58"/>
    </row>
    <row r="3754">
      <c r="D3754" s="58"/>
      <c r="E3754" s="58"/>
      <c r="F3754" s="58"/>
      <c r="G3754" s="58"/>
    </row>
    <row r="3755">
      <c r="D3755" s="58"/>
      <c r="E3755" s="58"/>
      <c r="F3755" s="58"/>
      <c r="G3755" s="58"/>
    </row>
    <row r="3756">
      <c r="D3756" s="58"/>
      <c r="E3756" s="58"/>
      <c r="F3756" s="58"/>
      <c r="G3756" s="58"/>
    </row>
    <row r="3757">
      <c r="D3757" s="58"/>
      <c r="E3757" s="58"/>
      <c r="F3757" s="58"/>
      <c r="G3757" s="58"/>
    </row>
    <row r="3758">
      <c r="D3758" s="58"/>
      <c r="E3758" s="58"/>
      <c r="F3758" s="58"/>
      <c r="G3758" s="58"/>
    </row>
    <row r="3759">
      <c r="D3759" s="58"/>
      <c r="E3759" s="58"/>
      <c r="F3759" s="58"/>
      <c r="G3759" s="58"/>
    </row>
    <row r="3760">
      <c r="D3760" s="58"/>
      <c r="E3760" s="58"/>
      <c r="F3760" s="58"/>
      <c r="G3760" s="58"/>
    </row>
    <row r="3761">
      <c r="D3761" s="58"/>
      <c r="E3761" s="58"/>
      <c r="F3761" s="58"/>
      <c r="G3761" s="58"/>
    </row>
    <row r="3762">
      <c r="D3762" s="58"/>
      <c r="E3762" s="58"/>
      <c r="F3762" s="58"/>
      <c r="G3762" s="58"/>
    </row>
    <row r="3763">
      <c r="D3763" s="58"/>
      <c r="E3763" s="58"/>
      <c r="F3763" s="58"/>
      <c r="G3763" s="58"/>
    </row>
    <row r="3764">
      <c r="D3764" s="58"/>
      <c r="E3764" s="58"/>
      <c r="F3764" s="58"/>
      <c r="G3764" s="58"/>
    </row>
    <row r="3765">
      <c r="D3765" s="58"/>
      <c r="E3765" s="58"/>
      <c r="F3765" s="58"/>
      <c r="G3765" s="58"/>
    </row>
    <row r="3766">
      <c r="D3766" s="58"/>
      <c r="E3766" s="58"/>
      <c r="F3766" s="58"/>
      <c r="G3766" s="58"/>
    </row>
    <row r="3767">
      <c r="D3767" s="58"/>
      <c r="E3767" s="58"/>
      <c r="F3767" s="58"/>
      <c r="G3767" s="58"/>
    </row>
    <row r="3768">
      <c r="D3768" s="58"/>
      <c r="E3768" s="58"/>
      <c r="F3768" s="58"/>
      <c r="G3768" s="58"/>
    </row>
    <row r="3769">
      <c r="D3769" s="58"/>
      <c r="E3769" s="58"/>
      <c r="F3769" s="58"/>
      <c r="G3769" s="58"/>
    </row>
    <row r="3770">
      <c r="D3770" s="58"/>
      <c r="E3770" s="58"/>
      <c r="F3770" s="58"/>
      <c r="G3770" s="58"/>
    </row>
    <row r="3771">
      <c r="D3771" s="58"/>
      <c r="E3771" s="58"/>
      <c r="F3771" s="58"/>
      <c r="G3771" s="58"/>
    </row>
    <row r="3772">
      <c r="D3772" s="58"/>
      <c r="E3772" s="58"/>
      <c r="F3772" s="58"/>
      <c r="G3772" s="58"/>
    </row>
    <row r="3773">
      <c r="D3773" s="58"/>
      <c r="E3773" s="58"/>
      <c r="F3773" s="58"/>
      <c r="G3773" s="58"/>
    </row>
    <row r="3774">
      <c r="D3774" s="58"/>
      <c r="E3774" s="58"/>
      <c r="F3774" s="58"/>
      <c r="G3774" s="58"/>
    </row>
    <row r="3775">
      <c r="D3775" s="58"/>
      <c r="E3775" s="58"/>
      <c r="F3775" s="58"/>
      <c r="G3775" s="58"/>
    </row>
    <row r="3776">
      <c r="D3776" s="58"/>
      <c r="E3776" s="58"/>
      <c r="F3776" s="58"/>
      <c r="G3776" s="58"/>
    </row>
    <row r="3777">
      <c r="D3777" s="58"/>
      <c r="E3777" s="58"/>
      <c r="F3777" s="58"/>
      <c r="G3777" s="58"/>
    </row>
    <row r="3778">
      <c r="D3778" s="58"/>
      <c r="E3778" s="58"/>
      <c r="F3778" s="58"/>
      <c r="G3778" s="58"/>
    </row>
    <row r="3779">
      <c r="D3779" s="58"/>
      <c r="E3779" s="58"/>
      <c r="F3779" s="58"/>
      <c r="G3779" s="58"/>
    </row>
    <row r="3780">
      <c r="D3780" s="58"/>
      <c r="E3780" s="58"/>
      <c r="F3780" s="58"/>
      <c r="G3780" s="58"/>
    </row>
    <row r="3781">
      <c r="D3781" s="58"/>
      <c r="E3781" s="58"/>
      <c r="F3781" s="58"/>
      <c r="G3781" s="58"/>
    </row>
    <row r="3782">
      <c r="D3782" s="58"/>
      <c r="E3782" s="58"/>
      <c r="F3782" s="58"/>
      <c r="G3782" s="58"/>
    </row>
    <row r="3783">
      <c r="D3783" s="58"/>
      <c r="E3783" s="58"/>
      <c r="F3783" s="58"/>
      <c r="G3783" s="58"/>
    </row>
    <row r="3784">
      <c r="D3784" s="58"/>
      <c r="E3784" s="58"/>
      <c r="F3784" s="58"/>
      <c r="G3784" s="58"/>
    </row>
    <row r="3785">
      <c r="D3785" s="58"/>
      <c r="E3785" s="58"/>
      <c r="F3785" s="58"/>
      <c r="G3785" s="58"/>
    </row>
    <row r="3786">
      <c r="D3786" s="58"/>
      <c r="E3786" s="58"/>
      <c r="F3786" s="58"/>
      <c r="G3786" s="58"/>
    </row>
    <row r="3787">
      <c r="D3787" s="58"/>
      <c r="E3787" s="58"/>
      <c r="F3787" s="58"/>
      <c r="G3787" s="58"/>
    </row>
    <row r="3788">
      <c r="D3788" s="58"/>
      <c r="E3788" s="58"/>
      <c r="F3788" s="58"/>
      <c r="G3788" s="58"/>
    </row>
    <row r="3789">
      <c r="D3789" s="58"/>
      <c r="E3789" s="58"/>
      <c r="F3789" s="58"/>
      <c r="G3789" s="58"/>
    </row>
    <row r="3790">
      <c r="D3790" s="58"/>
      <c r="E3790" s="58"/>
      <c r="F3790" s="58"/>
      <c r="G3790" s="58"/>
    </row>
    <row r="3791">
      <c r="D3791" s="58"/>
      <c r="E3791" s="58"/>
      <c r="F3791" s="58"/>
      <c r="G3791" s="58"/>
    </row>
    <row r="3792">
      <c r="D3792" s="58"/>
      <c r="E3792" s="58"/>
      <c r="F3792" s="58"/>
      <c r="G3792" s="58"/>
    </row>
    <row r="3793">
      <c r="D3793" s="58"/>
      <c r="E3793" s="58"/>
      <c r="F3793" s="58"/>
      <c r="G3793" s="58"/>
    </row>
    <row r="3794">
      <c r="D3794" s="58"/>
      <c r="E3794" s="58"/>
      <c r="F3794" s="58"/>
      <c r="G3794" s="58"/>
    </row>
    <row r="3795">
      <c r="D3795" s="58"/>
      <c r="E3795" s="58"/>
      <c r="F3795" s="58"/>
      <c r="G3795" s="58"/>
    </row>
    <row r="3796">
      <c r="D3796" s="58"/>
      <c r="E3796" s="58"/>
      <c r="F3796" s="58"/>
      <c r="G3796" s="58"/>
    </row>
    <row r="3797">
      <c r="D3797" s="58"/>
      <c r="E3797" s="58"/>
      <c r="F3797" s="58"/>
      <c r="G3797" s="58"/>
    </row>
    <row r="3798">
      <c r="D3798" s="58"/>
      <c r="E3798" s="58"/>
      <c r="F3798" s="58"/>
      <c r="G3798" s="58"/>
    </row>
    <row r="3799">
      <c r="D3799" s="58"/>
      <c r="E3799" s="58"/>
      <c r="F3799" s="58"/>
      <c r="G3799" s="58"/>
    </row>
    <row r="3800">
      <c r="D3800" s="58"/>
      <c r="E3800" s="58"/>
      <c r="F3800" s="58"/>
      <c r="G3800" s="58"/>
    </row>
    <row r="3801">
      <c r="D3801" s="58"/>
      <c r="E3801" s="58"/>
      <c r="F3801" s="58"/>
      <c r="G3801" s="58"/>
    </row>
    <row r="3802">
      <c r="D3802" s="58"/>
      <c r="E3802" s="58"/>
      <c r="F3802" s="58"/>
      <c r="G3802" s="58"/>
    </row>
    <row r="3803">
      <c r="D3803" s="58"/>
      <c r="E3803" s="58"/>
      <c r="F3803" s="58"/>
      <c r="G3803" s="58"/>
    </row>
    <row r="3804">
      <c r="D3804" s="58"/>
      <c r="E3804" s="58"/>
      <c r="F3804" s="58"/>
      <c r="G3804" s="58"/>
    </row>
    <row r="3805">
      <c r="D3805" s="58"/>
      <c r="E3805" s="58"/>
      <c r="F3805" s="58"/>
      <c r="G3805" s="58"/>
    </row>
    <row r="3806">
      <c r="D3806" s="58"/>
      <c r="E3806" s="58"/>
      <c r="F3806" s="58"/>
      <c r="G3806" s="58"/>
    </row>
    <row r="3807">
      <c r="D3807" s="58"/>
      <c r="E3807" s="58"/>
      <c r="F3807" s="58"/>
      <c r="G3807" s="58"/>
    </row>
    <row r="3808">
      <c r="D3808" s="58"/>
      <c r="E3808" s="58"/>
      <c r="F3808" s="58"/>
      <c r="G3808" s="58"/>
    </row>
    <row r="3809">
      <c r="D3809" s="58"/>
      <c r="E3809" s="58"/>
      <c r="F3809" s="58"/>
      <c r="G3809" s="58"/>
    </row>
    <row r="3810">
      <c r="D3810" s="58"/>
      <c r="E3810" s="58"/>
      <c r="F3810" s="58"/>
      <c r="G3810" s="58"/>
    </row>
    <row r="3811">
      <c r="D3811" s="58"/>
      <c r="E3811" s="58"/>
      <c r="F3811" s="58"/>
      <c r="G3811" s="58"/>
    </row>
    <row r="3812">
      <c r="D3812" s="58"/>
      <c r="E3812" s="58"/>
      <c r="F3812" s="58"/>
      <c r="G3812" s="58"/>
    </row>
    <row r="3813">
      <c r="D3813" s="58"/>
      <c r="E3813" s="58"/>
      <c r="F3813" s="58"/>
      <c r="G3813" s="58"/>
    </row>
    <row r="3814">
      <c r="D3814" s="58"/>
      <c r="E3814" s="58"/>
      <c r="F3814" s="58"/>
      <c r="G3814" s="58"/>
    </row>
    <row r="3815">
      <c r="D3815" s="58"/>
      <c r="E3815" s="58"/>
      <c r="F3815" s="58"/>
      <c r="G3815" s="58"/>
    </row>
    <row r="3816">
      <c r="D3816" s="58"/>
      <c r="E3816" s="58"/>
      <c r="F3816" s="58"/>
      <c r="G3816" s="58"/>
    </row>
    <row r="3817">
      <c r="D3817" s="58"/>
      <c r="E3817" s="58"/>
      <c r="F3817" s="58"/>
      <c r="G3817" s="58"/>
    </row>
    <row r="3818">
      <c r="D3818" s="58"/>
      <c r="E3818" s="58"/>
      <c r="F3818" s="58"/>
      <c r="G3818" s="58"/>
    </row>
    <row r="3819">
      <c r="D3819" s="58"/>
      <c r="E3819" s="58"/>
      <c r="F3819" s="58"/>
      <c r="G3819" s="58"/>
    </row>
    <row r="3820">
      <c r="D3820" s="58"/>
      <c r="E3820" s="58"/>
      <c r="F3820" s="58"/>
      <c r="G3820" s="58"/>
    </row>
    <row r="3821">
      <c r="D3821" s="58"/>
      <c r="E3821" s="58"/>
      <c r="F3821" s="58"/>
      <c r="G3821" s="58"/>
    </row>
    <row r="3822">
      <c r="D3822" s="58"/>
      <c r="E3822" s="58"/>
      <c r="F3822" s="58"/>
      <c r="G3822" s="58"/>
    </row>
    <row r="3823">
      <c r="D3823" s="58"/>
      <c r="E3823" s="58"/>
      <c r="F3823" s="58"/>
      <c r="G3823" s="58"/>
    </row>
    <row r="3824">
      <c r="D3824" s="58"/>
      <c r="E3824" s="58"/>
      <c r="F3824" s="58"/>
      <c r="G3824" s="58"/>
    </row>
    <row r="3825">
      <c r="D3825" s="58"/>
      <c r="E3825" s="58"/>
      <c r="F3825" s="58"/>
      <c r="G3825" s="58"/>
    </row>
    <row r="3826">
      <c r="D3826" s="58"/>
      <c r="E3826" s="58"/>
      <c r="F3826" s="58"/>
      <c r="G3826" s="58"/>
    </row>
    <row r="3827">
      <c r="D3827" s="58"/>
      <c r="E3827" s="58"/>
      <c r="F3827" s="58"/>
      <c r="G3827" s="58"/>
    </row>
    <row r="3828">
      <c r="D3828" s="58"/>
      <c r="E3828" s="58"/>
      <c r="F3828" s="58"/>
      <c r="G3828" s="58"/>
    </row>
    <row r="3829">
      <c r="D3829" s="58"/>
      <c r="E3829" s="58"/>
      <c r="F3829" s="58"/>
      <c r="G3829" s="58"/>
    </row>
    <row r="3830">
      <c r="D3830" s="58"/>
      <c r="E3830" s="58"/>
      <c r="F3830" s="58"/>
      <c r="G3830" s="58"/>
    </row>
    <row r="3831">
      <c r="D3831" s="58"/>
      <c r="E3831" s="58"/>
      <c r="F3831" s="58"/>
      <c r="G3831" s="58"/>
    </row>
    <row r="3832">
      <c r="D3832" s="58"/>
      <c r="E3832" s="58"/>
      <c r="F3832" s="58"/>
      <c r="G3832" s="58"/>
    </row>
    <row r="3833">
      <c r="D3833" s="58"/>
      <c r="E3833" s="58"/>
      <c r="F3833" s="58"/>
      <c r="G3833" s="58"/>
    </row>
    <row r="3834">
      <c r="D3834" s="58"/>
      <c r="E3834" s="58"/>
      <c r="F3834" s="58"/>
      <c r="G3834" s="58"/>
    </row>
    <row r="3835">
      <c r="D3835" s="58"/>
      <c r="E3835" s="58"/>
      <c r="F3835" s="58"/>
      <c r="G3835" s="58"/>
    </row>
    <row r="3836">
      <c r="D3836" s="58"/>
      <c r="E3836" s="58"/>
      <c r="F3836" s="58"/>
      <c r="G3836" s="58"/>
    </row>
    <row r="3837">
      <c r="D3837" s="58"/>
      <c r="E3837" s="58"/>
      <c r="F3837" s="58"/>
      <c r="G3837" s="58"/>
    </row>
    <row r="3838">
      <c r="D3838" s="58"/>
      <c r="E3838" s="58"/>
      <c r="F3838" s="58"/>
      <c r="G3838" s="58"/>
    </row>
    <row r="3839">
      <c r="D3839" s="58"/>
      <c r="E3839" s="58"/>
      <c r="F3839" s="58"/>
      <c r="G3839" s="58"/>
    </row>
    <row r="3840">
      <c r="D3840" s="58"/>
      <c r="E3840" s="58"/>
      <c r="F3840" s="58"/>
      <c r="G3840" s="58"/>
    </row>
    <row r="3841">
      <c r="D3841" s="58"/>
      <c r="E3841" s="58"/>
      <c r="F3841" s="58"/>
      <c r="G3841" s="58"/>
    </row>
    <row r="3842">
      <c r="D3842" s="58"/>
      <c r="E3842" s="58"/>
      <c r="F3842" s="58"/>
      <c r="G3842" s="58"/>
    </row>
    <row r="3843">
      <c r="D3843" s="58"/>
      <c r="E3843" s="58"/>
      <c r="F3843" s="58"/>
      <c r="G3843" s="58"/>
    </row>
    <row r="3844">
      <c r="D3844" s="58"/>
      <c r="E3844" s="58"/>
      <c r="F3844" s="58"/>
      <c r="G3844" s="58"/>
    </row>
    <row r="3845">
      <c r="D3845" s="58"/>
      <c r="E3845" s="58"/>
      <c r="F3845" s="58"/>
      <c r="G3845" s="58"/>
    </row>
    <row r="3846">
      <c r="D3846" s="58"/>
      <c r="E3846" s="58"/>
      <c r="F3846" s="58"/>
      <c r="G3846" s="58"/>
    </row>
    <row r="3847">
      <c r="D3847" s="58"/>
      <c r="E3847" s="58"/>
      <c r="F3847" s="58"/>
      <c r="G3847" s="58"/>
    </row>
    <row r="3848">
      <c r="D3848" s="58"/>
      <c r="E3848" s="58"/>
      <c r="F3848" s="58"/>
      <c r="G3848" s="58"/>
    </row>
    <row r="3849">
      <c r="D3849" s="58"/>
      <c r="E3849" s="58"/>
      <c r="F3849" s="58"/>
      <c r="G3849" s="58"/>
    </row>
    <row r="3850">
      <c r="D3850" s="58"/>
      <c r="E3850" s="58"/>
      <c r="F3850" s="58"/>
      <c r="G3850" s="58"/>
    </row>
    <row r="3851">
      <c r="D3851" s="58"/>
      <c r="E3851" s="58"/>
      <c r="F3851" s="58"/>
      <c r="G3851" s="58"/>
    </row>
    <row r="3852">
      <c r="D3852" s="58"/>
      <c r="E3852" s="58"/>
      <c r="F3852" s="58"/>
      <c r="G3852" s="58"/>
    </row>
    <row r="3853">
      <c r="D3853" s="58"/>
      <c r="E3853" s="58"/>
      <c r="F3853" s="58"/>
      <c r="G3853" s="58"/>
    </row>
    <row r="3854">
      <c r="D3854" s="58"/>
      <c r="E3854" s="58"/>
      <c r="F3854" s="58"/>
      <c r="G3854" s="58"/>
    </row>
    <row r="3855">
      <c r="D3855" s="58"/>
      <c r="E3855" s="58"/>
      <c r="F3855" s="58"/>
      <c r="G3855" s="58"/>
    </row>
    <row r="3856">
      <c r="D3856" s="58"/>
      <c r="E3856" s="58"/>
      <c r="F3856" s="58"/>
      <c r="G3856" s="58"/>
    </row>
    <row r="3857">
      <c r="D3857" s="58"/>
      <c r="E3857" s="58"/>
      <c r="F3857" s="58"/>
      <c r="G3857" s="58"/>
    </row>
    <row r="3858">
      <c r="D3858" s="58"/>
      <c r="E3858" s="58"/>
      <c r="F3858" s="58"/>
      <c r="G3858" s="58"/>
    </row>
    <row r="3859">
      <c r="D3859" s="58"/>
      <c r="E3859" s="58"/>
      <c r="F3859" s="58"/>
      <c r="G3859" s="58"/>
    </row>
    <row r="3860">
      <c r="D3860" s="58"/>
      <c r="E3860" s="58"/>
      <c r="F3860" s="58"/>
      <c r="G3860" s="58"/>
    </row>
    <row r="3861">
      <c r="D3861" s="58"/>
      <c r="E3861" s="58"/>
      <c r="F3861" s="58"/>
      <c r="G3861" s="58"/>
    </row>
    <row r="3862">
      <c r="D3862" s="58"/>
      <c r="E3862" s="58"/>
      <c r="F3862" s="58"/>
      <c r="G3862" s="58"/>
    </row>
    <row r="3863">
      <c r="D3863" s="58"/>
      <c r="E3863" s="58"/>
      <c r="F3863" s="58"/>
      <c r="G3863" s="58"/>
    </row>
    <row r="3864">
      <c r="D3864" s="58"/>
      <c r="E3864" s="58"/>
      <c r="F3864" s="58"/>
      <c r="G3864" s="58"/>
    </row>
    <row r="3865">
      <c r="D3865" s="58"/>
      <c r="E3865" s="58"/>
      <c r="F3865" s="58"/>
      <c r="G3865" s="58"/>
    </row>
    <row r="3866">
      <c r="D3866" s="58"/>
      <c r="E3866" s="58"/>
      <c r="F3866" s="58"/>
      <c r="G3866" s="58"/>
    </row>
    <row r="3867">
      <c r="D3867" s="58"/>
      <c r="E3867" s="58"/>
      <c r="F3867" s="58"/>
      <c r="G3867" s="58"/>
    </row>
    <row r="3868">
      <c r="D3868" s="58"/>
      <c r="E3868" s="58"/>
      <c r="F3868" s="58"/>
      <c r="G3868" s="58"/>
    </row>
    <row r="3869">
      <c r="D3869" s="58"/>
      <c r="E3869" s="58"/>
      <c r="F3869" s="58"/>
      <c r="G3869" s="58"/>
    </row>
    <row r="3870">
      <c r="D3870" s="58"/>
      <c r="E3870" s="58"/>
      <c r="F3870" s="58"/>
      <c r="G3870" s="58"/>
    </row>
    <row r="3871">
      <c r="D3871" s="58"/>
      <c r="E3871" s="58"/>
      <c r="F3871" s="58"/>
      <c r="G3871" s="58"/>
    </row>
    <row r="3872">
      <c r="D3872" s="58"/>
      <c r="E3872" s="58"/>
      <c r="F3872" s="58"/>
      <c r="G3872" s="58"/>
    </row>
    <row r="3873">
      <c r="D3873" s="58"/>
      <c r="E3873" s="58"/>
      <c r="F3873" s="58"/>
      <c r="G3873" s="58"/>
    </row>
    <row r="3874">
      <c r="D3874" s="58"/>
      <c r="E3874" s="58"/>
      <c r="F3874" s="58"/>
      <c r="G3874" s="58"/>
    </row>
    <row r="3875">
      <c r="D3875" s="58"/>
      <c r="E3875" s="58"/>
      <c r="F3875" s="58"/>
      <c r="G3875" s="58"/>
    </row>
    <row r="3876">
      <c r="D3876" s="58"/>
      <c r="E3876" s="58"/>
      <c r="F3876" s="58"/>
      <c r="G3876" s="58"/>
    </row>
    <row r="3877">
      <c r="D3877" s="58"/>
      <c r="E3877" s="58"/>
      <c r="F3877" s="58"/>
      <c r="G3877" s="58"/>
    </row>
    <row r="3878">
      <c r="D3878" s="58"/>
      <c r="E3878" s="58"/>
      <c r="F3878" s="58"/>
      <c r="G3878" s="58"/>
    </row>
    <row r="3879">
      <c r="D3879" s="58"/>
      <c r="E3879" s="58"/>
      <c r="F3879" s="58"/>
      <c r="G3879" s="58"/>
    </row>
    <row r="3880">
      <c r="D3880" s="58"/>
      <c r="E3880" s="58"/>
      <c r="F3880" s="58"/>
      <c r="G3880" s="58"/>
    </row>
    <row r="3881">
      <c r="D3881" s="58"/>
      <c r="E3881" s="58"/>
      <c r="F3881" s="58"/>
      <c r="G3881" s="58"/>
    </row>
    <row r="3882">
      <c r="D3882" s="58"/>
      <c r="E3882" s="58"/>
      <c r="F3882" s="58"/>
      <c r="G3882" s="58"/>
    </row>
    <row r="3883">
      <c r="D3883" s="58"/>
      <c r="E3883" s="58"/>
      <c r="F3883" s="58"/>
      <c r="G3883" s="58"/>
    </row>
    <row r="3884">
      <c r="D3884" s="58"/>
      <c r="E3884" s="58"/>
      <c r="F3884" s="58"/>
      <c r="G3884" s="58"/>
    </row>
    <row r="3885">
      <c r="D3885" s="58"/>
      <c r="E3885" s="58"/>
      <c r="F3885" s="58"/>
      <c r="G3885" s="58"/>
    </row>
    <row r="3886">
      <c r="D3886" s="58"/>
      <c r="E3886" s="58"/>
      <c r="F3886" s="58"/>
      <c r="G3886" s="58"/>
    </row>
    <row r="3887">
      <c r="D3887" s="58"/>
      <c r="E3887" s="58"/>
      <c r="F3887" s="58"/>
      <c r="G3887" s="58"/>
    </row>
    <row r="3888">
      <c r="D3888" s="58"/>
      <c r="E3888" s="58"/>
      <c r="F3888" s="58"/>
      <c r="G3888" s="58"/>
    </row>
    <row r="3889">
      <c r="D3889" s="58"/>
      <c r="E3889" s="58"/>
      <c r="F3889" s="58"/>
      <c r="G3889" s="58"/>
    </row>
    <row r="3890">
      <c r="D3890" s="58"/>
      <c r="E3890" s="58"/>
      <c r="F3890" s="58"/>
      <c r="G3890" s="58"/>
    </row>
    <row r="3891">
      <c r="D3891" s="58"/>
      <c r="E3891" s="58"/>
      <c r="F3891" s="58"/>
      <c r="G3891" s="58"/>
    </row>
    <row r="3892">
      <c r="D3892" s="58"/>
      <c r="E3892" s="58"/>
      <c r="F3892" s="58"/>
      <c r="G3892" s="58"/>
    </row>
    <row r="3893">
      <c r="D3893" s="58"/>
      <c r="E3893" s="58"/>
      <c r="F3893" s="58"/>
      <c r="G3893" s="58"/>
    </row>
    <row r="3894">
      <c r="D3894" s="58"/>
      <c r="E3894" s="58"/>
      <c r="F3894" s="58"/>
      <c r="G3894" s="58"/>
    </row>
    <row r="3895">
      <c r="D3895" s="58"/>
      <c r="E3895" s="58"/>
      <c r="F3895" s="58"/>
      <c r="G3895" s="58"/>
    </row>
    <row r="3896">
      <c r="D3896" s="58"/>
      <c r="E3896" s="58"/>
      <c r="F3896" s="58"/>
      <c r="G3896" s="58"/>
    </row>
    <row r="3897">
      <c r="D3897" s="58"/>
      <c r="E3897" s="58"/>
      <c r="F3897" s="58"/>
      <c r="G3897" s="58"/>
    </row>
    <row r="3898">
      <c r="D3898" s="58"/>
      <c r="E3898" s="58"/>
      <c r="F3898" s="58"/>
      <c r="G3898" s="58"/>
    </row>
    <row r="3899">
      <c r="D3899" s="58"/>
      <c r="E3899" s="58"/>
      <c r="F3899" s="58"/>
      <c r="G3899" s="58"/>
    </row>
    <row r="3900">
      <c r="D3900" s="58"/>
      <c r="E3900" s="58"/>
      <c r="F3900" s="58"/>
      <c r="G3900" s="58"/>
    </row>
    <row r="3901">
      <c r="D3901" s="58"/>
      <c r="E3901" s="58"/>
      <c r="F3901" s="58"/>
      <c r="G3901" s="58"/>
    </row>
    <row r="3902">
      <c r="D3902" s="58"/>
      <c r="E3902" s="58"/>
      <c r="F3902" s="58"/>
      <c r="G3902" s="58"/>
    </row>
    <row r="3903">
      <c r="D3903" s="58"/>
      <c r="E3903" s="58"/>
      <c r="F3903" s="58"/>
      <c r="G3903" s="58"/>
    </row>
    <row r="3904">
      <c r="D3904" s="58"/>
      <c r="E3904" s="58"/>
      <c r="F3904" s="58"/>
      <c r="G3904" s="58"/>
    </row>
    <row r="3905">
      <c r="D3905" s="58"/>
      <c r="E3905" s="58"/>
      <c r="F3905" s="58"/>
      <c r="G3905" s="58"/>
    </row>
    <row r="3906">
      <c r="D3906" s="58"/>
      <c r="E3906" s="58"/>
      <c r="F3906" s="58"/>
      <c r="G3906" s="58"/>
    </row>
    <row r="3907">
      <c r="D3907" s="58"/>
      <c r="E3907" s="58"/>
      <c r="F3907" s="58"/>
      <c r="G3907" s="58"/>
    </row>
    <row r="3908">
      <c r="D3908" s="58"/>
      <c r="E3908" s="58"/>
      <c r="F3908" s="58"/>
      <c r="G3908" s="58"/>
    </row>
    <row r="3909">
      <c r="D3909" s="58"/>
      <c r="E3909" s="58"/>
      <c r="F3909" s="58"/>
      <c r="G3909" s="58"/>
    </row>
    <row r="3910">
      <c r="D3910" s="58"/>
      <c r="E3910" s="58"/>
      <c r="F3910" s="58"/>
      <c r="G3910" s="58"/>
    </row>
    <row r="3911">
      <c r="D3911" s="58"/>
      <c r="E3911" s="58"/>
      <c r="F3911" s="58"/>
      <c r="G3911" s="58"/>
    </row>
    <row r="3912">
      <c r="D3912" s="58"/>
      <c r="E3912" s="58"/>
      <c r="F3912" s="58"/>
      <c r="G3912" s="58"/>
    </row>
    <row r="3913">
      <c r="D3913" s="58"/>
      <c r="E3913" s="58"/>
      <c r="F3913" s="58"/>
      <c r="G3913" s="58"/>
    </row>
    <row r="3914">
      <c r="D3914" s="58"/>
      <c r="E3914" s="58"/>
      <c r="F3914" s="58"/>
      <c r="G3914" s="58"/>
    </row>
    <row r="3915">
      <c r="D3915" s="58"/>
      <c r="E3915" s="58"/>
      <c r="F3915" s="58"/>
      <c r="G3915" s="58"/>
    </row>
    <row r="3916">
      <c r="D3916" s="58"/>
      <c r="E3916" s="58"/>
      <c r="F3916" s="58"/>
      <c r="G3916" s="58"/>
    </row>
    <row r="3917">
      <c r="D3917" s="58"/>
      <c r="E3917" s="58"/>
      <c r="F3917" s="58"/>
      <c r="G3917" s="58"/>
    </row>
    <row r="3918">
      <c r="D3918" s="58"/>
      <c r="E3918" s="58"/>
      <c r="F3918" s="58"/>
      <c r="G3918" s="58"/>
    </row>
    <row r="3919">
      <c r="D3919" s="58"/>
      <c r="E3919" s="58"/>
      <c r="F3919" s="58"/>
      <c r="G3919" s="58"/>
    </row>
    <row r="3920">
      <c r="D3920" s="58"/>
      <c r="E3920" s="58"/>
      <c r="F3920" s="58"/>
      <c r="G3920" s="58"/>
    </row>
    <row r="3921">
      <c r="D3921" s="58"/>
      <c r="E3921" s="58"/>
      <c r="F3921" s="58"/>
      <c r="G3921" s="58"/>
    </row>
    <row r="3922">
      <c r="D3922" s="58"/>
      <c r="E3922" s="58"/>
      <c r="F3922" s="58"/>
      <c r="G3922" s="58"/>
    </row>
    <row r="3923">
      <c r="D3923" s="58"/>
      <c r="E3923" s="58"/>
      <c r="F3923" s="58"/>
      <c r="G3923" s="58"/>
    </row>
    <row r="3924">
      <c r="D3924" s="58"/>
      <c r="E3924" s="58"/>
      <c r="F3924" s="58"/>
      <c r="G3924" s="58"/>
    </row>
    <row r="3925">
      <c r="D3925" s="58"/>
      <c r="E3925" s="58"/>
      <c r="F3925" s="58"/>
      <c r="G3925" s="58"/>
    </row>
    <row r="3926">
      <c r="D3926" s="58"/>
      <c r="E3926" s="58"/>
      <c r="F3926" s="58"/>
      <c r="G3926" s="58"/>
    </row>
    <row r="3927">
      <c r="D3927" s="58"/>
      <c r="E3927" s="58"/>
      <c r="F3927" s="58"/>
      <c r="G3927" s="58"/>
    </row>
    <row r="3928">
      <c r="D3928" s="58"/>
      <c r="E3928" s="58"/>
      <c r="F3928" s="58"/>
      <c r="G3928" s="58"/>
    </row>
    <row r="3929">
      <c r="D3929" s="58"/>
      <c r="E3929" s="58"/>
      <c r="F3929" s="58"/>
      <c r="G3929" s="58"/>
    </row>
    <row r="3930">
      <c r="D3930" s="58"/>
      <c r="E3930" s="58"/>
      <c r="F3930" s="58"/>
      <c r="G3930" s="58"/>
    </row>
    <row r="3931">
      <c r="D3931" s="58"/>
      <c r="E3931" s="58"/>
      <c r="F3931" s="58"/>
      <c r="G3931" s="58"/>
    </row>
    <row r="3932">
      <c r="D3932" s="58"/>
      <c r="E3932" s="58"/>
      <c r="F3932" s="58"/>
      <c r="G3932" s="58"/>
    </row>
    <row r="3933">
      <c r="D3933" s="58"/>
      <c r="E3933" s="58"/>
      <c r="F3933" s="58"/>
      <c r="G3933" s="58"/>
    </row>
    <row r="3934">
      <c r="D3934" s="58"/>
      <c r="E3934" s="58"/>
      <c r="F3934" s="58"/>
      <c r="G3934" s="58"/>
    </row>
    <row r="3935">
      <c r="D3935" s="58"/>
      <c r="E3935" s="58"/>
      <c r="F3935" s="58"/>
      <c r="G3935" s="58"/>
    </row>
    <row r="3936">
      <c r="D3936" s="58"/>
      <c r="E3936" s="58"/>
      <c r="F3936" s="58"/>
      <c r="G3936" s="58"/>
    </row>
    <row r="3937">
      <c r="D3937" s="58"/>
      <c r="E3937" s="58"/>
      <c r="F3937" s="58"/>
      <c r="G3937" s="58"/>
    </row>
    <row r="3938">
      <c r="D3938" s="58"/>
      <c r="E3938" s="58"/>
      <c r="F3938" s="58"/>
      <c r="G3938" s="58"/>
    </row>
    <row r="3939">
      <c r="D3939" s="58"/>
      <c r="E3939" s="58"/>
      <c r="F3939" s="58"/>
      <c r="G3939" s="58"/>
    </row>
    <row r="3940">
      <c r="D3940" s="58"/>
      <c r="E3940" s="58"/>
      <c r="F3940" s="58"/>
      <c r="G3940" s="58"/>
    </row>
    <row r="3941">
      <c r="D3941" s="58"/>
      <c r="E3941" s="58"/>
      <c r="F3941" s="58"/>
      <c r="G3941" s="58"/>
    </row>
    <row r="3942">
      <c r="D3942" s="58"/>
      <c r="E3942" s="58"/>
      <c r="F3942" s="58"/>
      <c r="G3942" s="58"/>
    </row>
    <row r="3943">
      <c r="D3943" s="58"/>
      <c r="E3943" s="58"/>
      <c r="F3943" s="58"/>
      <c r="G3943" s="58"/>
    </row>
    <row r="3944">
      <c r="D3944" s="58"/>
      <c r="E3944" s="58"/>
      <c r="F3944" s="58"/>
      <c r="G3944" s="58"/>
    </row>
    <row r="3945">
      <c r="D3945" s="58"/>
      <c r="E3945" s="58"/>
      <c r="F3945" s="58"/>
      <c r="G3945" s="58"/>
    </row>
    <row r="3946">
      <c r="D3946" s="58"/>
      <c r="E3946" s="58"/>
      <c r="F3946" s="58"/>
      <c r="G3946" s="58"/>
    </row>
    <row r="3947">
      <c r="D3947" s="58"/>
      <c r="E3947" s="58"/>
      <c r="F3947" s="58"/>
      <c r="G3947" s="58"/>
    </row>
    <row r="3948">
      <c r="D3948" s="58"/>
      <c r="E3948" s="58"/>
      <c r="F3948" s="58"/>
      <c r="G3948" s="58"/>
    </row>
    <row r="3949">
      <c r="D3949" s="58"/>
      <c r="E3949" s="58"/>
      <c r="F3949" s="58"/>
      <c r="G3949" s="58"/>
    </row>
    <row r="3950">
      <c r="D3950" s="58"/>
      <c r="E3950" s="58"/>
      <c r="F3950" s="58"/>
      <c r="G3950" s="58"/>
    </row>
    <row r="3951">
      <c r="D3951" s="58"/>
      <c r="E3951" s="58"/>
      <c r="F3951" s="58"/>
      <c r="G3951" s="58"/>
    </row>
    <row r="3952">
      <c r="D3952" s="58"/>
      <c r="E3952" s="58"/>
      <c r="F3952" s="58"/>
      <c r="G3952" s="58"/>
    </row>
    <row r="3953">
      <c r="D3953" s="58"/>
      <c r="E3953" s="58"/>
      <c r="F3953" s="58"/>
      <c r="G3953" s="58"/>
    </row>
    <row r="3954">
      <c r="D3954" s="58"/>
      <c r="E3954" s="58"/>
      <c r="F3954" s="58"/>
      <c r="G3954" s="58"/>
    </row>
    <row r="3955">
      <c r="D3955" s="58"/>
      <c r="E3955" s="58"/>
      <c r="F3955" s="58"/>
      <c r="G3955" s="58"/>
    </row>
    <row r="3956">
      <c r="D3956" s="58"/>
      <c r="E3956" s="58"/>
      <c r="F3956" s="58"/>
      <c r="G3956" s="58"/>
    </row>
    <row r="3957">
      <c r="D3957" s="58"/>
      <c r="E3957" s="58"/>
      <c r="F3957" s="58"/>
      <c r="G3957" s="58"/>
    </row>
    <row r="3958">
      <c r="D3958" s="58"/>
      <c r="E3958" s="58"/>
      <c r="F3958" s="58"/>
      <c r="G3958" s="58"/>
    </row>
    <row r="3959">
      <c r="D3959" s="58"/>
      <c r="E3959" s="58"/>
      <c r="F3959" s="58"/>
      <c r="G3959" s="58"/>
    </row>
    <row r="3960">
      <c r="D3960" s="58"/>
      <c r="E3960" s="58"/>
      <c r="F3960" s="58"/>
      <c r="G3960" s="58"/>
    </row>
    <row r="3961">
      <c r="D3961" s="58"/>
      <c r="E3961" s="58"/>
      <c r="F3961" s="58"/>
      <c r="G3961" s="58"/>
    </row>
    <row r="3962">
      <c r="D3962" s="58"/>
      <c r="E3962" s="58"/>
      <c r="F3962" s="58"/>
      <c r="G3962" s="58"/>
    </row>
    <row r="3963">
      <c r="D3963" s="58"/>
      <c r="E3963" s="58"/>
      <c r="F3963" s="58"/>
      <c r="G3963" s="58"/>
    </row>
    <row r="3964">
      <c r="D3964" s="58"/>
      <c r="E3964" s="58"/>
      <c r="F3964" s="58"/>
      <c r="G3964" s="58"/>
    </row>
    <row r="3965">
      <c r="D3965" s="58"/>
      <c r="E3965" s="58"/>
      <c r="F3965" s="58"/>
      <c r="G3965" s="58"/>
    </row>
    <row r="3966">
      <c r="D3966" s="58"/>
      <c r="E3966" s="58"/>
      <c r="F3966" s="58"/>
      <c r="G3966" s="58"/>
    </row>
    <row r="3967">
      <c r="D3967" s="58"/>
      <c r="E3967" s="58"/>
      <c r="F3967" s="58"/>
      <c r="G3967" s="58"/>
    </row>
    <row r="3968">
      <c r="D3968" s="58"/>
      <c r="E3968" s="58"/>
      <c r="F3968" s="58"/>
      <c r="G3968" s="58"/>
    </row>
    <row r="3969">
      <c r="D3969" s="58"/>
      <c r="E3969" s="58"/>
      <c r="F3969" s="58"/>
      <c r="G3969" s="58"/>
    </row>
    <row r="3970">
      <c r="D3970" s="58"/>
      <c r="E3970" s="58"/>
      <c r="F3970" s="58"/>
      <c r="G3970" s="58"/>
    </row>
    <row r="3971">
      <c r="D3971" s="58"/>
      <c r="E3971" s="58"/>
      <c r="F3971" s="58"/>
      <c r="G3971" s="58"/>
    </row>
    <row r="3972">
      <c r="D3972" s="58"/>
      <c r="E3972" s="58"/>
      <c r="F3972" s="58"/>
      <c r="G3972" s="58"/>
    </row>
    <row r="3973">
      <c r="D3973" s="58"/>
      <c r="E3973" s="58"/>
      <c r="F3973" s="58"/>
      <c r="G3973" s="58"/>
    </row>
    <row r="3974">
      <c r="D3974" s="58"/>
      <c r="E3974" s="58"/>
      <c r="F3974" s="58"/>
      <c r="G3974" s="58"/>
    </row>
    <row r="3975">
      <c r="D3975" s="58"/>
      <c r="E3975" s="58"/>
      <c r="F3975" s="58"/>
      <c r="G3975" s="58"/>
    </row>
    <row r="3976">
      <c r="D3976" s="58"/>
      <c r="E3976" s="58"/>
      <c r="F3976" s="58"/>
      <c r="G3976" s="58"/>
    </row>
    <row r="3977">
      <c r="D3977" s="58"/>
      <c r="E3977" s="58"/>
      <c r="F3977" s="58"/>
      <c r="G3977" s="58"/>
    </row>
    <row r="3978">
      <c r="D3978" s="58"/>
      <c r="E3978" s="58"/>
      <c r="F3978" s="58"/>
      <c r="G3978" s="58"/>
    </row>
    <row r="3979">
      <c r="D3979" s="58"/>
      <c r="E3979" s="58"/>
      <c r="F3979" s="58"/>
      <c r="G3979" s="58"/>
    </row>
    <row r="3980">
      <c r="D3980" s="58"/>
      <c r="E3980" s="58"/>
      <c r="F3980" s="58"/>
      <c r="G3980" s="58"/>
    </row>
    <row r="3981">
      <c r="D3981" s="58"/>
      <c r="E3981" s="58"/>
      <c r="F3981" s="58"/>
      <c r="G3981" s="58"/>
    </row>
    <row r="3982">
      <c r="D3982" s="58"/>
      <c r="E3982" s="58"/>
      <c r="F3982" s="58"/>
      <c r="G3982" s="58"/>
    </row>
    <row r="3983">
      <c r="D3983" s="58"/>
      <c r="E3983" s="58"/>
      <c r="F3983" s="58"/>
      <c r="G3983" s="58"/>
    </row>
    <row r="3984">
      <c r="D3984" s="58"/>
      <c r="E3984" s="58"/>
      <c r="F3984" s="58"/>
      <c r="G3984" s="58"/>
    </row>
    <row r="3985">
      <c r="D3985" s="58"/>
      <c r="E3985" s="58"/>
      <c r="F3985" s="58"/>
      <c r="G3985" s="58"/>
    </row>
    <row r="3986">
      <c r="D3986" s="58"/>
      <c r="E3986" s="58"/>
      <c r="F3986" s="58"/>
      <c r="G3986" s="58"/>
    </row>
    <row r="3987">
      <c r="D3987" s="58"/>
      <c r="E3987" s="58"/>
      <c r="F3987" s="58"/>
      <c r="G3987" s="58"/>
    </row>
    <row r="3988">
      <c r="D3988" s="58"/>
      <c r="E3988" s="58"/>
      <c r="F3988" s="58"/>
      <c r="G3988" s="58"/>
    </row>
    <row r="3989">
      <c r="D3989" s="58"/>
      <c r="E3989" s="58"/>
      <c r="F3989" s="58"/>
      <c r="G3989" s="58"/>
    </row>
    <row r="3990">
      <c r="D3990" s="58"/>
      <c r="E3990" s="58"/>
      <c r="F3990" s="58"/>
      <c r="G3990" s="58"/>
    </row>
    <row r="3991">
      <c r="D3991" s="58"/>
      <c r="E3991" s="58"/>
      <c r="F3991" s="58"/>
      <c r="G3991" s="58"/>
    </row>
    <row r="3992">
      <c r="D3992" s="58"/>
      <c r="E3992" s="58"/>
      <c r="F3992" s="58"/>
      <c r="G3992" s="58"/>
    </row>
    <row r="3993">
      <c r="D3993" s="58"/>
      <c r="E3993" s="58"/>
      <c r="F3993" s="58"/>
      <c r="G3993" s="58"/>
    </row>
    <row r="3994">
      <c r="D3994" s="58"/>
      <c r="E3994" s="58"/>
      <c r="F3994" s="58"/>
      <c r="G3994" s="58"/>
    </row>
    <row r="3995">
      <c r="D3995" s="58"/>
      <c r="E3995" s="58"/>
      <c r="F3995" s="58"/>
      <c r="G3995" s="58"/>
    </row>
    <row r="3996">
      <c r="D3996" s="58"/>
      <c r="E3996" s="58"/>
      <c r="F3996" s="58"/>
      <c r="G3996" s="58"/>
    </row>
    <row r="3997">
      <c r="D3997" s="58"/>
      <c r="E3997" s="58"/>
      <c r="F3997" s="58"/>
      <c r="G3997" s="58"/>
    </row>
    <row r="3998">
      <c r="D3998" s="58"/>
      <c r="E3998" s="58"/>
      <c r="F3998" s="58"/>
      <c r="G3998" s="58"/>
    </row>
    <row r="3999">
      <c r="D3999" s="58"/>
      <c r="E3999" s="58"/>
      <c r="F3999" s="58"/>
      <c r="G3999" s="58"/>
    </row>
    <row r="4000">
      <c r="D4000" s="58"/>
      <c r="E4000" s="58"/>
      <c r="F4000" s="58"/>
      <c r="G4000" s="58"/>
    </row>
    <row r="4001">
      <c r="D4001" s="58"/>
      <c r="E4001" s="58"/>
      <c r="F4001" s="58"/>
      <c r="G4001" s="58"/>
    </row>
    <row r="4002">
      <c r="D4002" s="58"/>
      <c r="E4002" s="58"/>
      <c r="F4002" s="58"/>
      <c r="G4002" s="58"/>
    </row>
    <row r="4003">
      <c r="D4003" s="58"/>
      <c r="E4003" s="58"/>
      <c r="F4003" s="58"/>
      <c r="G4003" s="58"/>
    </row>
    <row r="4004">
      <c r="D4004" s="58"/>
      <c r="E4004" s="58"/>
      <c r="F4004" s="58"/>
      <c r="G4004" s="58"/>
    </row>
    <row r="4005">
      <c r="D4005" s="58"/>
      <c r="E4005" s="58"/>
      <c r="F4005" s="58"/>
      <c r="G4005" s="58"/>
    </row>
    <row r="4006">
      <c r="D4006" s="58"/>
      <c r="E4006" s="58"/>
      <c r="F4006" s="58"/>
      <c r="G4006" s="58"/>
    </row>
    <row r="4007">
      <c r="D4007" s="58"/>
      <c r="E4007" s="58"/>
      <c r="F4007" s="58"/>
      <c r="G4007" s="58"/>
    </row>
    <row r="4008">
      <c r="D4008" s="58"/>
      <c r="E4008" s="58"/>
      <c r="F4008" s="58"/>
      <c r="G4008" s="58"/>
    </row>
    <row r="4009">
      <c r="D4009" s="58"/>
      <c r="E4009" s="58"/>
      <c r="F4009" s="58"/>
      <c r="G4009" s="58"/>
    </row>
    <row r="4010">
      <c r="D4010" s="58"/>
      <c r="E4010" s="58"/>
      <c r="F4010" s="58"/>
      <c r="G4010" s="58"/>
    </row>
    <row r="4011">
      <c r="D4011" s="58"/>
      <c r="E4011" s="58"/>
      <c r="F4011" s="58"/>
      <c r="G4011" s="58"/>
    </row>
    <row r="4012">
      <c r="D4012" s="58"/>
      <c r="E4012" s="58"/>
      <c r="F4012" s="58"/>
      <c r="G4012" s="58"/>
    </row>
    <row r="4013">
      <c r="D4013" s="58"/>
      <c r="E4013" s="58"/>
      <c r="F4013" s="58"/>
      <c r="G4013" s="58"/>
    </row>
    <row r="4014">
      <c r="D4014" s="58"/>
      <c r="E4014" s="58"/>
      <c r="F4014" s="58"/>
      <c r="G4014" s="58"/>
    </row>
    <row r="4015">
      <c r="D4015" s="58"/>
      <c r="E4015" s="58"/>
      <c r="F4015" s="58"/>
      <c r="G4015" s="58"/>
    </row>
    <row r="4016">
      <c r="D4016" s="58"/>
      <c r="E4016" s="58"/>
      <c r="F4016" s="58"/>
      <c r="G4016" s="58"/>
    </row>
    <row r="4017">
      <c r="D4017" s="58"/>
      <c r="E4017" s="58"/>
      <c r="F4017" s="58"/>
      <c r="G4017" s="58"/>
    </row>
    <row r="4018">
      <c r="D4018" s="58"/>
      <c r="E4018" s="58"/>
      <c r="F4018" s="58"/>
      <c r="G4018" s="58"/>
    </row>
    <row r="4019">
      <c r="D4019" s="58"/>
      <c r="E4019" s="58"/>
      <c r="F4019" s="58"/>
      <c r="G4019" s="58"/>
    </row>
    <row r="4020">
      <c r="D4020" s="58"/>
      <c r="E4020" s="58"/>
      <c r="F4020" s="58"/>
      <c r="G4020" s="58"/>
    </row>
    <row r="4021">
      <c r="D4021" s="58"/>
      <c r="E4021" s="58"/>
      <c r="F4021" s="58"/>
      <c r="G4021" s="58"/>
    </row>
    <row r="4022">
      <c r="D4022" s="58"/>
      <c r="E4022" s="58"/>
      <c r="F4022" s="58"/>
      <c r="G4022" s="58"/>
    </row>
    <row r="4023">
      <c r="D4023" s="58"/>
      <c r="E4023" s="58"/>
      <c r="F4023" s="58"/>
      <c r="G4023" s="58"/>
    </row>
    <row r="4024">
      <c r="D4024" s="58"/>
      <c r="E4024" s="58"/>
      <c r="F4024" s="58"/>
      <c r="G4024" s="58"/>
    </row>
    <row r="4025">
      <c r="D4025" s="58"/>
      <c r="E4025" s="58"/>
      <c r="F4025" s="58"/>
      <c r="G4025" s="58"/>
    </row>
    <row r="4026">
      <c r="D4026" s="58"/>
      <c r="E4026" s="58"/>
      <c r="F4026" s="58"/>
      <c r="G4026" s="58"/>
    </row>
    <row r="4027">
      <c r="D4027" s="58"/>
      <c r="E4027" s="58"/>
      <c r="F4027" s="58"/>
      <c r="G4027" s="58"/>
    </row>
    <row r="4028">
      <c r="D4028" s="58"/>
      <c r="E4028" s="58"/>
      <c r="F4028" s="58"/>
      <c r="G4028" s="58"/>
    </row>
    <row r="4029">
      <c r="D4029" s="58"/>
      <c r="E4029" s="58"/>
      <c r="F4029" s="58"/>
      <c r="G4029" s="58"/>
    </row>
    <row r="4030">
      <c r="D4030" s="58"/>
      <c r="E4030" s="58"/>
      <c r="F4030" s="58"/>
      <c r="G4030" s="58"/>
    </row>
    <row r="4031">
      <c r="D4031" s="58"/>
      <c r="E4031" s="58"/>
      <c r="F4031" s="58"/>
      <c r="G4031" s="58"/>
    </row>
    <row r="4032">
      <c r="D4032" s="58"/>
      <c r="E4032" s="58"/>
      <c r="F4032" s="58"/>
      <c r="G4032" s="58"/>
    </row>
    <row r="4033">
      <c r="D4033" s="58"/>
      <c r="E4033" s="58"/>
      <c r="F4033" s="58"/>
      <c r="G4033" s="58"/>
    </row>
    <row r="4034">
      <c r="D4034" s="58"/>
      <c r="E4034" s="58"/>
      <c r="F4034" s="58"/>
      <c r="G4034" s="58"/>
    </row>
    <row r="4035">
      <c r="D4035" s="58"/>
      <c r="E4035" s="58"/>
      <c r="F4035" s="58"/>
      <c r="G4035" s="58"/>
    </row>
    <row r="4036">
      <c r="D4036" s="58"/>
      <c r="E4036" s="58"/>
      <c r="F4036" s="58"/>
      <c r="G4036" s="58"/>
    </row>
    <row r="4037">
      <c r="D4037" s="58"/>
      <c r="E4037" s="58"/>
      <c r="F4037" s="58"/>
      <c r="G4037" s="58"/>
    </row>
    <row r="4038">
      <c r="D4038" s="58"/>
      <c r="E4038" s="58"/>
      <c r="F4038" s="58"/>
      <c r="G4038" s="58"/>
    </row>
    <row r="4039">
      <c r="D4039" s="58"/>
      <c r="E4039" s="58"/>
      <c r="F4039" s="58"/>
      <c r="G4039" s="58"/>
    </row>
    <row r="4040">
      <c r="D4040" s="58"/>
      <c r="E4040" s="58"/>
      <c r="F4040" s="58"/>
      <c r="G4040" s="58"/>
    </row>
    <row r="4041">
      <c r="D4041" s="58"/>
      <c r="E4041" s="58"/>
      <c r="F4041" s="58"/>
      <c r="G4041" s="58"/>
    </row>
    <row r="4042">
      <c r="D4042" s="58"/>
      <c r="E4042" s="58"/>
      <c r="F4042" s="58"/>
      <c r="G4042" s="58"/>
    </row>
    <row r="4043">
      <c r="D4043" s="58"/>
      <c r="E4043" s="58"/>
      <c r="F4043" s="58"/>
      <c r="G4043" s="58"/>
    </row>
    <row r="4044">
      <c r="D4044" s="58"/>
      <c r="E4044" s="58"/>
      <c r="F4044" s="58"/>
      <c r="G4044" s="58"/>
    </row>
    <row r="4045">
      <c r="D4045" s="58"/>
      <c r="E4045" s="58"/>
      <c r="F4045" s="58"/>
      <c r="G4045" s="58"/>
    </row>
    <row r="4046">
      <c r="D4046" s="58"/>
      <c r="E4046" s="58"/>
      <c r="F4046" s="58"/>
      <c r="G4046" s="58"/>
    </row>
    <row r="4047">
      <c r="D4047" s="58"/>
      <c r="E4047" s="58"/>
      <c r="F4047" s="58"/>
      <c r="G4047" s="58"/>
    </row>
    <row r="4048">
      <c r="D4048" s="58"/>
      <c r="E4048" s="58"/>
      <c r="F4048" s="58"/>
      <c r="G4048" s="58"/>
    </row>
    <row r="4049">
      <c r="D4049" s="58"/>
      <c r="E4049" s="58"/>
      <c r="F4049" s="58"/>
      <c r="G4049" s="58"/>
    </row>
    <row r="4050">
      <c r="D4050" s="58"/>
      <c r="E4050" s="58"/>
      <c r="F4050" s="58"/>
      <c r="G4050" s="58"/>
    </row>
    <row r="4051">
      <c r="D4051" s="58"/>
      <c r="E4051" s="58"/>
      <c r="F4051" s="58"/>
      <c r="G4051" s="58"/>
    </row>
    <row r="4052">
      <c r="D4052" s="58"/>
      <c r="E4052" s="58"/>
      <c r="F4052" s="58"/>
      <c r="G4052" s="58"/>
    </row>
    <row r="4053">
      <c r="D4053" s="58"/>
      <c r="E4053" s="58"/>
      <c r="F4053" s="58"/>
      <c r="G4053" s="58"/>
    </row>
    <row r="4054">
      <c r="D4054" s="58"/>
      <c r="E4054" s="58"/>
      <c r="F4054" s="58"/>
      <c r="G4054" s="58"/>
    </row>
    <row r="4055">
      <c r="D4055" s="58"/>
      <c r="E4055" s="58"/>
      <c r="F4055" s="58"/>
      <c r="G4055" s="58"/>
    </row>
    <row r="4056">
      <c r="D4056" s="58"/>
      <c r="E4056" s="58"/>
      <c r="F4056" s="58"/>
      <c r="G4056" s="58"/>
    </row>
    <row r="4057">
      <c r="D4057" s="58"/>
      <c r="E4057" s="58"/>
      <c r="F4057" s="58"/>
      <c r="G4057" s="58"/>
    </row>
    <row r="4058">
      <c r="D4058" s="58"/>
      <c r="E4058" s="58"/>
      <c r="F4058" s="58"/>
      <c r="G4058" s="58"/>
    </row>
    <row r="4059">
      <c r="D4059" s="58"/>
      <c r="E4059" s="58"/>
      <c r="F4059" s="58"/>
      <c r="G4059" s="58"/>
    </row>
    <row r="4060">
      <c r="D4060" s="58"/>
      <c r="E4060" s="58"/>
      <c r="F4060" s="58"/>
      <c r="G4060" s="58"/>
    </row>
    <row r="4061">
      <c r="D4061" s="58"/>
      <c r="E4061" s="58"/>
      <c r="F4061" s="58"/>
      <c r="G4061" s="58"/>
    </row>
    <row r="4062">
      <c r="D4062" s="58"/>
      <c r="E4062" s="58"/>
      <c r="F4062" s="58"/>
      <c r="G4062" s="58"/>
    </row>
    <row r="4063">
      <c r="D4063" s="58"/>
      <c r="E4063" s="58"/>
      <c r="F4063" s="58"/>
      <c r="G4063" s="58"/>
    </row>
    <row r="4064">
      <c r="D4064" s="58"/>
      <c r="E4064" s="58"/>
      <c r="F4064" s="58"/>
      <c r="G4064" s="58"/>
    </row>
    <row r="4065">
      <c r="D4065" s="58"/>
      <c r="E4065" s="58"/>
      <c r="F4065" s="58"/>
      <c r="G4065" s="58"/>
    </row>
    <row r="4066">
      <c r="D4066" s="58"/>
      <c r="E4066" s="58"/>
      <c r="F4066" s="58"/>
      <c r="G4066" s="58"/>
    </row>
    <row r="4067">
      <c r="D4067" s="58"/>
      <c r="E4067" s="58"/>
      <c r="F4067" s="58"/>
      <c r="G4067" s="58"/>
    </row>
    <row r="4068">
      <c r="D4068" s="58"/>
      <c r="E4068" s="58"/>
      <c r="F4068" s="58"/>
      <c r="G4068" s="58"/>
    </row>
    <row r="4069">
      <c r="D4069" s="58"/>
      <c r="E4069" s="58"/>
      <c r="F4069" s="58"/>
      <c r="G4069" s="58"/>
    </row>
    <row r="4070">
      <c r="D4070" s="58"/>
      <c r="E4070" s="58"/>
      <c r="F4070" s="58"/>
      <c r="G4070" s="58"/>
    </row>
    <row r="4071">
      <c r="D4071" s="58"/>
      <c r="E4071" s="58"/>
      <c r="F4071" s="58"/>
      <c r="G4071" s="58"/>
    </row>
    <row r="4072">
      <c r="D4072" s="58"/>
      <c r="E4072" s="58"/>
      <c r="F4072" s="58"/>
      <c r="G4072" s="58"/>
    </row>
    <row r="4073">
      <c r="D4073" s="58"/>
      <c r="E4073" s="58"/>
      <c r="F4073" s="58"/>
      <c r="G4073" s="58"/>
    </row>
    <row r="4074">
      <c r="D4074" s="58"/>
      <c r="E4074" s="58"/>
      <c r="F4074" s="58"/>
      <c r="G4074" s="58"/>
    </row>
    <row r="4075">
      <c r="D4075" s="58"/>
      <c r="E4075" s="58"/>
      <c r="F4075" s="58"/>
      <c r="G4075" s="58"/>
    </row>
    <row r="4076">
      <c r="D4076" s="58"/>
      <c r="E4076" s="58"/>
      <c r="F4076" s="58"/>
      <c r="G4076" s="58"/>
    </row>
    <row r="4077">
      <c r="D4077" s="58"/>
      <c r="E4077" s="58"/>
      <c r="F4077" s="58"/>
      <c r="G4077" s="58"/>
    </row>
    <row r="4078">
      <c r="D4078" s="58"/>
      <c r="E4078" s="58"/>
      <c r="F4078" s="58"/>
      <c r="G4078" s="58"/>
    </row>
    <row r="4079">
      <c r="D4079" s="58"/>
      <c r="E4079" s="58"/>
      <c r="F4079" s="58"/>
      <c r="G4079" s="58"/>
    </row>
    <row r="4080">
      <c r="D4080" s="58"/>
      <c r="E4080" s="58"/>
      <c r="F4080" s="58"/>
      <c r="G4080" s="58"/>
    </row>
    <row r="4081">
      <c r="D4081" s="58"/>
      <c r="E4081" s="58"/>
      <c r="F4081" s="58"/>
      <c r="G4081" s="58"/>
    </row>
    <row r="4082">
      <c r="D4082" s="58"/>
      <c r="E4082" s="58"/>
      <c r="F4082" s="58"/>
      <c r="G4082" s="58"/>
    </row>
    <row r="4083">
      <c r="D4083" s="58"/>
      <c r="E4083" s="58"/>
      <c r="F4083" s="58"/>
      <c r="G4083" s="58"/>
    </row>
    <row r="4084">
      <c r="D4084" s="58"/>
      <c r="E4084" s="58"/>
      <c r="F4084" s="58"/>
      <c r="G4084" s="58"/>
    </row>
    <row r="4085">
      <c r="D4085" s="58"/>
      <c r="E4085" s="58"/>
      <c r="F4085" s="58"/>
      <c r="G4085" s="58"/>
    </row>
    <row r="4086">
      <c r="D4086" s="58"/>
      <c r="E4086" s="58"/>
      <c r="F4086" s="58"/>
      <c r="G4086" s="58"/>
    </row>
    <row r="4087">
      <c r="D4087" s="58"/>
      <c r="E4087" s="58"/>
      <c r="F4087" s="58"/>
      <c r="G4087" s="58"/>
    </row>
    <row r="4088">
      <c r="D4088" s="58"/>
      <c r="E4088" s="58"/>
      <c r="F4088" s="58"/>
      <c r="G4088" s="58"/>
    </row>
    <row r="4089">
      <c r="D4089" s="58"/>
      <c r="E4089" s="58"/>
      <c r="F4089" s="58"/>
      <c r="G4089" s="58"/>
    </row>
    <row r="4090">
      <c r="D4090" s="58"/>
      <c r="E4090" s="58"/>
      <c r="F4090" s="58"/>
      <c r="G4090" s="58"/>
    </row>
    <row r="4091">
      <c r="D4091" s="58"/>
      <c r="E4091" s="58"/>
      <c r="F4091" s="58"/>
      <c r="G4091" s="58"/>
    </row>
    <row r="4092">
      <c r="D4092" s="58"/>
      <c r="E4092" s="58"/>
      <c r="F4092" s="58"/>
      <c r="G4092" s="58"/>
    </row>
    <row r="4093">
      <c r="D4093" s="58"/>
      <c r="E4093" s="58"/>
      <c r="F4093" s="58"/>
      <c r="G4093" s="58"/>
    </row>
    <row r="4094">
      <c r="D4094" s="58"/>
      <c r="E4094" s="58"/>
      <c r="F4094" s="58"/>
      <c r="G4094" s="58"/>
    </row>
    <row r="4095">
      <c r="D4095" s="58"/>
      <c r="E4095" s="58"/>
      <c r="F4095" s="58"/>
      <c r="G4095" s="58"/>
    </row>
    <row r="4096">
      <c r="D4096" s="58"/>
      <c r="E4096" s="58"/>
      <c r="F4096" s="58"/>
      <c r="G4096" s="58"/>
    </row>
    <row r="4097">
      <c r="D4097" s="58"/>
      <c r="E4097" s="58"/>
      <c r="F4097" s="58"/>
      <c r="G4097" s="58"/>
    </row>
    <row r="4098">
      <c r="D4098" s="58"/>
      <c r="E4098" s="58"/>
      <c r="F4098" s="58"/>
      <c r="G4098" s="58"/>
    </row>
    <row r="4099">
      <c r="D4099" s="58"/>
      <c r="E4099" s="58"/>
      <c r="F4099" s="58"/>
      <c r="G4099" s="58"/>
    </row>
    <row r="4100">
      <c r="D4100" s="58"/>
      <c r="E4100" s="58"/>
      <c r="F4100" s="58"/>
      <c r="G4100" s="58"/>
    </row>
    <row r="4101">
      <c r="D4101" s="58"/>
      <c r="E4101" s="58"/>
      <c r="F4101" s="58"/>
      <c r="G4101" s="58"/>
    </row>
    <row r="4102">
      <c r="D4102" s="58"/>
      <c r="E4102" s="58"/>
      <c r="F4102" s="58"/>
      <c r="G4102" s="58"/>
    </row>
    <row r="4103">
      <c r="D4103" s="58"/>
      <c r="E4103" s="58"/>
      <c r="F4103" s="58"/>
      <c r="G4103" s="58"/>
    </row>
    <row r="4104">
      <c r="D4104" s="58"/>
      <c r="E4104" s="58"/>
      <c r="F4104" s="58"/>
      <c r="G4104" s="58"/>
    </row>
    <row r="4105">
      <c r="D4105" s="58"/>
      <c r="E4105" s="58"/>
      <c r="F4105" s="58"/>
      <c r="G4105" s="58"/>
    </row>
    <row r="4106">
      <c r="D4106" s="58"/>
      <c r="E4106" s="58"/>
      <c r="F4106" s="58"/>
      <c r="G4106" s="58"/>
    </row>
    <row r="4107">
      <c r="D4107" s="58"/>
      <c r="E4107" s="58"/>
      <c r="F4107" s="58"/>
      <c r="G4107" s="58"/>
    </row>
    <row r="4108">
      <c r="D4108" s="58"/>
      <c r="E4108" s="58"/>
      <c r="F4108" s="58"/>
      <c r="G4108" s="58"/>
    </row>
    <row r="4109">
      <c r="D4109" s="58"/>
      <c r="E4109" s="58"/>
      <c r="F4109" s="58"/>
      <c r="G4109" s="58"/>
    </row>
    <row r="4110">
      <c r="D4110" s="58"/>
      <c r="E4110" s="58"/>
      <c r="F4110" s="58"/>
      <c r="G4110" s="58"/>
    </row>
    <row r="4111">
      <c r="D4111" s="58"/>
      <c r="E4111" s="58"/>
      <c r="F4111" s="58"/>
      <c r="G4111" s="58"/>
    </row>
    <row r="4112">
      <c r="D4112" s="58"/>
      <c r="E4112" s="58"/>
      <c r="F4112" s="58"/>
      <c r="G4112" s="58"/>
    </row>
    <row r="4113">
      <c r="D4113" s="58"/>
      <c r="E4113" s="58"/>
      <c r="F4113" s="58"/>
      <c r="G4113" s="58"/>
    </row>
    <row r="4114">
      <c r="D4114" s="58"/>
      <c r="E4114" s="58"/>
      <c r="F4114" s="58"/>
      <c r="G4114" s="58"/>
    </row>
    <row r="4115">
      <c r="D4115" s="58"/>
      <c r="E4115" s="58"/>
      <c r="F4115" s="58"/>
      <c r="G4115" s="58"/>
    </row>
    <row r="4116">
      <c r="D4116" s="58"/>
      <c r="E4116" s="58"/>
      <c r="F4116" s="58"/>
      <c r="G4116" s="58"/>
    </row>
    <row r="4117">
      <c r="D4117" s="58"/>
      <c r="E4117" s="58"/>
      <c r="F4117" s="58"/>
      <c r="G4117" s="58"/>
    </row>
    <row r="4118">
      <c r="D4118" s="58"/>
      <c r="E4118" s="58"/>
      <c r="F4118" s="58"/>
      <c r="G4118" s="58"/>
    </row>
    <row r="4119">
      <c r="D4119" s="58"/>
      <c r="E4119" s="58"/>
      <c r="F4119" s="58"/>
      <c r="G4119" s="58"/>
    </row>
    <row r="4120">
      <c r="D4120" s="58"/>
      <c r="E4120" s="58"/>
      <c r="F4120" s="58"/>
      <c r="G4120" s="58"/>
    </row>
    <row r="4121">
      <c r="D4121" s="58"/>
      <c r="E4121" s="58"/>
      <c r="F4121" s="58"/>
      <c r="G4121" s="58"/>
    </row>
    <row r="4122">
      <c r="D4122" s="58"/>
      <c r="E4122" s="58"/>
      <c r="F4122" s="58"/>
      <c r="G4122" s="58"/>
    </row>
    <row r="4123">
      <c r="D4123" s="58"/>
      <c r="E4123" s="58"/>
      <c r="F4123" s="58"/>
      <c r="G4123" s="58"/>
    </row>
    <row r="4124">
      <c r="D4124" s="58"/>
      <c r="E4124" s="58"/>
      <c r="F4124" s="58"/>
      <c r="G4124" s="58"/>
    </row>
    <row r="4125">
      <c r="D4125" s="58"/>
      <c r="E4125" s="58"/>
      <c r="F4125" s="58"/>
      <c r="G4125" s="58"/>
    </row>
    <row r="4126">
      <c r="D4126" s="58"/>
      <c r="E4126" s="58"/>
      <c r="F4126" s="58"/>
      <c r="G4126" s="58"/>
    </row>
    <row r="4127">
      <c r="D4127" s="58"/>
      <c r="E4127" s="58"/>
      <c r="F4127" s="58"/>
      <c r="G4127" s="58"/>
    </row>
    <row r="4128">
      <c r="D4128" s="58"/>
      <c r="E4128" s="58"/>
      <c r="F4128" s="58"/>
      <c r="G4128" s="58"/>
    </row>
    <row r="4129">
      <c r="D4129" s="58"/>
      <c r="E4129" s="58"/>
      <c r="F4129" s="58"/>
      <c r="G4129" s="58"/>
    </row>
    <row r="4130">
      <c r="D4130" s="58"/>
      <c r="E4130" s="58"/>
      <c r="F4130" s="58"/>
      <c r="G4130" s="58"/>
    </row>
    <row r="4131">
      <c r="D4131" s="58"/>
      <c r="E4131" s="58"/>
      <c r="F4131" s="58"/>
      <c r="G4131" s="58"/>
    </row>
    <row r="4132">
      <c r="D4132" s="58"/>
      <c r="E4132" s="58"/>
      <c r="F4132" s="58"/>
      <c r="G4132" s="58"/>
    </row>
    <row r="4133">
      <c r="D4133" s="58"/>
      <c r="E4133" s="58"/>
      <c r="F4133" s="58"/>
      <c r="G4133" s="58"/>
    </row>
    <row r="4134">
      <c r="D4134" s="58"/>
      <c r="E4134" s="58"/>
      <c r="F4134" s="58"/>
      <c r="G4134" s="58"/>
    </row>
    <row r="4135">
      <c r="D4135" s="58"/>
      <c r="E4135" s="58"/>
      <c r="F4135" s="58"/>
      <c r="G4135" s="58"/>
    </row>
    <row r="4136">
      <c r="D4136" s="58"/>
      <c r="E4136" s="58"/>
      <c r="F4136" s="58"/>
      <c r="G4136" s="58"/>
    </row>
    <row r="4137">
      <c r="D4137" s="58"/>
      <c r="E4137" s="58"/>
      <c r="F4137" s="58"/>
      <c r="G4137" s="58"/>
    </row>
    <row r="4138">
      <c r="D4138" s="58"/>
      <c r="E4138" s="58"/>
      <c r="F4138" s="58"/>
      <c r="G4138" s="58"/>
    </row>
    <row r="4139">
      <c r="D4139" s="58"/>
      <c r="E4139" s="58"/>
      <c r="F4139" s="58"/>
      <c r="G4139" s="58"/>
    </row>
    <row r="4140">
      <c r="D4140" s="58"/>
      <c r="E4140" s="58"/>
      <c r="F4140" s="58"/>
      <c r="G4140" s="58"/>
    </row>
    <row r="4141">
      <c r="D4141" s="58"/>
      <c r="E4141" s="58"/>
      <c r="F4141" s="58"/>
      <c r="G4141" s="58"/>
    </row>
    <row r="4142">
      <c r="D4142" s="58"/>
      <c r="E4142" s="58"/>
      <c r="F4142" s="58"/>
      <c r="G4142" s="58"/>
    </row>
    <row r="4143">
      <c r="D4143" s="58"/>
      <c r="E4143" s="58"/>
      <c r="F4143" s="58"/>
      <c r="G4143" s="58"/>
    </row>
    <row r="4144">
      <c r="D4144" s="58"/>
      <c r="E4144" s="58"/>
      <c r="F4144" s="58"/>
      <c r="G4144" s="58"/>
    </row>
    <row r="4145">
      <c r="D4145" s="58"/>
      <c r="E4145" s="58"/>
      <c r="F4145" s="58"/>
      <c r="G4145" s="58"/>
    </row>
    <row r="4146">
      <c r="D4146" s="58"/>
      <c r="E4146" s="58"/>
      <c r="F4146" s="58"/>
      <c r="G4146" s="58"/>
    </row>
    <row r="4147">
      <c r="D4147" s="58"/>
      <c r="E4147" s="58"/>
      <c r="F4147" s="58"/>
      <c r="G4147" s="58"/>
    </row>
    <row r="4148">
      <c r="D4148" s="58"/>
      <c r="E4148" s="58"/>
      <c r="F4148" s="58"/>
      <c r="G4148" s="58"/>
    </row>
    <row r="4149">
      <c r="D4149" s="58"/>
      <c r="E4149" s="58"/>
      <c r="F4149" s="58"/>
      <c r="G4149" s="58"/>
    </row>
    <row r="4150">
      <c r="D4150" s="58"/>
      <c r="E4150" s="58"/>
      <c r="F4150" s="58"/>
      <c r="G4150" s="58"/>
    </row>
    <row r="4151">
      <c r="D4151" s="58"/>
      <c r="E4151" s="58"/>
      <c r="F4151" s="58"/>
      <c r="G4151" s="58"/>
    </row>
    <row r="4152">
      <c r="D4152" s="58"/>
      <c r="E4152" s="58"/>
      <c r="F4152" s="58"/>
      <c r="G4152" s="58"/>
    </row>
    <row r="4153">
      <c r="D4153" s="58"/>
      <c r="E4153" s="58"/>
      <c r="F4153" s="58"/>
      <c r="G4153" s="58"/>
    </row>
    <row r="4154">
      <c r="D4154" s="58"/>
      <c r="E4154" s="58"/>
      <c r="F4154" s="58"/>
      <c r="G4154" s="58"/>
    </row>
    <row r="4155">
      <c r="D4155" s="58"/>
      <c r="E4155" s="58"/>
      <c r="F4155" s="58"/>
      <c r="G4155" s="58"/>
    </row>
    <row r="4156">
      <c r="D4156" s="58"/>
      <c r="E4156" s="58"/>
      <c r="F4156" s="58"/>
      <c r="G4156" s="58"/>
    </row>
    <row r="4157">
      <c r="D4157" s="58"/>
      <c r="E4157" s="58"/>
      <c r="F4157" s="58"/>
      <c r="G4157" s="58"/>
    </row>
    <row r="4158">
      <c r="D4158" s="58"/>
      <c r="E4158" s="58"/>
      <c r="F4158" s="58"/>
      <c r="G4158" s="58"/>
    </row>
    <row r="4159">
      <c r="D4159" s="58"/>
      <c r="E4159" s="58"/>
      <c r="F4159" s="58"/>
      <c r="G4159" s="58"/>
    </row>
    <row r="4160">
      <c r="D4160" s="58"/>
      <c r="E4160" s="58"/>
      <c r="F4160" s="58"/>
      <c r="G4160" s="58"/>
    </row>
    <row r="4161">
      <c r="D4161" s="58"/>
      <c r="E4161" s="58"/>
      <c r="F4161" s="58"/>
      <c r="G4161" s="58"/>
    </row>
    <row r="4162">
      <c r="D4162" s="58"/>
      <c r="E4162" s="58"/>
      <c r="F4162" s="58"/>
      <c r="G4162" s="58"/>
    </row>
    <row r="4163">
      <c r="D4163" s="58"/>
      <c r="E4163" s="58"/>
      <c r="F4163" s="58"/>
      <c r="G4163" s="58"/>
    </row>
    <row r="4164">
      <c r="D4164" s="58"/>
      <c r="E4164" s="58"/>
      <c r="F4164" s="58"/>
      <c r="G4164" s="58"/>
    </row>
    <row r="4165">
      <c r="D4165" s="58"/>
      <c r="E4165" s="58"/>
      <c r="F4165" s="58"/>
      <c r="G4165" s="58"/>
    </row>
    <row r="4166">
      <c r="D4166" s="58"/>
      <c r="E4166" s="58"/>
      <c r="F4166" s="58"/>
      <c r="G4166" s="58"/>
    </row>
    <row r="4167">
      <c r="D4167" s="58"/>
      <c r="E4167" s="58"/>
      <c r="F4167" s="58"/>
      <c r="G4167" s="58"/>
    </row>
    <row r="4168">
      <c r="D4168" s="58"/>
      <c r="E4168" s="58"/>
      <c r="F4168" s="58"/>
      <c r="G4168" s="58"/>
    </row>
    <row r="4169">
      <c r="D4169" s="58"/>
      <c r="E4169" s="58"/>
      <c r="F4169" s="58"/>
      <c r="G4169" s="58"/>
    </row>
    <row r="4170">
      <c r="D4170" s="58"/>
      <c r="E4170" s="58"/>
      <c r="F4170" s="58"/>
      <c r="G4170" s="58"/>
    </row>
    <row r="4171">
      <c r="D4171" s="58"/>
      <c r="E4171" s="58"/>
      <c r="F4171" s="58"/>
      <c r="G4171" s="58"/>
    </row>
    <row r="4172">
      <c r="D4172" s="58"/>
      <c r="E4172" s="58"/>
      <c r="F4172" s="58"/>
      <c r="G4172" s="58"/>
    </row>
    <row r="4173">
      <c r="D4173" s="58"/>
      <c r="E4173" s="58"/>
      <c r="F4173" s="58"/>
      <c r="G4173" s="58"/>
    </row>
    <row r="4174">
      <c r="D4174" s="58"/>
      <c r="E4174" s="58"/>
      <c r="F4174" s="58"/>
      <c r="G4174" s="58"/>
    </row>
    <row r="4175">
      <c r="D4175" s="58"/>
      <c r="E4175" s="58"/>
      <c r="F4175" s="58"/>
      <c r="G4175" s="58"/>
    </row>
    <row r="4176">
      <c r="D4176" s="58"/>
      <c r="E4176" s="58"/>
      <c r="F4176" s="58"/>
      <c r="G4176" s="58"/>
    </row>
    <row r="4177">
      <c r="D4177" s="58"/>
      <c r="E4177" s="58"/>
      <c r="F4177" s="58"/>
      <c r="G4177" s="58"/>
    </row>
    <row r="4178">
      <c r="D4178" s="58"/>
      <c r="E4178" s="58"/>
      <c r="F4178" s="58"/>
      <c r="G4178" s="58"/>
    </row>
    <row r="4179">
      <c r="D4179" s="58"/>
      <c r="E4179" s="58"/>
      <c r="F4179" s="58"/>
      <c r="G4179" s="58"/>
    </row>
    <row r="4180">
      <c r="D4180" s="58"/>
      <c r="E4180" s="58"/>
      <c r="F4180" s="58"/>
      <c r="G4180" s="58"/>
    </row>
    <row r="4181">
      <c r="D4181" s="58"/>
      <c r="E4181" s="58"/>
      <c r="F4181" s="58"/>
      <c r="G4181" s="58"/>
    </row>
    <row r="4182">
      <c r="D4182" s="58"/>
      <c r="E4182" s="58"/>
      <c r="F4182" s="58"/>
      <c r="G4182" s="58"/>
    </row>
    <row r="4183">
      <c r="D4183" s="58"/>
      <c r="E4183" s="58"/>
      <c r="F4183" s="58"/>
      <c r="G4183" s="58"/>
    </row>
    <row r="4184">
      <c r="D4184" s="58"/>
      <c r="E4184" s="58"/>
      <c r="F4184" s="58"/>
      <c r="G4184" s="58"/>
    </row>
    <row r="4185">
      <c r="D4185" s="58"/>
      <c r="E4185" s="58"/>
      <c r="F4185" s="58"/>
      <c r="G4185" s="58"/>
    </row>
    <row r="4186">
      <c r="D4186" s="58"/>
      <c r="E4186" s="58"/>
      <c r="F4186" s="58"/>
      <c r="G4186" s="58"/>
    </row>
    <row r="4187">
      <c r="D4187" s="58"/>
      <c r="E4187" s="58"/>
      <c r="F4187" s="58"/>
      <c r="G4187" s="58"/>
    </row>
    <row r="4188">
      <c r="D4188" s="58"/>
      <c r="E4188" s="58"/>
      <c r="F4188" s="58"/>
      <c r="G4188" s="58"/>
    </row>
    <row r="4189">
      <c r="D4189" s="58"/>
      <c r="E4189" s="58"/>
      <c r="F4189" s="58"/>
      <c r="G4189" s="58"/>
    </row>
    <row r="4190">
      <c r="D4190" s="58"/>
      <c r="E4190" s="58"/>
      <c r="F4190" s="58"/>
      <c r="G4190" s="58"/>
    </row>
    <row r="4191">
      <c r="D4191" s="58"/>
      <c r="E4191" s="58"/>
      <c r="F4191" s="58"/>
      <c r="G4191" s="58"/>
    </row>
    <row r="4192">
      <c r="D4192" s="58"/>
      <c r="E4192" s="58"/>
      <c r="F4192" s="58"/>
      <c r="G4192" s="58"/>
    </row>
    <row r="4193">
      <c r="D4193" s="58"/>
      <c r="E4193" s="58"/>
      <c r="F4193" s="58"/>
      <c r="G4193" s="58"/>
    </row>
    <row r="4194">
      <c r="D4194" s="58"/>
      <c r="E4194" s="58"/>
      <c r="F4194" s="58"/>
      <c r="G4194" s="58"/>
    </row>
    <row r="4195">
      <c r="D4195" s="58"/>
      <c r="E4195" s="58"/>
      <c r="F4195" s="58"/>
      <c r="G4195" s="58"/>
    </row>
    <row r="4196">
      <c r="D4196" s="58"/>
      <c r="E4196" s="58"/>
      <c r="F4196" s="58"/>
      <c r="G4196" s="58"/>
    </row>
    <row r="4197">
      <c r="D4197" s="58"/>
      <c r="E4197" s="58"/>
      <c r="F4197" s="58"/>
      <c r="G4197" s="58"/>
    </row>
    <row r="4198">
      <c r="D4198" s="58"/>
      <c r="E4198" s="58"/>
      <c r="F4198" s="58"/>
      <c r="G4198" s="58"/>
    </row>
    <row r="4199">
      <c r="D4199" s="58"/>
      <c r="E4199" s="58"/>
      <c r="F4199" s="58"/>
      <c r="G4199" s="58"/>
    </row>
    <row r="4200">
      <c r="D4200" s="58"/>
      <c r="E4200" s="58"/>
      <c r="F4200" s="58"/>
      <c r="G4200" s="58"/>
    </row>
    <row r="4201">
      <c r="D4201" s="58"/>
      <c r="E4201" s="58"/>
      <c r="F4201" s="58"/>
      <c r="G4201" s="58"/>
    </row>
    <row r="4202">
      <c r="D4202" s="58"/>
      <c r="E4202" s="58"/>
      <c r="F4202" s="58"/>
      <c r="G4202" s="58"/>
    </row>
    <row r="4203">
      <c r="D4203" s="58"/>
      <c r="E4203" s="58"/>
      <c r="F4203" s="58"/>
      <c r="G4203" s="58"/>
    </row>
    <row r="4204">
      <c r="D4204" s="58"/>
      <c r="E4204" s="58"/>
      <c r="F4204" s="58"/>
      <c r="G4204" s="58"/>
    </row>
    <row r="4205">
      <c r="D4205" s="58"/>
      <c r="E4205" s="58"/>
      <c r="F4205" s="58"/>
      <c r="G4205" s="58"/>
    </row>
    <row r="4206">
      <c r="D4206" s="58"/>
      <c r="E4206" s="58"/>
      <c r="F4206" s="58"/>
      <c r="G4206" s="58"/>
    </row>
    <row r="4207">
      <c r="D4207" s="58"/>
      <c r="E4207" s="58"/>
      <c r="F4207" s="58"/>
      <c r="G4207" s="58"/>
    </row>
    <row r="4208">
      <c r="D4208" s="58"/>
      <c r="E4208" s="58"/>
      <c r="F4208" s="58"/>
      <c r="G4208" s="58"/>
    </row>
    <row r="4209">
      <c r="D4209" s="58"/>
      <c r="E4209" s="58"/>
      <c r="F4209" s="58"/>
      <c r="G4209" s="58"/>
    </row>
    <row r="4210">
      <c r="D4210" s="58"/>
      <c r="E4210" s="58"/>
      <c r="F4210" s="58"/>
      <c r="G4210" s="58"/>
    </row>
    <row r="4211">
      <c r="D4211" s="58"/>
      <c r="E4211" s="58"/>
      <c r="F4211" s="58"/>
      <c r="G4211" s="58"/>
    </row>
    <row r="4212">
      <c r="D4212" s="58"/>
      <c r="E4212" s="58"/>
      <c r="F4212" s="58"/>
      <c r="G4212" s="58"/>
    </row>
    <row r="4213">
      <c r="D4213" s="58"/>
      <c r="E4213" s="58"/>
      <c r="F4213" s="58"/>
      <c r="G4213" s="58"/>
    </row>
    <row r="4214">
      <c r="D4214" s="58"/>
      <c r="E4214" s="58"/>
      <c r="F4214" s="58"/>
      <c r="G4214" s="58"/>
    </row>
    <row r="4215">
      <c r="D4215" s="58"/>
      <c r="E4215" s="58"/>
      <c r="F4215" s="58"/>
      <c r="G4215" s="58"/>
    </row>
    <row r="4216">
      <c r="D4216" s="58"/>
      <c r="E4216" s="58"/>
      <c r="F4216" s="58"/>
      <c r="G4216" s="58"/>
    </row>
    <row r="4217">
      <c r="D4217" s="58"/>
      <c r="E4217" s="58"/>
      <c r="F4217" s="58"/>
      <c r="G4217" s="58"/>
    </row>
    <row r="4218">
      <c r="D4218" s="58"/>
      <c r="E4218" s="58"/>
      <c r="F4218" s="58"/>
      <c r="G4218" s="58"/>
    </row>
    <row r="4219">
      <c r="D4219" s="58"/>
      <c r="E4219" s="58"/>
      <c r="F4219" s="58"/>
      <c r="G4219" s="58"/>
    </row>
    <row r="4220">
      <c r="D4220" s="58"/>
      <c r="E4220" s="58"/>
      <c r="F4220" s="58"/>
      <c r="G4220" s="58"/>
    </row>
    <row r="4221">
      <c r="D4221" s="58"/>
      <c r="E4221" s="58"/>
      <c r="F4221" s="58"/>
      <c r="G4221" s="58"/>
    </row>
    <row r="4222">
      <c r="D4222" s="58"/>
      <c r="E4222" s="58"/>
      <c r="F4222" s="58"/>
      <c r="G4222" s="58"/>
    </row>
    <row r="4223">
      <c r="D4223" s="58"/>
      <c r="E4223" s="58"/>
      <c r="F4223" s="58"/>
      <c r="G4223" s="58"/>
    </row>
    <row r="4224">
      <c r="D4224" s="58"/>
      <c r="E4224" s="58"/>
      <c r="F4224" s="58"/>
      <c r="G4224" s="58"/>
    </row>
    <row r="4225">
      <c r="D4225" s="58"/>
      <c r="E4225" s="58"/>
      <c r="F4225" s="58"/>
      <c r="G4225" s="58"/>
    </row>
    <row r="4226">
      <c r="D4226" s="58"/>
      <c r="E4226" s="58"/>
      <c r="F4226" s="58"/>
      <c r="G4226" s="58"/>
    </row>
    <row r="4227">
      <c r="D4227" s="58"/>
      <c r="E4227" s="58"/>
      <c r="F4227" s="58"/>
      <c r="G4227" s="58"/>
    </row>
    <row r="4228">
      <c r="D4228" s="58"/>
      <c r="E4228" s="58"/>
      <c r="F4228" s="58"/>
      <c r="G4228" s="58"/>
    </row>
    <row r="4229">
      <c r="D4229" s="58"/>
      <c r="E4229" s="58"/>
      <c r="F4229" s="58"/>
      <c r="G4229" s="58"/>
    </row>
    <row r="4230">
      <c r="D4230" s="58"/>
      <c r="E4230" s="58"/>
      <c r="F4230" s="58"/>
      <c r="G4230" s="58"/>
    </row>
    <row r="4231">
      <c r="D4231" s="58"/>
      <c r="E4231" s="58"/>
      <c r="F4231" s="58"/>
      <c r="G4231" s="58"/>
    </row>
    <row r="4232">
      <c r="D4232" s="58"/>
      <c r="E4232" s="58"/>
      <c r="F4232" s="58"/>
      <c r="G4232" s="58"/>
    </row>
    <row r="4233">
      <c r="D4233" s="58"/>
      <c r="E4233" s="58"/>
      <c r="F4233" s="58"/>
      <c r="G4233" s="58"/>
    </row>
    <row r="4234">
      <c r="D4234" s="58"/>
      <c r="E4234" s="58"/>
      <c r="F4234" s="58"/>
      <c r="G4234" s="58"/>
    </row>
    <row r="4235">
      <c r="D4235" s="58"/>
      <c r="E4235" s="58"/>
      <c r="F4235" s="58"/>
      <c r="G4235" s="58"/>
    </row>
    <row r="4236">
      <c r="D4236" s="58"/>
      <c r="E4236" s="58"/>
      <c r="F4236" s="58"/>
      <c r="G4236" s="58"/>
    </row>
    <row r="4237">
      <c r="D4237" s="58"/>
      <c r="E4237" s="58"/>
      <c r="F4237" s="58"/>
      <c r="G4237" s="58"/>
    </row>
    <row r="4238">
      <c r="D4238" s="58"/>
      <c r="E4238" s="58"/>
      <c r="F4238" s="58"/>
      <c r="G4238" s="58"/>
    </row>
    <row r="4239">
      <c r="D4239" s="58"/>
      <c r="E4239" s="58"/>
      <c r="F4239" s="58"/>
      <c r="G4239" s="58"/>
    </row>
    <row r="4240">
      <c r="D4240" s="58"/>
      <c r="E4240" s="58"/>
      <c r="F4240" s="58"/>
      <c r="G4240" s="58"/>
    </row>
    <row r="4241">
      <c r="D4241" s="58"/>
      <c r="E4241" s="58"/>
      <c r="F4241" s="58"/>
      <c r="G4241" s="58"/>
    </row>
    <row r="4242">
      <c r="D4242" s="58"/>
      <c r="E4242" s="58"/>
      <c r="F4242" s="58"/>
      <c r="G4242" s="58"/>
    </row>
    <row r="4243">
      <c r="D4243" s="58"/>
      <c r="E4243" s="58"/>
      <c r="F4243" s="58"/>
      <c r="G4243" s="58"/>
    </row>
    <row r="4244">
      <c r="D4244" s="58"/>
      <c r="E4244" s="58"/>
      <c r="F4244" s="58"/>
      <c r="G4244" s="58"/>
    </row>
    <row r="4245">
      <c r="D4245" s="58"/>
      <c r="E4245" s="58"/>
      <c r="F4245" s="58"/>
      <c r="G4245" s="58"/>
    </row>
    <row r="4246">
      <c r="D4246" s="58"/>
      <c r="E4246" s="58"/>
      <c r="F4246" s="58"/>
      <c r="G4246" s="58"/>
    </row>
    <row r="4247">
      <c r="D4247" s="58"/>
      <c r="E4247" s="58"/>
      <c r="F4247" s="58"/>
      <c r="G4247" s="58"/>
    </row>
    <row r="4248">
      <c r="D4248" s="58"/>
      <c r="E4248" s="58"/>
      <c r="F4248" s="58"/>
      <c r="G4248" s="58"/>
    </row>
    <row r="4249">
      <c r="D4249" s="58"/>
      <c r="E4249" s="58"/>
      <c r="F4249" s="58"/>
      <c r="G4249" s="58"/>
    </row>
    <row r="4250">
      <c r="D4250" s="58"/>
      <c r="E4250" s="58"/>
      <c r="F4250" s="58"/>
      <c r="G4250" s="58"/>
    </row>
    <row r="4251">
      <c r="D4251" s="58"/>
      <c r="E4251" s="58"/>
      <c r="F4251" s="58"/>
      <c r="G4251" s="58"/>
    </row>
    <row r="4252">
      <c r="D4252" s="58"/>
      <c r="E4252" s="58"/>
      <c r="F4252" s="58"/>
      <c r="G4252" s="58"/>
    </row>
    <row r="4253">
      <c r="D4253" s="58"/>
      <c r="E4253" s="58"/>
      <c r="F4253" s="58"/>
      <c r="G4253" s="58"/>
    </row>
    <row r="4254">
      <c r="D4254" s="58"/>
      <c r="E4254" s="58"/>
      <c r="F4254" s="58"/>
      <c r="G4254" s="58"/>
    </row>
    <row r="4255">
      <c r="D4255" s="58"/>
      <c r="E4255" s="58"/>
      <c r="F4255" s="58"/>
      <c r="G4255" s="58"/>
    </row>
    <row r="4256">
      <c r="D4256" s="58"/>
      <c r="E4256" s="58"/>
      <c r="F4256" s="58"/>
      <c r="G4256" s="58"/>
    </row>
    <row r="4257">
      <c r="D4257" s="58"/>
      <c r="E4257" s="58"/>
      <c r="F4257" s="58"/>
      <c r="G4257" s="58"/>
    </row>
    <row r="4258">
      <c r="D4258" s="58"/>
      <c r="E4258" s="58"/>
      <c r="F4258" s="58"/>
      <c r="G4258" s="58"/>
    </row>
    <row r="4259">
      <c r="D4259" s="58"/>
      <c r="E4259" s="58"/>
      <c r="F4259" s="58"/>
      <c r="G4259" s="58"/>
    </row>
    <row r="4260">
      <c r="D4260" s="58"/>
      <c r="E4260" s="58"/>
      <c r="F4260" s="58"/>
      <c r="G4260" s="58"/>
    </row>
    <row r="4261">
      <c r="D4261" s="58"/>
      <c r="E4261" s="58"/>
      <c r="F4261" s="58"/>
      <c r="G4261" s="58"/>
    </row>
    <row r="4262">
      <c r="D4262" s="58"/>
      <c r="E4262" s="58"/>
      <c r="F4262" s="58"/>
      <c r="G4262" s="58"/>
    </row>
    <row r="4263">
      <c r="D4263" s="58"/>
      <c r="E4263" s="58"/>
      <c r="F4263" s="58"/>
      <c r="G4263" s="58"/>
    </row>
    <row r="4264">
      <c r="D4264" s="58"/>
      <c r="E4264" s="58"/>
      <c r="F4264" s="58"/>
      <c r="G4264" s="58"/>
    </row>
    <row r="4265">
      <c r="D4265" s="58"/>
      <c r="E4265" s="58"/>
      <c r="F4265" s="58"/>
      <c r="G4265" s="58"/>
    </row>
    <row r="4266">
      <c r="D4266" s="58"/>
      <c r="E4266" s="58"/>
      <c r="F4266" s="58"/>
      <c r="G4266" s="58"/>
    </row>
    <row r="4267">
      <c r="D4267" s="58"/>
      <c r="E4267" s="58"/>
      <c r="F4267" s="58"/>
      <c r="G4267" s="58"/>
    </row>
    <row r="4268">
      <c r="D4268" s="58"/>
      <c r="E4268" s="58"/>
      <c r="F4268" s="58"/>
      <c r="G4268" s="58"/>
    </row>
    <row r="4269">
      <c r="D4269" s="58"/>
      <c r="E4269" s="58"/>
      <c r="F4269" s="58"/>
      <c r="G4269" s="58"/>
    </row>
    <row r="4270">
      <c r="D4270" s="58"/>
      <c r="E4270" s="58"/>
      <c r="F4270" s="58"/>
      <c r="G4270" s="58"/>
    </row>
    <row r="4271">
      <c r="D4271" s="58"/>
      <c r="E4271" s="58"/>
      <c r="F4271" s="58"/>
      <c r="G4271" s="58"/>
    </row>
    <row r="4272">
      <c r="D4272" s="58"/>
      <c r="E4272" s="58"/>
      <c r="F4272" s="58"/>
      <c r="G4272" s="58"/>
    </row>
    <row r="4273">
      <c r="D4273" s="58"/>
      <c r="E4273" s="58"/>
      <c r="F4273" s="58"/>
      <c r="G4273" s="58"/>
    </row>
    <row r="4274">
      <c r="D4274" s="58"/>
      <c r="E4274" s="58"/>
      <c r="F4274" s="58"/>
      <c r="G4274" s="58"/>
    </row>
    <row r="4275">
      <c r="D4275" s="58"/>
      <c r="E4275" s="58"/>
      <c r="F4275" s="58"/>
      <c r="G4275" s="58"/>
    </row>
    <row r="4276">
      <c r="D4276" s="58"/>
      <c r="E4276" s="58"/>
      <c r="F4276" s="58"/>
      <c r="G4276" s="58"/>
    </row>
    <row r="4277">
      <c r="D4277" s="58"/>
      <c r="E4277" s="58"/>
      <c r="F4277" s="58"/>
      <c r="G4277" s="58"/>
    </row>
    <row r="4278">
      <c r="D4278" s="58"/>
      <c r="E4278" s="58"/>
      <c r="F4278" s="58"/>
      <c r="G4278" s="58"/>
    </row>
    <row r="4279">
      <c r="D4279" s="58"/>
      <c r="E4279" s="58"/>
      <c r="F4279" s="58"/>
      <c r="G4279" s="58"/>
    </row>
    <row r="4280">
      <c r="D4280" s="58"/>
      <c r="E4280" s="58"/>
      <c r="F4280" s="58"/>
      <c r="G4280" s="58"/>
    </row>
    <row r="4281">
      <c r="D4281" s="58"/>
      <c r="E4281" s="58"/>
      <c r="F4281" s="58"/>
      <c r="G4281" s="58"/>
    </row>
    <row r="4282">
      <c r="D4282" s="58"/>
      <c r="E4282" s="58"/>
      <c r="F4282" s="58"/>
      <c r="G4282" s="58"/>
    </row>
    <row r="4283">
      <c r="D4283" s="58"/>
      <c r="E4283" s="58"/>
      <c r="F4283" s="58"/>
      <c r="G4283" s="58"/>
    </row>
    <row r="4284">
      <c r="D4284" s="58"/>
      <c r="E4284" s="58"/>
      <c r="F4284" s="58"/>
      <c r="G4284" s="58"/>
    </row>
    <row r="4285">
      <c r="D4285" s="58"/>
      <c r="E4285" s="58"/>
      <c r="F4285" s="58"/>
      <c r="G4285" s="58"/>
    </row>
    <row r="4286">
      <c r="D4286" s="58"/>
      <c r="E4286" s="58"/>
      <c r="F4286" s="58"/>
      <c r="G4286" s="58"/>
    </row>
    <row r="4287">
      <c r="D4287" s="58"/>
      <c r="E4287" s="58"/>
      <c r="F4287" s="58"/>
      <c r="G4287" s="58"/>
    </row>
    <row r="4288">
      <c r="D4288" s="58"/>
      <c r="E4288" s="58"/>
      <c r="F4288" s="58"/>
      <c r="G4288" s="58"/>
    </row>
    <row r="4289">
      <c r="D4289" s="58"/>
      <c r="E4289" s="58"/>
      <c r="F4289" s="58"/>
      <c r="G4289" s="58"/>
    </row>
    <row r="4290">
      <c r="D4290" s="58"/>
      <c r="E4290" s="58"/>
      <c r="F4290" s="58"/>
      <c r="G4290" s="58"/>
    </row>
    <row r="4291">
      <c r="D4291" s="58"/>
      <c r="E4291" s="58"/>
      <c r="F4291" s="58"/>
      <c r="G4291" s="58"/>
    </row>
    <row r="4292">
      <c r="D4292" s="58"/>
      <c r="E4292" s="58"/>
      <c r="F4292" s="58"/>
      <c r="G4292" s="58"/>
    </row>
    <row r="4293">
      <c r="D4293" s="58"/>
      <c r="E4293" s="58"/>
      <c r="F4293" s="58"/>
      <c r="G4293" s="58"/>
    </row>
    <row r="4294">
      <c r="D4294" s="58"/>
      <c r="E4294" s="58"/>
      <c r="F4294" s="58"/>
      <c r="G4294" s="58"/>
    </row>
    <row r="4295">
      <c r="D4295" s="58"/>
      <c r="E4295" s="58"/>
      <c r="F4295" s="58"/>
      <c r="G4295" s="58"/>
    </row>
    <row r="4296">
      <c r="D4296" s="58"/>
      <c r="E4296" s="58"/>
      <c r="F4296" s="58"/>
      <c r="G4296" s="58"/>
    </row>
    <row r="4297">
      <c r="D4297" s="58"/>
      <c r="E4297" s="58"/>
      <c r="F4297" s="58"/>
      <c r="G4297" s="58"/>
    </row>
    <row r="4298">
      <c r="D4298" s="58"/>
      <c r="E4298" s="58"/>
      <c r="F4298" s="58"/>
      <c r="G4298" s="58"/>
    </row>
    <row r="4299">
      <c r="D4299" s="58"/>
      <c r="E4299" s="58"/>
      <c r="F4299" s="58"/>
      <c r="G4299" s="58"/>
    </row>
    <row r="4300">
      <c r="D4300" s="58"/>
      <c r="E4300" s="58"/>
      <c r="F4300" s="58"/>
      <c r="G4300" s="58"/>
    </row>
    <row r="4301">
      <c r="D4301" s="58"/>
      <c r="E4301" s="58"/>
      <c r="F4301" s="58"/>
      <c r="G4301" s="58"/>
    </row>
    <row r="4302">
      <c r="D4302" s="58"/>
      <c r="E4302" s="58"/>
      <c r="F4302" s="58"/>
      <c r="G4302" s="58"/>
    </row>
    <row r="4303">
      <c r="D4303" s="58"/>
      <c r="E4303" s="58"/>
      <c r="F4303" s="58"/>
      <c r="G4303" s="58"/>
    </row>
    <row r="4304">
      <c r="D4304" s="58"/>
      <c r="E4304" s="58"/>
      <c r="F4304" s="58"/>
      <c r="G4304" s="58"/>
    </row>
    <row r="4305">
      <c r="D4305" s="58"/>
      <c r="E4305" s="58"/>
      <c r="F4305" s="58"/>
      <c r="G4305" s="58"/>
    </row>
    <row r="4306">
      <c r="D4306" s="58"/>
      <c r="E4306" s="58"/>
      <c r="F4306" s="58"/>
      <c r="G4306" s="58"/>
    </row>
    <row r="4307">
      <c r="D4307" s="58"/>
      <c r="E4307" s="58"/>
      <c r="F4307" s="58"/>
      <c r="G4307" s="58"/>
    </row>
    <row r="4308">
      <c r="D4308" s="58"/>
      <c r="E4308" s="58"/>
      <c r="F4308" s="58"/>
      <c r="G4308" s="58"/>
    </row>
    <row r="4309">
      <c r="D4309" s="58"/>
      <c r="E4309" s="58"/>
      <c r="F4309" s="58"/>
      <c r="G4309" s="58"/>
    </row>
    <row r="4310">
      <c r="D4310" s="58"/>
      <c r="E4310" s="58"/>
      <c r="F4310" s="58"/>
      <c r="G4310" s="58"/>
    </row>
    <row r="4311">
      <c r="D4311" s="58"/>
      <c r="E4311" s="58"/>
      <c r="F4311" s="58"/>
      <c r="G4311" s="58"/>
    </row>
    <row r="4312">
      <c r="D4312" s="58"/>
      <c r="E4312" s="58"/>
      <c r="F4312" s="58"/>
      <c r="G4312" s="58"/>
    </row>
    <row r="4313">
      <c r="D4313" s="58"/>
      <c r="E4313" s="58"/>
      <c r="F4313" s="58"/>
      <c r="G4313" s="58"/>
    </row>
    <row r="4314">
      <c r="D4314" s="58"/>
      <c r="E4314" s="58"/>
      <c r="F4314" s="58"/>
      <c r="G4314" s="58"/>
    </row>
    <row r="4315">
      <c r="D4315" s="58"/>
      <c r="E4315" s="58"/>
      <c r="F4315" s="58"/>
      <c r="G4315" s="58"/>
    </row>
    <row r="4316">
      <c r="D4316" s="58"/>
      <c r="E4316" s="58"/>
      <c r="F4316" s="58"/>
      <c r="G4316" s="58"/>
    </row>
    <row r="4317">
      <c r="D4317" s="58"/>
      <c r="E4317" s="58"/>
      <c r="F4317" s="58"/>
      <c r="G4317" s="58"/>
    </row>
    <row r="4318">
      <c r="D4318" s="58"/>
      <c r="E4318" s="58"/>
      <c r="F4318" s="58"/>
      <c r="G4318" s="58"/>
    </row>
    <row r="4319">
      <c r="D4319" s="58"/>
      <c r="E4319" s="58"/>
      <c r="F4319" s="58"/>
      <c r="G4319" s="58"/>
    </row>
    <row r="4320">
      <c r="D4320" s="58"/>
      <c r="E4320" s="58"/>
      <c r="F4320" s="58"/>
      <c r="G4320" s="58"/>
    </row>
    <row r="4321">
      <c r="D4321" s="58"/>
      <c r="E4321" s="58"/>
      <c r="F4321" s="58"/>
      <c r="G4321" s="58"/>
    </row>
    <row r="4322">
      <c r="D4322" s="58"/>
      <c r="E4322" s="58"/>
      <c r="F4322" s="58"/>
      <c r="G4322" s="58"/>
    </row>
    <row r="4323">
      <c r="D4323" s="58"/>
      <c r="E4323" s="58"/>
      <c r="F4323" s="58"/>
      <c r="G4323" s="58"/>
    </row>
    <row r="4324">
      <c r="D4324" s="58"/>
      <c r="E4324" s="58"/>
      <c r="F4324" s="58"/>
      <c r="G4324" s="58"/>
    </row>
    <row r="4325">
      <c r="D4325" s="58"/>
      <c r="E4325" s="58"/>
      <c r="F4325" s="58"/>
      <c r="G4325" s="58"/>
    </row>
    <row r="4326">
      <c r="D4326" s="58"/>
      <c r="E4326" s="58"/>
      <c r="F4326" s="58"/>
      <c r="G4326" s="58"/>
    </row>
    <row r="4327">
      <c r="D4327" s="58"/>
      <c r="E4327" s="58"/>
      <c r="F4327" s="58"/>
      <c r="G4327" s="58"/>
    </row>
    <row r="4328">
      <c r="D4328" s="58"/>
      <c r="E4328" s="58"/>
      <c r="F4328" s="58"/>
      <c r="G4328" s="58"/>
    </row>
    <row r="4329">
      <c r="D4329" s="58"/>
      <c r="E4329" s="58"/>
      <c r="F4329" s="58"/>
      <c r="G4329" s="58"/>
    </row>
    <row r="4330">
      <c r="D4330" s="58"/>
      <c r="E4330" s="58"/>
      <c r="F4330" s="58"/>
      <c r="G4330" s="58"/>
    </row>
    <row r="4331">
      <c r="D4331" s="58"/>
      <c r="E4331" s="58"/>
      <c r="F4331" s="58"/>
      <c r="G4331" s="58"/>
    </row>
    <row r="4332">
      <c r="D4332" s="58"/>
      <c r="E4332" s="58"/>
      <c r="F4332" s="58"/>
      <c r="G4332" s="58"/>
    </row>
    <row r="4333">
      <c r="D4333" s="58"/>
      <c r="E4333" s="58"/>
      <c r="F4333" s="58"/>
      <c r="G4333" s="58"/>
    </row>
    <row r="4334">
      <c r="D4334" s="58"/>
      <c r="E4334" s="58"/>
      <c r="F4334" s="58"/>
      <c r="G4334" s="58"/>
    </row>
    <row r="4335">
      <c r="D4335" s="58"/>
      <c r="E4335" s="58"/>
      <c r="F4335" s="58"/>
      <c r="G4335" s="58"/>
    </row>
    <row r="4336">
      <c r="D4336" s="58"/>
      <c r="E4336" s="58"/>
      <c r="F4336" s="58"/>
      <c r="G4336" s="58"/>
    </row>
    <row r="4337">
      <c r="D4337" s="58"/>
      <c r="E4337" s="58"/>
      <c r="F4337" s="58"/>
      <c r="G4337" s="58"/>
    </row>
    <row r="4338">
      <c r="D4338" s="58"/>
      <c r="E4338" s="58"/>
      <c r="F4338" s="58"/>
      <c r="G4338" s="58"/>
    </row>
    <row r="4339">
      <c r="D4339" s="58"/>
      <c r="E4339" s="58"/>
      <c r="F4339" s="58"/>
      <c r="G4339" s="58"/>
    </row>
    <row r="4340">
      <c r="D4340" s="58"/>
      <c r="E4340" s="58"/>
      <c r="F4340" s="58"/>
      <c r="G4340" s="58"/>
    </row>
    <row r="4341">
      <c r="D4341" s="58"/>
      <c r="E4341" s="58"/>
      <c r="F4341" s="58"/>
      <c r="G4341" s="58"/>
    </row>
    <row r="4342">
      <c r="D4342" s="58"/>
      <c r="E4342" s="58"/>
      <c r="F4342" s="58"/>
      <c r="G4342" s="58"/>
    </row>
    <row r="4343">
      <c r="D4343" s="58"/>
      <c r="E4343" s="58"/>
      <c r="F4343" s="58"/>
      <c r="G4343" s="58"/>
    </row>
    <row r="4344">
      <c r="D4344" s="58"/>
      <c r="E4344" s="58"/>
      <c r="F4344" s="58"/>
      <c r="G4344" s="58"/>
    </row>
    <row r="4345">
      <c r="D4345" s="58"/>
      <c r="E4345" s="58"/>
      <c r="F4345" s="58"/>
      <c r="G4345" s="58"/>
    </row>
    <row r="4346">
      <c r="D4346" s="58"/>
      <c r="E4346" s="58"/>
      <c r="F4346" s="58"/>
      <c r="G4346" s="58"/>
    </row>
    <row r="4347">
      <c r="D4347" s="58"/>
      <c r="E4347" s="58"/>
      <c r="F4347" s="58"/>
      <c r="G4347" s="58"/>
    </row>
    <row r="4348">
      <c r="D4348" s="58"/>
      <c r="E4348" s="58"/>
      <c r="F4348" s="58"/>
      <c r="G4348" s="58"/>
    </row>
    <row r="4349">
      <c r="D4349" s="58"/>
      <c r="E4349" s="58"/>
      <c r="F4349" s="58"/>
      <c r="G4349" s="58"/>
    </row>
    <row r="4350">
      <c r="D4350" s="58"/>
      <c r="E4350" s="58"/>
      <c r="F4350" s="58"/>
      <c r="G4350" s="58"/>
    </row>
    <row r="4351">
      <c r="D4351" s="58"/>
      <c r="E4351" s="58"/>
      <c r="F4351" s="58"/>
      <c r="G4351" s="58"/>
    </row>
    <row r="4352">
      <c r="D4352" s="58"/>
      <c r="E4352" s="58"/>
      <c r="F4352" s="58"/>
      <c r="G4352" s="58"/>
    </row>
    <row r="4353">
      <c r="D4353" s="58"/>
      <c r="E4353" s="58"/>
      <c r="F4353" s="58"/>
      <c r="G4353" s="58"/>
    </row>
    <row r="4354">
      <c r="D4354" s="58"/>
      <c r="E4354" s="58"/>
      <c r="F4354" s="58"/>
      <c r="G4354" s="58"/>
    </row>
    <row r="4355">
      <c r="D4355" s="58"/>
      <c r="E4355" s="58"/>
      <c r="F4355" s="58"/>
      <c r="G4355" s="58"/>
    </row>
    <row r="4356">
      <c r="D4356" s="58"/>
      <c r="E4356" s="58"/>
      <c r="F4356" s="58"/>
      <c r="G4356" s="58"/>
    </row>
    <row r="4357">
      <c r="D4357" s="58"/>
      <c r="E4357" s="58"/>
      <c r="F4357" s="58"/>
      <c r="G4357" s="58"/>
    </row>
    <row r="4358">
      <c r="D4358" s="58"/>
      <c r="E4358" s="58"/>
      <c r="F4358" s="58"/>
      <c r="G4358" s="58"/>
    </row>
    <row r="4359">
      <c r="D4359" s="58"/>
      <c r="E4359" s="58"/>
      <c r="F4359" s="58"/>
      <c r="G4359" s="58"/>
    </row>
    <row r="4360">
      <c r="D4360" s="58"/>
      <c r="E4360" s="58"/>
      <c r="F4360" s="58"/>
      <c r="G4360" s="58"/>
    </row>
    <row r="4361">
      <c r="D4361" s="58"/>
      <c r="E4361" s="58"/>
      <c r="F4361" s="58"/>
      <c r="G4361" s="58"/>
    </row>
    <row r="4362">
      <c r="D4362" s="58"/>
      <c r="E4362" s="58"/>
      <c r="F4362" s="58"/>
      <c r="G4362" s="58"/>
    </row>
    <row r="4363">
      <c r="D4363" s="58"/>
      <c r="E4363" s="58"/>
      <c r="F4363" s="58"/>
      <c r="G4363" s="58"/>
    </row>
    <row r="4364">
      <c r="D4364" s="58"/>
      <c r="E4364" s="58"/>
      <c r="F4364" s="58"/>
      <c r="G4364" s="58"/>
    </row>
    <row r="4365">
      <c r="D4365" s="58"/>
      <c r="E4365" s="58"/>
      <c r="F4365" s="58"/>
      <c r="G4365" s="58"/>
    </row>
    <row r="4366">
      <c r="D4366" s="58"/>
      <c r="E4366" s="58"/>
      <c r="F4366" s="58"/>
      <c r="G4366" s="58"/>
    </row>
    <row r="4367">
      <c r="D4367" s="58"/>
      <c r="E4367" s="58"/>
      <c r="F4367" s="58"/>
      <c r="G4367" s="58"/>
    </row>
    <row r="4368">
      <c r="D4368" s="58"/>
      <c r="E4368" s="58"/>
      <c r="F4368" s="58"/>
      <c r="G4368" s="58"/>
    </row>
    <row r="4369">
      <c r="D4369" s="58"/>
      <c r="E4369" s="58"/>
      <c r="F4369" s="58"/>
      <c r="G4369" s="58"/>
    </row>
    <row r="4370">
      <c r="D4370" s="58"/>
      <c r="E4370" s="58"/>
      <c r="F4370" s="58"/>
      <c r="G4370" s="58"/>
    </row>
    <row r="4371">
      <c r="D4371" s="58"/>
      <c r="E4371" s="58"/>
      <c r="F4371" s="58"/>
      <c r="G4371" s="58"/>
    </row>
    <row r="4372">
      <c r="D4372" s="58"/>
      <c r="E4372" s="58"/>
      <c r="F4372" s="58"/>
      <c r="G4372" s="58"/>
    </row>
    <row r="4373">
      <c r="D4373" s="58"/>
      <c r="E4373" s="58"/>
      <c r="F4373" s="58"/>
      <c r="G4373" s="58"/>
    </row>
    <row r="4374">
      <c r="D4374" s="58"/>
      <c r="E4374" s="58"/>
      <c r="F4374" s="58"/>
      <c r="G4374" s="58"/>
    </row>
    <row r="4375">
      <c r="D4375" s="58"/>
      <c r="E4375" s="58"/>
      <c r="F4375" s="58"/>
      <c r="G4375" s="58"/>
    </row>
    <row r="4376">
      <c r="D4376" s="58"/>
      <c r="E4376" s="58"/>
      <c r="F4376" s="58"/>
      <c r="G4376" s="58"/>
    </row>
    <row r="4377">
      <c r="D4377" s="58"/>
      <c r="E4377" s="58"/>
      <c r="F4377" s="58"/>
      <c r="G4377" s="58"/>
    </row>
    <row r="4378">
      <c r="D4378" s="58"/>
      <c r="E4378" s="58"/>
      <c r="F4378" s="58"/>
      <c r="G4378" s="58"/>
    </row>
    <row r="4379">
      <c r="D4379" s="58"/>
      <c r="E4379" s="58"/>
      <c r="F4379" s="58"/>
      <c r="G4379" s="58"/>
    </row>
    <row r="4380">
      <c r="D4380" s="58"/>
      <c r="E4380" s="58"/>
      <c r="F4380" s="58"/>
      <c r="G4380" s="58"/>
    </row>
    <row r="4381">
      <c r="D4381" s="58"/>
      <c r="E4381" s="58"/>
      <c r="F4381" s="58"/>
      <c r="G4381" s="58"/>
    </row>
    <row r="4382">
      <c r="D4382" s="58"/>
      <c r="E4382" s="58"/>
      <c r="F4382" s="58"/>
      <c r="G4382" s="58"/>
    </row>
    <row r="4383">
      <c r="D4383" s="58"/>
      <c r="E4383" s="58"/>
      <c r="F4383" s="58"/>
      <c r="G4383" s="58"/>
    </row>
    <row r="4384">
      <c r="D4384" s="58"/>
      <c r="E4384" s="58"/>
      <c r="F4384" s="58"/>
      <c r="G4384" s="58"/>
    </row>
    <row r="4385">
      <c r="D4385" s="58"/>
      <c r="E4385" s="58"/>
      <c r="F4385" s="58"/>
      <c r="G4385" s="58"/>
    </row>
    <row r="4386">
      <c r="D4386" s="58"/>
      <c r="E4386" s="58"/>
      <c r="F4386" s="58"/>
      <c r="G4386" s="58"/>
    </row>
    <row r="4387">
      <c r="D4387" s="58"/>
      <c r="E4387" s="58"/>
      <c r="F4387" s="58"/>
      <c r="G4387" s="58"/>
    </row>
    <row r="4388">
      <c r="D4388" s="58"/>
      <c r="E4388" s="58"/>
      <c r="F4388" s="58"/>
      <c r="G4388" s="58"/>
    </row>
    <row r="4389">
      <c r="D4389" s="58"/>
      <c r="E4389" s="58"/>
      <c r="F4389" s="58"/>
      <c r="G4389" s="58"/>
    </row>
    <row r="4390">
      <c r="D4390" s="58"/>
      <c r="E4390" s="58"/>
      <c r="F4390" s="58"/>
      <c r="G4390" s="58"/>
    </row>
    <row r="4391">
      <c r="D4391" s="58"/>
      <c r="E4391" s="58"/>
      <c r="F4391" s="58"/>
      <c r="G4391" s="58"/>
    </row>
    <row r="4392">
      <c r="D4392" s="58"/>
      <c r="E4392" s="58"/>
      <c r="F4392" s="58"/>
      <c r="G4392" s="58"/>
    </row>
    <row r="4393">
      <c r="D4393" s="58"/>
      <c r="E4393" s="58"/>
      <c r="F4393" s="58"/>
      <c r="G4393" s="58"/>
    </row>
    <row r="4394">
      <c r="D4394" s="58"/>
      <c r="E4394" s="58"/>
      <c r="F4394" s="58"/>
      <c r="G4394" s="58"/>
    </row>
    <row r="4395">
      <c r="D4395" s="58"/>
      <c r="E4395" s="58"/>
      <c r="F4395" s="58"/>
      <c r="G4395" s="58"/>
    </row>
    <row r="4396">
      <c r="D4396" s="58"/>
      <c r="E4396" s="58"/>
      <c r="F4396" s="58"/>
      <c r="G4396" s="58"/>
    </row>
    <row r="4397">
      <c r="D4397" s="58"/>
      <c r="E4397" s="58"/>
      <c r="F4397" s="58"/>
      <c r="G4397" s="58"/>
    </row>
    <row r="4398">
      <c r="D4398" s="58"/>
      <c r="E4398" s="58"/>
      <c r="F4398" s="58"/>
      <c r="G4398" s="58"/>
    </row>
    <row r="4399">
      <c r="D4399" s="58"/>
      <c r="E4399" s="58"/>
      <c r="F4399" s="58"/>
      <c r="G4399" s="58"/>
    </row>
    <row r="4400">
      <c r="D4400" s="58"/>
      <c r="E4400" s="58"/>
      <c r="F4400" s="58"/>
      <c r="G4400" s="58"/>
    </row>
    <row r="4401">
      <c r="D4401" s="58"/>
      <c r="E4401" s="58"/>
      <c r="F4401" s="58"/>
      <c r="G4401" s="58"/>
    </row>
    <row r="4402">
      <c r="D4402" s="58"/>
      <c r="E4402" s="58"/>
      <c r="F4402" s="58"/>
      <c r="G4402" s="58"/>
    </row>
    <row r="4403">
      <c r="D4403" s="58"/>
      <c r="E4403" s="58"/>
      <c r="F4403" s="58"/>
      <c r="G4403" s="58"/>
    </row>
    <row r="4404">
      <c r="D4404" s="58"/>
      <c r="E4404" s="58"/>
      <c r="F4404" s="58"/>
      <c r="G4404" s="58"/>
    </row>
    <row r="4405">
      <c r="D4405" s="58"/>
      <c r="E4405" s="58"/>
      <c r="F4405" s="58"/>
      <c r="G4405" s="58"/>
    </row>
    <row r="4406">
      <c r="D4406" s="58"/>
      <c r="E4406" s="58"/>
      <c r="F4406" s="58"/>
      <c r="G4406" s="58"/>
    </row>
    <row r="4407">
      <c r="D4407" s="58"/>
      <c r="E4407" s="58"/>
      <c r="F4407" s="58"/>
      <c r="G4407" s="58"/>
    </row>
    <row r="4408">
      <c r="D4408" s="58"/>
      <c r="E4408" s="58"/>
      <c r="F4408" s="58"/>
      <c r="G4408" s="58"/>
    </row>
    <row r="4409">
      <c r="D4409" s="58"/>
      <c r="E4409" s="58"/>
      <c r="F4409" s="58"/>
      <c r="G4409" s="58"/>
    </row>
    <row r="4410">
      <c r="D4410" s="58"/>
      <c r="E4410" s="58"/>
      <c r="F4410" s="58"/>
      <c r="G4410" s="58"/>
    </row>
    <row r="4411">
      <c r="D4411" s="58"/>
      <c r="E4411" s="58"/>
      <c r="F4411" s="58"/>
      <c r="G4411" s="58"/>
    </row>
    <row r="4412">
      <c r="D4412" s="58"/>
      <c r="E4412" s="58"/>
      <c r="F4412" s="58"/>
      <c r="G4412" s="58"/>
    </row>
    <row r="4413">
      <c r="D4413" s="58"/>
      <c r="E4413" s="58"/>
      <c r="F4413" s="58"/>
      <c r="G4413" s="58"/>
    </row>
    <row r="4414">
      <c r="D4414" s="58"/>
      <c r="E4414" s="58"/>
      <c r="F4414" s="58"/>
      <c r="G4414" s="58"/>
    </row>
    <row r="4415">
      <c r="D4415" s="58"/>
      <c r="E4415" s="58"/>
      <c r="F4415" s="58"/>
      <c r="G4415" s="58"/>
    </row>
    <row r="4416">
      <c r="D4416" s="58"/>
      <c r="E4416" s="58"/>
      <c r="F4416" s="58"/>
      <c r="G4416" s="58"/>
    </row>
    <row r="4417">
      <c r="D4417" s="58"/>
      <c r="E4417" s="58"/>
      <c r="F4417" s="58"/>
      <c r="G4417" s="58"/>
    </row>
    <row r="4418">
      <c r="D4418" s="58"/>
      <c r="E4418" s="58"/>
      <c r="F4418" s="58"/>
      <c r="G4418" s="58"/>
    </row>
    <row r="4419">
      <c r="D4419" s="58"/>
      <c r="E4419" s="58"/>
      <c r="F4419" s="58"/>
      <c r="G4419" s="58"/>
    </row>
    <row r="4420">
      <c r="D4420" s="58"/>
      <c r="E4420" s="58"/>
      <c r="F4420" s="58"/>
      <c r="G4420" s="58"/>
    </row>
    <row r="4421">
      <c r="D4421" s="58"/>
      <c r="E4421" s="58"/>
      <c r="F4421" s="58"/>
      <c r="G4421" s="58"/>
    </row>
    <row r="4422">
      <c r="D4422" s="58"/>
      <c r="E4422" s="58"/>
      <c r="F4422" s="58"/>
      <c r="G4422" s="58"/>
    </row>
    <row r="4423">
      <c r="D4423" s="58"/>
      <c r="E4423" s="58"/>
      <c r="F4423" s="58"/>
      <c r="G4423" s="58"/>
    </row>
    <row r="4424">
      <c r="D4424" s="58"/>
      <c r="E4424" s="58"/>
      <c r="F4424" s="58"/>
      <c r="G4424" s="58"/>
    </row>
    <row r="4425">
      <c r="D4425" s="58"/>
      <c r="E4425" s="58"/>
      <c r="F4425" s="58"/>
      <c r="G4425" s="58"/>
    </row>
    <row r="4426">
      <c r="D4426" s="58"/>
      <c r="E4426" s="58"/>
      <c r="F4426" s="58"/>
      <c r="G4426" s="58"/>
    </row>
    <row r="4427">
      <c r="D4427" s="58"/>
      <c r="E4427" s="58"/>
      <c r="F4427" s="58"/>
      <c r="G4427" s="58"/>
    </row>
    <row r="4428">
      <c r="D4428" s="58"/>
      <c r="E4428" s="58"/>
      <c r="F4428" s="58"/>
      <c r="G4428" s="58"/>
    </row>
    <row r="4429">
      <c r="D4429" s="58"/>
      <c r="E4429" s="58"/>
      <c r="F4429" s="58"/>
      <c r="G4429" s="58"/>
    </row>
    <row r="4430">
      <c r="D4430" s="58"/>
      <c r="E4430" s="58"/>
      <c r="F4430" s="58"/>
      <c r="G4430" s="58"/>
    </row>
    <row r="4431">
      <c r="D4431" s="58"/>
      <c r="E4431" s="58"/>
      <c r="F4431" s="58"/>
      <c r="G4431" s="58"/>
    </row>
    <row r="4432">
      <c r="D4432" s="58"/>
      <c r="E4432" s="58"/>
      <c r="F4432" s="58"/>
      <c r="G4432" s="58"/>
    </row>
    <row r="4433">
      <c r="D4433" s="58"/>
      <c r="E4433" s="58"/>
      <c r="F4433" s="58"/>
      <c r="G4433" s="58"/>
    </row>
    <row r="4434">
      <c r="D4434" s="58"/>
      <c r="E4434" s="58"/>
      <c r="F4434" s="58"/>
      <c r="G4434" s="58"/>
    </row>
    <row r="4435">
      <c r="D4435" s="58"/>
      <c r="E4435" s="58"/>
      <c r="F4435" s="58"/>
      <c r="G4435" s="58"/>
    </row>
    <row r="4436">
      <c r="D4436" s="58"/>
      <c r="E4436" s="58"/>
      <c r="F4436" s="58"/>
      <c r="G4436" s="58"/>
    </row>
    <row r="4437">
      <c r="D4437" s="58"/>
      <c r="E4437" s="58"/>
      <c r="F4437" s="58"/>
      <c r="G4437" s="58"/>
    </row>
    <row r="4438">
      <c r="D4438" s="58"/>
      <c r="E4438" s="58"/>
      <c r="F4438" s="58"/>
      <c r="G4438" s="58"/>
    </row>
    <row r="4439">
      <c r="D4439" s="58"/>
      <c r="E4439" s="58"/>
      <c r="F4439" s="58"/>
      <c r="G4439" s="58"/>
    </row>
    <row r="4440">
      <c r="D4440" s="58"/>
      <c r="E4440" s="58"/>
      <c r="F4440" s="58"/>
      <c r="G4440" s="58"/>
    </row>
    <row r="4441">
      <c r="D4441" s="58"/>
      <c r="E4441" s="58"/>
      <c r="F4441" s="58"/>
      <c r="G4441" s="58"/>
    </row>
    <row r="4442">
      <c r="D4442" s="58"/>
      <c r="E4442" s="58"/>
      <c r="F4442" s="58"/>
      <c r="G4442" s="58"/>
    </row>
    <row r="4443">
      <c r="D4443" s="58"/>
      <c r="E4443" s="58"/>
      <c r="F4443" s="58"/>
      <c r="G4443" s="58"/>
    </row>
    <row r="4444">
      <c r="D4444" s="58"/>
      <c r="E4444" s="58"/>
      <c r="F4444" s="58"/>
      <c r="G4444" s="58"/>
    </row>
    <row r="4445">
      <c r="D4445" s="58"/>
      <c r="E4445" s="58"/>
      <c r="F4445" s="58"/>
      <c r="G4445" s="58"/>
    </row>
    <row r="4446">
      <c r="D4446" s="58"/>
      <c r="E4446" s="58"/>
      <c r="F4446" s="58"/>
      <c r="G4446" s="58"/>
    </row>
    <row r="4447">
      <c r="D4447" s="58"/>
      <c r="E4447" s="58"/>
      <c r="F4447" s="58"/>
      <c r="G4447" s="58"/>
    </row>
    <row r="4448">
      <c r="D4448" s="58"/>
      <c r="E4448" s="58"/>
      <c r="F4448" s="58"/>
      <c r="G4448" s="58"/>
    </row>
    <row r="4449">
      <c r="D4449" s="58"/>
      <c r="E4449" s="58"/>
      <c r="F4449" s="58"/>
      <c r="G4449" s="58"/>
    </row>
    <row r="4450">
      <c r="D4450" s="58"/>
      <c r="E4450" s="58"/>
      <c r="F4450" s="58"/>
      <c r="G4450" s="58"/>
    </row>
    <row r="4451">
      <c r="D4451" s="58"/>
      <c r="E4451" s="58"/>
      <c r="F4451" s="58"/>
      <c r="G4451" s="58"/>
    </row>
    <row r="4452">
      <c r="D4452" s="58"/>
      <c r="E4452" s="58"/>
      <c r="F4452" s="58"/>
      <c r="G4452" s="58"/>
    </row>
    <row r="4453">
      <c r="D4453" s="58"/>
      <c r="E4453" s="58"/>
      <c r="F4453" s="58"/>
      <c r="G4453" s="58"/>
    </row>
    <row r="4454">
      <c r="D4454" s="58"/>
      <c r="E4454" s="58"/>
      <c r="F4454" s="58"/>
      <c r="G4454" s="58"/>
    </row>
    <row r="4455">
      <c r="D4455" s="58"/>
      <c r="E4455" s="58"/>
      <c r="F4455" s="58"/>
      <c r="G4455" s="58"/>
    </row>
    <row r="4456">
      <c r="D4456" s="58"/>
      <c r="E4456" s="58"/>
      <c r="F4456" s="58"/>
      <c r="G4456" s="58"/>
    </row>
    <row r="4457">
      <c r="D4457" s="58"/>
      <c r="E4457" s="58"/>
      <c r="F4457" s="58"/>
      <c r="G4457" s="58"/>
    </row>
    <row r="4458">
      <c r="D4458" s="58"/>
      <c r="E4458" s="58"/>
      <c r="F4458" s="58"/>
      <c r="G4458" s="58"/>
    </row>
    <row r="4459">
      <c r="D4459" s="58"/>
      <c r="E4459" s="58"/>
      <c r="F4459" s="58"/>
      <c r="G4459" s="58"/>
    </row>
    <row r="4460">
      <c r="D4460" s="58"/>
      <c r="E4460" s="58"/>
      <c r="F4460" s="58"/>
      <c r="G4460" s="58"/>
    </row>
    <row r="4461">
      <c r="D4461" s="58"/>
      <c r="E4461" s="58"/>
      <c r="F4461" s="58"/>
      <c r="G4461" s="58"/>
    </row>
    <row r="4462">
      <c r="D4462" s="58"/>
      <c r="E4462" s="58"/>
      <c r="F4462" s="58"/>
      <c r="G4462" s="58"/>
    </row>
    <row r="4463">
      <c r="D4463" s="58"/>
      <c r="E4463" s="58"/>
      <c r="F4463" s="58"/>
      <c r="G4463" s="58"/>
    </row>
    <row r="4464">
      <c r="D4464" s="58"/>
      <c r="E4464" s="58"/>
      <c r="F4464" s="58"/>
      <c r="G4464" s="58"/>
    </row>
    <row r="4465">
      <c r="D4465" s="58"/>
      <c r="E4465" s="58"/>
      <c r="F4465" s="58"/>
      <c r="G4465" s="58"/>
    </row>
    <row r="4466">
      <c r="D4466" s="58"/>
      <c r="E4466" s="58"/>
      <c r="F4466" s="58"/>
      <c r="G4466" s="58"/>
    </row>
    <row r="4467">
      <c r="D4467" s="58"/>
      <c r="E4467" s="58"/>
      <c r="F4467" s="58"/>
      <c r="G4467" s="58"/>
    </row>
    <row r="4468">
      <c r="D4468" s="58"/>
      <c r="E4468" s="58"/>
      <c r="F4468" s="58"/>
      <c r="G4468" s="58"/>
    </row>
    <row r="4469">
      <c r="D4469" s="58"/>
      <c r="E4469" s="58"/>
      <c r="F4469" s="58"/>
      <c r="G4469" s="58"/>
    </row>
    <row r="4470">
      <c r="D4470" s="58"/>
      <c r="E4470" s="58"/>
      <c r="F4470" s="58"/>
      <c r="G4470" s="58"/>
    </row>
    <row r="4471">
      <c r="D4471" s="58"/>
      <c r="E4471" s="58"/>
      <c r="F4471" s="58"/>
      <c r="G4471" s="58"/>
    </row>
    <row r="4472">
      <c r="D4472" s="58"/>
      <c r="E4472" s="58"/>
      <c r="F4472" s="58"/>
      <c r="G4472" s="58"/>
    </row>
    <row r="4473">
      <c r="D4473" s="58"/>
      <c r="E4473" s="58"/>
      <c r="F4473" s="58"/>
      <c r="G4473" s="58"/>
    </row>
    <row r="4474">
      <c r="D4474" s="58"/>
      <c r="E4474" s="58"/>
      <c r="F4474" s="58"/>
      <c r="G4474" s="58"/>
    </row>
    <row r="4475">
      <c r="D4475" s="58"/>
      <c r="E4475" s="58"/>
      <c r="F4475" s="58"/>
      <c r="G4475" s="58"/>
    </row>
    <row r="4476">
      <c r="D4476" s="58"/>
      <c r="E4476" s="58"/>
      <c r="F4476" s="58"/>
      <c r="G4476" s="58"/>
    </row>
    <row r="4477">
      <c r="D4477" s="58"/>
      <c r="E4477" s="58"/>
      <c r="F4477" s="58"/>
      <c r="G4477" s="58"/>
    </row>
    <row r="4478">
      <c r="D4478" s="58"/>
      <c r="E4478" s="58"/>
      <c r="F4478" s="58"/>
      <c r="G4478" s="58"/>
    </row>
    <row r="4479">
      <c r="D4479" s="58"/>
      <c r="E4479" s="58"/>
      <c r="F4479" s="58"/>
      <c r="G4479" s="58"/>
    </row>
    <row r="4480">
      <c r="D4480" s="58"/>
      <c r="E4480" s="58"/>
      <c r="F4480" s="58"/>
      <c r="G4480" s="58"/>
    </row>
    <row r="4481">
      <c r="D4481" s="58"/>
      <c r="E4481" s="58"/>
      <c r="F4481" s="58"/>
      <c r="G4481" s="58"/>
    </row>
    <row r="4482">
      <c r="D4482" s="58"/>
      <c r="E4482" s="58"/>
      <c r="F4482" s="58"/>
      <c r="G4482" s="58"/>
    </row>
    <row r="4483">
      <c r="D4483" s="58"/>
      <c r="E4483" s="58"/>
      <c r="F4483" s="58"/>
      <c r="G4483" s="58"/>
    </row>
    <row r="4484">
      <c r="D4484" s="58"/>
      <c r="E4484" s="58"/>
      <c r="F4484" s="58"/>
      <c r="G4484" s="58"/>
    </row>
    <row r="4485">
      <c r="D4485" s="58"/>
      <c r="E4485" s="58"/>
      <c r="F4485" s="58"/>
      <c r="G4485" s="58"/>
    </row>
    <row r="4486">
      <c r="D4486" s="58"/>
      <c r="E4486" s="58"/>
      <c r="F4486" s="58"/>
      <c r="G4486" s="58"/>
    </row>
    <row r="4487">
      <c r="D4487" s="58"/>
      <c r="E4487" s="58"/>
      <c r="F4487" s="58"/>
      <c r="G4487" s="58"/>
    </row>
    <row r="4488">
      <c r="D4488" s="58"/>
      <c r="E4488" s="58"/>
      <c r="F4488" s="58"/>
      <c r="G4488" s="58"/>
    </row>
    <row r="4489">
      <c r="D4489" s="58"/>
      <c r="E4489" s="58"/>
      <c r="F4489" s="58"/>
      <c r="G4489" s="58"/>
    </row>
    <row r="4490">
      <c r="D4490" s="58"/>
      <c r="E4490" s="58"/>
      <c r="F4490" s="58"/>
      <c r="G4490" s="58"/>
    </row>
    <row r="4491">
      <c r="D4491" s="58"/>
      <c r="E4491" s="58"/>
      <c r="F4491" s="58"/>
      <c r="G4491" s="58"/>
    </row>
    <row r="4492">
      <c r="D4492" s="58"/>
      <c r="E4492" s="58"/>
      <c r="F4492" s="58"/>
      <c r="G4492" s="58"/>
    </row>
    <row r="4493">
      <c r="D4493" s="58"/>
      <c r="E4493" s="58"/>
      <c r="F4493" s="58"/>
      <c r="G4493" s="58"/>
    </row>
    <row r="4494">
      <c r="D4494" s="58"/>
      <c r="E4494" s="58"/>
      <c r="F4494" s="58"/>
      <c r="G4494" s="58"/>
    </row>
    <row r="4495">
      <c r="D4495" s="58"/>
      <c r="E4495" s="58"/>
      <c r="F4495" s="58"/>
      <c r="G4495" s="58"/>
    </row>
    <row r="4496">
      <c r="D4496" s="58"/>
      <c r="E4496" s="58"/>
      <c r="F4496" s="58"/>
      <c r="G4496" s="58"/>
    </row>
    <row r="4497">
      <c r="D4497" s="58"/>
      <c r="E4497" s="58"/>
      <c r="F4497" s="58"/>
      <c r="G4497" s="58"/>
    </row>
    <row r="4498">
      <c r="D4498" s="58"/>
      <c r="E4498" s="58"/>
      <c r="F4498" s="58"/>
      <c r="G4498" s="58"/>
    </row>
    <row r="4499">
      <c r="D4499" s="58"/>
      <c r="E4499" s="58"/>
      <c r="F4499" s="58"/>
      <c r="G4499" s="58"/>
    </row>
    <row r="4500">
      <c r="D4500" s="58"/>
      <c r="E4500" s="58"/>
      <c r="F4500" s="58"/>
      <c r="G4500" s="58"/>
    </row>
    <row r="4501">
      <c r="D4501" s="58"/>
      <c r="E4501" s="58"/>
      <c r="F4501" s="58"/>
      <c r="G4501" s="58"/>
    </row>
    <row r="4502">
      <c r="D4502" s="58"/>
      <c r="E4502" s="58"/>
      <c r="F4502" s="58"/>
      <c r="G4502" s="58"/>
    </row>
    <row r="4503">
      <c r="D4503" s="58"/>
      <c r="E4503" s="58"/>
      <c r="F4503" s="58"/>
      <c r="G4503" s="58"/>
    </row>
    <row r="4504">
      <c r="D4504" s="58"/>
      <c r="E4504" s="58"/>
      <c r="F4504" s="58"/>
      <c r="G4504" s="58"/>
    </row>
    <row r="4505">
      <c r="D4505" s="58"/>
      <c r="E4505" s="58"/>
      <c r="F4505" s="58"/>
      <c r="G4505" s="58"/>
    </row>
    <row r="4506">
      <c r="D4506" s="58"/>
      <c r="E4506" s="58"/>
      <c r="F4506" s="58"/>
      <c r="G4506" s="58"/>
    </row>
    <row r="4507">
      <c r="D4507" s="58"/>
      <c r="E4507" s="58"/>
      <c r="F4507" s="58"/>
      <c r="G4507" s="58"/>
    </row>
    <row r="4508">
      <c r="D4508" s="58"/>
      <c r="E4508" s="58"/>
      <c r="F4508" s="58"/>
      <c r="G4508" s="58"/>
    </row>
    <row r="4509">
      <c r="D4509" s="58"/>
      <c r="E4509" s="58"/>
      <c r="F4509" s="58"/>
      <c r="G4509" s="58"/>
    </row>
    <row r="4510">
      <c r="D4510" s="58"/>
      <c r="E4510" s="58"/>
      <c r="F4510" s="58"/>
      <c r="G4510" s="58"/>
    </row>
    <row r="4511">
      <c r="D4511" s="58"/>
      <c r="E4511" s="58"/>
      <c r="F4511" s="58"/>
      <c r="G4511" s="58"/>
    </row>
    <row r="4512">
      <c r="D4512" s="58"/>
      <c r="E4512" s="58"/>
      <c r="F4512" s="58"/>
      <c r="G4512" s="58"/>
    </row>
    <row r="4513">
      <c r="D4513" s="58"/>
      <c r="E4513" s="58"/>
      <c r="F4513" s="58"/>
      <c r="G4513" s="58"/>
    </row>
    <row r="4514">
      <c r="D4514" s="58"/>
      <c r="E4514" s="58"/>
      <c r="F4514" s="58"/>
      <c r="G4514" s="58"/>
    </row>
    <row r="4515">
      <c r="D4515" s="58"/>
      <c r="E4515" s="58"/>
      <c r="F4515" s="58"/>
      <c r="G4515" s="58"/>
    </row>
    <row r="4516">
      <c r="D4516" s="58"/>
      <c r="E4516" s="58"/>
      <c r="F4516" s="58"/>
      <c r="G4516" s="58"/>
    </row>
    <row r="4517">
      <c r="D4517" s="58"/>
      <c r="E4517" s="58"/>
      <c r="F4517" s="58"/>
      <c r="G4517" s="58"/>
    </row>
    <row r="4518">
      <c r="D4518" s="58"/>
      <c r="E4518" s="58"/>
      <c r="F4518" s="58"/>
      <c r="G4518" s="58"/>
    </row>
    <row r="4519">
      <c r="D4519" s="58"/>
      <c r="E4519" s="58"/>
      <c r="F4519" s="58"/>
      <c r="G4519" s="58"/>
    </row>
    <row r="4520">
      <c r="D4520" s="58"/>
      <c r="E4520" s="58"/>
      <c r="F4520" s="58"/>
      <c r="G4520" s="58"/>
    </row>
    <row r="4521">
      <c r="D4521" s="58"/>
      <c r="E4521" s="58"/>
      <c r="F4521" s="58"/>
      <c r="G4521" s="58"/>
    </row>
    <row r="4522">
      <c r="D4522" s="58"/>
      <c r="E4522" s="58"/>
      <c r="F4522" s="58"/>
      <c r="G4522" s="58"/>
    </row>
    <row r="4523">
      <c r="D4523" s="58"/>
      <c r="E4523" s="58"/>
      <c r="F4523" s="58"/>
      <c r="G4523" s="58"/>
    </row>
    <row r="4524">
      <c r="D4524" s="58"/>
      <c r="E4524" s="58"/>
      <c r="F4524" s="58"/>
      <c r="G4524" s="58"/>
    </row>
    <row r="4525">
      <c r="D4525" s="58"/>
      <c r="E4525" s="58"/>
      <c r="F4525" s="58"/>
      <c r="G4525" s="58"/>
    </row>
    <row r="4526">
      <c r="D4526" s="58"/>
      <c r="E4526" s="58"/>
      <c r="F4526" s="58"/>
      <c r="G4526" s="58"/>
    </row>
    <row r="4527">
      <c r="D4527" s="58"/>
      <c r="E4527" s="58"/>
      <c r="F4527" s="58"/>
      <c r="G4527" s="58"/>
    </row>
    <row r="4528">
      <c r="D4528" s="58"/>
      <c r="E4528" s="58"/>
      <c r="F4528" s="58"/>
      <c r="G4528" s="58"/>
    </row>
    <row r="4529">
      <c r="D4529" s="58"/>
      <c r="E4529" s="58"/>
      <c r="F4529" s="58"/>
      <c r="G4529" s="58"/>
    </row>
    <row r="4530">
      <c r="D4530" s="58"/>
      <c r="E4530" s="58"/>
      <c r="F4530" s="58"/>
      <c r="G4530" s="58"/>
    </row>
    <row r="4531">
      <c r="D4531" s="58"/>
      <c r="E4531" s="58"/>
      <c r="F4531" s="58"/>
      <c r="G4531" s="58"/>
    </row>
    <row r="4532">
      <c r="D4532" s="58"/>
      <c r="E4532" s="58"/>
      <c r="F4532" s="58"/>
      <c r="G4532" s="58"/>
    </row>
    <row r="4533">
      <c r="D4533" s="58"/>
      <c r="E4533" s="58"/>
      <c r="F4533" s="58"/>
      <c r="G4533" s="58"/>
    </row>
    <row r="4534">
      <c r="D4534" s="58"/>
      <c r="E4534" s="58"/>
      <c r="F4534" s="58"/>
      <c r="G4534" s="58"/>
    </row>
    <row r="4535">
      <c r="D4535" s="58"/>
      <c r="E4535" s="58"/>
      <c r="F4535" s="58"/>
      <c r="G4535" s="58"/>
    </row>
    <row r="4536">
      <c r="D4536" s="58"/>
      <c r="E4536" s="58"/>
      <c r="F4536" s="58"/>
      <c r="G4536" s="58"/>
    </row>
    <row r="4537">
      <c r="D4537" s="58"/>
      <c r="E4537" s="58"/>
      <c r="F4537" s="58"/>
      <c r="G4537" s="58"/>
    </row>
    <row r="4538">
      <c r="D4538" s="58"/>
      <c r="E4538" s="58"/>
      <c r="F4538" s="58"/>
      <c r="G4538" s="58"/>
    </row>
    <row r="4539">
      <c r="D4539" s="58"/>
      <c r="E4539" s="58"/>
      <c r="F4539" s="58"/>
      <c r="G4539" s="58"/>
    </row>
    <row r="4540">
      <c r="D4540" s="58"/>
      <c r="E4540" s="58"/>
      <c r="F4540" s="58"/>
      <c r="G4540" s="58"/>
    </row>
    <row r="4541">
      <c r="D4541" s="58"/>
      <c r="E4541" s="58"/>
      <c r="F4541" s="58"/>
      <c r="G4541" s="58"/>
    </row>
    <row r="4542">
      <c r="D4542" s="58"/>
      <c r="E4542" s="58"/>
      <c r="F4542" s="58"/>
      <c r="G4542" s="58"/>
    </row>
    <row r="4543">
      <c r="D4543" s="58"/>
      <c r="E4543" s="58"/>
      <c r="F4543" s="58"/>
      <c r="G4543" s="58"/>
    </row>
    <row r="4544">
      <c r="D4544" s="58"/>
      <c r="E4544" s="58"/>
      <c r="F4544" s="58"/>
      <c r="G4544" s="58"/>
    </row>
    <row r="4545">
      <c r="D4545" s="58"/>
      <c r="E4545" s="58"/>
      <c r="F4545" s="58"/>
      <c r="G4545" s="58"/>
    </row>
    <row r="4546">
      <c r="D4546" s="58"/>
      <c r="E4546" s="58"/>
      <c r="F4546" s="58"/>
      <c r="G4546" s="58"/>
    </row>
    <row r="4547">
      <c r="D4547" s="58"/>
      <c r="E4547" s="58"/>
      <c r="F4547" s="58"/>
      <c r="G4547" s="58"/>
    </row>
    <row r="4548">
      <c r="D4548" s="58"/>
      <c r="E4548" s="58"/>
      <c r="F4548" s="58"/>
      <c r="G4548" s="58"/>
    </row>
    <row r="4549">
      <c r="D4549" s="58"/>
      <c r="E4549" s="58"/>
      <c r="F4549" s="58"/>
      <c r="G4549" s="58"/>
    </row>
    <row r="4550">
      <c r="D4550" s="58"/>
      <c r="E4550" s="58"/>
      <c r="F4550" s="58"/>
      <c r="G4550" s="58"/>
    </row>
    <row r="4551">
      <c r="D4551" s="58"/>
      <c r="E4551" s="58"/>
      <c r="F4551" s="58"/>
      <c r="G4551" s="58"/>
    </row>
    <row r="4552">
      <c r="D4552" s="58"/>
      <c r="E4552" s="58"/>
      <c r="F4552" s="58"/>
      <c r="G4552" s="58"/>
    </row>
    <row r="4553">
      <c r="D4553" s="58"/>
      <c r="E4553" s="58"/>
      <c r="F4553" s="58"/>
      <c r="G4553" s="58"/>
    </row>
    <row r="4554">
      <c r="D4554" s="58"/>
      <c r="E4554" s="58"/>
      <c r="F4554" s="58"/>
      <c r="G4554" s="58"/>
    </row>
    <row r="4555">
      <c r="D4555" s="58"/>
      <c r="E4555" s="58"/>
      <c r="F4555" s="58"/>
      <c r="G4555" s="58"/>
    </row>
    <row r="4556">
      <c r="D4556" s="58"/>
      <c r="E4556" s="58"/>
      <c r="F4556" s="58"/>
      <c r="G4556" s="58"/>
    </row>
    <row r="4557">
      <c r="D4557" s="58"/>
      <c r="E4557" s="58"/>
      <c r="F4557" s="58"/>
      <c r="G4557" s="58"/>
    </row>
    <row r="4558">
      <c r="D4558" s="58"/>
      <c r="E4558" s="58"/>
      <c r="F4558" s="58"/>
      <c r="G4558" s="58"/>
    </row>
    <row r="4559">
      <c r="D4559" s="58"/>
      <c r="E4559" s="58"/>
      <c r="F4559" s="58"/>
      <c r="G4559" s="58"/>
    </row>
    <row r="4560">
      <c r="D4560" s="58"/>
      <c r="E4560" s="58"/>
      <c r="F4560" s="58"/>
      <c r="G4560" s="58"/>
    </row>
    <row r="4561">
      <c r="D4561" s="58"/>
      <c r="E4561" s="58"/>
      <c r="F4561" s="58"/>
      <c r="G4561" s="58"/>
    </row>
    <row r="4562">
      <c r="D4562" s="58"/>
      <c r="E4562" s="58"/>
      <c r="F4562" s="58"/>
      <c r="G4562" s="58"/>
    </row>
    <row r="4563">
      <c r="D4563" s="58"/>
      <c r="E4563" s="58"/>
      <c r="F4563" s="58"/>
      <c r="G4563" s="58"/>
    </row>
    <row r="4564">
      <c r="D4564" s="58"/>
      <c r="E4564" s="58"/>
      <c r="F4564" s="58"/>
      <c r="G4564" s="58"/>
    </row>
    <row r="4565">
      <c r="D4565" s="58"/>
      <c r="E4565" s="58"/>
      <c r="F4565" s="58"/>
      <c r="G4565" s="58"/>
    </row>
    <row r="4566">
      <c r="D4566" s="58"/>
      <c r="E4566" s="58"/>
      <c r="F4566" s="58"/>
      <c r="G4566" s="58"/>
    </row>
    <row r="4567">
      <c r="D4567" s="58"/>
      <c r="E4567" s="58"/>
      <c r="F4567" s="58"/>
      <c r="G4567" s="58"/>
    </row>
    <row r="4568">
      <c r="D4568" s="58"/>
      <c r="E4568" s="58"/>
      <c r="F4568" s="58"/>
      <c r="G4568" s="58"/>
    </row>
    <row r="4569">
      <c r="D4569" s="58"/>
      <c r="E4569" s="58"/>
      <c r="F4569" s="58"/>
      <c r="G4569" s="58"/>
    </row>
    <row r="4570">
      <c r="D4570" s="58"/>
      <c r="E4570" s="58"/>
      <c r="F4570" s="58"/>
      <c r="G4570" s="58"/>
    </row>
    <row r="4571">
      <c r="D4571" s="58"/>
      <c r="E4571" s="58"/>
      <c r="F4571" s="58"/>
      <c r="G4571" s="58"/>
    </row>
    <row r="4572">
      <c r="D4572" s="58"/>
      <c r="E4572" s="58"/>
      <c r="F4572" s="58"/>
      <c r="G4572" s="58"/>
    </row>
    <row r="4573">
      <c r="D4573" s="58"/>
      <c r="E4573" s="58"/>
      <c r="F4573" s="58"/>
      <c r="G4573" s="58"/>
    </row>
    <row r="4574">
      <c r="D4574" s="58"/>
      <c r="E4574" s="58"/>
      <c r="F4574" s="58"/>
      <c r="G4574" s="58"/>
    </row>
    <row r="4575">
      <c r="D4575" s="58"/>
      <c r="E4575" s="58"/>
      <c r="F4575" s="58"/>
      <c r="G4575" s="58"/>
    </row>
    <row r="4576">
      <c r="D4576" s="58"/>
      <c r="E4576" s="58"/>
      <c r="F4576" s="58"/>
      <c r="G4576" s="58"/>
    </row>
    <row r="4577">
      <c r="D4577" s="58"/>
      <c r="E4577" s="58"/>
      <c r="F4577" s="58"/>
      <c r="G4577" s="58"/>
    </row>
    <row r="4578">
      <c r="D4578" s="58"/>
      <c r="E4578" s="58"/>
      <c r="F4578" s="58"/>
      <c r="G4578" s="58"/>
    </row>
    <row r="4579">
      <c r="D4579" s="58"/>
      <c r="E4579" s="58"/>
      <c r="F4579" s="58"/>
      <c r="G4579" s="58"/>
    </row>
    <row r="4580">
      <c r="D4580" s="58"/>
      <c r="E4580" s="58"/>
      <c r="F4580" s="58"/>
      <c r="G4580" s="58"/>
    </row>
    <row r="4581">
      <c r="D4581" s="58"/>
      <c r="E4581" s="58"/>
      <c r="F4581" s="58"/>
      <c r="G4581" s="58"/>
    </row>
    <row r="4582">
      <c r="D4582" s="58"/>
      <c r="E4582" s="58"/>
      <c r="F4582" s="58"/>
      <c r="G4582" s="58"/>
    </row>
    <row r="4583">
      <c r="D4583" s="58"/>
      <c r="E4583" s="58"/>
      <c r="F4583" s="58"/>
      <c r="G4583" s="58"/>
    </row>
    <row r="4584">
      <c r="D4584" s="58"/>
      <c r="E4584" s="58"/>
      <c r="F4584" s="58"/>
      <c r="G4584" s="58"/>
    </row>
    <row r="4585">
      <c r="D4585" s="58"/>
      <c r="E4585" s="58"/>
      <c r="F4585" s="58"/>
      <c r="G4585" s="58"/>
    </row>
    <row r="4586">
      <c r="D4586" s="58"/>
      <c r="E4586" s="58"/>
      <c r="F4586" s="58"/>
      <c r="G4586" s="58"/>
    </row>
    <row r="4587">
      <c r="D4587" s="58"/>
      <c r="E4587" s="58"/>
      <c r="F4587" s="58"/>
      <c r="G4587" s="58"/>
    </row>
    <row r="4588">
      <c r="D4588" s="58"/>
      <c r="E4588" s="58"/>
      <c r="F4588" s="58"/>
      <c r="G4588" s="58"/>
    </row>
    <row r="4589">
      <c r="D4589" s="58"/>
      <c r="E4589" s="58"/>
      <c r="F4589" s="58"/>
      <c r="G4589" s="58"/>
    </row>
    <row r="4590">
      <c r="D4590" s="58"/>
      <c r="E4590" s="58"/>
      <c r="F4590" s="58"/>
      <c r="G4590" s="58"/>
    </row>
    <row r="4591">
      <c r="D4591" s="58"/>
      <c r="E4591" s="58"/>
      <c r="F4591" s="58"/>
      <c r="G4591" s="58"/>
    </row>
    <row r="4592">
      <c r="D4592" s="58"/>
      <c r="E4592" s="58"/>
      <c r="F4592" s="58"/>
      <c r="G4592" s="58"/>
    </row>
    <row r="4593">
      <c r="D4593" s="58"/>
      <c r="E4593" s="58"/>
      <c r="F4593" s="58"/>
      <c r="G4593" s="58"/>
    </row>
    <row r="4594">
      <c r="D4594" s="58"/>
      <c r="E4594" s="58"/>
      <c r="F4594" s="58"/>
      <c r="G4594" s="58"/>
    </row>
    <row r="4595">
      <c r="D4595" s="58"/>
      <c r="E4595" s="58"/>
      <c r="F4595" s="58"/>
      <c r="G4595" s="58"/>
    </row>
    <row r="4596">
      <c r="D4596" s="58"/>
      <c r="E4596" s="58"/>
      <c r="F4596" s="58"/>
      <c r="G4596" s="58"/>
    </row>
    <row r="4597">
      <c r="D4597" s="58"/>
      <c r="E4597" s="58"/>
      <c r="F4597" s="58"/>
      <c r="G4597" s="58"/>
    </row>
    <row r="4598">
      <c r="D4598" s="58"/>
      <c r="E4598" s="58"/>
      <c r="F4598" s="58"/>
      <c r="G4598" s="58"/>
    </row>
    <row r="4599">
      <c r="D4599" s="58"/>
      <c r="E4599" s="58"/>
      <c r="F4599" s="58"/>
      <c r="G4599" s="58"/>
    </row>
    <row r="4600">
      <c r="D4600" s="58"/>
      <c r="E4600" s="58"/>
      <c r="F4600" s="58"/>
      <c r="G4600" s="58"/>
    </row>
    <row r="4601">
      <c r="D4601" s="58"/>
      <c r="E4601" s="58"/>
      <c r="F4601" s="58"/>
      <c r="G4601" s="58"/>
    </row>
    <row r="4602">
      <c r="D4602" s="58"/>
      <c r="E4602" s="58"/>
      <c r="F4602" s="58"/>
      <c r="G4602" s="58"/>
    </row>
    <row r="4603">
      <c r="D4603" s="58"/>
      <c r="E4603" s="58"/>
      <c r="F4603" s="58"/>
      <c r="G4603" s="58"/>
    </row>
    <row r="4604">
      <c r="D4604" s="58"/>
      <c r="E4604" s="58"/>
      <c r="F4604" s="58"/>
      <c r="G4604" s="58"/>
    </row>
    <row r="4605">
      <c r="D4605" s="58"/>
      <c r="E4605" s="58"/>
      <c r="F4605" s="58"/>
      <c r="G4605" s="58"/>
    </row>
    <row r="4606">
      <c r="D4606" s="58"/>
      <c r="E4606" s="58"/>
      <c r="F4606" s="58"/>
      <c r="G4606" s="58"/>
    </row>
    <row r="4607">
      <c r="D4607" s="58"/>
      <c r="E4607" s="58"/>
      <c r="F4607" s="58"/>
      <c r="G4607" s="58"/>
    </row>
    <row r="4608">
      <c r="D4608" s="58"/>
      <c r="E4608" s="58"/>
      <c r="F4608" s="58"/>
      <c r="G4608" s="58"/>
    </row>
    <row r="4609">
      <c r="D4609" s="58"/>
      <c r="E4609" s="58"/>
      <c r="F4609" s="58"/>
      <c r="G4609" s="58"/>
    </row>
    <row r="4610">
      <c r="D4610" s="58"/>
      <c r="E4610" s="58"/>
      <c r="F4610" s="58"/>
      <c r="G4610" s="58"/>
    </row>
    <row r="4611">
      <c r="D4611" s="58"/>
      <c r="E4611" s="58"/>
      <c r="F4611" s="58"/>
      <c r="G4611" s="58"/>
    </row>
    <row r="4612">
      <c r="D4612" s="58"/>
      <c r="E4612" s="58"/>
      <c r="F4612" s="58"/>
      <c r="G4612" s="58"/>
    </row>
    <row r="4613">
      <c r="D4613" s="58"/>
      <c r="E4613" s="58"/>
      <c r="F4613" s="58"/>
      <c r="G4613" s="58"/>
    </row>
    <row r="4614">
      <c r="D4614" s="58"/>
      <c r="E4614" s="58"/>
      <c r="F4614" s="58"/>
      <c r="G4614" s="58"/>
    </row>
    <row r="4615">
      <c r="D4615" s="58"/>
      <c r="E4615" s="58"/>
      <c r="F4615" s="58"/>
      <c r="G4615" s="58"/>
    </row>
    <row r="4616">
      <c r="D4616" s="58"/>
      <c r="E4616" s="58"/>
      <c r="F4616" s="58"/>
      <c r="G4616" s="58"/>
    </row>
    <row r="4617">
      <c r="D4617" s="58"/>
      <c r="E4617" s="58"/>
      <c r="F4617" s="58"/>
      <c r="G4617" s="58"/>
    </row>
    <row r="4618">
      <c r="D4618" s="58"/>
      <c r="E4618" s="58"/>
      <c r="F4618" s="58"/>
      <c r="G4618" s="58"/>
    </row>
    <row r="4619">
      <c r="D4619" s="58"/>
      <c r="E4619" s="58"/>
      <c r="F4619" s="58"/>
      <c r="G4619" s="58"/>
    </row>
    <row r="4620">
      <c r="D4620" s="58"/>
      <c r="E4620" s="58"/>
      <c r="F4620" s="58"/>
      <c r="G4620" s="58"/>
    </row>
    <row r="4621">
      <c r="D4621" s="58"/>
      <c r="E4621" s="58"/>
      <c r="F4621" s="58"/>
      <c r="G4621" s="58"/>
    </row>
    <row r="4622">
      <c r="D4622" s="58"/>
      <c r="E4622" s="58"/>
      <c r="F4622" s="58"/>
      <c r="G4622" s="58"/>
    </row>
    <row r="4623">
      <c r="D4623" s="58"/>
      <c r="E4623" s="58"/>
      <c r="F4623" s="58"/>
      <c r="G4623" s="58"/>
    </row>
    <row r="4624">
      <c r="D4624" s="58"/>
      <c r="E4624" s="58"/>
      <c r="F4624" s="58"/>
      <c r="G4624" s="58"/>
    </row>
    <row r="4625">
      <c r="D4625" s="58"/>
      <c r="E4625" s="58"/>
      <c r="F4625" s="58"/>
      <c r="G4625" s="58"/>
    </row>
    <row r="4626">
      <c r="D4626" s="58"/>
      <c r="E4626" s="58"/>
      <c r="F4626" s="58"/>
      <c r="G4626" s="58"/>
    </row>
    <row r="4627">
      <c r="D4627" s="58"/>
      <c r="E4627" s="58"/>
      <c r="F4627" s="58"/>
      <c r="G4627" s="58"/>
    </row>
    <row r="4628">
      <c r="D4628" s="58"/>
      <c r="E4628" s="58"/>
      <c r="F4628" s="58"/>
      <c r="G4628" s="58"/>
    </row>
    <row r="4629">
      <c r="D4629" s="58"/>
      <c r="E4629" s="58"/>
      <c r="F4629" s="58"/>
      <c r="G4629" s="58"/>
    </row>
    <row r="4630">
      <c r="D4630" s="58"/>
      <c r="E4630" s="58"/>
      <c r="F4630" s="58"/>
      <c r="G4630" s="58"/>
    </row>
    <row r="4631">
      <c r="D4631" s="58"/>
      <c r="E4631" s="58"/>
      <c r="F4631" s="58"/>
      <c r="G4631" s="58"/>
    </row>
    <row r="4632">
      <c r="D4632" s="58"/>
      <c r="E4632" s="58"/>
      <c r="F4632" s="58"/>
      <c r="G4632" s="58"/>
    </row>
    <row r="4633">
      <c r="D4633" s="58"/>
      <c r="E4633" s="58"/>
      <c r="F4633" s="58"/>
      <c r="G4633" s="58"/>
    </row>
    <row r="4634">
      <c r="D4634" s="58"/>
      <c r="E4634" s="58"/>
      <c r="F4634" s="58"/>
      <c r="G4634" s="58"/>
    </row>
    <row r="4635">
      <c r="D4635" s="58"/>
      <c r="E4635" s="58"/>
      <c r="F4635" s="58"/>
      <c r="G4635" s="58"/>
    </row>
    <row r="4636">
      <c r="D4636" s="58"/>
      <c r="E4636" s="58"/>
      <c r="F4636" s="58"/>
      <c r="G4636" s="58"/>
    </row>
    <row r="4637">
      <c r="D4637" s="58"/>
      <c r="E4637" s="58"/>
      <c r="F4637" s="58"/>
      <c r="G4637" s="58"/>
    </row>
    <row r="4638">
      <c r="D4638" s="58"/>
      <c r="E4638" s="58"/>
      <c r="F4638" s="58"/>
      <c r="G4638" s="58"/>
    </row>
    <row r="4639">
      <c r="D4639" s="58"/>
      <c r="E4639" s="58"/>
      <c r="F4639" s="58"/>
      <c r="G4639" s="58"/>
    </row>
    <row r="4640">
      <c r="D4640" s="58"/>
      <c r="E4640" s="58"/>
      <c r="F4640" s="58"/>
      <c r="G4640" s="58"/>
    </row>
    <row r="4641">
      <c r="D4641" s="58"/>
      <c r="E4641" s="58"/>
      <c r="F4641" s="58"/>
      <c r="G4641" s="58"/>
    </row>
    <row r="4642">
      <c r="D4642" s="58"/>
      <c r="E4642" s="58"/>
      <c r="F4642" s="58"/>
      <c r="G4642" s="58"/>
    </row>
    <row r="4643">
      <c r="D4643" s="58"/>
      <c r="E4643" s="58"/>
      <c r="F4643" s="58"/>
      <c r="G4643" s="58"/>
    </row>
    <row r="4644">
      <c r="D4644" s="58"/>
      <c r="E4644" s="58"/>
      <c r="F4644" s="58"/>
      <c r="G4644" s="58"/>
    </row>
    <row r="4645">
      <c r="D4645" s="58"/>
      <c r="E4645" s="58"/>
      <c r="F4645" s="58"/>
      <c r="G4645" s="58"/>
    </row>
    <row r="4646">
      <c r="D4646" s="58"/>
      <c r="E4646" s="58"/>
      <c r="F4646" s="58"/>
      <c r="G4646" s="58"/>
    </row>
    <row r="4647">
      <c r="D4647" s="58"/>
      <c r="E4647" s="58"/>
      <c r="F4647" s="58"/>
      <c r="G4647" s="58"/>
    </row>
    <row r="4648">
      <c r="D4648" s="58"/>
      <c r="E4648" s="58"/>
      <c r="F4648" s="58"/>
      <c r="G4648" s="58"/>
    </row>
    <row r="4649">
      <c r="D4649" s="58"/>
      <c r="E4649" s="58"/>
      <c r="F4649" s="58"/>
      <c r="G4649" s="58"/>
    </row>
    <row r="4650">
      <c r="D4650" s="58"/>
      <c r="E4650" s="58"/>
      <c r="F4650" s="58"/>
      <c r="G4650" s="58"/>
    </row>
    <row r="4651">
      <c r="D4651" s="58"/>
      <c r="E4651" s="58"/>
      <c r="F4651" s="58"/>
      <c r="G4651" s="58"/>
    </row>
    <row r="4652">
      <c r="D4652" s="58"/>
      <c r="E4652" s="58"/>
      <c r="F4652" s="58"/>
      <c r="G4652" s="58"/>
    </row>
    <row r="4653">
      <c r="D4653" s="58"/>
      <c r="E4653" s="58"/>
      <c r="F4653" s="58"/>
      <c r="G4653" s="58"/>
    </row>
    <row r="4654">
      <c r="D4654" s="58"/>
      <c r="E4654" s="58"/>
      <c r="F4654" s="58"/>
      <c r="G4654" s="58"/>
    </row>
    <row r="4655">
      <c r="D4655" s="58"/>
      <c r="E4655" s="58"/>
      <c r="F4655" s="58"/>
      <c r="G4655" s="58"/>
    </row>
    <row r="4656">
      <c r="D4656" s="58"/>
      <c r="E4656" s="58"/>
      <c r="F4656" s="58"/>
      <c r="G4656" s="58"/>
    </row>
    <row r="4657">
      <c r="D4657" s="58"/>
      <c r="E4657" s="58"/>
      <c r="F4657" s="58"/>
      <c r="G4657" s="58"/>
    </row>
    <row r="4658">
      <c r="D4658" s="58"/>
      <c r="E4658" s="58"/>
      <c r="F4658" s="58"/>
      <c r="G4658" s="58"/>
    </row>
    <row r="4659">
      <c r="D4659" s="58"/>
      <c r="E4659" s="58"/>
      <c r="F4659" s="58"/>
      <c r="G4659" s="58"/>
    </row>
    <row r="4660">
      <c r="D4660" s="58"/>
      <c r="E4660" s="58"/>
      <c r="F4660" s="58"/>
      <c r="G4660" s="58"/>
    </row>
    <row r="4661">
      <c r="D4661" s="58"/>
      <c r="E4661" s="58"/>
      <c r="F4661" s="58"/>
      <c r="G4661" s="58"/>
    </row>
    <row r="4662">
      <c r="D4662" s="58"/>
      <c r="E4662" s="58"/>
      <c r="F4662" s="58"/>
      <c r="G4662" s="58"/>
    </row>
    <row r="4663">
      <c r="D4663" s="58"/>
      <c r="E4663" s="58"/>
      <c r="F4663" s="58"/>
      <c r="G4663" s="58"/>
    </row>
    <row r="4664">
      <c r="D4664" s="58"/>
      <c r="E4664" s="58"/>
      <c r="F4664" s="58"/>
      <c r="G4664" s="58"/>
    </row>
    <row r="4665">
      <c r="D4665" s="58"/>
      <c r="E4665" s="58"/>
      <c r="F4665" s="58"/>
      <c r="G4665" s="58"/>
    </row>
    <row r="4666">
      <c r="D4666" s="58"/>
      <c r="E4666" s="58"/>
      <c r="F4666" s="58"/>
      <c r="G4666" s="58"/>
    </row>
    <row r="4667">
      <c r="D4667" s="58"/>
      <c r="E4667" s="58"/>
      <c r="F4667" s="58"/>
      <c r="G4667" s="58"/>
    </row>
    <row r="4668">
      <c r="D4668" s="58"/>
      <c r="E4668" s="58"/>
      <c r="F4668" s="58"/>
      <c r="G4668" s="58"/>
    </row>
    <row r="4669">
      <c r="D4669" s="58"/>
      <c r="E4669" s="58"/>
      <c r="F4669" s="58"/>
      <c r="G4669" s="58"/>
    </row>
    <row r="4670">
      <c r="D4670" s="58"/>
      <c r="E4670" s="58"/>
      <c r="F4670" s="58"/>
      <c r="G4670" s="58"/>
    </row>
    <row r="4671">
      <c r="D4671" s="58"/>
      <c r="E4671" s="58"/>
      <c r="F4671" s="58"/>
      <c r="G4671" s="58"/>
    </row>
    <row r="4672">
      <c r="D4672" s="58"/>
      <c r="E4672" s="58"/>
      <c r="F4672" s="58"/>
      <c r="G4672" s="58"/>
    </row>
    <row r="4673">
      <c r="D4673" s="58"/>
      <c r="E4673" s="58"/>
      <c r="F4673" s="58"/>
      <c r="G4673" s="58"/>
    </row>
    <row r="4674">
      <c r="D4674" s="58"/>
      <c r="E4674" s="58"/>
      <c r="F4674" s="58"/>
      <c r="G4674" s="58"/>
    </row>
    <row r="4675">
      <c r="D4675" s="58"/>
      <c r="E4675" s="58"/>
      <c r="F4675" s="58"/>
      <c r="G4675" s="58"/>
    </row>
    <row r="4676">
      <c r="D4676" s="58"/>
      <c r="E4676" s="58"/>
      <c r="F4676" s="58"/>
      <c r="G4676" s="58"/>
    </row>
    <row r="4677">
      <c r="D4677" s="58"/>
      <c r="E4677" s="58"/>
      <c r="F4677" s="58"/>
      <c r="G4677" s="58"/>
    </row>
    <row r="4678">
      <c r="D4678" s="58"/>
      <c r="E4678" s="58"/>
      <c r="F4678" s="58"/>
      <c r="G4678" s="58"/>
    </row>
    <row r="4679">
      <c r="D4679" s="58"/>
      <c r="E4679" s="58"/>
      <c r="F4679" s="58"/>
      <c r="G4679" s="58"/>
    </row>
    <row r="4680">
      <c r="D4680" s="58"/>
      <c r="E4680" s="58"/>
      <c r="F4680" s="58"/>
      <c r="G4680" s="58"/>
    </row>
    <row r="4681">
      <c r="D4681" s="58"/>
      <c r="E4681" s="58"/>
      <c r="F4681" s="58"/>
      <c r="G4681" s="58"/>
    </row>
    <row r="4682">
      <c r="D4682" s="58"/>
      <c r="E4682" s="58"/>
      <c r="F4682" s="58"/>
      <c r="G4682" s="58"/>
    </row>
    <row r="4683">
      <c r="D4683" s="58"/>
      <c r="E4683" s="58"/>
      <c r="F4683" s="58"/>
      <c r="G4683" s="58"/>
    </row>
    <row r="4684">
      <c r="D4684" s="58"/>
      <c r="E4684" s="58"/>
      <c r="F4684" s="58"/>
      <c r="G4684" s="58"/>
    </row>
    <row r="4685">
      <c r="D4685" s="58"/>
      <c r="E4685" s="58"/>
      <c r="F4685" s="58"/>
      <c r="G4685" s="58"/>
    </row>
    <row r="4686">
      <c r="D4686" s="58"/>
      <c r="E4686" s="58"/>
      <c r="F4686" s="58"/>
      <c r="G4686" s="58"/>
    </row>
    <row r="4687">
      <c r="D4687" s="58"/>
      <c r="E4687" s="58"/>
      <c r="F4687" s="58"/>
      <c r="G4687" s="58"/>
    </row>
    <row r="4688">
      <c r="D4688" s="58"/>
      <c r="E4688" s="58"/>
      <c r="F4688" s="58"/>
      <c r="G4688" s="58"/>
    </row>
    <row r="4689">
      <c r="D4689" s="58"/>
      <c r="E4689" s="58"/>
      <c r="F4689" s="58"/>
      <c r="G4689" s="58"/>
    </row>
    <row r="4690">
      <c r="D4690" s="58"/>
      <c r="E4690" s="58"/>
      <c r="F4690" s="58"/>
      <c r="G4690" s="58"/>
    </row>
    <row r="4691">
      <c r="D4691" s="58"/>
      <c r="E4691" s="58"/>
      <c r="F4691" s="58"/>
      <c r="G4691" s="58"/>
    </row>
    <row r="4692">
      <c r="D4692" s="58"/>
      <c r="E4692" s="58"/>
      <c r="F4692" s="58"/>
      <c r="G4692" s="58"/>
    </row>
    <row r="4693">
      <c r="D4693" s="58"/>
      <c r="E4693" s="58"/>
      <c r="F4693" s="58"/>
      <c r="G4693" s="58"/>
    </row>
    <row r="4694">
      <c r="D4694" s="58"/>
      <c r="E4694" s="58"/>
      <c r="F4694" s="58"/>
      <c r="G4694" s="58"/>
    </row>
    <row r="4695">
      <c r="D4695" s="58"/>
      <c r="E4695" s="58"/>
      <c r="F4695" s="58"/>
      <c r="G4695" s="58"/>
    </row>
    <row r="4696">
      <c r="D4696" s="58"/>
      <c r="E4696" s="58"/>
      <c r="F4696" s="58"/>
      <c r="G4696" s="58"/>
    </row>
    <row r="4697">
      <c r="D4697" s="58"/>
      <c r="E4697" s="58"/>
      <c r="F4697" s="58"/>
      <c r="G4697" s="58"/>
    </row>
    <row r="4698">
      <c r="D4698" s="58"/>
      <c r="E4698" s="58"/>
      <c r="F4698" s="58"/>
      <c r="G4698" s="58"/>
    </row>
    <row r="4699">
      <c r="D4699" s="58"/>
      <c r="E4699" s="58"/>
      <c r="F4699" s="58"/>
      <c r="G4699" s="58"/>
    </row>
    <row r="4700">
      <c r="D4700" s="58"/>
      <c r="E4700" s="58"/>
      <c r="F4700" s="58"/>
      <c r="G4700" s="58"/>
    </row>
    <row r="4701">
      <c r="D4701" s="58"/>
      <c r="E4701" s="58"/>
      <c r="F4701" s="58"/>
      <c r="G4701" s="58"/>
    </row>
    <row r="4702">
      <c r="D4702" s="58"/>
      <c r="E4702" s="58"/>
      <c r="F4702" s="58"/>
      <c r="G4702" s="58"/>
    </row>
    <row r="4703">
      <c r="D4703" s="58"/>
      <c r="E4703" s="58"/>
      <c r="F4703" s="58"/>
      <c r="G4703" s="58"/>
    </row>
    <row r="4704">
      <c r="D4704" s="58"/>
      <c r="E4704" s="58"/>
      <c r="F4704" s="58"/>
      <c r="G4704" s="58"/>
    </row>
    <row r="4705">
      <c r="D4705" s="58"/>
      <c r="E4705" s="58"/>
      <c r="F4705" s="58"/>
      <c r="G4705" s="58"/>
    </row>
    <row r="4706">
      <c r="D4706" s="58"/>
      <c r="E4706" s="58"/>
      <c r="F4706" s="58"/>
      <c r="G4706" s="58"/>
    </row>
    <row r="4707">
      <c r="D4707" s="58"/>
      <c r="E4707" s="58"/>
      <c r="F4707" s="58"/>
      <c r="G4707" s="58"/>
    </row>
    <row r="4708">
      <c r="D4708" s="58"/>
      <c r="E4708" s="58"/>
      <c r="F4708" s="58"/>
      <c r="G4708" s="58"/>
    </row>
    <row r="4709">
      <c r="D4709" s="58"/>
      <c r="E4709" s="58"/>
      <c r="F4709" s="58"/>
      <c r="G4709" s="58"/>
    </row>
    <row r="4710">
      <c r="D4710" s="58"/>
      <c r="E4710" s="58"/>
      <c r="F4710" s="58"/>
      <c r="G4710" s="58"/>
    </row>
    <row r="4711">
      <c r="D4711" s="58"/>
      <c r="E4711" s="58"/>
      <c r="F4711" s="58"/>
      <c r="G4711" s="58"/>
    </row>
    <row r="4712">
      <c r="D4712" s="58"/>
      <c r="E4712" s="58"/>
      <c r="F4712" s="58"/>
      <c r="G4712" s="58"/>
    </row>
    <row r="4713">
      <c r="D4713" s="58"/>
      <c r="E4713" s="58"/>
      <c r="F4713" s="58"/>
      <c r="G4713" s="58"/>
    </row>
    <row r="4714">
      <c r="D4714" s="58"/>
      <c r="E4714" s="58"/>
      <c r="F4714" s="58"/>
      <c r="G4714" s="58"/>
    </row>
    <row r="4715">
      <c r="D4715" s="58"/>
      <c r="E4715" s="58"/>
      <c r="F4715" s="58"/>
      <c r="G4715" s="58"/>
    </row>
    <row r="4716">
      <c r="D4716" s="58"/>
      <c r="E4716" s="58"/>
      <c r="F4716" s="58"/>
      <c r="G4716" s="58"/>
    </row>
    <row r="4717">
      <c r="D4717" s="58"/>
      <c r="E4717" s="58"/>
      <c r="F4717" s="58"/>
      <c r="G4717" s="58"/>
    </row>
    <row r="4718">
      <c r="D4718" s="58"/>
      <c r="E4718" s="58"/>
      <c r="F4718" s="58"/>
      <c r="G4718" s="58"/>
    </row>
    <row r="4719">
      <c r="D4719" s="58"/>
      <c r="E4719" s="58"/>
      <c r="F4719" s="58"/>
      <c r="G4719" s="58"/>
    </row>
    <row r="4720">
      <c r="D4720" s="58"/>
      <c r="E4720" s="58"/>
      <c r="F4720" s="58"/>
      <c r="G4720" s="58"/>
    </row>
    <row r="4721">
      <c r="D4721" s="58"/>
      <c r="E4721" s="58"/>
      <c r="F4721" s="58"/>
      <c r="G4721" s="58"/>
    </row>
    <row r="4722">
      <c r="D4722" s="58"/>
      <c r="E4722" s="58"/>
      <c r="F4722" s="58"/>
      <c r="G4722" s="58"/>
    </row>
    <row r="4723">
      <c r="D4723" s="58"/>
      <c r="E4723" s="58"/>
      <c r="F4723" s="58"/>
      <c r="G4723" s="58"/>
    </row>
    <row r="4724">
      <c r="D4724" s="58"/>
      <c r="E4724" s="58"/>
      <c r="F4724" s="58"/>
      <c r="G4724" s="58"/>
    </row>
    <row r="4725">
      <c r="D4725" s="58"/>
      <c r="E4725" s="58"/>
      <c r="F4725" s="58"/>
      <c r="G4725" s="58"/>
    </row>
    <row r="4726">
      <c r="D4726" s="58"/>
      <c r="E4726" s="58"/>
      <c r="F4726" s="58"/>
      <c r="G4726" s="58"/>
    </row>
    <row r="4727">
      <c r="D4727" s="58"/>
      <c r="E4727" s="58"/>
      <c r="F4727" s="58"/>
      <c r="G4727" s="58"/>
    </row>
    <row r="4728">
      <c r="D4728" s="58"/>
      <c r="E4728" s="58"/>
      <c r="F4728" s="58"/>
      <c r="G4728" s="58"/>
    </row>
    <row r="4729">
      <c r="D4729" s="58"/>
      <c r="E4729" s="58"/>
      <c r="F4729" s="58"/>
      <c r="G4729" s="58"/>
    </row>
    <row r="4730">
      <c r="D4730" s="58"/>
      <c r="E4730" s="58"/>
      <c r="F4730" s="58"/>
      <c r="G4730" s="58"/>
    </row>
    <row r="4731">
      <c r="D4731" s="58"/>
      <c r="E4731" s="58"/>
      <c r="F4731" s="58"/>
      <c r="G4731" s="58"/>
    </row>
    <row r="4732">
      <c r="D4732" s="58"/>
      <c r="E4732" s="58"/>
      <c r="F4732" s="58"/>
      <c r="G4732" s="58"/>
    </row>
    <row r="4733">
      <c r="D4733" s="58"/>
      <c r="E4733" s="58"/>
      <c r="F4733" s="58"/>
      <c r="G4733" s="58"/>
    </row>
    <row r="4734">
      <c r="D4734" s="58"/>
      <c r="E4734" s="58"/>
      <c r="F4734" s="58"/>
      <c r="G4734" s="58"/>
    </row>
    <row r="4735">
      <c r="D4735" s="58"/>
      <c r="E4735" s="58"/>
      <c r="F4735" s="58"/>
      <c r="G4735" s="58"/>
    </row>
    <row r="4736">
      <c r="D4736" s="58"/>
      <c r="E4736" s="58"/>
      <c r="F4736" s="58"/>
      <c r="G4736" s="58"/>
    </row>
    <row r="4737">
      <c r="D4737" s="58"/>
      <c r="E4737" s="58"/>
      <c r="F4737" s="58"/>
      <c r="G4737" s="58"/>
    </row>
    <row r="4738">
      <c r="D4738" s="58"/>
      <c r="E4738" s="58"/>
      <c r="F4738" s="58"/>
      <c r="G4738" s="58"/>
    </row>
    <row r="4739">
      <c r="D4739" s="58"/>
      <c r="E4739" s="58"/>
      <c r="F4739" s="58"/>
      <c r="G4739" s="58"/>
    </row>
    <row r="4740">
      <c r="D4740" s="58"/>
      <c r="E4740" s="58"/>
      <c r="F4740" s="58"/>
      <c r="G4740" s="58"/>
    </row>
    <row r="4741">
      <c r="D4741" s="58"/>
      <c r="E4741" s="58"/>
      <c r="F4741" s="58"/>
      <c r="G4741" s="58"/>
    </row>
    <row r="4742">
      <c r="D4742" s="58"/>
      <c r="E4742" s="58"/>
      <c r="F4742" s="58"/>
      <c r="G4742" s="58"/>
    </row>
    <row r="4743">
      <c r="D4743" s="58"/>
      <c r="E4743" s="58"/>
      <c r="F4743" s="58"/>
      <c r="G4743" s="58"/>
    </row>
    <row r="4744">
      <c r="D4744" s="58"/>
      <c r="E4744" s="58"/>
      <c r="F4744" s="58"/>
      <c r="G4744" s="58"/>
    </row>
    <row r="4745">
      <c r="D4745" s="58"/>
      <c r="E4745" s="58"/>
      <c r="F4745" s="58"/>
      <c r="G4745" s="58"/>
    </row>
    <row r="4746">
      <c r="D4746" s="58"/>
      <c r="E4746" s="58"/>
      <c r="F4746" s="58"/>
      <c r="G4746" s="58"/>
    </row>
    <row r="4747">
      <c r="D4747" s="58"/>
      <c r="E4747" s="58"/>
      <c r="F4747" s="58"/>
      <c r="G4747" s="58"/>
    </row>
    <row r="4748">
      <c r="D4748" s="58"/>
      <c r="E4748" s="58"/>
      <c r="F4748" s="58"/>
      <c r="G4748" s="58"/>
    </row>
    <row r="4749">
      <c r="D4749" s="58"/>
      <c r="E4749" s="58"/>
      <c r="F4749" s="58"/>
      <c r="G4749" s="58"/>
    </row>
    <row r="4750">
      <c r="D4750" s="58"/>
      <c r="E4750" s="58"/>
      <c r="F4750" s="58"/>
      <c r="G4750" s="58"/>
    </row>
    <row r="4751">
      <c r="D4751" s="58"/>
      <c r="E4751" s="58"/>
      <c r="F4751" s="58"/>
      <c r="G4751" s="58"/>
    </row>
    <row r="4752">
      <c r="D4752" s="58"/>
      <c r="E4752" s="58"/>
      <c r="F4752" s="58"/>
      <c r="G4752" s="58"/>
    </row>
    <row r="4753">
      <c r="D4753" s="58"/>
      <c r="E4753" s="58"/>
      <c r="F4753" s="58"/>
      <c r="G4753" s="58"/>
    </row>
    <row r="4754">
      <c r="D4754" s="58"/>
      <c r="E4754" s="58"/>
      <c r="F4754" s="58"/>
      <c r="G4754" s="58"/>
    </row>
    <row r="4755">
      <c r="D4755" s="58"/>
      <c r="E4755" s="58"/>
      <c r="F4755" s="58"/>
      <c r="G4755" s="58"/>
    </row>
    <row r="4756">
      <c r="D4756" s="58"/>
      <c r="E4756" s="58"/>
      <c r="F4756" s="58"/>
      <c r="G4756" s="58"/>
    </row>
    <row r="4757">
      <c r="D4757" s="58"/>
      <c r="E4757" s="58"/>
      <c r="F4757" s="58"/>
      <c r="G4757" s="58"/>
    </row>
    <row r="4758">
      <c r="D4758" s="58"/>
      <c r="E4758" s="58"/>
      <c r="F4758" s="58"/>
      <c r="G4758" s="58"/>
    </row>
    <row r="4759">
      <c r="D4759" s="58"/>
      <c r="E4759" s="58"/>
      <c r="F4759" s="58"/>
      <c r="G4759" s="58"/>
    </row>
    <row r="4760">
      <c r="D4760" s="58"/>
      <c r="E4760" s="58"/>
      <c r="F4760" s="58"/>
      <c r="G4760" s="58"/>
    </row>
    <row r="4761">
      <c r="D4761" s="58"/>
      <c r="E4761" s="58"/>
      <c r="F4761" s="58"/>
      <c r="G4761" s="58"/>
    </row>
    <row r="4762">
      <c r="D4762" s="58"/>
      <c r="E4762" s="58"/>
      <c r="F4762" s="58"/>
      <c r="G4762" s="58"/>
    </row>
    <row r="4763">
      <c r="D4763" s="58"/>
      <c r="E4763" s="58"/>
      <c r="F4763" s="58"/>
      <c r="G4763" s="58"/>
    </row>
    <row r="4764">
      <c r="D4764" s="58"/>
      <c r="E4764" s="58"/>
      <c r="F4764" s="58"/>
      <c r="G4764" s="58"/>
    </row>
    <row r="4765">
      <c r="D4765" s="58"/>
      <c r="E4765" s="58"/>
      <c r="F4765" s="58"/>
      <c r="G4765" s="58"/>
    </row>
    <row r="4766">
      <c r="D4766" s="58"/>
      <c r="E4766" s="58"/>
      <c r="F4766" s="58"/>
      <c r="G4766" s="58"/>
    </row>
    <row r="4767">
      <c r="D4767" s="58"/>
      <c r="E4767" s="58"/>
      <c r="F4767" s="58"/>
      <c r="G4767" s="58"/>
    </row>
    <row r="4768">
      <c r="D4768" s="58"/>
      <c r="E4768" s="58"/>
      <c r="F4768" s="58"/>
      <c r="G4768" s="58"/>
    </row>
    <row r="4769">
      <c r="D4769" s="58"/>
      <c r="E4769" s="58"/>
      <c r="F4769" s="58"/>
      <c r="G4769" s="58"/>
    </row>
    <row r="4770">
      <c r="D4770" s="58"/>
      <c r="E4770" s="58"/>
      <c r="F4770" s="58"/>
      <c r="G4770" s="58"/>
    </row>
    <row r="4771">
      <c r="D4771" s="58"/>
      <c r="E4771" s="58"/>
      <c r="F4771" s="58"/>
      <c r="G4771" s="58"/>
    </row>
    <row r="4772">
      <c r="D4772" s="58"/>
      <c r="E4772" s="58"/>
      <c r="F4772" s="58"/>
      <c r="G4772" s="58"/>
    </row>
    <row r="4773">
      <c r="D4773" s="58"/>
      <c r="E4773" s="58"/>
      <c r="F4773" s="58"/>
      <c r="G4773" s="58"/>
    </row>
    <row r="4774">
      <c r="D4774" s="58"/>
      <c r="E4774" s="58"/>
      <c r="F4774" s="58"/>
      <c r="G4774" s="58"/>
    </row>
    <row r="4775">
      <c r="D4775" s="58"/>
      <c r="E4775" s="58"/>
      <c r="F4775" s="58"/>
      <c r="G4775" s="58"/>
    </row>
    <row r="4776">
      <c r="D4776" s="58"/>
      <c r="E4776" s="58"/>
      <c r="F4776" s="58"/>
      <c r="G4776" s="58"/>
    </row>
    <row r="4777">
      <c r="D4777" s="58"/>
      <c r="E4777" s="58"/>
      <c r="F4777" s="58"/>
      <c r="G4777" s="58"/>
    </row>
    <row r="4778">
      <c r="D4778" s="58"/>
      <c r="E4778" s="58"/>
      <c r="F4778" s="58"/>
      <c r="G4778" s="58"/>
    </row>
    <row r="4779">
      <c r="D4779" s="58"/>
      <c r="E4779" s="58"/>
      <c r="F4779" s="58"/>
      <c r="G4779" s="58"/>
    </row>
    <row r="4780">
      <c r="D4780" s="58"/>
      <c r="E4780" s="58"/>
      <c r="F4780" s="58"/>
      <c r="G4780" s="58"/>
    </row>
    <row r="4781">
      <c r="D4781" s="58"/>
      <c r="E4781" s="58"/>
      <c r="F4781" s="58"/>
      <c r="G4781" s="58"/>
    </row>
    <row r="4782">
      <c r="D4782" s="58"/>
      <c r="E4782" s="58"/>
      <c r="F4782" s="58"/>
      <c r="G4782" s="58"/>
    </row>
    <row r="4783">
      <c r="D4783" s="58"/>
      <c r="E4783" s="58"/>
      <c r="F4783" s="58"/>
      <c r="G4783" s="58"/>
    </row>
    <row r="4784">
      <c r="D4784" s="58"/>
      <c r="E4784" s="58"/>
      <c r="F4784" s="58"/>
      <c r="G4784" s="58"/>
    </row>
    <row r="4785">
      <c r="D4785" s="58"/>
      <c r="E4785" s="58"/>
      <c r="F4785" s="58"/>
      <c r="G4785" s="58"/>
    </row>
    <row r="4786">
      <c r="D4786" s="58"/>
      <c r="E4786" s="58"/>
      <c r="F4786" s="58"/>
      <c r="G4786" s="58"/>
    </row>
    <row r="4787">
      <c r="D4787" s="58"/>
      <c r="E4787" s="58"/>
      <c r="F4787" s="58"/>
      <c r="G4787" s="58"/>
    </row>
    <row r="4788">
      <c r="D4788" s="58"/>
      <c r="E4788" s="58"/>
      <c r="F4788" s="58"/>
      <c r="G4788" s="58"/>
    </row>
    <row r="4789">
      <c r="D4789" s="58"/>
      <c r="E4789" s="58"/>
      <c r="F4789" s="58"/>
      <c r="G4789" s="58"/>
    </row>
    <row r="4790">
      <c r="D4790" s="58"/>
      <c r="E4790" s="58"/>
      <c r="F4790" s="58"/>
      <c r="G4790" s="58"/>
    </row>
    <row r="4791">
      <c r="D4791" s="58"/>
      <c r="E4791" s="58"/>
      <c r="F4791" s="58"/>
      <c r="G4791" s="58"/>
    </row>
    <row r="4792">
      <c r="D4792" s="58"/>
      <c r="E4792" s="58"/>
      <c r="F4792" s="58"/>
      <c r="G4792" s="58"/>
    </row>
    <row r="4793">
      <c r="D4793" s="58"/>
      <c r="E4793" s="58"/>
      <c r="F4793" s="58"/>
      <c r="G4793" s="58"/>
    </row>
    <row r="4794">
      <c r="D4794" s="58"/>
      <c r="E4794" s="58"/>
      <c r="F4794" s="58"/>
      <c r="G4794" s="58"/>
    </row>
    <row r="4795">
      <c r="D4795" s="58"/>
      <c r="E4795" s="58"/>
      <c r="F4795" s="58"/>
      <c r="G4795" s="58"/>
    </row>
    <row r="4796">
      <c r="D4796" s="58"/>
      <c r="E4796" s="58"/>
      <c r="F4796" s="58"/>
      <c r="G4796" s="58"/>
    </row>
    <row r="4797">
      <c r="D4797" s="58"/>
      <c r="E4797" s="58"/>
      <c r="F4797" s="58"/>
      <c r="G4797" s="58"/>
    </row>
    <row r="4798">
      <c r="D4798" s="58"/>
      <c r="E4798" s="58"/>
      <c r="F4798" s="58"/>
      <c r="G4798" s="58"/>
    </row>
    <row r="4799">
      <c r="D4799" s="58"/>
      <c r="E4799" s="58"/>
      <c r="F4799" s="58"/>
      <c r="G4799" s="58"/>
    </row>
    <row r="4800">
      <c r="D4800" s="58"/>
      <c r="E4800" s="58"/>
      <c r="F4800" s="58"/>
      <c r="G4800" s="58"/>
    </row>
    <row r="4801">
      <c r="D4801" s="58"/>
      <c r="E4801" s="58"/>
      <c r="F4801" s="58"/>
      <c r="G4801" s="58"/>
    </row>
    <row r="4802">
      <c r="D4802" s="58"/>
      <c r="E4802" s="58"/>
      <c r="F4802" s="58"/>
      <c r="G4802" s="58"/>
    </row>
    <row r="4803">
      <c r="D4803" s="58"/>
      <c r="E4803" s="58"/>
      <c r="F4803" s="58"/>
      <c r="G4803" s="58"/>
    </row>
    <row r="4804">
      <c r="D4804" s="58"/>
      <c r="E4804" s="58"/>
      <c r="F4804" s="58"/>
      <c r="G4804" s="58"/>
    </row>
    <row r="4805">
      <c r="D4805" s="58"/>
      <c r="E4805" s="58"/>
      <c r="F4805" s="58"/>
      <c r="G4805" s="58"/>
    </row>
    <row r="4806">
      <c r="D4806" s="58"/>
      <c r="E4806" s="58"/>
      <c r="F4806" s="58"/>
      <c r="G4806" s="58"/>
    </row>
    <row r="4807">
      <c r="D4807" s="58"/>
      <c r="E4807" s="58"/>
      <c r="F4807" s="58"/>
      <c r="G4807" s="58"/>
    </row>
    <row r="4808">
      <c r="D4808" s="58"/>
      <c r="E4808" s="58"/>
      <c r="F4808" s="58"/>
      <c r="G4808" s="58"/>
    </row>
    <row r="4809">
      <c r="D4809" s="58"/>
      <c r="E4809" s="58"/>
      <c r="F4809" s="58"/>
      <c r="G4809" s="58"/>
    </row>
    <row r="4810">
      <c r="D4810" s="58"/>
      <c r="E4810" s="58"/>
      <c r="F4810" s="58"/>
      <c r="G4810" s="58"/>
    </row>
    <row r="4811">
      <c r="D4811" s="58"/>
      <c r="E4811" s="58"/>
      <c r="F4811" s="58"/>
      <c r="G4811" s="58"/>
    </row>
    <row r="4812">
      <c r="D4812" s="58"/>
      <c r="E4812" s="58"/>
      <c r="F4812" s="58"/>
      <c r="G4812" s="58"/>
    </row>
    <row r="4813">
      <c r="D4813" s="58"/>
      <c r="E4813" s="58"/>
      <c r="F4813" s="58"/>
      <c r="G4813" s="58"/>
    </row>
    <row r="4814">
      <c r="D4814" s="58"/>
      <c r="E4814" s="58"/>
      <c r="F4814" s="58"/>
      <c r="G4814" s="58"/>
    </row>
    <row r="4815">
      <c r="D4815" s="58"/>
      <c r="E4815" s="58"/>
      <c r="F4815" s="58"/>
      <c r="G4815" s="58"/>
    </row>
    <row r="4816">
      <c r="D4816" s="58"/>
      <c r="E4816" s="58"/>
      <c r="F4816" s="58"/>
      <c r="G4816" s="58"/>
    </row>
    <row r="4817">
      <c r="D4817" s="58"/>
      <c r="E4817" s="58"/>
      <c r="F4817" s="58"/>
      <c r="G4817" s="58"/>
    </row>
    <row r="4818">
      <c r="D4818" s="58"/>
      <c r="E4818" s="58"/>
      <c r="F4818" s="58"/>
      <c r="G4818" s="58"/>
    </row>
    <row r="4819">
      <c r="D4819" s="58"/>
      <c r="E4819" s="58"/>
      <c r="F4819" s="58"/>
      <c r="G4819" s="58"/>
    </row>
    <row r="4820">
      <c r="D4820" s="58"/>
      <c r="E4820" s="58"/>
      <c r="F4820" s="58"/>
      <c r="G4820" s="58"/>
    </row>
    <row r="4821">
      <c r="D4821" s="58"/>
      <c r="E4821" s="58"/>
      <c r="F4821" s="58"/>
      <c r="G4821" s="58"/>
    </row>
    <row r="4822">
      <c r="D4822" s="58"/>
      <c r="E4822" s="58"/>
      <c r="F4822" s="58"/>
      <c r="G4822" s="58"/>
    </row>
    <row r="4823">
      <c r="D4823" s="58"/>
      <c r="E4823" s="58"/>
      <c r="F4823" s="58"/>
      <c r="G4823" s="58"/>
    </row>
    <row r="4824">
      <c r="D4824" s="58"/>
      <c r="E4824" s="58"/>
      <c r="F4824" s="58"/>
      <c r="G4824" s="58"/>
    </row>
    <row r="4825">
      <c r="D4825" s="58"/>
      <c r="E4825" s="58"/>
      <c r="F4825" s="58"/>
      <c r="G4825" s="58"/>
    </row>
    <row r="4826">
      <c r="D4826" s="58"/>
      <c r="E4826" s="58"/>
      <c r="F4826" s="58"/>
      <c r="G4826" s="58"/>
    </row>
    <row r="4827">
      <c r="D4827" s="58"/>
      <c r="E4827" s="58"/>
      <c r="F4827" s="58"/>
      <c r="G4827" s="58"/>
    </row>
    <row r="4828">
      <c r="D4828" s="58"/>
      <c r="E4828" s="58"/>
      <c r="F4828" s="58"/>
      <c r="G4828" s="58"/>
    </row>
    <row r="4829">
      <c r="D4829" s="58"/>
      <c r="E4829" s="58"/>
      <c r="F4829" s="58"/>
      <c r="G4829" s="58"/>
    </row>
    <row r="4830">
      <c r="D4830" s="58"/>
      <c r="E4830" s="58"/>
      <c r="F4830" s="58"/>
      <c r="G4830" s="58"/>
    </row>
    <row r="4831">
      <c r="D4831" s="58"/>
      <c r="E4831" s="58"/>
      <c r="F4831" s="58"/>
      <c r="G4831" s="58"/>
    </row>
    <row r="4832">
      <c r="D4832" s="58"/>
      <c r="E4832" s="58"/>
      <c r="F4832" s="58"/>
      <c r="G4832" s="58"/>
    </row>
    <row r="4833">
      <c r="D4833" s="58"/>
      <c r="E4833" s="58"/>
      <c r="F4833" s="58"/>
      <c r="G4833" s="58"/>
    </row>
    <row r="4834">
      <c r="D4834" s="58"/>
      <c r="E4834" s="58"/>
      <c r="F4834" s="58"/>
      <c r="G4834" s="58"/>
    </row>
    <row r="4835">
      <c r="D4835" s="58"/>
      <c r="E4835" s="58"/>
      <c r="F4835" s="58"/>
      <c r="G4835" s="58"/>
    </row>
    <row r="4836">
      <c r="D4836" s="58"/>
      <c r="E4836" s="58"/>
      <c r="F4836" s="58"/>
      <c r="G4836" s="58"/>
    </row>
    <row r="4837">
      <c r="D4837" s="58"/>
      <c r="E4837" s="58"/>
      <c r="F4837" s="58"/>
      <c r="G4837" s="58"/>
    </row>
    <row r="4838">
      <c r="D4838" s="58"/>
      <c r="E4838" s="58"/>
      <c r="F4838" s="58"/>
      <c r="G4838" s="58"/>
    </row>
    <row r="4839">
      <c r="D4839" s="58"/>
      <c r="E4839" s="58"/>
      <c r="F4839" s="58"/>
      <c r="G4839" s="58"/>
    </row>
    <row r="4840">
      <c r="D4840" s="58"/>
      <c r="E4840" s="58"/>
      <c r="F4840" s="58"/>
      <c r="G4840" s="58"/>
    </row>
    <row r="4841">
      <c r="D4841" s="58"/>
      <c r="E4841" s="58"/>
      <c r="F4841" s="58"/>
      <c r="G4841" s="58"/>
    </row>
    <row r="4842">
      <c r="D4842" s="58"/>
      <c r="E4842" s="58"/>
      <c r="F4842" s="58"/>
      <c r="G4842" s="58"/>
    </row>
    <row r="4843">
      <c r="D4843" s="58"/>
      <c r="E4843" s="58"/>
      <c r="F4843" s="58"/>
      <c r="G4843" s="58"/>
    </row>
    <row r="4844">
      <c r="D4844" s="58"/>
      <c r="E4844" s="58"/>
      <c r="F4844" s="58"/>
      <c r="G4844" s="58"/>
    </row>
    <row r="4845">
      <c r="D4845" s="58"/>
      <c r="E4845" s="58"/>
      <c r="F4845" s="58"/>
      <c r="G4845" s="58"/>
    </row>
    <row r="4846">
      <c r="D4846" s="58"/>
      <c r="E4846" s="58"/>
      <c r="F4846" s="58"/>
      <c r="G4846" s="58"/>
    </row>
    <row r="4847">
      <c r="D4847" s="58"/>
      <c r="E4847" s="58"/>
      <c r="F4847" s="58"/>
      <c r="G4847" s="58"/>
    </row>
    <row r="4848">
      <c r="D4848" s="58"/>
      <c r="E4848" s="58"/>
      <c r="F4848" s="58"/>
      <c r="G4848" s="58"/>
    </row>
    <row r="4849">
      <c r="D4849" s="58"/>
      <c r="E4849" s="58"/>
      <c r="F4849" s="58"/>
      <c r="G4849" s="58"/>
    </row>
    <row r="4850">
      <c r="D4850" s="58"/>
      <c r="E4850" s="58"/>
      <c r="F4850" s="58"/>
      <c r="G4850" s="58"/>
    </row>
    <row r="4851">
      <c r="D4851" s="58"/>
      <c r="E4851" s="58"/>
      <c r="F4851" s="58"/>
      <c r="G4851" s="58"/>
    </row>
    <row r="4852">
      <c r="D4852" s="58"/>
      <c r="E4852" s="58"/>
      <c r="F4852" s="58"/>
      <c r="G4852" s="58"/>
    </row>
    <row r="4853">
      <c r="D4853" s="58"/>
      <c r="E4853" s="58"/>
      <c r="F4853" s="58"/>
      <c r="G4853" s="58"/>
    </row>
    <row r="4854">
      <c r="D4854" s="58"/>
      <c r="E4854" s="58"/>
      <c r="F4854" s="58"/>
      <c r="G4854" s="58"/>
    </row>
    <row r="4855">
      <c r="D4855" s="58"/>
      <c r="E4855" s="58"/>
      <c r="F4855" s="58"/>
      <c r="G4855" s="58"/>
    </row>
    <row r="4856">
      <c r="D4856" s="58"/>
      <c r="E4856" s="58"/>
      <c r="F4856" s="58"/>
      <c r="G4856" s="58"/>
    </row>
    <row r="4857">
      <c r="D4857" s="58"/>
      <c r="E4857" s="58"/>
      <c r="F4857" s="58"/>
      <c r="G4857" s="58"/>
    </row>
    <row r="4858">
      <c r="D4858" s="58"/>
      <c r="E4858" s="58"/>
      <c r="F4858" s="58"/>
      <c r="G4858" s="58"/>
    </row>
    <row r="4859">
      <c r="D4859" s="58"/>
      <c r="E4859" s="58"/>
      <c r="F4859" s="58"/>
      <c r="G4859" s="58"/>
    </row>
    <row r="4860">
      <c r="D4860" s="58"/>
      <c r="E4860" s="58"/>
      <c r="F4860" s="58"/>
      <c r="G4860" s="58"/>
    </row>
    <row r="4861">
      <c r="D4861" s="58"/>
      <c r="E4861" s="58"/>
      <c r="F4861" s="58"/>
      <c r="G4861" s="58"/>
    </row>
    <row r="4862">
      <c r="D4862" s="58"/>
      <c r="E4862" s="58"/>
      <c r="F4862" s="58"/>
      <c r="G4862" s="58"/>
    </row>
    <row r="4863">
      <c r="D4863" s="58"/>
      <c r="E4863" s="58"/>
      <c r="F4863" s="58"/>
      <c r="G4863" s="58"/>
    </row>
    <row r="4864">
      <c r="D4864" s="58"/>
      <c r="E4864" s="58"/>
      <c r="F4864" s="58"/>
      <c r="G4864" s="58"/>
    </row>
    <row r="4865">
      <c r="D4865" s="58"/>
      <c r="E4865" s="58"/>
      <c r="F4865" s="58"/>
      <c r="G4865" s="58"/>
    </row>
    <row r="4866">
      <c r="D4866" s="58"/>
      <c r="E4866" s="58"/>
      <c r="F4866" s="58"/>
      <c r="G4866" s="58"/>
    </row>
    <row r="4867">
      <c r="D4867" s="58"/>
      <c r="E4867" s="58"/>
      <c r="F4867" s="58"/>
      <c r="G4867" s="58"/>
    </row>
    <row r="4868">
      <c r="D4868" s="58"/>
      <c r="E4868" s="58"/>
      <c r="F4868" s="58"/>
      <c r="G4868" s="58"/>
    </row>
    <row r="4869">
      <c r="D4869" s="58"/>
      <c r="E4869" s="58"/>
      <c r="F4869" s="58"/>
      <c r="G4869" s="58"/>
    </row>
    <row r="4870">
      <c r="D4870" s="58"/>
      <c r="E4870" s="58"/>
      <c r="F4870" s="58"/>
      <c r="G4870" s="58"/>
    </row>
    <row r="4871">
      <c r="D4871" s="58"/>
      <c r="E4871" s="58"/>
      <c r="F4871" s="58"/>
      <c r="G4871" s="58"/>
    </row>
    <row r="4872">
      <c r="D4872" s="58"/>
      <c r="E4872" s="58"/>
      <c r="F4872" s="58"/>
      <c r="G4872" s="58"/>
    </row>
    <row r="4873">
      <c r="D4873" s="58"/>
      <c r="E4873" s="58"/>
      <c r="F4873" s="58"/>
      <c r="G4873" s="58"/>
    </row>
    <row r="4874">
      <c r="D4874" s="58"/>
      <c r="E4874" s="58"/>
      <c r="F4874" s="58"/>
      <c r="G4874" s="58"/>
    </row>
    <row r="4875">
      <c r="D4875" s="58"/>
      <c r="E4875" s="58"/>
      <c r="F4875" s="58"/>
      <c r="G4875" s="58"/>
    </row>
    <row r="4876">
      <c r="D4876" s="58"/>
      <c r="E4876" s="58"/>
      <c r="F4876" s="58"/>
      <c r="G4876" s="58"/>
    </row>
    <row r="4877">
      <c r="D4877" s="58"/>
      <c r="E4877" s="58"/>
      <c r="F4877" s="58"/>
      <c r="G4877" s="58"/>
    </row>
    <row r="4878">
      <c r="D4878" s="58"/>
      <c r="E4878" s="58"/>
      <c r="F4878" s="58"/>
      <c r="G4878" s="58"/>
    </row>
    <row r="4879">
      <c r="D4879" s="58"/>
      <c r="E4879" s="58"/>
      <c r="F4879" s="58"/>
      <c r="G4879" s="58"/>
    </row>
    <row r="4880">
      <c r="D4880" s="58"/>
      <c r="E4880" s="58"/>
      <c r="F4880" s="58"/>
      <c r="G4880" s="58"/>
    </row>
    <row r="4881">
      <c r="D4881" s="58"/>
      <c r="E4881" s="58"/>
      <c r="F4881" s="58"/>
      <c r="G4881" s="58"/>
    </row>
    <row r="4882">
      <c r="D4882" s="58"/>
      <c r="E4882" s="58"/>
      <c r="F4882" s="58"/>
      <c r="G4882" s="58"/>
    </row>
    <row r="4883">
      <c r="D4883" s="58"/>
      <c r="E4883" s="58"/>
      <c r="F4883" s="58"/>
      <c r="G4883" s="58"/>
    </row>
    <row r="4884">
      <c r="D4884" s="58"/>
      <c r="E4884" s="58"/>
      <c r="F4884" s="58"/>
      <c r="G4884" s="58"/>
    </row>
    <row r="4885">
      <c r="D4885" s="58"/>
      <c r="E4885" s="58"/>
      <c r="F4885" s="58"/>
      <c r="G4885" s="58"/>
    </row>
    <row r="4886">
      <c r="D4886" s="58"/>
      <c r="E4886" s="58"/>
      <c r="F4886" s="58"/>
      <c r="G4886" s="58"/>
    </row>
    <row r="4887">
      <c r="D4887" s="58"/>
      <c r="E4887" s="58"/>
      <c r="F4887" s="58"/>
      <c r="G4887" s="58"/>
    </row>
    <row r="4888">
      <c r="D4888" s="58"/>
      <c r="E4888" s="58"/>
      <c r="F4888" s="58"/>
      <c r="G4888" s="58"/>
    </row>
    <row r="4889">
      <c r="D4889" s="58"/>
      <c r="E4889" s="58"/>
      <c r="F4889" s="58"/>
      <c r="G4889" s="58"/>
    </row>
    <row r="4890">
      <c r="D4890" s="58"/>
      <c r="E4890" s="58"/>
      <c r="F4890" s="58"/>
      <c r="G4890" s="58"/>
    </row>
    <row r="4891">
      <c r="D4891" s="58"/>
      <c r="E4891" s="58"/>
      <c r="F4891" s="58"/>
      <c r="G4891" s="58"/>
    </row>
    <row r="4892">
      <c r="D4892" s="58"/>
      <c r="E4892" s="58"/>
      <c r="F4892" s="58"/>
      <c r="G4892" s="58"/>
    </row>
    <row r="4893">
      <c r="D4893" s="58"/>
      <c r="E4893" s="58"/>
      <c r="F4893" s="58"/>
      <c r="G4893" s="58"/>
    </row>
    <row r="4894">
      <c r="D4894" s="58"/>
      <c r="E4894" s="58"/>
      <c r="F4894" s="58"/>
      <c r="G4894" s="58"/>
    </row>
    <row r="4895">
      <c r="D4895" s="58"/>
      <c r="E4895" s="58"/>
      <c r="F4895" s="58"/>
      <c r="G4895" s="58"/>
    </row>
    <row r="4896">
      <c r="D4896" s="58"/>
      <c r="E4896" s="58"/>
      <c r="F4896" s="58"/>
      <c r="G4896" s="58"/>
    </row>
    <row r="4897">
      <c r="D4897" s="58"/>
      <c r="E4897" s="58"/>
      <c r="F4897" s="58"/>
      <c r="G4897" s="58"/>
    </row>
    <row r="4898">
      <c r="D4898" s="58"/>
      <c r="E4898" s="58"/>
      <c r="F4898" s="58"/>
      <c r="G4898" s="58"/>
    </row>
    <row r="4899">
      <c r="D4899" s="58"/>
      <c r="E4899" s="58"/>
      <c r="F4899" s="58"/>
      <c r="G4899" s="58"/>
    </row>
    <row r="4900">
      <c r="D4900" s="58"/>
      <c r="E4900" s="58"/>
      <c r="F4900" s="58"/>
      <c r="G4900" s="58"/>
    </row>
    <row r="4901">
      <c r="D4901" s="58"/>
      <c r="E4901" s="58"/>
      <c r="F4901" s="58"/>
      <c r="G4901" s="58"/>
    </row>
    <row r="4902">
      <c r="D4902" s="58"/>
      <c r="E4902" s="58"/>
      <c r="F4902" s="58"/>
      <c r="G4902" s="58"/>
    </row>
    <row r="4903">
      <c r="D4903" s="58"/>
      <c r="E4903" s="58"/>
      <c r="F4903" s="58"/>
      <c r="G4903" s="58"/>
    </row>
    <row r="4904">
      <c r="D4904" s="58"/>
      <c r="E4904" s="58"/>
      <c r="F4904" s="58"/>
      <c r="G4904" s="58"/>
    </row>
    <row r="4905">
      <c r="D4905" s="58"/>
      <c r="E4905" s="58"/>
      <c r="F4905" s="58"/>
      <c r="G4905" s="58"/>
    </row>
    <row r="4906">
      <c r="D4906" s="58"/>
      <c r="E4906" s="58"/>
      <c r="F4906" s="58"/>
      <c r="G4906" s="58"/>
    </row>
    <row r="4907">
      <c r="D4907" s="58"/>
      <c r="E4907" s="58"/>
      <c r="F4907" s="58"/>
      <c r="G4907" s="58"/>
    </row>
    <row r="4908">
      <c r="D4908" s="58"/>
      <c r="E4908" s="58"/>
      <c r="F4908" s="58"/>
      <c r="G4908" s="58"/>
    </row>
    <row r="4909">
      <c r="D4909" s="58"/>
      <c r="E4909" s="58"/>
      <c r="F4909" s="58"/>
      <c r="G4909" s="58"/>
    </row>
    <row r="4910">
      <c r="D4910" s="58"/>
      <c r="E4910" s="58"/>
      <c r="F4910" s="58"/>
      <c r="G4910" s="58"/>
    </row>
    <row r="4911">
      <c r="D4911" s="58"/>
      <c r="E4911" s="58"/>
      <c r="F4911" s="58"/>
      <c r="G4911" s="58"/>
    </row>
    <row r="4912">
      <c r="D4912" s="58"/>
      <c r="E4912" s="58"/>
      <c r="F4912" s="58"/>
      <c r="G4912" s="58"/>
    </row>
    <row r="4913">
      <c r="D4913" s="58"/>
      <c r="E4913" s="58"/>
      <c r="F4913" s="58"/>
      <c r="G4913" s="58"/>
    </row>
    <row r="4914">
      <c r="D4914" s="58"/>
      <c r="E4914" s="58"/>
      <c r="F4914" s="58"/>
      <c r="G4914" s="58"/>
    </row>
    <row r="4915">
      <c r="D4915" s="58"/>
      <c r="E4915" s="58"/>
      <c r="F4915" s="58"/>
      <c r="G4915" s="58"/>
    </row>
    <row r="4916">
      <c r="D4916" s="58"/>
      <c r="E4916" s="58"/>
      <c r="F4916" s="58"/>
      <c r="G4916" s="58"/>
    </row>
    <row r="4917">
      <c r="D4917" s="58"/>
      <c r="E4917" s="58"/>
      <c r="F4917" s="58"/>
      <c r="G4917" s="58"/>
    </row>
    <row r="4918">
      <c r="D4918" s="58"/>
      <c r="E4918" s="58"/>
      <c r="F4918" s="58"/>
      <c r="G4918" s="58"/>
    </row>
    <row r="4919">
      <c r="D4919" s="58"/>
      <c r="E4919" s="58"/>
      <c r="F4919" s="58"/>
      <c r="G4919" s="58"/>
    </row>
    <row r="4920">
      <c r="D4920" s="58"/>
      <c r="E4920" s="58"/>
      <c r="F4920" s="58"/>
      <c r="G4920" s="58"/>
    </row>
    <row r="4921">
      <c r="D4921" s="58"/>
      <c r="E4921" s="58"/>
      <c r="F4921" s="58"/>
      <c r="G4921" s="58"/>
    </row>
    <row r="4922">
      <c r="D4922" s="58"/>
      <c r="E4922" s="58"/>
      <c r="F4922" s="58"/>
      <c r="G4922" s="58"/>
    </row>
    <row r="4923">
      <c r="D4923" s="58"/>
      <c r="E4923" s="58"/>
      <c r="F4923" s="58"/>
      <c r="G4923" s="58"/>
    </row>
    <row r="4924">
      <c r="D4924" s="58"/>
      <c r="E4924" s="58"/>
      <c r="F4924" s="58"/>
      <c r="G4924" s="58"/>
    </row>
    <row r="4925">
      <c r="D4925" s="58"/>
      <c r="E4925" s="58"/>
      <c r="F4925" s="58"/>
      <c r="G4925" s="58"/>
    </row>
    <row r="4926">
      <c r="D4926" s="58"/>
      <c r="E4926" s="58"/>
      <c r="F4926" s="58"/>
      <c r="G4926" s="58"/>
    </row>
    <row r="4927">
      <c r="D4927" s="58"/>
      <c r="E4927" s="58"/>
      <c r="F4927" s="58"/>
      <c r="G4927" s="58"/>
    </row>
    <row r="4928">
      <c r="D4928" s="58"/>
      <c r="E4928" s="58"/>
      <c r="F4928" s="58"/>
      <c r="G4928" s="58"/>
    </row>
    <row r="4929">
      <c r="D4929" s="58"/>
      <c r="E4929" s="58"/>
      <c r="F4929" s="58"/>
      <c r="G4929" s="58"/>
    </row>
    <row r="4930">
      <c r="D4930" s="58"/>
      <c r="E4930" s="58"/>
      <c r="F4930" s="58"/>
      <c r="G4930" s="58"/>
    </row>
    <row r="4931">
      <c r="D4931" s="58"/>
      <c r="E4931" s="58"/>
      <c r="F4931" s="58"/>
      <c r="G4931" s="58"/>
    </row>
    <row r="4932">
      <c r="D4932" s="58"/>
      <c r="E4932" s="58"/>
      <c r="F4932" s="58"/>
      <c r="G4932" s="58"/>
    </row>
    <row r="4933">
      <c r="D4933" s="58"/>
      <c r="E4933" s="58"/>
      <c r="F4933" s="58"/>
      <c r="G4933" s="58"/>
    </row>
    <row r="4934">
      <c r="D4934" s="58"/>
      <c r="E4934" s="58"/>
      <c r="F4934" s="58"/>
      <c r="G4934" s="58"/>
    </row>
    <row r="4935">
      <c r="D4935" s="58"/>
      <c r="E4935" s="58"/>
      <c r="F4935" s="58"/>
      <c r="G4935" s="58"/>
    </row>
    <row r="4936">
      <c r="D4936" s="58"/>
      <c r="E4936" s="58"/>
      <c r="F4936" s="58"/>
      <c r="G4936" s="58"/>
    </row>
    <row r="4937">
      <c r="D4937" s="58"/>
      <c r="E4937" s="58"/>
      <c r="F4937" s="58"/>
      <c r="G4937" s="58"/>
    </row>
    <row r="4938">
      <c r="D4938" s="58"/>
      <c r="E4938" s="58"/>
      <c r="F4938" s="58"/>
      <c r="G4938" s="58"/>
    </row>
    <row r="4939">
      <c r="D4939" s="58"/>
      <c r="E4939" s="58"/>
      <c r="F4939" s="58"/>
      <c r="G4939" s="58"/>
    </row>
    <row r="4940">
      <c r="D4940" s="58"/>
      <c r="E4940" s="58"/>
      <c r="F4940" s="58"/>
      <c r="G4940" s="58"/>
    </row>
    <row r="4941">
      <c r="D4941" s="58"/>
      <c r="E4941" s="58"/>
      <c r="F4941" s="58"/>
      <c r="G4941" s="58"/>
    </row>
    <row r="4942">
      <c r="D4942" s="58"/>
      <c r="E4942" s="58"/>
      <c r="F4942" s="58"/>
      <c r="G4942" s="58"/>
    </row>
    <row r="4943">
      <c r="D4943" s="58"/>
      <c r="E4943" s="58"/>
      <c r="F4943" s="58"/>
      <c r="G4943" s="58"/>
    </row>
    <row r="4944">
      <c r="D4944" s="58"/>
      <c r="E4944" s="58"/>
      <c r="F4944" s="58"/>
      <c r="G4944" s="58"/>
    </row>
    <row r="4945">
      <c r="D4945" s="58"/>
      <c r="E4945" s="58"/>
      <c r="F4945" s="58"/>
      <c r="G4945" s="58"/>
    </row>
    <row r="4946">
      <c r="D4946" s="58"/>
      <c r="E4946" s="58"/>
      <c r="F4946" s="58"/>
      <c r="G4946" s="58"/>
    </row>
    <row r="4947">
      <c r="D4947" s="58"/>
      <c r="E4947" s="58"/>
      <c r="F4947" s="58"/>
      <c r="G4947" s="58"/>
    </row>
    <row r="4948">
      <c r="D4948" s="58"/>
      <c r="E4948" s="58"/>
      <c r="F4948" s="58"/>
      <c r="G4948" s="58"/>
    </row>
    <row r="4949">
      <c r="D4949" s="58"/>
      <c r="E4949" s="58"/>
      <c r="F4949" s="58"/>
      <c r="G4949" s="58"/>
    </row>
    <row r="4950">
      <c r="D4950" s="58"/>
      <c r="E4950" s="58"/>
      <c r="F4950" s="58"/>
      <c r="G4950" s="58"/>
    </row>
    <row r="4951">
      <c r="D4951" s="58"/>
      <c r="E4951" s="58"/>
      <c r="F4951" s="58"/>
      <c r="G4951" s="58"/>
    </row>
    <row r="4952">
      <c r="D4952" s="58"/>
      <c r="E4952" s="58"/>
      <c r="F4952" s="58"/>
      <c r="G4952" s="58"/>
    </row>
    <row r="4953">
      <c r="D4953" s="58"/>
      <c r="E4953" s="58"/>
      <c r="F4953" s="58"/>
      <c r="G4953" s="58"/>
    </row>
    <row r="4954">
      <c r="D4954" s="58"/>
      <c r="E4954" s="58"/>
      <c r="F4954" s="58"/>
      <c r="G4954" s="58"/>
    </row>
    <row r="4955">
      <c r="D4955" s="58"/>
      <c r="E4955" s="58"/>
      <c r="F4955" s="58"/>
      <c r="G4955" s="58"/>
    </row>
    <row r="4956">
      <c r="D4956" s="58"/>
      <c r="E4956" s="58"/>
      <c r="F4956" s="58"/>
      <c r="G4956" s="58"/>
    </row>
    <row r="4957">
      <c r="D4957" s="58"/>
      <c r="E4957" s="58"/>
      <c r="F4957" s="58"/>
      <c r="G4957" s="58"/>
    </row>
    <row r="4958">
      <c r="D4958" s="58"/>
      <c r="E4958" s="58"/>
      <c r="F4958" s="58"/>
      <c r="G4958" s="58"/>
    </row>
    <row r="4959">
      <c r="D4959" s="58"/>
      <c r="E4959" s="58"/>
      <c r="F4959" s="58"/>
      <c r="G4959" s="58"/>
    </row>
    <row r="4960">
      <c r="D4960" s="58"/>
      <c r="E4960" s="58"/>
      <c r="F4960" s="58"/>
      <c r="G4960" s="58"/>
    </row>
    <row r="4961">
      <c r="D4961" s="58"/>
      <c r="E4961" s="58"/>
      <c r="F4961" s="58"/>
      <c r="G4961" s="58"/>
    </row>
    <row r="4962">
      <c r="D4962" s="58"/>
      <c r="E4962" s="58"/>
      <c r="F4962" s="58"/>
      <c r="G4962" s="58"/>
    </row>
    <row r="4963">
      <c r="D4963" s="58"/>
      <c r="E4963" s="58"/>
      <c r="F4963" s="58"/>
      <c r="G4963" s="58"/>
    </row>
    <row r="4964">
      <c r="D4964" s="58"/>
      <c r="E4964" s="58"/>
      <c r="F4964" s="58"/>
      <c r="G4964" s="58"/>
    </row>
    <row r="4965">
      <c r="D4965" s="58"/>
      <c r="E4965" s="58"/>
      <c r="F4965" s="58"/>
      <c r="G4965" s="58"/>
    </row>
    <row r="4966">
      <c r="D4966" s="58"/>
      <c r="E4966" s="58"/>
      <c r="F4966" s="58"/>
      <c r="G4966" s="58"/>
    </row>
    <row r="4967">
      <c r="D4967" s="58"/>
      <c r="E4967" s="58"/>
      <c r="F4967" s="58"/>
      <c r="G4967" s="58"/>
    </row>
    <row r="4968">
      <c r="D4968" s="58"/>
      <c r="E4968" s="58"/>
      <c r="F4968" s="58"/>
      <c r="G4968" s="58"/>
    </row>
    <row r="4969">
      <c r="D4969" s="58"/>
      <c r="E4969" s="58"/>
      <c r="F4969" s="58"/>
      <c r="G4969" s="58"/>
    </row>
    <row r="4970">
      <c r="D4970" s="58"/>
      <c r="E4970" s="58"/>
      <c r="F4970" s="58"/>
      <c r="G4970" s="58"/>
    </row>
    <row r="4971">
      <c r="D4971" s="58"/>
      <c r="E4971" s="58"/>
      <c r="F4971" s="58"/>
      <c r="G4971" s="58"/>
    </row>
    <row r="4972">
      <c r="D4972" s="58"/>
      <c r="E4972" s="58"/>
      <c r="F4972" s="58"/>
      <c r="G4972" s="58"/>
    </row>
    <row r="4973">
      <c r="D4973" s="58"/>
      <c r="E4973" s="58"/>
      <c r="F4973" s="58"/>
      <c r="G4973" s="58"/>
    </row>
    <row r="4974">
      <c r="D4974" s="58"/>
      <c r="E4974" s="58"/>
      <c r="F4974" s="58"/>
      <c r="G4974" s="58"/>
    </row>
    <row r="4975">
      <c r="D4975" s="58"/>
      <c r="E4975" s="58"/>
      <c r="F4975" s="58"/>
      <c r="G4975" s="58"/>
    </row>
    <row r="4976">
      <c r="D4976" s="58"/>
      <c r="E4976" s="58"/>
      <c r="F4976" s="58"/>
      <c r="G4976" s="58"/>
    </row>
    <row r="4977">
      <c r="D4977" s="58"/>
      <c r="E4977" s="58"/>
      <c r="F4977" s="58"/>
      <c r="G4977" s="58"/>
    </row>
    <row r="4978">
      <c r="D4978" s="58"/>
      <c r="E4978" s="58"/>
      <c r="F4978" s="58"/>
      <c r="G4978" s="58"/>
    </row>
    <row r="4979">
      <c r="D4979" s="58"/>
      <c r="E4979" s="58"/>
      <c r="F4979" s="58"/>
      <c r="G4979" s="58"/>
    </row>
    <row r="4980">
      <c r="D4980" s="58"/>
      <c r="E4980" s="58"/>
      <c r="F4980" s="58"/>
      <c r="G4980" s="58"/>
    </row>
    <row r="4981">
      <c r="D4981" s="58"/>
      <c r="E4981" s="58"/>
      <c r="F4981" s="58"/>
      <c r="G4981" s="58"/>
    </row>
    <row r="4982">
      <c r="D4982" s="58"/>
      <c r="E4982" s="58"/>
      <c r="F4982" s="58"/>
      <c r="G4982" s="58"/>
    </row>
    <row r="4983">
      <c r="D4983" s="58"/>
      <c r="E4983" s="58"/>
      <c r="F4983" s="58"/>
      <c r="G4983" s="58"/>
    </row>
    <row r="4984">
      <c r="D4984" s="58"/>
      <c r="E4984" s="58"/>
      <c r="F4984" s="58"/>
      <c r="G4984" s="58"/>
    </row>
    <row r="4985">
      <c r="D4985" s="58"/>
      <c r="E4985" s="58"/>
      <c r="F4985" s="58"/>
      <c r="G4985" s="58"/>
    </row>
    <row r="4986">
      <c r="D4986" s="58"/>
      <c r="E4986" s="58"/>
      <c r="F4986" s="58"/>
      <c r="G4986" s="58"/>
    </row>
    <row r="4987">
      <c r="D4987" s="58"/>
      <c r="E4987" s="58"/>
      <c r="F4987" s="58"/>
      <c r="G4987" s="58"/>
    </row>
    <row r="4988">
      <c r="D4988" s="58"/>
      <c r="E4988" s="58"/>
      <c r="F4988" s="58"/>
      <c r="G4988" s="58"/>
    </row>
    <row r="4989">
      <c r="D4989" s="58"/>
      <c r="E4989" s="58"/>
      <c r="F4989" s="58"/>
      <c r="G4989" s="58"/>
    </row>
    <row r="4990">
      <c r="D4990" s="58"/>
      <c r="E4990" s="58"/>
      <c r="F4990" s="58"/>
      <c r="G4990" s="58"/>
    </row>
    <row r="4991">
      <c r="D4991" s="58"/>
      <c r="E4991" s="58"/>
      <c r="F4991" s="58"/>
      <c r="G4991" s="58"/>
    </row>
    <row r="4992">
      <c r="D4992" s="58"/>
      <c r="E4992" s="58"/>
      <c r="F4992" s="58"/>
      <c r="G4992" s="58"/>
    </row>
    <row r="4993">
      <c r="D4993" s="58"/>
      <c r="E4993" s="58"/>
      <c r="F4993" s="58"/>
      <c r="G4993" s="58"/>
    </row>
    <row r="4994">
      <c r="D4994" s="58"/>
      <c r="E4994" s="58"/>
      <c r="F4994" s="58"/>
      <c r="G4994" s="58"/>
    </row>
    <row r="4995">
      <c r="D4995" s="58"/>
      <c r="E4995" s="58"/>
      <c r="F4995" s="58"/>
      <c r="G4995" s="58"/>
    </row>
    <row r="4996">
      <c r="D4996" s="58"/>
      <c r="E4996" s="58"/>
      <c r="F4996" s="58"/>
      <c r="G4996" s="58"/>
    </row>
    <row r="4997">
      <c r="D4997" s="58"/>
      <c r="E4997" s="58"/>
      <c r="F4997" s="58"/>
      <c r="G4997" s="58"/>
    </row>
    <row r="4998">
      <c r="D4998" s="58"/>
      <c r="E4998" s="58"/>
      <c r="F4998" s="58"/>
      <c r="G4998" s="58"/>
    </row>
    <row r="4999">
      <c r="D4999" s="58"/>
      <c r="E4999" s="58"/>
      <c r="F4999" s="58"/>
      <c r="G4999" s="58"/>
    </row>
    <row r="5000">
      <c r="D5000" s="58"/>
      <c r="E5000" s="58"/>
      <c r="F5000" s="58"/>
      <c r="G5000" s="58"/>
    </row>
    <row r="5001">
      <c r="D5001" s="58"/>
      <c r="E5001" s="58"/>
      <c r="F5001" s="58"/>
      <c r="G5001" s="58"/>
    </row>
    <row r="5002">
      <c r="D5002" s="58"/>
      <c r="E5002" s="58"/>
      <c r="F5002" s="58"/>
      <c r="G5002" s="58"/>
    </row>
    <row r="5003">
      <c r="D5003" s="58"/>
      <c r="E5003" s="58"/>
      <c r="F5003" s="58"/>
      <c r="G5003" s="58"/>
    </row>
    <row r="5004">
      <c r="D5004" s="58"/>
      <c r="E5004" s="58"/>
      <c r="F5004" s="58"/>
      <c r="G5004" s="58"/>
    </row>
    <row r="5005">
      <c r="D5005" s="58"/>
      <c r="E5005" s="58"/>
      <c r="F5005" s="58"/>
      <c r="G5005" s="58"/>
    </row>
    <row r="5006">
      <c r="D5006" s="58"/>
      <c r="E5006" s="58"/>
      <c r="F5006" s="58"/>
      <c r="G5006" s="58"/>
    </row>
    <row r="5007">
      <c r="D5007" s="58"/>
      <c r="E5007" s="58"/>
      <c r="F5007" s="58"/>
      <c r="G5007" s="58"/>
    </row>
    <row r="5008">
      <c r="D5008" s="58"/>
      <c r="E5008" s="58"/>
      <c r="F5008" s="58"/>
      <c r="G5008" s="58"/>
    </row>
    <row r="5009">
      <c r="D5009" s="58"/>
      <c r="E5009" s="58"/>
      <c r="F5009" s="58"/>
      <c r="G5009" s="58"/>
    </row>
    <row r="5010">
      <c r="D5010" s="58"/>
      <c r="E5010" s="58"/>
      <c r="F5010" s="58"/>
      <c r="G5010" s="58"/>
    </row>
    <row r="5011">
      <c r="D5011" s="58"/>
      <c r="E5011" s="58"/>
      <c r="F5011" s="58"/>
      <c r="G5011" s="58"/>
    </row>
    <row r="5012">
      <c r="D5012" s="58"/>
      <c r="E5012" s="58"/>
      <c r="F5012" s="58"/>
      <c r="G5012" s="58"/>
    </row>
    <row r="5013">
      <c r="D5013" s="58"/>
      <c r="E5013" s="58"/>
      <c r="F5013" s="58"/>
      <c r="G5013" s="58"/>
    </row>
    <row r="5014">
      <c r="D5014" s="58"/>
      <c r="E5014" s="58"/>
      <c r="F5014" s="58"/>
      <c r="G5014" s="58"/>
    </row>
    <row r="5015">
      <c r="D5015" s="58"/>
      <c r="E5015" s="58"/>
      <c r="F5015" s="58"/>
      <c r="G5015" s="58"/>
    </row>
    <row r="5016">
      <c r="D5016" s="58"/>
      <c r="E5016" s="58"/>
      <c r="F5016" s="58"/>
      <c r="G5016" s="58"/>
    </row>
    <row r="5017">
      <c r="D5017" s="58"/>
      <c r="E5017" s="58"/>
      <c r="F5017" s="58"/>
      <c r="G5017" s="58"/>
    </row>
    <row r="5018">
      <c r="D5018" s="58"/>
      <c r="E5018" s="58"/>
      <c r="F5018" s="58"/>
      <c r="G5018" s="58"/>
    </row>
    <row r="5019">
      <c r="D5019" s="58"/>
      <c r="E5019" s="58"/>
      <c r="F5019" s="58"/>
      <c r="G5019" s="58"/>
    </row>
    <row r="5020">
      <c r="D5020" s="58"/>
      <c r="E5020" s="58"/>
      <c r="F5020" s="58"/>
      <c r="G5020" s="58"/>
    </row>
    <row r="5021">
      <c r="D5021" s="58"/>
      <c r="E5021" s="58"/>
      <c r="F5021" s="58"/>
      <c r="G5021" s="58"/>
    </row>
    <row r="5022">
      <c r="D5022" s="58"/>
      <c r="E5022" s="58"/>
      <c r="F5022" s="58"/>
      <c r="G5022" s="58"/>
    </row>
    <row r="5023">
      <c r="D5023" s="58"/>
      <c r="E5023" s="58"/>
      <c r="F5023" s="58"/>
      <c r="G5023" s="58"/>
    </row>
    <row r="5024">
      <c r="D5024" s="58"/>
      <c r="E5024" s="58"/>
      <c r="F5024" s="58"/>
      <c r="G5024" s="58"/>
    </row>
    <row r="5025">
      <c r="D5025" s="58"/>
      <c r="E5025" s="58"/>
      <c r="F5025" s="58"/>
      <c r="G5025" s="58"/>
    </row>
    <row r="5026">
      <c r="D5026" s="58"/>
      <c r="E5026" s="58"/>
      <c r="F5026" s="58"/>
      <c r="G5026" s="58"/>
    </row>
    <row r="5027">
      <c r="D5027" s="58"/>
      <c r="E5027" s="58"/>
      <c r="F5027" s="58"/>
      <c r="G5027" s="58"/>
    </row>
    <row r="5028">
      <c r="D5028" s="58"/>
      <c r="E5028" s="58"/>
      <c r="F5028" s="58"/>
      <c r="G5028" s="58"/>
    </row>
    <row r="5029">
      <c r="D5029" s="58"/>
      <c r="E5029" s="58"/>
      <c r="F5029" s="58"/>
      <c r="G5029" s="58"/>
    </row>
    <row r="5030">
      <c r="D5030" s="58"/>
      <c r="E5030" s="58"/>
      <c r="F5030" s="58"/>
      <c r="G5030" s="58"/>
    </row>
    <row r="5031">
      <c r="D5031" s="58"/>
      <c r="E5031" s="58"/>
      <c r="F5031" s="58"/>
      <c r="G5031" s="58"/>
    </row>
    <row r="5032">
      <c r="D5032" s="58"/>
      <c r="E5032" s="58"/>
      <c r="F5032" s="58"/>
      <c r="G5032" s="58"/>
    </row>
    <row r="5033">
      <c r="D5033" s="58"/>
      <c r="E5033" s="58"/>
      <c r="F5033" s="58"/>
      <c r="G5033" s="58"/>
    </row>
    <row r="5034">
      <c r="D5034" s="58"/>
      <c r="E5034" s="58"/>
      <c r="F5034" s="58"/>
      <c r="G5034" s="58"/>
    </row>
    <row r="5035">
      <c r="D5035" s="58"/>
      <c r="E5035" s="58"/>
      <c r="F5035" s="58"/>
      <c r="G5035" s="58"/>
    </row>
    <row r="5036">
      <c r="D5036" s="58"/>
      <c r="E5036" s="58"/>
      <c r="F5036" s="58"/>
      <c r="G5036" s="58"/>
    </row>
    <row r="5037">
      <c r="D5037" s="58"/>
      <c r="E5037" s="58"/>
      <c r="F5037" s="58"/>
      <c r="G5037" s="58"/>
    </row>
    <row r="5038">
      <c r="D5038" s="58"/>
      <c r="E5038" s="58"/>
      <c r="F5038" s="58"/>
      <c r="G5038" s="58"/>
    </row>
    <row r="5039">
      <c r="D5039" s="58"/>
      <c r="E5039" s="58"/>
      <c r="F5039" s="58"/>
      <c r="G5039" s="58"/>
    </row>
    <row r="5040">
      <c r="D5040" s="58"/>
      <c r="E5040" s="58"/>
      <c r="F5040" s="58"/>
      <c r="G5040" s="58"/>
    </row>
    <row r="5041">
      <c r="D5041" s="58"/>
      <c r="E5041" s="58"/>
      <c r="F5041" s="58"/>
      <c r="G5041" s="58"/>
    </row>
    <row r="5042">
      <c r="D5042" s="58"/>
      <c r="E5042" s="58"/>
      <c r="F5042" s="58"/>
      <c r="G5042" s="58"/>
    </row>
    <row r="5043">
      <c r="D5043" s="58"/>
      <c r="E5043" s="58"/>
      <c r="F5043" s="58"/>
      <c r="G5043" s="58"/>
    </row>
    <row r="5044">
      <c r="D5044" s="58"/>
      <c r="E5044" s="58"/>
      <c r="F5044" s="58"/>
      <c r="G5044" s="58"/>
    </row>
    <row r="5045">
      <c r="D5045" s="58"/>
      <c r="E5045" s="58"/>
      <c r="F5045" s="58"/>
      <c r="G5045" s="58"/>
    </row>
    <row r="5046">
      <c r="D5046" s="58"/>
      <c r="E5046" s="58"/>
      <c r="F5046" s="58"/>
      <c r="G5046" s="58"/>
    </row>
    <row r="5047">
      <c r="D5047" s="58"/>
      <c r="E5047" s="58"/>
      <c r="F5047" s="58"/>
      <c r="G5047" s="58"/>
    </row>
    <row r="5048">
      <c r="D5048" s="58"/>
      <c r="E5048" s="58"/>
      <c r="F5048" s="58"/>
      <c r="G5048" s="58"/>
    </row>
    <row r="5049">
      <c r="D5049" s="58"/>
      <c r="E5049" s="58"/>
      <c r="F5049" s="58"/>
      <c r="G5049" s="58"/>
    </row>
    <row r="5050">
      <c r="D5050" s="58"/>
      <c r="E5050" s="58"/>
      <c r="F5050" s="58"/>
      <c r="G5050" s="58"/>
    </row>
    <row r="5051">
      <c r="D5051" s="58"/>
      <c r="E5051" s="58"/>
      <c r="F5051" s="58"/>
      <c r="G5051" s="58"/>
    </row>
    <row r="5052">
      <c r="D5052" s="58"/>
      <c r="E5052" s="58"/>
      <c r="F5052" s="58"/>
      <c r="G5052" s="58"/>
    </row>
    <row r="5053">
      <c r="D5053" s="58"/>
      <c r="E5053" s="58"/>
      <c r="F5053" s="58"/>
      <c r="G5053" s="58"/>
    </row>
    <row r="5054">
      <c r="D5054" s="58"/>
      <c r="E5054" s="58"/>
      <c r="F5054" s="58"/>
      <c r="G5054" s="58"/>
    </row>
    <row r="5055">
      <c r="D5055" s="58"/>
      <c r="E5055" s="58"/>
      <c r="F5055" s="58"/>
      <c r="G5055" s="58"/>
    </row>
    <row r="5056">
      <c r="D5056" s="58"/>
      <c r="E5056" s="58"/>
      <c r="F5056" s="58"/>
      <c r="G5056" s="58"/>
    </row>
    <row r="5057">
      <c r="D5057" s="58"/>
      <c r="E5057" s="58"/>
      <c r="F5057" s="58"/>
      <c r="G5057" s="58"/>
    </row>
    <row r="5058">
      <c r="D5058" s="58"/>
      <c r="E5058" s="58"/>
      <c r="F5058" s="58"/>
      <c r="G5058" s="58"/>
    </row>
    <row r="5059">
      <c r="D5059" s="58"/>
      <c r="E5059" s="58"/>
      <c r="F5059" s="58"/>
      <c r="G5059" s="58"/>
    </row>
    <row r="5060">
      <c r="D5060" s="58"/>
      <c r="E5060" s="58"/>
      <c r="F5060" s="58"/>
      <c r="G5060" s="58"/>
    </row>
    <row r="5061">
      <c r="D5061" s="58"/>
      <c r="E5061" s="58"/>
      <c r="F5061" s="58"/>
      <c r="G5061" s="58"/>
    </row>
    <row r="5062">
      <c r="D5062" s="58"/>
      <c r="E5062" s="58"/>
      <c r="F5062" s="58"/>
      <c r="G5062" s="58"/>
    </row>
    <row r="5063">
      <c r="D5063" s="58"/>
      <c r="E5063" s="58"/>
      <c r="F5063" s="58"/>
      <c r="G5063" s="58"/>
    </row>
    <row r="5064">
      <c r="D5064" s="58"/>
      <c r="E5064" s="58"/>
      <c r="F5064" s="58"/>
      <c r="G5064" s="58"/>
    </row>
    <row r="5065">
      <c r="D5065" s="58"/>
      <c r="E5065" s="58"/>
      <c r="F5065" s="58"/>
      <c r="G5065" s="58"/>
    </row>
    <row r="5066">
      <c r="D5066" s="58"/>
      <c r="E5066" s="58"/>
      <c r="F5066" s="58"/>
      <c r="G5066" s="58"/>
    </row>
    <row r="5067">
      <c r="D5067" s="58"/>
      <c r="E5067" s="58"/>
      <c r="F5067" s="58"/>
      <c r="G5067" s="58"/>
    </row>
    <row r="5068">
      <c r="D5068" s="58"/>
      <c r="E5068" s="58"/>
      <c r="F5068" s="58"/>
      <c r="G5068" s="58"/>
    </row>
    <row r="5069">
      <c r="D5069" s="58"/>
      <c r="E5069" s="58"/>
      <c r="F5069" s="58"/>
      <c r="G5069" s="58"/>
    </row>
    <row r="5070">
      <c r="D5070" s="58"/>
      <c r="E5070" s="58"/>
      <c r="F5070" s="58"/>
      <c r="G5070" s="58"/>
    </row>
    <row r="5071">
      <c r="D5071" s="58"/>
      <c r="E5071" s="58"/>
      <c r="F5071" s="58"/>
      <c r="G5071" s="58"/>
    </row>
    <row r="5072">
      <c r="D5072" s="58"/>
      <c r="E5072" s="58"/>
      <c r="F5072" s="58"/>
      <c r="G5072" s="58"/>
    </row>
    <row r="5073">
      <c r="D5073" s="58"/>
      <c r="E5073" s="58"/>
      <c r="F5073" s="58"/>
      <c r="G5073" s="58"/>
    </row>
    <row r="5074">
      <c r="D5074" s="58"/>
      <c r="E5074" s="58"/>
      <c r="F5074" s="58"/>
      <c r="G5074" s="58"/>
    </row>
    <row r="5075">
      <c r="D5075" s="58"/>
      <c r="E5075" s="58"/>
      <c r="F5075" s="58"/>
      <c r="G5075" s="58"/>
    </row>
    <row r="5076">
      <c r="D5076" s="58"/>
      <c r="E5076" s="58"/>
      <c r="F5076" s="58"/>
      <c r="G5076" s="58"/>
    </row>
    <row r="5077">
      <c r="D5077" s="58"/>
      <c r="E5077" s="58"/>
      <c r="F5077" s="58"/>
      <c r="G5077" s="58"/>
    </row>
    <row r="5078">
      <c r="D5078" s="58"/>
      <c r="E5078" s="58"/>
      <c r="F5078" s="58"/>
      <c r="G5078" s="58"/>
    </row>
    <row r="5079">
      <c r="D5079" s="58"/>
      <c r="E5079" s="58"/>
      <c r="F5079" s="58"/>
      <c r="G5079" s="58"/>
    </row>
    <row r="5080">
      <c r="D5080" s="58"/>
      <c r="E5080" s="58"/>
      <c r="F5080" s="58"/>
      <c r="G5080" s="58"/>
    </row>
    <row r="5081">
      <c r="D5081" s="58"/>
      <c r="E5081" s="58"/>
      <c r="F5081" s="58"/>
      <c r="G5081" s="58"/>
    </row>
    <row r="5082">
      <c r="D5082" s="58"/>
      <c r="E5082" s="58"/>
      <c r="F5082" s="58"/>
      <c r="G5082" s="58"/>
    </row>
    <row r="5083">
      <c r="D5083" s="58"/>
      <c r="E5083" s="58"/>
      <c r="F5083" s="58"/>
      <c r="G5083" s="58"/>
    </row>
    <row r="5084">
      <c r="D5084" s="58"/>
      <c r="E5084" s="58"/>
      <c r="F5084" s="58"/>
      <c r="G5084" s="58"/>
    </row>
    <row r="5085">
      <c r="D5085" s="58"/>
      <c r="E5085" s="58"/>
      <c r="F5085" s="58"/>
      <c r="G5085" s="58"/>
    </row>
    <row r="5086">
      <c r="D5086" s="58"/>
      <c r="E5086" s="58"/>
      <c r="F5086" s="58"/>
      <c r="G5086" s="58"/>
    </row>
    <row r="5087">
      <c r="D5087" s="58"/>
      <c r="E5087" s="58"/>
      <c r="F5087" s="58"/>
      <c r="G5087" s="58"/>
    </row>
    <row r="5088">
      <c r="D5088" s="58"/>
      <c r="E5088" s="58"/>
      <c r="F5088" s="58"/>
      <c r="G5088" s="58"/>
    </row>
    <row r="5089">
      <c r="D5089" s="58"/>
      <c r="E5089" s="58"/>
      <c r="F5089" s="58"/>
      <c r="G5089" s="58"/>
    </row>
    <row r="5090">
      <c r="D5090" s="58"/>
      <c r="E5090" s="58"/>
      <c r="F5090" s="58"/>
      <c r="G5090" s="58"/>
    </row>
    <row r="5091">
      <c r="D5091" s="58"/>
      <c r="E5091" s="58"/>
      <c r="F5091" s="58"/>
      <c r="G5091" s="58"/>
    </row>
    <row r="5092">
      <c r="D5092" s="58"/>
      <c r="E5092" s="58"/>
      <c r="F5092" s="58"/>
      <c r="G5092" s="58"/>
    </row>
    <row r="5093">
      <c r="D5093" s="58"/>
      <c r="E5093" s="58"/>
      <c r="F5093" s="58"/>
      <c r="G5093" s="58"/>
    </row>
    <row r="5094">
      <c r="D5094" s="58"/>
      <c r="E5094" s="58"/>
      <c r="F5094" s="58"/>
      <c r="G5094" s="58"/>
    </row>
    <row r="5095">
      <c r="D5095" s="58"/>
      <c r="E5095" s="58"/>
      <c r="F5095" s="58"/>
      <c r="G5095" s="58"/>
    </row>
    <row r="5096">
      <c r="D5096" s="58"/>
      <c r="E5096" s="58"/>
      <c r="F5096" s="58"/>
      <c r="G5096" s="58"/>
    </row>
    <row r="5097">
      <c r="D5097" s="58"/>
      <c r="E5097" s="58"/>
      <c r="F5097" s="58"/>
      <c r="G5097" s="58"/>
    </row>
    <row r="5098">
      <c r="D5098" s="58"/>
      <c r="E5098" s="58"/>
      <c r="F5098" s="58"/>
      <c r="G5098" s="58"/>
    </row>
    <row r="5099">
      <c r="D5099" s="58"/>
      <c r="E5099" s="58"/>
      <c r="F5099" s="58"/>
      <c r="G5099" s="58"/>
    </row>
    <row r="5100">
      <c r="D5100" s="58"/>
      <c r="E5100" s="58"/>
      <c r="F5100" s="58"/>
      <c r="G5100" s="58"/>
    </row>
    <row r="5101">
      <c r="D5101" s="58"/>
      <c r="E5101" s="58"/>
      <c r="F5101" s="58"/>
      <c r="G5101" s="58"/>
    </row>
    <row r="5102">
      <c r="D5102" s="58"/>
      <c r="E5102" s="58"/>
      <c r="F5102" s="58"/>
      <c r="G5102" s="58"/>
    </row>
    <row r="5103">
      <c r="D5103" s="58"/>
      <c r="E5103" s="58"/>
      <c r="F5103" s="58"/>
      <c r="G5103" s="58"/>
    </row>
    <row r="5104">
      <c r="D5104" s="58"/>
      <c r="E5104" s="58"/>
      <c r="F5104" s="58"/>
      <c r="G5104" s="58"/>
    </row>
    <row r="5105">
      <c r="D5105" s="58"/>
      <c r="E5105" s="58"/>
      <c r="F5105" s="58"/>
      <c r="G5105" s="58"/>
    </row>
    <row r="5106">
      <c r="D5106" s="58"/>
      <c r="E5106" s="58"/>
      <c r="F5106" s="58"/>
      <c r="G5106" s="58"/>
    </row>
    <row r="5107">
      <c r="D5107" s="58"/>
      <c r="E5107" s="58"/>
      <c r="F5107" s="58"/>
      <c r="G5107" s="58"/>
    </row>
    <row r="5108">
      <c r="D5108" s="58"/>
      <c r="E5108" s="58"/>
      <c r="F5108" s="58"/>
      <c r="G5108" s="58"/>
    </row>
    <row r="5109">
      <c r="D5109" s="58"/>
      <c r="E5109" s="58"/>
      <c r="F5109" s="58"/>
      <c r="G5109" s="58"/>
    </row>
    <row r="5110">
      <c r="D5110" s="58"/>
      <c r="E5110" s="58"/>
      <c r="F5110" s="58"/>
      <c r="G5110" s="58"/>
    </row>
    <row r="5111">
      <c r="D5111" s="58"/>
      <c r="E5111" s="58"/>
      <c r="F5111" s="58"/>
      <c r="G5111" s="58"/>
    </row>
    <row r="5112">
      <c r="D5112" s="58"/>
      <c r="E5112" s="58"/>
      <c r="F5112" s="58"/>
      <c r="G5112" s="58"/>
    </row>
    <row r="5113">
      <c r="D5113" s="58"/>
      <c r="E5113" s="58"/>
      <c r="F5113" s="58"/>
      <c r="G5113" s="58"/>
    </row>
    <row r="5114">
      <c r="D5114" s="58"/>
      <c r="E5114" s="58"/>
      <c r="F5114" s="58"/>
      <c r="G5114" s="58"/>
    </row>
    <row r="5115">
      <c r="D5115" s="58"/>
      <c r="E5115" s="58"/>
      <c r="F5115" s="58"/>
      <c r="G5115" s="58"/>
    </row>
    <row r="5116">
      <c r="D5116" s="58"/>
      <c r="E5116" s="58"/>
      <c r="F5116" s="58"/>
      <c r="G5116" s="58"/>
    </row>
    <row r="5117">
      <c r="D5117" s="58"/>
      <c r="E5117" s="58"/>
      <c r="F5117" s="58"/>
      <c r="G5117" s="58"/>
    </row>
    <row r="5118">
      <c r="D5118" s="58"/>
      <c r="E5118" s="58"/>
      <c r="F5118" s="58"/>
      <c r="G5118" s="58"/>
    </row>
    <row r="5119">
      <c r="D5119" s="58"/>
      <c r="E5119" s="58"/>
      <c r="F5119" s="58"/>
      <c r="G5119" s="58"/>
    </row>
    <row r="5120">
      <c r="D5120" s="58"/>
      <c r="E5120" s="58"/>
      <c r="F5120" s="58"/>
      <c r="G5120" s="58"/>
    </row>
    <row r="5121">
      <c r="D5121" s="58"/>
      <c r="E5121" s="58"/>
      <c r="F5121" s="58"/>
      <c r="G5121" s="58"/>
    </row>
    <row r="5122">
      <c r="D5122" s="58"/>
      <c r="E5122" s="58"/>
      <c r="F5122" s="58"/>
      <c r="G5122" s="58"/>
    </row>
    <row r="5123">
      <c r="D5123" s="58"/>
      <c r="E5123" s="58"/>
      <c r="F5123" s="58"/>
      <c r="G5123" s="58"/>
    </row>
    <row r="5124">
      <c r="D5124" s="58"/>
      <c r="E5124" s="58"/>
      <c r="F5124" s="58"/>
      <c r="G5124" s="58"/>
    </row>
    <row r="5125">
      <c r="D5125" s="58"/>
      <c r="E5125" s="58"/>
      <c r="F5125" s="58"/>
      <c r="G5125" s="58"/>
    </row>
    <row r="5126">
      <c r="D5126" s="58"/>
      <c r="E5126" s="58"/>
      <c r="F5126" s="58"/>
      <c r="G5126" s="58"/>
    </row>
    <row r="5127">
      <c r="D5127" s="58"/>
      <c r="E5127" s="58"/>
      <c r="F5127" s="58"/>
      <c r="G5127" s="58"/>
    </row>
    <row r="5128">
      <c r="D5128" s="58"/>
      <c r="E5128" s="58"/>
      <c r="F5128" s="58"/>
      <c r="G5128" s="58"/>
    </row>
    <row r="5129">
      <c r="D5129" s="58"/>
      <c r="E5129" s="58"/>
      <c r="F5129" s="58"/>
      <c r="G5129" s="58"/>
    </row>
    <row r="5130">
      <c r="D5130" s="58"/>
      <c r="E5130" s="58"/>
      <c r="F5130" s="58"/>
      <c r="G5130" s="58"/>
    </row>
    <row r="5131">
      <c r="D5131" s="58"/>
      <c r="E5131" s="58"/>
      <c r="F5131" s="58"/>
      <c r="G5131" s="58"/>
    </row>
    <row r="5132">
      <c r="D5132" s="58"/>
      <c r="E5132" s="58"/>
      <c r="F5132" s="58"/>
      <c r="G5132" s="58"/>
    </row>
    <row r="5133">
      <c r="D5133" s="58"/>
      <c r="E5133" s="58"/>
      <c r="F5133" s="58"/>
      <c r="G5133" s="58"/>
    </row>
    <row r="5134">
      <c r="D5134" s="58"/>
      <c r="E5134" s="58"/>
      <c r="F5134" s="58"/>
      <c r="G5134" s="58"/>
    </row>
    <row r="5135">
      <c r="D5135" s="58"/>
      <c r="E5135" s="58"/>
      <c r="F5135" s="58"/>
      <c r="G5135" s="58"/>
    </row>
    <row r="5136">
      <c r="D5136" s="58"/>
      <c r="E5136" s="58"/>
      <c r="F5136" s="58"/>
      <c r="G5136" s="58"/>
    </row>
    <row r="5137">
      <c r="D5137" s="58"/>
      <c r="E5137" s="58"/>
      <c r="F5137" s="58"/>
      <c r="G5137" s="58"/>
    </row>
    <row r="5138">
      <c r="D5138" s="58"/>
      <c r="E5138" s="58"/>
      <c r="F5138" s="58"/>
      <c r="G5138" s="58"/>
    </row>
    <row r="5139">
      <c r="D5139" s="58"/>
      <c r="E5139" s="58"/>
      <c r="F5139" s="58"/>
      <c r="G5139" s="58"/>
    </row>
    <row r="5140">
      <c r="D5140" s="58"/>
      <c r="E5140" s="58"/>
      <c r="F5140" s="58"/>
      <c r="G5140" s="58"/>
    </row>
    <row r="5141">
      <c r="D5141" s="58"/>
      <c r="E5141" s="58"/>
      <c r="F5141" s="58"/>
      <c r="G5141" s="58"/>
    </row>
    <row r="5142">
      <c r="D5142" s="58"/>
      <c r="E5142" s="58"/>
      <c r="F5142" s="58"/>
      <c r="G5142" s="58"/>
    </row>
    <row r="5143">
      <c r="D5143" s="58"/>
      <c r="E5143" s="58"/>
      <c r="F5143" s="58"/>
      <c r="G5143" s="58"/>
    </row>
    <row r="5144">
      <c r="D5144" s="58"/>
      <c r="E5144" s="58"/>
      <c r="F5144" s="58"/>
      <c r="G5144" s="58"/>
    </row>
    <row r="5145">
      <c r="D5145" s="58"/>
      <c r="E5145" s="58"/>
      <c r="F5145" s="58"/>
      <c r="G5145" s="58"/>
    </row>
    <row r="5146">
      <c r="D5146" s="58"/>
      <c r="E5146" s="58"/>
      <c r="F5146" s="58"/>
      <c r="G5146" s="58"/>
    </row>
    <row r="5147">
      <c r="D5147" s="58"/>
      <c r="E5147" s="58"/>
      <c r="F5147" s="58"/>
      <c r="G5147" s="58"/>
    </row>
    <row r="5148">
      <c r="D5148" s="58"/>
      <c r="E5148" s="58"/>
      <c r="F5148" s="58"/>
      <c r="G5148" s="58"/>
    </row>
    <row r="5149">
      <c r="D5149" s="58"/>
      <c r="E5149" s="58"/>
      <c r="F5149" s="58"/>
      <c r="G5149" s="58"/>
    </row>
    <row r="5150">
      <c r="D5150" s="58"/>
      <c r="E5150" s="58"/>
      <c r="F5150" s="58"/>
      <c r="G5150" s="58"/>
    </row>
    <row r="5151">
      <c r="D5151" s="58"/>
      <c r="E5151" s="58"/>
      <c r="F5151" s="58"/>
      <c r="G5151" s="58"/>
    </row>
    <row r="5152">
      <c r="D5152" s="58"/>
      <c r="E5152" s="58"/>
      <c r="F5152" s="58"/>
      <c r="G5152" s="58"/>
    </row>
    <row r="5153">
      <c r="D5153" s="58"/>
      <c r="E5153" s="58"/>
      <c r="F5153" s="58"/>
      <c r="G5153" s="58"/>
    </row>
    <row r="5154">
      <c r="D5154" s="58"/>
      <c r="E5154" s="58"/>
      <c r="F5154" s="58"/>
      <c r="G5154" s="58"/>
    </row>
    <row r="5155">
      <c r="D5155" s="58"/>
      <c r="E5155" s="58"/>
      <c r="F5155" s="58"/>
      <c r="G5155" s="58"/>
    </row>
    <row r="5156">
      <c r="D5156" s="58"/>
      <c r="E5156" s="58"/>
      <c r="F5156" s="58"/>
      <c r="G5156" s="58"/>
    </row>
    <row r="5157">
      <c r="D5157" s="58"/>
      <c r="E5157" s="58"/>
      <c r="F5157" s="58"/>
      <c r="G5157" s="58"/>
    </row>
    <row r="5158">
      <c r="D5158" s="58"/>
      <c r="E5158" s="58"/>
      <c r="F5158" s="58"/>
      <c r="G5158" s="58"/>
    </row>
    <row r="5159">
      <c r="D5159" s="58"/>
      <c r="E5159" s="58"/>
      <c r="F5159" s="58"/>
      <c r="G5159" s="58"/>
    </row>
    <row r="5160">
      <c r="D5160" s="58"/>
      <c r="E5160" s="58"/>
      <c r="F5160" s="58"/>
      <c r="G5160" s="58"/>
    </row>
    <row r="5161">
      <c r="D5161" s="58"/>
      <c r="E5161" s="58"/>
      <c r="F5161" s="58"/>
      <c r="G5161" s="58"/>
    </row>
    <row r="5162">
      <c r="D5162" s="58"/>
      <c r="E5162" s="58"/>
      <c r="F5162" s="58"/>
      <c r="G5162" s="58"/>
    </row>
    <row r="5163">
      <c r="D5163" s="58"/>
      <c r="E5163" s="58"/>
      <c r="F5163" s="58"/>
      <c r="G5163" s="58"/>
    </row>
    <row r="5164">
      <c r="D5164" s="58"/>
      <c r="E5164" s="58"/>
      <c r="F5164" s="58"/>
      <c r="G5164" s="58"/>
    </row>
    <row r="5165">
      <c r="D5165" s="58"/>
      <c r="E5165" s="58"/>
      <c r="F5165" s="58"/>
      <c r="G5165" s="58"/>
    </row>
    <row r="5166">
      <c r="D5166" s="58"/>
      <c r="E5166" s="58"/>
      <c r="F5166" s="58"/>
      <c r="G5166" s="58"/>
    </row>
    <row r="5167">
      <c r="D5167" s="58"/>
      <c r="E5167" s="58"/>
      <c r="F5167" s="58"/>
      <c r="G5167" s="58"/>
    </row>
    <row r="5168">
      <c r="D5168" s="58"/>
      <c r="E5168" s="58"/>
      <c r="F5168" s="58"/>
      <c r="G5168" s="58"/>
    </row>
    <row r="5169">
      <c r="D5169" s="58"/>
      <c r="E5169" s="58"/>
      <c r="F5169" s="58"/>
      <c r="G5169" s="58"/>
    </row>
    <row r="5170">
      <c r="D5170" s="58"/>
      <c r="E5170" s="58"/>
      <c r="F5170" s="58"/>
      <c r="G5170" s="58"/>
    </row>
    <row r="5171">
      <c r="D5171" s="58"/>
      <c r="E5171" s="58"/>
      <c r="F5171" s="58"/>
      <c r="G5171" s="58"/>
    </row>
    <row r="5172">
      <c r="D5172" s="58"/>
      <c r="E5172" s="58"/>
      <c r="F5172" s="58"/>
      <c r="G5172" s="58"/>
    </row>
    <row r="5173">
      <c r="D5173" s="58"/>
      <c r="E5173" s="58"/>
      <c r="F5173" s="58"/>
      <c r="G5173" s="58"/>
    </row>
    <row r="5174">
      <c r="D5174" s="58"/>
      <c r="E5174" s="58"/>
      <c r="F5174" s="58"/>
      <c r="G5174" s="58"/>
    </row>
    <row r="5175">
      <c r="D5175" s="58"/>
      <c r="E5175" s="58"/>
      <c r="F5175" s="58"/>
      <c r="G5175" s="58"/>
    </row>
    <row r="5176">
      <c r="D5176" s="58"/>
      <c r="E5176" s="58"/>
      <c r="F5176" s="58"/>
      <c r="G5176" s="58"/>
    </row>
    <row r="5177">
      <c r="D5177" s="58"/>
      <c r="E5177" s="58"/>
      <c r="F5177" s="58"/>
      <c r="G5177" s="58"/>
    </row>
    <row r="5178">
      <c r="D5178" s="58"/>
      <c r="E5178" s="58"/>
      <c r="F5178" s="58"/>
      <c r="G5178" s="58"/>
    </row>
    <row r="5179">
      <c r="D5179" s="58"/>
      <c r="E5179" s="58"/>
      <c r="F5179" s="58"/>
      <c r="G5179" s="58"/>
    </row>
    <row r="5180">
      <c r="D5180" s="58"/>
      <c r="E5180" s="58"/>
      <c r="F5180" s="58"/>
      <c r="G5180" s="58"/>
    </row>
    <row r="5181">
      <c r="D5181" s="58"/>
      <c r="E5181" s="58"/>
      <c r="F5181" s="58"/>
      <c r="G5181" s="58"/>
    </row>
    <row r="5182">
      <c r="D5182" s="58"/>
      <c r="E5182" s="58"/>
      <c r="F5182" s="58"/>
      <c r="G5182" s="58"/>
    </row>
    <row r="5183">
      <c r="D5183" s="58"/>
      <c r="E5183" s="58"/>
      <c r="F5183" s="58"/>
      <c r="G5183" s="58"/>
    </row>
    <row r="5184">
      <c r="D5184" s="58"/>
      <c r="E5184" s="58"/>
      <c r="F5184" s="58"/>
      <c r="G5184" s="58"/>
    </row>
    <row r="5185">
      <c r="D5185" s="58"/>
      <c r="E5185" s="58"/>
      <c r="F5185" s="58"/>
      <c r="G5185" s="58"/>
    </row>
    <row r="5186">
      <c r="D5186" s="58"/>
      <c r="E5186" s="58"/>
      <c r="F5186" s="58"/>
      <c r="G5186" s="58"/>
    </row>
    <row r="5187">
      <c r="D5187" s="58"/>
      <c r="E5187" s="58"/>
      <c r="F5187" s="58"/>
      <c r="G5187" s="58"/>
    </row>
    <row r="5188">
      <c r="D5188" s="58"/>
      <c r="E5188" s="58"/>
      <c r="F5188" s="58"/>
      <c r="G5188" s="58"/>
    </row>
    <row r="5189">
      <c r="D5189" s="58"/>
      <c r="E5189" s="58"/>
      <c r="F5189" s="58"/>
      <c r="G5189" s="58"/>
    </row>
    <row r="5190">
      <c r="D5190" s="58"/>
      <c r="E5190" s="58"/>
      <c r="F5190" s="58"/>
      <c r="G5190" s="58"/>
    </row>
    <row r="5191">
      <c r="D5191" s="58"/>
      <c r="E5191" s="58"/>
      <c r="F5191" s="58"/>
      <c r="G5191" s="58"/>
    </row>
    <row r="5192">
      <c r="D5192" s="58"/>
      <c r="E5192" s="58"/>
      <c r="F5192" s="58"/>
      <c r="G5192" s="58"/>
    </row>
    <row r="5193">
      <c r="D5193" s="58"/>
      <c r="E5193" s="58"/>
      <c r="F5193" s="58"/>
      <c r="G5193" s="58"/>
    </row>
    <row r="5194">
      <c r="D5194" s="58"/>
      <c r="E5194" s="58"/>
      <c r="F5194" s="58"/>
      <c r="G5194" s="58"/>
    </row>
    <row r="5195">
      <c r="D5195" s="58"/>
      <c r="E5195" s="58"/>
      <c r="F5195" s="58"/>
      <c r="G5195" s="58"/>
    </row>
    <row r="5196">
      <c r="D5196" s="58"/>
      <c r="E5196" s="58"/>
      <c r="F5196" s="58"/>
      <c r="G5196" s="58"/>
    </row>
    <row r="5197">
      <c r="D5197" s="58"/>
      <c r="E5197" s="58"/>
      <c r="F5197" s="58"/>
      <c r="G5197" s="58"/>
    </row>
    <row r="5198">
      <c r="D5198" s="58"/>
      <c r="E5198" s="58"/>
      <c r="F5198" s="58"/>
      <c r="G5198" s="58"/>
    </row>
    <row r="5199">
      <c r="D5199" s="58"/>
      <c r="E5199" s="58"/>
      <c r="F5199" s="58"/>
      <c r="G5199" s="58"/>
    </row>
    <row r="5200">
      <c r="D5200" s="58"/>
      <c r="E5200" s="58"/>
      <c r="F5200" s="58"/>
      <c r="G5200" s="58"/>
    </row>
    <row r="5201">
      <c r="D5201" s="58"/>
      <c r="E5201" s="58"/>
      <c r="F5201" s="58"/>
      <c r="G5201" s="58"/>
    </row>
    <row r="5202">
      <c r="D5202" s="58"/>
      <c r="E5202" s="58"/>
      <c r="F5202" s="58"/>
      <c r="G5202" s="58"/>
    </row>
    <row r="5203">
      <c r="D5203" s="58"/>
      <c r="E5203" s="58"/>
      <c r="F5203" s="58"/>
      <c r="G5203" s="58"/>
    </row>
    <row r="5204">
      <c r="D5204" s="58"/>
      <c r="E5204" s="58"/>
      <c r="F5204" s="58"/>
      <c r="G5204" s="58"/>
    </row>
    <row r="5205">
      <c r="D5205" s="58"/>
      <c r="E5205" s="58"/>
      <c r="F5205" s="58"/>
      <c r="G5205" s="58"/>
    </row>
    <row r="5206">
      <c r="D5206" s="58"/>
      <c r="E5206" s="58"/>
      <c r="F5206" s="58"/>
      <c r="G5206" s="58"/>
    </row>
    <row r="5207">
      <c r="D5207" s="58"/>
      <c r="E5207" s="58"/>
      <c r="F5207" s="58"/>
      <c r="G5207" s="58"/>
    </row>
    <row r="5208">
      <c r="D5208" s="58"/>
      <c r="E5208" s="58"/>
      <c r="F5208" s="58"/>
      <c r="G5208" s="58"/>
    </row>
    <row r="5209">
      <c r="D5209" s="58"/>
      <c r="E5209" s="58"/>
      <c r="F5209" s="58"/>
      <c r="G5209" s="58"/>
    </row>
    <row r="5210">
      <c r="D5210" s="58"/>
      <c r="E5210" s="58"/>
      <c r="F5210" s="58"/>
      <c r="G5210" s="58"/>
    </row>
    <row r="5211">
      <c r="D5211" s="58"/>
      <c r="E5211" s="58"/>
      <c r="F5211" s="58"/>
      <c r="G5211" s="58"/>
    </row>
    <row r="5212">
      <c r="D5212" s="58"/>
      <c r="E5212" s="58"/>
      <c r="F5212" s="58"/>
      <c r="G5212" s="58"/>
    </row>
    <row r="5213">
      <c r="D5213" s="58"/>
      <c r="E5213" s="58"/>
      <c r="F5213" s="58"/>
      <c r="G5213" s="58"/>
    </row>
    <row r="5214">
      <c r="D5214" s="58"/>
      <c r="E5214" s="58"/>
      <c r="F5214" s="58"/>
      <c r="G5214" s="58"/>
    </row>
    <row r="5215">
      <c r="D5215" s="58"/>
      <c r="E5215" s="58"/>
      <c r="F5215" s="58"/>
      <c r="G5215" s="58"/>
    </row>
    <row r="5216">
      <c r="D5216" s="58"/>
      <c r="E5216" s="58"/>
      <c r="F5216" s="58"/>
      <c r="G5216" s="58"/>
    </row>
    <row r="5217">
      <c r="D5217" s="58"/>
      <c r="E5217" s="58"/>
      <c r="F5217" s="58"/>
      <c r="G5217" s="58"/>
    </row>
    <row r="5218">
      <c r="D5218" s="58"/>
      <c r="E5218" s="58"/>
      <c r="F5218" s="58"/>
      <c r="G5218" s="58"/>
    </row>
    <row r="5219">
      <c r="D5219" s="58"/>
      <c r="E5219" s="58"/>
      <c r="F5219" s="58"/>
      <c r="G5219" s="58"/>
    </row>
    <row r="5220">
      <c r="D5220" s="58"/>
      <c r="E5220" s="58"/>
      <c r="F5220" s="58"/>
      <c r="G5220" s="58"/>
    </row>
    <row r="5221">
      <c r="D5221" s="58"/>
      <c r="E5221" s="58"/>
      <c r="F5221" s="58"/>
      <c r="G5221" s="58"/>
    </row>
    <row r="5222">
      <c r="D5222" s="58"/>
      <c r="E5222" s="58"/>
      <c r="F5222" s="58"/>
      <c r="G5222" s="58"/>
    </row>
    <row r="5223">
      <c r="D5223" s="58"/>
      <c r="E5223" s="58"/>
      <c r="F5223" s="58"/>
      <c r="G5223" s="58"/>
    </row>
    <row r="5224">
      <c r="D5224" s="58"/>
      <c r="E5224" s="58"/>
      <c r="F5224" s="58"/>
      <c r="G5224" s="58"/>
    </row>
    <row r="5225">
      <c r="D5225" s="58"/>
      <c r="E5225" s="58"/>
      <c r="F5225" s="58"/>
      <c r="G5225" s="58"/>
    </row>
    <row r="5226">
      <c r="D5226" s="58"/>
      <c r="E5226" s="58"/>
      <c r="F5226" s="58"/>
      <c r="G5226" s="58"/>
    </row>
    <row r="5227">
      <c r="D5227" s="58"/>
      <c r="E5227" s="58"/>
      <c r="F5227" s="58"/>
      <c r="G5227" s="58"/>
    </row>
    <row r="5228">
      <c r="D5228" s="58"/>
      <c r="E5228" s="58"/>
      <c r="F5228" s="58"/>
      <c r="G5228" s="58"/>
    </row>
    <row r="5229">
      <c r="D5229" s="58"/>
      <c r="E5229" s="58"/>
      <c r="F5229" s="58"/>
      <c r="G5229" s="58"/>
    </row>
    <row r="5230">
      <c r="D5230" s="58"/>
      <c r="E5230" s="58"/>
      <c r="F5230" s="58"/>
      <c r="G5230" s="58"/>
    </row>
    <row r="5231">
      <c r="D5231" s="58"/>
      <c r="E5231" s="58"/>
      <c r="F5231" s="58"/>
      <c r="G5231" s="58"/>
    </row>
    <row r="5232">
      <c r="D5232" s="58"/>
      <c r="E5232" s="58"/>
      <c r="F5232" s="58"/>
      <c r="G5232" s="58"/>
    </row>
    <row r="5233">
      <c r="D5233" s="58"/>
      <c r="E5233" s="58"/>
      <c r="F5233" s="58"/>
      <c r="G5233" s="58"/>
    </row>
    <row r="5234">
      <c r="D5234" s="58"/>
      <c r="E5234" s="58"/>
      <c r="F5234" s="58"/>
      <c r="G5234" s="58"/>
    </row>
    <row r="5235">
      <c r="D5235" s="58"/>
      <c r="E5235" s="58"/>
      <c r="F5235" s="58"/>
      <c r="G5235" s="58"/>
    </row>
    <row r="5236">
      <c r="D5236" s="58"/>
      <c r="E5236" s="58"/>
      <c r="F5236" s="58"/>
      <c r="G5236" s="58"/>
    </row>
    <row r="5237">
      <c r="D5237" s="58"/>
      <c r="E5237" s="58"/>
      <c r="F5237" s="58"/>
      <c r="G5237" s="58"/>
    </row>
    <row r="5238">
      <c r="D5238" s="58"/>
      <c r="E5238" s="58"/>
      <c r="F5238" s="58"/>
      <c r="G5238" s="58"/>
    </row>
    <row r="5239">
      <c r="D5239" s="58"/>
      <c r="E5239" s="58"/>
      <c r="F5239" s="58"/>
      <c r="G5239" s="58"/>
    </row>
    <row r="5240">
      <c r="D5240" s="58"/>
      <c r="E5240" s="58"/>
      <c r="F5240" s="58"/>
      <c r="G5240" s="58"/>
    </row>
    <row r="5241">
      <c r="D5241" s="58"/>
      <c r="E5241" s="58"/>
      <c r="F5241" s="58"/>
      <c r="G5241" s="58"/>
    </row>
    <row r="5242">
      <c r="D5242" s="58"/>
      <c r="E5242" s="58"/>
      <c r="F5242" s="58"/>
      <c r="G5242" s="58"/>
    </row>
    <row r="5243">
      <c r="D5243" s="58"/>
      <c r="E5243" s="58"/>
      <c r="F5243" s="58"/>
      <c r="G5243" s="58"/>
    </row>
    <row r="5244">
      <c r="D5244" s="58"/>
      <c r="E5244" s="58"/>
      <c r="F5244" s="58"/>
      <c r="G5244" s="58"/>
    </row>
    <row r="5245">
      <c r="D5245" s="58"/>
      <c r="E5245" s="58"/>
      <c r="F5245" s="58"/>
      <c r="G5245" s="58"/>
    </row>
    <row r="5246">
      <c r="D5246" s="58"/>
      <c r="E5246" s="58"/>
      <c r="F5246" s="58"/>
      <c r="G5246" s="58"/>
    </row>
    <row r="5247">
      <c r="D5247" s="58"/>
      <c r="E5247" s="58"/>
      <c r="F5247" s="58"/>
      <c r="G5247" s="58"/>
    </row>
    <row r="5248">
      <c r="D5248" s="58"/>
      <c r="E5248" s="58"/>
      <c r="F5248" s="58"/>
      <c r="G5248" s="58"/>
    </row>
    <row r="5249">
      <c r="D5249" s="58"/>
      <c r="E5249" s="58"/>
      <c r="F5249" s="58"/>
      <c r="G5249" s="58"/>
    </row>
    <row r="5250">
      <c r="D5250" s="58"/>
      <c r="E5250" s="58"/>
      <c r="F5250" s="58"/>
      <c r="G5250" s="58"/>
    </row>
    <row r="5251">
      <c r="D5251" s="58"/>
      <c r="E5251" s="58"/>
      <c r="F5251" s="58"/>
      <c r="G5251" s="58"/>
    </row>
    <row r="5252">
      <c r="D5252" s="58"/>
      <c r="E5252" s="58"/>
      <c r="F5252" s="58"/>
      <c r="G5252" s="58"/>
    </row>
    <row r="5253">
      <c r="D5253" s="58"/>
      <c r="E5253" s="58"/>
      <c r="F5253" s="58"/>
      <c r="G5253" s="58"/>
    </row>
    <row r="5254">
      <c r="D5254" s="58"/>
      <c r="E5254" s="58"/>
      <c r="F5254" s="58"/>
      <c r="G5254" s="58"/>
    </row>
    <row r="5255">
      <c r="D5255" s="58"/>
      <c r="E5255" s="58"/>
      <c r="F5255" s="58"/>
      <c r="G5255" s="58"/>
    </row>
    <row r="5256">
      <c r="D5256" s="58"/>
      <c r="E5256" s="58"/>
      <c r="F5256" s="58"/>
      <c r="G5256" s="58"/>
    </row>
    <row r="5257">
      <c r="D5257" s="58"/>
      <c r="E5257" s="58"/>
      <c r="F5257" s="58"/>
      <c r="G5257" s="58"/>
    </row>
    <row r="5258">
      <c r="D5258" s="58"/>
      <c r="E5258" s="58"/>
      <c r="F5258" s="58"/>
      <c r="G5258" s="58"/>
    </row>
    <row r="5259">
      <c r="D5259" s="58"/>
      <c r="E5259" s="58"/>
      <c r="F5259" s="58"/>
      <c r="G5259" s="58"/>
    </row>
    <row r="5260">
      <c r="D5260" s="58"/>
      <c r="E5260" s="58"/>
      <c r="F5260" s="58"/>
      <c r="G5260" s="58"/>
    </row>
    <row r="5261">
      <c r="D5261" s="58"/>
      <c r="E5261" s="58"/>
      <c r="F5261" s="58"/>
      <c r="G5261" s="58"/>
    </row>
    <row r="5262">
      <c r="D5262" s="58"/>
      <c r="E5262" s="58"/>
      <c r="F5262" s="58"/>
      <c r="G5262" s="58"/>
    </row>
    <row r="5263">
      <c r="D5263" s="58"/>
      <c r="E5263" s="58"/>
      <c r="F5263" s="58"/>
      <c r="G5263" s="58"/>
    </row>
    <row r="5264">
      <c r="D5264" s="58"/>
      <c r="E5264" s="58"/>
      <c r="F5264" s="58"/>
      <c r="G5264" s="58"/>
    </row>
    <row r="5265">
      <c r="D5265" s="58"/>
      <c r="E5265" s="58"/>
      <c r="F5265" s="58"/>
      <c r="G5265" s="58"/>
    </row>
    <row r="5266">
      <c r="D5266" s="58"/>
      <c r="E5266" s="58"/>
      <c r="F5266" s="58"/>
      <c r="G5266" s="58"/>
    </row>
    <row r="5267">
      <c r="D5267" s="58"/>
      <c r="E5267" s="58"/>
      <c r="F5267" s="58"/>
      <c r="G5267" s="58"/>
    </row>
    <row r="5268">
      <c r="D5268" s="58"/>
      <c r="E5268" s="58"/>
      <c r="F5268" s="58"/>
      <c r="G5268" s="58"/>
    </row>
    <row r="5269">
      <c r="D5269" s="58"/>
      <c r="E5269" s="58"/>
      <c r="F5269" s="58"/>
      <c r="G5269" s="58"/>
    </row>
    <row r="5270">
      <c r="D5270" s="58"/>
      <c r="E5270" s="58"/>
      <c r="F5270" s="58"/>
      <c r="G5270" s="58"/>
    </row>
    <row r="5271">
      <c r="D5271" s="58"/>
      <c r="E5271" s="58"/>
      <c r="F5271" s="58"/>
      <c r="G5271" s="58"/>
    </row>
    <row r="5272">
      <c r="D5272" s="58"/>
      <c r="E5272" s="58"/>
      <c r="F5272" s="58"/>
      <c r="G5272" s="58"/>
    </row>
    <row r="5273">
      <c r="D5273" s="58"/>
      <c r="E5273" s="58"/>
      <c r="F5273" s="58"/>
      <c r="G5273" s="58"/>
    </row>
    <row r="5274">
      <c r="D5274" s="58"/>
      <c r="E5274" s="58"/>
      <c r="F5274" s="58"/>
      <c r="G5274" s="58"/>
    </row>
    <row r="5275">
      <c r="D5275" s="58"/>
      <c r="E5275" s="58"/>
      <c r="F5275" s="58"/>
      <c r="G5275" s="58"/>
    </row>
    <row r="5276">
      <c r="D5276" s="58"/>
      <c r="E5276" s="58"/>
      <c r="F5276" s="58"/>
      <c r="G5276" s="58"/>
    </row>
    <row r="5277">
      <c r="D5277" s="58"/>
      <c r="E5277" s="58"/>
      <c r="F5277" s="58"/>
      <c r="G5277" s="58"/>
    </row>
    <row r="5278">
      <c r="D5278" s="58"/>
      <c r="E5278" s="58"/>
      <c r="F5278" s="58"/>
      <c r="G5278" s="58"/>
    </row>
    <row r="5279">
      <c r="D5279" s="58"/>
      <c r="E5279" s="58"/>
      <c r="F5279" s="58"/>
      <c r="G5279" s="58"/>
    </row>
    <row r="5280">
      <c r="D5280" s="58"/>
      <c r="E5280" s="58"/>
      <c r="F5280" s="58"/>
      <c r="G5280" s="58"/>
    </row>
    <row r="5281">
      <c r="D5281" s="58"/>
      <c r="E5281" s="58"/>
      <c r="F5281" s="58"/>
      <c r="G5281" s="58"/>
    </row>
    <row r="5282">
      <c r="D5282" s="58"/>
      <c r="E5282" s="58"/>
      <c r="F5282" s="58"/>
      <c r="G5282" s="58"/>
    </row>
    <row r="5283">
      <c r="D5283" s="58"/>
      <c r="E5283" s="58"/>
      <c r="F5283" s="58"/>
      <c r="G5283" s="58"/>
    </row>
    <row r="5284">
      <c r="D5284" s="58"/>
      <c r="E5284" s="58"/>
      <c r="F5284" s="58"/>
      <c r="G5284" s="58"/>
    </row>
    <row r="5285">
      <c r="D5285" s="58"/>
      <c r="E5285" s="58"/>
      <c r="F5285" s="58"/>
      <c r="G5285" s="58"/>
    </row>
    <row r="5286">
      <c r="D5286" s="58"/>
      <c r="E5286" s="58"/>
      <c r="F5286" s="58"/>
      <c r="G5286" s="58"/>
    </row>
    <row r="5287">
      <c r="D5287" s="58"/>
      <c r="E5287" s="58"/>
      <c r="F5287" s="58"/>
      <c r="G5287" s="58"/>
    </row>
    <row r="5288">
      <c r="D5288" s="58"/>
      <c r="E5288" s="58"/>
      <c r="F5288" s="58"/>
      <c r="G5288" s="58"/>
    </row>
    <row r="5289">
      <c r="D5289" s="58"/>
      <c r="E5289" s="58"/>
      <c r="F5289" s="58"/>
      <c r="G5289" s="58"/>
    </row>
    <row r="5290">
      <c r="D5290" s="58"/>
      <c r="E5290" s="58"/>
      <c r="F5290" s="58"/>
      <c r="G5290" s="58"/>
    </row>
    <row r="5291">
      <c r="D5291" s="58"/>
      <c r="E5291" s="58"/>
      <c r="F5291" s="58"/>
      <c r="G5291" s="58"/>
    </row>
    <row r="5292">
      <c r="D5292" s="58"/>
      <c r="E5292" s="58"/>
      <c r="F5292" s="58"/>
      <c r="G5292" s="58"/>
    </row>
    <row r="5293">
      <c r="D5293" s="58"/>
      <c r="E5293" s="58"/>
      <c r="F5293" s="58"/>
      <c r="G5293" s="58"/>
    </row>
    <row r="5294">
      <c r="D5294" s="58"/>
      <c r="E5294" s="58"/>
      <c r="F5294" s="58"/>
      <c r="G5294" s="58"/>
    </row>
    <row r="5295">
      <c r="D5295" s="58"/>
      <c r="E5295" s="58"/>
      <c r="F5295" s="58"/>
      <c r="G5295" s="58"/>
    </row>
    <row r="5296">
      <c r="D5296" s="58"/>
      <c r="E5296" s="58"/>
      <c r="F5296" s="58"/>
      <c r="G5296" s="58"/>
    </row>
    <row r="5297">
      <c r="D5297" s="58"/>
      <c r="E5297" s="58"/>
      <c r="F5297" s="58"/>
      <c r="G5297" s="58"/>
    </row>
    <row r="5298">
      <c r="D5298" s="58"/>
      <c r="E5298" s="58"/>
      <c r="F5298" s="58"/>
      <c r="G5298" s="58"/>
    </row>
    <row r="5299">
      <c r="D5299" s="58"/>
      <c r="E5299" s="58"/>
      <c r="F5299" s="58"/>
      <c r="G5299" s="58"/>
    </row>
    <row r="5300">
      <c r="D5300" s="58"/>
      <c r="E5300" s="58"/>
      <c r="F5300" s="58"/>
      <c r="G5300" s="58"/>
    </row>
    <row r="5301">
      <c r="D5301" s="58"/>
      <c r="E5301" s="58"/>
      <c r="F5301" s="58"/>
      <c r="G5301" s="58"/>
    </row>
    <row r="5302">
      <c r="D5302" s="58"/>
      <c r="E5302" s="58"/>
      <c r="F5302" s="58"/>
      <c r="G5302" s="58"/>
    </row>
    <row r="5303">
      <c r="D5303" s="58"/>
      <c r="E5303" s="58"/>
      <c r="F5303" s="58"/>
      <c r="G5303" s="58"/>
    </row>
    <row r="5304">
      <c r="D5304" s="58"/>
      <c r="E5304" s="58"/>
      <c r="F5304" s="58"/>
      <c r="G5304" s="58"/>
    </row>
    <row r="5305">
      <c r="D5305" s="58"/>
      <c r="E5305" s="58"/>
      <c r="F5305" s="58"/>
      <c r="G5305" s="58"/>
    </row>
    <row r="5306">
      <c r="D5306" s="58"/>
      <c r="E5306" s="58"/>
      <c r="F5306" s="58"/>
      <c r="G5306" s="58"/>
    </row>
    <row r="5307">
      <c r="D5307" s="58"/>
      <c r="E5307" s="58"/>
      <c r="F5307" s="58"/>
      <c r="G5307" s="58"/>
    </row>
    <row r="5308">
      <c r="D5308" s="58"/>
      <c r="E5308" s="58"/>
      <c r="F5308" s="58"/>
      <c r="G5308" s="58"/>
    </row>
    <row r="5309">
      <c r="D5309" s="58"/>
      <c r="E5309" s="58"/>
      <c r="F5309" s="58"/>
      <c r="G5309" s="58"/>
    </row>
    <row r="5310">
      <c r="D5310" s="58"/>
      <c r="E5310" s="58"/>
      <c r="F5310" s="58"/>
      <c r="G5310" s="58"/>
    </row>
    <row r="5311">
      <c r="D5311" s="58"/>
      <c r="E5311" s="58"/>
      <c r="F5311" s="58"/>
      <c r="G5311" s="58"/>
    </row>
    <row r="5312">
      <c r="D5312" s="58"/>
      <c r="E5312" s="58"/>
      <c r="F5312" s="58"/>
      <c r="G5312" s="58"/>
    </row>
    <row r="5313">
      <c r="D5313" s="58"/>
      <c r="E5313" s="58"/>
      <c r="F5313" s="58"/>
      <c r="G5313" s="58"/>
    </row>
    <row r="5314">
      <c r="D5314" s="58"/>
      <c r="E5314" s="58"/>
      <c r="F5314" s="58"/>
      <c r="G5314" s="58"/>
    </row>
    <row r="5315">
      <c r="D5315" s="58"/>
      <c r="E5315" s="58"/>
      <c r="F5315" s="58"/>
      <c r="G5315" s="58"/>
    </row>
    <row r="5316">
      <c r="D5316" s="58"/>
      <c r="E5316" s="58"/>
      <c r="F5316" s="58"/>
      <c r="G5316" s="58"/>
    </row>
    <row r="5317">
      <c r="D5317" s="58"/>
      <c r="E5317" s="58"/>
      <c r="F5317" s="58"/>
      <c r="G5317" s="58"/>
    </row>
    <row r="5318">
      <c r="D5318" s="58"/>
      <c r="E5318" s="58"/>
      <c r="F5318" s="58"/>
      <c r="G5318" s="58"/>
    </row>
    <row r="5319">
      <c r="D5319" s="58"/>
      <c r="E5319" s="58"/>
      <c r="F5319" s="58"/>
      <c r="G5319" s="58"/>
    </row>
    <row r="5320">
      <c r="D5320" s="58"/>
      <c r="E5320" s="58"/>
      <c r="F5320" s="58"/>
      <c r="G5320" s="58"/>
    </row>
    <row r="5321">
      <c r="D5321" s="58"/>
      <c r="E5321" s="58"/>
      <c r="F5321" s="58"/>
      <c r="G5321" s="58"/>
    </row>
    <row r="5322">
      <c r="D5322" s="58"/>
      <c r="E5322" s="58"/>
      <c r="F5322" s="58"/>
      <c r="G5322" s="58"/>
    </row>
    <row r="5323">
      <c r="D5323" s="58"/>
      <c r="E5323" s="58"/>
      <c r="F5323" s="58"/>
      <c r="G5323" s="58"/>
    </row>
    <row r="5324">
      <c r="D5324" s="58"/>
      <c r="E5324" s="58"/>
      <c r="F5324" s="58"/>
      <c r="G5324" s="58"/>
    </row>
    <row r="5325">
      <c r="D5325" s="58"/>
      <c r="E5325" s="58"/>
      <c r="F5325" s="58"/>
      <c r="G5325" s="58"/>
    </row>
    <row r="5326">
      <c r="D5326" s="58"/>
      <c r="E5326" s="58"/>
      <c r="F5326" s="58"/>
      <c r="G5326" s="58"/>
    </row>
    <row r="5327">
      <c r="D5327" s="58"/>
      <c r="E5327" s="58"/>
      <c r="F5327" s="58"/>
      <c r="G5327" s="58"/>
    </row>
    <row r="5328">
      <c r="D5328" s="58"/>
      <c r="E5328" s="58"/>
      <c r="F5328" s="58"/>
      <c r="G5328" s="58"/>
    </row>
    <row r="5329">
      <c r="D5329" s="58"/>
      <c r="E5329" s="58"/>
      <c r="F5329" s="58"/>
      <c r="G5329" s="58"/>
    </row>
    <row r="5330">
      <c r="D5330" s="58"/>
      <c r="E5330" s="58"/>
      <c r="F5330" s="58"/>
      <c r="G5330" s="58"/>
    </row>
    <row r="5331">
      <c r="D5331" s="58"/>
      <c r="E5331" s="58"/>
      <c r="F5331" s="58"/>
      <c r="G5331" s="58"/>
    </row>
    <row r="5332">
      <c r="D5332" s="58"/>
      <c r="E5332" s="58"/>
      <c r="F5332" s="58"/>
      <c r="G5332" s="58"/>
    </row>
    <row r="5333">
      <c r="D5333" s="58"/>
      <c r="E5333" s="58"/>
      <c r="F5333" s="58"/>
      <c r="G5333" s="58"/>
    </row>
    <row r="5334">
      <c r="D5334" s="58"/>
      <c r="E5334" s="58"/>
      <c r="F5334" s="58"/>
      <c r="G5334" s="58"/>
    </row>
    <row r="5335">
      <c r="D5335" s="58"/>
      <c r="E5335" s="58"/>
      <c r="F5335" s="58"/>
      <c r="G5335" s="58"/>
    </row>
    <row r="5336">
      <c r="D5336" s="58"/>
      <c r="E5336" s="58"/>
      <c r="F5336" s="58"/>
      <c r="G5336" s="58"/>
    </row>
    <row r="5337">
      <c r="D5337" s="58"/>
      <c r="E5337" s="58"/>
      <c r="F5337" s="58"/>
      <c r="G5337" s="58"/>
    </row>
    <row r="5338">
      <c r="D5338" s="58"/>
      <c r="E5338" s="58"/>
      <c r="F5338" s="58"/>
      <c r="G5338" s="58"/>
    </row>
    <row r="5339">
      <c r="D5339" s="58"/>
      <c r="E5339" s="58"/>
      <c r="F5339" s="58"/>
      <c r="G5339" s="58"/>
    </row>
    <row r="5340">
      <c r="D5340" s="58"/>
      <c r="E5340" s="58"/>
      <c r="F5340" s="58"/>
      <c r="G5340" s="58"/>
    </row>
    <row r="5341">
      <c r="D5341" s="58"/>
      <c r="E5341" s="58"/>
      <c r="F5341" s="58"/>
      <c r="G5341" s="58"/>
    </row>
    <row r="5342">
      <c r="D5342" s="58"/>
      <c r="E5342" s="58"/>
      <c r="F5342" s="58"/>
      <c r="G5342" s="58"/>
    </row>
    <row r="5343">
      <c r="D5343" s="58"/>
      <c r="E5343" s="58"/>
      <c r="F5343" s="58"/>
      <c r="G5343" s="58"/>
    </row>
    <row r="5344">
      <c r="D5344" s="58"/>
      <c r="E5344" s="58"/>
      <c r="F5344" s="58"/>
      <c r="G5344" s="58"/>
    </row>
    <row r="5345">
      <c r="D5345" s="58"/>
      <c r="E5345" s="58"/>
      <c r="F5345" s="58"/>
      <c r="G5345" s="58"/>
    </row>
    <row r="5346">
      <c r="D5346" s="58"/>
      <c r="E5346" s="58"/>
      <c r="F5346" s="58"/>
      <c r="G5346" s="58"/>
    </row>
    <row r="5347">
      <c r="D5347" s="58"/>
      <c r="E5347" s="58"/>
      <c r="F5347" s="58"/>
      <c r="G5347" s="58"/>
    </row>
    <row r="5348">
      <c r="D5348" s="58"/>
      <c r="E5348" s="58"/>
      <c r="F5348" s="58"/>
      <c r="G5348" s="58"/>
    </row>
    <row r="5349">
      <c r="D5349" s="58"/>
      <c r="E5349" s="58"/>
      <c r="F5349" s="58"/>
      <c r="G5349" s="58"/>
    </row>
    <row r="5350">
      <c r="D5350" s="58"/>
      <c r="E5350" s="58"/>
      <c r="F5350" s="58"/>
      <c r="G5350" s="58"/>
    </row>
    <row r="5351">
      <c r="D5351" s="58"/>
      <c r="E5351" s="58"/>
      <c r="F5351" s="58"/>
      <c r="G5351" s="58"/>
    </row>
    <row r="5352">
      <c r="D5352" s="58"/>
      <c r="E5352" s="58"/>
      <c r="F5352" s="58"/>
      <c r="G5352" s="58"/>
    </row>
    <row r="5353">
      <c r="D5353" s="58"/>
      <c r="E5353" s="58"/>
      <c r="F5353" s="58"/>
      <c r="G5353" s="58"/>
    </row>
    <row r="5354">
      <c r="D5354" s="58"/>
      <c r="E5354" s="58"/>
      <c r="F5354" s="58"/>
      <c r="G5354" s="58"/>
    </row>
    <row r="5355">
      <c r="D5355" s="58"/>
      <c r="E5355" s="58"/>
      <c r="F5355" s="58"/>
      <c r="G5355" s="58"/>
    </row>
    <row r="5356">
      <c r="D5356" s="58"/>
      <c r="E5356" s="58"/>
      <c r="F5356" s="58"/>
      <c r="G5356" s="58"/>
    </row>
    <row r="5357">
      <c r="D5357" s="58"/>
      <c r="E5357" s="58"/>
      <c r="F5357" s="58"/>
      <c r="G5357" s="58"/>
    </row>
    <row r="5358">
      <c r="D5358" s="58"/>
      <c r="E5358" s="58"/>
      <c r="F5358" s="58"/>
      <c r="G5358" s="58"/>
    </row>
    <row r="5359">
      <c r="D5359" s="58"/>
      <c r="E5359" s="58"/>
      <c r="F5359" s="58"/>
      <c r="G5359" s="58"/>
    </row>
    <row r="5360">
      <c r="D5360" s="58"/>
      <c r="E5360" s="58"/>
      <c r="F5360" s="58"/>
      <c r="G5360" s="58"/>
    </row>
    <row r="5361">
      <c r="D5361" s="58"/>
      <c r="E5361" s="58"/>
      <c r="F5361" s="58"/>
      <c r="G5361" s="58"/>
    </row>
    <row r="5362">
      <c r="D5362" s="58"/>
      <c r="E5362" s="58"/>
      <c r="F5362" s="58"/>
      <c r="G5362" s="58"/>
    </row>
    <row r="5363">
      <c r="D5363" s="58"/>
      <c r="E5363" s="58"/>
      <c r="F5363" s="58"/>
      <c r="G5363" s="58"/>
    </row>
    <row r="5364">
      <c r="D5364" s="58"/>
      <c r="E5364" s="58"/>
      <c r="F5364" s="58"/>
      <c r="G5364" s="58"/>
    </row>
    <row r="5365">
      <c r="D5365" s="58"/>
      <c r="E5365" s="58"/>
      <c r="F5365" s="58"/>
      <c r="G5365" s="58"/>
    </row>
    <row r="5366">
      <c r="D5366" s="58"/>
      <c r="E5366" s="58"/>
      <c r="F5366" s="58"/>
      <c r="G5366" s="58"/>
    </row>
    <row r="5367">
      <c r="D5367" s="58"/>
      <c r="E5367" s="58"/>
      <c r="F5367" s="58"/>
      <c r="G5367" s="58"/>
    </row>
    <row r="5368">
      <c r="D5368" s="58"/>
      <c r="E5368" s="58"/>
      <c r="F5368" s="58"/>
      <c r="G5368" s="58"/>
    </row>
    <row r="5369">
      <c r="D5369" s="58"/>
      <c r="E5369" s="58"/>
      <c r="F5369" s="58"/>
      <c r="G5369" s="58"/>
    </row>
    <row r="5370">
      <c r="D5370" s="58"/>
      <c r="E5370" s="58"/>
      <c r="F5370" s="58"/>
      <c r="G5370" s="58"/>
    </row>
    <row r="5371">
      <c r="D5371" s="58"/>
      <c r="E5371" s="58"/>
      <c r="F5371" s="58"/>
      <c r="G5371" s="58"/>
    </row>
    <row r="5372">
      <c r="D5372" s="58"/>
      <c r="E5372" s="58"/>
      <c r="F5372" s="58"/>
      <c r="G5372" s="58"/>
    </row>
    <row r="5373">
      <c r="D5373" s="58"/>
      <c r="E5373" s="58"/>
      <c r="F5373" s="58"/>
      <c r="G5373" s="58"/>
    </row>
    <row r="5374">
      <c r="D5374" s="58"/>
      <c r="E5374" s="58"/>
      <c r="F5374" s="58"/>
      <c r="G5374" s="58"/>
    </row>
    <row r="5375">
      <c r="D5375" s="58"/>
      <c r="E5375" s="58"/>
      <c r="F5375" s="58"/>
      <c r="G5375" s="58"/>
    </row>
    <row r="5376">
      <c r="D5376" s="58"/>
      <c r="E5376" s="58"/>
      <c r="F5376" s="58"/>
      <c r="G5376" s="58"/>
    </row>
    <row r="5377">
      <c r="D5377" s="58"/>
      <c r="E5377" s="58"/>
      <c r="F5377" s="58"/>
      <c r="G5377" s="58"/>
    </row>
    <row r="5378">
      <c r="D5378" s="58"/>
      <c r="E5378" s="58"/>
      <c r="F5378" s="58"/>
      <c r="G5378" s="58"/>
    </row>
    <row r="5379">
      <c r="D5379" s="58"/>
      <c r="E5379" s="58"/>
      <c r="F5379" s="58"/>
      <c r="G5379" s="58"/>
    </row>
    <row r="5380">
      <c r="D5380" s="58"/>
      <c r="E5380" s="58"/>
      <c r="F5380" s="58"/>
      <c r="G5380" s="58"/>
    </row>
    <row r="5381">
      <c r="D5381" s="58"/>
      <c r="E5381" s="58"/>
      <c r="F5381" s="58"/>
      <c r="G5381" s="58"/>
    </row>
    <row r="5382">
      <c r="D5382" s="58"/>
      <c r="E5382" s="58"/>
      <c r="F5382" s="58"/>
      <c r="G5382" s="58"/>
    </row>
    <row r="5383">
      <c r="D5383" s="58"/>
      <c r="E5383" s="58"/>
      <c r="F5383" s="58"/>
      <c r="G5383" s="58"/>
    </row>
    <row r="5384">
      <c r="D5384" s="58"/>
      <c r="E5384" s="58"/>
      <c r="F5384" s="58"/>
      <c r="G5384" s="58"/>
    </row>
    <row r="5385">
      <c r="D5385" s="58"/>
      <c r="E5385" s="58"/>
      <c r="F5385" s="58"/>
      <c r="G5385" s="58"/>
    </row>
    <row r="5386">
      <c r="D5386" s="58"/>
      <c r="E5386" s="58"/>
      <c r="F5386" s="58"/>
      <c r="G5386" s="58"/>
    </row>
    <row r="5387">
      <c r="D5387" s="58"/>
      <c r="E5387" s="58"/>
      <c r="F5387" s="58"/>
      <c r="G5387" s="58"/>
    </row>
    <row r="5388">
      <c r="D5388" s="58"/>
      <c r="E5388" s="58"/>
      <c r="F5388" s="58"/>
      <c r="G5388" s="58"/>
    </row>
    <row r="5389">
      <c r="D5389" s="58"/>
      <c r="E5389" s="58"/>
      <c r="F5389" s="58"/>
      <c r="G5389" s="58"/>
    </row>
    <row r="5390">
      <c r="D5390" s="58"/>
      <c r="E5390" s="58"/>
      <c r="F5390" s="58"/>
      <c r="G5390" s="58"/>
    </row>
    <row r="5391">
      <c r="D5391" s="58"/>
      <c r="E5391" s="58"/>
      <c r="F5391" s="58"/>
      <c r="G5391" s="58"/>
    </row>
    <row r="5392">
      <c r="D5392" s="58"/>
      <c r="E5392" s="58"/>
      <c r="F5392" s="58"/>
      <c r="G5392" s="58"/>
    </row>
    <row r="5393">
      <c r="D5393" s="58"/>
      <c r="E5393" s="58"/>
      <c r="F5393" s="58"/>
      <c r="G5393" s="58"/>
    </row>
    <row r="5394">
      <c r="D5394" s="58"/>
      <c r="E5394" s="58"/>
      <c r="F5394" s="58"/>
      <c r="G5394" s="58"/>
    </row>
    <row r="5395">
      <c r="D5395" s="58"/>
      <c r="E5395" s="58"/>
      <c r="F5395" s="58"/>
      <c r="G5395" s="58"/>
    </row>
    <row r="5396">
      <c r="D5396" s="58"/>
      <c r="E5396" s="58"/>
      <c r="F5396" s="58"/>
      <c r="G5396" s="58"/>
    </row>
    <row r="5397">
      <c r="D5397" s="58"/>
      <c r="E5397" s="58"/>
      <c r="F5397" s="58"/>
      <c r="G5397" s="58"/>
    </row>
    <row r="5398">
      <c r="D5398" s="58"/>
      <c r="E5398" s="58"/>
      <c r="F5398" s="58"/>
      <c r="G5398" s="58"/>
    </row>
    <row r="5399">
      <c r="D5399" s="58"/>
      <c r="E5399" s="58"/>
      <c r="F5399" s="58"/>
      <c r="G5399" s="58"/>
    </row>
    <row r="5400">
      <c r="D5400" s="58"/>
      <c r="E5400" s="58"/>
      <c r="F5400" s="58"/>
      <c r="G5400" s="58"/>
    </row>
    <row r="5401">
      <c r="D5401" s="58"/>
      <c r="E5401" s="58"/>
      <c r="F5401" s="58"/>
      <c r="G5401" s="58"/>
    </row>
    <row r="5402">
      <c r="D5402" s="58"/>
      <c r="E5402" s="58"/>
      <c r="F5402" s="58"/>
      <c r="G5402" s="58"/>
    </row>
    <row r="5403">
      <c r="D5403" s="58"/>
      <c r="E5403" s="58"/>
      <c r="F5403" s="58"/>
      <c r="G5403" s="58"/>
    </row>
    <row r="5404">
      <c r="D5404" s="58"/>
      <c r="E5404" s="58"/>
      <c r="F5404" s="58"/>
      <c r="G5404" s="58"/>
    </row>
    <row r="5405">
      <c r="D5405" s="58"/>
      <c r="E5405" s="58"/>
      <c r="F5405" s="58"/>
      <c r="G5405" s="58"/>
    </row>
    <row r="5406">
      <c r="D5406" s="58"/>
      <c r="E5406" s="58"/>
      <c r="F5406" s="58"/>
      <c r="G5406" s="58"/>
    </row>
    <row r="5407">
      <c r="D5407" s="58"/>
      <c r="E5407" s="58"/>
      <c r="F5407" s="58"/>
      <c r="G5407" s="58"/>
    </row>
    <row r="5408">
      <c r="D5408" s="58"/>
      <c r="E5408" s="58"/>
      <c r="F5408" s="58"/>
      <c r="G5408" s="58"/>
    </row>
    <row r="5409">
      <c r="D5409" s="58"/>
      <c r="E5409" s="58"/>
      <c r="F5409" s="58"/>
      <c r="G5409" s="58"/>
    </row>
    <row r="5410">
      <c r="D5410" s="58"/>
      <c r="E5410" s="58"/>
      <c r="F5410" s="58"/>
      <c r="G5410" s="58"/>
    </row>
    <row r="5411">
      <c r="D5411" s="58"/>
      <c r="E5411" s="58"/>
      <c r="F5411" s="58"/>
      <c r="G5411" s="58"/>
    </row>
    <row r="5412">
      <c r="D5412" s="58"/>
      <c r="E5412" s="58"/>
      <c r="F5412" s="58"/>
      <c r="G5412" s="58"/>
    </row>
    <row r="5413">
      <c r="D5413" s="58"/>
      <c r="E5413" s="58"/>
      <c r="F5413" s="58"/>
      <c r="G5413" s="58"/>
    </row>
    <row r="5414">
      <c r="D5414" s="58"/>
      <c r="E5414" s="58"/>
      <c r="F5414" s="58"/>
      <c r="G5414" s="58"/>
    </row>
    <row r="5415">
      <c r="D5415" s="58"/>
      <c r="E5415" s="58"/>
      <c r="F5415" s="58"/>
      <c r="G5415" s="58"/>
    </row>
    <row r="5416">
      <c r="D5416" s="58"/>
      <c r="E5416" s="58"/>
      <c r="F5416" s="58"/>
      <c r="G5416" s="58"/>
    </row>
    <row r="5417">
      <c r="D5417" s="58"/>
      <c r="E5417" s="58"/>
      <c r="F5417" s="58"/>
      <c r="G5417" s="58"/>
    </row>
    <row r="5418">
      <c r="D5418" s="58"/>
      <c r="E5418" s="58"/>
      <c r="F5418" s="58"/>
      <c r="G5418" s="58"/>
    </row>
    <row r="5419">
      <c r="D5419" s="58"/>
      <c r="E5419" s="58"/>
      <c r="F5419" s="58"/>
      <c r="G5419" s="58"/>
    </row>
    <row r="5420">
      <c r="D5420" s="58"/>
      <c r="E5420" s="58"/>
      <c r="F5420" s="58"/>
      <c r="G5420" s="58"/>
    </row>
    <row r="5421">
      <c r="D5421" s="58"/>
      <c r="E5421" s="58"/>
      <c r="F5421" s="58"/>
      <c r="G5421" s="58"/>
    </row>
    <row r="5422">
      <c r="D5422" s="58"/>
      <c r="E5422" s="58"/>
      <c r="F5422" s="58"/>
      <c r="G5422" s="58"/>
    </row>
    <row r="5423">
      <c r="D5423" s="58"/>
      <c r="E5423" s="58"/>
      <c r="F5423" s="58"/>
      <c r="G5423" s="58"/>
    </row>
    <row r="5424">
      <c r="D5424" s="58"/>
      <c r="E5424" s="58"/>
      <c r="F5424" s="58"/>
      <c r="G5424" s="58"/>
    </row>
    <row r="5425">
      <c r="D5425" s="58"/>
      <c r="E5425" s="58"/>
      <c r="F5425" s="58"/>
      <c r="G5425" s="58"/>
    </row>
    <row r="5426">
      <c r="D5426" s="58"/>
      <c r="E5426" s="58"/>
      <c r="F5426" s="58"/>
      <c r="G5426" s="58"/>
    </row>
    <row r="5427">
      <c r="D5427" s="58"/>
      <c r="E5427" s="58"/>
      <c r="F5427" s="58"/>
      <c r="G5427" s="58"/>
    </row>
    <row r="5428">
      <c r="D5428" s="58"/>
      <c r="E5428" s="58"/>
      <c r="F5428" s="58"/>
      <c r="G5428" s="58"/>
    </row>
    <row r="5429">
      <c r="D5429" s="58"/>
      <c r="E5429" s="58"/>
      <c r="F5429" s="58"/>
      <c r="G5429" s="58"/>
    </row>
    <row r="5430">
      <c r="D5430" s="58"/>
      <c r="E5430" s="58"/>
      <c r="F5430" s="58"/>
      <c r="G5430" s="58"/>
    </row>
    <row r="5431">
      <c r="D5431" s="58"/>
      <c r="E5431" s="58"/>
      <c r="F5431" s="58"/>
      <c r="G5431" s="58"/>
    </row>
    <row r="5432">
      <c r="D5432" s="58"/>
      <c r="E5432" s="58"/>
      <c r="F5432" s="58"/>
      <c r="G5432" s="58"/>
    </row>
    <row r="5433">
      <c r="D5433" s="58"/>
      <c r="E5433" s="58"/>
      <c r="F5433" s="58"/>
      <c r="G5433" s="58"/>
    </row>
    <row r="5434">
      <c r="D5434" s="58"/>
      <c r="E5434" s="58"/>
      <c r="F5434" s="58"/>
      <c r="G5434" s="58"/>
    </row>
    <row r="5435">
      <c r="D5435" s="58"/>
      <c r="E5435" s="58"/>
      <c r="F5435" s="58"/>
      <c r="G5435" s="58"/>
    </row>
    <row r="5436">
      <c r="D5436" s="58"/>
      <c r="E5436" s="58"/>
      <c r="F5436" s="58"/>
      <c r="G5436" s="58"/>
    </row>
    <row r="5437">
      <c r="D5437" s="58"/>
      <c r="E5437" s="58"/>
      <c r="F5437" s="58"/>
      <c r="G5437" s="58"/>
    </row>
    <row r="5438">
      <c r="D5438" s="58"/>
      <c r="E5438" s="58"/>
      <c r="F5438" s="58"/>
      <c r="G5438" s="58"/>
    </row>
    <row r="5439">
      <c r="D5439" s="58"/>
      <c r="E5439" s="58"/>
      <c r="F5439" s="58"/>
      <c r="G5439" s="58"/>
    </row>
    <row r="5440">
      <c r="D5440" s="58"/>
      <c r="E5440" s="58"/>
      <c r="F5440" s="58"/>
      <c r="G5440" s="58"/>
    </row>
    <row r="5441">
      <c r="D5441" s="58"/>
      <c r="E5441" s="58"/>
      <c r="F5441" s="58"/>
      <c r="G5441" s="58"/>
    </row>
    <row r="5442">
      <c r="D5442" s="58"/>
      <c r="E5442" s="58"/>
      <c r="F5442" s="58"/>
      <c r="G5442" s="58"/>
    </row>
    <row r="5443">
      <c r="D5443" s="58"/>
      <c r="E5443" s="58"/>
      <c r="F5443" s="58"/>
      <c r="G5443" s="58"/>
    </row>
    <row r="5444">
      <c r="D5444" s="58"/>
      <c r="E5444" s="58"/>
      <c r="F5444" s="58"/>
      <c r="G5444" s="58"/>
    </row>
    <row r="5445">
      <c r="D5445" s="58"/>
      <c r="E5445" s="58"/>
      <c r="F5445" s="58"/>
      <c r="G5445" s="58"/>
    </row>
    <row r="5446">
      <c r="D5446" s="58"/>
      <c r="E5446" s="58"/>
      <c r="F5446" s="58"/>
      <c r="G5446" s="58"/>
    </row>
    <row r="5447">
      <c r="D5447" s="58"/>
      <c r="E5447" s="58"/>
      <c r="F5447" s="58"/>
      <c r="G5447" s="58"/>
    </row>
    <row r="5448">
      <c r="D5448" s="58"/>
      <c r="E5448" s="58"/>
      <c r="F5448" s="58"/>
      <c r="G5448" s="58"/>
    </row>
    <row r="5449">
      <c r="D5449" s="58"/>
      <c r="E5449" s="58"/>
      <c r="F5449" s="58"/>
      <c r="G5449" s="58"/>
    </row>
    <row r="5450">
      <c r="D5450" s="58"/>
      <c r="E5450" s="58"/>
      <c r="F5450" s="58"/>
      <c r="G5450" s="58"/>
    </row>
    <row r="5451">
      <c r="D5451" s="58"/>
      <c r="E5451" s="58"/>
      <c r="F5451" s="58"/>
      <c r="G5451" s="58"/>
    </row>
    <row r="5452">
      <c r="D5452" s="58"/>
      <c r="E5452" s="58"/>
      <c r="F5452" s="58"/>
      <c r="G5452" s="58"/>
    </row>
    <row r="5453">
      <c r="D5453" s="58"/>
      <c r="E5453" s="58"/>
      <c r="F5453" s="58"/>
      <c r="G5453" s="58"/>
    </row>
    <row r="5454">
      <c r="D5454" s="58"/>
      <c r="E5454" s="58"/>
      <c r="F5454" s="58"/>
      <c r="G5454" s="58"/>
    </row>
    <row r="5455">
      <c r="D5455" s="58"/>
      <c r="E5455" s="58"/>
      <c r="F5455" s="58"/>
      <c r="G5455" s="58"/>
    </row>
    <row r="5456">
      <c r="D5456" s="58"/>
      <c r="E5456" s="58"/>
      <c r="F5456" s="58"/>
      <c r="G5456" s="58"/>
    </row>
    <row r="5457">
      <c r="D5457" s="58"/>
      <c r="E5457" s="58"/>
      <c r="F5457" s="58"/>
      <c r="G5457" s="58"/>
    </row>
    <row r="5458">
      <c r="D5458" s="58"/>
      <c r="E5458" s="58"/>
      <c r="F5458" s="58"/>
      <c r="G5458" s="58"/>
    </row>
    <row r="5459">
      <c r="D5459" s="58"/>
      <c r="E5459" s="58"/>
      <c r="F5459" s="58"/>
      <c r="G5459" s="58"/>
    </row>
    <row r="5460">
      <c r="D5460" s="58"/>
      <c r="E5460" s="58"/>
      <c r="F5460" s="58"/>
      <c r="G5460" s="58"/>
    </row>
    <row r="5461">
      <c r="D5461" s="58"/>
      <c r="E5461" s="58"/>
      <c r="F5461" s="58"/>
      <c r="G5461" s="58"/>
    </row>
    <row r="5462">
      <c r="D5462" s="58"/>
      <c r="E5462" s="58"/>
      <c r="F5462" s="58"/>
      <c r="G5462" s="58"/>
    </row>
    <row r="5463">
      <c r="D5463" s="58"/>
      <c r="E5463" s="58"/>
      <c r="F5463" s="58"/>
      <c r="G5463" s="58"/>
    </row>
    <row r="5464">
      <c r="D5464" s="58"/>
      <c r="E5464" s="58"/>
      <c r="F5464" s="58"/>
      <c r="G5464" s="58"/>
    </row>
    <row r="5465">
      <c r="D5465" s="58"/>
      <c r="E5465" s="58"/>
      <c r="F5465" s="58"/>
      <c r="G5465" s="58"/>
    </row>
    <row r="5466">
      <c r="D5466" s="58"/>
      <c r="E5466" s="58"/>
      <c r="F5466" s="58"/>
      <c r="G5466" s="58"/>
    </row>
    <row r="5467">
      <c r="D5467" s="58"/>
      <c r="E5467" s="58"/>
      <c r="F5467" s="58"/>
      <c r="G5467" s="58"/>
    </row>
    <row r="5468">
      <c r="D5468" s="58"/>
      <c r="E5468" s="58"/>
      <c r="F5468" s="58"/>
      <c r="G5468" s="58"/>
    </row>
    <row r="5469">
      <c r="D5469" s="58"/>
      <c r="E5469" s="58"/>
      <c r="F5469" s="58"/>
      <c r="G5469" s="58"/>
    </row>
    <row r="5470">
      <c r="D5470" s="58"/>
      <c r="E5470" s="58"/>
      <c r="F5470" s="58"/>
      <c r="G5470" s="58"/>
    </row>
    <row r="5471">
      <c r="D5471" s="58"/>
      <c r="E5471" s="58"/>
      <c r="F5471" s="58"/>
      <c r="G5471" s="58"/>
    </row>
    <row r="5472">
      <c r="D5472" s="58"/>
      <c r="E5472" s="58"/>
      <c r="F5472" s="58"/>
      <c r="G5472" s="58"/>
    </row>
    <row r="5473">
      <c r="D5473" s="58"/>
      <c r="E5473" s="58"/>
      <c r="F5473" s="58"/>
      <c r="G5473" s="58"/>
    </row>
    <row r="5474">
      <c r="D5474" s="58"/>
      <c r="E5474" s="58"/>
      <c r="F5474" s="58"/>
      <c r="G5474" s="58"/>
    </row>
    <row r="5475">
      <c r="D5475" s="58"/>
      <c r="E5475" s="58"/>
      <c r="F5475" s="58"/>
      <c r="G5475" s="58"/>
    </row>
    <row r="5476">
      <c r="D5476" s="58"/>
      <c r="E5476" s="58"/>
      <c r="F5476" s="58"/>
      <c r="G5476" s="58"/>
    </row>
    <row r="5477">
      <c r="D5477" s="58"/>
      <c r="E5477" s="58"/>
      <c r="F5477" s="58"/>
      <c r="G5477" s="58"/>
    </row>
    <row r="5478">
      <c r="D5478" s="58"/>
      <c r="E5478" s="58"/>
      <c r="F5478" s="58"/>
      <c r="G5478" s="58"/>
    </row>
    <row r="5479">
      <c r="D5479" s="58"/>
      <c r="E5479" s="58"/>
      <c r="F5479" s="58"/>
      <c r="G5479" s="58"/>
    </row>
    <row r="5480">
      <c r="D5480" s="58"/>
      <c r="E5480" s="58"/>
      <c r="F5480" s="58"/>
      <c r="G5480" s="58"/>
    </row>
    <row r="5481">
      <c r="D5481" s="58"/>
      <c r="E5481" s="58"/>
      <c r="F5481" s="58"/>
      <c r="G5481" s="58"/>
    </row>
    <row r="5482">
      <c r="D5482" s="58"/>
      <c r="E5482" s="58"/>
      <c r="F5482" s="58"/>
      <c r="G5482" s="58"/>
    </row>
    <row r="5483">
      <c r="D5483" s="58"/>
      <c r="E5483" s="58"/>
      <c r="F5483" s="58"/>
      <c r="G5483" s="58"/>
    </row>
    <row r="5484">
      <c r="D5484" s="58"/>
      <c r="E5484" s="58"/>
      <c r="F5484" s="58"/>
      <c r="G5484" s="58"/>
    </row>
    <row r="5485">
      <c r="D5485" s="58"/>
      <c r="E5485" s="58"/>
      <c r="F5485" s="58"/>
      <c r="G5485" s="58"/>
    </row>
    <row r="5486">
      <c r="D5486" s="58"/>
      <c r="E5486" s="58"/>
      <c r="F5486" s="58"/>
      <c r="G5486" s="58"/>
    </row>
    <row r="5487">
      <c r="D5487" s="58"/>
      <c r="E5487" s="58"/>
      <c r="F5487" s="58"/>
      <c r="G5487" s="58"/>
    </row>
    <row r="5488">
      <c r="D5488" s="58"/>
      <c r="E5488" s="58"/>
      <c r="F5488" s="58"/>
      <c r="G5488" s="58"/>
    </row>
    <row r="5489">
      <c r="D5489" s="58"/>
      <c r="E5489" s="58"/>
      <c r="F5489" s="58"/>
      <c r="G5489" s="58"/>
    </row>
    <row r="5490">
      <c r="D5490" s="58"/>
      <c r="E5490" s="58"/>
      <c r="F5490" s="58"/>
      <c r="G5490" s="58"/>
    </row>
    <row r="5491">
      <c r="D5491" s="58"/>
      <c r="E5491" s="58"/>
      <c r="F5491" s="58"/>
      <c r="G5491" s="58"/>
    </row>
    <row r="5492">
      <c r="D5492" s="58"/>
      <c r="E5492" s="58"/>
      <c r="F5492" s="58"/>
      <c r="G5492" s="58"/>
    </row>
    <row r="5493">
      <c r="D5493" s="58"/>
      <c r="E5493" s="58"/>
      <c r="F5493" s="58"/>
      <c r="G5493" s="58"/>
    </row>
    <row r="5494">
      <c r="D5494" s="58"/>
      <c r="E5494" s="58"/>
      <c r="F5494" s="58"/>
      <c r="G5494" s="58"/>
    </row>
    <row r="5495">
      <c r="D5495" s="58"/>
      <c r="E5495" s="58"/>
      <c r="F5495" s="58"/>
      <c r="G5495" s="58"/>
    </row>
    <row r="5496">
      <c r="D5496" s="58"/>
      <c r="E5496" s="58"/>
      <c r="F5496" s="58"/>
      <c r="G5496" s="58"/>
    </row>
    <row r="5497">
      <c r="D5497" s="58"/>
      <c r="E5497" s="58"/>
      <c r="F5497" s="58"/>
      <c r="G5497" s="58"/>
    </row>
    <row r="5498">
      <c r="D5498" s="58"/>
      <c r="E5498" s="58"/>
      <c r="F5498" s="58"/>
      <c r="G5498" s="58"/>
    </row>
    <row r="5499">
      <c r="D5499" s="58"/>
      <c r="E5499" s="58"/>
      <c r="F5499" s="58"/>
      <c r="G5499" s="58"/>
    </row>
    <row r="5500">
      <c r="D5500" s="58"/>
      <c r="E5500" s="58"/>
      <c r="F5500" s="58"/>
      <c r="G5500" s="58"/>
    </row>
    <row r="5501">
      <c r="D5501" s="58"/>
      <c r="E5501" s="58"/>
      <c r="F5501" s="58"/>
      <c r="G5501" s="58"/>
    </row>
    <row r="5502">
      <c r="D5502" s="58"/>
      <c r="E5502" s="58"/>
      <c r="F5502" s="58"/>
      <c r="G5502" s="58"/>
    </row>
    <row r="5503">
      <c r="D5503" s="58"/>
      <c r="E5503" s="58"/>
      <c r="F5503" s="58"/>
      <c r="G5503" s="58"/>
    </row>
    <row r="5504">
      <c r="D5504" s="58"/>
      <c r="E5504" s="58"/>
      <c r="F5504" s="58"/>
      <c r="G5504" s="58"/>
    </row>
    <row r="5505">
      <c r="D5505" s="58"/>
      <c r="E5505" s="58"/>
      <c r="F5505" s="58"/>
      <c r="G5505" s="58"/>
    </row>
    <row r="5506">
      <c r="D5506" s="58"/>
      <c r="E5506" s="58"/>
      <c r="F5506" s="58"/>
      <c r="G5506" s="58"/>
    </row>
    <row r="5507">
      <c r="D5507" s="58"/>
      <c r="E5507" s="58"/>
      <c r="F5507" s="58"/>
      <c r="G5507" s="58"/>
    </row>
    <row r="5508">
      <c r="D5508" s="58"/>
      <c r="E5508" s="58"/>
      <c r="F5508" s="58"/>
      <c r="G5508" s="58"/>
    </row>
    <row r="5509">
      <c r="D5509" s="58"/>
      <c r="E5509" s="58"/>
      <c r="F5509" s="58"/>
      <c r="G5509" s="58"/>
    </row>
    <row r="5510">
      <c r="D5510" s="58"/>
      <c r="E5510" s="58"/>
      <c r="F5510" s="58"/>
      <c r="G5510" s="58"/>
    </row>
    <row r="5511">
      <c r="D5511" s="58"/>
      <c r="E5511" s="58"/>
      <c r="F5511" s="58"/>
      <c r="G5511" s="58"/>
    </row>
    <row r="5512">
      <c r="D5512" s="58"/>
      <c r="E5512" s="58"/>
      <c r="F5512" s="58"/>
      <c r="G5512" s="58"/>
    </row>
    <row r="5513">
      <c r="D5513" s="58"/>
      <c r="E5513" s="58"/>
      <c r="F5513" s="58"/>
      <c r="G5513" s="58"/>
    </row>
    <row r="5514">
      <c r="D5514" s="58"/>
      <c r="E5514" s="58"/>
      <c r="F5514" s="58"/>
      <c r="G5514" s="58"/>
    </row>
    <row r="5515">
      <c r="D5515" s="58"/>
      <c r="E5515" s="58"/>
      <c r="F5515" s="58"/>
      <c r="G5515" s="58"/>
    </row>
    <row r="5516">
      <c r="D5516" s="58"/>
      <c r="E5516" s="58"/>
      <c r="F5516" s="58"/>
      <c r="G5516" s="58"/>
    </row>
    <row r="5517">
      <c r="D5517" s="58"/>
      <c r="E5517" s="58"/>
      <c r="F5517" s="58"/>
      <c r="G5517" s="58"/>
    </row>
    <row r="5518">
      <c r="D5518" s="58"/>
      <c r="E5518" s="58"/>
      <c r="F5518" s="58"/>
      <c r="G5518" s="58"/>
    </row>
    <row r="5519">
      <c r="D5519" s="58"/>
      <c r="E5519" s="58"/>
      <c r="F5519" s="58"/>
      <c r="G5519" s="58"/>
    </row>
    <row r="5520">
      <c r="D5520" s="58"/>
      <c r="E5520" s="58"/>
      <c r="F5520" s="58"/>
      <c r="G5520" s="58"/>
    </row>
    <row r="5521">
      <c r="D5521" s="58"/>
      <c r="E5521" s="58"/>
      <c r="F5521" s="58"/>
      <c r="G5521" s="58"/>
    </row>
    <row r="5522">
      <c r="D5522" s="58"/>
      <c r="E5522" s="58"/>
      <c r="F5522" s="58"/>
      <c r="G5522" s="58"/>
    </row>
    <row r="5523">
      <c r="D5523" s="58"/>
      <c r="E5523" s="58"/>
      <c r="F5523" s="58"/>
      <c r="G5523" s="58"/>
    </row>
    <row r="5524">
      <c r="D5524" s="58"/>
      <c r="E5524" s="58"/>
      <c r="F5524" s="58"/>
      <c r="G5524" s="58"/>
    </row>
    <row r="5525">
      <c r="D5525" s="58"/>
      <c r="E5525" s="58"/>
      <c r="F5525" s="58"/>
      <c r="G5525" s="58"/>
    </row>
    <row r="5526">
      <c r="D5526" s="58"/>
      <c r="E5526" s="58"/>
      <c r="F5526" s="58"/>
      <c r="G5526" s="58"/>
    </row>
    <row r="5527">
      <c r="D5527" s="58"/>
      <c r="E5527" s="58"/>
      <c r="F5527" s="58"/>
      <c r="G5527" s="58"/>
    </row>
    <row r="5528">
      <c r="D5528" s="58"/>
      <c r="E5528" s="58"/>
      <c r="F5528" s="58"/>
      <c r="G5528" s="58"/>
    </row>
    <row r="5529">
      <c r="D5529" s="58"/>
      <c r="E5529" s="58"/>
      <c r="F5529" s="58"/>
      <c r="G5529" s="58"/>
    </row>
    <row r="5530">
      <c r="D5530" s="58"/>
      <c r="E5530" s="58"/>
      <c r="F5530" s="58"/>
      <c r="G5530" s="58"/>
    </row>
    <row r="5531">
      <c r="D5531" s="58"/>
      <c r="E5531" s="58"/>
      <c r="F5531" s="58"/>
      <c r="G5531" s="58"/>
    </row>
    <row r="5532">
      <c r="D5532" s="58"/>
      <c r="E5532" s="58"/>
      <c r="F5532" s="58"/>
      <c r="G5532" s="58"/>
    </row>
    <row r="5533">
      <c r="D5533" s="58"/>
      <c r="E5533" s="58"/>
      <c r="F5533" s="58"/>
      <c r="G5533" s="58"/>
    </row>
    <row r="5534">
      <c r="D5534" s="58"/>
      <c r="E5534" s="58"/>
      <c r="F5534" s="58"/>
      <c r="G5534" s="58"/>
    </row>
    <row r="5535">
      <c r="D5535" s="58"/>
      <c r="E5535" s="58"/>
      <c r="F5535" s="58"/>
      <c r="G5535" s="58"/>
    </row>
    <row r="5536">
      <c r="D5536" s="58"/>
      <c r="E5536" s="58"/>
      <c r="F5536" s="58"/>
      <c r="G5536" s="58"/>
    </row>
    <row r="5537">
      <c r="D5537" s="58"/>
      <c r="E5537" s="58"/>
      <c r="F5537" s="58"/>
      <c r="G5537" s="58"/>
    </row>
    <row r="5538">
      <c r="D5538" s="58"/>
      <c r="E5538" s="58"/>
      <c r="F5538" s="58"/>
      <c r="G5538" s="58"/>
    </row>
    <row r="5539">
      <c r="D5539" s="58"/>
      <c r="E5539" s="58"/>
      <c r="F5539" s="58"/>
      <c r="G5539" s="58"/>
    </row>
    <row r="5540">
      <c r="D5540" s="58"/>
      <c r="E5540" s="58"/>
      <c r="F5540" s="58"/>
      <c r="G5540" s="58"/>
    </row>
    <row r="5541">
      <c r="D5541" s="58"/>
      <c r="E5541" s="58"/>
      <c r="F5541" s="58"/>
      <c r="G5541" s="58"/>
    </row>
    <row r="5542">
      <c r="D5542" s="58"/>
      <c r="E5542" s="58"/>
      <c r="F5542" s="58"/>
      <c r="G5542" s="58"/>
    </row>
    <row r="5543">
      <c r="D5543" s="58"/>
      <c r="E5543" s="58"/>
      <c r="F5543" s="58"/>
      <c r="G5543" s="58"/>
    </row>
    <row r="5544">
      <c r="D5544" s="58"/>
      <c r="E5544" s="58"/>
      <c r="F5544" s="58"/>
      <c r="G5544" s="58"/>
    </row>
    <row r="5545">
      <c r="D5545" s="58"/>
      <c r="E5545" s="58"/>
      <c r="F5545" s="58"/>
      <c r="G5545" s="58"/>
    </row>
    <row r="5546">
      <c r="D5546" s="58"/>
      <c r="E5546" s="58"/>
      <c r="F5546" s="58"/>
      <c r="G5546" s="58"/>
    </row>
    <row r="5547">
      <c r="D5547" s="58"/>
      <c r="E5547" s="58"/>
      <c r="F5547" s="58"/>
      <c r="G5547" s="58"/>
    </row>
    <row r="5548">
      <c r="D5548" s="58"/>
      <c r="E5548" s="58"/>
      <c r="F5548" s="58"/>
      <c r="G5548" s="58"/>
    </row>
    <row r="5549">
      <c r="D5549" s="58"/>
      <c r="E5549" s="58"/>
      <c r="F5549" s="58"/>
      <c r="G5549" s="58"/>
    </row>
    <row r="5550">
      <c r="D5550" s="58"/>
      <c r="E5550" s="58"/>
      <c r="F5550" s="58"/>
      <c r="G5550" s="58"/>
    </row>
    <row r="5551">
      <c r="D5551" s="58"/>
      <c r="E5551" s="58"/>
      <c r="F5551" s="58"/>
      <c r="G5551" s="58"/>
    </row>
    <row r="5552">
      <c r="D5552" s="58"/>
      <c r="E5552" s="58"/>
      <c r="F5552" s="58"/>
      <c r="G5552" s="58"/>
    </row>
    <row r="5553">
      <c r="D5553" s="58"/>
      <c r="E5553" s="58"/>
      <c r="F5553" s="58"/>
      <c r="G5553" s="58"/>
    </row>
    <row r="5554">
      <c r="D5554" s="58"/>
      <c r="E5554" s="58"/>
      <c r="F5554" s="58"/>
      <c r="G5554" s="58"/>
    </row>
    <row r="5555">
      <c r="D5555" s="58"/>
      <c r="E5555" s="58"/>
      <c r="F5555" s="58"/>
      <c r="G5555" s="58"/>
    </row>
    <row r="5556">
      <c r="D5556" s="58"/>
      <c r="E5556" s="58"/>
      <c r="F5556" s="58"/>
      <c r="G5556" s="58"/>
    </row>
    <row r="5557">
      <c r="D5557" s="58"/>
      <c r="E5557" s="58"/>
      <c r="F5557" s="58"/>
      <c r="G5557" s="58"/>
    </row>
    <row r="5558">
      <c r="D5558" s="58"/>
      <c r="E5558" s="58"/>
      <c r="F5558" s="58"/>
      <c r="G5558" s="58"/>
    </row>
    <row r="5559">
      <c r="D5559" s="58"/>
      <c r="E5559" s="58"/>
      <c r="F5559" s="58"/>
      <c r="G5559" s="58"/>
    </row>
    <row r="5560">
      <c r="D5560" s="58"/>
      <c r="E5560" s="58"/>
      <c r="F5560" s="58"/>
      <c r="G5560" s="58"/>
    </row>
    <row r="5561">
      <c r="D5561" s="58"/>
      <c r="E5561" s="58"/>
      <c r="F5561" s="58"/>
      <c r="G5561" s="58"/>
    </row>
    <row r="5562">
      <c r="D5562" s="58"/>
      <c r="E5562" s="58"/>
      <c r="F5562" s="58"/>
      <c r="G5562" s="58"/>
    </row>
    <row r="5563">
      <c r="D5563" s="58"/>
      <c r="E5563" s="58"/>
      <c r="F5563" s="58"/>
      <c r="G5563" s="58"/>
    </row>
    <row r="5564">
      <c r="D5564" s="58"/>
      <c r="E5564" s="58"/>
      <c r="F5564" s="58"/>
      <c r="G5564" s="58"/>
    </row>
    <row r="5565">
      <c r="D5565" s="58"/>
      <c r="E5565" s="58"/>
      <c r="F5565" s="58"/>
      <c r="G5565" s="58"/>
    </row>
    <row r="5566">
      <c r="D5566" s="58"/>
      <c r="E5566" s="58"/>
      <c r="F5566" s="58"/>
      <c r="G5566" s="58"/>
    </row>
    <row r="5567">
      <c r="D5567" s="58"/>
      <c r="E5567" s="58"/>
      <c r="F5567" s="58"/>
      <c r="G5567" s="58"/>
    </row>
    <row r="5568">
      <c r="D5568" s="58"/>
      <c r="E5568" s="58"/>
      <c r="F5568" s="58"/>
      <c r="G5568" s="58"/>
    </row>
    <row r="5569">
      <c r="D5569" s="58"/>
      <c r="E5569" s="58"/>
      <c r="F5569" s="58"/>
      <c r="G5569" s="58"/>
    </row>
    <row r="5570">
      <c r="D5570" s="58"/>
      <c r="E5570" s="58"/>
      <c r="F5570" s="58"/>
      <c r="G5570" s="58"/>
    </row>
    <row r="5571">
      <c r="D5571" s="58"/>
      <c r="E5571" s="58"/>
      <c r="F5571" s="58"/>
      <c r="G5571" s="58"/>
    </row>
    <row r="5572">
      <c r="D5572" s="58"/>
      <c r="E5572" s="58"/>
      <c r="F5572" s="58"/>
      <c r="G5572" s="58"/>
    </row>
    <row r="5573">
      <c r="D5573" s="58"/>
      <c r="E5573" s="58"/>
      <c r="F5573" s="58"/>
      <c r="G5573" s="58"/>
    </row>
    <row r="5574">
      <c r="D5574" s="58"/>
      <c r="E5574" s="58"/>
      <c r="F5574" s="58"/>
      <c r="G5574" s="58"/>
    </row>
    <row r="5575">
      <c r="D5575" s="58"/>
      <c r="E5575" s="58"/>
      <c r="F5575" s="58"/>
      <c r="G5575" s="58"/>
    </row>
    <row r="5576">
      <c r="D5576" s="58"/>
      <c r="E5576" s="58"/>
      <c r="F5576" s="58"/>
      <c r="G5576" s="58"/>
    </row>
    <row r="5577">
      <c r="D5577" s="58"/>
      <c r="E5577" s="58"/>
      <c r="F5577" s="58"/>
      <c r="G5577" s="58"/>
    </row>
    <row r="5578">
      <c r="D5578" s="58"/>
      <c r="E5578" s="58"/>
      <c r="F5578" s="58"/>
      <c r="G5578" s="58"/>
    </row>
    <row r="5579">
      <c r="D5579" s="58"/>
      <c r="E5579" s="58"/>
      <c r="F5579" s="58"/>
      <c r="G5579" s="58"/>
    </row>
    <row r="5580">
      <c r="D5580" s="58"/>
      <c r="E5580" s="58"/>
      <c r="F5580" s="58"/>
      <c r="G5580" s="58"/>
    </row>
    <row r="5581">
      <c r="D5581" s="58"/>
      <c r="E5581" s="58"/>
      <c r="F5581" s="58"/>
      <c r="G5581" s="58"/>
    </row>
    <row r="5582">
      <c r="D5582" s="58"/>
      <c r="E5582" s="58"/>
      <c r="F5582" s="58"/>
      <c r="G5582" s="58"/>
    </row>
    <row r="5583">
      <c r="D5583" s="58"/>
      <c r="E5583" s="58"/>
      <c r="F5583" s="58"/>
      <c r="G5583" s="58"/>
    </row>
    <row r="5584">
      <c r="D5584" s="58"/>
      <c r="E5584" s="58"/>
      <c r="F5584" s="58"/>
      <c r="G5584" s="58"/>
    </row>
    <row r="5585">
      <c r="D5585" s="58"/>
      <c r="E5585" s="58"/>
      <c r="F5585" s="58"/>
      <c r="G5585" s="58"/>
    </row>
    <row r="5586">
      <c r="D5586" s="58"/>
      <c r="E5586" s="58"/>
      <c r="F5586" s="58"/>
      <c r="G5586" s="58"/>
    </row>
    <row r="5587">
      <c r="D5587" s="58"/>
      <c r="E5587" s="58"/>
      <c r="F5587" s="58"/>
      <c r="G5587" s="58"/>
    </row>
    <row r="5588">
      <c r="D5588" s="58"/>
      <c r="E5588" s="58"/>
      <c r="F5588" s="58"/>
      <c r="G5588" s="58"/>
    </row>
    <row r="5589">
      <c r="D5589" s="58"/>
      <c r="E5589" s="58"/>
      <c r="F5589" s="58"/>
      <c r="G5589" s="58"/>
    </row>
    <row r="5590">
      <c r="D5590" s="58"/>
      <c r="E5590" s="58"/>
      <c r="F5590" s="58"/>
      <c r="G5590" s="58"/>
    </row>
    <row r="5591">
      <c r="D5591" s="58"/>
      <c r="E5591" s="58"/>
      <c r="F5591" s="58"/>
      <c r="G5591" s="58"/>
    </row>
    <row r="5592">
      <c r="D5592" s="58"/>
      <c r="E5592" s="58"/>
      <c r="F5592" s="58"/>
      <c r="G5592" s="58"/>
    </row>
    <row r="5593">
      <c r="D5593" s="58"/>
      <c r="E5593" s="58"/>
      <c r="F5593" s="58"/>
      <c r="G5593" s="58"/>
    </row>
    <row r="5594">
      <c r="D5594" s="58"/>
      <c r="E5594" s="58"/>
      <c r="F5594" s="58"/>
      <c r="G5594" s="58"/>
    </row>
    <row r="5595">
      <c r="D5595" s="58"/>
      <c r="E5595" s="58"/>
      <c r="F5595" s="58"/>
      <c r="G5595" s="58"/>
    </row>
    <row r="5596">
      <c r="D5596" s="58"/>
      <c r="E5596" s="58"/>
      <c r="F5596" s="58"/>
      <c r="G5596" s="58"/>
    </row>
    <row r="5597">
      <c r="D5597" s="58"/>
      <c r="E5597" s="58"/>
      <c r="F5597" s="58"/>
      <c r="G5597" s="58"/>
    </row>
    <row r="5598">
      <c r="D5598" s="58"/>
      <c r="E5598" s="58"/>
      <c r="F5598" s="58"/>
      <c r="G5598" s="58"/>
    </row>
    <row r="5599">
      <c r="D5599" s="58"/>
      <c r="E5599" s="58"/>
      <c r="F5599" s="58"/>
      <c r="G5599" s="58"/>
    </row>
    <row r="5600">
      <c r="D5600" s="58"/>
      <c r="E5600" s="58"/>
      <c r="F5600" s="58"/>
      <c r="G5600" s="58"/>
    </row>
    <row r="5601">
      <c r="D5601" s="58"/>
      <c r="E5601" s="58"/>
      <c r="F5601" s="58"/>
      <c r="G5601" s="58"/>
    </row>
    <row r="5602">
      <c r="D5602" s="58"/>
      <c r="E5602" s="58"/>
      <c r="F5602" s="58"/>
      <c r="G5602" s="58"/>
    </row>
    <row r="5603">
      <c r="D5603" s="58"/>
      <c r="E5603" s="58"/>
      <c r="F5603" s="58"/>
      <c r="G5603" s="58"/>
    </row>
    <row r="5604">
      <c r="D5604" s="58"/>
      <c r="E5604" s="58"/>
      <c r="F5604" s="58"/>
      <c r="G5604" s="58"/>
    </row>
    <row r="5605">
      <c r="D5605" s="58"/>
      <c r="E5605" s="58"/>
      <c r="F5605" s="58"/>
      <c r="G5605" s="58"/>
    </row>
    <row r="5606">
      <c r="D5606" s="58"/>
      <c r="E5606" s="58"/>
      <c r="F5606" s="58"/>
      <c r="G5606" s="58"/>
    </row>
    <row r="5607">
      <c r="D5607" s="58"/>
      <c r="E5607" s="58"/>
      <c r="F5607" s="58"/>
      <c r="G5607" s="58"/>
    </row>
    <row r="5608">
      <c r="D5608" s="58"/>
      <c r="E5608" s="58"/>
      <c r="F5608" s="58"/>
      <c r="G5608" s="58"/>
    </row>
    <row r="5609">
      <c r="D5609" s="58"/>
      <c r="E5609" s="58"/>
      <c r="F5609" s="58"/>
      <c r="G5609" s="58"/>
    </row>
    <row r="5610">
      <c r="D5610" s="58"/>
      <c r="E5610" s="58"/>
      <c r="F5610" s="58"/>
      <c r="G5610" s="58"/>
    </row>
    <row r="5611">
      <c r="D5611" s="58"/>
      <c r="E5611" s="58"/>
      <c r="F5611" s="58"/>
      <c r="G5611" s="58"/>
    </row>
    <row r="5612">
      <c r="D5612" s="58"/>
      <c r="E5612" s="58"/>
      <c r="F5612" s="58"/>
      <c r="G5612" s="58"/>
    </row>
    <row r="5613">
      <c r="D5613" s="58"/>
      <c r="E5613" s="58"/>
      <c r="F5613" s="58"/>
      <c r="G5613" s="58"/>
    </row>
    <row r="5614">
      <c r="D5614" s="58"/>
      <c r="E5614" s="58"/>
      <c r="F5614" s="58"/>
      <c r="G5614" s="58"/>
    </row>
    <row r="5615">
      <c r="D5615" s="58"/>
      <c r="E5615" s="58"/>
      <c r="F5615" s="58"/>
      <c r="G5615" s="58"/>
    </row>
    <row r="5616">
      <c r="D5616" s="58"/>
      <c r="E5616" s="58"/>
      <c r="F5616" s="58"/>
      <c r="G5616" s="58"/>
    </row>
    <row r="5617">
      <c r="D5617" s="58"/>
      <c r="E5617" s="58"/>
      <c r="F5617" s="58"/>
      <c r="G5617" s="58"/>
    </row>
    <row r="5618">
      <c r="D5618" s="58"/>
      <c r="E5618" s="58"/>
      <c r="F5618" s="58"/>
      <c r="G5618" s="58"/>
    </row>
    <row r="5619">
      <c r="D5619" s="58"/>
      <c r="E5619" s="58"/>
      <c r="F5619" s="58"/>
      <c r="G5619" s="58"/>
    </row>
    <row r="5620">
      <c r="D5620" s="58"/>
      <c r="E5620" s="58"/>
      <c r="F5620" s="58"/>
      <c r="G5620" s="58"/>
    </row>
    <row r="5621">
      <c r="D5621" s="58"/>
      <c r="E5621" s="58"/>
      <c r="F5621" s="58"/>
      <c r="G5621" s="58"/>
    </row>
    <row r="5622">
      <c r="D5622" s="58"/>
      <c r="E5622" s="58"/>
      <c r="F5622" s="58"/>
      <c r="G5622" s="58"/>
    </row>
    <row r="5623">
      <c r="D5623" s="58"/>
      <c r="E5623" s="58"/>
      <c r="F5623" s="58"/>
      <c r="G5623" s="58"/>
    </row>
    <row r="5624">
      <c r="D5624" s="58"/>
      <c r="E5624" s="58"/>
      <c r="F5624" s="58"/>
      <c r="G5624" s="58"/>
    </row>
    <row r="5625">
      <c r="D5625" s="58"/>
      <c r="E5625" s="58"/>
      <c r="F5625" s="58"/>
      <c r="G5625" s="58"/>
    </row>
    <row r="5626">
      <c r="D5626" s="58"/>
      <c r="E5626" s="58"/>
      <c r="F5626" s="58"/>
      <c r="G5626" s="58"/>
    </row>
    <row r="5627">
      <c r="D5627" s="58"/>
      <c r="E5627" s="58"/>
      <c r="F5627" s="58"/>
      <c r="G5627" s="58"/>
    </row>
    <row r="5628">
      <c r="D5628" s="58"/>
      <c r="E5628" s="58"/>
      <c r="F5628" s="58"/>
      <c r="G5628" s="58"/>
    </row>
    <row r="5629">
      <c r="D5629" s="58"/>
      <c r="E5629" s="58"/>
      <c r="F5629" s="58"/>
      <c r="G5629" s="58"/>
    </row>
    <row r="5630">
      <c r="D5630" s="58"/>
      <c r="E5630" s="58"/>
      <c r="F5630" s="58"/>
      <c r="G5630" s="58"/>
    </row>
    <row r="5631">
      <c r="D5631" s="58"/>
      <c r="E5631" s="58"/>
      <c r="F5631" s="58"/>
      <c r="G5631" s="58"/>
    </row>
    <row r="5632">
      <c r="D5632" s="58"/>
      <c r="E5632" s="58"/>
      <c r="F5632" s="58"/>
      <c r="G5632" s="58"/>
    </row>
    <row r="5633">
      <c r="D5633" s="58"/>
      <c r="E5633" s="58"/>
      <c r="F5633" s="58"/>
      <c r="G5633" s="58"/>
    </row>
    <row r="5634">
      <c r="D5634" s="58"/>
      <c r="E5634" s="58"/>
      <c r="F5634" s="58"/>
      <c r="G5634" s="58"/>
    </row>
    <row r="5635">
      <c r="D5635" s="58"/>
      <c r="E5635" s="58"/>
      <c r="F5635" s="58"/>
      <c r="G5635" s="58"/>
    </row>
    <row r="5636">
      <c r="D5636" s="58"/>
      <c r="E5636" s="58"/>
      <c r="F5636" s="58"/>
      <c r="G5636" s="58"/>
    </row>
    <row r="5637">
      <c r="D5637" s="58"/>
      <c r="E5637" s="58"/>
      <c r="F5637" s="58"/>
      <c r="G5637" s="58"/>
    </row>
    <row r="5638">
      <c r="D5638" s="58"/>
      <c r="E5638" s="58"/>
      <c r="F5638" s="58"/>
      <c r="G5638" s="58"/>
    </row>
    <row r="5639">
      <c r="D5639" s="58"/>
      <c r="E5639" s="58"/>
      <c r="F5639" s="58"/>
      <c r="G5639" s="58"/>
    </row>
    <row r="5640">
      <c r="D5640" s="58"/>
      <c r="E5640" s="58"/>
      <c r="F5640" s="58"/>
      <c r="G5640" s="58"/>
    </row>
    <row r="5641">
      <c r="D5641" s="58"/>
      <c r="E5641" s="58"/>
      <c r="F5641" s="58"/>
      <c r="G5641" s="58"/>
    </row>
    <row r="5642">
      <c r="D5642" s="58"/>
      <c r="E5642" s="58"/>
      <c r="F5642" s="58"/>
      <c r="G5642" s="58"/>
    </row>
    <row r="5643">
      <c r="D5643" s="58"/>
      <c r="E5643" s="58"/>
      <c r="F5643" s="58"/>
      <c r="G5643" s="58"/>
    </row>
    <row r="5644">
      <c r="D5644" s="58"/>
      <c r="E5644" s="58"/>
      <c r="F5644" s="58"/>
      <c r="G5644" s="58"/>
    </row>
    <row r="5645">
      <c r="D5645" s="58"/>
      <c r="E5645" s="58"/>
      <c r="F5645" s="58"/>
      <c r="G5645" s="58"/>
    </row>
    <row r="5646">
      <c r="D5646" s="58"/>
      <c r="E5646" s="58"/>
      <c r="F5646" s="58"/>
      <c r="G5646" s="58"/>
    </row>
    <row r="5647">
      <c r="D5647" s="58"/>
      <c r="E5647" s="58"/>
      <c r="F5647" s="58"/>
      <c r="G5647" s="58"/>
    </row>
    <row r="5648">
      <c r="D5648" s="58"/>
      <c r="E5648" s="58"/>
      <c r="F5648" s="58"/>
      <c r="G5648" s="58"/>
    </row>
    <row r="5649">
      <c r="D5649" s="58"/>
      <c r="E5649" s="58"/>
      <c r="F5649" s="58"/>
      <c r="G5649" s="58"/>
    </row>
    <row r="5650">
      <c r="D5650" s="58"/>
      <c r="E5650" s="58"/>
      <c r="F5650" s="58"/>
      <c r="G5650" s="58"/>
    </row>
    <row r="5651">
      <c r="D5651" s="58"/>
      <c r="E5651" s="58"/>
      <c r="F5651" s="58"/>
      <c r="G5651" s="58"/>
    </row>
    <row r="5652">
      <c r="D5652" s="58"/>
      <c r="E5652" s="58"/>
      <c r="F5652" s="58"/>
      <c r="G5652" s="58"/>
    </row>
    <row r="5653">
      <c r="D5653" s="58"/>
      <c r="E5653" s="58"/>
      <c r="F5653" s="58"/>
      <c r="G5653" s="58"/>
    </row>
    <row r="5654">
      <c r="D5654" s="58"/>
      <c r="E5654" s="58"/>
      <c r="F5654" s="58"/>
      <c r="G5654" s="58"/>
    </row>
    <row r="5655">
      <c r="D5655" s="58"/>
      <c r="E5655" s="58"/>
      <c r="F5655" s="58"/>
      <c r="G5655" s="58"/>
    </row>
    <row r="5656">
      <c r="D5656" s="58"/>
      <c r="E5656" s="58"/>
      <c r="F5656" s="58"/>
      <c r="G5656" s="58"/>
    </row>
    <row r="5657">
      <c r="D5657" s="58"/>
      <c r="E5657" s="58"/>
      <c r="F5657" s="58"/>
      <c r="G5657" s="58"/>
    </row>
    <row r="5658">
      <c r="D5658" s="58"/>
      <c r="E5658" s="58"/>
      <c r="F5658" s="58"/>
      <c r="G5658" s="58"/>
    </row>
    <row r="5659">
      <c r="D5659" s="58"/>
      <c r="E5659" s="58"/>
      <c r="F5659" s="58"/>
      <c r="G5659" s="58"/>
    </row>
    <row r="5660">
      <c r="D5660" s="58"/>
      <c r="E5660" s="58"/>
      <c r="F5660" s="58"/>
      <c r="G5660" s="58"/>
    </row>
    <row r="5661">
      <c r="D5661" s="58"/>
      <c r="E5661" s="58"/>
      <c r="F5661" s="58"/>
      <c r="G5661" s="58"/>
    </row>
    <row r="5662">
      <c r="D5662" s="58"/>
      <c r="E5662" s="58"/>
      <c r="F5662" s="58"/>
      <c r="G5662" s="58"/>
    </row>
    <row r="5663">
      <c r="D5663" s="58"/>
      <c r="E5663" s="58"/>
      <c r="F5663" s="58"/>
      <c r="G5663" s="58"/>
    </row>
    <row r="5664">
      <c r="D5664" s="58"/>
      <c r="E5664" s="58"/>
      <c r="F5664" s="58"/>
      <c r="G5664" s="58"/>
    </row>
    <row r="5665">
      <c r="D5665" s="58"/>
      <c r="E5665" s="58"/>
      <c r="F5665" s="58"/>
      <c r="G5665" s="58"/>
    </row>
    <row r="5666">
      <c r="D5666" s="58"/>
      <c r="E5666" s="58"/>
      <c r="F5666" s="58"/>
      <c r="G5666" s="58"/>
    </row>
    <row r="5667">
      <c r="D5667" s="58"/>
      <c r="E5667" s="58"/>
      <c r="F5667" s="58"/>
      <c r="G5667" s="58"/>
    </row>
    <row r="5668">
      <c r="D5668" s="58"/>
      <c r="E5668" s="58"/>
      <c r="F5668" s="58"/>
      <c r="G5668" s="58"/>
    </row>
    <row r="5669">
      <c r="D5669" s="58"/>
      <c r="E5669" s="58"/>
      <c r="F5669" s="58"/>
      <c r="G5669" s="58"/>
    </row>
    <row r="5670">
      <c r="D5670" s="58"/>
      <c r="E5670" s="58"/>
      <c r="F5670" s="58"/>
      <c r="G5670" s="58"/>
    </row>
    <row r="5671">
      <c r="D5671" s="58"/>
      <c r="E5671" s="58"/>
      <c r="F5671" s="58"/>
      <c r="G5671" s="58"/>
    </row>
    <row r="5672">
      <c r="D5672" s="58"/>
      <c r="E5672" s="58"/>
      <c r="F5672" s="58"/>
      <c r="G5672" s="58"/>
    </row>
    <row r="5673">
      <c r="D5673" s="58"/>
      <c r="E5673" s="58"/>
      <c r="F5673" s="58"/>
      <c r="G5673" s="58"/>
    </row>
    <row r="5674">
      <c r="D5674" s="58"/>
      <c r="E5674" s="58"/>
      <c r="F5674" s="58"/>
      <c r="G5674" s="58"/>
    </row>
    <row r="5675">
      <c r="D5675" s="58"/>
      <c r="E5675" s="58"/>
      <c r="F5675" s="58"/>
      <c r="G5675" s="58"/>
    </row>
    <row r="5676">
      <c r="D5676" s="58"/>
      <c r="E5676" s="58"/>
      <c r="F5676" s="58"/>
      <c r="G5676" s="58"/>
    </row>
    <row r="5677">
      <c r="D5677" s="58"/>
      <c r="E5677" s="58"/>
      <c r="F5677" s="58"/>
      <c r="G5677" s="58"/>
    </row>
    <row r="5678">
      <c r="D5678" s="58"/>
      <c r="E5678" s="58"/>
      <c r="F5678" s="58"/>
      <c r="G5678" s="58"/>
    </row>
    <row r="5679">
      <c r="D5679" s="58"/>
      <c r="E5679" s="58"/>
      <c r="F5679" s="58"/>
      <c r="G5679" s="58"/>
    </row>
    <row r="5680">
      <c r="D5680" s="58"/>
      <c r="E5680" s="58"/>
      <c r="F5680" s="58"/>
      <c r="G5680" s="58"/>
    </row>
    <row r="5681">
      <c r="D5681" s="58"/>
      <c r="E5681" s="58"/>
      <c r="F5681" s="58"/>
      <c r="G5681" s="58"/>
    </row>
    <row r="5682">
      <c r="D5682" s="58"/>
      <c r="E5682" s="58"/>
      <c r="F5682" s="58"/>
      <c r="G5682" s="58"/>
    </row>
    <row r="5683">
      <c r="D5683" s="58"/>
      <c r="E5683" s="58"/>
      <c r="F5683" s="58"/>
      <c r="G5683" s="58"/>
    </row>
    <row r="5684">
      <c r="D5684" s="58"/>
      <c r="E5684" s="58"/>
      <c r="F5684" s="58"/>
      <c r="G5684" s="58"/>
    </row>
    <row r="5685">
      <c r="D5685" s="58"/>
      <c r="E5685" s="58"/>
      <c r="F5685" s="58"/>
      <c r="G5685" s="58"/>
    </row>
    <row r="5686">
      <c r="D5686" s="58"/>
      <c r="E5686" s="58"/>
      <c r="F5686" s="58"/>
      <c r="G5686" s="58"/>
    </row>
    <row r="5687">
      <c r="D5687" s="58"/>
      <c r="E5687" s="58"/>
      <c r="F5687" s="58"/>
      <c r="G5687" s="58"/>
    </row>
    <row r="5688">
      <c r="D5688" s="58"/>
      <c r="E5688" s="58"/>
      <c r="F5688" s="58"/>
      <c r="G5688" s="58"/>
    </row>
    <row r="5689">
      <c r="D5689" s="58"/>
      <c r="E5689" s="58"/>
      <c r="F5689" s="58"/>
      <c r="G5689" s="58"/>
    </row>
    <row r="5690">
      <c r="D5690" s="58"/>
      <c r="E5690" s="58"/>
      <c r="F5690" s="58"/>
      <c r="G5690" s="58"/>
    </row>
    <row r="5691">
      <c r="D5691" s="58"/>
      <c r="E5691" s="58"/>
      <c r="F5691" s="58"/>
      <c r="G5691" s="58"/>
    </row>
    <row r="5692">
      <c r="D5692" s="58"/>
      <c r="E5692" s="58"/>
      <c r="F5692" s="58"/>
      <c r="G5692" s="58"/>
    </row>
    <row r="5693">
      <c r="D5693" s="58"/>
      <c r="E5693" s="58"/>
      <c r="F5693" s="58"/>
      <c r="G5693" s="58"/>
    </row>
    <row r="5694">
      <c r="D5694" s="58"/>
      <c r="E5694" s="58"/>
      <c r="F5694" s="58"/>
      <c r="G5694" s="58"/>
    </row>
    <row r="5695">
      <c r="D5695" s="58"/>
      <c r="E5695" s="58"/>
      <c r="F5695" s="58"/>
      <c r="G5695" s="58"/>
    </row>
    <row r="5696">
      <c r="D5696" s="58"/>
      <c r="E5696" s="58"/>
      <c r="F5696" s="58"/>
      <c r="G5696" s="58"/>
    </row>
    <row r="5697">
      <c r="D5697" s="58"/>
      <c r="E5697" s="58"/>
      <c r="F5697" s="58"/>
      <c r="G5697" s="58"/>
    </row>
    <row r="5698">
      <c r="D5698" s="58"/>
      <c r="E5698" s="58"/>
      <c r="F5698" s="58"/>
      <c r="G5698" s="58"/>
    </row>
    <row r="5699">
      <c r="D5699" s="58"/>
      <c r="E5699" s="58"/>
      <c r="F5699" s="58"/>
      <c r="G5699" s="58"/>
    </row>
    <row r="5700">
      <c r="D5700" s="58"/>
      <c r="E5700" s="58"/>
      <c r="F5700" s="58"/>
      <c r="G5700" s="58"/>
    </row>
    <row r="5701">
      <c r="D5701" s="58"/>
      <c r="E5701" s="58"/>
      <c r="F5701" s="58"/>
      <c r="G5701" s="58"/>
    </row>
    <row r="5702">
      <c r="D5702" s="58"/>
      <c r="E5702" s="58"/>
      <c r="F5702" s="58"/>
      <c r="G5702" s="58"/>
    </row>
    <row r="5703">
      <c r="D5703" s="58"/>
      <c r="E5703" s="58"/>
      <c r="F5703" s="58"/>
      <c r="G5703" s="58"/>
    </row>
    <row r="5704">
      <c r="D5704" s="58"/>
      <c r="E5704" s="58"/>
      <c r="F5704" s="58"/>
      <c r="G5704" s="58"/>
    </row>
    <row r="5705">
      <c r="D5705" s="58"/>
      <c r="E5705" s="58"/>
      <c r="F5705" s="58"/>
      <c r="G5705" s="58"/>
    </row>
    <row r="5706">
      <c r="D5706" s="58"/>
      <c r="E5706" s="58"/>
      <c r="F5706" s="58"/>
      <c r="G5706" s="58"/>
    </row>
    <row r="5707">
      <c r="D5707" s="58"/>
      <c r="E5707" s="58"/>
      <c r="F5707" s="58"/>
      <c r="G5707" s="58"/>
    </row>
    <row r="5708">
      <c r="D5708" s="58"/>
      <c r="E5708" s="58"/>
      <c r="F5708" s="58"/>
      <c r="G5708" s="58"/>
    </row>
    <row r="5709">
      <c r="D5709" s="58"/>
      <c r="E5709" s="58"/>
      <c r="F5709" s="58"/>
      <c r="G5709" s="58"/>
    </row>
    <row r="5710">
      <c r="D5710" s="58"/>
      <c r="E5710" s="58"/>
      <c r="F5710" s="58"/>
      <c r="G5710" s="58"/>
    </row>
    <row r="5711">
      <c r="D5711" s="58"/>
      <c r="E5711" s="58"/>
      <c r="F5711" s="58"/>
      <c r="G5711" s="58"/>
    </row>
    <row r="5712">
      <c r="D5712" s="58"/>
      <c r="E5712" s="58"/>
      <c r="F5712" s="58"/>
      <c r="G5712" s="58"/>
    </row>
    <row r="5713">
      <c r="D5713" s="58"/>
      <c r="E5713" s="58"/>
      <c r="F5713" s="58"/>
      <c r="G5713" s="58"/>
    </row>
    <row r="5714">
      <c r="D5714" s="58"/>
      <c r="E5714" s="58"/>
      <c r="F5714" s="58"/>
      <c r="G5714" s="58"/>
    </row>
    <row r="5715">
      <c r="D5715" s="58"/>
      <c r="E5715" s="58"/>
      <c r="F5715" s="58"/>
      <c r="G5715" s="58"/>
    </row>
    <row r="5716">
      <c r="D5716" s="58"/>
      <c r="E5716" s="58"/>
      <c r="F5716" s="58"/>
      <c r="G5716" s="58"/>
    </row>
    <row r="5717">
      <c r="D5717" s="58"/>
      <c r="E5717" s="58"/>
      <c r="F5717" s="58"/>
      <c r="G5717" s="58"/>
    </row>
    <row r="5718">
      <c r="D5718" s="58"/>
      <c r="E5718" s="58"/>
      <c r="F5718" s="58"/>
      <c r="G5718" s="58"/>
    </row>
    <row r="5719">
      <c r="D5719" s="58"/>
      <c r="E5719" s="58"/>
      <c r="F5719" s="58"/>
      <c r="G5719" s="58"/>
    </row>
    <row r="5720">
      <c r="D5720" s="58"/>
      <c r="E5720" s="58"/>
      <c r="F5720" s="58"/>
      <c r="G5720" s="58"/>
    </row>
    <row r="5721">
      <c r="D5721" s="58"/>
      <c r="E5721" s="58"/>
      <c r="F5721" s="58"/>
      <c r="G5721" s="58"/>
    </row>
    <row r="5722">
      <c r="D5722" s="58"/>
      <c r="E5722" s="58"/>
      <c r="F5722" s="58"/>
      <c r="G5722" s="58"/>
    </row>
    <row r="5723">
      <c r="D5723" s="58"/>
      <c r="E5723" s="58"/>
      <c r="F5723" s="58"/>
      <c r="G5723" s="58"/>
    </row>
    <row r="5724">
      <c r="D5724" s="58"/>
      <c r="E5724" s="58"/>
      <c r="F5724" s="58"/>
      <c r="G5724" s="58"/>
    </row>
    <row r="5725">
      <c r="D5725" s="58"/>
      <c r="E5725" s="58"/>
      <c r="F5725" s="58"/>
      <c r="G5725" s="58"/>
    </row>
    <row r="5726">
      <c r="D5726" s="58"/>
      <c r="E5726" s="58"/>
      <c r="F5726" s="58"/>
      <c r="G5726" s="58"/>
    </row>
    <row r="5727">
      <c r="D5727" s="58"/>
      <c r="E5727" s="58"/>
      <c r="F5727" s="58"/>
      <c r="G5727" s="58"/>
    </row>
    <row r="5728">
      <c r="D5728" s="58"/>
      <c r="E5728" s="58"/>
      <c r="F5728" s="58"/>
      <c r="G5728" s="58"/>
    </row>
    <row r="5729">
      <c r="D5729" s="58"/>
      <c r="E5729" s="58"/>
      <c r="F5729" s="58"/>
      <c r="G5729" s="58"/>
    </row>
    <row r="5730">
      <c r="D5730" s="58"/>
      <c r="E5730" s="58"/>
      <c r="F5730" s="58"/>
      <c r="G5730" s="58"/>
    </row>
    <row r="5731">
      <c r="D5731" s="58"/>
      <c r="E5731" s="58"/>
      <c r="F5731" s="58"/>
      <c r="G5731" s="58"/>
    </row>
    <row r="5732">
      <c r="D5732" s="58"/>
      <c r="E5732" s="58"/>
      <c r="F5732" s="58"/>
      <c r="G5732" s="58"/>
    </row>
    <row r="5733">
      <c r="D5733" s="58"/>
      <c r="E5733" s="58"/>
      <c r="F5733" s="58"/>
      <c r="G5733" s="58"/>
    </row>
    <row r="5734">
      <c r="D5734" s="58"/>
      <c r="E5734" s="58"/>
      <c r="F5734" s="58"/>
      <c r="G5734" s="58"/>
    </row>
    <row r="5735">
      <c r="D5735" s="58"/>
      <c r="E5735" s="58"/>
      <c r="F5735" s="58"/>
      <c r="G5735" s="58"/>
    </row>
    <row r="5736">
      <c r="D5736" s="58"/>
      <c r="E5736" s="58"/>
      <c r="F5736" s="58"/>
      <c r="G5736" s="58"/>
    </row>
    <row r="5737">
      <c r="D5737" s="58"/>
      <c r="E5737" s="58"/>
      <c r="F5737" s="58"/>
      <c r="G5737" s="58"/>
    </row>
    <row r="5738">
      <c r="D5738" s="58"/>
      <c r="E5738" s="58"/>
      <c r="F5738" s="58"/>
      <c r="G5738" s="58"/>
    </row>
    <row r="5739">
      <c r="D5739" s="58"/>
      <c r="E5739" s="58"/>
      <c r="F5739" s="58"/>
      <c r="G5739" s="58"/>
    </row>
    <row r="5740">
      <c r="D5740" s="58"/>
      <c r="E5740" s="58"/>
      <c r="F5740" s="58"/>
      <c r="G5740" s="58"/>
    </row>
    <row r="5741">
      <c r="D5741" s="58"/>
      <c r="E5741" s="58"/>
      <c r="F5741" s="58"/>
      <c r="G5741" s="58"/>
    </row>
    <row r="5742">
      <c r="D5742" s="58"/>
      <c r="E5742" s="58"/>
      <c r="F5742" s="58"/>
      <c r="G5742" s="58"/>
    </row>
    <row r="5743">
      <c r="D5743" s="58"/>
      <c r="E5743" s="58"/>
      <c r="F5743" s="58"/>
      <c r="G5743" s="58"/>
    </row>
    <row r="5744">
      <c r="D5744" s="58"/>
      <c r="E5744" s="58"/>
      <c r="F5744" s="58"/>
      <c r="G5744" s="58"/>
    </row>
    <row r="5745">
      <c r="D5745" s="58"/>
      <c r="E5745" s="58"/>
      <c r="F5745" s="58"/>
      <c r="G5745" s="58"/>
    </row>
    <row r="5746">
      <c r="D5746" s="58"/>
      <c r="E5746" s="58"/>
      <c r="F5746" s="58"/>
      <c r="G5746" s="58"/>
    </row>
    <row r="5747">
      <c r="D5747" s="58"/>
      <c r="E5747" s="58"/>
      <c r="F5747" s="58"/>
      <c r="G5747" s="58"/>
    </row>
    <row r="5748">
      <c r="D5748" s="58"/>
      <c r="E5748" s="58"/>
      <c r="F5748" s="58"/>
      <c r="G5748" s="58"/>
    </row>
    <row r="5749">
      <c r="D5749" s="58"/>
      <c r="E5749" s="58"/>
      <c r="F5749" s="58"/>
      <c r="G5749" s="58"/>
    </row>
    <row r="5750">
      <c r="D5750" s="58"/>
      <c r="E5750" s="58"/>
      <c r="F5750" s="58"/>
      <c r="G5750" s="58"/>
    </row>
    <row r="5751">
      <c r="D5751" s="58"/>
      <c r="E5751" s="58"/>
      <c r="F5751" s="58"/>
      <c r="G5751" s="58"/>
    </row>
    <row r="5752">
      <c r="D5752" s="58"/>
      <c r="E5752" s="58"/>
      <c r="F5752" s="58"/>
      <c r="G5752" s="58"/>
    </row>
    <row r="5753">
      <c r="D5753" s="58"/>
      <c r="E5753" s="58"/>
      <c r="F5753" s="58"/>
      <c r="G5753" s="58"/>
    </row>
    <row r="5754">
      <c r="D5754" s="58"/>
      <c r="E5754" s="58"/>
      <c r="F5754" s="58"/>
      <c r="G5754" s="58"/>
    </row>
    <row r="5755">
      <c r="D5755" s="58"/>
      <c r="E5755" s="58"/>
      <c r="F5755" s="58"/>
      <c r="G5755" s="58"/>
    </row>
    <row r="5756">
      <c r="D5756" s="58"/>
      <c r="E5756" s="58"/>
      <c r="F5756" s="58"/>
      <c r="G5756" s="58"/>
    </row>
    <row r="5757">
      <c r="D5757" s="58"/>
      <c r="E5757" s="58"/>
      <c r="F5757" s="58"/>
      <c r="G5757" s="58"/>
    </row>
    <row r="5758">
      <c r="D5758" s="58"/>
      <c r="E5758" s="58"/>
      <c r="F5758" s="58"/>
      <c r="G5758" s="58"/>
    </row>
    <row r="5759">
      <c r="D5759" s="58"/>
      <c r="E5759" s="58"/>
      <c r="F5759" s="58"/>
      <c r="G5759" s="58"/>
    </row>
    <row r="5760">
      <c r="D5760" s="58"/>
      <c r="E5760" s="58"/>
      <c r="F5760" s="58"/>
      <c r="G5760" s="58"/>
    </row>
    <row r="5761">
      <c r="D5761" s="58"/>
      <c r="E5761" s="58"/>
      <c r="F5761" s="58"/>
      <c r="G5761" s="58"/>
    </row>
    <row r="5762">
      <c r="D5762" s="58"/>
      <c r="E5762" s="58"/>
      <c r="F5762" s="58"/>
      <c r="G5762" s="58"/>
    </row>
    <row r="5763">
      <c r="D5763" s="58"/>
      <c r="E5763" s="58"/>
      <c r="F5763" s="58"/>
      <c r="G5763" s="58"/>
    </row>
    <row r="5764">
      <c r="D5764" s="58"/>
      <c r="E5764" s="58"/>
      <c r="F5764" s="58"/>
      <c r="G5764" s="58"/>
    </row>
    <row r="5765">
      <c r="D5765" s="58"/>
      <c r="E5765" s="58"/>
      <c r="F5765" s="58"/>
      <c r="G5765" s="58"/>
    </row>
    <row r="5766">
      <c r="D5766" s="58"/>
      <c r="E5766" s="58"/>
      <c r="F5766" s="58"/>
      <c r="G5766" s="58"/>
    </row>
    <row r="5767">
      <c r="D5767" s="58"/>
      <c r="E5767" s="58"/>
      <c r="F5767" s="58"/>
      <c r="G5767" s="58"/>
    </row>
    <row r="5768">
      <c r="D5768" s="58"/>
      <c r="E5768" s="58"/>
      <c r="F5768" s="58"/>
      <c r="G5768" s="58"/>
    </row>
    <row r="5769">
      <c r="D5769" s="58"/>
      <c r="E5769" s="58"/>
      <c r="F5769" s="58"/>
      <c r="G5769" s="58"/>
    </row>
    <row r="5770">
      <c r="D5770" s="58"/>
      <c r="E5770" s="58"/>
      <c r="F5770" s="58"/>
      <c r="G5770" s="58"/>
    </row>
    <row r="5771">
      <c r="D5771" s="58"/>
      <c r="E5771" s="58"/>
      <c r="F5771" s="58"/>
      <c r="G5771" s="58"/>
    </row>
    <row r="5772">
      <c r="D5772" s="58"/>
      <c r="E5772" s="58"/>
      <c r="F5772" s="58"/>
      <c r="G5772" s="58"/>
    </row>
    <row r="5773">
      <c r="D5773" s="58"/>
      <c r="E5773" s="58"/>
      <c r="F5773" s="58"/>
      <c r="G5773" s="58"/>
    </row>
    <row r="5774">
      <c r="D5774" s="58"/>
      <c r="E5774" s="58"/>
      <c r="F5774" s="58"/>
      <c r="G5774" s="58"/>
    </row>
    <row r="5775">
      <c r="D5775" s="58"/>
      <c r="E5775" s="58"/>
      <c r="F5775" s="58"/>
      <c r="G5775" s="58"/>
    </row>
    <row r="5776">
      <c r="D5776" s="58"/>
      <c r="E5776" s="58"/>
      <c r="F5776" s="58"/>
      <c r="G5776" s="58"/>
    </row>
    <row r="5777">
      <c r="D5777" s="58"/>
      <c r="E5777" s="58"/>
      <c r="F5777" s="58"/>
      <c r="G5777" s="58"/>
    </row>
    <row r="5778">
      <c r="D5778" s="58"/>
      <c r="E5778" s="58"/>
      <c r="F5778" s="58"/>
      <c r="G5778" s="58"/>
    </row>
    <row r="5779">
      <c r="D5779" s="58"/>
      <c r="E5779" s="58"/>
      <c r="F5779" s="58"/>
      <c r="G5779" s="58"/>
    </row>
    <row r="5780">
      <c r="D5780" s="58"/>
      <c r="E5780" s="58"/>
      <c r="F5780" s="58"/>
      <c r="G5780" s="58"/>
    </row>
    <row r="5781">
      <c r="D5781" s="58"/>
      <c r="E5781" s="58"/>
      <c r="F5781" s="58"/>
      <c r="G5781" s="58"/>
    </row>
    <row r="5782">
      <c r="D5782" s="58"/>
      <c r="E5782" s="58"/>
      <c r="F5782" s="58"/>
      <c r="G5782" s="58"/>
    </row>
    <row r="5783">
      <c r="D5783" s="58"/>
      <c r="E5783" s="58"/>
      <c r="F5783" s="58"/>
      <c r="G5783" s="58"/>
    </row>
    <row r="5784">
      <c r="D5784" s="58"/>
      <c r="E5784" s="58"/>
      <c r="F5784" s="58"/>
      <c r="G5784" s="58"/>
    </row>
    <row r="5785">
      <c r="D5785" s="58"/>
      <c r="E5785" s="58"/>
      <c r="F5785" s="58"/>
      <c r="G5785" s="58"/>
    </row>
    <row r="5786">
      <c r="D5786" s="58"/>
      <c r="E5786" s="58"/>
      <c r="F5786" s="58"/>
      <c r="G5786" s="58"/>
    </row>
    <row r="5787">
      <c r="D5787" s="58"/>
      <c r="E5787" s="58"/>
      <c r="F5787" s="58"/>
      <c r="G5787" s="58"/>
    </row>
    <row r="5788">
      <c r="D5788" s="58"/>
      <c r="E5788" s="58"/>
      <c r="F5788" s="58"/>
      <c r="G5788" s="58"/>
    </row>
    <row r="5789">
      <c r="D5789" s="58"/>
      <c r="E5789" s="58"/>
      <c r="F5789" s="58"/>
      <c r="G5789" s="58"/>
    </row>
    <row r="5790">
      <c r="D5790" s="58"/>
      <c r="E5790" s="58"/>
      <c r="F5790" s="58"/>
      <c r="G5790" s="58"/>
    </row>
    <row r="5791">
      <c r="D5791" s="58"/>
      <c r="E5791" s="58"/>
      <c r="F5791" s="58"/>
      <c r="G5791" s="58"/>
    </row>
    <row r="5792">
      <c r="D5792" s="58"/>
      <c r="E5792" s="58"/>
      <c r="F5792" s="58"/>
      <c r="G5792" s="58"/>
    </row>
    <row r="5793">
      <c r="D5793" s="58"/>
      <c r="E5793" s="58"/>
      <c r="F5793" s="58"/>
      <c r="G5793" s="58"/>
    </row>
    <row r="5794">
      <c r="D5794" s="58"/>
      <c r="E5794" s="58"/>
      <c r="F5794" s="58"/>
      <c r="G5794" s="58"/>
    </row>
    <row r="5795">
      <c r="D5795" s="58"/>
      <c r="E5795" s="58"/>
      <c r="F5795" s="58"/>
      <c r="G5795" s="58"/>
    </row>
    <row r="5796">
      <c r="D5796" s="58"/>
      <c r="E5796" s="58"/>
      <c r="F5796" s="58"/>
      <c r="G5796" s="58"/>
    </row>
    <row r="5797">
      <c r="D5797" s="58"/>
      <c r="E5797" s="58"/>
      <c r="F5797" s="58"/>
      <c r="G5797" s="58"/>
    </row>
    <row r="5798">
      <c r="D5798" s="58"/>
      <c r="E5798" s="58"/>
      <c r="F5798" s="58"/>
      <c r="G5798" s="58"/>
    </row>
    <row r="5799">
      <c r="D5799" s="58"/>
      <c r="E5799" s="58"/>
      <c r="F5799" s="58"/>
      <c r="G5799" s="58"/>
    </row>
    <row r="5800">
      <c r="D5800" s="58"/>
      <c r="E5800" s="58"/>
      <c r="F5800" s="58"/>
      <c r="G5800" s="58"/>
    </row>
    <row r="5801">
      <c r="D5801" s="58"/>
      <c r="E5801" s="58"/>
      <c r="F5801" s="58"/>
      <c r="G5801" s="58"/>
    </row>
    <row r="5802">
      <c r="D5802" s="58"/>
      <c r="E5802" s="58"/>
      <c r="F5802" s="58"/>
      <c r="G5802" s="58"/>
    </row>
    <row r="5803">
      <c r="D5803" s="58"/>
      <c r="E5803" s="58"/>
      <c r="F5803" s="58"/>
      <c r="G5803" s="58"/>
    </row>
    <row r="5804">
      <c r="D5804" s="58"/>
      <c r="E5804" s="58"/>
      <c r="F5804" s="58"/>
      <c r="G5804" s="58"/>
    </row>
    <row r="5805">
      <c r="D5805" s="58"/>
      <c r="E5805" s="58"/>
      <c r="F5805" s="58"/>
      <c r="G5805" s="58"/>
    </row>
    <row r="5806">
      <c r="D5806" s="58"/>
      <c r="E5806" s="58"/>
      <c r="F5806" s="58"/>
      <c r="G5806" s="58"/>
    </row>
    <row r="5807">
      <c r="D5807" s="58"/>
      <c r="E5807" s="58"/>
      <c r="F5807" s="58"/>
      <c r="G5807" s="58"/>
    </row>
    <row r="5808">
      <c r="D5808" s="58"/>
      <c r="E5808" s="58"/>
      <c r="F5808" s="58"/>
      <c r="G5808" s="58"/>
    </row>
    <row r="5809">
      <c r="D5809" s="58"/>
      <c r="E5809" s="58"/>
      <c r="F5809" s="58"/>
      <c r="G5809" s="58"/>
    </row>
    <row r="5810">
      <c r="D5810" s="58"/>
      <c r="E5810" s="58"/>
      <c r="F5810" s="58"/>
      <c r="G5810" s="58"/>
    </row>
    <row r="5811">
      <c r="D5811" s="58"/>
      <c r="E5811" s="58"/>
      <c r="F5811" s="58"/>
      <c r="G5811" s="58"/>
    </row>
    <row r="5812">
      <c r="D5812" s="58"/>
      <c r="E5812" s="58"/>
      <c r="F5812" s="58"/>
      <c r="G5812" s="58"/>
    </row>
    <row r="5813">
      <c r="D5813" s="58"/>
      <c r="E5813" s="58"/>
      <c r="F5813" s="58"/>
      <c r="G5813" s="58"/>
    </row>
    <row r="5814">
      <c r="D5814" s="58"/>
      <c r="E5814" s="58"/>
      <c r="F5814" s="58"/>
      <c r="G5814" s="58"/>
    </row>
    <row r="5815">
      <c r="D5815" s="58"/>
      <c r="E5815" s="58"/>
      <c r="F5815" s="58"/>
      <c r="G5815" s="58"/>
    </row>
    <row r="5816">
      <c r="D5816" s="58"/>
      <c r="E5816" s="58"/>
      <c r="F5816" s="58"/>
      <c r="G5816" s="58"/>
    </row>
    <row r="5817">
      <c r="D5817" s="58"/>
      <c r="E5817" s="58"/>
      <c r="F5817" s="58"/>
      <c r="G5817" s="58"/>
    </row>
    <row r="5818">
      <c r="D5818" s="58"/>
      <c r="E5818" s="58"/>
      <c r="F5818" s="58"/>
      <c r="G5818" s="58"/>
    </row>
    <row r="5819">
      <c r="D5819" s="58"/>
      <c r="E5819" s="58"/>
      <c r="F5819" s="58"/>
      <c r="G5819" s="58"/>
    </row>
    <row r="5820">
      <c r="D5820" s="58"/>
      <c r="E5820" s="58"/>
      <c r="F5820" s="58"/>
      <c r="G5820" s="58"/>
    </row>
    <row r="5821">
      <c r="D5821" s="58"/>
      <c r="E5821" s="58"/>
      <c r="F5821" s="58"/>
      <c r="G5821" s="58"/>
    </row>
    <row r="5822">
      <c r="D5822" s="58"/>
      <c r="E5822" s="58"/>
      <c r="F5822" s="58"/>
      <c r="G5822" s="58"/>
    </row>
    <row r="5823">
      <c r="D5823" s="58"/>
      <c r="E5823" s="58"/>
      <c r="F5823" s="58"/>
      <c r="G5823" s="58"/>
    </row>
    <row r="5824">
      <c r="D5824" s="58"/>
      <c r="E5824" s="58"/>
      <c r="F5824" s="58"/>
      <c r="G5824" s="58"/>
    </row>
    <row r="5825">
      <c r="D5825" s="58"/>
      <c r="E5825" s="58"/>
      <c r="F5825" s="58"/>
      <c r="G5825" s="58"/>
    </row>
    <row r="5826">
      <c r="D5826" s="58"/>
      <c r="E5826" s="58"/>
      <c r="F5826" s="58"/>
      <c r="G5826" s="58"/>
    </row>
    <row r="5827">
      <c r="D5827" s="58"/>
      <c r="E5827" s="58"/>
      <c r="F5827" s="58"/>
      <c r="G5827" s="58"/>
    </row>
    <row r="5828">
      <c r="D5828" s="58"/>
      <c r="E5828" s="58"/>
      <c r="F5828" s="58"/>
      <c r="G5828" s="58"/>
    </row>
    <row r="5829">
      <c r="D5829" s="58"/>
      <c r="E5829" s="58"/>
      <c r="F5829" s="58"/>
      <c r="G5829" s="58"/>
    </row>
    <row r="5830">
      <c r="D5830" s="58"/>
      <c r="E5830" s="58"/>
      <c r="F5830" s="58"/>
      <c r="G5830" s="58"/>
    </row>
    <row r="5831">
      <c r="D5831" s="58"/>
      <c r="E5831" s="58"/>
      <c r="F5831" s="58"/>
      <c r="G5831" s="58"/>
    </row>
    <row r="5832">
      <c r="D5832" s="58"/>
      <c r="E5832" s="58"/>
      <c r="F5832" s="58"/>
      <c r="G5832" s="58"/>
    </row>
    <row r="5833">
      <c r="D5833" s="58"/>
      <c r="E5833" s="58"/>
      <c r="F5833" s="58"/>
      <c r="G5833" s="58"/>
    </row>
    <row r="5834">
      <c r="D5834" s="58"/>
      <c r="E5834" s="58"/>
      <c r="F5834" s="58"/>
      <c r="G5834" s="58"/>
    </row>
    <row r="5835">
      <c r="D5835" s="58"/>
      <c r="E5835" s="58"/>
      <c r="F5835" s="58"/>
      <c r="G5835" s="58"/>
    </row>
    <row r="5836">
      <c r="D5836" s="58"/>
      <c r="E5836" s="58"/>
      <c r="F5836" s="58"/>
      <c r="G5836" s="58"/>
    </row>
    <row r="5837">
      <c r="D5837" s="58"/>
      <c r="E5837" s="58"/>
      <c r="F5837" s="58"/>
      <c r="G5837" s="58"/>
    </row>
    <row r="5838">
      <c r="D5838" s="58"/>
      <c r="E5838" s="58"/>
      <c r="F5838" s="58"/>
      <c r="G5838" s="58"/>
    </row>
    <row r="5839">
      <c r="D5839" s="58"/>
      <c r="E5839" s="58"/>
      <c r="F5839" s="58"/>
      <c r="G5839" s="58"/>
    </row>
    <row r="5840">
      <c r="D5840" s="58"/>
      <c r="E5840" s="58"/>
      <c r="F5840" s="58"/>
      <c r="G5840" s="58"/>
    </row>
    <row r="5841">
      <c r="D5841" s="58"/>
      <c r="E5841" s="58"/>
      <c r="F5841" s="58"/>
      <c r="G5841" s="58"/>
    </row>
    <row r="5842">
      <c r="D5842" s="58"/>
      <c r="E5842" s="58"/>
      <c r="F5842" s="58"/>
      <c r="G5842" s="58"/>
    </row>
    <row r="5843">
      <c r="D5843" s="58"/>
      <c r="E5843" s="58"/>
      <c r="F5843" s="58"/>
      <c r="G5843" s="58"/>
    </row>
    <row r="5844">
      <c r="D5844" s="58"/>
      <c r="E5844" s="58"/>
      <c r="F5844" s="58"/>
      <c r="G5844" s="58"/>
    </row>
    <row r="5845">
      <c r="D5845" s="58"/>
      <c r="E5845" s="58"/>
      <c r="F5845" s="58"/>
      <c r="G5845" s="58"/>
    </row>
    <row r="5846">
      <c r="D5846" s="58"/>
      <c r="E5846" s="58"/>
      <c r="F5846" s="58"/>
      <c r="G5846" s="58"/>
    </row>
    <row r="5847">
      <c r="D5847" s="58"/>
      <c r="E5847" s="58"/>
      <c r="F5847" s="58"/>
      <c r="G5847" s="58"/>
    </row>
    <row r="5848">
      <c r="D5848" s="58"/>
      <c r="E5848" s="58"/>
      <c r="F5848" s="58"/>
      <c r="G5848" s="58"/>
    </row>
    <row r="5849">
      <c r="D5849" s="58"/>
      <c r="E5849" s="58"/>
      <c r="F5849" s="58"/>
      <c r="G5849" s="58"/>
    </row>
    <row r="5850">
      <c r="D5850" s="58"/>
      <c r="E5850" s="58"/>
      <c r="F5850" s="58"/>
      <c r="G5850" s="58"/>
    </row>
    <row r="5851">
      <c r="D5851" s="58"/>
      <c r="E5851" s="58"/>
      <c r="F5851" s="58"/>
      <c r="G5851" s="58"/>
    </row>
    <row r="5852">
      <c r="D5852" s="58"/>
      <c r="E5852" s="58"/>
      <c r="F5852" s="58"/>
      <c r="G5852" s="58"/>
    </row>
    <row r="5853">
      <c r="D5853" s="58"/>
      <c r="E5853" s="58"/>
      <c r="F5853" s="58"/>
      <c r="G5853" s="58"/>
    </row>
    <row r="5854">
      <c r="D5854" s="58"/>
      <c r="E5854" s="58"/>
      <c r="F5854" s="58"/>
      <c r="G5854" s="58"/>
    </row>
    <row r="5855">
      <c r="D5855" s="58"/>
      <c r="E5855" s="58"/>
      <c r="F5855" s="58"/>
      <c r="G5855" s="58"/>
    </row>
    <row r="5856">
      <c r="D5856" s="58"/>
      <c r="E5856" s="58"/>
      <c r="F5856" s="58"/>
      <c r="G5856" s="58"/>
    </row>
    <row r="5857">
      <c r="D5857" s="58"/>
      <c r="E5857" s="58"/>
      <c r="F5857" s="58"/>
      <c r="G5857" s="58"/>
    </row>
    <row r="5858">
      <c r="D5858" s="58"/>
      <c r="E5858" s="58"/>
      <c r="F5858" s="58"/>
      <c r="G5858" s="58"/>
    </row>
    <row r="5859">
      <c r="D5859" s="58"/>
      <c r="E5859" s="58"/>
      <c r="F5859" s="58"/>
      <c r="G5859" s="58"/>
    </row>
    <row r="5860">
      <c r="D5860" s="58"/>
      <c r="E5860" s="58"/>
      <c r="F5860" s="58"/>
      <c r="G5860" s="58"/>
    </row>
    <row r="5861">
      <c r="D5861" s="58"/>
      <c r="E5861" s="58"/>
      <c r="F5861" s="58"/>
      <c r="G5861" s="58"/>
    </row>
    <row r="5862">
      <c r="D5862" s="58"/>
      <c r="E5862" s="58"/>
      <c r="F5862" s="58"/>
      <c r="G5862" s="58"/>
    </row>
    <row r="5863">
      <c r="D5863" s="58"/>
      <c r="E5863" s="58"/>
      <c r="F5863" s="58"/>
      <c r="G5863" s="58"/>
    </row>
    <row r="5864">
      <c r="D5864" s="58"/>
      <c r="E5864" s="58"/>
      <c r="F5864" s="58"/>
      <c r="G5864" s="58"/>
    </row>
    <row r="5865">
      <c r="D5865" s="58"/>
      <c r="E5865" s="58"/>
      <c r="F5865" s="58"/>
      <c r="G5865" s="58"/>
    </row>
    <row r="5866">
      <c r="D5866" s="58"/>
      <c r="E5866" s="58"/>
      <c r="F5866" s="58"/>
      <c r="G5866" s="58"/>
    </row>
    <row r="5867">
      <c r="D5867" s="58"/>
      <c r="E5867" s="58"/>
      <c r="F5867" s="58"/>
      <c r="G5867" s="58"/>
    </row>
    <row r="5868">
      <c r="D5868" s="58"/>
      <c r="E5868" s="58"/>
      <c r="F5868" s="58"/>
      <c r="G5868" s="58"/>
    </row>
    <row r="5869">
      <c r="D5869" s="58"/>
      <c r="E5869" s="58"/>
      <c r="F5869" s="58"/>
      <c r="G5869" s="58"/>
    </row>
    <row r="5870">
      <c r="D5870" s="58"/>
      <c r="E5870" s="58"/>
      <c r="F5870" s="58"/>
      <c r="G5870" s="58"/>
    </row>
    <row r="5871">
      <c r="D5871" s="58"/>
      <c r="E5871" s="58"/>
      <c r="F5871" s="58"/>
      <c r="G5871" s="58"/>
    </row>
    <row r="5872">
      <c r="D5872" s="58"/>
      <c r="E5872" s="58"/>
      <c r="F5872" s="58"/>
      <c r="G5872" s="58"/>
    </row>
    <row r="5873">
      <c r="D5873" s="58"/>
      <c r="E5873" s="58"/>
      <c r="F5873" s="58"/>
      <c r="G5873" s="58"/>
    </row>
    <row r="5874">
      <c r="D5874" s="58"/>
      <c r="E5874" s="58"/>
      <c r="F5874" s="58"/>
      <c r="G5874" s="58"/>
    </row>
    <row r="5875">
      <c r="D5875" s="58"/>
      <c r="E5875" s="58"/>
      <c r="F5875" s="58"/>
      <c r="G5875" s="58"/>
    </row>
    <row r="5876">
      <c r="D5876" s="58"/>
      <c r="E5876" s="58"/>
      <c r="F5876" s="58"/>
      <c r="G5876" s="58"/>
    </row>
    <row r="5877">
      <c r="D5877" s="58"/>
      <c r="E5877" s="58"/>
      <c r="F5877" s="58"/>
      <c r="G5877" s="58"/>
    </row>
    <row r="5878">
      <c r="D5878" s="58"/>
      <c r="E5878" s="58"/>
      <c r="F5878" s="58"/>
      <c r="G5878" s="58"/>
    </row>
    <row r="5879">
      <c r="D5879" s="58"/>
      <c r="E5879" s="58"/>
      <c r="F5879" s="58"/>
      <c r="G5879" s="58"/>
    </row>
    <row r="5880">
      <c r="D5880" s="58"/>
      <c r="E5880" s="58"/>
      <c r="F5880" s="58"/>
      <c r="G5880" s="58"/>
    </row>
    <row r="5881">
      <c r="D5881" s="58"/>
      <c r="E5881" s="58"/>
      <c r="F5881" s="58"/>
      <c r="G5881" s="58"/>
    </row>
    <row r="5882">
      <c r="D5882" s="58"/>
      <c r="E5882" s="58"/>
      <c r="F5882" s="58"/>
      <c r="G5882" s="58"/>
    </row>
    <row r="5883">
      <c r="D5883" s="58"/>
      <c r="E5883" s="58"/>
      <c r="F5883" s="58"/>
      <c r="G5883" s="58"/>
    </row>
    <row r="5884">
      <c r="D5884" s="58"/>
      <c r="E5884" s="58"/>
      <c r="F5884" s="58"/>
      <c r="G5884" s="58"/>
    </row>
    <row r="5885">
      <c r="D5885" s="58"/>
      <c r="E5885" s="58"/>
      <c r="F5885" s="58"/>
      <c r="G5885" s="58"/>
    </row>
    <row r="5886">
      <c r="D5886" s="58"/>
      <c r="E5886" s="58"/>
      <c r="F5886" s="58"/>
      <c r="G5886" s="58"/>
    </row>
    <row r="5887">
      <c r="D5887" s="58"/>
      <c r="E5887" s="58"/>
      <c r="F5887" s="58"/>
      <c r="G5887" s="58"/>
    </row>
    <row r="5888">
      <c r="D5888" s="58"/>
      <c r="E5888" s="58"/>
      <c r="F5888" s="58"/>
      <c r="G5888" s="58"/>
    </row>
    <row r="5889">
      <c r="D5889" s="58"/>
      <c r="E5889" s="58"/>
      <c r="F5889" s="58"/>
      <c r="G5889" s="58"/>
    </row>
    <row r="5890">
      <c r="D5890" s="58"/>
      <c r="E5890" s="58"/>
      <c r="F5890" s="58"/>
      <c r="G5890" s="58"/>
    </row>
    <row r="5891">
      <c r="D5891" s="58"/>
      <c r="E5891" s="58"/>
      <c r="F5891" s="58"/>
      <c r="G5891" s="58"/>
    </row>
    <row r="5892">
      <c r="D5892" s="58"/>
      <c r="E5892" s="58"/>
      <c r="F5892" s="58"/>
      <c r="G5892" s="58"/>
    </row>
    <row r="5893">
      <c r="D5893" s="58"/>
      <c r="E5893" s="58"/>
      <c r="F5893" s="58"/>
      <c r="G5893" s="58"/>
    </row>
    <row r="5894">
      <c r="D5894" s="58"/>
      <c r="E5894" s="58"/>
      <c r="F5894" s="58"/>
      <c r="G5894" s="58"/>
    </row>
    <row r="5895">
      <c r="D5895" s="58"/>
      <c r="E5895" s="58"/>
      <c r="F5895" s="58"/>
      <c r="G5895" s="58"/>
    </row>
    <row r="5896">
      <c r="D5896" s="58"/>
      <c r="E5896" s="58"/>
      <c r="F5896" s="58"/>
      <c r="G5896" s="58"/>
    </row>
    <row r="5897">
      <c r="D5897" s="58"/>
      <c r="E5897" s="58"/>
      <c r="F5897" s="58"/>
      <c r="G5897" s="58"/>
    </row>
    <row r="5898">
      <c r="D5898" s="58"/>
      <c r="E5898" s="58"/>
      <c r="F5898" s="58"/>
      <c r="G5898" s="58"/>
    </row>
    <row r="5899">
      <c r="D5899" s="58"/>
      <c r="E5899" s="58"/>
      <c r="F5899" s="58"/>
      <c r="G5899" s="58"/>
    </row>
    <row r="5900">
      <c r="D5900" s="58"/>
      <c r="E5900" s="58"/>
      <c r="F5900" s="58"/>
      <c r="G5900" s="58"/>
    </row>
    <row r="5901">
      <c r="D5901" s="58"/>
      <c r="E5901" s="58"/>
      <c r="F5901" s="58"/>
      <c r="G5901" s="58"/>
    </row>
    <row r="5902">
      <c r="D5902" s="58"/>
      <c r="E5902" s="58"/>
      <c r="F5902" s="58"/>
      <c r="G5902" s="58"/>
    </row>
    <row r="5903">
      <c r="D5903" s="58"/>
      <c r="E5903" s="58"/>
      <c r="F5903" s="58"/>
      <c r="G5903" s="58"/>
    </row>
    <row r="5904">
      <c r="D5904" s="58"/>
      <c r="E5904" s="58"/>
      <c r="F5904" s="58"/>
      <c r="G5904" s="58"/>
    </row>
    <row r="5905">
      <c r="D5905" s="58"/>
      <c r="E5905" s="58"/>
      <c r="F5905" s="58"/>
      <c r="G5905" s="58"/>
    </row>
    <row r="5906">
      <c r="D5906" s="58"/>
      <c r="E5906" s="58"/>
      <c r="F5906" s="58"/>
      <c r="G5906" s="58"/>
    </row>
    <row r="5907">
      <c r="D5907" s="58"/>
      <c r="E5907" s="58"/>
      <c r="F5907" s="58"/>
      <c r="G5907" s="58"/>
    </row>
    <row r="5908">
      <c r="D5908" s="58"/>
      <c r="E5908" s="58"/>
      <c r="F5908" s="58"/>
      <c r="G5908" s="58"/>
    </row>
    <row r="5909">
      <c r="D5909" s="58"/>
      <c r="E5909" s="58"/>
      <c r="F5909" s="58"/>
      <c r="G5909" s="58"/>
    </row>
    <row r="5910">
      <c r="D5910" s="58"/>
      <c r="E5910" s="58"/>
      <c r="F5910" s="58"/>
      <c r="G5910" s="58"/>
    </row>
    <row r="5911">
      <c r="D5911" s="58"/>
      <c r="E5911" s="58"/>
      <c r="F5911" s="58"/>
      <c r="G5911" s="58"/>
    </row>
    <row r="5912">
      <c r="D5912" s="58"/>
      <c r="E5912" s="58"/>
      <c r="F5912" s="58"/>
      <c r="G5912" s="58"/>
    </row>
    <row r="5913">
      <c r="D5913" s="58"/>
      <c r="E5913" s="58"/>
      <c r="F5913" s="58"/>
      <c r="G5913" s="58"/>
    </row>
    <row r="5914">
      <c r="D5914" s="58"/>
      <c r="E5914" s="58"/>
      <c r="F5914" s="58"/>
      <c r="G5914" s="58"/>
    </row>
    <row r="5915">
      <c r="D5915" s="58"/>
      <c r="E5915" s="58"/>
      <c r="F5915" s="58"/>
      <c r="G5915" s="58"/>
    </row>
    <row r="5916">
      <c r="D5916" s="58"/>
      <c r="E5916" s="58"/>
      <c r="F5916" s="58"/>
      <c r="G5916" s="58"/>
    </row>
    <row r="5917">
      <c r="D5917" s="58"/>
      <c r="E5917" s="58"/>
      <c r="F5917" s="58"/>
      <c r="G5917" s="58"/>
    </row>
    <row r="5918">
      <c r="D5918" s="58"/>
      <c r="E5918" s="58"/>
      <c r="F5918" s="58"/>
      <c r="G5918" s="58"/>
    </row>
    <row r="5919">
      <c r="D5919" s="58"/>
      <c r="E5919" s="58"/>
      <c r="F5919" s="58"/>
      <c r="G5919" s="58"/>
    </row>
    <row r="5920">
      <c r="D5920" s="58"/>
      <c r="E5920" s="58"/>
      <c r="F5920" s="58"/>
      <c r="G5920" s="58"/>
    </row>
    <row r="5921">
      <c r="D5921" s="58"/>
      <c r="E5921" s="58"/>
      <c r="F5921" s="58"/>
      <c r="G5921" s="58"/>
    </row>
    <row r="5922">
      <c r="D5922" s="58"/>
      <c r="E5922" s="58"/>
      <c r="F5922" s="58"/>
      <c r="G5922" s="58"/>
    </row>
    <row r="5923">
      <c r="D5923" s="58"/>
      <c r="E5923" s="58"/>
      <c r="F5923" s="58"/>
      <c r="G5923" s="58"/>
    </row>
    <row r="5924">
      <c r="D5924" s="58"/>
      <c r="E5924" s="58"/>
      <c r="F5924" s="58"/>
      <c r="G5924" s="58"/>
    </row>
    <row r="5925">
      <c r="D5925" s="58"/>
      <c r="E5925" s="58"/>
      <c r="F5925" s="58"/>
      <c r="G5925" s="58"/>
    </row>
    <row r="5926">
      <c r="D5926" s="58"/>
      <c r="E5926" s="58"/>
      <c r="F5926" s="58"/>
      <c r="G5926" s="58"/>
    </row>
    <row r="5927">
      <c r="D5927" s="58"/>
      <c r="E5927" s="58"/>
      <c r="F5927" s="58"/>
      <c r="G5927" s="58"/>
    </row>
    <row r="5928">
      <c r="D5928" s="58"/>
      <c r="E5928" s="58"/>
      <c r="F5928" s="58"/>
      <c r="G5928" s="58"/>
    </row>
    <row r="5929">
      <c r="D5929" s="58"/>
      <c r="E5929" s="58"/>
      <c r="F5929" s="58"/>
      <c r="G5929" s="58"/>
    </row>
    <row r="5930">
      <c r="D5930" s="58"/>
      <c r="E5930" s="58"/>
      <c r="F5930" s="58"/>
      <c r="G5930" s="58"/>
    </row>
    <row r="5931">
      <c r="D5931" s="58"/>
      <c r="E5931" s="58"/>
      <c r="F5931" s="58"/>
      <c r="G5931" s="58"/>
    </row>
    <row r="5932">
      <c r="D5932" s="58"/>
      <c r="E5932" s="58"/>
      <c r="F5932" s="58"/>
      <c r="G5932" s="58"/>
    </row>
    <row r="5933">
      <c r="D5933" s="58"/>
      <c r="E5933" s="58"/>
      <c r="F5933" s="58"/>
      <c r="G5933" s="58"/>
    </row>
    <row r="5934">
      <c r="D5934" s="58"/>
      <c r="E5934" s="58"/>
      <c r="F5934" s="58"/>
      <c r="G5934" s="58"/>
    </row>
    <row r="5935">
      <c r="D5935" s="58"/>
      <c r="E5935" s="58"/>
      <c r="F5935" s="58"/>
      <c r="G5935" s="58"/>
    </row>
    <row r="5936">
      <c r="D5936" s="58"/>
      <c r="E5936" s="58"/>
      <c r="F5936" s="58"/>
      <c r="G5936" s="58"/>
    </row>
    <row r="5937">
      <c r="D5937" s="58"/>
      <c r="E5937" s="58"/>
      <c r="F5937" s="58"/>
      <c r="G5937" s="58"/>
    </row>
    <row r="5938">
      <c r="D5938" s="58"/>
      <c r="E5938" s="58"/>
      <c r="F5938" s="58"/>
      <c r="G5938" s="58"/>
    </row>
    <row r="5939">
      <c r="D5939" s="58"/>
      <c r="E5939" s="58"/>
      <c r="F5939" s="58"/>
      <c r="G5939" s="58"/>
    </row>
    <row r="5940">
      <c r="D5940" s="58"/>
      <c r="E5940" s="58"/>
      <c r="F5940" s="58"/>
      <c r="G5940" s="58"/>
    </row>
    <row r="5941">
      <c r="D5941" s="58"/>
      <c r="E5941" s="58"/>
      <c r="F5941" s="58"/>
      <c r="G5941" s="58"/>
    </row>
    <row r="5942">
      <c r="D5942" s="58"/>
      <c r="E5942" s="58"/>
      <c r="F5942" s="58"/>
      <c r="G5942" s="58"/>
    </row>
    <row r="5943">
      <c r="D5943" s="58"/>
      <c r="E5943" s="58"/>
      <c r="F5943" s="58"/>
      <c r="G5943" s="58"/>
    </row>
    <row r="5944">
      <c r="D5944" s="58"/>
      <c r="E5944" s="58"/>
      <c r="F5944" s="58"/>
      <c r="G5944" s="58"/>
    </row>
    <row r="5945">
      <c r="D5945" s="58"/>
      <c r="E5945" s="58"/>
      <c r="F5945" s="58"/>
      <c r="G5945" s="58"/>
    </row>
    <row r="5946">
      <c r="D5946" s="58"/>
      <c r="E5946" s="58"/>
      <c r="F5946" s="58"/>
      <c r="G5946" s="58"/>
    </row>
    <row r="5947">
      <c r="D5947" s="58"/>
      <c r="E5947" s="58"/>
      <c r="F5947" s="58"/>
      <c r="G5947" s="58"/>
    </row>
    <row r="5948">
      <c r="D5948" s="58"/>
      <c r="E5948" s="58"/>
      <c r="F5948" s="58"/>
      <c r="G5948" s="58"/>
    </row>
    <row r="5949">
      <c r="D5949" s="58"/>
      <c r="E5949" s="58"/>
      <c r="F5949" s="58"/>
      <c r="G5949" s="58"/>
    </row>
    <row r="5950">
      <c r="D5950" s="58"/>
      <c r="E5950" s="58"/>
      <c r="F5950" s="58"/>
      <c r="G5950" s="58"/>
    </row>
    <row r="5951">
      <c r="D5951" s="58"/>
      <c r="E5951" s="58"/>
      <c r="F5951" s="58"/>
      <c r="G5951" s="58"/>
    </row>
    <row r="5952">
      <c r="D5952" s="58"/>
      <c r="E5952" s="58"/>
      <c r="F5952" s="58"/>
      <c r="G5952" s="58"/>
    </row>
    <row r="5953">
      <c r="D5953" s="58"/>
      <c r="E5953" s="58"/>
      <c r="F5953" s="58"/>
      <c r="G5953" s="58"/>
    </row>
    <row r="5954">
      <c r="D5954" s="58"/>
      <c r="E5954" s="58"/>
      <c r="F5954" s="58"/>
      <c r="G5954" s="58"/>
    </row>
    <row r="5955">
      <c r="D5955" s="58"/>
      <c r="E5955" s="58"/>
      <c r="F5955" s="58"/>
      <c r="G5955" s="58"/>
    </row>
    <row r="5956">
      <c r="D5956" s="58"/>
      <c r="E5956" s="58"/>
      <c r="F5956" s="58"/>
      <c r="G5956" s="58"/>
    </row>
    <row r="5957">
      <c r="D5957" s="58"/>
      <c r="E5957" s="58"/>
      <c r="F5957" s="58"/>
      <c r="G5957" s="58"/>
    </row>
    <row r="5958">
      <c r="D5958" s="58"/>
      <c r="E5958" s="58"/>
      <c r="F5958" s="58"/>
      <c r="G5958" s="58"/>
    </row>
    <row r="5959">
      <c r="D5959" s="58"/>
      <c r="E5959" s="58"/>
      <c r="F5959" s="58"/>
      <c r="G5959" s="58"/>
    </row>
    <row r="5960">
      <c r="D5960" s="58"/>
      <c r="E5960" s="58"/>
      <c r="F5960" s="58"/>
      <c r="G5960" s="58"/>
    </row>
    <row r="5961">
      <c r="D5961" s="58"/>
      <c r="E5961" s="58"/>
      <c r="F5961" s="58"/>
      <c r="G5961" s="58"/>
    </row>
    <row r="5962">
      <c r="D5962" s="58"/>
      <c r="E5962" s="58"/>
      <c r="F5962" s="58"/>
      <c r="G5962" s="58"/>
    </row>
    <row r="5963">
      <c r="D5963" s="58"/>
      <c r="E5963" s="58"/>
      <c r="F5963" s="58"/>
      <c r="G5963" s="58"/>
    </row>
    <row r="5964">
      <c r="D5964" s="58"/>
      <c r="E5964" s="58"/>
      <c r="F5964" s="58"/>
      <c r="G5964" s="58"/>
    </row>
    <row r="5965">
      <c r="D5965" s="58"/>
      <c r="E5965" s="58"/>
      <c r="F5965" s="58"/>
      <c r="G5965" s="58"/>
    </row>
    <row r="5966">
      <c r="D5966" s="58"/>
      <c r="E5966" s="58"/>
      <c r="F5966" s="58"/>
      <c r="G5966" s="58"/>
    </row>
    <row r="5967">
      <c r="D5967" s="58"/>
      <c r="E5967" s="58"/>
      <c r="F5967" s="58"/>
      <c r="G5967" s="58"/>
    </row>
    <row r="5968">
      <c r="D5968" s="58"/>
      <c r="E5968" s="58"/>
      <c r="F5968" s="58"/>
      <c r="G5968" s="58"/>
    </row>
    <row r="5969">
      <c r="D5969" s="58"/>
      <c r="E5969" s="58"/>
      <c r="F5969" s="58"/>
      <c r="G5969" s="58"/>
    </row>
    <row r="5970">
      <c r="D5970" s="58"/>
      <c r="E5970" s="58"/>
      <c r="F5970" s="58"/>
      <c r="G5970" s="58"/>
    </row>
    <row r="5971">
      <c r="D5971" s="58"/>
      <c r="E5971" s="58"/>
      <c r="F5971" s="58"/>
      <c r="G5971" s="58"/>
    </row>
    <row r="5972">
      <c r="D5972" s="58"/>
      <c r="E5972" s="58"/>
      <c r="F5972" s="58"/>
      <c r="G5972" s="58"/>
    </row>
    <row r="5973">
      <c r="D5973" s="58"/>
      <c r="E5973" s="58"/>
      <c r="F5973" s="58"/>
      <c r="G5973" s="58"/>
    </row>
    <row r="5974">
      <c r="D5974" s="58"/>
      <c r="E5974" s="58"/>
      <c r="F5974" s="58"/>
      <c r="G5974" s="58"/>
    </row>
    <row r="5975">
      <c r="D5975" s="58"/>
      <c r="E5975" s="58"/>
      <c r="F5975" s="58"/>
      <c r="G5975" s="58"/>
    </row>
    <row r="5976">
      <c r="D5976" s="58"/>
      <c r="E5976" s="58"/>
      <c r="F5976" s="58"/>
      <c r="G5976" s="58"/>
    </row>
    <row r="5977">
      <c r="D5977" s="58"/>
      <c r="E5977" s="58"/>
      <c r="F5977" s="58"/>
      <c r="G5977" s="58"/>
    </row>
    <row r="5978">
      <c r="D5978" s="58"/>
      <c r="E5978" s="58"/>
      <c r="F5978" s="58"/>
      <c r="G5978" s="58"/>
    </row>
    <row r="5979">
      <c r="D5979" s="58"/>
      <c r="E5979" s="58"/>
      <c r="F5979" s="58"/>
      <c r="G5979" s="58"/>
    </row>
    <row r="5980">
      <c r="D5980" s="58"/>
      <c r="E5980" s="58"/>
      <c r="F5980" s="58"/>
      <c r="G5980" s="58"/>
    </row>
    <row r="5981">
      <c r="D5981" s="58"/>
      <c r="E5981" s="58"/>
      <c r="F5981" s="58"/>
      <c r="G5981" s="58"/>
    </row>
    <row r="5982">
      <c r="D5982" s="58"/>
      <c r="E5982" s="58"/>
      <c r="F5982" s="58"/>
      <c r="G5982" s="58"/>
    </row>
    <row r="5983">
      <c r="D5983" s="58"/>
      <c r="E5983" s="58"/>
      <c r="F5983" s="58"/>
      <c r="G5983" s="58"/>
    </row>
    <row r="5984">
      <c r="D5984" s="58"/>
      <c r="E5984" s="58"/>
      <c r="F5984" s="58"/>
      <c r="G5984" s="58"/>
    </row>
    <row r="5985">
      <c r="D5985" s="58"/>
      <c r="E5985" s="58"/>
      <c r="F5985" s="58"/>
      <c r="G5985" s="58"/>
    </row>
    <row r="5986">
      <c r="D5986" s="58"/>
      <c r="E5986" s="58"/>
      <c r="F5986" s="58"/>
      <c r="G5986" s="58"/>
    </row>
    <row r="5987">
      <c r="D5987" s="58"/>
      <c r="E5987" s="58"/>
      <c r="F5987" s="58"/>
      <c r="G5987" s="58"/>
    </row>
    <row r="5988">
      <c r="D5988" s="58"/>
      <c r="E5988" s="58"/>
      <c r="F5988" s="58"/>
      <c r="G5988" s="58"/>
    </row>
    <row r="5989">
      <c r="D5989" s="58"/>
      <c r="E5989" s="58"/>
      <c r="F5989" s="58"/>
      <c r="G5989" s="58"/>
    </row>
    <row r="5990">
      <c r="D5990" s="58"/>
      <c r="E5990" s="58"/>
      <c r="F5990" s="58"/>
      <c r="G5990" s="58"/>
    </row>
    <row r="5991">
      <c r="D5991" s="58"/>
      <c r="E5991" s="58"/>
      <c r="F5991" s="58"/>
      <c r="G5991" s="58"/>
    </row>
    <row r="5992">
      <c r="D5992" s="58"/>
      <c r="E5992" s="58"/>
      <c r="F5992" s="58"/>
      <c r="G5992" s="58"/>
    </row>
    <row r="5993">
      <c r="D5993" s="58"/>
      <c r="E5993" s="58"/>
      <c r="F5993" s="58"/>
      <c r="G5993" s="58"/>
    </row>
    <row r="5994">
      <c r="D5994" s="58"/>
      <c r="E5994" s="58"/>
      <c r="F5994" s="58"/>
      <c r="G5994" s="58"/>
    </row>
    <row r="5995">
      <c r="D5995" s="58"/>
      <c r="E5995" s="58"/>
      <c r="F5995" s="58"/>
      <c r="G5995" s="58"/>
    </row>
    <row r="5996">
      <c r="D5996" s="58"/>
      <c r="E5996" s="58"/>
      <c r="F5996" s="58"/>
      <c r="G5996" s="58"/>
    </row>
    <row r="5997">
      <c r="D5997" s="58"/>
      <c r="E5997" s="58"/>
      <c r="F5997" s="58"/>
      <c r="G5997" s="58"/>
    </row>
    <row r="5998">
      <c r="D5998" s="58"/>
      <c r="E5998" s="58"/>
      <c r="F5998" s="58"/>
      <c r="G5998" s="58"/>
    </row>
    <row r="5999">
      <c r="D5999" s="58"/>
      <c r="E5999" s="58"/>
      <c r="F5999" s="58"/>
      <c r="G5999" s="58"/>
    </row>
    <row r="6000">
      <c r="D6000" s="58"/>
      <c r="E6000" s="58"/>
      <c r="F6000" s="58"/>
      <c r="G6000" s="58"/>
    </row>
    <row r="6001">
      <c r="D6001" s="58"/>
      <c r="E6001" s="58"/>
      <c r="F6001" s="58"/>
      <c r="G6001" s="58"/>
    </row>
    <row r="6002">
      <c r="D6002" s="58"/>
      <c r="E6002" s="58"/>
      <c r="F6002" s="58"/>
      <c r="G6002" s="58"/>
    </row>
    <row r="6003">
      <c r="D6003" s="58"/>
      <c r="E6003" s="58"/>
      <c r="F6003" s="58"/>
      <c r="G6003" s="58"/>
    </row>
    <row r="6004">
      <c r="D6004" s="58"/>
      <c r="E6004" s="58"/>
      <c r="F6004" s="58"/>
      <c r="G6004" s="58"/>
    </row>
    <row r="6005">
      <c r="D6005" s="58"/>
      <c r="E6005" s="58"/>
      <c r="F6005" s="58"/>
      <c r="G6005" s="58"/>
    </row>
    <row r="6006">
      <c r="D6006" s="58"/>
      <c r="E6006" s="58"/>
      <c r="F6006" s="58"/>
      <c r="G6006" s="58"/>
    </row>
    <row r="6007">
      <c r="D6007" s="58"/>
      <c r="E6007" s="58"/>
      <c r="F6007" s="58"/>
      <c r="G6007" s="58"/>
    </row>
    <row r="6008">
      <c r="D6008" s="58"/>
      <c r="E6008" s="58"/>
      <c r="F6008" s="58"/>
      <c r="G6008" s="58"/>
    </row>
    <row r="6009">
      <c r="D6009" s="58"/>
      <c r="E6009" s="58"/>
      <c r="F6009" s="58"/>
      <c r="G6009" s="58"/>
    </row>
    <row r="6010">
      <c r="D6010" s="58"/>
      <c r="E6010" s="58"/>
      <c r="F6010" s="58"/>
      <c r="G6010" s="58"/>
    </row>
    <row r="6011">
      <c r="D6011" s="58"/>
      <c r="E6011" s="58"/>
      <c r="F6011" s="58"/>
      <c r="G6011" s="58"/>
    </row>
    <row r="6012">
      <c r="D6012" s="58"/>
      <c r="E6012" s="58"/>
      <c r="F6012" s="58"/>
      <c r="G6012" s="58"/>
    </row>
    <row r="6013">
      <c r="D6013" s="58"/>
      <c r="E6013" s="58"/>
      <c r="F6013" s="58"/>
      <c r="G6013" s="58"/>
    </row>
    <row r="6014">
      <c r="D6014" s="58"/>
      <c r="E6014" s="58"/>
      <c r="F6014" s="58"/>
      <c r="G6014" s="58"/>
    </row>
    <row r="6015">
      <c r="D6015" s="58"/>
      <c r="E6015" s="58"/>
      <c r="F6015" s="58"/>
      <c r="G6015" s="58"/>
    </row>
    <row r="6016">
      <c r="D6016" s="58"/>
      <c r="E6016" s="58"/>
      <c r="F6016" s="58"/>
      <c r="G6016" s="58"/>
    </row>
    <row r="6017">
      <c r="D6017" s="58"/>
      <c r="E6017" s="58"/>
      <c r="F6017" s="58"/>
      <c r="G6017" s="58"/>
    </row>
    <row r="6018">
      <c r="D6018" s="58"/>
      <c r="E6018" s="58"/>
      <c r="F6018" s="58"/>
      <c r="G6018" s="58"/>
    </row>
    <row r="6019">
      <c r="D6019" s="58"/>
      <c r="E6019" s="58"/>
      <c r="F6019" s="58"/>
      <c r="G6019" s="58"/>
    </row>
    <row r="6020">
      <c r="D6020" s="58"/>
      <c r="E6020" s="58"/>
      <c r="F6020" s="58"/>
      <c r="G6020" s="58"/>
    </row>
    <row r="6021">
      <c r="D6021" s="58"/>
      <c r="E6021" s="58"/>
      <c r="F6021" s="58"/>
      <c r="G6021" s="58"/>
    </row>
    <row r="6022">
      <c r="D6022" s="58"/>
      <c r="E6022" s="58"/>
      <c r="F6022" s="58"/>
      <c r="G6022" s="58"/>
    </row>
    <row r="6023">
      <c r="D6023" s="58"/>
      <c r="E6023" s="58"/>
      <c r="F6023" s="58"/>
      <c r="G6023" s="58"/>
    </row>
    <row r="6024">
      <c r="D6024" s="58"/>
      <c r="E6024" s="58"/>
      <c r="F6024" s="58"/>
      <c r="G6024" s="58"/>
    </row>
    <row r="6025">
      <c r="D6025" s="58"/>
      <c r="E6025" s="58"/>
      <c r="F6025" s="58"/>
      <c r="G6025" s="58"/>
    </row>
    <row r="6026">
      <c r="D6026" s="58"/>
      <c r="E6026" s="58"/>
      <c r="F6026" s="58"/>
      <c r="G6026" s="58"/>
    </row>
    <row r="6027">
      <c r="D6027" s="58"/>
      <c r="E6027" s="58"/>
      <c r="F6027" s="58"/>
      <c r="G6027" s="58"/>
    </row>
    <row r="6028">
      <c r="D6028" s="58"/>
      <c r="E6028" s="58"/>
      <c r="F6028" s="58"/>
      <c r="G6028" s="58"/>
    </row>
    <row r="6029">
      <c r="D6029" s="58"/>
      <c r="E6029" s="58"/>
      <c r="F6029" s="58"/>
      <c r="G6029" s="58"/>
    </row>
    <row r="6030">
      <c r="D6030" s="58"/>
      <c r="E6030" s="58"/>
      <c r="F6030" s="58"/>
      <c r="G6030" s="58"/>
    </row>
    <row r="6031">
      <c r="D6031" s="58"/>
      <c r="E6031" s="58"/>
      <c r="F6031" s="58"/>
      <c r="G6031" s="58"/>
    </row>
    <row r="6032">
      <c r="D6032" s="58"/>
      <c r="E6032" s="58"/>
      <c r="F6032" s="58"/>
      <c r="G6032" s="58"/>
    </row>
    <row r="6033">
      <c r="D6033" s="58"/>
      <c r="E6033" s="58"/>
      <c r="F6033" s="58"/>
      <c r="G6033" s="58"/>
    </row>
    <row r="6034">
      <c r="D6034" s="58"/>
      <c r="E6034" s="58"/>
      <c r="F6034" s="58"/>
      <c r="G6034" s="58"/>
    </row>
    <row r="6035">
      <c r="D6035" s="58"/>
      <c r="E6035" s="58"/>
      <c r="F6035" s="58"/>
      <c r="G6035" s="58"/>
    </row>
    <row r="6036">
      <c r="D6036" s="58"/>
      <c r="E6036" s="58"/>
      <c r="F6036" s="58"/>
      <c r="G6036" s="58"/>
    </row>
    <row r="6037">
      <c r="D6037" s="58"/>
      <c r="E6037" s="58"/>
      <c r="F6037" s="58"/>
      <c r="G6037" s="58"/>
    </row>
    <row r="6038">
      <c r="D6038" s="58"/>
      <c r="E6038" s="58"/>
      <c r="F6038" s="58"/>
      <c r="G6038" s="58"/>
    </row>
    <row r="6039">
      <c r="D6039" s="58"/>
      <c r="E6039" s="58"/>
      <c r="F6039" s="58"/>
      <c r="G6039" s="58"/>
    </row>
    <row r="6040">
      <c r="D6040" s="58"/>
      <c r="E6040" s="58"/>
      <c r="F6040" s="58"/>
      <c r="G6040" s="58"/>
    </row>
    <row r="6041">
      <c r="D6041" s="58"/>
      <c r="E6041" s="58"/>
      <c r="F6041" s="58"/>
      <c r="G6041" s="58"/>
    </row>
    <row r="6042">
      <c r="D6042" s="58"/>
      <c r="E6042" s="58"/>
      <c r="F6042" s="58"/>
      <c r="G6042" s="58"/>
    </row>
    <row r="6043">
      <c r="D6043" s="58"/>
      <c r="E6043" s="58"/>
      <c r="F6043" s="58"/>
      <c r="G6043" s="58"/>
    </row>
    <row r="6044">
      <c r="D6044" s="58"/>
      <c r="E6044" s="58"/>
      <c r="F6044" s="58"/>
      <c r="G6044" s="58"/>
    </row>
    <row r="6045">
      <c r="D6045" s="58"/>
      <c r="E6045" s="58"/>
      <c r="F6045" s="58"/>
      <c r="G6045" s="58"/>
    </row>
    <row r="6046">
      <c r="D6046" s="58"/>
      <c r="E6046" s="58"/>
      <c r="F6046" s="58"/>
      <c r="G6046" s="58"/>
    </row>
    <row r="6047">
      <c r="D6047" s="58"/>
      <c r="E6047" s="58"/>
      <c r="F6047" s="58"/>
      <c r="G6047" s="58"/>
    </row>
    <row r="6048">
      <c r="D6048" s="58"/>
      <c r="E6048" s="58"/>
      <c r="F6048" s="58"/>
      <c r="G6048" s="58"/>
    </row>
    <row r="6049">
      <c r="D6049" s="58"/>
      <c r="E6049" s="58"/>
      <c r="F6049" s="58"/>
      <c r="G6049" s="58"/>
    </row>
    <row r="6050">
      <c r="D6050" s="58"/>
      <c r="E6050" s="58"/>
      <c r="F6050" s="58"/>
      <c r="G6050" s="58"/>
    </row>
    <row r="6051">
      <c r="D6051" s="58"/>
      <c r="E6051" s="58"/>
      <c r="F6051" s="58"/>
      <c r="G6051" s="58"/>
    </row>
    <row r="6052">
      <c r="D6052" s="58"/>
      <c r="E6052" s="58"/>
      <c r="F6052" s="58"/>
      <c r="G6052" s="58"/>
    </row>
    <row r="6053">
      <c r="D6053" s="58"/>
      <c r="E6053" s="58"/>
      <c r="F6053" s="58"/>
      <c r="G6053" s="58"/>
    </row>
    <row r="6054">
      <c r="D6054" s="58"/>
      <c r="E6054" s="58"/>
      <c r="F6054" s="58"/>
      <c r="G6054" s="58"/>
    </row>
    <row r="6055">
      <c r="D6055" s="58"/>
      <c r="E6055" s="58"/>
      <c r="F6055" s="58"/>
      <c r="G6055" s="58"/>
    </row>
    <row r="6056">
      <c r="D6056" s="58"/>
      <c r="E6056" s="58"/>
      <c r="F6056" s="58"/>
      <c r="G6056" s="58"/>
    </row>
    <row r="6057">
      <c r="D6057" s="58"/>
      <c r="E6057" s="58"/>
      <c r="F6057" s="58"/>
      <c r="G6057" s="58"/>
    </row>
    <row r="6058">
      <c r="D6058" s="58"/>
      <c r="E6058" s="58"/>
      <c r="F6058" s="58"/>
      <c r="G6058" s="58"/>
    </row>
    <row r="6059">
      <c r="D6059" s="58"/>
      <c r="E6059" s="58"/>
      <c r="F6059" s="58"/>
      <c r="G6059" s="58"/>
    </row>
    <row r="6060">
      <c r="D6060" s="58"/>
      <c r="E6060" s="58"/>
      <c r="F6060" s="58"/>
      <c r="G6060" s="58"/>
    </row>
    <row r="6061">
      <c r="D6061" s="58"/>
      <c r="E6061" s="58"/>
      <c r="F6061" s="58"/>
      <c r="G6061" s="58"/>
    </row>
    <row r="6062">
      <c r="D6062" s="58"/>
      <c r="E6062" s="58"/>
      <c r="F6062" s="58"/>
      <c r="G6062" s="58"/>
    </row>
    <row r="6063">
      <c r="D6063" s="58"/>
      <c r="E6063" s="58"/>
      <c r="F6063" s="58"/>
      <c r="G6063" s="58"/>
    </row>
    <row r="6064">
      <c r="D6064" s="58"/>
      <c r="E6064" s="58"/>
      <c r="F6064" s="58"/>
      <c r="G6064" s="58"/>
    </row>
    <row r="6065">
      <c r="D6065" s="58"/>
      <c r="E6065" s="58"/>
      <c r="F6065" s="58"/>
      <c r="G6065" s="58"/>
    </row>
    <row r="6066">
      <c r="D6066" s="58"/>
      <c r="E6066" s="58"/>
      <c r="F6066" s="58"/>
      <c r="G6066" s="58"/>
    </row>
    <row r="6067">
      <c r="D6067" s="58"/>
      <c r="E6067" s="58"/>
      <c r="F6067" s="58"/>
      <c r="G6067" s="58"/>
    </row>
    <row r="6068">
      <c r="D6068" s="58"/>
      <c r="E6068" s="58"/>
      <c r="F6068" s="58"/>
      <c r="G6068" s="58"/>
    </row>
    <row r="6069">
      <c r="D6069" s="58"/>
      <c r="E6069" s="58"/>
      <c r="F6069" s="58"/>
      <c r="G6069" s="58"/>
    </row>
    <row r="6070">
      <c r="D6070" s="58"/>
      <c r="E6070" s="58"/>
      <c r="F6070" s="58"/>
      <c r="G6070" s="58"/>
    </row>
    <row r="6071">
      <c r="D6071" s="58"/>
      <c r="E6071" s="58"/>
      <c r="F6071" s="58"/>
      <c r="G6071" s="58"/>
    </row>
    <row r="6072">
      <c r="D6072" s="58"/>
      <c r="E6072" s="58"/>
      <c r="F6072" s="58"/>
      <c r="G6072" s="58"/>
    </row>
    <row r="6073">
      <c r="D6073" s="58"/>
      <c r="E6073" s="58"/>
      <c r="F6073" s="58"/>
      <c r="G6073" s="58"/>
    </row>
    <row r="6074">
      <c r="D6074" s="58"/>
      <c r="E6074" s="58"/>
      <c r="F6074" s="58"/>
      <c r="G6074" s="58"/>
    </row>
    <row r="6075">
      <c r="D6075" s="58"/>
      <c r="E6075" s="58"/>
      <c r="F6075" s="58"/>
      <c r="G6075" s="58"/>
    </row>
    <row r="6076">
      <c r="D6076" s="58"/>
      <c r="E6076" s="58"/>
      <c r="F6076" s="58"/>
      <c r="G6076" s="58"/>
    </row>
    <row r="6077">
      <c r="D6077" s="58"/>
      <c r="E6077" s="58"/>
      <c r="F6077" s="58"/>
      <c r="G6077" s="58"/>
    </row>
    <row r="6078">
      <c r="D6078" s="58"/>
      <c r="E6078" s="58"/>
      <c r="F6078" s="58"/>
      <c r="G6078" s="58"/>
    </row>
    <row r="6079">
      <c r="D6079" s="58"/>
      <c r="E6079" s="58"/>
      <c r="F6079" s="58"/>
      <c r="G6079" s="58"/>
    </row>
    <row r="6080">
      <c r="D6080" s="58"/>
      <c r="E6080" s="58"/>
      <c r="F6080" s="58"/>
      <c r="G6080" s="58"/>
    </row>
    <row r="6081">
      <c r="D6081" s="58"/>
      <c r="E6081" s="58"/>
      <c r="F6081" s="58"/>
      <c r="G6081" s="58"/>
    </row>
    <row r="6082">
      <c r="D6082" s="58"/>
      <c r="E6082" s="58"/>
      <c r="F6082" s="58"/>
      <c r="G6082" s="58"/>
    </row>
    <row r="6083">
      <c r="D6083" s="58"/>
      <c r="E6083" s="58"/>
      <c r="F6083" s="58"/>
      <c r="G6083" s="58"/>
    </row>
    <row r="6084">
      <c r="D6084" s="58"/>
      <c r="E6084" s="58"/>
      <c r="F6084" s="58"/>
      <c r="G6084" s="58"/>
    </row>
    <row r="6085">
      <c r="D6085" s="58"/>
      <c r="E6085" s="58"/>
      <c r="F6085" s="58"/>
      <c r="G6085" s="58"/>
    </row>
    <row r="6086">
      <c r="D6086" s="58"/>
      <c r="E6086" s="58"/>
      <c r="F6086" s="58"/>
      <c r="G6086" s="58"/>
    </row>
    <row r="6087">
      <c r="D6087" s="58"/>
      <c r="E6087" s="58"/>
      <c r="F6087" s="58"/>
      <c r="G6087" s="58"/>
    </row>
    <row r="6088">
      <c r="D6088" s="58"/>
      <c r="E6088" s="58"/>
      <c r="F6088" s="58"/>
      <c r="G6088" s="58"/>
    </row>
    <row r="6089">
      <c r="D6089" s="58"/>
      <c r="E6089" s="58"/>
      <c r="F6089" s="58"/>
      <c r="G6089" s="58"/>
    </row>
    <row r="6090">
      <c r="D6090" s="58"/>
      <c r="E6090" s="58"/>
      <c r="F6090" s="58"/>
      <c r="G6090" s="58"/>
    </row>
    <row r="6091">
      <c r="D6091" s="58"/>
      <c r="E6091" s="58"/>
      <c r="F6091" s="58"/>
      <c r="G6091" s="58"/>
    </row>
    <row r="6092">
      <c r="D6092" s="58"/>
      <c r="E6092" s="58"/>
      <c r="F6092" s="58"/>
      <c r="G6092" s="58"/>
    </row>
    <row r="6093">
      <c r="D6093" s="58"/>
      <c r="E6093" s="58"/>
      <c r="F6093" s="58"/>
      <c r="G6093" s="58"/>
    </row>
    <row r="6094">
      <c r="D6094" s="58"/>
      <c r="E6094" s="58"/>
      <c r="F6094" s="58"/>
      <c r="G6094" s="58"/>
    </row>
    <row r="6095">
      <c r="D6095" s="58"/>
      <c r="E6095" s="58"/>
      <c r="F6095" s="58"/>
      <c r="G6095" s="58"/>
    </row>
    <row r="6096">
      <c r="D6096" s="58"/>
      <c r="E6096" s="58"/>
      <c r="F6096" s="58"/>
      <c r="G6096" s="58"/>
    </row>
    <row r="6097">
      <c r="D6097" s="58"/>
      <c r="E6097" s="58"/>
      <c r="F6097" s="58"/>
      <c r="G6097" s="58"/>
    </row>
    <row r="6098">
      <c r="D6098" s="58"/>
      <c r="E6098" s="58"/>
      <c r="F6098" s="58"/>
      <c r="G6098" s="58"/>
    </row>
    <row r="6099">
      <c r="D6099" s="58"/>
      <c r="E6099" s="58"/>
      <c r="F6099" s="58"/>
      <c r="G6099" s="58"/>
    </row>
    <row r="6100">
      <c r="D6100" s="58"/>
      <c r="E6100" s="58"/>
      <c r="F6100" s="58"/>
      <c r="G6100" s="58"/>
    </row>
    <row r="6101">
      <c r="D6101" s="58"/>
      <c r="E6101" s="58"/>
      <c r="F6101" s="58"/>
      <c r="G6101" s="58"/>
    </row>
    <row r="6102">
      <c r="D6102" s="58"/>
      <c r="E6102" s="58"/>
      <c r="F6102" s="58"/>
      <c r="G6102" s="58"/>
    </row>
    <row r="6103">
      <c r="D6103" s="58"/>
      <c r="E6103" s="58"/>
      <c r="F6103" s="58"/>
      <c r="G6103" s="58"/>
    </row>
    <row r="6104">
      <c r="D6104" s="58"/>
      <c r="E6104" s="58"/>
      <c r="F6104" s="58"/>
      <c r="G6104" s="58"/>
    </row>
    <row r="6105">
      <c r="D6105" s="58"/>
      <c r="E6105" s="58"/>
      <c r="F6105" s="58"/>
      <c r="G6105" s="58"/>
    </row>
    <row r="6106">
      <c r="D6106" s="58"/>
      <c r="E6106" s="58"/>
      <c r="F6106" s="58"/>
      <c r="G6106" s="58"/>
    </row>
    <row r="6107">
      <c r="D6107" s="58"/>
      <c r="E6107" s="58"/>
      <c r="F6107" s="58"/>
      <c r="G6107" s="58"/>
    </row>
    <row r="6108">
      <c r="D6108" s="58"/>
      <c r="E6108" s="58"/>
      <c r="F6108" s="58"/>
      <c r="G6108" s="58"/>
    </row>
    <row r="6109">
      <c r="D6109" s="58"/>
      <c r="E6109" s="58"/>
      <c r="F6109" s="58"/>
      <c r="G6109" s="58"/>
    </row>
    <row r="6110">
      <c r="D6110" s="58"/>
      <c r="E6110" s="58"/>
      <c r="F6110" s="58"/>
      <c r="G6110" s="58"/>
    </row>
    <row r="6111">
      <c r="D6111" s="58"/>
      <c r="E6111" s="58"/>
      <c r="F6111" s="58"/>
      <c r="G6111" s="58"/>
    </row>
    <row r="6112">
      <c r="D6112" s="58"/>
      <c r="E6112" s="58"/>
      <c r="F6112" s="58"/>
      <c r="G6112" s="58"/>
    </row>
    <row r="6113">
      <c r="D6113" s="58"/>
      <c r="E6113" s="58"/>
      <c r="F6113" s="58"/>
      <c r="G6113" s="58"/>
    </row>
    <row r="6114">
      <c r="D6114" s="58"/>
      <c r="E6114" s="58"/>
      <c r="F6114" s="58"/>
      <c r="G6114" s="58"/>
    </row>
    <row r="6115">
      <c r="D6115" s="58"/>
      <c r="E6115" s="58"/>
      <c r="F6115" s="58"/>
      <c r="G6115" s="58"/>
    </row>
    <row r="6116">
      <c r="D6116" s="58"/>
      <c r="E6116" s="58"/>
      <c r="F6116" s="58"/>
      <c r="G6116" s="58"/>
    </row>
    <row r="6117">
      <c r="D6117" s="58"/>
      <c r="E6117" s="58"/>
      <c r="F6117" s="58"/>
      <c r="G6117" s="58"/>
    </row>
    <row r="6118">
      <c r="D6118" s="58"/>
      <c r="E6118" s="58"/>
      <c r="F6118" s="58"/>
      <c r="G6118" s="58"/>
    </row>
    <row r="6119">
      <c r="D6119" s="58"/>
      <c r="E6119" s="58"/>
      <c r="F6119" s="58"/>
      <c r="G6119" s="58"/>
    </row>
    <row r="6120">
      <c r="D6120" s="58"/>
      <c r="E6120" s="58"/>
      <c r="F6120" s="58"/>
      <c r="G6120" s="58"/>
    </row>
    <row r="6121">
      <c r="D6121" s="58"/>
      <c r="E6121" s="58"/>
      <c r="F6121" s="58"/>
      <c r="G6121" s="58"/>
    </row>
    <row r="6122">
      <c r="D6122" s="58"/>
      <c r="E6122" s="58"/>
      <c r="F6122" s="58"/>
      <c r="G6122" s="58"/>
    </row>
    <row r="6123">
      <c r="D6123" s="58"/>
      <c r="E6123" s="58"/>
      <c r="F6123" s="58"/>
      <c r="G6123" s="58"/>
    </row>
    <row r="6124">
      <c r="D6124" s="58"/>
      <c r="E6124" s="58"/>
      <c r="F6124" s="58"/>
      <c r="G6124" s="58"/>
    </row>
    <row r="6125">
      <c r="D6125" s="58"/>
      <c r="E6125" s="58"/>
      <c r="F6125" s="58"/>
      <c r="G6125" s="58"/>
    </row>
    <row r="6126">
      <c r="D6126" s="58"/>
      <c r="E6126" s="58"/>
      <c r="F6126" s="58"/>
      <c r="G6126" s="58"/>
    </row>
    <row r="6127">
      <c r="D6127" s="58"/>
      <c r="E6127" s="58"/>
      <c r="F6127" s="58"/>
      <c r="G6127" s="58"/>
    </row>
    <row r="6128">
      <c r="D6128" s="58"/>
      <c r="E6128" s="58"/>
      <c r="F6128" s="58"/>
      <c r="G6128" s="58"/>
    </row>
    <row r="6129">
      <c r="D6129" s="58"/>
      <c r="E6129" s="58"/>
      <c r="F6129" s="58"/>
      <c r="G6129" s="58"/>
    </row>
    <row r="6130">
      <c r="D6130" s="58"/>
      <c r="E6130" s="58"/>
      <c r="F6130" s="58"/>
      <c r="G6130" s="58"/>
    </row>
    <row r="6131">
      <c r="D6131" s="58"/>
      <c r="E6131" s="58"/>
      <c r="F6131" s="58"/>
      <c r="G6131" s="58"/>
    </row>
    <row r="6132">
      <c r="D6132" s="58"/>
      <c r="E6132" s="58"/>
      <c r="F6132" s="58"/>
      <c r="G6132" s="58"/>
    </row>
    <row r="6133">
      <c r="D6133" s="58"/>
      <c r="E6133" s="58"/>
      <c r="F6133" s="58"/>
      <c r="G6133" s="58"/>
    </row>
    <row r="6134">
      <c r="D6134" s="58"/>
      <c r="E6134" s="58"/>
      <c r="F6134" s="58"/>
      <c r="G6134" s="58"/>
    </row>
    <row r="6135">
      <c r="D6135" s="58"/>
      <c r="E6135" s="58"/>
      <c r="F6135" s="58"/>
      <c r="G6135" s="58"/>
    </row>
    <row r="6136">
      <c r="D6136" s="58"/>
      <c r="E6136" s="58"/>
      <c r="F6136" s="58"/>
      <c r="G6136" s="58"/>
    </row>
    <row r="6137">
      <c r="D6137" s="58"/>
      <c r="E6137" s="58"/>
      <c r="F6137" s="58"/>
      <c r="G6137" s="58"/>
    </row>
    <row r="6138">
      <c r="D6138" s="58"/>
      <c r="E6138" s="58"/>
      <c r="F6138" s="58"/>
      <c r="G6138" s="58"/>
    </row>
    <row r="6139">
      <c r="D6139" s="58"/>
      <c r="E6139" s="58"/>
      <c r="F6139" s="58"/>
      <c r="G6139" s="58"/>
    </row>
    <row r="6140">
      <c r="D6140" s="58"/>
      <c r="E6140" s="58"/>
      <c r="F6140" s="58"/>
      <c r="G6140" s="58"/>
    </row>
    <row r="6141">
      <c r="D6141" s="58"/>
      <c r="E6141" s="58"/>
      <c r="F6141" s="58"/>
      <c r="G6141" s="58"/>
    </row>
    <row r="6142">
      <c r="D6142" s="58"/>
      <c r="E6142" s="58"/>
      <c r="F6142" s="58"/>
      <c r="G6142" s="58"/>
    </row>
    <row r="6143">
      <c r="D6143" s="58"/>
      <c r="E6143" s="58"/>
      <c r="F6143" s="58"/>
      <c r="G6143" s="58"/>
    </row>
    <row r="6144">
      <c r="D6144" s="58"/>
      <c r="E6144" s="58"/>
      <c r="F6144" s="58"/>
      <c r="G6144" s="58"/>
    </row>
    <row r="6145">
      <c r="D6145" s="58"/>
      <c r="E6145" s="58"/>
      <c r="F6145" s="58"/>
      <c r="G6145" s="58"/>
    </row>
    <row r="6146">
      <c r="D6146" s="58"/>
      <c r="E6146" s="58"/>
      <c r="F6146" s="58"/>
      <c r="G6146" s="58"/>
    </row>
    <row r="6147">
      <c r="D6147" s="58"/>
      <c r="E6147" s="58"/>
      <c r="F6147" s="58"/>
      <c r="G6147" s="58"/>
    </row>
    <row r="6148">
      <c r="D6148" s="58"/>
      <c r="E6148" s="58"/>
      <c r="F6148" s="58"/>
      <c r="G6148" s="58"/>
    </row>
    <row r="6149">
      <c r="D6149" s="58"/>
      <c r="E6149" s="58"/>
      <c r="F6149" s="58"/>
      <c r="G6149" s="58"/>
    </row>
    <row r="6150">
      <c r="D6150" s="58"/>
      <c r="E6150" s="58"/>
      <c r="F6150" s="58"/>
      <c r="G6150" s="58"/>
    </row>
    <row r="6151">
      <c r="D6151" s="58"/>
      <c r="E6151" s="58"/>
      <c r="F6151" s="58"/>
      <c r="G6151" s="58"/>
    </row>
    <row r="6152">
      <c r="D6152" s="58"/>
      <c r="E6152" s="58"/>
      <c r="F6152" s="58"/>
      <c r="G6152" s="58"/>
    </row>
    <row r="6153">
      <c r="D6153" s="58"/>
      <c r="E6153" s="58"/>
      <c r="F6153" s="58"/>
      <c r="G6153" s="58"/>
    </row>
    <row r="6154">
      <c r="D6154" s="58"/>
      <c r="E6154" s="58"/>
      <c r="F6154" s="58"/>
      <c r="G6154" s="58"/>
    </row>
    <row r="6155">
      <c r="D6155" s="58"/>
      <c r="E6155" s="58"/>
      <c r="F6155" s="58"/>
      <c r="G6155" s="58"/>
    </row>
    <row r="6156">
      <c r="D6156" s="58"/>
      <c r="E6156" s="58"/>
      <c r="F6156" s="58"/>
      <c r="G6156" s="58"/>
    </row>
    <row r="6157">
      <c r="D6157" s="58"/>
      <c r="E6157" s="58"/>
      <c r="F6157" s="58"/>
      <c r="G6157" s="58"/>
    </row>
    <row r="6158">
      <c r="D6158" s="58"/>
      <c r="E6158" s="58"/>
      <c r="F6158" s="58"/>
      <c r="G6158" s="58"/>
    </row>
    <row r="6159">
      <c r="D6159" s="58"/>
      <c r="E6159" s="58"/>
      <c r="F6159" s="58"/>
      <c r="G6159" s="58"/>
    </row>
    <row r="6160">
      <c r="D6160" s="58"/>
      <c r="E6160" s="58"/>
      <c r="F6160" s="58"/>
      <c r="G6160" s="58"/>
    </row>
    <row r="6161">
      <c r="D6161" s="58"/>
      <c r="E6161" s="58"/>
      <c r="F6161" s="58"/>
      <c r="G6161" s="58"/>
    </row>
    <row r="6162">
      <c r="D6162" s="58"/>
      <c r="E6162" s="58"/>
      <c r="F6162" s="58"/>
      <c r="G6162" s="58"/>
    </row>
    <row r="6163">
      <c r="D6163" s="58"/>
      <c r="E6163" s="58"/>
      <c r="F6163" s="58"/>
      <c r="G6163" s="58"/>
    </row>
    <row r="6164">
      <c r="D6164" s="58"/>
      <c r="E6164" s="58"/>
      <c r="F6164" s="58"/>
      <c r="G6164" s="58"/>
    </row>
    <row r="6165">
      <c r="D6165" s="58"/>
      <c r="E6165" s="58"/>
      <c r="F6165" s="58"/>
      <c r="G6165" s="58"/>
    </row>
    <row r="6166">
      <c r="D6166" s="58"/>
      <c r="E6166" s="58"/>
      <c r="F6166" s="58"/>
      <c r="G6166" s="58"/>
    </row>
    <row r="6167">
      <c r="D6167" s="58"/>
      <c r="E6167" s="58"/>
      <c r="F6167" s="58"/>
      <c r="G6167" s="58"/>
    </row>
    <row r="6168">
      <c r="D6168" s="58"/>
      <c r="E6168" s="58"/>
      <c r="F6168" s="58"/>
      <c r="G6168" s="58"/>
    </row>
    <row r="6169">
      <c r="D6169" s="58"/>
      <c r="E6169" s="58"/>
      <c r="F6169" s="58"/>
      <c r="G6169" s="58"/>
    </row>
    <row r="6170">
      <c r="D6170" s="58"/>
      <c r="E6170" s="58"/>
      <c r="F6170" s="58"/>
      <c r="G6170" s="58"/>
    </row>
    <row r="6171">
      <c r="D6171" s="58"/>
      <c r="E6171" s="58"/>
      <c r="F6171" s="58"/>
      <c r="G6171" s="58"/>
    </row>
    <row r="6172">
      <c r="D6172" s="58"/>
      <c r="E6172" s="58"/>
      <c r="F6172" s="58"/>
      <c r="G6172" s="58"/>
    </row>
    <row r="6173">
      <c r="D6173" s="58"/>
      <c r="E6173" s="58"/>
      <c r="F6173" s="58"/>
      <c r="G6173" s="58"/>
    </row>
    <row r="6174">
      <c r="D6174" s="58"/>
      <c r="E6174" s="58"/>
      <c r="F6174" s="58"/>
      <c r="G6174" s="58"/>
    </row>
    <row r="6175">
      <c r="D6175" s="58"/>
      <c r="E6175" s="58"/>
      <c r="F6175" s="58"/>
      <c r="G6175" s="58"/>
    </row>
    <row r="6176">
      <c r="D6176" s="58"/>
      <c r="E6176" s="58"/>
      <c r="F6176" s="58"/>
      <c r="G6176" s="58"/>
    </row>
    <row r="6177">
      <c r="D6177" s="58"/>
      <c r="E6177" s="58"/>
      <c r="F6177" s="58"/>
      <c r="G6177" s="58"/>
    </row>
    <row r="6178">
      <c r="D6178" s="58"/>
      <c r="E6178" s="58"/>
      <c r="F6178" s="58"/>
      <c r="G6178" s="58"/>
    </row>
    <row r="6179">
      <c r="D6179" s="58"/>
      <c r="E6179" s="58"/>
      <c r="F6179" s="58"/>
      <c r="G6179" s="58"/>
    </row>
    <row r="6180">
      <c r="D6180" s="58"/>
      <c r="E6180" s="58"/>
      <c r="F6180" s="58"/>
      <c r="G6180" s="58"/>
    </row>
    <row r="6181">
      <c r="D6181" s="58"/>
      <c r="E6181" s="58"/>
      <c r="F6181" s="58"/>
      <c r="G6181" s="58"/>
    </row>
    <row r="6182">
      <c r="D6182" s="58"/>
      <c r="E6182" s="58"/>
      <c r="F6182" s="58"/>
      <c r="G6182" s="58"/>
    </row>
    <row r="6183">
      <c r="D6183" s="58"/>
      <c r="E6183" s="58"/>
      <c r="F6183" s="58"/>
      <c r="G6183" s="58"/>
    </row>
    <row r="6184">
      <c r="D6184" s="58"/>
      <c r="E6184" s="58"/>
      <c r="F6184" s="58"/>
      <c r="G6184" s="58"/>
    </row>
    <row r="6185">
      <c r="D6185" s="58"/>
      <c r="E6185" s="58"/>
      <c r="F6185" s="58"/>
      <c r="G6185" s="58"/>
    </row>
    <row r="6186">
      <c r="D6186" s="58"/>
      <c r="E6186" s="58"/>
      <c r="F6186" s="58"/>
      <c r="G6186" s="58"/>
    </row>
    <row r="6187">
      <c r="D6187" s="58"/>
      <c r="E6187" s="58"/>
      <c r="F6187" s="58"/>
      <c r="G6187" s="58"/>
    </row>
    <row r="6188">
      <c r="D6188" s="58"/>
      <c r="E6188" s="58"/>
      <c r="F6188" s="58"/>
      <c r="G6188" s="58"/>
    </row>
    <row r="6189">
      <c r="D6189" s="58"/>
      <c r="E6189" s="58"/>
      <c r="F6189" s="58"/>
      <c r="G6189" s="58"/>
    </row>
    <row r="6190">
      <c r="D6190" s="58"/>
      <c r="E6190" s="58"/>
      <c r="F6190" s="58"/>
      <c r="G6190" s="58"/>
    </row>
    <row r="6191">
      <c r="D6191" s="58"/>
      <c r="E6191" s="58"/>
      <c r="F6191" s="58"/>
      <c r="G6191" s="58"/>
    </row>
    <row r="6192">
      <c r="D6192" s="58"/>
      <c r="E6192" s="58"/>
      <c r="F6192" s="58"/>
      <c r="G6192" s="58"/>
    </row>
    <row r="6193">
      <c r="D6193" s="58"/>
      <c r="E6193" s="58"/>
      <c r="F6193" s="58"/>
      <c r="G6193" s="58"/>
    </row>
    <row r="6194">
      <c r="D6194" s="58"/>
      <c r="E6194" s="58"/>
      <c r="F6194" s="58"/>
      <c r="G6194" s="58"/>
    </row>
    <row r="6195">
      <c r="D6195" s="58"/>
      <c r="E6195" s="58"/>
      <c r="F6195" s="58"/>
      <c r="G6195" s="58"/>
    </row>
    <row r="6196">
      <c r="D6196" s="58"/>
      <c r="E6196" s="58"/>
      <c r="F6196" s="58"/>
      <c r="G6196" s="58"/>
    </row>
    <row r="6197">
      <c r="D6197" s="58"/>
      <c r="E6197" s="58"/>
      <c r="F6197" s="58"/>
      <c r="G6197" s="58"/>
    </row>
    <row r="6198">
      <c r="D6198" s="58"/>
      <c r="E6198" s="58"/>
      <c r="F6198" s="58"/>
      <c r="G6198" s="58"/>
    </row>
    <row r="6199">
      <c r="D6199" s="58"/>
      <c r="E6199" s="58"/>
      <c r="F6199" s="58"/>
      <c r="G6199" s="58"/>
    </row>
    <row r="6200">
      <c r="D6200" s="58"/>
      <c r="E6200" s="58"/>
      <c r="F6200" s="58"/>
      <c r="G6200" s="58"/>
    </row>
    <row r="6201">
      <c r="D6201" s="58"/>
      <c r="E6201" s="58"/>
      <c r="F6201" s="58"/>
      <c r="G6201" s="58"/>
    </row>
    <row r="6202">
      <c r="D6202" s="58"/>
      <c r="E6202" s="58"/>
      <c r="F6202" s="58"/>
      <c r="G6202" s="58"/>
    </row>
    <row r="6203">
      <c r="D6203" s="58"/>
      <c r="E6203" s="58"/>
      <c r="F6203" s="58"/>
      <c r="G6203" s="58"/>
    </row>
    <row r="6204">
      <c r="D6204" s="58"/>
      <c r="E6204" s="58"/>
      <c r="F6204" s="58"/>
      <c r="G6204" s="58"/>
    </row>
    <row r="6205">
      <c r="D6205" s="58"/>
      <c r="E6205" s="58"/>
      <c r="F6205" s="58"/>
      <c r="G6205" s="58"/>
    </row>
    <row r="6206">
      <c r="D6206" s="58"/>
      <c r="E6206" s="58"/>
      <c r="F6206" s="58"/>
      <c r="G6206" s="58"/>
    </row>
    <row r="6207">
      <c r="D6207" s="58"/>
      <c r="E6207" s="58"/>
      <c r="F6207" s="58"/>
      <c r="G6207" s="58"/>
    </row>
    <row r="6208">
      <c r="D6208" s="58"/>
      <c r="E6208" s="58"/>
      <c r="F6208" s="58"/>
      <c r="G6208" s="58"/>
    </row>
    <row r="6209">
      <c r="D6209" s="58"/>
      <c r="E6209" s="58"/>
      <c r="F6209" s="58"/>
      <c r="G6209" s="58"/>
    </row>
    <row r="6210">
      <c r="D6210" s="58"/>
      <c r="E6210" s="58"/>
      <c r="F6210" s="58"/>
      <c r="G6210" s="58"/>
    </row>
    <row r="6211">
      <c r="D6211" s="58"/>
      <c r="E6211" s="58"/>
      <c r="F6211" s="58"/>
      <c r="G6211" s="58"/>
    </row>
    <row r="6212">
      <c r="D6212" s="58"/>
      <c r="E6212" s="58"/>
      <c r="F6212" s="58"/>
      <c r="G6212" s="58"/>
    </row>
    <row r="6213">
      <c r="D6213" s="58"/>
      <c r="E6213" s="58"/>
      <c r="F6213" s="58"/>
      <c r="G6213" s="58"/>
    </row>
    <row r="6214">
      <c r="D6214" s="58"/>
      <c r="E6214" s="58"/>
      <c r="F6214" s="58"/>
      <c r="G6214" s="58"/>
    </row>
    <row r="6215">
      <c r="D6215" s="58"/>
      <c r="E6215" s="58"/>
      <c r="F6215" s="58"/>
      <c r="G6215" s="58"/>
    </row>
    <row r="6216">
      <c r="D6216" s="58"/>
      <c r="E6216" s="58"/>
      <c r="F6216" s="58"/>
      <c r="G6216" s="58"/>
    </row>
    <row r="6217">
      <c r="D6217" s="58"/>
      <c r="E6217" s="58"/>
      <c r="F6217" s="58"/>
      <c r="G6217" s="58"/>
    </row>
    <row r="6218">
      <c r="D6218" s="58"/>
      <c r="E6218" s="58"/>
      <c r="F6218" s="58"/>
      <c r="G6218" s="58"/>
    </row>
    <row r="6219">
      <c r="D6219" s="58"/>
      <c r="E6219" s="58"/>
      <c r="F6219" s="58"/>
      <c r="G6219" s="58"/>
    </row>
    <row r="6220">
      <c r="D6220" s="58"/>
      <c r="E6220" s="58"/>
      <c r="F6220" s="58"/>
      <c r="G6220" s="58"/>
    </row>
    <row r="6221">
      <c r="D6221" s="58"/>
      <c r="E6221" s="58"/>
      <c r="F6221" s="58"/>
      <c r="G6221" s="58"/>
    </row>
    <row r="6222">
      <c r="D6222" s="58"/>
      <c r="E6222" s="58"/>
      <c r="F6222" s="58"/>
      <c r="G6222" s="58"/>
    </row>
    <row r="6223">
      <c r="D6223" s="58"/>
      <c r="E6223" s="58"/>
      <c r="F6223" s="58"/>
      <c r="G6223" s="58"/>
    </row>
    <row r="6224">
      <c r="D6224" s="58"/>
      <c r="E6224" s="58"/>
      <c r="F6224" s="58"/>
      <c r="G6224" s="58"/>
    </row>
    <row r="6225">
      <c r="D6225" s="58"/>
      <c r="E6225" s="58"/>
      <c r="F6225" s="58"/>
      <c r="G6225" s="58"/>
    </row>
    <row r="6226">
      <c r="D6226" s="58"/>
      <c r="E6226" s="58"/>
      <c r="F6226" s="58"/>
      <c r="G6226" s="58"/>
    </row>
    <row r="6227">
      <c r="D6227" s="58"/>
      <c r="E6227" s="58"/>
      <c r="F6227" s="58"/>
      <c r="G6227" s="58"/>
    </row>
    <row r="6228">
      <c r="D6228" s="58"/>
      <c r="E6228" s="58"/>
      <c r="F6228" s="58"/>
      <c r="G6228" s="58"/>
    </row>
    <row r="6229">
      <c r="D6229" s="58"/>
      <c r="E6229" s="58"/>
      <c r="F6229" s="58"/>
      <c r="G6229" s="58"/>
    </row>
    <row r="6230">
      <c r="D6230" s="58"/>
      <c r="E6230" s="58"/>
      <c r="F6230" s="58"/>
      <c r="G6230" s="58"/>
    </row>
    <row r="6231">
      <c r="D6231" s="58"/>
      <c r="E6231" s="58"/>
      <c r="F6231" s="58"/>
      <c r="G6231" s="58"/>
    </row>
    <row r="6232">
      <c r="D6232" s="58"/>
      <c r="E6232" s="58"/>
      <c r="F6232" s="58"/>
      <c r="G6232" s="58"/>
    </row>
    <row r="6233">
      <c r="D6233" s="58"/>
      <c r="E6233" s="58"/>
      <c r="F6233" s="58"/>
      <c r="G6233" s="58"/>
    </row>
    <row r="6234">
      <c r="D6234" s="58"/>
      <c r="E6234" s="58"/>
      <c r="F6234" s="58"/>
      <c r="G6234" s="58"/>
    </row>
    <row r="6235">
      <c r="D6235" s="58"/>
      <c r="E6235" s="58"/>
      <c r="F6235" s="58"/>
      <c r="G6235" s="58"/>
    </row>
    <row r="6236">
      <c r="D6236" s="58"/>
      <c r="E6236" s="58"/>
      <c r="F6236" s="58"/>
      <c r="G6236" s="58"/>
    </row>
    <row r="6237">
      <c r="D6237" s="58"/>
      <c r="E6237" s="58"/>
      <c r="F6237" s="58"/>
      <c r="G6237" s="58"/>
    </row>
    <row r="6238">
      <c r="D6238" s="58"/>
      <c r="E6238" s="58"/>
      <c r="F6238" s="58"/>
      <c r="G6238" s="58"/>
    </row>
    <row r="6239">
      <c r="D6239" s="58"/>
      <c r="E6239" s="58"/>
      <c r="F6239" s="58"/>
      <c r="G6239" s="58"/>
    </row>
    <row r="6240">
      <c r="D6240" s="58"/>
      <c r="E6240" s="58"/>
      <c r="F6240" s="58"/>
      <c r="G6240" s="58"/>
    </row>
    <row r="6241">
      <c r="D6241" s="58"/>
      <c r="E6241" s="58"/>
      <c r="F6241" s="58"/>
      <c r="G6241" s="58"/>
    </row>
    <row r="6242">
      <c r="D6242" s="58"/>
      <c r="E6242" s="58"/>
      <c r="F6242" s="58"/>
      <c r="G6242" s="58"/>
    </row>
    <row r="6243">
      <c r="D6243" s="58"/>
      <c r="E6243" s="58"/>
      <c r="F6243" s="58"/>
      <c r="G6243" s="58"/>
    </row>
    <row r="6244">
      <c r="D6244" s="58"/>
      <c r="E6244" s="58"/>
      <c r="F6244" s="58"/>
      <c r="G6244" s="58"/>
    </row>
    <row r="6245">
      <c r="D6245" s="58"/>
      <c r="E6245" s="58"/>
      <c r="F6245" s="58"/>
      <c r="G6245" s="58"/>
    </row>
    <row r="6246">
      <c r="D6246" s="58"/>
      <c r="E6246" s="58"/>
      <c r="F6246" s="58"/>
      <c r="G6246" s="58"/>
    </row>
    <row r="6247">
      <c r="D6247" s="58"/>
      <c r="E6247" s="58"/>
      <c r="F6247" s="58"/>
      <c r="G6247" s="58"/>
    </row>
    <row r="6248">
      <c r="D6248" s="58"/>
      <c r="E6248" s="58"/>
      <c r="F6248" s="58"/>
      <c r="G6248" s="58"/>
    </row>
    <row r="6249">
      <c r="D6249" s="58"/>
      <c r="E6249" s="58"/>
      <c r="F6249" s="58"/>
      <c r="G6249" s="58"/>
    </row>
    <row r="6250">
      <c r="D6250" s="58"/>
      <c r="E6250" s="58"/>
      <c r="F6250" s="58"/>
      <c r="G6250" s="58"/>
    </row>
    <row r="6251">
      <c r="D6251" s="58"/>
      <c r="E6251" s="58"/>
      <c r="F6251" s="58"/>
      <c r="G6251" s="58"/>
    </row>
    <row r="6252">
      <c r="D6252" s="58"/>
      <c r="E6252" s="58"/>
      <c r="F6252" s="58"/>
      <c r="G6252" s="58"/>
    </row>
    <row r="6253">
      <c r="D6253" s="58"/>
      <c r="E6253" s="58"/>
      <c r="F6253" s="58"/>
      <c r="G6253" s="58"/>
    </row>
    <row r="6254">
      <c r="D6254" s="58"/>
      <c r="E6254" s="58"/>
      <c r="F6254" s="58"/>
      <c r="G6254" s="58"/>
    </row>
    <row r="6255">
      <c r="D6255" s="58"/>
      <c r="E6255" s="58"/>
      <c r="F6255" s="58"/>
      <c r="G6255" s="58"/>
    </row>
    <row r="6256">
      <c r="D6256" s="58"/>
      <c r="E6256" s="58"/>
      <c r="F6256" s="58"/>
      <c r="G6256" s="58"/>
    </row>
    <row r="6257">
      <c r="D6257" s="58"/>
      <c r="E6257" s="58"/>
      <c r="F6257" s="58"/>
      <c r="G6257" s="58"/>
    </row>
    <row r="6258">
      <c r="D6258" s="58"/>
      <c r="E6258" s="58"/>
      <c r="F6258" s="58"/>
      <c r="G6258" s="58"/>
    </row>
    <row r="6259">
      <c r="D6259" s="58"/>
      <c r="E6259" s="58"/>
      <c r="F6259" s="58"/>
      <c r="G6259" s="58"/>
    </row>
    <row r="6260">
      <c r="D6260" s="58"/>
      <c r="E6260" s="58"/>
      <c r="F6260" s="58"/>
      <c r="G6260" s="58"/>
    </row>
    <row r="6261">
      <c r="D6261" s="58"/>
      <c r="E6261" s="58"/>
      <c r="F6261" s="58"/>
      <c r="G6261" s="58"/>
    </row>
    <row r="6262">
      <c r="D6262" s="58"/>
      <c r="E6262" s="58"/>
      <c r="F6262" s="58"/>
      <c r="G6262" s="58"/>
    </row>
    <row r="6263">
      <c r="D6263" s="58"/>
      <c r="E6263" s="58"/>
      <c r="F6263" s="58"/>
      <c r="G6263" s="58"/>
    </row>
    <row r="6264">
      <c r="D6264" s="58"/>
      <c r="E6264" s="58"/>
      <c r="F6264" s="58"/>
      <c r="G6264" s="58"/>
    </row>
    <row r="6265">
      <c r="D6265" s="58"/>
      <c r="E6265" s="58"/>
      <c r="F6265" s="58"/>
      <c r="G6265" s="58"/>
    </row>
    <row r="6266">
      <c r="D6266" s="58"/>
      <c r="E6266" s="58"/>
      <c r="F6266" s="58"/>
      <c r="G6266" s="58"/>
    </row>
    <row r="6267">
      <c r="D6267" s="58"/>
      <c r="E6267" s="58"/>
      <c r="F6267" s="58"/>
      <c r="G6267" s="58"/>
    </row>
    <row r="6268">
      <c r="D6268" s="58"/>
      <c r="E6268" s="58"/>
      <c r="F6268" s="58"/>
      <c r="G6268" s="58"/>
    </row>
    <row r="6269">
      <c r="D6269" s="58"/>
      <c r="E6269" s="58"/>
      <c r="F6269" s="58"/>
      <c r="G6269" s="58"/>
    </row>
    <row r="6270">
      <c r="D6270" s="58"/>
      <c r="E6270" s="58"/>
      <c r="F6270" s="58"/>
      <c r="G6270" s="58"/>
    </row>
    <row r="6271">
      <c r="D6271" s="58"/>
      <c r="E6271" s="58"/>
      <c r="F6271" s="58"/>
      <c r="G6271" s="58"/>
    </row>
    <row r="6272">
      <c r="D6272" s="58"/>
      <c r="E6272" s="58"/>
      <c r="F6272" s="58"/>
      <c r="G6272" s="58"/>
    </row>
    <row r="6273">
      <c r="D6273" s="58"/>
      <c r="E6273" s="58"/>
      <c r="F6273" s="58"/>
      <c r="G6273" s="58"/>
    </row>
    <row r="6274">
      <c r="D6274" s="58"/>
      <c r="E6274" s="58"/>
      <c r="F6274" s="58"/>
      <c r="G6274" s="58"/>
    </row>
    <row r="6275">
      <c r="D6275" s="58"/>
      <c r="E6275" s="58"/>
      <c r="F6275" s="58"/>
      <c r="G6275" s="58"/>
    </row>
    <row r="6276">
      <c r="D6276" s="58"/>
      <c r="E6276" s="58"/>
      <c r="F6276" s="58"/>
      <c r="G6276" s="58"/>
    </row>
    <row r="6277">
      <c r="D6277" s="58"/>
      <c r="E6277" s="58"/>
      <c r="F6277" s="58"/>
      <c r="G6277" s="58"/>
    </row>
    <row r="6278">
      <c r="D6278" s="58"/>
      <c r="E6278" s="58"/>
      <c r="F6278" s="58"/>
      <c r="G6278" s="58"/>
    </row>
    <row r="6279">
      <c r="D6279" s="58"/>
      <c r="E6279" s="58"/>
      <c r="F6279" s="58"/>
      <c r="G6279" s="58"/>
    </row>
    <row r="6280">
      <c r="D6280" s="58"/>
      <c r="E6280" s="58"/>
      <c r="F6280" s="58"/>
      <c r="G6280" s="58"/>
    </row>
    <row r="6281">
      <c r="D6281" s="58"/>
      <c r="E6281" s="58"/>
      <c r="F6281" s="58"/>
      <c r="G6281" s="58"/>
    </row>
    <row r="6282">
      <c r="D6282" s="58"/>
      <c r="E6282" s="58"/>
      <c r="F6282" s="58"/>
      <c r="G6282" s="58"/>
    </row>
    <row r="6283">
      <c r="D6283" s="58"/>
      <c r="E6283" s="58"/>
      <c r="F6283" s="58"/>
      <c r="G6283" s="58"/>
    </row>
    <row r="6284">
      <c r="D6284" s="58"/>
      <c r="E6284" s="58"/>
      <c r="F6284" s="58"/>
      <c r="G6284" s="58"/>
    </row>
    <row r="6285">
      <c r="D6285" s="58"/>
      <c r="E6285" s="58"/>
      <c r="F6285" s="58"/>
      <c r="G6285" s="58"/>
    </row>
    <row r="6286">
      <c r="D6286" s="58"/>
      <c r="E6286" s="58"/>
      <c r="F6286" s="58"/>
      <c r="G6286" s="58"/>
    </row>
    <row r="6287">
      <c r="D6287" s="58"/>
      <c r="E6287" s="58"/>
      <c r="F6287" s="58"/>
      <c r="G6287" s="58"/>
    </row>
    <row r="6288">
      <c r="D6288" s="58"/>
      <c r="E6288" s="58"/>
      <c r="F6288" s="58"/>
      <c r="G6288" s="58"/>
    </row>
    <row r="6289">
      <c r="D6289" s="58"/>
      <c r="E6289" s="58"/>
      <c r="F6289" s="58"/>
      <c r="G6289" s="58"/>
    </row>
    <row r="6290">
      <c r="D6290" s="58"/>
      <c r="E6290" s="58"/>
      <c r="F6290" s="58"/>
      <c r="G6290" s="58"/>
    </row>
    <row r="6291">
      <c r="D6291" s="58"/>
      <c r="E6291" s="58"/>
      <c r="F6291" s="58"/>
      <c r="G6291" s="58"/>
    </row>
    <row r="6292">
      <c r="D6292" s="58"/>
      <c r="E6292" s="58"/>
      <c r="F6292" s="58"/>
      <c r="G6292" s="58"/>
    </row>
    <row r="6293">
      <c r="D6293" s="58"/>
      <c r="E6293" s="58"/>
      <c r="F6293" s="58"/>
      <c r="G6293" s="58"/>
    </row>
    <row r="6294">
      <c r="D6294" s="58"/>
      <c r="E6294" s="58"/>
      <c r="F6294" s="58"/>
      <c r="G6294" s="58"/>
    </row>
    <row r="6295">
      <c r="D6295" s="58"/>
      <c r="E6295" s="58"/>
      <c r="F6295" s="58"/>
      <c r="G6295" s="58"/>
    </row>
    <row r="6296">
      <c r="D6296" s="58"/>
      <c r="E6296" s="58"/>
      <c r="F6296" s="58"/>
      <c r="G6296" s="58"/>
    </row>
    <row r="6297">
      <c r="D6297" s="58"/>
      <c r="E6297" s="58"/>
      <c r="F6297" s="58"/>
      <c r="G6297" s="58"/>
    </row>
    <row r="6298">
      <c r="D6298" s="58"/>
      <c r="E6298" s="58"/>
      <c r="F6298" s="58"/>
      <c r="G6298" s="58"/>
    </row>
    <row r="6299">
      <c r="D6299" s="58"/>
      <c r="E6299" s="58"/>
      <c r="F6299" s="58"/>
      <c r="G6299" s="58"/>
    </row>
    <row r="6300">
      <c r="D6300" s="58"/>
      <c r="E6300" s="58"/>
      <c r="F6300" s="58"/>
      <c r="G6300" s="58"/>
    </row>
    <row r="6301">
      <c r="D6301" s="58"/>
      <c r="E6301" s="58"/>
      <c r="F6301" s="58"/>
      <c r="G6301" s="58"/>
    </row>
    <row r="6302">
      <c r="D6302" s="58"/>
      <c r="E6302" s="58"/>
      <c r="F6302" s="58"/>
      <c r="G6302" s="58"/>
    </row>
    <row r="6303">
      <c r="D6303" s="58"/>
      <c r="E6303" s="58"/>
      <c r="F6303" s="58"/>
      <c r="G6303" s="58"/>
    </row>
    <row r="6304">
      <c r="D6304" s="58"/>
      <c r="E6304" s="58"/>
      <c r="F6304" s="58"/>
      <c r="G6304" s="58"/>
    </row>
    <row r="6305">
      <c r="D6305" s="58"/>
      <c r="E6305" s="58"/>
      <c r="F6305" s="58"/>
      <c r="G6305" s="58"/>
    </row>
    <row r="6306">
      <c r="D6306" s="58"/>
      <c r="E6306" s="58"/>
      <c r="F6306" s="58"/>
      <c r="G6306" s="58"/>
    </row>
    <row r="6307">
      <c r="D6307" s="58"/>
      <c r="E6307" s="58"/>
      <c r="F6307" s="58"/>
      <c r="G6307" s="58"/>
    </row>
    <row r="6308">
      <c r="D6308" s="58"/>
      <c r="E6308" s="58"/>
      <c r="F6308" s="58"/>
      <c r="G6308" s="58"/>
    </row>
    <row r="6309">
      <c r="D6309" s="58"/>
      <c r="E6309" s="58"/>
      <c r="F6309" s="58"/>
      <c r="G6309" s="58"/>
    </row>
    <row r="6310">
      <c r="D6310" s="58"/>
      <c r="E6310" s="58"/>
      <c r="F6310" s="58"/>
      <c r="G6310" s="58"/>
    </row>
    <row r="6311">
      <c r="D6311" s="58"/>
      <c r="E6311" s="58"/>
      <c r="F6311" s="58"/>
      <c r="G6311" s="58"/>
    </row>
    <row r="6312">
      <c r="D6312" s="58"/>
      <c r="E6312" s="58"/>
      <c r="F6312" s="58"/>
      <c r="G6312" s="58"/>
    </row>
    <row r="6313">
      <c r="D6313" s="58"/>
      <c r="E6313" s="58"/>
      <c r="F6313" s="58"/>
      <c r="G6313" s="58"/>
    </row>
    <row r="6314">
      <c r="D6314" s="58"/>
      <c r="E6314" s="58"/>
      <c r="F6314" s="58"/>
      <c r="G6314" s="58"/>
    </row>
    <row r="6315">
      <c r="D6315" s="58"/>
      <c r="E6315" s="58"/>
      <c r="F6315" s="58"/>
      <c r="G6315" s="58"/>
    </row>
    <row r="6316">
      <c r="D6316" s="58"/>
      <c r="E6316" s="58"/>
      <c r="F6316" s="58"/>
      <c r="G6316" s="58"/>
    </row>
    <row r="6317">
      <c r="D6317" s="58"/>
      <c r="E6317" s="58"/>
      <c r="F6317" s="58"/>
      <c r="G6317" s="58"/>
    </row>
    <row r="6318">
      <c r="D6318" s="58"/>
      <c r="E6318" s="58"/>
      <c r="F6318" s="58"/>
      <c r="G6318" s="58"/>
    </row>
    <row r="6319">
      <c r="D6319" s="58"/>
      <c r="E6319" s="58"/>
      <c r="F6319" s="58"/>
      <c r="G6319" s="58"/>
    </row>
    <row r="6320">
      <c r="D6320" s="58"/>
      <c r="E6320" s="58"/>
      <c r="F6320" s="58"/>
      <c r="G6320" s="58"/>
    </row>
    <row r="6321">
      <c r="D6321" s="58"/>
      <c r="E6321" s="58"/>
      <c r="F6321" s="58"/>
      <c r="G6321" s="58"/>
    </row>
    <row r="6322">
      <c r="D6322" s="58"/>
      <c r="E6322" s="58"/>
      <c r="F6322" s="58"/>
      <c r="G6322" s="58"/>
    </row>
    <row r="6323">
      <c r="D6323" s="58"/>
      <c r="E6323" s="58"/>
      <c r="F6323" s="58"/>
      <c r="G6323" s="58"/>
    </row>
    <row r="6324">
      <c r="D6324" s="58"/>
      <c r="E6324" s="58"/>
      <c r="F6324" s="58"/>
      <c r="G6324" s="58"/>
    </row>
    <row r="6325">
      <c r="D6325" s="58"/>
      <c r="E6325" s="58"/>
      <c r="F6325" s="58"/>
      <c r="G6325" s="58"/>
    </row>
    <row r="6326">
      <c r="D6326" s="58"/>
      <c r="E6326" s="58"/>
      <c r="F6326" s="58"/>
      <c r="G6326" s="58"/>
    </row>
    <row r="6327">
      <c r="D6327" s="58"/>
      <c r="E6327" s="58"/>
      <c r="F6327" s="58"/>
      <c r="G6327" s="58"/>
    </row>
    <row r="6328">
      <c r="D6328" s="58"/>
      <c r="E6328" s="58"/>
      <c r="F6328" s="58"/>
      <c r="G6328" s="58"/>
    </row>
    <row r="6329">
      <c r="D6329" s="58"/>
      <c r="E6329" s="58"/>
      <c r="F6329" s="58"/>
      <c r="G6329" s="58"/>
    </row>
    <row r="6330">
      <c r="D6330" s="58"/>
      <c r="E6330" s="58"/>
      <c r="F6330" s="58"/>
      <c r="G6330" s="58"/>
    </row>
    <row r="6331">
      <c r="D6331" s="58"/>
      <c r="E6331" s="58"/>
      <c r="F6331" s="58"/>
      <c r="G6331" s="58"/>
    </row>
    <row r="6332">
      <c r="D6332" s="58"/>
      <c r="E6332" s="58"/>
      <c r="F6332" s="58"/>
      <c r="G6332" s="58"/>
    </row>
    <row r="6333">
      <c r="D6333" s="58"/>
      <c r="E6333" s="58"/>
      <c r="F6333" s="58"/>
      <c r="G6333" s="58"/>
    </row>
    <row r="6334">
      <c r="D6334" s="58"/>
      <c r="E6334" s="58"/>
      <c r="F6334" s="58"/>
      <c r="G6334" s="58"/>
    </row>
    <row r="6335">
      <c r="D6335" s="58"/>
      <c r="E6335" s="58"/>
      <c r="F6335" s="58"/>
      <c r="G6335" s="58"/>
    </row>
    <row r="6336">
      <c r="D6336" s="58"/>
      <c r="E6336" s="58"/>
      <c r="F6336" s="58"/>
      <c r="G6336" s="58"/>
    </row>
    <row r="6337">
      <c r="D6337" s="58"/>
      <c r="E6337" s="58"/>
      <c r="F6337" s="58"/>
      <c r="G6337" s="58"/>
    </row>
    <row r="6338">
      <c r="D6338" s="58"/>
      <c r="E6338" s="58"/>
      <c r="F6338" s="58"/>
      <c r="G6338" s="58"/>
    </row>
    <row r="6339">
      <c r="D6339" s="58"/>
      <c r="E6339" s="58"/>
      <c r="F6339" s="58"/>
      <c r="G6339" s="58"/>
    </row>
    <row r="6340">
      <c r="D6340" s="58"/>
      <c r="E6340" s="58"/>
      <c r="F6340" s="58"/>
      <c r="G6340" s="58"/>
    </row>
    <row r="6341">
      <c r="D6341" s="58"/>
      <c r="E6341" s="58"/>
      <c r="F6341" s="58"/>
      <c r="G6341" s="58"/>
    </row>
    <row r="6342">
      <c r="D6342" s="58"/>
      <c r="E6342" s="58"/>
      <c r="F6342" s="58"/>
      <c r="G6342" s="58"/>
    </row>
    <row r="6343">
      <c r="D6343" s="58"/>
      <c r="E6343" s="58"/>
      <c r="F6343" s="58"/>
      <c r="G6343" s="58"/>
    </row>
    <row r="6344">
      <c r="D6344" s="58"/>
      <c r="E6344" s="58"/>
      <c r="F6344" s="58"/>
      <c r="G6344" s="58"/>
    </row>
    <row r="6345">
      <c r="D6345" s="58"/>
      <c r="E6345" s="58"/>
      <c r="F6345" s="58"/>
      <c r="G6345" s="58"/>
    </row>
    <row r="6346">
      <c r="D6346" s="58"/>
      <c r="E6346" s="58"/>
      <c r="F6346" s="58"/>
      <c r="G6346" s="58"/>
    </row>
    <row r="6347">
      <c r="D6347" s="58"/>
      <c r="E6347" s="58"/>
      <c r="F6347" s="58"/>
      <c r="G6347" s="58"/>
    </row>
    <row r="6348">
      <c r="D6348" s="58"/>
      <c r="E6348" s="58"/>
      <c r="F6348" s="58"/>
      <c r="G6348" s="58"/>
    </row>
    <row r="6349">
      <c r="D6349" s="58"/>
      <c r="E6349" s="58"/>
      <c r="F6349" s="58"/>
      <c r="G6349" s="58"/>
    </row>
    <row r="6350">
      <c r="D6350" s="58"/>
      <c r="E6350" s="58"/>
      <c r="F6350" s="58"/>
      <c r="G6350" s="58"/>
    </row>
    <row r="6351">
      <c r="D6351" s="58"/>
      <c r="E6351" s="58"/>
      <c r="F6351" s="58"/>
      <c r="G6351" s="58"/>
    </row>
    <row r="6352">
      <c r="D6352" s="58"/>
      <c r="E6352" s="58"/>
      <c r="F6352" s="58"/>
      <c r="G6352" s="58"/>
    </row>
    <row r="6353">
      <c r="D6353" s="58"/>
      <c r="E6353" s="58"/>
      <c r="F6353" s="58"/>
      <c r="G6353" s="58"/>
    </row>
    <row r="6354">
      <c r="D6354" s="58"/>
      <c r="E6354" s="58"/>
      <c r="F6354" s="58"/>
      <c r="G6354" s="58"/>
    </row>
    <row r="6355">
      <c r="D6355" s="58"/>
      <c r="E6355" s="58"/>
      <c r="F6355" s="58"/>
      <c r="G6355" s="58"/>
    </row>
    <row r="6356">
      <c r="D6356" s="58"/>
      <c r="E6356" s="58"/>
      <c r="F6356" s="58"/>
      <c r="G6356" s="58"/>
    </row>
    <row r="6357">
      <c r="D6357" s="58"/>
      <c r="E6357" s="58"/>
      <c r="F6357" s="58"/>
      <c r="G6357" s="58"/>
    </row>
    <row r="6358">
      <c r="D6358" s="58"/>
      <c r="E6358" s="58"/>
      <c r="F6358" s="58"/>
      <c r="G6358" s="58"/>
    </row>
    <row r="6359">
      <c r="D6359" s="58"/>
      <c r="E6359" s="58"/>
      <c r="F6359" s="58"/>
      <c r="G6359" s="58"/>
    </row>
    <row r="6360">
      <c r="D6360" s="58"/>
      <c r="E6360" s="58"/>
      <c r="F6360" s="58"/>
      <c r="G6360" s="58"/>
    </row>
    <row r="6361">
      <c r="D6361" s="58"/>
      <c r="E6361" s="58"/>
      <c r="F6361" s="58"/>
      <c r="G6361" s="58"/>
    </row>
    <row r="6362">
      <c r="D6362" s="58"/>
      <c r="E6362" s="58"/>
      <c r="F6362" s="58"/>
      <c r="G6362" s="58"/>
    </row>
    <row r="6363">
      <c r="D6363" s="58"/>
      <c r="E6363" s="58"/>
      <c r="F6363" s="58"/>
      <c r="G6363" s="58"/>
    </row>
    <row r="6364">
      <c r="D6364" s="58"/>
      <c r="E6364" s="58"/>
      <c r="F6364" s="58"/>
      <c r="G6364" s="58"/>
    </row>
    <row r="6365">
      <c r="D6365" s="58"/>
      <c r="E6365" s="58"/>
      <c r="F6365" s="58"/>
      <c r="G6365" s="58"/>
    </row>
    <row r="6366">
      <c r="D6366" s="58"/>
      <c r="E6366" s="58"/>
      <c r="F6366" s="58"/>
      <c r="G6366" s="58"/>
    </row>
    <row r="6367">
      <c r="D6367" s="58"/>
      <c r="E6367" s="58"/>
      <c r="F6367" s="58"/>
      <c r="G6367" s="58"/>
    </row>
    <row r="6368">
      <c r="D6368" s="58"/>
      <c r="E6368" s="58"/>
      <c r="F6368" s="58"/>
      <c r="G6368" s="58"/>
    </row>
    <row r="6369">
      <c r="D6369" s="58"/>
      <c r="E6369" s="58"/>
      <c r="F6369" s="58"/>
      <c r="G6369" s="58"/>
    </row>
    <row r="6370">
      <c r="D6370" s="58"/>
      <c r="E6370" s="58"/>
      <c r="F6370" s="58"/>
      <c r="G6370" s="58"/>
    </row>
    <row r="6371">
      <c r="D6371" s="58"/>
      <c r="E6371" s="58"/>
      <c r="F6371" s="58"/>
      <c r="G6371" s="58"/>
    </row>
    <row r="6372">
      <c r="D6372" s="58"/>
      <c r="E6372" s="58"/>
      <c r="F6372" s="58"/>
      <c r="G6372" s="58"/>
    </row>
    <row r="6373">
      <c r="D6373" s="58"/>
      <c r="E6373" s="58"/>
      <c r="F6373" s="58"/>
      <c r="G6373" s="58"/>
    </row>
    <row r="6374">
      <c r="D6374" s="58"/>
      <c r="E6374" s="58"/>
      <c r="F6374" s="58"/>
      <c r="G6374" s="58"/>
    </row>
    <row r="6375">
      <c r="D6375" s="58"/>
      <c r="E6375" s="58"/>
      <c r="F6375" s="58"/>
      <c r="G6375" s="58"/>
    </row>
    <row r="6376">
      <c r="D6376" s="58"/>
      <c r="E6376" s="58"/>
      <c r="F6376" s="58"/>
      <c r="G6376" s="58"/>
    </row>
    <row r="6377">
      <c r="D6377" s="58"/>
      <c r="E6377" s="58"/>
      <c r="F6377" s="58"/>
      <c r="G6377" s="58"/>
    </row>
    <row r="6378">
      <c r="D6378" s="58"/>
      <c r="E6378" s="58"/>
      <c r="F6378" s="58"/>
      <c r="G6378" s="58"/>
    </row>
    <row r="6379">
      <c r="D6379" s="58"/>
      <c r="E6379" s="58"/>
      <c r="F6379" s="58"/>
      <c r="G6379" s="58"/>
    </row>
    <row r="6380">
      <c r="D6380" s="58"/>
      <c r="E6380" s="58"/>
      <c r="F6380" s="58"/>
      <c r="G6380" s="58"/>
    </row>
    <row r="6381">
      <c r="D6381" s="58"/>
      <c r="E6381" s="58"/>
      <c r="F6381" s="58"/>
      <c r="G6381" s="58"/>
    </row>
    <row r="6382">
      <c r="D6382" s="58"/>
      <c r="E6382" s="58"/>
      <c r="F6382" s="58"/>
      <c r="G6382" s="58"/>
    </row>
    <row r="6383">
      <c r="D6383" s="58"/>
      <c r="E6383" s="58"/>
      <c r="F6383" s="58"/>
      <c r="G6383" s="58"/>
    </row>
    <row r="6384">
      <c r="D6384" s="58"/>
      <c r="E6384" s="58"/>
      <c r="F6384" s="58"/>
      <c r="G6384" s="58"/>
    </row>
    <row r="6385">
      <c r="D6385" s="58"/>
      <c r="E6385" s="58"/>
      <c r="F6385" s="58"/>
      <c r="G6385" s="58"/>
    </row>
    <row r="6386">
      <c r="D6386" s="58"/>
      <c r="E6386" s="58"/>
      <c r="F6386" s="58"/>
      <c r="G6386" s="58"/>
    </row>
    <row r="6387">
      <c r="D6387" s="58"/>
      <c r="E6387" s="58"/>
      <c r="F6387" s="58"/>
      <c r="G6387" s="58"/>
    </row>
    <row r="6388">
      <c r="D6388" s="58"/>
      <c r="E6388" s="58"/>
      <c r="F6388" s="58"/>
      <c r="G6388" s="58"/>
    </row>
    <row r="6389">
      <c r="D6389" s="58"/>
      <c r="E6389" s="58"/>
      <c r="F6389" s="58"/>
      <c r="G6389" s="58"/>
    </row>
    <row r="6390">
      <c r="D6390" s="58"/>
      <c r="E6390" s="58"/>
      <c r="F6390" s="58"/>
      <c r="G6390" s="58"/>
    </row>
    <row r="6391">
      <c r="D6391" s="58"/>
      <c r="E6391" s="58"/>
      <c r="F6391" s="58"/>
      <c r="G6391" s="58"/>
    </row>
    <row r="6392">
      <c r="D6392" s="58"/>
      <c r="E6392" s="58"/>
      <c r="F6392" s="58"/>
      <c r="G6392" s="58"/>
    </row>
    <row r="6393">
      <c r="D6393" s="58"/>
      <c r="E6393" s="58"/>
      <c r="F6393" s="58"/>
      <c r="G6393" s="58"/>
    </row>
    <row r="6394">
      <c r="D6394" s="58"/>
      <c r="E6394" s="58"/>
      <c r="F6394" s="58"/>
      <c r="G6394" s="58"/>
    </row>
    <row r="6395">
      <c r="D6395" s="58"/>
      <c r="E6395" s="58"/>
      <c r="F6395" s="58"/>
      <c r="G6395" s="58"/>
    </row>
    <row r="6396">
      <c r="D6396" s="58"/>
      <c r="E6396" s="58"/>
      <c r="F6396" s="58"/>
      <c r="G6396" s="58"/>
    </row>
    <row r="6397">
      <c r="D6397" s="58"/>
      <c r="E6397" s="58"/>
      <c r="F6397" s="58"/>
      <c r="G6397" s="58"/>
    </row>
    <row r="6398">
      <c r="D6398" s="58"/>
      <c r="E6398" s="58"/>
      <c r="F6398" s="58"/>
      <c r="G6398" s="58"/>
    </row>
    <row r="6399">
      <c r="D6399" s="58"/>
      <c r="E6399" s="58"/>
      <c r="F6399" s="58"/>
      <c r="G6399" s="58"/>
    </row>
    <row r="6400">
      <c r="D6400" s="58"/>
      <c r="E6400" s="58"/>
      <c r="F6400" s="58"/>
      <c r="G6400" s="58"/>
    </row>
    <row r="6401">
      <c r="D6401" s="58"/>
      <c r="E6401" s="58"/>
      <c r="F6401" s="58"/>
      <c r="G6401" s="58"/>
    </row>
    <row r="6402">
      <c r="D6402" s="58"/>
      <c r="E6402" s="58"/>
      <c r="F6402" s="58"/>
      <c r="G6402" s="58"/>
    </row>
    <row r="6403">
      <c r="D6403" s="58"/>
      <c r="E6403" s="58"/>
      <c r="F6403" s="58"/>
      <c r="G6403" s="58"/>
    </row>
    <row r="6404">
      <c r="D6404" s="58"/>
      <c r="E6404" s="58"/>
      <c r="F6404" s="58"/>
      <c r="G6404" s="58"/>
    </row>
    <row r="6405">
      <c r="D6405" s="58"/>
      <c r="E6405" s="58"/>
      <c r="F6405" s="58"/>
      <c r="G6405" s="58"/>
    </row>
    <row r="6406">
      <c r="D6406" s="58"/>
      <c r="E6406" s="58"/>
      <c r="F6406" s="58"/>
      <c r="G6406" s="58"/>
    </row>
    <row r="6407">
      <c r="D6407" s="58"/>
      <c r="E6407" s="58"/>
      <c r="F6407" s="58"/>
      <c r="G6407" s="58"/>
    </row>
    <row r="6408">
      <c r="D6408" s="58"/>
      <c r="E6408" s="58"/>
      <c r="F6408" s="58"/>
      <c r="G6408" s="58"/>
    </row>
    <row r="6409">
      <c r="D6409" s="58"/>
      <c r="E6409" s="58"/>
      <c r="F6409" s="58"/>
      <c r="G6409" s="58"/>
    </row>
    <row r="6410">
      <c r="D6410" s="58"/>
      <c r="E6410" s="58"/>
      <c r="F6410" s="58"/>
      <c r="G6410" s="58"/>
    </row>
    <row r="6411">
      <c r="D6411" s="58"/>
      <c r="E6411" s="58"/>
      <c r="F6411" s="58"/>
      <c r="G6411" s="58"/>
    </row>
    <row r="6412">
      <c r="D6412" s="58"/>
      <c r="E6412" s="58"/>
      <c r="F6412" s="58"/>
      <c r="G6412" s="58"/>
    </row>
    <row r="6413">
      <c r="D6413" s="58"/>
      <c r="E6413" s="58"/>
      <c r="F6413" s="58"/>
      <c r="G6413" s="58"/>
    </row>
    <row r="6414">
      <c r="D6414" s="58"/>
      <c r="E6414" s="58"/>
      <c r="F6414" s="58"/>
      <c r="G6414" s="58"/>
    </row>
    <row r="6415">
      <c r="D6415" s="58"/>
      <c r="E6415" s="58"/>
      <c r="F6415" s="58"/>
      <c r="G6415" s="58"/>
    </row>
    <row r="6416">
      <c r="D6416" s="58"/>
      <c r="E6416" s="58"/>
      <c r="F6416" s="58"/>
      <c r="G6416" s="58"/>
    </row>
    <row r="6417">
      <c r="D6417" s="58"/>
      <c r="E6417" s="58"/>
      <c r="F6417" s="58"/>
      <c r="G6417" s="58"/>
    </row>
    <row r="6418">
      <c r="D6418" s="58"/>
      <c r="E6418" s="58"/>
      <c r="F6418" s="58"/>
      <c r="G6418" s="58"/>
    </row>
    <row r="6419">
      <c r="D6419" s="58"/>
      <c r="E6419" s="58"/>
      <c r="F6419" s="58"/>
      <c r="G6419" s="58"/>
    </row>
    <row r="6420">
      <c r="D6420" s="58"/>
      <c r="E6420" s="58"/>
      <c r="F6420" s="58"/>
      <c r="G6420" s="58"/>
    </row>
    <row r="6421">
      <c r="D6421" s="58"/>
      <c r="E6421" s="58"/>
      <c r="F6421" s="58"/>
      <c r="G6421" s="58"/>
    </row>
    <row r="6422">
      <c r="D6422" s="58"/>
      <c r="E6422" s="58"/>
      <c r="F6422" s="58"/>
      <c r="G6422" s="58"/>
    </row>
    <row r="6423">
      <c r="D6423" s="58"/>
      <c r="E6423" s="58"/>
      <c r="F6423" s="58"/>
      <c r="G6423" s="58"/>
    </row>
    <row r="6424">
      <c r="D6424" s="58"/>
      <c r="E6424" s="58"/>
      <c r="F6424" s="58"/>
      <c r="G6424" s="58"/>
    </row>
    <row r="6425">
      <c r="D6425" s="58"/>
      <c r="E6425" s="58"/>
      <c r="F6425" s="58"/>
      <c r="G6425" s="58"/>
    </row>
    <row r="6426">
      <c r="D6426" s="58"/>
      <c r="E6426" s="58"/>
      <c r="F6426" s="58"/>
      <c r="G6426" s="58"/>
    </row>
    <row r="6427">
      <c r="D6427" s="58"/>
      <c r="E6427" s="58"/>
      <c r="F6427" s="58"/>
      <c r="G6427" s="58"/>
    </row>
    <row r="6428">
      <c r="D6428" s="58"/>
      <c r="E6428" s="58"/>
      <c r="F6428" s="58"/>
      <c r="G6428" s="58"/>
    </row>
    <row r="6429">
      <c r="D6429" s="58"/>
      <c r="E6429" s="58"/>
      <c r="F6429" s="58"/>
      <c r="G6429" s="58"/>
    </row>
    <row r="6430">
      <c r="D6430" s="58"/>
      <c r="E6430" s="58"/>
      <c r="F6430" s="58"/>
      <c r="G6430" s="58"/>
    </row>
    <row r="6431">
      <c r="D6431" s="58"/>
      <c r="E6431" s="58"/>
      <c r="F6431" s="58"/>
      <c r="G6431" s="58"/>
    </row>
    <row r="6432">
      <c r="D6432" s="58"/>
      <c r="E6432" s="58"/>
      <c r="F6432" s="58"/>
      <c r="G6432" s="58"/>
    </row>
    <row r="6433">
      <c r="D6433" s="58"/>
      <c r="E6433" s="58"/>
      <c r="F6433" s="58"/>
      <c r="G6433" s="58"/>
    </row>
    <row r="6434">
      <c r="D6434" s="58"/>
      <c r="E6434" s="58"/>
      <c r="F6434" s="58"/>
      <c r="G6434" s="58"/>
    </row>
    <row r="6435">
      <c r="D6435" s="58"/>
      <c r="E6435" s="58"/>
      <c r="F6435" s="58"/>
      <c r="G6435" s="58"/>
    </row>
    <row r="6436">
      <c r="D6436" s="58"/>
      <c r="E6436" s="58"/>
      <c r="F6436" s="58"/>
      <c r="G6436" s="58"/>
    </row>
    <row r="6437">
      <c r="D6437" s="58"/>
      <c r="E6437" s="58"/>
      <c r="F6437" s="58"/>
      <c r="G6437" s="58"/>
    </row>
    <row r="6438">
      <c r="D6438" s="58"/>
      <c r="E6438" s="58"/>
      <c r="F6438" s="58"/>
      <c r="G6438" s="58"/>
    </row>
    <row r="6439">
      <c r="D6439" s="58"/>
      <c r="E6439" s="58"/>
      <c r="F6439" s="58"/>
      <c r="G6439" s="58"/>
    </row>
    <row r="6440">
      <c r="D6440" s="58"/>
      <c r="E6440" s="58"/>
      <c r="F6440" s="58"/>
      <c r="G6440" s="58"/>
    </row>
    <row r="6441">
      <c r="D6441" s="58"/>
      <c r="E6441" s="58"/>
      <c r="F6441" s="58"/>
      <c r="G6441" s="58"/>
    </row>
    <row r="6442">
      <c r="D6442" s="58"/>
      <c r="E6442" s="58"/>
      <c r="F6442" s="58"/>
      <c r="G6442" s="58"/>
    </row>
    <row r="6443">
      <c r="D6443" s="58"/>
      <c r="E6443" s="58"/>
      <c r="F6443" s="58"/>
      <c r="G6443" s="58"/>
    </row>
    <row r="6444">
      <c r="D6444" s="58"/>
      <c r="E6444" s="58"/>
      <c r="F6444" s="58"/>
      <c r="G6444" s="58"/>
    </row>
    <row r="6445">
      <c r="D6445" s="58"/>
      <c r="E6445" s="58"/>
      <c r="F6445" s="58"/>
      <c r="G6445" s="58"/>
    </row>
    <row r="6446">
      <c r="D6446" s="58"/>
      <c r="E6446" s="58"/>
      <c r="F6446" s="58"/>
      <c r="G6446" s="58"/>
    </row>
    <row r="6447">
      <c r="D6447" s="58"/>
      <c r="E6447" s="58"/>
      <c r="F6447" s="58"/>
      <c r="G6447" s="58"/>
    </row>
    <row r="6448">
      <c r="D6448" s="58"/>
      <c r="E6448" s="58"/>
      <c r="F6448" s="58"/>
      <c r="G6448" s="58"/>
    </row>
    <row r="6449">
      <c r="D6449" s="58"/>
      <c r="E6449" s="58"/>
      <c r="F6449" s="58"/>
      <c r="G6449" s="58"/>
    </row>
    <row r="6450">
      <c r="D6450" s="58"/>
      <c r="E6450" s="58"/>
      <c r="F6450" s="58"/>
      <c r="G6450" s="58"/>
    </row>
    <row r="6451">
      <c r="D6451" s="58"/>
      <c r="E6451" s="58"/>
      <c r="F6451" s="58"/>
      <c r="G6451" s="58"/>
    </row>
    <row r="6452">
      <c r="D6452" s="58"/>
      <c r="E6452" s="58"/>
      <c r="F6452" s="58"/>
      <c r="G6452" s="58"/>
    </row>
    <row r="6453">
      <c r="D6453" s="58"/>
      <c r="E6453" s="58"/>
      <c r="F6453" s="58"/>
      <c r="G6453" s="58"/>
    </row>
    <row r="6454">
      <c r="D6454" s="58"/>
      <c r="E6454" s="58"/>
      <c r="F6454" s="58"/>
      <c r="G6454" s="58"/>
    </row>
    <row r="6455">
      <c r="D6455" s="58"/>
      <c r="E6455" s="58"/>
      <c r="F6455" s="58"/>
      <c r="G6455" s="58"/>
    </row>
    <row r="6456">
      <c r="D6456" s="58"/>
      <c r="E6456" s="58"/>
      <c r="F6456" s="58"/>
      <c r="G6456" s="58"/>
    </row>
    <row r="6457">
      <c r="D6457" s="58"/>
      <c r="E6457" s="58"/>
      <c r="F6457" s="58"/>
      <c r="G6457" s="58"/>
    </row>
    <row r="6458">
      <c r="D6458" s="58"/>
      <c r="E6458" s="58"/>
      <c r="F6458" s="58"/>
      <c r="G6458" s="58"/>
    </row>
    <row r="6459">
      <c r="D6459" s="58"/>
      <c r="E6459" s="58"/>
      <c r="F6459" s="58"/>
      <c r="G6459" s="58"/>
    </row>
    <row r="6460">
      <c r="D6460" s="58"/>
      <c r="E6460" s="58"/>
      <c r="F6460" s="58"/>
      <c r="G6460" s="58"/>
    </row>
    <row r="6461">
      <c r="D6461" s="58"/>
      <c r="E6461" s="58"/>
      <c r="F6461" s="58"/>
      <c r="G6461" s="58"/>
    </row>
    <row r="6462">
      <c r="D6462" s="58"/>
      <c r="E6462" s="58"/>
      <c r="F6462" s="58"/>
      <c r="G6462" s="58"/>
    </row>
    <row r="6463">
      <c r="D6463" s="58"/>
      <c r="E6463" s="58"/>
      <c r="F6463" s="58"/>
      <c r="G6463" s="58"/>
    </row>
    <row r="6464">
      <c r="D6464" s="58"/>
      <c r="E6464" s="58"/>
      <c r="F6464" s="58"/>
      <c r="G6464" s="58"/>
    </row>
    <row r="6465">
      <c r="D6465" s="58"/>
      <c r="E6465" s="58"/>
      <c r="F6465" s="58"/>
      <c r="G6465" s="58"/>
    </row>
    <row r="6466">
      <c r="D6466" s="58"/>
      <c r="E6466" s="58"/>
      <c r="F6466" s="58"/>
      <c r="G6466" s="58"/>
    </row>
    <row r="6467">
      <c r="D6467" s="58"/>
      <c r="E6467" s="58"/>
      <c r="F6467" s="58"/>
      <c r="G6467" s="58"/>
    </row>
    <row r="6468">
      <c r="D6468" s="58"/>
      <c r="E6468" s="58"/>
      <c r="F6468" s="58"/>
      <c r="G6468" s="58"/>
    </row>
    <row r="6469">
      <c r="D6469" s="58"/>
      <c r="E6469" s="58"/>
      <c r="F6469" s="58"/>
      <c r="G6469" s="58"/>
    </row>
    <row r="6470">
      <c r="D6470" s="58"/>
      <c r="E6470" s="58"/>
      <c r="F6470" s="58"/>
      <c r="G6470" s="58"/>
    </row>
    <row r="6471">
      <c r="D6471" s="58"/>
      <c r="E6471" s="58"/>
      <c r="F6471" s="58"/>
      <c r="G6471" s="58"/>
    </row>
    <row r="6472">
      <c r="D6472" s="58"/>
      <c r="E6472" s="58"/>
      <c r="F6472" s="58"/>
      <c r="G6472" s="58"/>
    </row>
    <row r="6473">
      <c r="D6473" s="58"/>
      <c r="E6473" s="58"/>
      <c r="F6473" s="58"/>
      <c r="G6473" s="58"/>
    </row>
    <row r="6474">
      <c r="D6474" s="58"/>
      <c r="E6474" s="58"/>
      <c r="F6474" s="58"/>
      <c r="G6474" s="58"/>
    </row>
    <row r="6475">
      <c r="D6475" s="58"/>
      <c r="E6475" s="58"/>
      <c r="F6475" s="58"/>
      <c r="G6475" s="58"/>
    </row>
    <row r="6476">
      <c r="D6476" s="58"/>
      <c r="E6476" s="58"/>
      <c r="F6476" s="58"/>
      <c r="G6476" s="58"/>
    </row>
    <row r="6477">
      <c r="D6477" s="58"/>
      <c r="E6477" s="58"/>
      <c r="F6477" s="58"/>
      <c r="G6477" s="58"/>
    </row>
    <row r="6478">
      <c r="D6478" s="58"/>
      <c r="E6478" s="58"/>
      <c r="F6478" s="58"/>
      <c r="G6478" s="58"/>
    </row>
    <row r="6479">
      <c r="D6479" s="58"/>
      <c r="E6479" s="58"/>
      <c r="F6479" s="58"/>
      <c r="G6479" s="58"/>
    </row>
    <row r="6480">
      <c r="D6480" s="58"/>
      <c r="E6480" s="58"/>
      <c r="F6480" s="58"/>
      <c r="G6480" s="58"/>
    </row>
    <row r="6481">
      <c r="D6481" s="58"/>
      <c r="E6481" s="58"/>
      <c r="F6481" s="58"/>
      <c r="G6481" s="58"/>
    </row>
    <row r="6482">
      <c r="D6482" s="58"/>
      <c r="E6482" s="58"/>
      <c r="F6482" s="58"/>
      <c r="G6482" s="58"/>
    </row>
    <row r="6483">
      <c r="D6483" s="58"/>
      <c r="E6483" s="58"/>
      <c r="F6483" s="58"/>
      <c r="G6483" s="58"/>
    </row>
    <row r="6484">
      <c r="D6484" s="58"/>
      <c r="E6484" s="58"/>
      <c r="F6484" s="58"/>
      <c r="G6484" s="58"/>
    </row>
    <row r="6485">
      <c r="D6485" s="58"/>
      <c r="E6485" s="58"/>
      <c r="F6485" s="58"/>
      <c r="G6485" s="58"/>
    </row>
    <row r="6486">
      <c r="D6486" s="58"/>
      <c r="E6486" s="58"/>
      <c r="F6486" s="58"/>
      <c r="G6486" s="58"/>
    </row>
    <row r="6487">
      <c r="D6487" s="58"/>
      <c r="E6487" s="58"/>
      <c r="F6487" s="58"/>
      <c r="G6487" s="58"/>
    </row>
    <row r="6488">
      <c r="D6488" s="58"/>
      <c r="E6488" s="58"/>
      <c r="F6488" s="58"/>
      <c r="G6488" s="58"/>
    </row>
    <row r="6489">
      <c r="D6489" s="58"/>
      <c r="E6489" s="58"/>
      <c r="F6489" s="58"/>
      <c r="G6489" s="58"/>
    </row>
    <row r="6490">
      <c r="D6490" s="58"/>
      <c r="E6490" s="58"/>
      <c r="F6490" s="58"/>
      <c r="G6490" s="58"/>
    </row>
    <row r="6491">
      <c r="D6491" s="58"/>
      <c r="E6491" s="58"/>
      <c r="F6491" s="58"/>
      <c r="G6491" s="58"/>
    </row>
    <row r="6492">
      <c r="D6492" s="58"/>
      <c r="E6492" s="58"/>
      <c r="F6492" s="58"/>
      <c r="G6492" s="58"/>
    </row>
    <row r="6493">
      <c r="D6493" s="58"/>
      <c r="E6493" s="58"/>
      <c r="F6493" s="58"/>
      <c r="G6493" s="58"/>
    </row>
    <row r="6494">
      <c r="D6494" s="58"/>
      <c r="E6494" s="58"/>
      <c r="F6494" s="58"/>
      <c r="G6494" s="58"/>
    </row>
    <row r="6495">
      <c r="D6495" s="58"/>
      <c r="E6495" s="58"/>
      <c r="F6495" s="58"/>
      <c r="G6495" s="58"/>
    </row>
    <row r="6496">
      <c r="D6496" s="58"/>
      <c r="E6496" s="58"/>
      <c r="F6496" s="58"/>
      <c r="G6496" s="58"/>
    </row>
    <row r="6497">
      <c r="D6497" s="58"/>
      <c r="E6497" s="58"/>
      <c r="F6497" s="58"/>
      <c r="G6497" s="58"/>
    </row>
    <row r="6498">
      <c r="D6498" s="58"/>
      <c r="E6498" s="58"/>
      <c r="F6498" s="58"/>
      <c r="G6498" s="58"/>
    </row>
    <row r="6499">
      <c r="D6499" s="58"/>
      <c r="E6499" s="58"/>
      <c r="F6499" s="58"/>
      <c r="G6499" s="58"/>
    </row>
    <row r="6500">
      <c r="D6500" s="58"/>
      <c r="E6500" s="58"/>
      <c r="F6500" s="58"/>
      <c r="G6500" s="58"/>
    </row>
    <row r="6501">
      <c r="D6501" s="58"/>
      <c r="E6501" s="58"/>
      <c r="F6501" s="58"/>
      <c r="G6501" s="58"/>
    </row>
    <row r="6502">
      <c r="D6502" s="58"/>
      <c r="E6502" s="58"/>
      <c r="F6502" s="58"/>
      <c r="G6502" s="58"/>
    </row>
    <row r="6503">
      <c r="D6503" s="58"/>
      <c r="E6503" s="58"/>
      <c r="F6503" s="58"/>
      <c r="G6503" s="58"/>
    </row>
    <row r="6504">
      <c r="D6504" s="58"/>
      <c r="E6504" s="58"/>
      <c r="F6504" s="58"/>
      <c r="G6504" s="58"/>
    </row>
    <row r="6505">
      <c r="D6505" s="58"/>
      <c r="E6505" s="58"/>
      <c r="F6505" s="58"/>
      <c r="G6505" s="58"/>
    </row>
    <row r="6506">
      <c r="D6506" s="58"/>
      <c r="E6506" s="58"/>
      <c r="F6506" s="58"/>
      <c r="G6506" s="58"/>
    </row>
    <row r="6507">
      <c r="D6507" s="58"/>
      <c r="E6507" s="58"/>
      <c r="F6507" s="58"/>
      <c r="G6507" s="58"/>
    </row>
    <row r="6508">
      <c r="D6508" s="58"/>
      <c r="E6508" s="58"/>
      <c r="F6508" s="58"/>
      <c r="G6508" s="58"/>
    </row>
    <row r="6509">
      <c r="D6509" s="58"/>
      <c r="E6509" s="58"/>
      <c r="F6509" s="58"/>
      <c r="G6509" s="58"/>
    </row>
    <row r="6510">
      <c r="D6510" s="58"/>
      <c r="E6510" s="58"/>
      <c r="F6510" s="58"/>
      <c r="G6510" s="58"/>
    </row>
    <row r="6511">
      <c r="D6511" s="58"/>
      <c r="E6511" s="58"/>
      <c r="F6511" s="58"/>
      <c r="G6511" s="58"/>
    </row>
    <row r="6512">
      <c r="D6512" s="58"/>
      <c r="E6512" s="58"/>
      <c r="F6512" s="58"/>
      <c r="G6512" s="58"/>
    </row>
    <row r="6513">
      <c r="D6513" s="58"/>
      <c r="E6513" s="58"/>
      <c r="F6513" s="58"/>
      <c r="G6513" s="58"/>
    </row>
    <row r="6514">
      <c r="D6514" s="58"/>
      <c r="E6514" s="58"/>
      <c r="F6514" s="58"/>
      <c r="G6514" s="58"/>
    </row>
    <row r="6515">
      <c r="D6515" s="58"/>
      <c r="E6515" s="58"/>
      <c r="F6515" s="58"/>
      <c r="G6515" s="58"/>
    </row>
    <row r="6516">
      <c r="D6516" s="58"/>
      <c r="E6516" s="58"/>
      <c r="F6516" s="58"/>
      <c r="G6516" s="58"/>
    </row>
    <row r="6517">
      <c r="D6517" s="58"/>
      <c r="E6517" s="58"/>
      <c r="F6517" s="58"/>
      <c r="G6517" s="58"/>
    </row>
    <row r="6518">
      <c r="D6518" s="58"/>
      <c r="E6518" s="58"/>
      <c r="F6518" s="58"/>
      <c r="G6518" s="58"/>
    </row>
    <row r="6519">
      <c r="D6519" s="58"/>
      <c r="E6519" s="58"/>
      <c r="F6519" s="58"/>
      <c r="G6519" s="58"/>
    </row>
    <row r="6520">
      <c r="D6520" s="58"/>
      <c r="E6520" s="58"/>
      <c r="F6520" s="58"/>
      <c r="G6520" s="58"/>
    </row>
    <row r="6521">
      <c r="D6521" s="58"/>
      <c r="E6521" s="58"/>
      <c r="F6521" s="58"/>
      <c r="G6521" s="58"/>
    </row>
    <row r="6522">
      <c r="D6522" s="58"/>
      <c r="E6522" s="58"/>
      <c r="F6522" s="58"/>
      <c r="G6522" s="58"/>
    </row>
    <row r="6523">
      <c r="D6523" s="58"/>
      <c r="E6523" s="58"/>
      <c r="F6523" s="58"/>
      <c r="G6523" s="58"/>
    </row>
    <row r="6524">
      <c r="D6524" s="58"/>
      <c r="E6524" s="58"/>
      <c r="F6524" s="58"/>
      <c r="G6524" s="58"/>
    </row>
    <row r="6525">
      <c r="D6525" s="58"/>
      <c r="E6525" s="58"/>
      <c r="F6525" s="58"/>
      <c r="G6525" s="58"/>
    </row>
    <row r="6526">
      <c r="D6526" s="58"/>
      <c r="E6526" s="58"/>
      <c r="F6526" s="58"/>
      <c r="G6526" s="58"/>
    </row>
    <row r="6527">
      <c r="D6527" s="58"/>
      <c r="E6527" s="58"/>
      <c r="F6527" s="58"/>
      <c r="G6527" s="58"/>
    </row>
    <row r="6528">
      <c r="D6528" s="58"/>
      <c r="E6528" s="58"/>
      <c r="F6528" s="58"/>
      <c r="G6528" s="58"/>
    </row>
    <row r="6529">
      <c r="D6529" s="58"/>
      <c r="E6529" s="58"/>
      <c r="F6529" s="58"/>
      <c r="G6529" s="58"/>
    </row>
    <row r="6530">
      <c r="D6530" s="58"/>
      <c r="E6530" s="58"/>
      <c r="F6530" s="58"/>
      <c r="G6530" s="58"/>
    </row>
    <row r="6531">
      <c r="D6531" s="58"/>
      <c r="E6531" s="58"/>
      <c r="F6531" s="58"/>
      <c r="G6531" s="58"/>
    </row>
    <row r="6532">
      <c r="D6532" s="58"/>
      <c r="E6532" s="58"/>
      <c r="F6532" s="58"/>
      <c r="G6532" s="58"/>
    </row>
    <row r="6533">
      <c r="D6533" s="58"/>
      <c r="E6533" s="58"/>
      <c r="F6533" s="58"/>
      <c r="G6533" s="58"/>
    </row>
    <row r="6534">
      <c r="D6534" s="58"/>
      <c r="E6534" s="58"/>
      <c r="F6534" s="58"/>
      <c r="G6534" s="58"/>
    </row>
    <row r="6535">
      <c r="D6535" s="58"/>
      <c r="E6535" s="58"/>
      <c r="F6535" s="58"/>
      <c r="G6535" s="58"/>
    </row>
    <row r="6536">
      <c r="D6536" s="58"/>
      <c r="E6536" s="58"/>
      <c r="F6536" s="58"/>
      <c r="G6536" s="58"/>
    </row>
    <row r="6537">
      <c r="D6537" s="58"/>
      <c r="E6537" s="58"/>
      <c r="F6537" s="58"/>
      <c r="G6537" s="58"/>
    </row>
    <row r="6538">
      <c r="D6538" s="58"/>
      <c r="E6538" s="58"/>
      <c r="F6538" s="58"/>
      <c r="G6538" s="58"/>
    </row>
    <row r="6539">
      <c r="D6539" s="58"/>
      <c r="E6539" s="58"/>
      <c r="F6539" s="58"/>
      <c r="G6539" s="58"/>
    </row>
    <row r="6540">
      <c r="D6540" s="58"/>
      <c r="E6540" s="58"/>
      <c r="F6540" s="58"/>
      <c r="G6540" s="58"/>
    </row>
    <row r="6541">
      <c r="D6541" s="58"/>
      <c r="E6541" s="58"/>
      <c r="F6541" s="58"/>
      <c r="G6541" s="58"/>
    </row>
    <row r="6542">
      <c r="D6542" s="58"/>
      <c r="E6542" s="58"/>
      <c r="F6542" s="58"/>
      <c r="G6542" s="58"/>
    </row>
    <row r="6543">
      <c r="D6543" s="58"/>
      <c r="E6543" s="58"/>
      <c r="F6543" s="58"/>
      <c r="G6543" s="58"/>
    </row>
    <row r="6544">
      <c r="D6544" s="58"/>
      <c r="E6544" s="58"/>
      <c r="F6544" s="58"/>
      <c r="G6544" s="58"/>
    </row>
    <row r="6545">
      <c r="D6545" s="58"/>
      <c r="E6545" s="58"/>
      <c r="F6545" s="58"/>
      <c r="G6545" s="58"/>
    </row>
    <row r="6546">
      <c r="D6546" s="58"/>
      <c r="E6546" s="58"/>
      <c r="F6546" s="58"/>
      <c r="G6546" s="58"/>
    </row>
    <row r="6547">
      <c r="D6547" s="58"/>
      <c r="E6547" s="58"/>
      <c r="F6547" s="58"/>
      <c r="G6547" s="58"/>
    </row>
    <row r="6548">
      <c r="D6548" s="58"/>
      <c r="E6548" s="58"/>
      <c r="F6548" s="58"/>
      <c r="G6548" s="58"/>
    </row>
    <row r="6549">
      <c r="D6549" s="58"/>
      <c r="E6549" s="58"/>
      <c r="F6549" s="58"/>
      <c r="G6549" s="58"/>
    </row>
    <row r="6550">
      <c r="D6550" s="58"/>
      <c r="E6550" s="58"/>
      <c r="F6550" s="58"/>
      <c r="G6550" s="58"/>
    </row>
    <row r="6551">
      <c r="D6551" s="58"/>
      <c r="E6551" s="58"/>
      <c r="F6551" s="58"/>
      <c r="G6551" s="58"/>
    </row>
    <row r="6552">
      <c r="D6552" s="58"/>
      <c r="E6552" s="58"/>
      <c r="F6552" s="58"/>
      <c r="G6552" s="58"/>
    </row>
    <row r="6553">
      <c r="D6553" s="58"/>
      <c r="E6553" s="58"/>
      <c r="F6553" s="58"/>
      <c r="G6553" s="58"/>
    </row>
    <row r="6554">
      <c r="D6554" s="58"/>
      <c r="E6554" s="58"/>
      <c r="F6554" s="58"/>
      <c r="G6554" s="58"/>
    </row>
    <row r="6555">
      <c r="D6555" s="58"/>
      <c r="E6555" s="58"/>
      <c r="F6555" s="58"/>
      <c r="G6555" s="58"/>
    </row>
    <row r="6556">
      <c r="D6556" s="58"/>
      <c r="E6556" s="58"/>
      <c r="F6556" s="58"/>
      <c r="G6556" s="58"/>
    </row>
    <row r="6557">
      <c r="D6557" s="58"/>
      <c r="E6557" s="58"/>
      <c r="F6557" s="58"/>
      <c r="G6557" s="58"/>
    </row>
    <row r="6558">
      <c r="D6558" s="58"/>
      <c r="E6558" s="58"/>
      <c r="F6558" s="58"/>
      <c r="G6558" s="58"/>
    </row>
    <row r="6559">
      <c r="D6559" s="58"/>
      <c r="E6559" s="58"/>
      <c r="F6559" s="58"/>
      <c r="G6559" s="58"/>
    </row>
    <row r="6560">
      <c r="D6560" s="58"/>
      <c r="E6560" s="58"/>
      <c r="F6560" s="58"/>
      <c r="G6560" s="58"/>
    </row>
    <row r="6561">
      <c r="D6561" s="58"/>
      <c r="E6561" s="58"/>
      <c r="F6561" s="58"/>
      <c r="G6561" s="58"/>
    </row>
    <row r="6562">
      <c r="D6562" s="58"/>
      <c r="E6562" s="58"/>
      <c r="F6562" s="58"/>
      <c r="G6562" s="58"/>
    </row>
    <row r="6563">
      <c r="D6563" s="58"/>
      <c r="E6563" s="58"/>
      <c r="F6563" s="58"/>
      <c r="G6563" s="58"/>
    </row>
    <row r="6564">
      <c r="D6564" s="58"/>
      <c r="E6564" s="58"/>
      <c r="F6564" s="58"/>
      <c r="G6564" s="58"/>
    </row>
    <row r="6565">
      <c r="D6565" s="58"/>
      <c r="E6565" s="58"/>
      <c r="F6565" s="58"/>
      <c r="G6565" s="58"/>
    </row>
    <row r="6566">
      <c r="D6566" s="58"/>
      <c r="E6566" s="58"/>
      <c r="F6566" s="58"/>
      <c r="G6566" s="58"/>
    </row>
    <row r="6567">
      <c r="D6567" s="58"/>
      <c r="E6567" s="58"/>
      <c r="F6567" s="58"/>
      <c r="G6567" s="58"/>
    </row>
    <row r="6568">
      <c r="D6568" s="58"/>
      <c r="E6568" s="58"/>
      <c r="F6568" s="58"/>
      <c r="G6568" s="58"/>
    </row>
    <row r="6569">
      <c r="D6569" s="58"/>
      <c r="E6569" s="58"/>
      <c r="F6569" s="58"/>
      <c r="G6569" s="58"/>
    </row>
    <row r="6570">
      <c r="D6570" s="58"/>
      <c r="E6570" s="58"/>
      <c r="F6570" s="58"/>
      <c r="G6570" s="58"/>
    </row>
    <row r="6571">
      <c r="D6571" s="58"/>
      <c r="E6571" s="58"/>
      <c r="F6571" s="58"/>
      <c r="G6571" s="58"/>
    </row>
    <row r="6572">
      <c r="D6572" s="58"/>
      <c r="E6572" s="58"/>
      <c r="F6572" s="58"/>
      <c r="G6572" s="58"/>
    </row>
    <row r="6573">
      <c r="D6573" s="58"/>
      <c r="E6573" s="58"/>
      <c r="F6573" s="58"/>
      <c r="G6573" s="58"/>
    </row>
    <row r="6574">
      <c r="D6574" s="58"/>
      <c r="E6574" s="58"/>
      <c r="F6574" s="58"/>
      <c r="G6574" s="58"/>
    </row>
    <row r="6575">
      <c r="D6575" s="58"/>
      <c r="E6575" s="58"/>
      <c r="F6575" s="58"/>
      <c r="G6575" s="58"/>
    </row>
    <row r="6576">
      <c r="D6576" s="58"/>
      <c r="E6576" s="58"/>
      <c r="F6576" s="58"/>
      <c r="G6576" s="58"/>
    </row>
    <row r="6577">
      <c r="D6577" s="58"/>
      <c r="E6577" s="58"/>
      <c r="F6577" s="58"/>
      <c r="G6577" s="58"/>
    </row>
    <row r="6578">
      <c r="D6578" s="58"/>
      <c r="E6578" s="58"/>
      <c r="F6578" s="58"/>
      <c r="G6578" s="58"/>
    </row>
    <row r="6579">
      <c r="D6579" s="58"/>
      <c r="E6579" s="58"/>
      <c r="F6579" s="58"/>
      <c r="G6579" s="58"/>
    </row>
    <row r="6580">
      <c r="D6580" s="58"/>
      <c r="E6580" s="58"/>
      <c r="F6580" s="58"/>
      <c r="G6580" s="58"/>
    </row>
    <row r="6581">
      <c r="D6581" s="58"/>
      <c r="E6581" s="58"/>
      <c r="F6581" s="58"/>
      <c r="G6581" s="58"/>
    </row>
    <row r="6582">
      <c r="D6582" s="58"/>
      <c r="E6582" s="58"/>
      <c r="F6582" s="58"/>
      <c r="G6582" s="58"/>
    </row>
    <row r="6583">
      <c r="D6583" s="58"/>
      <c r="E6583" s="58"/>
      <c r="F6583" s="58"/>
      <c r="G6583" s="58"/>
    </row>
    <row r="6584">
      <c r="D6584" s="58"/>
      <c r="E6584" s="58"/>
      <c r="F6584" s="58"/>
      <c r="G6584" s="58"/>
    </row>
    <row r="6585">
      <c r="D6585" s="58"/>
      <c r="E6585" s="58"/>
      <c r="F6585" s="58"/>
      <c r="G6585" s="58"/>
    </row>
    <row r="6586">
      <c r="D6586" s="58"/>
      <c r="E6586" s="58"/>
      <c r="F6586" s="58"/>
      <c r="G6586" s="58"/>
    </row>
    <row r="6587">
      <c r="D6587" s="58"/>
      <c r="E6587" s="58"/>
      <c r="F6587" s="58"/>
      <c r="G6587" s="58"/>
    </row>
    <row r="6588">
      <c r="D6588" s="58"/>
      <c r="E6588" s="58"/>
      <c r="F6588" s="58"/>
      <c r="G6588" s="58"/>
    </row>
    <row r="6589">
      <c r="D6589" s="58"/>
      <c r="E6589" s="58"/>
      <c r="F6589" s="58"/>
      <c r="G6589" s="58"/>
    </row>
    <row r="6590">
      <c r="D6590" s="58"/>
      <c r="E6590" s="58"/>
      <c r="F6590" s="58"/>
      <c r="G6590" s="58"/>
    </row>
    <row r="6591">
      <c r="D6591" s="58"/>
      <c r="E6591" s="58"/>
      <c r="F6591" s="58"/>
      <c r="G6591" s="58"/>
    </row>
    <row r="6592">
      <c r="D6592" s="58"/>
      <c r="E6592" s="58"/>
      <c r="F6592" s="58"/>
      <c r="G6592" s="58"/>
    </row>
    <row r="6593">
      <c r="D6593" s="58"/>
      <c r="E6593" s="58"/>
      <c r="F6593" s="58"/>
      <c r="G6593" s="58"/>
    </row>
    <row r="6594">
      <c r="D6594" s="58"/>
      <c r="E6594" s="58"/>
      <c r="F6594" s="58"/>
      <c r="G6594" s="58"/>
    </row>
    <row r="6595">
      <c r="D6595" s="58"/>
      <c r="E6595" s="58"/>
      <c r="F6595" s="58"/>
      <c r="G6595" s="58"/>
    </row>
    <row r="6596">
      <c r="D6596" s="58"/>
      <c r="E6596" s="58"/>
      <c r="F6596" s="58"/>
      <c r="G6596" s="58"/>
    </row>
    <row r="6597">
      <c r="D6597" s="58"/>
      <c r="E6597" s="58"/>
      <c r="F6597" s="58"/>
      <c r="G6597" s="58"/>
    </row>
    <row r="6598">
      <c r="D6598" s="58"/>
      <c r="E6598" s="58"/>
      <c r="F6598" s="58"/>
      <c r="G6598" s="58"/>
    </row>
    <row r="6599">
      <c r="D6599" s="58"/>
      <c r="E6599" s="58"/>
      <c r="F6599" s="58"/>
      <c r="G6599" s="58"/>
    </row>
    <row r="6600">
      <c r="D6600" s="58"/>
      <c r="E6600" s="58"/>
      <c r="F6600" s="58"/>
      <c r="G6600" s="58"/>
    </row>
    <row r="6601">
      <c r="D6601" s="58"/>
      <c r="E6601" s="58"/>
      <c r="F6601" s="58"/>
      <c r="G6601" s="58"/>
    </row>
    <row r="6602">
      <c r="D6602" s="58"/>
      <c r="E6602" s="58"/>
      <c r="F6602" s="58"/>
      <c r="G6602" s="58"/>
    </row>
    <row r="6603">
      <c r="D6603" s="58"/>
      <c r="E6603" s="58"/>
      <c r="F6603" s="58"/>
      <c r="G6603" s="58"/>
    </row>
    <row r="6604">
      <c r="D6604" s="58"/>
      <c r="E6604" s="58"/>
      <c r="F6604" s="58"/>
      <c r="G6604" s="58"/>
    </row>
    <row r="6605">
      <c r="D6605" s="58"/>
      <c r="E6605" s="58"/>
      <c r="F6605" s="58"/>
      <c r="G6605" s="58"/>
    </row>
    <row r="6606">
      <c r="D6606" s="58"/>
      <c r="E6606" s="58"/>
      <c r="F6606" s="58"/>
      <c r="G6606" s="58"/>
    </row>
    <row r="6607">
      <c r="D6607" s="58"/>
      <c r="E6607" s="58"/>
      <c r="F6607" s="58"/>
      <c r="G6607" s="58"/>
    </row>
    <row r="6608">
      <c r="D6608" s="58"/>
      <c r="E6608" s="58"/>
      <c r="F6608" s="58"/>
      <c r="G6608" s="58"/>
    </row>
    <row r="6609">
      <c r="D6609" s="58"/>
      <c r="E6609" s="58"/>
      <c r="F6609" s="58"/>
      <c r="G6609" s="58"/>
    </row>
    <row r="6610">
      <c r="D6610" s="58"/>
      <c r="E6610" s="58"/>
      <c r="F6610" s="58"/>
      <c r="G6610" s="58"/>
    </row>
    <row r="6611">
      <c r="D6611" s="58"/>
      <c r="E6611" s="58"/>
      <c r="F6611" s="58"/>
      <c r="G6611" s="58"/>
    </row>
    <row r="6612">
      <c r="D6612" s="58"/>
      <c r="E6612" s="58"/>
      <c r="F6612" s="58"/>
      <c r="G6612" s="58"/>
    </row>
    <row r="6613">
      <c r="D6613" s="58"/>
      <c r="E6613" s="58"/>
      <c r="F6613" s="58"/>
      <c r="G6613" s="58"/>
    </row>
    <row r="6614">
      <c r="D6614" s="58"/>
      <c r="E6614" s="58"/>
      <c r="F6614" s="58"/>
      <c r="G6614" s="58"/>
    </row>
    <row r="6615">
      <c r="D6615" s="58"/>
      <c r="E6615" s="58"/>
      <c r="F6615" s="58"/>
      <c r="G6615" s="58"/>
    </row>
    <row r="6616">
      <c r="D6616" s="58"/>
      <c r="E6616" s="58"/>
      <c r="F6616" s="58"/>
      <c r="G6616" s="58"/>
    </row>
    <row r="6617">
      <c r="D6617" s="58"/>
      <c r="E6617" s="58"/>
      <c r="F6617" s="58"/>
      <c r="G6617" s="58"/>
    </row>
    <row r="6618">
      <c r="D6618" s="58"/>
      <c r="E6618" s="58"/>
      <c r="F6618" s="58"/>
      <c r="G6618" s="58"/>
    </row>
    <row r="6619">
      <c r="D6619" s="58"/>
      <c r="E6619" s="58"/>
      <c r="F6619" s="58"/>
      <c r="G6619" s="58"/>
    </row>
    <row r="6620">
      <c r="D6620" s="58"/>
      <c r="E6620" s="58"/>
      <c r="F6620" s="58"/>
      <c r="G6620" s="58"/>
    </row>
    <row r="6621">
      <c r="D6621" s="58"/>
      <c r="E6621" s="58"/>
      <c r="F6621" s="58"/>
      <c r="G6621" s="58"/>
    </row>
    <row r="6622">
      <c r="D6622" s="58"/>
      <c r="E6622" s="58"/>
      <c r="F6622" s="58"/>
      <c r="G6622" s="58"/>
    </row>
    <row r="6623">
      <c r="D6623" s="58"/>
      <c r="E6623" s="58"/>
      <c r="F6623" s="58"/>
      <c r="G6623" s="58"/>
    </row>
    <row r="6624">
      <c r="D6624" s="58"/>
      <c r="E6624" s="58"/>
      <c r="F6624" s="58"/>
      <c r="G6624" s="58"/>
    </row>
    <row r="6625">
      <c r="D6625" s="58"/>
      <c r="E6625" s="58"/>
      <c r="F6625" s="58"/>
      <c r="G6625" s="58"/>
    </row>
    <row r="6626">
      <c r="D6626" s="58"/>
      <c r="E6626" s="58"/>
      <c r="F6626" s="58"/>
      <c r="G6626" s="58"/>
    </row>
    <row r="6627">
      <c r="D6627" s="58"/>
      <c r="E6627" s="58"/>
      <c r="F6627" s="58"/>
      <c r="G6627" s="58"/>
    </row>
    <row r="6628">
      <c r="D6628" s="58"/>
      <c r="E6628" s="58"/>
      <c r="F6628" s="58"/>
      <c r="G6628" s="58"/>
    </row>
    <row r="6629">
      <c r="D6629" s="58"/>
      <c r="E6629" s="58"/>
      <c r="F6629" s="58"/>
      <c r="G6629" s="58"/>
    </row>
    <row r="6630">
      <c r="D6630" s="58"/>
      <c r="E6630" s="58"/>
      <c r="F6630" s="58"/>
      <c r="G6630" s="58"/>
    </row>
    <row r="6631">
      <c r="D6631" s="58"/>
      <c r="E6631" s="58"/>
      <c r="F6631" s="58"/>
      <c r="G6631" s="58"/>
    </row>
    <row r="6632">
      <c r="D6632" s="58"/>
      <c r="E6632" s="58"/>
      <c r="F6632" s="58"/>
      <c r="G6632" s="58"/>
    </row>
    <row r="6633">
      <c r="D6633" s="58"/>
      <c r="E6633" s="58"/>
      <c r="F6633" s="58"/>
      <c r="G6633" s="58"/>
    </row>
    <row r="6634">
      <c r="D6634" s="58"/>
      <c r="E6634" s="58"/>
      <c r="F6634" s="58"/>
      <c r="G6634" s="58"/>
    </row>
    <row r="6635">
      <c r="D6635" s="58"/>
      <c r="E6635" s="58"/>
      <c r="F6635" s="58"/>
      <c r="G6635" s="58"/>
    </row>
    <row r="6636">
      <c r="D6636" s="58"/>
      <c r="E6636" s="58"/>
      <c r="F6636" s="58"/>
      <c r="G6636" s="58"/>
    </row>
    <row r="6637">
      <c r="D6637" s="58"/>
      <c r="E6637" s="58"/>
      <c r="F6637" s="58"/>
      <c r="G6637" s="58"/>
    </row>
    <row r="6638">
      <c r="D6638" s="58"/>
      <c r="E6638" s="58"/>
      <c r="F6638" s="58"/>
      <c r="G6638" s="58"/>
    </row>
    <row r="6639">
      <c r="D6639" s="58"/>
      <c r="E6639" s="58"/>
      <c r="F6639" s="58"/>
      <c r="G6639" s="58"/>
    </row>
    <row r="6640">
      <c r="D6640" s="58"/>
      <c r="E6640" s="58"/>
      <c r="F6640" s="58"/>
      <c r="G6640" s="58"/>
    </row>
    <row r="6641">
      <c r="D6641" s="58"/>
      <c r="E6641" s="58"/>
      <c r="F6641" s="58"/>
      <c r="G6641" s="58"/>
    </row>
    <row r="6642">
      <c r="D6642" s="58"/>
      <c r="E6642" s="58"/>
      <c r="F6642" s="58"/>
      <c r="G6642" s="58"/>
    </row>
    <row r="6643">
      <c r="D6643" s="58"/>
      <c r="E6643" s="58"/>
      <c r="F6643" s="58"/>
      <c r="G6643" s="58"/>
    </row>
    <row r="6644">
      <c r="D6644" s="58"/>
      <c r="E6644" s="58"/>
      <c r="F6644" s="58"/>
      <c r="G6644" s="58"/>
    </row>
    <row r="6645">
      <c r="D6645" s="58"/>
      <c r="E6645" s="58"/>
      <c r="F6645" s="58"/>
      <c r="G6645" s="58"/>
    </row>
    <row r="6646">
      <c r="D6646" s="58"/>
      <c r="E6646" s="58"/>
      <c r="F6646" s="58"/>
      <c r="G6646" s="58"/>
    </row>
    <row r="6647">
      <c r="D6647" s="58"/>
      <c r="E6647" s="58"/>
      <c r="F6647" s="58"/>
      <c r="G6647" s="58"/>
    </row>
    <row r="6648">
      <c r="D6648" s="58"/>
      <c r="E6648" s="58"/>
      <c r="F6648" s="58"/>
      <c r="G6648" s="58"/>
    </row>
    <row r="6649">
      <c r="D6649" s="58"/>
      <c r="E6649" s="58"/>
      <c r="F6649" s="58"/>
      <c r="G6649" s="58"/>
    </row>
    <row r="6650">
      <c r="D6650" s="58"/>
      <c r="E6650" s="58"/>
      <c r="F6650" s="58"/>
      <c r="G6650" s="58"/>
    </row>
    <row r="6651">
      <c r="D6651" s="58"/>
      <c r="E6651" s="58"/>
      <c r="F6651" s="58"/>
      <c r="G6651" s="58"/>
    </row>
    <row r="6652">
      <c r="D6652" s="58"/>
      <c r="E6652" s="58"/>
      <c r="F6652" s="58"/>
      <c r="G6652" s="58"/>
    </row>
    <row r="6653">
      <c r="D6653" s="58"/>
      <c r="E6653" s="58"/>
      <c r="F6653" s="58"/>
      <c r="G6653" s="58"/>
    </row>
    <row r="6654">
      <c r="D6654" s="58"/>
      <c r="E6654" s="58"/>
      <c r="F6654" s="58"/>
      <c r="G6654" s="58"/>
    </row>
    <row r="6655">
      <c r="D6655" s="58"/>
      <c r="E6655" s="58"/>
      <c r="F6655" s="58"/>
      <c r="G6655" s="58"/>
    </row>
    <row r="6656">
      <c r="D6656" s="58"/>
      <c r="E6656" s="58"/>
      <c r="F6656" s="58"/>
      <c r="G6656" s="58"/>
    </row>
    <row r="6657">
      <c r="D6657" s="58"/>
      <c r="E6657" s="58"/>
      <c r="F6657" s="58"/>
      <c r="G6657" s="58"/>
    </row>
    <row r="6658">
      <c r="D6658" s="58"/>
      <c r="E6658" s="58"/>
      <c r="F6658" s="58"/>
      <c r="G6658" s="58"/>
    </row>
    <row r="6659">
      <c r="D6659" s="58"/>
      <c r="E6659" s="58"/>
      <c r="F6659" s="58"/>
      <c r="G6659" s="58"/>
    </row>
    <row r="6660">
      <c r="D6660" s="58"/>
      <c r="E6660" s="58"/>
      <c r="F6660" s="58"/>
      <c r="G6660" s="58"/>
    </row>
    <row r="6661">
      <c r="D6661" s="58"/>
      <c r="E6661" s="58"/>
      <c r="F6661" s="58"/>
      <c r="G6661" s="58"/>
    </row>
    <row r="6662">
      <c r="D6662" s="58"/>
      <c r="E6662" s="58"/>
      <c r="F6662" s="58"/>
      <c r="G6662" s="58"/>
    </row>
    <row r="6663">
      <c r="D6663" s="58"/>
      <c r="E6663" s="58"/>
      <c r="F6663" s="58"/>
      <c r="G6663" s="58"/>
    </row>
    <row r="6664">
      <c r="D6664" s="58"/>
      <c r="E6664" s="58"/>
      <c r="F6664" s="58"/>
      <c r="G6664" s="58"/>
    </row>
    <row r="6665">
      <c r="D6665" s="58"/>
      <c r="E6665" s="58"/>
      <c r="F6665" s="58"/>
      <c r="G6665" s="58"/>
    </row>
    <row r="6666">
      <c r="D6666" s="58"/>
      <c r="E6666" s="58"/>
      <c r="F6666" s="58"/>
      <c r="G6666" s="58"/>
    </row>
    <row r="6667">
      <c r="D6667" s="58"/>
      <c r="E6667" s="58"/>
      <c r="F6667" s="58"/>
      <c r="G6667" s="58"/>
    </row>
    <row r="6668">
      <c r="D6668" s="58"/>
      <c r="E6668" s="58"/>
      <c r="F6668" s="58"/>
      <c r="G6668" s="58"/>
    </row>
    <row r="6669">
      <c r="D6669" s="58"/>
      <c r="E6669" s="58"/>
      <c r="F6669" s="58"/>
      <c r="G6669" s="58"/>
    </row>
    <row r="6670">
      <c r="D6670" s="58"/>
      <c r="E6670" s="58"/>
      <c r="F6670" s="58"/>
      <c r="G6670" s="58"/>
    </row>
    <row r="6671">
      <c r="D6671" s="58"/>
      <c r="E6671" s="58"/>
      <c r="F6671" s="58"/>
      <c r="G6671" s="58"/>
    </row>
    <row r="6672">
      <c r="D6672" s="58"/>
      <c r="E6672" s="58"/>
      <c r="F6672" s="58"/>
      <c r="G6672" s="58"/>
    </row>
    <row r="6673">
      <c r="D6673" s="58"/>
      <c r="E6673" s="58"/>
      <c r="F6673" s="58"/>
      <c r="G6673" s="58"/>
    </row>
    <row r="6674">
      <c r="D6674" s="58"/>
      <c r="E6674" s="58"/>
      <c r="F6674" s="58"/>
      <c r="G6674" s="58"/>
    </row>
    <row r="6675">
      <c r="D6675" s="58"/>
      <c r="E6675" s="58"/>
      <c r="F6675" s="58"/>
      <c r="G6675" s="58"/>
    </row>
    <row r="6676">
      <c r="D6676" s="58"/>
      <c r="E6676" s="58"/>
      <c r="F6676" s="58"/>
      <c r="G6676" s="58"/>
    </row>
    <row r="6677">
      <c r="D6677" s="58"/>
      <c r="E6677" s="58"/>
      <c r="F6677" s="58"/>
      <c r="G6677" s="58"/>
    </row>
    <row r="6678">
      <c r="D6678" s="58"/>
      <c r="E6678" s="58"/>
      <c r="F6678" s="58"/>
      <c r="G6678" s="58"/>
    </row>
    <row r="6679">
      <c r="D6679" s="58"/>
      <c r="E6679" s="58"/>
      <c r="F6679" s="58"/>
      <c r="G6679" s="58"/>
    </row>
    <row r="6680">
      <c r="D6680" s="58"/>
      <c r="E6680" s="58"/>
      <c r="F6680" s="58"/>
      <c r="G6680" s="58"/>
    </row>
    <row r="6681">
      <c r="D6681" s="58"/>
      <c r="E6681" s="58"/>
      <c r="F6681" s="58"/>
      <c r="G6681" s="58"/>
    </row>
    <row r="6682">
      <c r="D6682" s="58"/>
      <c r="E6682" s="58"/>
      <c r="F6682" s="58"/>
      <c r="G6682" s="58"/>
    </row>
    <row r="6683">
      <c r="D6683" s="58"/>
      <c r="E6683" s="58"/>
      <c r="F6683" s="58"/>
      <c r="G6683" s="58"/>
    </row>
    <row r="6684">
      <c r="D6684" s="58"/>
      <c r="E6684" s="58"/>
      <c r="F6684" s="58"/>
      <c r="G6684" s="58"/>
    </row>
    <row r="6685">
      <c r="D6685" s="58"/>
      <c r="E6685" s="58"/>
      <c r="F6685" s="58"/>
      <c r="G6685" s="58"/>
    </row>
    <row r="6686">
      <c r="D6686" s="58"/>
      <c r="E6686" s="58"/>
      <c r="F6686" s="58"/>
      <c r="G6686" s="58"/>
    </row>
    <row r="6687">
      <c r="D6687" s="58"/>
      <c r="E6687" s="58"/>
      <c r="F6687" s="58"/>
      <c r="G6687" s="58"/>
    </row>
    <row r="6688">
      <c r="D6688" s="58"/>
      <c r="E6688" s="58"/>
      <c r="F6688" s="58"/>
      <c r="G6688" s="58"/>
    </row>
    <row r="6689">
      <c r="D6689" s="58"/>
      <c r="E6689" s="58"/>
      <c r="F6689" s="58"/>
      <c r="G6689" s="58"/>
    </row>
    <row r="6690">
      <c r="D6690" s="58"/>
      <c r="E6690" s="58"/>
      <c r="F6690" s="58"/>
      <c r="G6690" s="58"/>
    </row>
    <row r="6691">
      <c r="D6691" s="58"/>
      <c r="E6691" s="58"/>
      <c r="F6691" s="58"/>
      <c r="G6691" s="58"/>
    </row>
    <row r="6692">
      <c r="D6692" s="58"/>
      <c r="E6692" s="58"/>
      <c r="F6692" s="58"/>
      <c r="G6692" s="58"/>
    </row>
    <row r="6693">
      <c r="D6693" s="58"/>
      <c r="E6693" s="58"/>
      <c r="F6693" s="58"/>
      <c r="G6693" s="58"/>
    </row>
    <row r="6694">
      <c r="D6694" s="58"/>
      <c r="E6694" s="58"/>
      <c r="F6694" s="58"/>
      <c r="G6694" s="58"/>
    </row>
    <row r="6695">
      <c r="D6695" s="58"/>
      <c r="E6695" s="58"/>
      <c r="F6695" s="58"/>
      <c r="G6695" s="58"/>
    </row>
    <row r="6696">
      <c r="D6696" s="58"/>
      <c r="E6696" s="58"/>
      <c r="F6696" s="58"/>
      <c r="G6696" s="58"/>
    </row>
    <row r="6697">
      <c r="D6697" s="58"/>
      <c r="E6697" s="58"/>
      <c r="F6697" s="58"/>
      <c r="G6697" s="58"/>
    </row>
    <row r="6698">
      <c r="D6698" s="58"/>
      <c r="E6698" s="58"/>
      <c r="F6698" s="58"/>
      <c r="G6698" s="58"/>
    </row>
    <row r="6699">
      <c r="D6699" s="58"/>
      <c r="E6699" s="58"/>
      <c r="F6699" s="58"/>
      <c r="G6699" s="58"/>
    </row>
    <row r="6700">
      <c r="D6700" s="58"/>
      <c r="E6700" s="58"/>
      <c r="F6700" s="58"/>
      <c r="G6700" s="58"/>
    </row>
    <row r="6701">
      <c r="D6701" s="58"/>
      <c r="E6701" s="58"/>
      <c r="F6701" s="58"/>
      <c r="G6701" s="58"/>
    </row>
    <row r="6702">
      <c r="D6702" s="58"/>
      <c r="E6702" s="58"/>
      <c r="F6702" s="58"/>
      <c r="G6702" s="58"/>
    </row>
    <row r="6703">
      <c r="D6703" s="58"/>
      <c r="E6703" s="58"/>
      <c r="F6703" s="58"/>
      <c r="G6703" s="58"/>
    </row>
    <row r="6704">
      <c r="D6704" s="58"/>
      <c r="E6704" s="58"/>
      <c r="F6704" s="58"/>
      <c r="G6704" s="58"/>
    </row>
    <row r="6705">
      <c r="D6705" s="58"/>
      <c r="E6705" s="58"/>
      <c r="F6705" s="58"/>
      <c r="G6705" s="58"/>
    </row>
    <row r="6706">
      <c r="D6706" s="58"/>
      <c r="E6706" s="58"/>
      <c r="F6706" s="58"/>
      <c r="G6706" s="58"/>
    </row>
    <row r="6707">
      <c r="D6707" s="58"/>
      <c r="E6707" s="58"/>
      <c r="F6707" s="58"/>
      <c r="G6707" s="58"/>
    </row>
    <row r="6708">
      <c r="D6708" s="58"/>
      <c r="E6708" s="58"/>
      <c r="F6708" s="58"/>
      <c r="G6708" s="58"/>
    </row>
    <row r="6709">
      <c r="D6709" s="58"/>
      <c r="E6709" s="58"/>
      <c r="F6709" s="58"/>
      <c r="G6709" s="58"/>
    </row>
    <row r="6710">
      <c r="D6710" s="58"/>
      <c r="E6710" s="58"/>
      <c r="F6710" s="58"/>
      <c r="G6710" s="58"/>
    </row>
    <row r="6711">
      <c r="D6711" s="58"/>
      <c r="E6711" s="58"/>
      <c r="F6711" s="58"/>
      <c r="G6711" s="58"/>
    </row>
    <row r="6712">
      <c r="D6712" s="58"/>
      <c r="E6712" s="58"/>
      <c r="F6712" s="58"/>
      <c r="G6712" s="58"/>
    </row>
    <row r="6713">
      <c r="D6713" s="58"/>
      <c r="E6713" s="58"/>
      <c r="F6713" s="58"/>
      <c r="G6713" s="58"/>
    </row>
    <row r="6714">
      <c r="D6714" s="58"/>
      <c r="E6714" s="58"/>
      <c r="F6714" s="58"/>
      <c r="G6714" s="58"/>
    </row>
    <row r="6715">
      <c r="D6715" s="58"/>
      <c r="E6715" s="58"/>
      <c r="F6715" s="58"/>
      <c r="G6715" s="58"/>
    </row>
    <row r="6716">
      <c r="D6716" s="58"/>
      <c r="E6716" s="58"/>
      <c r="F6716" s="58"/>
      <c r="G6716" s="58"/>
    </row>
    <row r="6717">
      <c r="D6717" s="58"/>
      <c r="E6717" s="58"/>
      <c r="F6717" s="58"/>
      <c r="G6717" s="58"/>
    </row>
    <row r="6718">
      <c r="D6718" s="58"/>
      <c r="E6718" s="58"/>
      <c r="F6718" s="58"/>
      <c r="G6718" s="58"/>
    </row>
    <row r="6719">
      <c r="D6719" s="58"/>
      <c r="E6719" s="58"/>
      <c r="F6719" s="58"/>
      <c r="G6719" s="58"/>
    </row>
    <row r="6720">
      <c r="D6720" s="58"/>
      <c r="E6720" s="58"/>
      <c r="F6720" s="58"/>
      <c r="G6720" s="58"/>
    </row>
    <row r="6721">
      <c r="D6721" s="58"/>
      <c r="E6721" s="58"/>
      <c r="F6721" s="58"/>
      <c r="G6721" s="58"/>
    </row>
    <row r="6722">
      <c r="D6722" s="58"/>
      <c r="E6722" s="58"/>
      <c r="F6722" s="58"/>
      <c r="G6722" s="58"/>
    </row>
    <row r="6723">
      <c r="D6723" s="58"/>
      <c r="E6723" s="58"/>
      <c r="F6723" s="58"/>
      <c r="G6723" s="58"/>
    </row>
    <row r="6724">
      <c r="D6724" s="58"/>
      <c r="E6724" s="58"/>
      <c r="F6724" s="58"/>
      <c r="G6724" s="58"/>
    </row>
    <row r="6725">
      <c r="D6725" s="58"/>
      <c r="E6725" s="58"/>
      <c r="F6725" s="58"/>
      <c r="G6725" s="58"/>
    </row>
    <row r="6726">
      <c r="D6726" s="58"/>
      <c r="E6726" s="58"/>
      <c r="F6726" s="58"/>
      <c r="G6726" s="58"/>
    </row>
    <row r="6727">
      <c r="D6727" s="58"/>
      <c r="E6727" s="58"/>
      <c r="F6727" s="58"/>
      <c r="G6727" s="58"/>
    </row>
    <row r="6728">
      <c r="D6728" s="58"/>
      <c r="E6728" s="58"/>
      <c r="F6728" s="58"/>
      <c r="G6728" s="58"/>
    </row>
    <row r="6729">
      <c r="D6729" s="58"/>
      <c r="E6729" s="58"/>
      <c r="F6729" s="58"/>
      <c r="G6729" s="58"/>
    </row>
    <row r="6730">
      <c r="D6730" s="58"/>
      <c r="E6730" s="58"/>
      <c r="F6730" s="58"/>
      <c r="G6730" s="58"/>
    </row>
    <row r="6731">
      <c r="D6731" s="58"/>
      <c r="E6731" s="58"/>
      <c r="F6731" s="58"/>
      <c r="G6731" s="58"/>
    </row>
    <row r="6732">
      <c r="D6732" s="58"/>
      <c r="E6732" s="58"/>
      <c r="F6732" s="58"/>
      <c r="G6732" s="58"/>
    </row>
    <row r="6733">
      <c r="D6733" s="58"/>
      <c r="E6733" s="58"/>
      <c r="F6733" s="58"/>
      <c r="G6733" s="58"/>
    </row>
    <row r="6734">
      <c r="D6734" s="58"/>
      <c r="E6734" s="58"/>
      <c r="F6734" s="58"/>
      <c r="G6734" s="58"/>
    </row>
    <row r="6735">
      <c r="D6735" s="58"/>
      <c r="E6735" s="58"/>
      <c r="F6735" s="58"/>
      <c r="G6735" s="58"/>
    </row>
    <row r="6736">
      <c r="D6736" s="58"/>
      <c r="E6736" s="58"/>
      <c r="F6736" s="58"/>
      <c r="G6736" s="58"/>
    </row>
    <row r="6737">
      <c r="D6737" s="58"/>
      <c r="E6737" s="58"/>
      <c r="F6737" s="58"/>
      <c r="G6737" s="58"/>
    </row>
    <row r="6738">
      <c r="D6738" s="58"/>
      <c r="E6738" s="58"/>
      <c r="F6738" s="58"/>
      <c r="G6738" s="58"/>
    </row>
    <row r="6739">
      <c r="D6739" s="58"/>
      <c r="E6739" s="58"/>
      <c r="F6739" s="58"/>
      <c r="G6739" s="58"/>
    </row>
    <row r="6740">
      <c r="D6740" s="58"/>
      <c r="E6740" s="58"/>
      <c r="F6740" s="58"/>
      <c r="G6740" s="58"/>
    </row>
    <row r="6741">
      <c r="D6741" s="58"/>
      <c r="E6741" s="58"/>
      <c r="F6741" s="58"/>
      <c r="G6741" s="58"/>
    </row>
    <row r="6742">
      <c r="D6742" s="58"/>
      <c r="E6742" s="58"/>
      <c r="F6742" s="58"/>
      <c r="G6742" s="58"/>
    </row>
    <row r="6743">
      <c r="D6743" s="58"/>
      <c r="E6743" s="58"/>
      <c r="F6743" s="58"/>
      <c r="G6743" s="58"/>
    </row>
    <row r="6744">
      <c r="D6744" s="58"/>
      <c r="E6744" s="58"/>
      <c r="F6744" s="58"/>
      <c r="G6744" s="58"/>
    </row>
    <row r="6745">
      <c r="D6745" s="58"/>
      <c r="E6745" s="58"/>
      <c r="F6745" s="58"/>
      <c r="G6745" s="58"/>
    </row>
    <row r="6746">
      <c r="D6746" s="58"/>
      <c r="E6746" s="58"/>
      <c r="F6746" s="58"/>
      <c r="G6746" s="58"/>
    </row>
    <row r="6747">
      <c r="D6747" s="58"/>
      <c r="E6747" s="58"/>
      <c r="F6747" s="58"/>
      <c r="G6747" s="58"/>
    </row>
    <row r="6748">
      <c r="D6748" s="58"/>
      <c r="E6748" s="58"/>
      <c r="F6748" s="58"/>
      <c r="G6748" s="58"/>
    </row>
    <row r="6749">
      <c r="D6749" s="58"/>
      <c r="E6749" s="58"/>
      <c r="F6749" s="58"/>
      <c r="G6749" s="58"/>
    </row>
    <row r="6750">
      <c r="D6750" s="58"/>
      <c r="E6750" s="58"/>
      <c r="F6750" s="58"/>
      <c r="G6750" s="58"/>
    </row>
    <row r="6751">
      <c r="D6751" s="58"/>
      <c r="E6751" s="58"/>
      <c r="F6751" s="58"/>
      <c r="G6751" s="58"/>
    </row>
    <row r="6752">
      <c r="D6752" s="58"/>
      <c r="E6752" s="58"/>
      <c r="F6752" s="58"/>
      <c r="G6752" s="58"/>
    </row>
    <row r="6753">
      <c r="D6753" s="58"/>
      <c r="E6753" s="58"/>
      <c r="F6753" s="58"/>
      <c r="G6753" s="58"/>
    </row>
    <row r="6754">
      <c r="D6754" s="58"/>
      <c r="E6754" s="58"/>
      <c r="F6754" s="58"/>
      <c r="G6754" s="58"/>
    </row>
    <row r="6755">
      <c r="D6755" s="58"/>
      <c r="E6755" s="58"/>
      <c r="F6755" s="58"/>
      <c r="G6755" s="58"/>
    </row>
    <row r="6756">
      <c r="D6756" s="58"/>
      <c r="E6756" s="58"/>
      <c r="F6756" s="58"/>
      <c r="G6756" s="58"/>
    </row>
    <row r="6757">
      <c r="D6757" s="58"/>
      <c r="E6757" s="58"/>
      <c r="F6757" s="58"/>
      <c r="G6757" s="58"/>
    </row>
    <row r="6758">
      <c r="D6758" s="58"/>
      <c r="E6758" s="58"/>
      <c r="F6758" s="58"/>
      <c r="G6758" s="58"/>
    </row>
    <row r="6759">
      <c r="D6759" s="58"/>
      <c r="E6759" s="58"/>
      <c r="F6759" s="58"/>
      <c r="G6759" s="58"/>
    </row>
    <row r="6760">
      <c r="D6760" s="58"/>
      <c r="E6760" s="58"/>
      <c r="F6760" s="58"/>
      <c r="G6760" s="58"/>
    </row>
    <row r="6761">
      <c r="D6761" s="58"/>
      <c r="E6761" s="58"/>
      <c r="F6761" s="58"/>
      <c r="G6761" s="58"/>
    </row>
    <row r="6762">
      <c r="D6762" s="58"/>
      <c r="E6762" s="58"/>
      <c r="F6762" s="58"/>
      <c r="G6762" s="58"/>
    </row>
    <row r="6763">
      <c r="D6763" s="58"/>
      <c r="E6763" s="58"/>
      <c r="F6763" s="58"/>
      <c r="G6763" s="58"/>
    </row>
    <row r="6764">
      <c r="D6764" s="58"/>
      <c r="E6764" s="58"/>
      <c r="F6764" s="58"/>
      <c r="G6764" s="58"/>
    </row>
    <row r="6765">
      <c r="D6765" s="58"/>
      <c r="E6765" s="58"/>
      <c r="F6765" s="58"/>
      <c r="G6765" s="58"/>
    </row>
    <row r="6766">
      <c r="D6766" s="58"/>
      <c r="E6766" s="58"/>
      <c r="F6766" s="58"/>
      <c r="G6766" s="58"/>
    </row>
    <row r="6767">
      <c r="D6767" s="58"/>
      <c r="E6767" s="58"/>
      <c r="F6767" s="58"/>
      <c r="G6767" s="58"/>
    </row>
    <row r="6768">
      <c r="D6768" s="58"/>
      <c r="E6768" s="58"/>
      <c r="F6768" s="58"/>
      <c r="G6768" s="58"/>
    </row>
    <row r="6769">
      <c r="D6769" s="58"/>
      <c r="E6769" s="58"/>
      <c r="F6769" s="58"/>
      <c r="G6769" s="58"/>
    </row>
    <row r="6770">
      <c r="D6770" s="58"/>
      <c r="E6770" s="58"/>
      <c r="F6770" s="58"/>
      <c r="G6770" s="58"/>
    </row>
    <row r="6771">
      <c r="D6771" s="58"/>
      <c r="E6771" s="58"/>
      <c r="F6771" s="58"/>
      <c r="G6771" s="58"/>
    </row>
    <row r="6772">
      <c r="D6772" s="58"/>
      <c r="E6772" s="58"/>
      <c r="F6772" s="58"/>
      <c r="G6772" s="58"/>
    </row>
    <row r="6773">
      <c r="D6773" s="58"/>
      <c r="E6773" s="58"/>
      <c r="F6773" s="58"/>
      <c r="G6773" s="58"/>
    </row>
    <row r="6774">
      <c r="D6774" s="58"/>
      <c r="E6774" s="58"/>
      <c r="F6774" s="58"/>
      <c r="G6774" s="58"/>
    </row>
    <row r="6775">
      <c r="D6775" s="58"/>
      <c r="E6775" s="58"/>
      <c r="F6775" s="58"/>
      <c r="G6775" s="58"/>
    </row>
    <row r="6776">
      <c r="D6776" s="58"/>
      <c r="E6776" s="58"/>
      <c r="F6776" s="58"/>
      <c r="G6776" s="58"/>
    </row>
    <row r="6777">
      <c r="D6777" s="58"/>
      <c r="E6777" s="58"/>
      <c r="F6777" s="58"/>
      <c r="G6777" s="58"/>
    </row>
    <row r="6778">
      <c r="D6778" s="58"/>
      <c r="E6778" s="58"/>
      <c r="F6778" s="58"/>
      <c r="G6778" s="58"/>
    </row>
    <row r="6779">
      <c r="D6779" s="58"/>
      <c r="E6779" s="58"/>
      <c r="F6779" s="58"/>
      <c r="G6779" s="58"/>
    </row>
    <row r="6780">
      <c r="D6780" s="58"/>
      <c r="E6780" s="58"/>
      <c r="F6780" s="58"/>
      <c r="G6780" s="58"/>
    </row>
    <row r="6781">
      <c r="D6781" s="58"/>
      <c r="E6781" s="58"/>
      <c r="F6781" s="58"/>
      <c r="G6781" s="58"/>
    </row>
    <row r="6782">
      <c r="D6782" s="58"/>
      <c r="E6782" s="58"/>
      <c r="F6782" s="58"/>
      <c r="G6782" s="58"/>
    </row>
    <row r="6783">
      <c r="D6783" s="58"/>
      <c r="E6783" s="58"/>
      <c r="F6783" s="58"/>
      <c r="G6783" s="58"/>
    </row>
    <row r="6784">
      <c r="D6784" s="58"/>
      <c r="E6784" s="58"/>
      <c r="F6784" s="58"/>
      <c r="G6784" s="58"/>
    </row>
    <row r="6785">
      <c r="D6785" s="58"/>
      <c r="E6785" s="58"/>
      <c r="F6785" s="58"/>
      <c r="G6785" s="58"/>
    </row>
    <row r="6786">
      <c r="D6786" s="58"/>
      <c r="E6786" s="58"/>
      <c r="F6786" s="58"/>
      <c r="G6786" s="58"/>
    </row>
    <row r="6787">
      <c r="D6787" s="58"/>
      <c r="E6787" s="58"/>
      <c r="F6787" s="58"/>
      <c r="G6787" s="58"/>
    </row>
    <row r="6788">
      <c r="D6788" s="58"/>
      <c r="E6788" s="58"/>
      <c r="F6788" s="58"/>
      <c r="G6788" s="58"/>
    </row>
    <row r="6789">
      <c r="D6789" s="58"/>
      <c r="E6789" s="58"/>
      <c r="F6789" s="58"/>
      <c r="G6789" s="58"/>
    </row>
    <row r="6790">
      <c r="D6790" s="58"/>
      <c r="E6790" s="58"/>
      <c r="F6790" s="58"/>
      <c r="G6790" s="58"/>
    </row>
    <row r="6791">
      <c r="D6791" s="58"/>
      <c r="E6791" s="58"/>
      <c r="F6791" s="58"/>
      <c r="G6791" s="58"/>
    </row>
    <row r="6792">
      <c r="D6792" s="58"/>
      <c r="E6792" s="58"/>
      <c r="F6792" s="58"/>
      <c r="G6792" s="58"/>
    </row>
    <row r="6793">
      <c r="D6793" s="58"/>
      <c r="E6793" s="58"/>
      <c r="F6793" s="58"/>
      <c r="G6793" s="58"/>
    </row>
    <row r="6794">
      <c r="D6794" s="58"/>
      <c r="E6794" s="58"/>
      <c r="F6794" s="58"/>
      <c r="G6794" s="58"/>
    </row>
    <row r="6795">
      <c r="D6795" s="58"/>
      <c r="E6795" s="58"/>
      <c r="F6795" s="58"/>
      <c r="G6795" s="58"/>
    </row>
    <row r="6796">
      <c r="D6796" s="58"/>
      <c r="E6796" s="58"/>
      <c r="F6796" s="58"/>
      <c r="G6796" s="58"/>
    </row>
    <row r="6797">
      <c r="D6797" s="58"/>
      <c r="E6797" s="58"/>
      <c r="F6797" s="58"/>
      <c r="G6797" s="58"/>
    </row>
    <row r="6798">
      <c r="D6798" s="58"/>
      <c r="E6798" s="58"/>
      <c r="F6798" s="58"/>
      <c r="G6798" s="58"/>
    </row>
    <row r="6799">
      <c r="D6799" s="58"/>
      <c r="E6799" s="58"/>
      <c r="F6799" s="58"/>
      <c r="G6799" s="58"/>
    </row>
    <row r="6800">
      <c r="D6800" s="58"/>
      <c r="E6800" s="58"/>
      <c r="F6800" s="58"/>
      <c r="G6800" s="58"/>
    </row>
    <row r="6801">
      <c r="D6801" s="58"/>
      <c r="E6801" s="58"/>
      <c r="F6801" s="58"/>
      <c r="G6801" s="58"/>
    </row>
    <row r="6802">
      <c r="D6802" s="58"/>
      <c r="E6802" s="58"/>
      <c r="F6802" s="58"/>
      <c r="G6802" s="58"/>
    </row>
    <row r="6803">
      <c r="D6803" s="58"/>
      <c r="E6803" s="58"/>
      <c r="F6803" s="58"/>
      <c r="G6803" s="58"/>
    </row>
    <row r="6804">
      <c r="D6804" s="58"/>
      <c r="E6804" s="58"/>
      <c r="F6804" s="58"/>
      <c r="G6804" s="58"/>
    </row>
    <row r="6805">
      <c r="D6805" s="58"/>
      <c r="E6805" s="58"/>
      <c r="F6805" s="58"/>
      <c r="G6805" s="58"/>
    </row>
    <row r="6806">
      <c r="D6806" s="58"/>
      <c r="E6806" s="58"/>
      <c r="F6806" s="58"/>
      <c r="G6806" s="58"/>
    </row>
    <row r="6807">
      <c r="D6807" s="58"/>
      <c r="E6807" s="58"/>
      <c r="F6807" s="58"/>
      <c r="G6807" s="58"/>
    </row>
    <row r="6808">
      <c r="D6808" s="58"/>
      <c r="E6808" s="58"/>
      <c r="F6808" s="58"/>
      <c r="G6808" s="58"/>
    </row>
    <row r="6809">
      <c r="D6809" s="58"/>
      <c r="E6809" s="58"/>
      <c r="F6809" s="58"/>
      <c r="G6809" s="58"/>
    </row>
    <row r="6810">
      <c r="D6810" s="58"/>
      <c r="E6810" s="58"/>
      <c r="F6810" s="58"/>
      <c r="G6810" s="58"/>
    </row>
    <row r="6811">
      <c r="D6811" s="58"/>
      <c r="E6811" s="58"/>
      <c r="F6811" s="58"/>
      <c r="G6811" s="58"/>
    </row>
    <row r="6812">
      <c r="D6812" s="58"/>
      <c r="E6812" s="58"/>
      <c r="F6812" s="58"/>
      <c r="G6812" s="58"/>
    </row>
    <row r="6813">
      <c r="D6813" s="58"/>
      <c r="E6813" s="58"/>
      <c r="F6813" s="58"/>
      <c r="G6813" s="58"/>
    </row>
    <row r="6814">
      <c r="D6814" s="58"/>
      <c r="E6814" s="58"/>
      <c r="F6814" s="58"/>
      <c r="G6814" s="58"/>
    </row>
    <row r="6815">
      <c r="D6815" s="58"/>
      <c r="E6815" s="58"/>
      <c r="F6815" s="58"/>
      <c r="G6815" s="58"/>
    </row>
    <row r="6816">
      <c r="D6816" s="58"/>
      <c r="E6816" s="58"/>
      <c r="F6816" s="58"/>
      <c r="G6816" s="58"/>
    </row>
    <row r="6817">
      <c r="D6817" s="58"/>
      <c r="E6817" s="58"/>
      <c r="F6817" s="58"/>
      <c r="G6817" s="58"/>
    </row>
    <row r="6818">
      <c r="D6818" s="58"/>
      <c r="E6818" s="58"/>
      <c r="F6818" s="58"/>
      <c r="G6818" s="58"/>
    </row>
    <row r="6819">
      <c r="D6819" s="58"/>
      <c r="E6819" s="58"/>
      <c r="F6819" s="58"/>
      <c r="G6819" s="58"/>
    </row>
    <row r="6820">
      <c r="D6820" s="58"/>
      <c r="E6820" s="58"/>
      <c r="F6820" s="58"/>
      <c r="G6820" s="58"/>
    </row>
    <row r="6821">
      <c r="D6821" s="58"/>
      <c r="E6821" s="58"/>
      <c r="F6821" s="58"/>
      <c r="G6821" s="58"/>
    </row>
    <row r="6822">
      <c r="D6822" s="58"/>
      <c r="E6822" s="58"/>
      <c r="F6822" s="58"/>
      <c r="G6822" s="58"/>
    </row>
    <row r="6823">
      <c r="D6823" s="58"/>
      <c r="E6823" s="58"/>
      <c r="F6823" s="58"/>
      <c r="G6823" s="58"/>
    </row>
    <row r="6824">
      <c r="D6824" s="58"/>
      <c r="E6824" s="58"/>
      <c r="F6824" s="58"/>
      <c r="G6824" s="58"/>
    </row>
    <row r="6825">
      <c r="D6825" s="58"/>
      <c r="E6825" s="58"/>
      <c r="F6825" s="58"/>
      <c r="G6825" s="58"/>
    </row>
    <row r="6826">
      <c r="D6826" s="58"/>
      <c r="E6826" s="58"/>
      <c r="F6826" s="58"/>
      <c r="G6826" s="58"/>
    </row>
    <row r="6827">
      <c r="D6827" s="58"/>
      <c r="E6827" s="58"/>
      <c r="F6827" s="58"/>
      <c r="G6827" s="58"/>
    </row>
    <row r="6828">
      <c r="D6828" s="58"/>
      <c r="E6828" s="58"/>
      <c r="F6828" s="58"/>
      <c r="G6828" s="58"/>
    </row>
    <row r="6829">
      <c r="D6829" s="58"/>
      <c r="E6829" s="58"/>
      <c r="F6829" s="58"/>
      <c r="G6829" s="58"/>
    </row>
    <row r="6830">
      <c r="D6830" s="58"/>
      <c r="E6830" s="58"/>
      <c r="F6830" s="58"/>
      <c r="G6830" s="58"/>
    </row>
    <row r="6831">
      <c r="D6831" s="58"/>
      <c r="E6831" s="58"/>
      <c r="F6831" s="58"/>
      <c r="G6831" s="58"/>
    </row>
    <row r="6832">
      <c r="D6832" s="58"/>
      <c r="E6832" s="58"/>
      <c r="F6832" s="58"/>
      <c r="G6832" s="58"/>
    </row>
    <row r="6833">
      <c r="D6833" s="58"/>
      <c r="E6833" s="58"/>
      <c r="F6833" s="58"/>
      <c r="G6833" s="58"/>
    </row>
    <row r="6834">
      <c r="D6834" s="58"/>
      <c r="E6834" s="58"/>
      <c r="F6834" s="58"/>
      <c r="G6834" s="58"/>
    </row>
    <row r="6835">
      <c r="D6835" s="58"/>
      <c r="E6835" s="58"/>
      <c r="F6835" s="58"/>
      <c r="G6835" s="58"/>
    </row>
    <row r="6836">
      <c r="D6836" s="58"/>
      <c r="E6836" s="58"/>
      <c r="F6836" s="58"/>
      <c r="G6836" s="58"/>
    </row>
    <row r="6837">
      <c r="D6837" s="58"/>
      <c r="E6837" s="58"/>
      <c r="F6837" s="58"/>
      <c r="G6837" s="58"/>
    </row>
    <row r="6838">
      <c r="D6838" s="58"/>
      <c r="E6838" s="58"/>
      <c r="F6838" s="58"/>
      <c r="G6838" s="58"/>
    </row>
    <row r="6839">
      <c r="D6839" s="58"/>
      <c r="E6839" s="58"/>
      <c r="F6839" s="58"/>
      <c r="G6839" s="58"/>
    </row>
    <row r="6840">
      <c r="D6840" s="58"/>
      <c r="E6840" s="58"/>
      <c r="F6840" s="58"/>
      <c r="G6840" s="58"/>
    </row>
    <row r="6841">
      <c r="D6841" s="58"/>
      <c r="E6841" s="58"/>
      <c r="F6841" s="58"/>
      <c r="G6841" s="58"/>
    </row>
    <row r="6842">
      <c r="D6842" s="58"/>
      <c r="E6842" s="58"/>
      <c r="F6842" s="58"/>
      <c r="G6842" s="58"/>
    </row>
    <row r="6843">
      <c r="D6843" s="58"/>
      <c r="E6843" s="58"/>
      <c r="F6843" s="58"/>
      <c r="G6843" s="58"/>
    </row>
    <row r="6844">
      <c r="D6844" s="58"/>
      <c r="E6844" s="58"/>
      <c r="F6844" s="58"/>
      <c r="G6844" s="58"/>
    </row>
    <row r="6845">
      <c r="D6845" s="58"/>
      <c r="E6845" s="58"/>
      <c r="F6845" s="58"/>
      <c r="G6845" s="58"/>
    </row>
    <row r="6846">
      <c r="D6846" s="58"/>
      <c r="E6846" s="58"/>
      <c r="F6846" s="58"/>
      <c r="G6846" s="58"/>
    </row>
    <row r="6847">
      <c r="D6847" s="58"/>
      <c r="E6847" s="58"/>
      <c r="F6847" s="58"/>
      <c r="G6847" s="58"/>
    </row>
    <row r="6848">
      <c r="D6848" s="58"/>
      <c r="E6848" s="58"/>
      <c r="F6848" s="58"/>
      <c r="G6848" s="58"/>
    </row>
    <row r="6849">
      <c r="D6849" s="58"/>
      <c r="E6849" s="58"/>
      <c r="F6849" s="58"/>
      <c r="G6849" s="58"/>
    </row>
    <row r="6850">
      <c r="D6850" s="58"/>
      <c r="E6850" s="58"/>
      <c r="F6850" s="58"/>
      <c r="G6850" s="58"/>
    </row>
    <row r="6851">
      <c r="D6851" s="58"/>
      <c r="E6851" s="58"/>
      <c r="F6851" s="58"/>
      <c r="G6851" s="58"/>
    </row>
    <row r="6852">
      <c r="D6852" s="58"/>
      <c r="E6852" s="58"/>
      <c r="F6852" s="58"/>
      <c r="G6852" s="58"/>
    </row>
    <row r="6853">
      <c r="D6853" s="58"/>
      <c r="E6853" s="58"/>
      <c r="F6853" s="58"/>
      <c r="G6853" s="58"/>
    </row>
    <row r="6854">
      <c r="D6854" s="58"/>
      <c r="E6854" s="58"/>
      <c r="F6854" s="58"/>
      <c r="G6854" s="58"/>
    </row>
    <row r="6855">
      <c r="D6855" s="58"/>
      <c r="E6855" s="58"/>
      <c r="F6855" s="58"/>
      <c r="G6855" s="58"/>
    </row>
    <row r="6856">
      <c r="D6856" s="58"/>
      <c r="E6856" s="58"/>
      <c r="F6856" s="58"/>
      <c r="G6856" s="58"/>
    </row>
    <row r="6857">
      <c r="D6857" s="58"/>
      <c r="E6857" s="58"/>
      <c r="F6857" s="58"/>
      <c r="G6857" s="58"/>
    </row>
    <row r="6858">
      <c r="D6858" s="58"/>
      <c r="E6858" s="58"/>
      <c r="F6858" s="58"/>
      <c r="G6858" s="58"/>
    </row>
    <row r="6859">
      <c r="D6859" s="58"/>
      <c r="E6859" s="58"/>
      <c r="F6859" s="58"/>
      <c r="G6859" s="58"/>
    </row>
    <row r="6860">
      <c r="D6860" s="58"/>
      <c r="E6860" s="58"/>
      <c r="F6860" s="58"/>
      <c r="G6860" s="58"/>
    </row>
    <row r="6861">
      <c r="D6861" s="58"/>
      <c r="E6861" s="58"/>
      <c r="F6861" s="58"/>
      <c r="G6861" s="58"/>
    </row>
    <row r="6862">
      <c r="D6862" s="58"/>
      <c r="E6862" s="58"/>
      <c r="F6862" s="58"/>
      <c r="G6862" s="58"/>
    </row>
    <row r="6863">
      <c r="D6863" s="58"/>
      <c r="E6863" s="58"/>
      <c r="F6863" s="58"/>
      <c r="G6863" s="58"/>
    </row>
    <row r="6864">
      <c r="D6864" s="58"/>
      <c r="E6864" s="58"/>
      <c r="F6864" s="58"/>
      <c r="G6864" s="58"/>
    </row>
    <row r="6865">
      <c r="D6865" s="58"/>
      <c r="E6865" s="58"/>
      <c r="F6865" s="58"/>
      <c r="G6865" s="58"/>
    </row>
    <row r="6866">
      <c r="D6866" s="58"/>
      <c r="E6866" s="58"/>
      <c r="F6866" s="58"/>
      <c r="G6866" s="58"/>
    </row>
    <row r="6867">
      <c r="D6867" s="58"/>
      <c r="E6867" s="58"/>
      <c r="F6867" s="58"/>
      <c r="G6867" s="58"/>
    </row>
    <row r="6868">
      <c r="D6868" s="58"/>
      <c r="E6868" s="58"/>
      <c r="F6868" s="58"/>
      <c r="G6868" s="58"/>
    </row>
    <row r="6869">
      <c r="D6869" s="58"/>
      <c r="E6869" s="58"/>
      <c r="F6869" s="58"/>
      <c r="G6869" s="58"/>
    </row>
    <row r="6870">
      <c r="D6870" s="58"/>
      <c r="E6870" s="58"/>
      <c r="F6870" s="58"/>
      <c r="G6870" s="58"/>
    </row>
    <row r="6871">
      <c r="D6871" s="58"/>
      <c r="E6871" s="58"/>
      <c r="F6871" s="58"/>
      <c r="G6871" s="58"/>
    </row>
    <row r="6872">
      <c r="D6872" s="58"/>
      <c r="E6872" s="58"/>
      <c r="F6872" s="58"/>
      <c r="G6872" s="58"/>
    </row>
    <row r="6873">
      <c r="D6873" s="58"/>
      <c r="E6873" s="58"/>
      <c r="F6873" s="58"/>
      <c r="G6873" s="58"/>
    </row>
    <row r="6874">
      <c r="D6874" s="58"/>
      <c r="E6874" s="58"/>
      <c r="F6874" s="58"/>
      <c r="G6874" s="58"/>
    </row>
    <row r="6875">
      <c r="D6875" s="58"/>
      <c r="E6875" s="58"/>
      <c r="F6875" s="58"/>
      <c r="G6875" s="58"/>
    </row>
    <row r="6876">
      <c r="D6876" s="58"/>
      <c r="E6876" s="58"/>
      <c r="F6876" s="58"/>
      <c r="G6876" s="58"/>
    </row>
    <row r="6877">
      <c r="D6877" s="58"/>
      <c r="E6877" s="58"/>
      <c r="F6877" s="58"/>
      <c r="G6877" s="58"/>
    </row>
    <row r="6878">
      <c r="D6878" s="58"/>
      <c r="E6878" s="58"/>
      <c r="F6878" s="58"/>
      <c r="G6878" s="58"/>
    </row>
    <row r="6879">
      <c r="D6879" s="58"/>
      <c r="E6879" s="58"/>
      <c r="F6879" s="58"/>
      <c r="G6879" s="58"/>
    </row>
    <row r="6880">
      <c r="D6880" s="58"/>
      <c r="E6880" s="58"/>
      <c r="F6880" s="58"/>
      <c r="G6880" s="58"/>
    </row>
    <row r="6881">
      <c r="D6881" s="58"/>
      <c r="E6881" s="58"/>
      <c r="F6881" s="58"/>
      <c r="G6881" s="58"/>
    </row>
    <row r="6882">
      <c r="D6882" s="58"/>
      <c r="E6882" s="58"/>
      <c r="F6882" s="58"/>
      <c r="G6882" s="58"/>
    </row>
    <row r="6883">
      <c r="D6883" s="58"/>
      <c r="E6883" s="58"/>
      <c r="F6883" s="58"/>
      <c r="G6883" s="58"/>
    </row>
    <row r="6884">
      <c r="D6884" s="58"/>
      <c r="E6884" s="58"/>
      <c r="F6884" s="58"/>
      <c r="G6884" s="58"/>
    </row>
    <row r="6885">
      <c r="D6885" s="58"/>
      <c r="E6885" s="58"/>
      <c r="F6885" s="58"/>
      <c r="G6885" s="58"/>
    </row>
    <row r="6886">
      <c r="D6886" s="58"/>
      <c r="E6886" s="58"/>
      <c r="F6886" s="58"/>
      <c r="G6886" s="58"/>
    </row>
    <row r="6887">
      <c r="D6887" s="58"/>
      <c r="E6887" s="58"/>
      <c r="F6887" s="58"/>
      <c r="G6887" s="58"/>
    </row>
    <row r="6888">
      <c r="D6888" s="58"/>
      <c r="E6888" s="58"/>
      <c r="F6888" s="58"/>
      <c r="G6888" s="58"/>
    </row>
    <row r="6889">
      <c r="D6889" s="58"/>
      <c r="E6889" s="58"/>
      <c r="F6889" s="58"/>
      <c r="G6889" s="58"/>
    </row>
    <row r="6890">
      <c r="D6890" s="58"/>
      <c r="E6890" s="58"/>
      <c r="F6890" s="58"/>
      <c r="G6890" s="58"/>
    </row>
    <row r="6891">
      <c r="D6891" s="58"/>
      <c r="E6891" s="58"/>
      <c r="F6891" s="58"/>
      <c r="G6891" s="58"/>
    </row>
    <row r="6892">
      <c r="D6892" s="58"/>
      <c r="E6892" s="58"/>
      <c r="F6892" s="58"/>
      <c r="G6892" s="58"/>
    </row>
    <row r="6893">
      <c r="D6893" s="58"/>
      <c r="E6893" s="58"/>
      <c r="F6893" s="58"/>
      <c r="G6893" s="58"/>
    </row>
    <row r="6894">
      <c r="D6894" s="58"/>
      <c r="E6894" s="58"/>
      <c r="F6894" s="58"/>
      <c r="G6894" s="58"/>
    </row>
    <row r="6895">
      <c r="D6895" s="58"/>
      <c r="E6895" s="58"/>
      <c r="F6895" s="58"/>
      <c r="G6895" s="58"/>
    </row>
    <row r="6896">
      <c r="D6896" s="58"/>
      <c r="E6896" s="58"/>
      <c r="F6896" s="58"/>
      <c r="G6896" s="58"/>
    </row>
    <row r="6897">
      <c r="D6897" s="58"/>
      <c r="E6897" s="58"/>
      <c r="F6897" s="58"/>
      <c r="G6897" s="58"/>
    </row>
    <row r="6898">
      <c r="D6898" s="58"/>
      <c r="E6898" s="58"/>
      <c r="F6898" s="58"/>
      <c r="G6898" s="58"/>
    </row>
    <row r="6899">
      <c r="D6899" s="58"/>
      <c r="E6899" s="58"/>
      <c r="F6899" s="58"/>
      <c r="G6899" s="58"/>
    </row>
    <row r="6900">
      <c r="D6900" s="58"/>
      <c r="E6900" s="58"/>
      <c r="F6900" s="58"/>
      <c r="G6900" s="58"/>
    </row>
    <row r="6901">
      <c r="D6901" s="58"/>
      <c r="E6901" s="58"/>
      <c r="F6901" s="58"/>
      <c r="G6901" s="58"/>
    </row>
    <row r="6902">
      <c r="D6902" s="58"/>
      <c r="E6902" s="58"/>
      <c r="F6902" s="58"/>
      <c r="G6902" s="58"/>
    </row>
    <row r="6903">
      <c r="D6903" s="58"/>
      <c r="E6903" s="58"/>
      <c r="F6903" s="58"/>
      <c r="G6903" s="58"/>
    </row>
    <row r="6904">
      <c r="D6904" s="58"/>
      <c r="E6904" s="58"/>
      <c r="F6904" s="58"/>
      <c r="G6904" s="58"/>
    </row>
    <row r="6905">
      <c r="D6905" s="58"/>
      <c r="E6905" s="58"/>
      <c r="F6905" s="58"/>
      <c r="G6905" s="58"/>
    </row>
    <row r="6906">
      <c r="D6906" s="58"/>
      <c r="E6906" s="58"/>
      <c r="F6906" s="58"/>
      <c r="G6906" s="58"/>
    </row>
    <row r="6907">
      <c r="D6907" s="58"/>
      <c r="E6907" s="58"/>
      <c r="F6907" s="58"/>
      <c r="G6907" s="58"/>
    </row>
    <row r="6908">
      <c r="D6908" s="58"/>
      <c r="E6908" s="58"/>
      <c r="F6908" s="58"/>
      <c r="G6908" s="58"/>
    </row>
    <row r="6909">
      <c r="D6909" s="58"/>
      <c r="E6909" s="58"/>
      <c r="F6909" s="58"/>
      <c r="G6909" s="58"/>
    </row>
    <row r="6910">
      <c r="D6910" s="58"/>
      <c r="E6910" s="58"/>
      <c r="F6910" s="58"/>
      <c r="G6910" s="58"/>
    </row>
    <row r="6911">
      <c r="D6911" s="58"/>
      <c r="E6911" s="58"/>
      <c r="F6911" s="58"/>
      <c r="G6911" s="58"/>
    </row>
    <row r="6912">
      <c r="D6912" s="58"/>
      <c r="E6912" s="58"/>
      <c r="F6912" s="58"/>
      <c r="G6912" s="58"/>
    </row>
    <row r="6913">
      <c r="D6913" s="58"/>
      <c r="E6913" s="58"/>
      <c r="F6913" s="58"/>
      <c r="G6913" s="58"/>
    </row>
    <row r="6914">
      <c r="D6914" s="58"/>
      <c r="E6914" s="58"/>
      <c r="F6914" s="58"/>
      <c r="G6914" s="58"/>
    </row>
    <row r="6915">
      <c r="D6915" s="58"/>
      <c r="E6915" s="58"/>
      <c r="F6915" s="58"/>
      <c r="G6915" s="58"/>
    </row>
    <row r="6916">
      <c r="D6916" s="58"/>
      <c r="E6916" s="58"/>
      <c r="F6916" s="58"/>
      <c r="G6916" s="58"/>
    </row>
    <row r="6917">
      <c r="D6917" s="58"/>
      <c r="E6917" s="58"/>
      <c r="F6917" s="58"/>
      <c r="G6917" s="58"/>
    </row>
    <row r="6918">
      <c r="D6918" s="58"/>
      <c r="E6918" s="58"/>
      <c r="F6918" s="58"/>
      <c r="G6918" s="58"/>
    </row>
    <row r="6919">
      <c r="D6919" s="58"/>
      <c r="E6919" s="58"/>
      <c r="F6919" s="58"/>
      <c r="G6919" s="58"/>
    </row>
    <row r="6920">
      <c r="D6920" s="58"/>
      <c r="E6920" s="58"/>
      <c r="F6920" s="58"/>
      <c r="G6920" s="58"/>
    </row>
    <row r="6921">
      <c r="D6921" s="58"/>
      <c r="E6921" s="58"/>
      <c r="F6921" s="58"/>
      <c r="G6921" s="58"/>
    </row>
    <row r="6922">
      <c r="D6922" s="58"/>
      <c r="E6922" s="58"/>
      <c r="F6922" s="58"/>
      <c r="G6922" s="58"/>
    </row>
    <row r="6923">
      <c r="D6923" s="58"/>
      <c r="E6923" s="58"/>
      <c r="F6923" s="58"/>
      <c r="G6923" s="58"/>
    </row>
    <row r="6924">
      <c r="D6924" s="58"/>
      <c r="E6924" s="58"/>
      <c r="F6924" s="58"/>
      <c r="G6924" s="58"/>
    </row>
    <row r="6925">
      <c r="D6925" s="58"/>
      <c r="E6925" s="58"/>
      <c r="F6925" s="58"/>
      <c r="G6925" s="58"/>
    </row>
    <row r="6926">
      <c r="D6926" s="58"/>
      <c r="E6926" s="58"/>
      <c r="F6926" s="58"/>
      <c r="G6926" s="58"/>
    </row>
    <row r="6927">
      <c r="D6927" s="58"/>
      <c r="E6927" s="58"/>
      <c r="F6927" s="58"/>
      <c r="G6927" s="58"/>
    </row>
    <row r="6928">
      <c r="D6928" s="58"/>
      <c r="E6928" s="58"/>
      <c r="F6928" s="58"/>
      <c r="G6928" s="58"/>
    </row>
    <row r="6929">
      <c r="D6929" s="58"/>
      <c r="E6929" s="58"/>
      <c r="F6929" s="58"/>
      <c r="G6929" s="58"/>
    </row>
    <row r="6930">
      <c r="D6930" s="58"/>
      <c r="E6930" s="58"/>
      <c r="F6930" s="58"/>
      <c r="G6930" s="58"/>
    </row>
    <row r="6931">
      <c r="D6931" s="58"/>
      <c r="E6931" s="58"/>
      <c r="F6931" s="58"/>
      <c r="G6931" s="58"/>
    </row>
    <row r="6932">
      <c r="D6932" s="58"/>
      <c r="E6932" s="58"/>
      <c r="F6932" s="58"/>
      <c r="G6932" s="58"/>
    </row>
    <row r="6933">
      <c r="D6933" s="58"/>
      <c r="E6933" s="58"/>
      <c r="F6933" s="58"/>
      <c r="G6933" s="58"/>
    </row>
    <row r="6934">
      <c r="D6934" s="58"/>
      <c r="E6934" s="58"/>
      <c r="F6934" s="58"/>
      <c r="G6934" s="58"/>
    </row>
    <row r="6935">
      <c r="D6935" s="58"/>
      <c r="E6935" s="58"/>
      <c r="F6935" s="58"/>
      <c r="G6935" s="58"/>
    </row>
    <row r="6936">
      <c r="D6936" s="58"/>
      <c r="E6936" s="58"/>
      <c r="F6936" s="58"/>
      <c r="G6936" s="58"/>
    </row>
    <row r="6937">
      <c r="D6937" s="58"/>
      <c r="E6937" s="58"/>
      <c r="F6937" s="58"/>
      <c r="G6937" s="58"/>
    </row>
    <row r="6938">
      <c r="D6938" s="58"/>
      <c r="E6938" s="58"/>
      <c r="F6938" s="58"/>
      <c r="G6938" s="58"/>
    </row>
    <row r="6939">
      <c r="D6939" s="58"/>
      <c r="E6939" s="58"/>
      <c r="F6939" s="58"/>
      <c r="G6939" s="58"/>
    </row>
    <row r="6940">
      <c r="D6940" s="58"/>
      <c r="E6940" s="58"/>
      <c r="F6940" s="58"/>
      <c r="G6940" s="58"/>
    </row>
    <row r="6941">
      <c r="D6941" s="58"/>
      <c r="E6941" s="58"/>
      <c r="F6941" s="58"/>
      <c r="G6941" s="58"/>
    </row>
    <row r="6942">
      <c r="D6942" s="58"/>
      <c r="E6942" s="58"/>
      <c r="F6942" s="58"/>
      <c r="G6942" s="58"/>
    </row>
    <row r="6943">
      <c r="D6943" s="58"/>
      <c r="E6943" s="58"/>
      <c r="F6943" s="58"/>
      <c r="G6943" s="58"/>
    </row>
    <row r="6944">
      <c r="D6944" s="58"/>
      <c r="E6944" s="58"/>
      <c r="F6944" s="58"/>
      <c r="G6944" s="58"/>
    </row>
    <row r="6945">
      <c r="D6945" s="58"/>
      <c r="E6945" s="58"/>
      <c r="F6945" s="58"/>
      <c r="G6945" s="58"/>
    </row>
    <row r="6946">
      <c r="D6946" s="58"/>
      <c r="E6946" s="58"/>
      <c r="F6946" s="58"/>
      <c r="G6946" s="58"/>
    </row>
    <row r="6947">
      <c r="D6947" s="58"/>
      <c r="E6947" s="58"/>
      <c r="F6947" s="58"/>
      <c r="G6947" s="58"/>
    </row>
    <row r="6948">
      <c r="D6948" s="58"/>
      <c r="E6948" s="58"/>
      <c r="F6948" s="58"/>
      <c r="G6948" s="58"/>
    </row>
    <row r="6949">
      <c r="D6949" s="58"/>
      <c r="E6949" s="58"/>
      <c r="F6949" s="58"/>
      <c r="G6949" s="58"/>
    </row>
    <row r="6950">
      <c r="D6950" s="58"/>
      <c r="E6950" s="58"/>
      <c r="F6950" s="58"/>
      <c r="G6950" s="58"/>
    </row>
    <row r="6951">
      <c r="D6951" s="58"/>
      <c r="E6951" s="58"/>
      <c r="F6951" s="58"/>
      <c r="G6951" s="58"/>
    </row>
    <row r="6952">
      <c r="D6952" s="58"/>
      <c r="E6952" s="58"/>
      <c r="F6952" s="58"/>
      <c r="G6952" s="58"/>
    </row>
    <row r="6953">
      <c r="D6953" s="58"/>
      <c r="E6953" s="58"/>
      <c r="F6953" s="58"/>
      <c r="G6953" s="58"/>
    </row>
    <row r="6954">
      <c r="D6954" s="58"/>
      <c r="E6954" s="58"/>
      <c r="F6954" s="58"/>
      <c r="G6954" s="58"/>
    </row>
    <row r="6955">
      <c r="D6955" s="58"/>
      <c r="E6955" s="58"/>
      <c r="F6955" s="58"/>
      <c r="G6955" s="58"/>
    </row>
    <row r="6956">
      <c r="D6956" s="58"/>
      <c r="E6956" s="58"/>
      <c r="F6956" s="58"/>
      <c r="G6956" s="58"/>
    </row>
    <row r="6957">
      <c r="D6957" s="58"/>
      <c r="E6957" s="58"/>
      <c r="F6957" s="58"/>
      <c r="G6957" s="58"/>
    </row>
    <row r="6958">
      <c r="D6958" s="58"/>
      <c r="E6958" s="58"/>
      <c r="F6958" s="58"/>
      <c r="G6958" s="58"/>
    </row>
    <row r="6959">
      <c r="D6959" s="58"/>
      <c r="E6959" s="58"/>
      <c r="F6959" s="58"/>
      <c r="G6959" s="58"/>
    </row>
    <row r="6960">
      <c r="D6960" s="58"/>
      <c r="E6960" s="58"/>
      <c r="F6960" s="58"/>
      <c r="G6960" s="58"/>
    </row>
    <row r="6961">
      <c r="D6961" s="58"/>
      <c r="E6961" s="58"/>
      <c r="F6961" s="58"/>
      <c r="G6961" s="58"/>
    </row>
    <row r="6962">
      <c r="D6962" s="58"/>
      <c r="E6962" s="58"/>
      <c r="F6962" s="58"/>
      <c r="G6962" s="58"/>
    </row>
    <row r="6963">
      <c r="D6963" s="58"/>
      <c r="E6963" s="58"/>
      <c r="F6963" s="58"/>
      <c r="G6963" s="58"/>
    </row>
    <row r="6964">
      <c r="D6964" s="58"/>
      <c r="E6964" s="58"/>
      <c r="F6964" s="58"/>
      <c r="G6964" s="58"/>
    </row>
    <row r="6965">
      <c r="D6965" s="58"/>
      <c r="E6965" s="58"/>
      <c r="F6965" s="58"/>
      <c r="G6965" s="58"/>
    </row>
    <row r="6966">
      <c r="D6966" s="58"/>
      <c r="E6966" s="58"/>
      <c r="F6966" s="58"/>
      <c r="G6966" s="58"/>
    </row>
    <row r="6967">
      <c r="D6967" s="58"/>
      <c r="E6967" s="58"/>
      <c r="F6967" s="58"/>
      <c r="G6967" s="58"/>
    </row>
    <row r="6968">
      <c r="D6968" s="58"/>
      <c r="E6968" s="58"/>
      <c r="F6968" s="58"/>
      <c r="G6968" s="58"/>
    </row>
    <row r="6969">
      <c r="D6969" s="58"/>
      <c r="E6969" s="58"/>
      <c r="F6969" s="58"/>
      <c r="G6969" s="58"/>
    </row>
    <row r="6970">
      <c r="D6970" s="58"/>
      <c r="E6970" s="58"/>
      <c r="F6970" s="58"/>
      <c r="G6970" s="58"/>
    </row>
    <row r="6971">
      <c r="D6971" s="58"/>
      <c r="E6971" s="58"/>
      <c r="F6971" s="58"/>
      <c r="G6971" s="58"/>
    </row>
    <row r="6972">
      <c r="D6972" s="58"/>
      <c r="E6972" s="58"/>
      <c r="F6972" s="58"/>
      <c r="G6972" s="58"/>
    </row>
    <row r="6973">
      <c r="D6973" s="58"/>
      <c r="E6973" s="58"/>
      <c r="F6973" s="58"/>
      <c r="G6973" s="58"/>
    </row>
    <row r="6974">
      <c r="D6974" s="58"/>
      <c r="E6974" s="58"/>
      <c r="F6974" s="58"/>
      <c r="G6974" s="58"/>
    </row>
    <row r="6975">
      <c r="D6975" s="58"/>
      <c r="E6975" s="58"/>
      <c r="F6975" s="58"/>
      <c r="G6975" s="58"/>
    </row>
    <row r="6976">
      <c r="D6976" s="58"/>
      <c r="E6976" s="58"/>
      <c r="F6976" s="58"/>
      <c r="G6976" s="58"/>
    </row>
    <row r="6977">
      <c r="D6977" s="58"/>
      <c r="E6977" s="58"/>
      <c r="F6977" s="58"/>
      <c r="G6977" s="58"/>
    </row>
    <row r="6978">
      <c r="D6978" s="58"/>
      <c r="E6978" s="58"/>
      <c r="F6978" s="58"/>
      <c r="G6978" s="58"/>
    </row>
    <row r="6979">
      <c r="D6979" s="58"/>
      <c r="E6979" s="58"/>
      <c r="F6979" s="58"/>
      <c r="G6979" s="58"/>
    </row>
    <row r="6980">
      <c r="D6980" s="58"/>
      <c r="E6980" s="58"/>
      <c r="F6980" s="58"/>
      <c r="G6980" s="58"/>
    </row>
    <row r="6981">
      <c r="D6981" s="58"/>
      <c r="E6981" s="58"/>
      <c r="F6981" s="58"/>
      <c r="G6981" s="58"/>
    </row>
    <row r="6982">
      <c r="D6982" s="58"/>
      <c r="E6982" s="58"/>
      <c r="F6982" s="58"/>
      <c r="G6982" s="58"/>
    </row>
    <row r="6983">
      <c r="D6983" s="58"/>
      <c r="E6983" s="58"/>
      <c r="F6983" s="58"/>
      <c r="G6983" s="58"/>
    </row>
    <row r="6984">
      <c r="D6984" s="58"/>
      <c r="E6984" s="58"/>
      <c r="F6984" s="58"/>
      <c r="G6984" s="58"/>
    </row>
    <row r="6985">
      <c r="D6985" s="58"/>
      <c r="E6985" s="58"/>
      <c r="F6985" s="58"/>
      <c r="G6985" s="58"/>
    </row>
    <row r="6986">
      <c r="D6986" s="58"/>
      <c r="E6986" s="58"/>
      <c r="F6986" s="58"/>
      <c r="G6986" s="58"/>
    </row>
    <row r="6987">
      <c r="D6987" s="58"/>
      <c r="E6987" s="58"/>
      <c r="F6987" s="58"/>
      <c r="G6987" s="58"/>
    </row>
    <row r="6988">
      <c r="D6988" s="58"/>
      <c r="E6988" s="58"/>
      <c r="F6988" s="58"/>
      <c r="G6988" s="58"/>
    </row>
    <row r="6989">
      <c r="D6989" s="58"/>
      <c r="E6989" s="58"/>
      <c r="F6989" s="58"/>
      <c r="G6989" s="58"/>
    </row>
    <row r="6990">
      <c r="D6990" s="58"/>
      <c r="E6990" s="58"/>
      <c r="F6990" s="58"/>
      <c r="G6990" s="58"/>
    </row>
    <row r="6991">
      <c r="D6991" s="58"/>
      <c r="E6991" s="58"/>
      <c r="F6991" s="58"/>
      <c r="G6991" s="58"/>
    </row>
    <row r="6992">
      <c r="D6992" s="58"/>
      <c r="E6992" s="58"/>
      <c r="F6992" s="58"/>
      <c r="G6992" s="58"/>
    </row>
    <row r="6993">
      <c r="D6993" s="58"/>
      <c r="E6993" s="58"/>
      <c r="F6993" s="58"/>
      <c r="G6993" s="58"/>
    </row>
    <row r="6994">
      <c r="D6994" s="58"/>
      <c r="E6994" s="58"/>
      <c r="F6994" s="58"/>
      <c r="G6994" s="58"/>
    </row>
    <row r="6995">
      <c r="D6995" s="58"/>
      <c r="E6995" s="58"/>
      <c r="F6995" s="58"/>
      <c r="G6995" s="58"/>
    </row>
    <row r="6996">
      <c r="D6996" s="58"/>
      <c r="E6996" s="58"/>
      <c r="F6996" s="58"/>
      <c r="G6996" s="58"/>
    </row>
    <row r="6997">
      <c r="D6997" s="58"/>
      <c r="E6997" s="58"/>
      <c r="F6997" s="58"/>
      <c r="G6997" s="58"/>
    </row>
    <row r="6998">
      <c r="D6998" s="58"/>
      <c r="E6998" s="58"/>
      <c r="F6998" s="58"/>
      <c r="G6998" s="58"/>
    </row>
    <row r="6999">
      <c r="D6999" s="58"/>
      <c r="E6999" s="58"/>
      <c r="F6999" s="58"/>
      <c r="G6999" s="58"/>
    </row>
    <row r="7000">
      <c r="D7000" s="58"/>
      <c r="E7000" s="58"/>
      <c r="F7000" s="58"/>
      <c r="G7000" s="58"/>
    </row>
    <row r="7001">
      <c r="D7001" s="58"/>
      <c r="E7001" s="58"/>
      <c r="F7001" s="58"/>
      <c r="G7001" s="58"/>
    </row>
    <row r="7002">
      <c r="D7002" s="58"/>
      <c r="E7002" s="58"/>
      <c r="F7002" s="58"/>
      <c r="G7002" s="58"/>
    </row>
    <row r="7003">
      <c r="D7003" s="58"/>
      <c r="E7003" s="58"/>
      <c r="F7003" s="58"/>
      <c r="G7003" s="58"/>
    </row>
    <row r="7004">
      <c r="D7004" s="58"/>
      <c r="E7004" s="58"/>
      <c r="F7004" s="58"/>
      <c r="G7004" s="58"/>
    </row>
    <row r="7005">
      <c r="D7005" s="58"/>
      <c r="E7005" s="58"/>
      <c r="F7005" s="58"/>
      <c r="G7005" s="58"/>
    </row>
    <row r="7006">
      <c r="D7006" s="58"/>
      <c r="E7006" s="58"/>
      <c r="F7006" s="58"/>
      <c r="G7006" s="58"/>
    </row>
    <row r="7007">
      <c r="D7007" s="58"/>
      <c r="E7007" s="58"/>
      <c r="F7007" s="58"/>
      <c r="G7007" s="58"/>
    </row>
    <row r="7008">
      <c r="D7008" s="58"/>
      <c r="E7008" s="58"/>
      <c r="F7008" s="58"/>
      <c r="G7008" s="58"/>
    </row>
    <row r="7009">
      <c r="D7009" s="58"/>
      <c r="E7009" s="58"/>
      <c r="F7009" s="58"/>
      <c r="G7009" s="58"/>
    </row>
    <row r="7010">
      <c r="D7010" s="58"/>
      <c r="E7010" s="58"/>
      <c r="F7010" s="58"/>
      <c r="G7010" s="58"/>
    </row>
    <row r="7011">
      <c r="D7011" s="58"/>
      <c r="E7011" s="58"/>
      <c r="F7011" s="58"/>
      <c r="G7011" s="58"/>
    </row>
    <row r="7012">
      <c r="D7012" s="58"/>
      <c r="E7012" s="58"/>
      <c r="F7012" s="58"/>
      <c r="G7012" s="58"/>
    </row>
    <row r="7013">
      <c r="D7013" s="58"/>
      <c r="E7013" s="58"/>
      <c r="F7013" s="58"/>
      <c r="G7013" s="58"/>
    </row>
    <row r="7014">
      <c r="D7014" s="58"/>
      <c r="E7014" s="58"/>
      <c r="F7014" s="58"/>
      <c r="G7014" s="58"/>
    </row>
    <row r="7015">
      <c r="D7015" s="58"/>
      <c r="E7015" s="58"/>
      <c r="F7015" s="58"/>
      <c r="G7015" s="58"/>
    </row>
    <row r="7016">
      <c r="D7016" s="58"/>
      <c r="E7016" s="58"/>
      <c r="F7016" s="58"/>
      <c r="G7016" s="58"/>
    </row>
    <row r="7017">
      <c r="D7017" s="58"/>
      <c r="E7017" s="58"/>
      <c r="F7017" s="58"/>
      <c r="G7017" s="58"/>
    </row>
    <row r="7018">
      <c r="D7018" s="58"/>
      <c r="E7018" s="58"/>
      <c r="F7018" s="58"/>
      <c r="G7018" s="58"/>
    </row>
    <row r="7019">
      <c r="D7019" s="58"/>
      <c r="E7019" s="58"/>
      <c r="F7019" s="58"/>
      <c r="G7019" s="58"/>
    </row>
    <row r="7020">
      <c r="D7020" s="58"/>
      <c r="E7020" s="58"/>
      <c r="F7020" s="58"/>
      <c r="G7020" s="58"/>
    </row>
    <row r="7021">
      <c r="D7021" s="58"/>
      <c r="E7021" s="58"/>
      <c r="F7021" s="58"/>
      <c r="G7021" s="58"/>
    </row>
    <row r="7022">
      <c r="D7022" s="58"/>
      <c r="E7022" s="58"/>
      <c r="F7022" s="58"/>
      <c r="G7022" s="58"/>
    </row>
    <row r="7023">
      <c r="D7023" s="58"/>
      <c r="E7023" s="58"/>
      <c r="F7023" s="58"/>
      <c r="G7023" s="58"/>
    </row>
    <row r="7024">
      <c r="D7024" s="58"/>
      <c r="E7024" s="58"/>
      <c r="F7024" s="58"/>
      <c r="G7024" s="58"/>
    </row>
    <row r="7025">
      <c r="D7025" s="58"/>
      <c r="E7025" s="58"/>
      <c r="F7025" s="58"/>
      <c r="G7025" s="58"/>
    </row>
    <row r="7026">
      <c r="D7026" s="58"/>
      <c r="E7026" s="58"/>
      <c r="F7026" s="58"/>
      <c r="G7026" s="58"/>
    </row>
    <row r="7027">
      <c r="D7027" s="58"/>
      <c r="E7027" s="58"/>
      <c r="F7027" s="58"/>
      <c r="G7027" s="58"/>
    </row>
    <row r="7028">
      <c r="D7028" s="58"/>
      <c r="E7028" s="58"/>
      <c r="F7028" s="58"/>
      <c r="G7028" s="58"/>
    </row>
    <row r="7029">
      <c r="D7029" s="58"/>
      <c r="E7029" s="58"/>
      <c r="F7029" s="58"/>
      <c r="G7029" s="58"/>
    </row>
    <row r="7030">
      <c r="D7030" s="58"/>
      <c r="E7030" s="58"/>
      <c r="F7030" s="58"/>
      <c r="G7030" s="58"/>
    </row>
    <row r="7031">
      <c r="D7031" s="58"/>
      <c r="E7031" s="58"/>
      <c r="F7031" s="58"/>
      <c r="G7031" s="58"/>
    </row>
    <row r="7032">
      <c r="D7032" s="58"/>
      <c r="E7032" s="58"/>
      <c r="F7032" s="58"/>
      <c r="G7032" s="58"/>
    </row>
    <row r="7033">
      <c r="D7033" s="58"/>
      <c r="E7033" s="58"/>
      <c r="F7033" s="58"/>
      <c r="G7033" s="58"/>
    </row>
    <row r="7034">
      <c r="D7034" s="58"/>
      <c r="E7034" s="58"/>
      <c r="F7034" s="58"/>
      <c r="G7034" s="58"/>
    </row>
    <row r="7035">
      <c r="D7035" s="58"/>
      <c r="E7035" s="58"/>
      <c r="F7035" s="58"/>
      <c r="G7035" s="58"/>
    </row>
    <row r="7036">
      <c r="D7036" s="58"/>
      <c r="E7036" s="58"/>
      <c r="F7036" s="58"/>
      <c r="G7036" s="58"/>
    </row>
    <row r="7037">
      <c r="D7037" s="58"/>
      <c r="E7037" s="58"/>
      <c r="F7037" s="58"/>
      <c r="G7037" s="58"/>
    </row>
    <row r="7038">
      <c r="D7038" s="58"/>
      <c r="E7038" s="58"/>
      <c r="F7038" s="58"/>
      <c r="G7038" s="58"/>
    </row>
    <row r="7039">
      <c r="D7039" s="58"/>
      <c r="E7039" s="58"/>
      <c r="F7039" s="58"/>
      <c r="G7039" s="58"/>
    </row>
    <row r="7040">
      <c r="D7040" s="58"/>
      <c r="E7040" s="58"/>
      <c r="F7040" s="58"/>
      <c r="G7040" s="58"/>
    </row>
    <row r="7041">
      <c r="D7041" s="58"/>
      <c r="E7041" s="58"/>
      <c r="F7041" s="58"/>
      <c r="G7041" s="58"/>
    </row>
    <row r="7042">
      <c r="D7042" s="58"/>
      <c r="E7042" s="58"/>
      <c r="F7042" s="58"/>
      <c r="G7042" s="58"/>
    </row>
    <row r="7043">
      <c r="D7043" s="58"/>
      <c r="E7043" s="58"/>
      <c r="F7043" s="58"/>
      <c r="G7043" s="58"/>
    </row>
    <row r="7044">
      <c r="D7044" s="58"/>
      <c r="E7044" s="58"/>
      <c r="F7044" s="58"/>
      <c r="G7044" s="58"/>
    </row>
    <row r="7045">
      <c r="D7045" s="58"/>
      <c r="E7045" s="58"/>
      <c r="F7045" s="58"/>
      <c r="G7045" s="58"/>
    </row>
    <row r="7046">
      <c r="D7046" s="58"/>
      <c r="E7046" s="58"/>
      <c r="F7046" s="58"/>
      <c r="G7046" s="58"/>
    </row>
    <row r="7047">
      <c r="D7047" s="58"/>
      <c r="E7047" s="58"/>
      <c r="F7047" s="58"/>
      <c r="G7047" s="58"/>
    </row>
    <row r="7048">
      <c r="D7048" s="58"/>
      <c r="E7048" s="58"/>
      <c r="F7048" s="58"/>
      <c r="G7048" s="58"/>
    </row>
    <row r="7049">
      <c r="D7049" s="58"/>
      <c r="E7049" s="58"/>
      <c r="F7049" s="58"/>
      <c r="G7049" s="58"/>
    </row>
    <row r="7050">
      <c r="D7050" s="58"/>
      <c r="E7050" s="58"/>
      <c r="F7050" s="58"/>
      <c r="G7050" s="58"/>
    </row>
    <row r="7051">
      <c r="D7051" s="58"/>
      <c r="E7051" s="58"/>
      <c r="F7051" s="58"/>
      <c r="G7051" s="58"/>
    </row>
    <row r="7052">
      <c r="D7052" s="58"/>
      <c r="E7052" s="58"/>
      <c r="F7052" s="58"/>
      <c r="G7052" s="58"/>
    </row>
    <row r="7053">
      <c r="D7053" s="58"/>
      <c r="E7053" s="58"/>
      <c r="F7053" s="58"/>
      <c r="G7053" s="58"/>
    </row>
    <row r="7054">
      <c r="D7054" s="58"/>
      <c r="E7054" s="58"/>
      <c r="F7054" s="58"/>
      <c r="G7054" s="58"/>
    </row>
    <row r="7055">
      <c r="D7055" s="58"/>
      <c r="E7055" s="58"/>
      <c r="F7055" s="58"/>
      <c r="G7055" s="58"/>
    </row>
    <row r="7056">
      <c r="D7056" s="58"/>
      <c r="E7056" s="58"/>
      <c r="F7056" s="58"/>
      <c r="G7056" s="58"/>
    </row>
    <row r="7057">
      <c r="D7057" s="58"/>
      <c r="E7057" s="58"/>
      <c r="F7057" s="58"/>
      <c r="G7057" s="58"/>
    </row>
    <row r="7058">
      <c r="D7058" s="58"/>
      <c r="E7058" s="58"/>
      <c r="F7058" s="58"/>
      <c r="G7058" s="58"/>
    </row>
    <row r="7059">
      <c r="D7059" s="58"/>
      <c r="E7059" s="58"/>
      <c r="F7059" s="58"/>
      <c r="G7059" s="58"/>
    </row>
    <row r="7060">
      <c r="D7060" s="58"/>
      <c r="E7060" s="58"/>
      <c r="F7060" s="58"/>
      <c r="G7060" s="58"/>
    </row>
    <row r="7061">
      <c r="D7061" s="58"/>
      <c r="E7061" s="58"/>
      <c r="F7061" s="58"/>
      <c r="G7061" s="58"/>
    </row>
    <row r="7062">
      <c r="D7062" s="58"/>
      <c r="E7062" s="58"/>
      <c r="F7062" s="58"/>
      <c r="G7062" s="58"/>
    </row>
    <row r="7063">
      <c r="D7063" s="58"/>
      <c r="E7063" s="58"/>
      <c r="F7063" s="58"/>
      <c r="G7063" s="58"/>
    </row>
    <row r="7064">
      <c r="D7064" s="58"/>
      <c r="E7064" s="58"/>
      <c r="F7064" s="58"/>
      <c r="G7064" s="58"/>
    </row>
    <row r="7065">
      <c r="D7065" s="58"/>
      <c r="E7065" s="58"/>
      <c r="F7065" s="58"/>
      <c r="G7065" s="58"/>
    </row>
    <row r="7066">
      <c r="D7066" s="58"/>
      <c r="E7066" s="58"/>
      <c r="F7066" s="58"/>
      <c r="G7066" s="58"/>
    </row>
    <row r="7067">
      <c r="D7067" s="58"/>
      <c r="E7067" s="58"/>
      <c r="F7067" s="58"/>
      <c r="G7067" s="58"/>
    </row>
    <row r="7068">
      <c r="D7068" s="58"/>
      <c r="E7068" s="58"/>
      <c r="F7068" s="58"/>
      <c r="G7068" s="58"/>
    </row>
    <row r="7069">
      <c r="D7069" s="58"/>
      <c r="E7069" s="58"/>
      <c r="F7069" s="58"/>
      <c r="G7069" s="58"/>
    </row>
    <row r="7070">
      <c r="D7070" s="58"/>
      <c r="E7070" s="58"/>
      <c r="F7070" s="58"/>
      <c r="G7070" s="58"/>
    </row>
    <row r="7071">
      <c r="D7071" s="58"/>
      <c r="E7071" s="58"/>
      <c r="F7071" s="58"/>
      <c r="G7071" s="58"/>
    </row>
    <row r="7072">
      <c r="D7072" s="58"/>
      <c r="E7072" s="58"/>
      <c r="F7072" s="58"/>
      <c r="G7072" s="58"/>
    </row>
    <row r="7073">
      <c r="D7073" s="58"/>
      <c r="E7073" s="58"/>
      <c r="F7073" s="58"/>
      <c r="G7073" s="58"/>
    </row>
    <row r="7074">
      <c r="D7074" s="58"/>
      <c r="E7074" s="58"/>
      <c r="F7074" s="58"/>
      <c r="G7074" s="58"/>
    </row>
    <row r="7075">
      <c r="D7075" s="58"/>
      <c r="E7075" s="58"/>
      <c r="F7075" s="58"/>
      <c r="G7075" s="58"/>
    </row>
    <row r="7076">
      <c r="D7076" s="58"/>
      <c r="E7076" s="58"/>
      <c r="F7076" s="58"/>
      <c r="G7076" s="58"/>
    </row>
    <row r="7077">
      <c r="D7077" s="58"/>
      <c r="E7077" s="58"/>
      <c r="F7077" s="58"/>
      <c r="G7077" s="58"/>
    </row>
    <row r="7078">
      <c r="D7078" s="58"/>
      <c r="E7078" s="58"/>
      <c r="F7078" s="58"/>
      <c r="G7078" s="58"/>
    </row>
    <row r="7079">
      <c r="D7079" s="58"/>
      <c r="E7079" s="58"/>
      <c r="F7079" s="58"/>
      <c r="G7079" s="58"/>
    </row>
    <row r="7080">
      <c r="D7080" s="58"/>
      <c r="E7080" s="58"/>
      <c r="F7080" s="58"/>
      <c r="G7080" s="58"/>
    </row>
    <row r="7081">
      <c r="D7081" s="58"/>
      <c r="E7081" s="58"/>
      <c r="F7081" s="58"/>
      <c r="G7081" s="58"/>
    </row>
    <row r="7082">
      <c r="D7082" s="58"/>
      <c r="E7082" s="58"/>
      <c r="F7082" s="58"/>
      <c r="G7082" s="58"/>
    </row>
    <row r="7083">
      <c r="D7083" s="58"/>
      <c r="E7083" s="58"/>
      <c r="F7083" s="58"/>
      <c r="G7083" s="58"/>
    </row>
    <row r="7084">
      <c r="D7084" s="58"/>
      <c r="E7084" s="58"/>
      <c r="F7084" s="58"/>
      <c r="G7084" s="58"/>
    </row>
    <row r="7085">
      <c r="D7085" s="58"/>
      <c r="E7085" s="58"/>
      <c r="F7085" s="58"/>
      <c r="G7085" s="58"/>
    </row>
    <row r="7086">
      <c r="D7086" s="58"/>
      <c r="E7086" s="58"/>
      <c r="F7086" s="58"/>
      <c r="G7086" s="58"/>
    </row>
    <row r="7087">
      <c r="D7087" s="58"/>
      <c r="E7087" s="58"/>
      <c r="F7087" s="58"/>
      <c r="G7087" s="58"/>
    </row>
    <row r="7088">
      <c r="D7088" s="58"/>
      <c r="E7088" s="58"/>
      <c r="F7088" s="58"/>
      <c r="G7088" s="58"/>
    </row>
    <row r="7089">
      <c r="D7089" s="58"/>
      <c r="E7089" s="58"/>
      <c r="F7089" s="58"/>
      <c r="G7089" s="58"/>
    </row>
    <row r="7090">
      <c r="D7090" s="58"/>
      <c r="E7090" s="58"/>
      <c r="F7090" s="58"/>
      <c r="G7090" s="58"/>
    </row>
    <row r="7091">
      <c r="D7091" s="58"/>
      <c r="E7091" s="58"/>
      <c r="F7091" s="58"/>
      <c r="G7091" s="58"/>
    </row>
    <row r="7092">
      <c r="D7092" s="58"/>
      <c r="E7092" s="58"/>
      <c r="F7092" s="58"/>
      <c r="G7092" s="58"/>
    </row>
    <row r="7093">
      <c r="D7093" s="58"/>
      <c r="E7093" s="58"/>
      <c r="F7093" s="58"/>
      <c r="G7093" s="58"/>
    </row>
    <row r="7094">
      <c r="D7094" s="58"/>
      <c r="E7094" s="58"/>
      <c r="F7094" s="58"/>
      <c r="G7094" s="58"/>
    </row>
    <row r="7095">
      <c r="D7095" s="58"/>
      <c r="E7095" s="58"/>
      <c r="F7095" s="58"/>
      <c r="G7095" s="58"/>
    </row>
    <row r="7096">
      <c r="D7096" s="58"/>
      <c r="E7096" s="58"/>
      <c r="F7096" s="58"/>
      <c r="G7096" s="58"/>
    </row>
    <row r="7097">
      <c r="D7097" s="58"/>
      <c r="E7097" s="58"/>
      <c r="F7097" s="58"/>
      <c r="G7097" s="58"/>
    </row>
    <row r="7098">
      <c r="D7098" s="58"/>
      <c r="E7098" s="58"/>
      <c r="F7098" s="58"/>
      <c r="G7098" s="58"/>
    </row>
    <row r="7099">
      <c r="D7099" s="58"/>
      <c r="E7099" s="58"/>
      <c r="F7099" s="58"/>
      <c r="G7099" s="58"/>
    </row>
    <row r="7100">
      <c r="D7100" s="58"/>
      <c r="E7100" s="58"/>
      <c r="F7100" s="58"/>
      <c r="G7100" s="58"/>
    </row>
    <row r="7101">
      <c r="D7101" s="58"/>
      <c r="E7101" s="58"/>
      <c r="F7101" s="58"/>
      <c r="G7101" s="58"/>
    </row>
    <row r="7102">
      <c r="D7102" s="58"/>
      <c r="E7102" s="58"/>
      <c r="F7102" s="58"/>
      <c r="G7102" s="58"/>
    </row>
    <row r="7103">
      <c r="D7103" s="58"/>
      <c r="E7103" s="58"/>
      <c r="F7103" s="58"/>
      <c r="G7103" s="58"/>
    </row>
    <row r="7104">
      <c r="D7104" s="58"/>
      <c r="E7104" s="58"/>
      <c r="F7104" s="58"/>
      <c r="G7104" s="58"/>
    </row>
    <row r="7105">
      <c r="D7105" s="58"/>
      <c r="E7105" s="58"/>
      <c r="F7105" s="58"/>
      <c r="G7105" s="58"/>
    </row>
    <row r="7106">
      <c r="D7106" s="58"/>
      <c r="E7106" s="58"/>
      <c r="F7106" s="58"/>
      <c r="G7106" s="58"/>
    </row>
    <row r="7107">
      <c r="D7107" s="58"/>
      <c r="E7107" s="58"/>
      <c r="F7107" s="58"/>
      <c r="G7107" s="58"/>
    </row>
    <row r="7108">
      <c r="D7108" s="58"/>
      <c r="E7108" s="58"/>
      <c r="F7108" s="58"/>
      <c r="G7108" s="58"/>
    </row>
    <row r="7109">
      <c r="D7109" s="58"/>
      <c r="E7109" s="58"/>
      <c r="F7109" s="58"/>
      <c r="G7109" s="58"/>
    </row>
    <row r="7110">
      <c r="D7110" s="58"/>
      <c r="E7110" s="58"/>
      <c r="F7110" s="58"/>
      <c r="G7110" s="58"/>
    </row>
    <row r="7111">
      <c r="D7111" s="58"/>
      <c r="E7111" s="58"/>
      <c r="F7111" s="58"/>
      <c r="G7111" s="58"/>
    </row>
    <row r="7112">
      <c r="D7112" s="58"/>
      <c r="E7112" s="58"/>
      <c r="F7112" s="58"/>
      <c r="G7112" s="58"/>
    </row>
    <row r="7113">
      <c r="D7113" s="58"/>
      <c r="E7113" s="58"/>
      <c r="F7113" s="58"/>
      <c r="G7113" s="58"/>
    </row>
    <row r="7114">
      <c r="D7114" s="58"/>
      <c r="E7114" s="58"/>
      <c r="F7114" s="58"/>
      <c r="G7114" s="58"/>
    </row>
    <row r="7115">
      <c r="D7115" s="58"/>
      <c r="E7115" s="58"/>
      <c r="F7115" s="58"/>
      <c r="G7115" s="58"/>
    </row>
    <row r="7116">
      <c r="D7116" s="58"/>
      <c r="E7116" s="58"/>
      <c r="F7116" s="58"/>
      <c r="G7116" s="58"/>
    </row>
    <row r="7117">
      <c r="D7117" s="58"/>
      <c r="E7117" s="58"/>
      <c r="F7117" s="58"/>
      <c r="G7117" s="58"/>
    </row>
    <row r="7118">
      <c r="D7118" s="58"/>
      <c r="E7118" s="58"/>
      <c r="F7118" s="58"/>
      <c r="G7118" s="58"/>
    </row>
    <row r="7119">
      <c r="D7119" s="58"/>
      <c r="E7119" s="58"/>
      <c r="F7119" s="58"/>
      <c r="G7119" s="58"/>
    </row>
    <row r="7120">
      <c r="D7120" s="58"/>
      <c r="E7120" s="58"/>
      <c r="F7120" s="58"/>
      <c r="G7120" s="58"/>
    </row>
    <row r="7121">
      <c r="D7121" s="58"/>
      <c r="E7121" s="58"/>
      <c r="F7121" s="58"/>
      <c r="G7121" s="58"/>
    </row>
    <row r="7122">
      <c r="D7122" s="58"/>
      <c r="E7122" s="58"/>
      <c r="F7122" s="58"/>
      <c r="G7122" s="58"/>
    </row>
    <row r="7123">
      <c r="D7123" s="58"/>
      <c r="E7123" s="58"/>
      <c r="F7123" s="58"/>
      <c r="G7123" s="58"/>
    </row>
    <row r="7124">
      <c r="D7124" s="58"/>
      <c r="E7124" s="58"/>
      <c r="F7124" s="58"/>
      <c r="G7124" s="58"/>
    </row>
    <row r="7125">
      <c r="D7125" s="58"/>
      <c r="E7125" s="58"/>
      <c r="F7125" s="58"/>
      <c r="G7125" s="58"/>
    </row>
    <row r="7126">
      <c r="D7126" s="58"/>
      <c r="E7126" s="58"/>
      <c r="F7126" s="58"/>
      <c r="G7126" s="58"/>
    </row>
    <row r="7127">
      <c r="D7127" s="58"/>
      <c r="E7127" s="58"/>
      <c r="F7127" s="58"/>
      <c r="G7127" s="58"/>
    </row>
    <row r="7128">
      <c r="D7128" s="58"/>
      <c r="E7128" s="58"/>
      <c r="F7128" s="58"/>
      <c r="G7128" s="58"/>
    </row>
    <row r="7129">
      <c r="D7129" s="58"/>
      <c r="E7129" s="58"/>
      <c r="F7129" s="58"/>
      <c r="G7129" s="58"/>
    </row>
    <row r="7130">
      <c r="D7130" s="58"/>
      <c r="E7130" s="58"/>
      <c r="F7130" s="58"/>
      <c r="G7130" s="58"/>
    </row>
    <row r="7131">
      <c r="D7131" s="58"/>
      <c r="E7131" s="58"/>
      <c r="F7131" s="58"/>
      <c r="G7131" s="58"/>
    </row>
    <row r="7132">
      <c r="D7132" s="58"/>
      <c r="E7132" s="58"/>
      <c r="F7132" s="58"/>
      <c r="G7132" s="58"/>
    </row>
    <row r="7133">
      <c r="D7133" s="58"/>
      <c r="E7133" s="58"/>
      <c r="F7133" s="58"/>
      <c r="G7133" s="58"/>
    </row>
    <row r="7134">
      <c r="D7134" s="58"/>
      <c r="E7134" s="58"/>
      <c r="F7134" s="58"/>
      <c r="G7134" s="58"/>
    </row>
    <row r="7135">
      <c r="D7135" s="58"/>
      <c r="E7135" s="58"/>
      <c r="F7135" s="58"/>
      <c r="G7135" s="58"/>
    </row>
    <row r="7136">
      <c r="D7136" s="58"/>
      <c r="E7136" s="58"/>
      <c r="F7136" s="58"/>
      <c r="G7136" s="58"/>
    </row>
    <row r="7137">
      <c r="D7137" s="58"/>
      <c r="E7137" s="58"/>
      <c r="F7137" s="58"/>
      <c r="G7137" s="58"/>
    </row>
    <row r="7138">
      <c r="D7138" s="58"/>
      <c r="E7138" s="58"/>
      <c r="F7138" s="58"/>
      <c r="G7138" s="58"/>
    </row>
    <row r="7139">
      <c r="D7139" s="58"/>
      <c r="E7139" s="58"/>
      <c r="F7139" s="58"/>
      <c r="G7139" s="58"/>
    </row>
    <row r="7140">
      <c r="D7140" s="58"/>
      <c r="E7140" s="58"/>
      <c r="F7140" s="58"/>
      <c r="G7140" s="58"/>
    </row>
    <row r="7141">
      <c r="D7141" s="58"/>
      <c r="E7141" s="58"/>
      <c r="F7141" s="58"/>
      <c r="G7141" s="58"/>
    </row>
    <row r="7142">
      <c r="D7142" s="58"/>
      <c r="E7142" s="58"/>
      <c r="F7142" s="58"/>
      <c r="G7142" s="58"/>
    </row>
    <row r="7143">
      <c r="D7143" s="58"/>
      <c r="E7143" s="58"/>
      <c r="F7143" s="58"/>
      <c r="G7143" s="58"/>
    </row>
    <row r="7144">
      <c r="D7144" s="58"/>
      <c r="E7144" s="58"/>
      <c r="F7144" s="58"/>
      <c r="G7144" s="58"/>
    </row>
    <row r="7145">
      <c r="D7145" s="58"/>
      <c r="E7145" s="58"/>
      <c r="F7145" s="58"/>
      <c r="G7145" s="58"/>
    </row>
    <row r="7146">
      <c r="D7146" s="58"/>
      <c r="E7146" s="58"/>
      <c r="F7146" s="58"/>
      <c r="G7146" s="58"/>
    </row>
    <row r="7147">
      <c r="D7147" s="58"/>
      <c r="E7147" s="58"/>
      <c r="F7147" s="58"/>
      <c r="G7147" s="58"/>
    </row>
    <row r="7148">
      <c r="D7148" s="58"/>
      <c r="E7148" s="58"/>
      <c r="F7148" s="58"/>
      <c r="G7148" s="58"/>
    </row>
    <row r="7149">
      <c r="D7149" s="58"/>
      <c r="E7149" s="58"/>
      <c r="F7149" s="58"/>
      <c r="G7149" s="58"/>
    </row>
    <row r="7150">
      <c r="D7150" s="58"/>
      <c r="E7150" s="58"/>
      <c r="F7150" s="58"/>
      <c r="G7150" s="58"/>
    </row>
    <row r="7151">
      <c r="D7151" s="58"/>
      <c r="E7151" s="58"/>
      <c r="F7151" s="58"/>
      <c r="G7151" s="58"/>
    </row>
    <row r="7152">
      <c r="D7152" s="58"/>
      <c r="E7152" s="58"/>
      <c r="F7152" s="58"/>
      <c r="G7152" s="58"/>
    </row>
    <row r="7153">
      <c r="D7153" s="58"/>
      <c r="E7153" s="58"/>
      <c r="F7153" s="58"/>
      <c r="G7153" s="58"/>
    </row>
    <row r="7154">
      <c r="D7154" s="58"/>
      <c r="E7154" s="58"/>
      <c r="F7154" s="58"/>
      <c r="G7154" s="58"/>
    </row>
    <row r="7155">
      <c r="D7155" s="58"/>
      <c r="E7155" s="58"/>
      <c r="F7155" s="58"/>
      <c r="G7155" s="58"/>
    </row>
    <row r="7156">
      <c r="D7156" s="58"/>
      <c r="E7156" s="58"/>
      <c r="F7156" s="58"/>
      <c r="G7156" s="58"/>
    </row>
    <row r="7157">
      <c r="D7157" s="58"/>
      <c r="E7157" s="58"/>
      <c r="F7157" s="58"/>
      <c r="G7157" s="58"/>
    </row>
    <row r="7158">
      <c r="D7158" s="58"/>
      <c r="E7158" s="58"/>
      <c r="F7158" s="58"/>
      <c r="G7158" s="58"/>
    </row>
    <row r="7159">
      <c r="D7159" s="58"/>
      <c r="E7159" s="58"/>
      <c r="F7159" s="58"/>
      <c r="G7159" s="58"/>
    </row>
    <row r="7160">
      <c r="D7160" s="58"/>
      <c r="E7160" s="58"/>
      <c r="F7160" s="58"/>
      <c r="G7160" s="58"/>
    </row>
    <row r="7161">
      <c r="D7161" s="58"/>
      <c r="E7161" s="58"/>
      <c r="F7161" s="58"/>
      <c r="G7161" s="58"/>
    </row>
    <row r="7162">
      <c r="D7162" s="58"/>
      <c r="E7162" s="58"/>
      <c r="F7162" s="58"/>
      <c r="G7162" s="58"/>
    </row>
    <row r="7163">
      <c r="D7163" s="58"/>
      <c r="E7163" s="58"/>
      <c r="F7163" s="58"/>
      <c r="G7163" s="58"/>
    </row>
    <row r="7164">
      <c r="D7164" s="58"/>
      <c r="E7164" s="58"/>
      <c r="F7164" s="58"/>
      <c r="G7164" s="58"/>
    </row>
    <row r="7165">
      <c r="D7165" s="58"/>
      <c r="E7165" s="58"/>
      <c r="F7165" s="58"/>
      <c r="G7165" s="58"/>
    </row>
    <row r="7166">
      <c r="D7166" s="58"/>
      <c r="E7166" s="58"/>
      <c r="F7166" s="58"/>
      <c r="G7166" s="58"/>
    </row>
    <row r="7167">
      <c r="D7167" s="58"/>
      <c r="E7167" s="58"/>
      <c r="F7167" s="58"/>
      <c r="G7167" s="58"/>
    </row>
    <row r="7168">
      <c r="D7168" s="58"/>
      <c r="E7168" s="58"/>
      <c r="F7168" s="58"/>
      <c r="G7168" s="58"/>
    </row>
    <row r="7169">
      <c r="D7169" s="58"/>
      <c r="E7169" s="58"/>
      <c r="F7169" s="58"/>
      <c r="G7169" s="58"/>
    </row>
    <row r="7170">
      <c r="D7170" s="58"/>
      <c r="E7170" s="58"/>
      <c r="F7170" s="58"/>
      <c r="G7170" s="58"/>
    </row>
    <row r="7171">
      <c r="D7171" s="58"/>
      <c r="E7171" s="58"/>
      <c r="F7171" s="58"/>
      <c r="G7171" s="58"/>
    </row>
    <row r="7172">
      <c r="D7172" s="58"/>
      <c r="E7172" s="58"/>
      <c r="F7172" s="58"/>
      <c r="G7172" s="58"/>
    </row>
    <row r="7173">
      <c r="D7173" s="58"/>
      <c r="E7173" s="58"/>
      <c r="F7173" s="58"/>
      <c r="G7173" s="58"/>
    </row>
    <row r="7174">
      <c r="D7174" s="58"/>
      <c r="E7174" s="58"/>
      <c r="F7174" s="58"/>
      <c r="G7174" s="58"/>
    </row>
    <row r="7175">
      <c r="D7175" s="58"/>
      <c r="E7175" s="58"/>
      <c r="F7175" s="58"/>
      <c r="G7175" s="58"/>
    </row>
    <row r="7176">
      <c r="D7176" s="58"/>
      <c r="E7176" s="58"/>
      <c r="F7176" s="58"/>
      <c r="G7176" s="58"/>
    </row>
    <row r="7177">
      <c r="D7177" s="58"/>
      <c r="E7177" s="58"/>
      <c r="F7177" s="58"/>
      <c r="G7177" s="58"/>
    </row>
    <row r="7178">
      <c r="D7178" s="58"/>
      <c r="E7178" s="58"/>
      <c r="F7178" s="58"/>
      <c r="G7178" s="58"/>
    </row>
    <row r="7179">
      <c r="D7179" s="58"/>
      <c r="E7179" s="58"/>
      <c r="F7179" s="58"/>
      <c r="G7179" s="58"/>
    </row>
    <row r="7180">
      <c r="D7180" s="58"/>
      <c r="E7180" s="58"/>
      <c r="F7180" s="58"/>
      <c r="G7180" s="58"/>
    </row>
    <row r="7181">
      <c r="D7181" s="58"/>
      <c r="E7181" s="58"/>
      <c r="F7181" s="58"/>
      <c r="G7181" s="58"/>
    </row>
    <row r="7182">
      <c r="D7182" s="58"/>
      <c r="E7182" s="58"/>
      <c r="F7182" s="58"/>
      <c r="G7182" s="58"/>
    </row>
    <row r="7183">
      <c r="D7183" s="58"/>
      <c r="E7183" s="58"/>
      <c r="F7183" s="58"/>
      <c r="G7183" s="58"/>
    </row>
    <row r="7184">
      <c r="D7184" s="58"/>
      <c r="E7184" s="58"/>
      <c r="F7184" s="58"/>
      <c r="G7184" s="58"/>
    </row>
    <row r="7185">
      <c r="D7185" s="58"/>
      <c r="E7185" s="58"/>
      <c r="F7185" s="58"/>
      <c r="G7185" s="58"/>
    </row>
    <row r="7186">
      <c r="D7186" s="58"/>
      <c r="E7186" s="58"/>
      <c r="F7186" s="58"/>
      <c r="G7186" s="58"/>
    </row>
    <row r="7187">
      <c r="D7187" s="58"/>
      <c r="E7187" s="58"/>
      <c r="F7187" s="58"/>
      <c r="G7187" s="58"/>
    </row>
    <row r="7188">
      <c r="D7188" s="58"/>
      <c r="E7188" s="58"/>
      <c r="F7188" s="58"/>
      <c r="G7188" s="58"/>
    </row>
    <row r="7189">
      <c r="D7189" s="58"/>
      <c r="E7189" s="58"/>
      <c r="F7189" s="58"/>
      <c r="G7189" s="58"/>
    </row>
    <row r="7190">
      <c r="D7190" s="58"/>
      <c r="E7190" s="58"/>
      <c r="F7190" s="58"/>
      <c r="G7190" s="58"/>
    </row>
    <row r="7191">
      <c r="D7191" s="58"/>
      <c r="E7191" s="58"/>
      <c r="F7191" s="58"/>
      <c r="G7191" s="58"/>
    </row>
    <row r="7192">
      <c r="D7192" s="58"/>
      <c r="E7192" s="58"/>
      <c r="F7192" s="58"/>
      <c r="G7192" s="58"/>
    </row>
    <row r="7193">
      <c r="D7193" s="58"/>
      <c r="E7193" s="58"/>
      <c r="F7193" s="58"/>
      <c r="G7193" s="58"/>
    </row>
    <row r="7194">
      <c r="D7194" s="58"/>
      <c r="E7194" s="58"/>
      <c r="F7194" s="58"/>
      <c r="G7194" s="58"/>
    </row>
    <row r="7195">
      <c r="D7195" s="58"/>
      <c r="E7195" s="58"/>
      <c r="F7195" s="58"/>
      <c r="G7195" s="58"/>
    </row>
    <row r="7196">
      <c r="D7196" s="58"/>
      <c r="E7196" s="58"/>
      <c r="F7196" s="58"/>
      <c r="G7196" s="58"/>
    </row>
    <row r="7197">
      <c r="D7197" s="58"/>
      <c r="E7197" s="58"/>
      <c r="F7197" s="58"/>
      <c r="G7197" s="58"/>
    </row>
    <row r="7198">
      <c r="D7198" s="58"/>
      <c r="E7198" s="58"/>
      <c r="F7198" s="58"/>
      <c r="G7198" s="58"/>
    </row>
    <row r="7199">
      <c r="D7199" s="58"/>
      <c r="E7199" s="58"/>
      <c r="F7199" s="58"/>
      <c r="G7199" s="58"/>
    </row>
    <row r="7200">
      <c r="D7200" s="58"/>
      <c r="E7200" s="58"/>
      <c r="F7200" s="58"/>
      <c r="G7200" s="58"/>
    </row>
    <row r="7201">
      <c r="D7201" s="58"/>
      <c r="E7201" s="58"/>
      <c r="F7201" s="58"/>
      <c r="G7201" s="58"/>
    </row>
    <row r="7202">
      <c r="D7202" s="58"/>
      <c r="E7202" s="58"/>
      <c r="F7202" s="58"/>
      <c r="G7202" s="58"/>
    </row>
    <row r="7203">
      <c r="D7203" s="58"/>
      <c r="E7203" s="58"/>
      <c r="F7203" s="58"/>
      <c r="G7203" s="58"/>
    </row>
    <row r="7204">
      <c r="D7204" s="58"/>
      <c r="E7204" s="58"/>
      <c r="F7204" s="58"/>
      <c r="G7204" s="58"/>
    </row>
    <row r="7205">
      <c r="D7205" s="58"/>
      <c r="E7205" s="58"/>
      <c r="F7205" s="58"/>
      <c r="G7205" s="58"/>
    </row>
    <row r="7206">
      <c r="D7206" s="58"/>
      <c r="E7206" s="58"/>
      <c r="F7206" s="58"/>
      <c r="G7206" s="58"/>
    </row>
    <row r="7207">
      <c r="D7207" s="58"/>
      <c r="E7207" s="58"/>
      <c r="F7207" s="58"/>
      <c r="G7207" s="58"/>
    </row>
    <row r="7208">
      <c r="D7208" s="58"/>
      <c r="E7208" s="58"/>
      <c r="F7208" s="58"/>
      <c r="G7208" s="58"/>
    </row>
    <row r="7209">
      <c r="D7209" s="58"/>
      <c r="E7209" s="58"/>
      <c r="F7209" s="58"/>
      <c r="G7209" s="58"/>
    </row>
    <row r="7210">
      <c r="D7210" s="58"/>
      <c r="E7210" s="58"/>
      <c r="F7210" s="58"/>
      <c r="G7210" s="58"/>
    </row>
    <row r="7211">
      <c r="D7211" s="58"/>
      <c r="E7211" s="58"/>
      <c r="F7211" s="58"/>
      <c r="G7211" s="58"/>
    </row>
    <row r="7212">
      <c r="D7212" s="58"/>
      <c r="E7212" s="58"/>
      <c r="F7212" s="58"/>
      <c r="G7212" s="58"/>
    </row>
    <row r="7213">
      <c r="D7213" s="58"/>
      <c r="E7213" s="58"/>
      <c r="F7213" s="58"/>
      <c r="G7213" s="58"/>
    </row>
    <row r="7214">
      <c r="D7214" s="58"/>
      <c r="E7214" s="58"/>
      <c r="F7214" s="58"/>
      <c r="G7214" s="58"/>
    </row>
    <row r="7215">
      <c r="D7215" s="58"/>
      <c r="E7215" s="58"/>
      <c r="F7215" s="58"/>
      <c r="G7215" s="58"/>
    </row>
    <row r="7216">
      <c r="D7216" s="58"/>
      <c r="E7216" s="58"/>
      <c r="F7216" s="58"/>
      <c r="G7216" s="58"/>
    </row>
    <row r="7217">
      <c r="D7217" s="58"/>
      <c r="E7217" s="58"/>
      <c r="F7217" s="58"/>
      <c r="G7217" s="58"/>
    </row>
    <row r="7218">
      <c r="D7218" s="58"/>
      <c r="E7218" s="58"/>
      <c r="F7218" s="58"/>
      <c r="G7218" s="58"/>
    </row>
    <row r="7219">
      <c r="D7219" s="58"/>
      <c r="E7219" s="58"/>
      <c r="F7219" s="58"/>
      <c r="G7219" s="58"/>
    </row>
    <row r="7220">
      <c r="D7220" s="58"/>
      <c r="E7220" s="58"/>
      <c r="F7220" s="58"/>
      <c r="G7220" s="58"/>
    </row>
    <row r="7221">
      <c r="D7221" s="58"/>
      <c r="E7221" s="58"/>
      <c r="F7221" s="58"/>
      <c r="G7221" s="58"/>
    </row>
    <row r="7222">
      <c r="D7222" s="58"/>
      <c r="E7222" s="58"/>
      <c r="F7222" s="58"/>
      <c r="G7222" s="58"/>
    </row>
    <row r="7223">
      <c r="D7223" s="58"/>
      <c r="E7223" s="58"/>
      <c r="F7223" s="58"/>
      <c r="G7223" s="58"/>
    </row>
    <row r="7224">
      <c r="D7224" s="58"/>
      <c r="E7224" s="58"/>
      <c r="F7224" s="58"/>
      <c r="G7224" s="58"/>
    </row>
    <row r="7225">
      <c r="D7225" s="58"/>
      <c r="E7225" s="58"/>
      <c r="F7225" s="58"/>
      <c r="G7225" s="58"/>
    </row>
    <row r="7226">
      <c r="D7226" s="58"/>
      <c r="E7226" s="58"/>
      <c r="F7226" s="58"/>
      <c r="G7226" s="58"/>
    </row>
    <row r="7227">
      <c r="D7227" s="58"/>
      <c r="E7227" s="58"/>
      <c r="F7227" s="58"/>
      <c r="G7227" s="58"/>
    </row>
    <row r="7228">
      <c r="D7228" s="58"/>
      <c r="E7228" s="58"/>
      <c r="F7228" s="58"/>
      <c r="G7228" s="58"/>
    </row>
    <row r="7229">
      <c r="D7229" s="58"/>
      <c r="E7229" s="58"/>
      <c r="F7229" s="58"/>
      <c r="G7229" s="58"/>
    </row>
    <row r="7230">
      <c r="D7230" s="58"/>
      <c r="E7230" s="58"/>
      <c r="F7230" s="58"/>
      <c r="G7230" s="58"/>
    </row>
    <row r="7231">
      <c r="D7231" s="58"/>
      <c r="E7231" s="58"/>
      <c r="F7231" s="58"/>
      <c r="G7231" s="58"/>
    </row>
    <row r="7232">
      <c r="D7232" s="58"/>
      <c r="E7232" s="58"/>
      <c r="F7232" s="58"/>
      <c r="G7232" s="58"/>
    </row>
    <row r="7233">
      <c r="D7233" s="58"/>
      <c r="E7233" s="58"/>
      <c r="F7233" s="58"/>
      <c r="G7233" s="58"/>
    </row>
    <row r="7234">
      <c r="D7234" s="58"/>
      <c r="E7234" s="58"/>
      <c r="F7234" s="58"/>
      <c r="G7234" s="58"/>
    </row>
    <row r="7235">
      <c r="D7235" s="58"/>
      <c r="E7235" s="58"/>
      <c r="F7235" s="58"/>
      <c r="G7235" s="58"/>
    </row>
    <row r="7236">
      <c r="D7236" s="58"/>
      <c r="E7236" s="58"/>
      <c r="F7236" s="58"/>
      <c r="G7236" s="58"/>
    </row>
    <row r="7237">
      <c r="D7237" s="58"/>
      <c r="E7237" s="58"/>
      <c r="F7237" s="58"/>
      <c r="G7237" s="58"/>
    </row>
    <row r="7238">
      <c r="D7238" s="58"/>
      <c r="E7238" s="58"/>
      <c r="F7238" s="58"/>
      <c r="G7238" s="58"/>
    </row>
    <row r="7239">
      <c r="D7239" s="58"/>
      <c r="E7239" s="58"/>
      <c r="F7239" s="58"/>
      <c r="G7239" s="58"/>
    </row>
    <row r="7240">
      <c r="D7240" s="58"/>
      <c r="E7240" s="58"/>
      <c r="F7240" s="58"/>
      <c r="G7240" s="58"/>
    </row>
    <row r="7241">
      <c r="D7241" s="58"/>
      <c r="E7241" s="58"/>
      <c r="F7241" s="58"/>
      <c r="G7241" s="58"/>
    </row>
    <row r="7242">
      <c r="D7242" s="58"/>
      <c r="E7242" s="58"/>
      <c r="F7242" s="58"/>
      <c r="G7242" s="58"/>
    </row>
    <row r="7243">
      <c r="D7243" s="58"/>
      <c r="E7243" s="58"/>
      <c r="F7243" s="58"/>
      <c r="G7243" s="58"/>
    </row>
    <row r="7244">
      <c r="D7244" s="58"/>
      <c r="E7244" s="58"/>
      <c r="F7244" s="58"/>
      <c r="G7244" s="58"/>
    </row>
    <row r="7245">
      <c r="D7245" s="58"/>
      <c r="E7245" s="58"/>
      <c r="F7245" s="58"/>
      <c r="G7245" s="58"/>
    </row>
    <row r="7246">
      <c r="D7246" s="58"/>
      <c r="E7246" s="58"/>
      <c r="F7246" s="58"/>
      <c r="G7246" s="58"/>
    </row>
    <row r="7247">
      <c r="D7247" s="58"/>
      <c r="E7247" s="58"/>
      <c r="F7247" s="58"/>
      <c r="G7247" s="58"/>
    </row>
    <row r="7248">
      <c r="D7248" s="58"/>
      <c r="E7248" s="58"/>
      <c r="F7248" s="58"/>
      <c r="G7248" s="58"/>
    </row>
    <row r="7249">
      <c r="D7249" s="58"/>
      <c r="E7249" s="58"/>
      <c r="F7249" s="58"/>
      <c r="G7249" s="58"/>
    </row>
    <row r="7250">
      <c r="D7250" s="58"/>
      <c r="E7250" s="58"/>
      <c r="F7250" s="58"/>
      <c r="G7250" s="58"/>
    </row>
    <row r="7251">
      <c r="D7251" s="58"/>
      <c r="E7251" s="58"/>
      <c r="F7251" s="58"/>
      <c r="G7251" s="58"/>
    </row>
    <row r="7252">
      <c r="D7252" s="58"/>
      <c r="E7252" s="58"/>
      <c r="F7252" s="58"/>
      <c r="G7252" s="58"/>
    </row>
    <row r="7253">
      <c r="D7253" s="58"/>
      <c r="E7253" s="58"/>
      <c r="F7253" s="58"/>
      <c r="G7253" s="58"/>
    </row>
    <row r="7254">
      <c r="D7254" s="58"/>
      <c r="E7254" s="58"/>
      <c r="F7254" s="58"/>
      <c r="G7254" s="58"/>
    </row>
    <row r="7255">
      <c r="D7255" s="58"/>
      <c r="E7255" s="58"/>
      <c r="F7255" s="58"/>
      <c r="G7255" s="58"/>
    </row>
    <row r="7256">
      <c r="D7256" s="58"/>
      <c r="E7256" s="58"/>
      <c r="F7256" s="58"/>
      <c r="G7256" s="58"/>
    </row>
    <row r="7257">
      <c r="D7257" s="58"/>
      <c r="E7257" s="58"/>
      <c r="F7257" s="58"/>
      <c r="G7257" s="58"/>
    </row>
    <row r="7258">
      <c r="D7258" s="58"/>
      <c r="E7258" s="58"/>
      <c r="F7258" s="58"/>
      <c r="G7258" s="58"/>
    </row>
    <row r="7259">
      <c r="D7259" s="58"/>
      <c r="E7259" s="58"/>
      <c r="F7259" s="58"/>
      <c r="G7259" s="58"/>
    </row>
    <row r="7260">
      <c r="D7260" s="58"/>
      <c r="E7260" s="58"/>
      <c r="F7260" s="58"/>
      <c r="G7260" s="58"/>
    </row>
    <row r="7261">
      <c r="D7261" s="58"/>
      <c r="E7261" s="58"/>
      <c r="F7261" s="58"/>
      <c r="G7261" s="58"/>
    </row>
    <row r="7262">
      <c r="D7262" s="58"/>
      <c r="E7262" s="58"/>
      <c r="F7262" s="58"/>
      <c r="G7262" s="58"/>
    </row>
    <row r="7263">
      <c r="D7263" s="58"/>
      <c r="E7263" s="58"/>
      <c r="F7263" s="58"/>
      <c r="G7263" s="58"/>
    </row>
    <row r="7264">
      <c r="D7264" s="58"/>
      <c r="E7264" s="58"/>
      <c r="F7264" s="58"/>
      <c r="G7264" s="58"/>
    </row>
    <row r="7265">
      <c r="D7265" s="58"/>
      <c r="E7265" s="58"/>
      <c r="F7265" s="58"/>
      <c r="G7265" s="58"/>
    </row>
    <row r="7266">
      <c r="D7266" s="58"/>
      <c r="E7266" s="58"/>
      <c r="F7266" s="58"/>
      <c r="G7266" s="58"/>
    </row>
    <row r="7267">
      <c r="D7267" s="58"/>
      <c r="E7267" s="58"/>
      <c r="F7267" s="58"/>
      <c r="G7267" s="58"/>
    </row>
    <row r="7268">
      <c r="D7268" s="58"/>
      <c r="E7268" s="58"/>
      <c r="F7268" s="58"/>
      <c r="G7268" s="58"/>
    </row>
    <row r="7269">
      <c r="D7269" s="58"/>
      <c r="E7269" s="58"/>
      <c r="F7269" s="58"/>
      <c r="G7269" s="58"/>
    </row>
    <row r="7270">
      <c r="D7270" s="58"/>
      <c r="E7270" s="58"/>
      <c r="F7270" s="58"/>
      <c r="G7270" s="58"/>
    </row>
    <row r="7271">
      <c r="D7271" s="58"/>
      <c r="E7271" s="58"/>
      <c r="F7271" s="58"/>
      <c r="G7271" s="58"/>
    </row>
    <row r="7272">
      <c r="D7272" s="58"/>
      <c r="E7272" s="58"/>
      <c r="F7272" s="58"/>
      <c r="G7272" s="58"/>
    </row>
    <row r="7273">
      <c r="D7273" s="58"/>
      <c r="E7273" s="58"/>
      <c r="F7273" s="58"/>
      <c r="G7273" s="58"/>
    </row>
    <row r="7274">
      <c r="D7274" s="58"/>
      <c r="E7274" s="58"/>
      <c r="F7274" s="58"/>
      <c r="G7274" s="58"/>
    </row>
    <row r="7275">
      <c r="D7275" s="58"/>
      <c r="E7275" s="58"/>
      <c r="F7275" s="58"/>
      <c r="G7275" s="58"/>
    </row>
    <row r="7276">
      <c r="D7276" s="58"/>
      <c r="E7276" s="58"/>
      <c r="F7276" s="58"/>
      <c r="G7276" s="58"/>
    </row>
    <row r="7277">
      <c r="D7277" s="58"/>
      <c r="E7277" s="58"/>
      <c r="F7277" s="58"/>
      <c r="G7277" s="58"/>
    </row>
    <row r="7278">
      <c r="D7278" s="58"/>
      <c r="E7278" s="58"/>
      <c r="F7278" s="58"/>
      <c r="G7278" s="58"/>
    </row>
    <row r="7279">
      <c r="D7279" s="58"/>
      <c r="E7279" s="58"/>
      <c r="F7279" s="58"/>
      <c r="G7279" s="58"/>
    </row>
    <row r="7280">
      <c r="D7280" s="58"/>
      <c r="E7280" s="58"/>
      <c r="F7280" s="58"/>
      <c r="G7280" s="58"/>
    </row>
    <row r="7281">
      <c r="D7281" s="58"/>
      <c r="E7281" s="58"/>
      <c r="F7281" s="58"/>
      <c r="G7281" s="58"/>
    </row>
    <row r="7282">
      <c r="D7282" s="58"/>
      <c r="E7282" s="58"/>
      <c r="F7282" s="58"/>
      <c r="G7282" s="58"/>
    </row>
    <row r="7283">
      <c r="D7283" s="58"/>
      <c r="E7283" s="58"/>
      <c r="F7283" s="58"/>
      <c r="G7283" s="58"/>
    </row>
    <row r="7284">
      <c r="D7284" s="58"/>
      <c r="E7284" s="58"/>
      <c r="F7284" s="58"/>
      <c r="G7284" s="58"/>
    </row>
    <row r="7285">
      <c r="D7285" s="58"/>
      <c r="E7285" s="58"/>
      <c r="F7285" s="58"/>
      <c r="G7285" s="58"/>
    </row>
    <row r="7286">
      <c r="D7286" s="58"/>
      <c r="E7286" s="58"/>
      <c r="F7286" s="58"/>
      <c r="G7286" s="58"/>
    </row>
    <row r="7287">
      <c r="D7287" s="58"/>
      <c r="E7287" s="58"/>
      <c r="F7287" s="58"/>
      <c r="G7287" s="58"/>
    </row>
    <row r="7288">
      <c r="D7288" s="58"/>
      <c r="E7288" s="58"/>
      <c r="F7288" s="58"/>
      <c r="G7288" s="58"/>
    </row>
    <row r="7289">
      <c r="D7289" s="58"/>
      <c r="E7289" s="58"/>
      <c r="F7289" s="58"/>
      <c r="G7289" s="58"/>
    </row>
    <row r="7290">
      <c r="D7290" s="58"/>
      <c r="E7290" s="58"/>
      <c r="F7290" s="58"/>
      <c r="G7290" s="58"/>
    </row>
    <row r="7291">
      <c r="D7291" s="58"/>
      <c r="E7291" s="58"/>
      <c r="F7291" s="58"/>
      <c r="G7291" s="58"/>
    </row>
    <row r="7292">
      <c r="D7292" s="58"/>
      <c r="E7292" s="58"/>
      <c r="F7292" s="58"/>
      <c r="G7292" s="58"/>
    </row>
    <row r="7293">
      <c r="D7293" s="58"/>
      <c r="E7293" s="58"/>
      <c r="F7293" s="58"/>
      <c r="G7293" s="58"/>
    </row>
    <row r="7294">
      <c r="D7294" s="58"/>
      <c r="E7294" s="58"/>
      <c r="F7294" s="58"/>
      <c r="G7294" s="58"/>
    </row>
    <row r="7295">
      <c r="D7295" s="58"/>
      <c r="E7295" s="58"/>
      <c r="F7295" s="58"/>
      <c r="G7295" s="58"/>
    </row>
    <row r="7296">
      <c r="D7296" s="58"/>
      <c r="E7296" s="58"/>
      <c r="F7296" s="58"/>
      <c r="G7296" s="58"/>
    </row>
    <row r="7297">
      <c r="D7297" s="58"/>
      <c r="E7297" s="58"/>
      <c r="F7297" s="58"/>
      <c r="G7297" s="58"/>
    </row>
    <row r="7298">
      <c r="D7298" s="58"/>
      <c r="E7298" s="58"/>
      <c r="F7298" s="58"/>
      <c r="G7298" s="58"/>
    </row>
    <row r="7299">
      <c r="D7299" s="58"/>
      <c r="E7299" s="58"/>
      <c r="F7299" s="58"/>
      <c r="G7299" s="58"/>
    </row>
    <row r="7300">
      <c r="D7300" s="58"/>
      <c r="E7300" s="58"/>
      <c r="F7300" s="58"/>
      <c r="G7300" s="58"/>
    </row>
    <row r="7301">
      <c r="D7301" s="58"/>
      <c r="E7301" s="58"/>
      <c r="F7301" s="58"/>
      <c r="G7301" s="58"/>
    </row>
    <row r="7302">
      <c r="D7302" s="58"/>
      <c r="E7302" s="58"/>
      <c r="F7302" s="58"/>
      <c r="G7302" s="58"/>
    </row>
    <row r="7303">
      <c r="D7303" s="58"/>
      <c r="E7303" s="58"/>
      <c r="F7303" s="58"/>
      <c r="G7303" s="58"/>
    </row>
    <row r="7304">
      <c r="D7304" s="58"/>
      <c r="E7304" s="58"/>
      <c r="F7304" s="58"/>
      <c r="G7304" s="58"/>
    </row>
    <row r="7305">
      <c r="D7305" s="58"/>
      <c r="E7305" s="58"/>
      <c r="F7305" s="58"/>
      <c r="G7305" s="58"/>
    </row>
    <row r="7306">
      <c r="D7306" s="58"/>
      <c r="E7306" s="58"/>
      <c r="F7306" s="58"/>
      <c r="G7306" s="58"/>
    </row>
    <row r="7307">
      <c r="D7307" s="58"/>
      <c r="E7307" s="58"/>
      <c r="F7307" s="58"/>
      <c r="G7307" s="58"/>
    </row>
    <row r="7308">
      <c r="D7308" s="58"/>
      <c r="E7308" s="58"/>
      <c r="F7308" s="58"/>
      <c r="G7308" s="58"/>
    </row>
    <row r="7309">
      <c r="D7309" s="58"/>
      <c r="E7309" s="58"/>
      <c r="F7309" s="58"/>
      <c r="G7309" s="58"/>
    </row>
    <row r="7310">
      <c r="D7310" s="58"/>
      <c r="E7310" s="58"/>
      <c r="F7310" s="58"/>
      <c r="G7310" s="58"/>
    </row>
    <row r="7311">
      <c r="D7311" s="58"/>
      <c r="E7311" s="58"/>
      <c r="F7311" s="58"/>
      <c r="G7311" s="58"/>
    </row>
    <row r="7312">
      <c r="D7312" s="58"/>
      <c r="E7312" s="58"/>
      <c r="F7312" s="58"/>
      <c r="G7312" s="58"/>
    </row>
    <row r="7313">
      <c r="D7313" s="58"/>
      <c r="E7313" s="58"/>
      <c r="F7313" s="58"/>
      <c r="G7313" s="58"/>
    </row>
    <row r="7314">
      <c r="D7314" s="58"/>
      <c r="E7314" s="58"/>
      <c r="F7314" s="58"/>
      <c r="G7314" s="58"/>
    </row>
    <row r="7315">
      <c r="D7315" s="58"/>
      <c r="E7315" s="58"/>
      <c r="F7315" s="58"/>
      <c r="G7315" s="58"/>
    </row>
    <row r="7316">
      <c r="D7316" s="58"/>
      <c r="E7316" s="58"/>
      <c r="F7316" s="58"/>
      <c r="G7316" s="58"/>
    </row>
    <row r="7317">
      <c r="D7317" s="58"/>
      <c r="E7317" s="58"/>
      <c r="F7317" s="58"/>
      <c r="G7317" s="58"/>
    </row>
    <row r="7318">
      <c r="D7318" s="58"/>
      <c r="E7318" s="58"/>
      <c r="F7318" s="58"/>
      <c r="G7318" s="58"/>
    </row>
    <row r="7319">
      <c r="D7319" s="58"/>
      <c r="E7319" s="58"/>
      <c r="F7319" s="58"/>
      <c r="G7319" s="58"/>
    </row>
    <row r="7320">
      <c r="D7320" s="58"/>
      <c r="E7320" s="58"/>
      <c r="F7320" s="58"/>
      <c r="G7320" s="58"/>
    </row>
    <row r="7321">
      <c r="D7321" s="58"/>
      <c r="E7321" s="58"/>
      <c r="F7321" s="58"/>
      <c r="G7321" s="58"/>
    </row>
    <row r="7322">
      <c r="D7322" s="58"/>
      <c r="E7322" s="58"/>
      <c r="F7322" s="58"/>
      <c r="G7322" s="58"/>
    </row>
    <row r="7323">
      <c r="D7323" s="58"/>
      <c r="E7323" s="58"/>
      <c r="F7323" s="58"/>
      <c r="G7323" s="58"/>
    </row>
    <row r="7324">
      <c r="D7324" s="58"/>
      <c r="E7324" s="58"/>
      <c r="F7324" s="58"/>
      <c r="G7324" s="58"/>
    </row>
    <row r="7325">
      <c r="D7325" s="58"/>
      <c r="E7325" s="58"/>
      <c r="F7325" s="58"/>
      <c r="G7325" s="58"/>
    </row>
    <row r="7326">
      <c r="D7326" s="58"/>
      <c r="E7326" s="58"/>
      <c r="F7326" s="58"/>
      <c r="G7326" s="58"/>
    </row>
    <row r="7327">
      <c r="D7327" s="58"/>
      <c r="E7327" s="58"/>
      <c r="F7327" s="58"/>
      <c r="G7327" s="58"/>
    </row>
    <row r="7328">
      <c r="D7328" s="58"/>
      <c r="E7328" s="58"/>
      <c r="F7328" s="58"/>
      <c r="G7328" s="58"/>
    </row>
    <row r="7329">
      <c r="D7329" s="58"/>
      <c r="E7329" s="58"/>
      <c r="F7329" s="58"/>
      <c r="G7329" s="58"/>
    </row>
    <row r="7330">
      <c r="D7330" s="58"/>
      <c r="E7330" s="58"/>
      <c r="F7330" s="58"/>
      <c r="G7330" s="58"/>
    </row>
    <row r="7331">
      <c r="D7331" s="58"/>
      <c r="E7331" s="58"/>
      <c r="F7331" s="58"/>
      <c r="G7331" s="58"/>
    </row>
    <row r="7332">
      <c r="D7332" s="58"/>
      <c r="E7332" s="58"/>
      <c r="F7332" s="58"/>
      <c r="G7332" s="58"/>
    </row>
    <row r="7333">
      <c r="D7333" s="58"/>
      <c r="E7333" s="58"/>
      <c r="F7333" s="58"/>
      <c r="G7333" s="58"/>
    </row>
    <row r="7334">
      <c r="D7334" s="58"/>
      <c r="E7334" s="58"/>
      <c r="F7334" s="58"/>
      <c r="G7334" s="58"/>
    </row>
    <row r="7335">
      <c r="D7335" s="58"/>
      <c r="E7335" s="58"/>
      <c r="F7335" s="58"/>
      <c r="G7335" s="58"/>
    </row>
    <row r="7336">
      <c r="D7336" s="58"/>
      <c r="E7336" s="58"/>
      <c r="F7336" s="58"/>
      <c r="G7336" s="58"/>
    </row>
    <row r="7337">
      <c r="D7337" s="58"/>
      <c r="E7337" s="58"/>
      <c r="F7337" s="58"/>
      <c r="G7337" s="58"/>
    </row>
    <row r="7338">
      <c r="D7338" s="58"/>
      <c r="E7338" s="58"/>
      <c r="F7338" s="58"/>
      <c r="G7338" s="58"/>
    </row>
    <row r="7339">
      <c r="D7339" s="58"/>
      <c r="E7339" s="58"/>
      <c r="F7339" s="58"/>
      <c r="G7339" s="58"/>
    </row>
    <row r="7340">
      <c r="D7340" s="58"/>
      <c r="E7340" s="58"/>
      <c r="F7340" s="58"/>
      <c r="G7340" s="58"/>
    </row>
    <row r="7341">
      <c r="D7341" s="58"/>
      <c r="E7341" s="58"/>
      <c r="F7341" s="58"/>
      <c r="G7341" s="58"/>
    </row>
    <row r="7342">
      <c r="D7342" s="58"/>
      <c r="E7342" s="58"/>
      <c r="F7342" s="58"/>
      <c r="G7342" s="58"/>
    </row>
    <row r="7343">
      <c r="D7343" s="58"/>
      <c r="E7343" s="58"/>
      <c r="F7343" s="58"/>
      <c r="G7343" s="58"/>
    </row>
    <row r="7344">
      <c r="D7344" s="58"/>
      <c r="E7344" s="58"/>
      <c r="F7344" s="58"/>
      <c r="G7344" s="58"/>
    </row>
    <row r="7345">
      <c r="D7345" s="58"/>
      <c r="E7345" s="58"/>
      <c r="F7345" s="58"/>
      <c r="G7345" s="58"/>
    </row>
    <row r="7346">
      <c r="D7346" s="58"/>
      <c r="E7346" s="58"/>
      <c r="F7346" s="58"/>
      <c r="G7346" s="58"/>
    </row>
    <row r="7347">
      <c r="D7347" s="58"/>
      <c r="E7347" s="58"/>
      <c r="F7347" s="58"/>
      <c r="G7347" s="58"/>
    </row>
    <row r="7348">
      <c r="D7348" s="58"/>
      <c r="E7348" s="58"/>
      <c r="F7348" s="58"/>
      <c r="G7348" s="58"/>
    </row>
    <row r="7349">
      <c r="D7349" s="58"/>
      <c r="E7349" s="58"/>
      <c r="F7349" s="58"/>
      <c r="G7349" s="58"/>
    </row>
    <row r="7350">
      <c r="D7350" s="58"/>
      <c r="E7350" s="58"/>
      <c r="F7350" s="58"/>
      <c r="G7350" s="58"/>
    </row>
    <row r="7351">
      <c r="D7351" s="58"/>
      <c r="E7351" s="58"/>
      <c r="F7351" s="58"/>
      <c r="G7351" s="58"/>
    </row>
    <row r="7352">
      <c r="D7352" s="58"/>
      <c r="E7352" s="58"/>
      <c r="F7352" s="58"/>
      <c r="G7352" s="58"/>
    </row>
    <row r="7353">
      <c r="D7353" s="58"/>
      <c r="E7353" s="58"/>
      <c r="F7353" s="58"/>
      <c r="G7353" s="58"/>
    </row>
    <row r="7354">
      <c r="D7354" s="58"/>
      <c r="E7354" s="58"/>
      <c r="F7354" s="58"/>
      <c r="G7354" s="58"/>
    </row>
    <row r="7355">
      <c r="D7355" s="58"/>
      <c r="E7355" s="58"/>
      <c r="F7355" s="58"/>
      <c r="G7355" s="58"/>
    </row>
    <row r="7356">
      <c r="D7356" s="58"/>
      <c r="E7356" s="58"/>
      <c r="F7356" s="58"/>
      <c r="G7356" s="58"/>
    </row>
    <row r="7357">
      <c r="D7357" s="58"/>
      <c r="E7357" s="58"/>
      <c r="F7357" s="58"/>
      <c r="G7357" s="58"/>
    </row>
    <row r="7358">
      <c r="D7358" s="58"/>
      <c r="E7358" s="58"/>
      <c r="F7358" s="58"/>
      <c r="G7358" s="58"/>
    </row>
    <row r="7359">
      <c r="D7359" s="58"/>
      <c r="E7359" s="58"/>
      <c r="F7359" s="58"/>
      <c r="G7359" s="58"/>
    </row>
    <row r="7360">
      <c r="D7360" s="58"/>
      <c r="E7360" s="58"/>
      <c r="F7360" s="58"/>
      <c r="G7360" s="58"/>
    </row>
    <row r="7361">
      <c r="D7361" s="58"/>
      <c r="E7361" s="58"/>
      <c r="F7361" s="58"/>
      <c r="G7361" s="58"/>
    </row>
    <row r="7362">
      <c r="D7362" s="58"/>
      <c r="E7362" s="58"/>
      <c r="F7362" s="58"/>
      <c r="G7362" s="58"/>
    </row>
    <row r="7363">
      <c r="D7363" s="58"/>
      <c r="E7363" s="58"/>
      <c r="F7363" s="58"/>
      <c r="G7363" s="58"/>
    </row>
    <row r="7364">
      <c r="D7364" s="58"/>
      <c r="E7364" s="58"/>
      <c r="F7364" s="58"/>
      <c r="G7364" s="58"/>
    </row>
    <row r="7365">
      <c r="D7365" s="58"/>
      <c r="E7365" s="58"/>
      <c r="F7365" s="58"/>
      <c r="G7365" s="58"/>
    </row>
    <row r="7366">
      <c r="D7366" s="58"/>
      <c r="E7366" s="58"/>
      <c r="F7366" s="58"/>
      <c r="G7366" s="58"/>
    </row>
    <row r="7367">
      <c r="D7367" s="58"/>
      <c r="E7367" s="58"/>
      <c r="F7367" s="58"/>
      <c r="G7367" s="58"/>
    </row>
    <row r="7368">
      <c r="D7368" s="58"/>
      <c r="E7368" s="58"/>
      <c r="F7368" s="58"/>
      <c r="G7368" s="58"/>
    </row>
    <row r="7369">
      <c r="D7369" s="58"/>
      <c r="E7369" s="58"/>
      <c r="F7369" s="58"/>
      <c r="G7369" s="58"/>
    </row>
    <row r="7370">
      <c r="D7370" s="58"/>
      <c r="E7370" s="58"/>
      <c r="F7370" s="58"/>
      <c r="G7370" s="58"/>
    </row>
    <row r="7371">
      <c r="D7371" s="58"/>
      <c r="E7371" s="58"/>
      <c r="F7371" s="58"/>
      <c r="G7371" s="58"/>
    </row>
    <row r="7372">
      <c r="D7372" s="58"/>
      <c r="E7372" s="58"/>
      <c r="F7372" s="58"/>
      <c r="G7372" s="58"/>
    </row>
    <row r="7373">
      <c r="D7373" s="58"/>
      <c r="E7373" s="58"/>
      <c r="F7373" s="58"/>
      <c r="G7373" s="58"/>
    </row>
    <row r="7374">
      <c r="D7374" s="58"/>
      <c r="E7374" s="58"/>
      <c r="F7374" s="58"/>
      <c r="G7374" s="58"/>
    </row>
    <row r="7375">
      <c r="D7375" s="58"/>
      <c r="E7375" s="58"/>
      <c r="F7375" s="58"/>
      <c r="G7375" s="58"/>
    </row>
    <row r="7376">
      <c r="D7376" s="58"/>
      <c r="E7376" s="58"/>
      <c r="F7376" s="58"/>
      <c r="G7376" s="58"/>
    </row>
    <row r="7377">
      <c r="D7377" s="58"/>
      <c r="E7377" s="58"/>
      <c r="F7377" s="58"/>
      <c r="G7377" s="58"/>
    </row>
    <row r="7378">
      <c r="D7378" s="58"/>
      <c r="E7378" s="58"/>
      <c r="F7378" s="58"/>
      <c r="G7378" s="58"/>
    </row>
    <row r="7379">
      <c r="D7379" s="58"/>
      <c r="E7379" s="58"/>
      <c r="F7379" s="58"/>
      <c r="G7379" s="58"/>
    </row>
    <row r="7380">
      <c r="D7380" s="58"/>
      <c r="E7380" s="58"/>
      <c r="F7380" s="58"/>
      <c r="G7380" s="58"/>
    </row>
    <row r="7381">
      <c r="D7381" s="58"/>
      <c r="E7381" s="58"/>
      <c r="F7381" s="58"/>
      <c r="G7381" s="58"/>
    </row>
    <row r="7382">
      <c r="D7382" s="58"/>
      <c r="E7382" s="58"/>
      <c r="F7382" s="58"/>
      <c r="G7382" s="58"/>
    </row>
    <row r="7383">
      <c r="D7383" s="58"/>
      <c r="E7383" s="58"/>
      <c r="F7383" s="58"/>
      <c r="G7383" s="58"/>
    </row>
    <row r="7384">
      <c r="D7384" s="58"/>
      <c r="E7384" s="58"/>
      <c r="F7384" s="58"/>
      <c r="G7384" s="58"/>
    </row>
    <row r="7385">
      <c r="D7385" s="58"/>
      <c r="E7385" s="58"/>
      <c r="F7385" s="58"/>
      <c r="G7385" s="58"/>
    </row>
    <row r="7386">
      <c r="D7386" s="58"/>
      <c r="E7386" s="58"/>
      <c r="F7386" s="58"/>
      <c r="G7386" s="58"/>
    </row>
    <row r="7387">
      <c r="D7387" s="58"/>
      <c r="E7387" s="58"/>
      <c r="F7387" s="58"/>
      <c r="G7387" s="58"/>
    </row>
    <row r="7388">
      <c r="D7388" s="58"/>
      <c r="E7388" s="58"/>
      <c r="F7388" s="58"/>
      <c r="G7388" s="58"/>
    </row>
    <row r="7389">
      <c r="D7389" s="58"/>
      <c r="E7389" s="58"/>
      <c r="F7389" s="58"/>
      <c r="G7389" s="58"/>
    </row>
    <row r="7390">
      <c r="D7390" s="58"/>
      <c r="E7390" s="58"/>
      <c r="F7390" s="58"/>
      <c r="G7390" s="58"/>
    </row>
    <row r="7391">
      <c r="D7391" s="58"/>
      <c r="E7391" s="58"/>
      <c r="F7391" s="58"/>
      <c r="G7391" s="58"/>
    </row>
    <row r="7392">
      <c r="D7392" s="58"/>
      <c r="E7392" s="58"/>
      <c r="F7392" s="58"/>
      <c r="G7392" s="58"/>
    </row>
    <row r="7393">
      <c r="D7393" s="58"/>
      <c r="E7393" s="58"/>
      <c r="F7393" s="58"/>
      <c r="G7393" s="58"/>
    </row>
    <row r="7394">
      <c r="D7394" s="58"/>
      <c r="E7394" s="58"/>
      <c r="F7394" s="58"/>
      <c r="G7394" s="58"/>
    </row>
    <row r="7395">
      <c r="D7395" s="58"/>
      <c r="E7395" s="58"/>
      <c r="F7395" s="58"/>
      <c r="G7395" s="58"/>
    </row>
    <row r="7396">
      <c r="D7396" s="58"/>
      <c r="E7396" s="58"/>
      <c r="F7396" s="58"/>
      <c r="G7396" s="58"/>
    </row>
    <row r="7397">
      <c r="D7397" s="58"/>
      <c r="E7397" s="58"/>
      <c r="F7397" s="58"/>
      <c r="G7397" s="58"/>
    </row>
    <row r="7398">
      <c r="D7398" s="58"/>
      <c r="E7398" s="58"/>
      <c r="F7398" s="58"/>
      <c r="G7398" s="58"/>
    </row>
    <row r="7399">
      <c r="D7399" s="58"/>
      <c r="E7399" s="58"/>
      <c r="F7399" s="58"/>
      <c r="G7399" s="58"/>
    </row>
    <row r="7400">
      <c r="D7400" s="58"/>
      <c r="E7400" s="58"/>
      <c r="F7400" s="58"/>
      <c r="G7400" s="58"/>
    </row>
    <row r="7401">
      <c r="D7401" s="58"/>
      <c r="E7401" s="58"/>
      <c r="F7401" s="58"/>
      <c r="G7401" s="58"/>
    </row>
    <row r="7402">
      <c r="D7402" s="58"/>
      <c r="E7402" s="58"/>
      <c r="F7402" s="58"/>
      <c r="G7402" s="58"/>
    </row>
    <row r="7403">
      <c r="D7403" s="58"/>
      <c r="E7403" s="58"/>
      <c r="F7403" s="58"/>
      <c r="G7403" s="58"/>
    </row>
    <row r="7404">
      <c r="D7404" s="58"/>
      <c r="E7404" s="58"/>
      <c r="F7404" s="58"/>
      <c r="G7404" s="58"/>
    </row>
    <row r="7405">
      <c r="D7405" s="58"/>
      <c r="E7405" s="58"/>
      <c r="F7405" s="58"/>
      <c r="G7405" s="58"/>
    </row>
    <row r="7406">
      <c r="D7406" s="58"/>
      <c r="E7406" s="58"/>
      <c r="F7406" s="58"/>
      <c r="G7406" s="58"/>
    </row>
    <row r="7407">
      <c r="D7407" s="58"/>
      <c r="E7407" s="58"/>
      <c r="F7407" s="58"/>
      <c r="G7407" s="58"/>
    </row>
    <row r="7408">
      <c r="D7408" s="58"/>
      <c r="E7408" s="58"/>
      <c r="F7408" s="58"/>
      <c r="G7408" s="58"/>
    </row>
    <row r="7409">
      <c r="D7409" s="58"/>
      <c r="E7409" s="58"/>
      <c r="F7409" s="58"/>
      <c r="G7409" s="58"/>
    </row>
    <row r="7410">
      <c r="D7410" s="58"/>
      <c r="E7410" s="58"/>
      <c r="F7410" s="58"/>
      <c r="G7410" s="58"/>
    </row>
    <row r="7411">
      <c r="D7411" s="58"/>
      <c r="E7411" s="58"/>
      <c r="F7411" s="58"/>
      <c r="G7411" s="58"/>
    </row>
    <row r="7412">
      <c r="D7412" s="58"/>
      <c r="E7412" s="58"/>
      <c r="F7412" s="58"/>
      <c r="G7412" s="58"/>
    </row>
    <row r="7413">
      <c r="D7413" s="58"/>
      <c r="E7413" s="58"/>
      <c r="F7413" s="58"/>
      <c r="G7413" s="58"/>
    </row>
    <row r="7414">
      <c r="D7414" s="58"/>
      <c r="E7414" s="58"/>
      <c r="F7414" s="58"/>
      <c r="G7414" s="58"/>
    </row>
    <row r="7415">
      <c r="D7415" s="58"/>
      <c r="E7415" s="58"/>
      <c r="F7415" s="58"/>
      <c r="G7415" s="58"/>
    </row>
    <row r="7416">
      <c r="D7416" s="58"/>
      <c r="E7416" s="58"/>
      <c r="F7416" s="58"/>
      <c r="G7416" s="58"/>
    </row>
    <row r="7417">
      <c r="D7417" s="58"/>
      <c r="E7417" s="58"/>
      <c r="F7417" s="58"/>
      <c r="G7417" s="58"/>
    </row>
    <row r="7418">
      <c r="D7418" s="58"/>
      <c r="E7418" s="58"/>
      <c r="F7418" s="58"/>
      <c r="G7418" s="58"/>
    </row>
    <row r="7419">
      <c r="D7419" s="58"/>
      <c r="E7419" s="58"/>
      <c r="F7419" s="58"/>
      <c r="G7419" s="58"/>
    </row>
    <row r="7420">
      <c r="D7420" s="58"/>
      <c r="E7420" s="58"/>
      <c r="F7420" s="58"/>
      <c r="G7420" s="58"/>
    </row>
    <row r="7421">
      <c r="D7421" s="58"/>
      <c r="E7421" s="58"/>
      <c r="F7421" s="58"/>
      <c r="G7421" s="58"/>
    </row>
    <row r="7422">
      <c r="D7422" s="58"/>
      <c r="E7422" s="58"/>
      <c r="F7422" s="58"/>
      <c r="G7422" s="58"/>
    </row>
    <row r="7423">
      <c r="D7423" s="58"/>
      <c r="E7423" s="58"/>
      <c r="F7423" s="58"/>
      <c r="G7423" s="58"/>
    </row>
    <row r="7424">
      <c r="D7424" s="58"/>
      <c r="E7424" s="58"/>
      <c r="F7424" s="58"/>
      <c r="G7424" s="58"/>
    </row>
    <row r="7425">
      <c r="D7425" s="58"/>
      <c r="E7425" s="58"/>
      <c r="F7425" s="58"/>
      <c r="G7425" s="58"/>
    </row>
    <row r="7426">
      <c r="D7426" s="58"/>
      <c r="E7426" s="58"/>
      <c r="F7426" s="58"/>
      <c r="G7426" s="58"/>
    </row>
    <row r="7427">
      <c r="D7427" s="58"/>
      <c r="E7427" s="58"/>
      <c r="F7427" s="58"/>
      <c r="G7427" s="58"/>
    </row>
    <row r="7428">
      <c r="D7428" s="58"/>
      <c r="E7428" s="58"/>
      <c r="F7428" s="58"/>
      <c r="G7428" s="58"/>
    </row>
    <row r="7429">
      <c r="D7429" s="58"/>
      <c r="E7429" s="58"/>
      <c r="F7429" s="58"/>
      <c r="G7429" s="58"/>
    </row>
    <row r="7430">
      <c r="D7430" s="58"/>
      <c r="E7430" s="58"/>
      <c r="F7430" s="58"/>
      <c r="G7430" s="58"/>
    </row>
    <row r="7431">
      <c r="D7431" s="58"/>
      <c r="E7431" s="58"/>
      <c r="F7431" s="58"/>
      <c r="G7431" s="58"/>
    </row>
    <row r="7432">
      <c r="D7432" s="58"/>
      <c r="E7432" s="58"/>
      <c r="F7432" s="58"/>
      <c r="G7432" s="58"/>
    </row>
    <row r="7433">
      <c r="D7433" s="58"/>
      <c r="E7433" s="58"/>
      <c r="F7433" s="58"/>
      <c r="G7433" s="58"/>
    </row>
    <row r="7434">
      <c r="D7434" s="58"/>
      <c r="E7434" s="58"/>
      <c r="F7434" s="58"/>
      <c r="G7434" s="58"/>
    </row>
    <row r="7435">
      <c r="D7435" s="58"/>
      <c r="E7435" s="58"/>
      <c r="F7435" s="58"/>
      <c r="G7435" s="58"/>
    </row>
    <row r="7436">
      <c r="D7436" s="58"/>
      <c r="E7436" s="58"/>
      <c r="F7436" s="58"/>
      <c r="G7436" s="58"/>
    </row>
    <row r="7437">
      <c r="D7437" s="58"/>
      <c r="E7437" s="58"/>
      <c r="F7437" s="58"/>
      <c r="G7437" s="58"/>
    </row>
    <row r="7438">
      <c r="D7438" s="58"/>
      <c r="E7438" s="58"/>
      <c r="F7438" s="58"/>
      <c r="G7438" s="58"/>
    </row>
    <row r="7439">
      <c r="D7439" s="58"/>
      <c r="E7439" s="58"/>
      <c r="F7439" s="58"/>
      <c r="G7439" s="58"/>
    </row>
    <row r="7440">
      <c r="D7440" s="58"/>
      <c r="E7440" s="58"/>
      <c r="F7440" s="58"/>
      <c r="G7440" s="58"/>
    </row>
    <row r="7441">
      <c r="D7441" s="58"/>
      <c r="E7441" s="58"/>
      <c r="F7441" s="58"/>
      <c r="G7441" s="58"/>
    </row>
    <row r="7442">
      <c r="D7442" s="58"/>
      <c r="E7442" s="58"/>
      <c r="F7442" s="58"/>
      <c r="G7442" s="58"/>
    </row>
    <row r="7443">
      <c r="D7443" s="58"/>
      <c r="E7443" s="58"/>
      <c r="F7443" s="58"/>
      <c r="G7443" s="58"/>
    </row>
    <row r="7444">
      <c r="D7444" s="58"/>
      <c r="E7444" s="58"/>
      <c r="F7444" s="58"/>
      <c r="G7444" s="58"/>
    </row>
    <row r="7445">
      <c r="D7445" s="58"/>
      <c r="E7445" s="58"/>
      <c r="F7445" s="58"/>
      <c r="G7445" s="58"/>
    </row>
    <row r="7446">
      <c r="D7446" s="58"/>
      <c r="E7446" s="58"/>
      <c r="F7446" s="58"/>
      <c r="G7446" s="58"/>
    </row>
    <row r="7447">
      <c r="D7447" s="58"/>
      <c r="E7447" s="58"/>
      <c r="F7447" s="58"/>
      <c r="G7447" s="58"/>
    </row>
    <row r="7448">
      <c r="D7448" s="58"/>
      <c r="E7448" s="58"/>
      <c r="F7448" s="58"/>
      <c r="G7448" s="58"/>
    </row>
    <row r="7449">
      <c r="D7449" s="58"/>
      <c r="E7449" s="58"/>
      <c r="F7449" s="58"/>
      <c r="G7449" s="58"/>
    </row>
    <row r="7450">
      <c r="D7450" s="58"/>
      <c r="E7450" s="58"/>
      <c r="F7450" s="58"/>
      <c r="G7450" s="58"/>
    </row>
    <row r="7451">
      <c r="D7451" s="58"/>
      <c r="E7451" s="58"/>
      <c r="F7451" s="58"/>
      <c r="G7451" s="58"/>
    </row>
    <row r="7452">
      <c r="D7452" s="58"/>
      <c r="E7452" s="58"/>
      <c r="F7452" s="58"/>
      <c r="G7452" s="58"/>
    </row>
    <row r="7453">
      <c r="D7453" s="58"/>
      <c r="E7453" s="58"/>
      <c r="F7453" s="58"/>
      <c r="G7453" s="58"/>
    </row>
    <row r="7454">
      <c r="D7454" s="58"/>
      <c r="E7454" s="58"/>
      <c r="F7454" s="58"/>
      <c r="G7454" s="58"/>
    </row>
    <row r="7455">
      <c r="D7455" s="58"/>
      <c r="E7455" s="58"/>
      <c r="F7455" s="58"/>
      <c r="G7455" s="58"/>
    </row>
    <row r="7456">
      <c r="D7456" s="58"/>
      <c r="E7456" s="58"/>
      <c r="F7456" s="58"/>
      <c r="G7456" s="58"/>
    </row>
    <row r="7457">
      <c r="D7457" s="58"/>
      <c r="E7457" s="58"/>
      <c r="F7457" s="58"/>
      <c r="G7457" s="58"/>
    </row>
    <row r="7458">
      <c r="D7458" s="58"/>
      <c r="E7458" s="58"/>
      <c r="F7458" s="58"/>
      <c r="G7458" s="58"/>
    </row>
    <row r="7459">
      <c r="D7459" s="58"/>
      <c r="E7459" s="58"/>
      <c r="F7459" s="58"/>
      <c r="G7459" s="58"/>
    </row>
    <row r="7460">
      <c r="D7460" s="58"/>
      <c r="E7460" s="58"/>
      <c r="F7460" s="58"/>
      <c r="G7460" s="58"/>
    </row>
    <row r="7461">
      <c r="D7461" s="58"/>
      <c r="E7461" s="58"/>
      <c r="F7461" s="58"/>
      <c r="G7461" s="58"/>
    </row>
    <row r="7462">
      <c r="D7462" s="58"/>
      <c r="E7462" s="58"/>
      <c r="F7462" s="58"/>
      <c r="G7462" s="58"/>
    </row>
    <row r="7463">
      <c r="D7463" s="58"/>
      <c r="E7463" s="58"/>
      <c r="F7463" s="58"/>
      <c r="G7463" s="58"/>
    </row>
    <row r="7464">
      <c r="D7464" s="58"/>
      <c r="E7464" s="58"/>
      <c r="F7464" s="58"/>
      <c r="G7464" s="58"/>
    </row>
    <row r="7465">
      <c r="D7465" s="58"/>
      <c r="E7465" s="58"/>
      <c r="F7465" s="58"/>
      <c r="G7465" s="58"/>
    </row>
    <row r="7466">
      <c r="D7466" s="58"/>
      <c r="E7466" s="58"/>
      <c r="F7466" s="58"/>
      <c r="G7466" s="58"/>
    </row>
    <row r="7467">
      <c r="D7467" s="58"/>
      <c r="E7467" s="58"/>
      <c r="F7467" s="58"/>
      <c r="G7467" s="58"/>
    </row>
    <row r="7468">
      <c r="D7468" s="58"/>
      <c r="E7468" s="58"/>
      <c r="F7468" s="58"/>
      <c r="G7468" s="58"/>
    </row>
    <row r="7469">
      <c r="D7469" s="58"/>
      <c r="E7469" s="58"/>
      <c r="F7469" s="58"/>
      <c r="G7469" s="58"/>
    </row>
    <row r="7470">
      <c r="D7470" s="58"/>
      <c r="E7470" s="58"/>
      <c r="F7470" s="58"/>
      <c r="G7470" s="58"/>
    </row>
    <row r="7471">
      <c r="D7471" s="58"/>
      <c r="E7471" s="58"/>
      <c r="F7471" s="58"/>
      <c r="G7471" s="58"/>
    </row>
    <row r="7472">
      <c r="D7472" s="58"/>
      <c r="E7472" s="58"/>
      <c r="F7472" s="58"/>
      <c r="G7472" s="58"/>
    </row>
    <row r="7473">
      <c r="D7473" s="58"/>
      <c r="E7473" s="58"/>
      <c r="F7473" s="58"/>
      <c r="G7473" s="58"/>
    </row>
    <row r="7474">
      <c r="D7474" s="58"/>
      <c r="E7474" s="58"/>
      <c r="F7474" s="58"/>
      <c r="G7474" s="58"/>
    </row>
    <row r="7475">
      <c r="D7475" s="58"/>
      <c r="E7475" s="58"/>
      <c r="F7475" s="58"/>
      <c r="G7475" s="58"/>
    </row>
    <row r="7476">
      <c r="D7476" s="58"/>
      <c r="E7476" s="58"/>
      <c r="F7476" s="58"/>
      <c r="G7476" s="58"/>
    </row>
    <row r="7477">
      <c r="D7477" s="58"/>
      <c r="E7477" s="58"/>
      <c r="F7477" s="58"/>
      <c r="G7477" s="58"/>
    </row>
    <row r="7478">
      <c r="D7478" s="58"/>
      <c r="E7478" s="58"/>
      <c r="F7478" s="58"/>
      <c r="G7478" s="58"/>
    </row>
    <row r="7479">
      <c r="D7479" s="58"/>
      <c r="E7479" s="58"/>
      <c r="F7479" s="58"/>
      <c r="G7479" s="58"/>
    </row>
    <row r="7480">
      <c r="D7480" s="58"/>
      <c r="E7480" s="58"/>
      <c r="F7480" s="58"/>
      <c r="G7480" s="58"/>
    </row>
    <row r="7481">
      <c r="D7481" s="58"/>
      <c r="E7481" s="58"/>
      <c r="F7481" s="58"/>
      <c r="G7481" s="58"/>
    </row>
    <row r="7482">
      <c r="D7482" s="58"/>
      <c r="E7482" s="58"/>
      <c r="F7482" s="58"/>
      <c r="G7482" s="58"/>
    </row>
    <row r="7483">
      <c r="D7483" s="58"/>
      <c r="E7483" s="58"/>
      <c r="F7483" s="58"/>
      <c r="G7483" s="58"/>
    </row>
    <row r="7484">
      <c r="D7484" s="58"/>
      <c r="E7484" s="58"/>
      <c r="F7484" s="58"/>
      <c r="G7484" s="58"/>
    </row>
    <row r="7485">
      <c r="D7485" s="58"/>
      <c r="E7485" s="58"/>
      <c r="F7485" s="58"/>
      <c r="G7485" s="58"/>
    </row>
    <row r="7486">
      <c r="D7486" s="58"/>
      <c r="E7486" s="58"/>
      <c r="F7486" s="58"/>
      <c r="G7486" s="58"/>
    </row>
    <row r="7487">
      <c r="D7487" s="58"/>
      <c r="E7487" s="58"/>
      <c r="F7487" s="58"/>
      <c r="G7487" s="58"/>
    </row>
    <row r="7488">
      <c r="D7488" s="58"/>
      <c r="E7488" s="58"/>
      <c r="F7488" s="58"/>
      <c r="G7488" s="58"/>
    </row>
    <row r="7489">
      <c r="D7489" s="58"/>
      <c r="E7489" s="58"/>
      <c r="F7489" s="58"/>
      <c r="G7489" s="58"/>
    </row>
    <row r="7490">
      <c r="D7490" s="58"/>
      <c r="E7490" s="58"/>
      <c r="F7490" s="58"/>
      <c r="G7490" s="58"/>
    </row>
    <row r="7491">
      <c r="D7491" s="58"/>
      <c r="E7491" s="58"/>
      <c r="F7491" s="58"/>
      <c r="G7491" s="58"/>
    </row>
    <row r="7492">
      <c r="D7492" s="58"/>
      <c r="E7492" s="58"/>
      <c r="F7492" s="58"/>
      <c r="G7492" s="58"/>
    </row>
    <row r="7493">
      <c r="D7493" s="58"/>
      <c r="E7493" s="58"/>
      <c r="F7493" s="58"/>
      <c r="G7493" s="58"/>
    </row>
    <row r="7494">
      <c r="D7494" s="58"/>
      <c r="E7494" s="58"/>
      <c r="F7494" s="58"/>
      <c r="G7494" s="58"/>
    </row>
    <row r="7495">
      <c r="D7495" s="58"/>
      <c r="E7495" s="58"/>
      <c r="F7495" s="58"/>
      <c r="G7495" s="58"/>
    </row>
    <row r="7496">
      <c r="D7496" s="58"/>
      <c r="E7496" s="58"/>
      <c r="F7496" s="58"/>
      <c r="G7496" s="58"/>
    </row>
    <row r="7497">
      <c r="D7497" s="58"/>
      <c r="E7497" s="58"/>
      <c r="F7497" s="58"/>
      <c r="G7497" s="58"/>
    </row>
    <row r="7498">
      <c r="D7498" s="58"/>
      <c r="E7498" s="58"/>
      <c r="F7498" s="58"/>
      <c r="G7498" s="58"/>
    </row>
    <row r="7499">
      <c r="D7499" s="58"/>
      <c r="E7499" s="58"/>
      <c r="F7499" s="58"/>
      <c r="G7499" s="58"/>
    </row>
    <row r="7500">
      <c r="D7500" s="58"/>
      <c r="E7500" s="58"/>
      <c r="F7500" s="58"/>
      <c r="G7500" s="58"/>
    </row>
    <row r="7501">
      <c r="D7501" s="58"/>
      <c r="E7501" s="58"/>
      <c r="F7501" s="58"/>
      <c r="G7501" s="58"/>
    </row>
    <row r="7502">
      <c r="D7502" s="58"/>
      <c r="E7502" s="58"/>
      <c r="F7502" s="58"/>
      <c r="G7502" s="58"/>
    </row>
    <row r="7503">
      <c r="D7503" s="58"/>
      <c r="E7503" s="58"/>
      <c r="F7503" s="58"/>
      <c r="G7503" s="58"/>
    </row>
    <row r="7504">
      <c r="D7504" s="58"/>
      <c r="E7504" s="58"/>
      <c r="F7504" s="58"/>
      <c r="G7504" s="58"/>
    </row>
    <row r="7505">
      <c r="D7505" s="58"/>
      <c r="E7505" s="58"/>
      <c r="F7505" s="58"/>
      <c r="G7505" s="58"/>
    </row>
    <row r="7506">
      <c r="D7506" s="58"/>
      <c r="E7506" s="58"/>
      <c r="F7506" s="58"/>
      <c r="G7506" s="58"/>
    </row>
    <row r="7507">
      <c r="D7507" s="58"/>
      <c r="E7507" s="58"/>
      <c r="F7507" s="58"/>
      <c r="G7507" s="58"/>
    </row>
    <row r="7508">
      <c r="D7508" s="58"/>
      <c r="E7508" s="58"/>
      <c r="F7508" s="58"/>
      <c r="G7508" s="58"/>
    </row>
    <row r="7509">
      <c r="D7509" s="58"/>
      <c r="E7509" s="58"/>
      <c r="F7509" s="58"/>
      <c r="G7509" s="58"/>
    </row>
    <row r="7510">
      <c r="D7510" s="58"/>
      <c r="E7510" s="58"/>
      <c r="F7510" s="58"/>
      <c r="G7510" s="58"/>
    </row>
    <row r="7511">
      <c r="D7511" s="58"/>
      <c r="E7511" s="58"/>
      <c r="F7511" s="58"/>
      <c r="G7511" s="58"/>
    </row>
    <row r="7512">
      <c r="D7512" s="58"/>
      <c r="E7512" s="58"/>
      <c r="F7512" s="58"/>
      <c r="G7512" s="58"/>
    </row>
    <row r="7513">
      <c r="D7513" s="58"/>
      <c r="E7513" s="58"/>
      <c r="F7513" s="58"/>
      <c r="G7513" s="58"/>
    </row>
    <row r="7514">
      <c r="D7514" s="58"/>
      <c r="E7514" s="58"/>
      <c r="F7514" s="58"/>
      <c r="G7514" s="58"/>
    </row>
    <row r="7515">
      <c r="D7515" s="58"/>
      <c r="E7515" s="58"/>
      <c r="F7515" s="58"/>
      <c r="G7515" s="58"/>
    </row>
    <row r="7516">
      <c r="D7516" s="58"/>
      <c r="E7516" s="58"/>
      <c r="F7516" s="58"/>
      <c r="G7516" s="58"/>
    </row>
    <row r="7517">
      <c r="D7517" s="58"/>
      <c r="E7517" s="58"/>
      <c r="F7517" s="58"/>
      <c r="G7517" s="58"/>
    </row>
    <row r="7518">
      <c r="D7518" s="58"/>
      <c r="E7518" s="58"/>
      <c r="F7518" s="58"/>
      <c r="G7518" s="58"/>
    </row>
    <row r="7519">
      <c r="D7519" s="58"/>
      <c r="E7519" s="58"/>
      <c r="F7519" s="58"/>
      <c r="G7519" s="58"/>
    </row>
    <row r="7520">
      <c r="D7520" s="58"/>
      <c r="E7520" s="58"/>
      <c r="F7520" s="58"/>
      <c r="G7520" s="58"/>
    </row>
    <row r="7521">
      <c r="D7521" s="58"/>
      <c r="E7521" s="58"/>
      <c r="F7521" s="58"/>
      <c r="G7521" s="58"/>
    </row>
    <row r="7522">
      <c r="D7522" s="58"/>
      <c r="E7522" s="58"/>
      <c r="F7522" s="58"/>
      <c r="G7522" s="58"/>
    </row>
    <row r="7523">
      <c r="D7523" s="58"/>
      <c r="E7523" s="58"/>
      <c r="F7523" s="58"/>
      <c r="G7523" s="58"/>
    </row>
    <row r="7524">
      <c r="D7524" s="58"/>
      <c r="E7524" s="58"/>
      <c r="F7524" s="58"/>
      <c r="G7524" s="58"/>
    </row>
    <row r="7525">
      <c r="D7525" s="58"/>
      <c r="E7525" s="58"/>
      <c r="F7525" s="58"/>
      <c r="G7525" s="58"/>
    </row>
    <row r="7526">
      <c r="D7526" s="58"/>
      <c r="E7526" s="58"/>
      <c r="F7526" s="58"/>
      <c r="G7526" s="58"/>
    </row>
    <row r="7527">
      <c r="D7527" s="58"/>
      <c r="E7527" s="58"/>
      <c r="F7527" s="58"/>
      <c r="G7527" s="58"/>
    </row>
    <row r="7528">
      <c r="D7528" s="58"/>
      <c r="E7528" s="58"/>
      <c r="F7528" s="58"/>
      <c r="G7528" s="58"/>
    </row>
    <row r="7529">
      <c r="D7529" s="58"/>
      <c r="E7529" s="58"/>
      <c r="F7529" s="58"/>
      <c r="G7529" s="58"/>
    </row>
    <row r="7530">
      <c r="D7530" s="58"/>
      <c r="E7530" s="58"/>
      <c r="F7530" s="58"/>
      <c r="G7530" s="58"/>
    </row>
    <row r="7531">
      <c r="D7531" s="58"/>
      <c r="E7531" s="58"/>
      <c r="F7531" s="58"/>
      <c r="G7531" s="58"/>
    </row>
    <row r="7532">
      <c r="D7532" s="58"/>
      <c r="E7532" s="58"/>
      <c r="F7532" s="58"/>
      <c r="G7532" s="58"/>
    </row>
    <row r="7533">
      <c r="D7533" s="58"/>
      <c r="E7533" s="58"/>
      <c r="F7533" s="58"/>
      <c r="G7533" s="58"/>
    </row>
    <row r="7534">
      <c r="D7534" s="58"/>
      <c r="E7534" s="58"/>
      <c r="F7534" s="58"/>
      <c r="G7534" s="58"/>
    </row>
    <row r="7535">
      <c r="D7535" s="58"/>
      <c r="E7535" s="58"/>
      <c r="F7535" s="58"/>
      <c r="G7535" s="58"/>
    </row>
    <row r="7536">
      <c r="D7536" s="58"/>
      <c r="E7536" s="58"/>
      <c r="F7536" s="58"/>
      <c r="G7536" s="58"/>
    </row>
    <row r="7537">
      <c r="D7537" s="58"/>
      <c r="E7537" s="58"/>
      <c r="F7537" s="58"/>
      <c r="G7537" s="58"/>
    </row>
    <row r="7538">
      <c r="D7538" s="58"/>
      <c r="E7538" s="58"/>
      <c r="F7538" s="58"/>
      <c r="G7538" s="58"/>
    </row>
    <row r="7539">
      <c r="D7539" s="58"/>
      <c r="E7539" s="58"/>
      <c r="F7539" s="58"/>
      <c r="G7539" s="58"/>
    </row>
    <row r="7540">
      <c r="D7540" s="58"/>
      <c r="E7540" s="58"/>
      <c r="F7540" s="58"/>
      <c r="G7540" s="58"/>
    </row>
    <row r="7541">
      <c r="D7541" s="58"/>
      <c r="E7541" s="58"/>
      <c r="F7541" s="58"/>
      <c r="G7541" s="58"/>
    </row>
    <row r="7542">
      <c r="D7542" s="58"/>
      <c r="E7542" s="58"/>
      <c r="F7542" s="58"/>
      <c r="G7542" s="58"/>
    </row>
    <row r="7543">
      <c r="D7543" s="58"/>
      <c r="E7543" s="58"/>
      <c r="F7543" s="58"/>
      <c r="G7543" s="58"/>
    </row>
    <row r="7544">
      <c r="D7544" s="58"/>
      <c r="E7544" s="58"/>
      <c r="F7544" s="58"/>
      <c r="G7544" s="58"/>
    </row>
    <row r="7545">
      <c r="D7545" s="58"/>
      <c r="E7545" s="58"/>
      <c r="F7545" s="58"/>
      <c r="G7545" s="58"/>
    </row>
    <row r="7546">
      <c r="D7546" s="58"/>
      <c r="E7546" s="58"/>
      <c r="F7546" s="58"/>
      <c r="G7546" s="58"/>
    </row>
    <row r="7547">
      <c r="D7547" s="58"/>
      <c r="E7547" s="58"/>
      <c r="F7547" s="58"/>
      <c r="G7547" s="58"/>
    </row>
    <row r="7548">
      <c r="D7548" s="58"/>
      <c r="E7548" s="58"/>
      <c r="F7548" s="58"/>
      <c r="G7548" s="58"/>
    </row>
    <row r="7549">
      <c r="D7549" s="58"/>
      <c r="E7549" s="58"/>
      <c r="F7549" s="58"/>
      <c r="G7549" s="58"/>
    </row>
    <row r="7550">
      <c r="D7550" s="58"/>
      <c r="E7550" s="58"/>
      <c r="F7550" s="58"/>
      <c r="G7550" s="58"/>
    </row>
    <row r="7551">
      <c r="D7551" s="58"/>
      <c r="E7551" s="58"/>
      <c r="F7551" s="58"/>
      <c r="G7551" s="58"/>
    </row>
    <row r="7552">
      <c r="D7552" s="58"/>
      <c r="E7552" s="58"/>
      <c r="F7552" s="58"/>
      <c r="G7552" s="58"/>
    </row>
    <row r="7553">
      <c r="D7553" s="58"/>
      <c r="E7553" s="58"/>
      <c r="F7553" s="58"/>
      <c r="G7553" s="58"/>
    </row>
    <row r="7554">
      <c r="D7554" s="58"/>
      <c r="E7554" s="58"/>
      <c r="F7554" s="58"/>
      <c r="G7554" s="58"/>
    </row>
    <row r="7555">
      <c r="D7555" s="58"/>
      <c r="E7555" s="58"/>
      <c r="F7555" s="58"/>
      <c r="G7555" s="58"/>
    </row>
    <row r="7556">
      <c r="D7556" s="58"/>
      <c r="E7556" s="58"/>
      <c r="F7556" s="58"/>
      <c r="G7556" s="58"/>
    </row>
    <row r="7557">
      <c r="D7557" s="58"/>
      <c r="E7557" s="58"/>
      <c r="F7557" s="58"/>
      <c r="G7557" s="58"/>
    </row>
    <row r="7558">
      <c r="D7558" s="58"/>
      <c r="E7558" s="58"/>
      <c r="F7558" s="58"/>
      <c r="G7558" s="58"/>
    </row>
    <row r="7559">
      <c r="D7559" s="58"/>
      <c r="E7559" s="58"/>
      <c r="F7559" s="58"/>
      <c r="G7559" s="58"/>
    </row>
    <row r="7560">
      <c r="D7560" s="58"/>
      <c r="E7560" s="58"/>
      <c r="F7560" s="58"/>
      <c r="G7560" s="58"/>
    </row>
    <row r="7561">
      <c r="D7561" s="58"/>
      <c r="E7561" s="58"/>
      <c r="F7561" s="58"/>
      <c r="G7561" s="58"/>
    </row>
    <row r="7562">
      <c r="D7562" s="58"/>
      <c r="E7562" s="58"/>
      <c r="F7562" s="58"/>
      <c r="G7562" s="58"/>
    </row>
    <row r="7563">
      <c r="D7563" s="58"/>
      <c r="E7563" s="58"/>
      <c r="F7563" s="58"/>
      <c r="G7563" s="58"/>
    </row>
    <row r="7564">
      <c r="D7564" s="58"/>
      <c r="E7564" s="58"/>
      <c r="F7564" s="58"/>
      <c r="G7564" s="58"/>
    </row>
    <row r="7565">
      <c r="D7565" s="58"/>
      <c r="E7565" s="58"/>
      <c r="F7565" s="58"/>
      <c r="G7565" s="58"/>
    </row>
    <row r="7566">
      <c r="D7566" s="58"/>
      <c r="E7566" s="58"/>
      <c r="F7566" s="58"/>
      <c r="G7566" s="58"/>
    </row>
    <row r="7567">
      <c r="D7567" s="58"/>
      <c r="E7567" s="58"/>
      <c r="F7567" s="58"/>
      <c r="G7567" s="58"/>
    </row>
    <row r="7568">
      <c r="D7568" s="58"/>
      <c r="E7568" s="58"/>
      <c r="F7568" s="58"/>
      <c r="G7568" s="58"/>
    </row>
    <row r="7569">
      <c r="D7569" s="58"/>
      <c r="E7569" s="58"/>
      <c r="F7569" s="58"/>
      <c r="G7569" s="58"/>
    </row>
    <row r="7570">
      <c r="D7570" s="58"/>
      <c r="E7570" s="58"/>
      <c r="F7570" s="58"/>
      <c r="G7570" s="58"/>
    </row>
    <row r="7571">
      <c r="D7571" s="58"/>
      <c r="E7571" s="58"/>
      <c r="F7571" s="58"/>
      <c r="G7571" s="58"/>
    </row>
    <row r="7572">
      <c r="D7572" s="58"/>
      <c r="E7572" s="58"/>
      <c r="F7572" s="58"/>
      <c r="G7572" s="58"/>
    </row>
    <row r="7573">
      <c r="D7573" s="58"/>
      <c r="E7573" s="58"/>
      <c r="F7573" s="58"/>
      <c r="G7573" s="58"/>
    </row>
    <row r="7574">
      <c r="D7574" s="58"/>
      <c r="E7574" s="58"/>
      <c r="F7574" s="58"/>
      <c r="G7574" s="58"/>
    </row>
    <row r="7575">
      <c r="D7575" s="58"/>
      <c r="E7575" s="58"/>
      <c r="F7575" s="58"/>
      <c r="G7575" s="58"/>
    </row>
    <row r="7576">
      <c r="D7576" s="58"/>
      <c r="E7576" s="58"/>
      <c r="F7576" s="58"/>
      <c r="G7576" s="58"/>
    </row>
    <row r="7577">
      <c r="D7577" s="58"/>
      <c r="E7577" s="58"/>
      <c r="F7577" s="58"/>
      <c r="G7577" s="58"/>
    </row>
    <row r="7578">
      <c r="D7578" s="58"/>
      <c r="E7578" s="58"/>
      <c r="F7578" s="58"/>
      <c r="G7578" s="58"/>
    </row>
    <row r="7579">
      <c r="D7579" s="58"/>
      <c r="E7579" s="58"/>
      <c r="F7579" s="58"/>
      <c r="G7579" s="58"/>
    </row>
    <row r="7580">
      <c r="D7580" s="58"/>
      <c r="E7580" s="58"/>
      <c r="F7580" s="58"/>
      <c r="G7580" s="58"/>
    </row>
    <row r="7581">
      <c r="D7581" s="58"/>
      <c r="E7581" s="58"/>
      <c r="F7581" s="58"/>
      <c r="G7581" s="58"/>
    </row>
    <row r="7582">
      <c r="D7582" s="58"/>
      <c r="E7582" s="58"/>
      <c r="F7582" s="58"/>
      <c r="G7582" s="58"/>
    </row>
    <row r="7583">
      <c r="D7583" s="58"/>
      <c r="E7583" s="58"/>
      <c r="F7583" s="58"/>
      <c r="G7583" s="58"/>
    </row>
    <row r="7584">
      <c r="D7584" s="58"/>
      <c r="E7584" s="58"/>
      <c r="F7584" s="58"/>
      <c r="G7584" s="58"/>
    </row>
    <row r="7585">
      <c r="D7585" s="58"/>
      <c r="E7585" s="58"/>
      <c r="F7585" s="58"/>
      <c r="G7585" s="58"/>
    </row>
    <row r="7586">
      <c r="D7586" s="58"/>
      <c r="E7586" s="58"/>
      <c r="F7586" s="58"/>
      <c r="G7586" s="58"/>
    </row>
    <row r="7587">
      <c r="D7587" s="58"/>
      <c r="E7587" s="58"/>
      <c r="F7587" s="58"/>
      <c r="G7587" s="58"/>
    </row>
    <row r="7588">
      <c r="D7588" s="58"/>
      <c r="E7588" s="58"/>
      <c r="F7588" s="58"/>
      <c r="G7588" s="58"/>
    </row>
    <row r="7589">
      <c r="D7589" s="58"/>
      <c r="E7589" s="58"/>
      <c r="F7589" s="58"/>
      <c r="G7589" s="58"/>
    </row>
    <row r="7590">
      <c r="D7590" s="58"/>
      <c r="E7590" s="58"/>
      <c r="F7590" s="58"/>
      <c r="G7590" s="58"/>
    </row>
    <row r="7591">
      <c r="D7591" s="58"/>
      <c r="E7591" s="58"/>
      <c r="F7591" s="58"/>
      <c r="G7591" s="58"/>
    </row>
    <row r="7592">
      <c r="D7592" s="58"/>
      <c r="E7592" s="58"/>
      <c r="F7592" s="58"/>
      <c r="G7592" s="58"/>
    </row>
    <row r="7593">
      <c r="D7593" s="58"/>
      <c r="E7593" s="58"/>
      <c r="F7593" s="58"/>
      <c r="G7593" s="58"/>
    </row>
    <row r="7594">
      <c r="D7594" s="58"/>
      <c r="E7594" s="58"/>
      <c r="F7594" s="58"/>
      <c r="G7594" s="58"/>
    </row>
    <row r="7595">
      <c r="D7595" s="58"/>
      <c r="E7595" s="58"/>
      <c r="F7595" s="58"/>
      <c r="G7595" s="58"/>
    </row>
    <row r="7596">
      <c r="D7596" s="58"/>
      <c r="E7596" s="58"/>
      <c r="F7596" s="58"/>
      <c r="G7596" s="58"/>
    </row>
    <row r="7597">
      <c r="D7597" s="58"/>
      <c r="E7597" s="58"/>
      <c r="F7597" s="58"/>
      <c r="G7597" s="58"/>
    </row>
    <row r="7598">
      <c r="D7598" s="58"/>
      <c r="E7598" s="58"/>
      <c r="F7598" s="58"/>
      <c r="G7598" s="58"/>
    </row>
    <row r="7599">
      <c r="D7599" s="58"/>
      <c r="E7599" s="58"/>
      <c r="F7599" s="58"/>
      <c r="G7599" s="58"/>
    </row>
    <row r="7600">
      <c r="D7600" s="58"/>
      <c r="E7600" s="58"/>
      <c r="F7600" s="58"/>
      <c r="G7600" s="58"/>
    </row>
    <row r="7601">
      <c r="D7601" s="58"/>
      <c r="E7601" s="58"/>
      <c r="F7601" s="58"/>
      <c r="G7601" s="58"/>
    </row>
    <row r="7602">
      <c r="D7602" s="58"/>
      <c r="E7602" s="58"/>
      <c r="F7602" s="58"/>
      <c r="G7602" s="58"/>
    </row>
    <row r="7603">
      <c r="D7603" s="58"/>
      <c r="E7603" s="58"/>
      <c r="F7603" s="58"/>
      <c r="G7603" s="58"/>
    </row>
    <row r="7604">
      <c r="D7604" s="58"/>
      <c r="E7604" s="58"/>
      <c r="F7604" s="58"/>
      <c r="G7604" s="58"/>
    </row>
    <row r="7605">
      <c r="D7605" s="58"/>
      <c r="E7605" s="58"/>
      <c r="F7605" s="58"/>
      <c r="G7605" s="58"/>
    </row>
    <row r="7606">
      <c r="D7606" s="58"/>
      <c r="E7606" s="58"/>
      <c r="F7606" s="58"/>
      <c r="G7606" s="58"/>
    </row>
    <row r="7607">
      <c r="D7607" s="58"/>
      <c r="E7607" s="58"/>
      <c r="F7607" s="58"/>
      <c r="G7607" s="58"/>
    </row>
    <row r="7608">
      <c r="D7608" s="58"/>
      <c r="E7608" s="58"/>
      <c r="F7608" s="58"/>
      <c r="G7608" s="58"/>
    </row>
    <row r="7609">
      <c r="D7609" s="58"/>
      <c r="E7609" s="58"/>
      <c r="F7609" s="58"/>
      <c r="G7609" s="58"/>
    </row>
    <row r="7610">
      <c r="D7610" s="58"/>
      <c r="E7610" s="58"/>
      <c r="F7610" s="58"/>
      <c r="G7610" s="58"/>
    </row>
    <row r="7611">
      <c r="D7611" s="58"/>
      <c r="E7611" s="58"/>
      <c r="F7611" s="58"/>
      <c r="G7611" s="58"/>
    </row>
    <row r="7612">
      <c r="D7612" s="58"/>
      <c r="E7612" s="58"/>
      <c r="F7612" s="58"/>
      <c r="G7612" s="58"/>
    </row>
    <row r="7613">
      <c r="D7613" s="58"/>
      <c r="E7613" s="58"/>
      <c r="F7613" s="58"/>
      <c r="G7613" s="58"/>
    </row>
    <row r="7614">
      <c r="D7614" s="58"/>
      <c r="E7614" s="58"/>
      <c r="F7614" s="58"/>
      <c r="G7614" s="58"/>
    </row>
    <row r="7615">
      <c r="D7615" s="58"/>
      <c r="E7615" s="58"/>
      <c r="F7615" s="58"/>
      <c r="G7615" s="58"/>
    </row>
    <row r="7616">
      <c r="D7616" s="58"/>
      <c r="E7616" s="58"/>
      <c r="F7616" s="58"/>
      <c r="G7616" s="58"/>
    </row>
    <row r="7617">
      <c r="D7617" s="58"/>
      <c r="E7617" s="58"/>
      <c r="F7617" s="58"/>
      <c r="G7617" s="58"/>
    </row>
    <row r="7618">
      <c r="D7618" s="58"/>
      <c r="E7618" s="58"/>
      <c r="F7618" s="58"/>
      <c r="G7618" s="58"/>
    </row>
    <row r="7619">
      <c r="D7619" s="58"/>
      <c r="E7619" s="58"/>
      <c r="F7619" s="58"/>
      <c r="G7619" s="58"/>
    </row>
    <row r="7620">
      <c r="D7620" s="58"/>
      <c r="E7620" s="58"/>
      <c r="F7620" s="58"/>
      <c r="G7620" s="58"/>
    </row>
    <row r="7621">
      <c r="D7621" s="58"/>
      <c r="E7621" s="58"/>
      <c r="F7621" s="58"/>
      <c r="G7621" s="58"/>
    </row>
    <row r="7622">
      <c r="D7622" s="58"/>
      <c r="E7622" s="58"/>
      <c r="F7622" s="58"/>
      <c r="G7622" s="58"/>
    </row>
    <row r="7623">
      <c r="D7623" s="58"/>
      <c r="E7623" s="58"/>
      <c r="F7623" s="58"/>
      <c r="G7623" s="58"/>
    </row>
    <row r="7624">
      <c r="D7624" s="58"/>
      <c r="E7624" s="58"/>
      <c r="F7624" s="58"/>
      <c r="G7624" s="58"/>
    </row>
    <row r="7625">
      <c r="D7625" s="58"/>
      <c r="E7625" s="58"/>
      <c r="F7625" s="58"/>
      <c r="G7625" s="58"/>
    </row>
    <row r="7626">
      <c r="D7626" s="58"/>
      <c r="E7626" s="58"/>
      <c r="F7626" s="58"/>
      <c r="G7626" s="58"/>
    </row>
    <row r="7627">
      <c r="D7627" s="58"/>
      <c r="E7627" s="58"/>
      <c r="F7627" s="58"/>
      <c r="G7627" s="58"/>
    </row>
    <row r="7628">
      <c r="D7628" s="58"/>
      <c r="E7628" s="58"/>
      <c r="F7628" s="58"/>
      <c r="G7628" s="58"/>
    </row>
    <row r="7629">
      <c r="D7629" s="58"/>
      <c r="E7629" s="58"/>
      <c r="F7629" s="58"/>
      <c r="G7629" s="58"/>
    </row>
    <row r="7630">
      <c r="D7630" s="58"/>
      <c r="E7630" s="58"/>
      <c r="F7630" s="58"/>
      <c r="G7630" s="58"/>
    </row>
    <row r="7631">
      <c r="D7631" s="58"/>
      <c r="E7631" s="58"/>
      <c r="F7631" s="58"/>
      <c r="G7631" s="58"/>
    </row>
    <row r="7632">
      <c r="D7632" s="58"/>
      <c r="E7632" s="58"/>
      <c r="F7632" s="58"/>
      <c r="G7632" s="58"/>
    </row>
    <row r="7633">
      <c r="D7633" s="58"/>
      <c r="E7633" s="58"/>
      <c r="F7633" s="58"/>
      <c r="G7633" s="58"/>
    </row>
    <row r="7634">
      <c r="D7634" s="58"/>
      <c r="E7634" s="58"/>
      <c r="F7634" s="58"/>
      <c r="G7634" s="58"/>
    </row>
    <row r="7635">
      <c r="D7635" s="58"/>
      <c r="E7635" s="58"/>
      <c r="F7635" s="58"/>
      <c r="G7635" s="58"/>
    </row>
    <row r="7636">
      <c r="D7636" s="58"/>
      <c r="E7636" s="58"/>
      <c r="F7636" s="58"/>
      <c r="G7636" s="58"/>
    </row>
    <row r="7637">
      <c r="D7637" s="58"/>
      <c r="E7637" s="58"/>
      <c r="F7637" s="58"/>
      <c r="G7637" s="58"/>
    </row>
    <row r="7638">
      <c r="D7638" s="58"/>
      <c r="E7638" s="58"/>
      <c r="F7638" s="58"/>
      <c r="G7638" s="58"/>
    </row>
    <row r="7639">
      <c r="D7639" s="58"/>
      <c r="E7639" s="58"/>
      <c r="F7639" s="58"/>
      <c r="G7639" s="58"/>
    </row>
    <row r="7640">
      <c r="D7640" s="58"/>
      <c r="E7640" s="58"/>
      <c r="F7640" s="58"/>
      <c r="G7640" s="58"/>
    </row>
    <row r="7641">
      <c r="D7641" s="58"/>
      <c r="E7641" s="58"/>
      <c r="F7641" s="58"/>
      <c r="G7641" s="58"/>
    </row>
    <row r="7642">
      <c r="D7642" s="58"/>
      <c r="E7642" s="58"/>
      <c r="F7642" s="58"/>
      <c r="G7642" s="58"/>
    </row>
    <row r="7643">
      <c r="D7643" s="58"/>
      <c r="E7643" s="58"/>
      <c r="F7643" s="58"/>
      <c r="G7643" s="58"/>
    </row>
    <row r="7644">
      <c r="D7644" s="58"/>
      <c r="E7644" s="58"/>
      <c r="F7644" s="58"/>
      <c r="G7644" s="58"/>
    </row>
    <row r="7645">
      <c r="D7645" s="58"/>
      <c r="E7645" s="58"/>
      <c r="F7645" s="58"/>
      <c r="G7645" s="58"/>
    </row>
    <row r="7646">
      <c r="D7646" s="58"/>
      <c r="E7646" s="58"/>
      <c r="F7646" s="58"/>
      <c r="G7646" s="58"/>
    </row>
    <row r="7647">
      <c r="D7647" s="58"/>
      <c r="E7647" s="58"/>
      <c r="F7647" s="58"/>
      <c r="G7647" s="58"/>
    </row>
    <row r="7648">
      <c r="D7648" s="58"/>
      <c r="E7648" s="58"/>
      <c r="F7648" s="58"/>
      <c r="G7648" s="58"/>
    </row>
    <row r="7649">
      <c r="D7649" s="58"/>
      <c r="E7649" s="58"/>
      <c r="F7649" s="58"/>
      <c r="G7649" s="58"/>
    </row>
    <row r="7650">
      <c r="D7650" s="58"/>
      <c r="E7650" s="58"/>
      <c r="F7650" s="58"/>
      <c r="G7650" s="58"/>
    </row>
    <row r="7651">
      <c r="D7651" s="58"/>
      <c r="E7651" s="58"/>
      <c r="F7651" s="58"/>
      <c r="G7651" s="58"/>
    </row>
    <row r="7652">
      <c r="D7652" s="58"/>
      <c r="E7652" s="58"/>
      <c r="F7652" s="58"/>
      <c r="G7652" s="58"/>
    </row>
    <row r="7653">
      <c r="D7653" s="58"/>
      <c r="E7653" s="58"/>
      <c r="F7653" s="58"/>
      <c r="G7653" s="58"/>
    </row>
    <row r="7654">
      <c r="D7654" s="58"/>
      <c r="E7654" s="58"/>
      <c r="F7654" s="58"/>
      <c r="G7654" s="58"/>
    </row>
    <row r="7655">
      <c r="D7655" s="58"/>
      <c r="E7655" s="58"/>
      <c r="F7655" s="58"/>
      <c r="G7655" s="58"/>
    </row>
    <row r="7656">
      <c r="D7656" s="58"/>
      <c r="E7656" s="58"/>
      <c r="F7656" s="58"/>
      <c r="G7656" s="58"/>
    </row>
    <row r="7657">
      <c r="D7657" s="58"/>
      <c r="E7657" s="58"/>
      <c r="F7657" s="58"/>
      <c r="G7657" s="58"/>
    </row>
    <row r="7658">
      <c r="D7658" s="58"/>
      <c r="E7658" s="58"/>
      <c r="F7658" s="58"/>
      <c r="G7658" s="58"/>
    </row>
    <row r="7659">
      <c r="D7659" s="58"/>
      <c r="E7659" s="58"/>
      <c r="F7659" s="58"/>
      <c r="G7659" s="58"/>
    </row>
    <row r="7660">
      <c r="D7660" s="58"/>
      <c r="E7660" s="58"/>
      <c r="F7660" s="58"/>
      <c r="G7660" s="58"/>
    </row>
    <row r="7661">
      <c r="D7661" s="58"/>
      <c r="E7661" s="58"/>
      <c r="F7661" s="58"/>
      <c r="G7661" s="58"/>
    </row>
    <row r="7662">
      <c r="D7662" s="58"/>
      <c r="E7662" s="58"/>
      <c r="F7662" s="58"/>
      <c r="G7662" s="58"/>
    </row>
    <row r="7663">
      <c r="D7663" s="58"/>
      <c r="E7663" s="58"/>
      <c r="F7663" s="58"/>
      <c r="G7663" s="58"/>
    </row>
    <row r="7664">
      <c r="D7664" s="58"/>
      <c r="E7664" s="58"/>
      <c r="F7664" s="58"/>
      <c r="G7664" s="58"/>
    </row>
    <row r="7665">
      <c r="D7665" s="58"/>
      <c r="E7665" s="58"/>
      <c r="F7665" s="58"/>
      <c r="G7665" s="58"/>
    </row>
    <row r="7666">
      <c r="D7666" s="58"/>
      <c r="E7666" s="58"/>
      <c r="F7666" s="58"/>
      <c r="G7666" s="58"/>
    </row>
    <row r="7667">
      <c r="D7667" s="58"/>
      <c r="E7667" s="58"/>
      <c r="F7667" s="58"/>
      <c r="G7667" s="58"/>
    </row>
    <row r="7668">
      <c r="D7668" s="58"/>
      <c r="E7668" s="58"/>
      <c r="F7668" s="58"/>
      <c r="G7668" s="58"/>
    </row>
    <row r="7669">
      <c r="D7669" s="58"/>
      <c r="E7669" s="58"/>
      <c r="F7669" s="58"/>
      <c r="G7669" s="58"/>
    </row>
    <row r="7670">
      <c r="D7670" s="58"/>
      <c r="E7670" s="58"/>
      <c r="F7670" s="58"/>
      <c r="G7670" s="58"/>
    </row>
    <row r="7671">
      <c r="D7671" s="58"/>
      <c r="E7671" s="58"/>
      <c r="F7671" s="58"/>
      <c r="G7671" s="58"/>
    </row>
    <row r="7672">
      <c r="D7672" s="58"/>
      <c r="E7672" s="58"/>
      <c r="F7672" s="58"/>
      <c r="G7672" s="58"/>
    </row>
    <row r="7673">
      <c r="D7673" s="58"/>
      <c r="E7673" s="58"/>
      <c r="F7673" s="58"/>
      <c r="G7673" s="58"/>
    </row>
    <row r="7674">
      <c r="D7674" s="58"/>
      <c r="E7674" s="58"/>
      <c r="F7674" s="58"/>
      <c r="G7674" s="58"/>
    </row>
    <row r="7675">
      <c r="D7675" s="58"/>
      <c r="E7675" s="58"/>
      <c r="F7675" s="58"/>
      <c r="G7675" s="58"/>
    </row>
    <row r="7676">
      <c r="D7676" s="58"/>
      <c r="E7676" s="58"/>
      <c r="F7676" s="58"/>
      <c r="G7676" s="58"/>
    </row>
    <row r="7677">
      <c r="D7677" s="58"/>
      <c r="E7677" s="58"/>
      <c r="F7677" s="58"/>
      <c r="G7677" s="58"/>
    </row>
    <row r="7678">
      <c r="D7678" s="58"/>
      <c r="E7678" s="58"/>
      <c r="F7678" s="58"/>
      <c r="G7678" s="58"/>
    </row>
    <row r="7679">
      <c r="D7679" s="58"/>
      <c r="E7679" s="58"/>
      <c r="F7679" s="58"/>
      <c r="G7679" s="58"/>
    </row>
    <row r="7680">
      <c r="D7680" s="58"/>
      <c r="E7680" s="58"/>
      <c r="F7680" s="58"/>
      <c r="G7680" s="58"/>
    </row>
    <row r="7681">
      <c r="D7681" s="58"/>
      <c r="E7681" s="58"/>
      <c r="F7681" s="58"/>
      <c r="G7681" s="58"/>
    </row>
    <row r="7682">
      <c r="D7682" s="58"/>
      <c r="E7682" s="58"/>
      <c r="F7682" s="58"/>
      <c r="G7682" s="58"/>
    </row>
    <row r="7683">
      <c r="D7683" s="58"/>
      <c r="E7683" s="58"/>
      <c r="F7683" s="58"/>
      <c r="G7683" s="58"/>
    </row>
    <row r="7684">
      <c r="D7684" s="58"/>
      <c r="E7684" s="58"/>
      <c r="F7684" s="58"/>
      <c r="G7684" s="58"/>
    </row>
    <row r="7685">
      <c r="D7685" s="58"/>
      <c r="E7685" s="58"/>
      <c r="F7685" s="58"/>
      <c r="G7685" s="58"/>
    </row>
    <row r="7686">
      <c r="D7686" s="58"/>
      <c r="E7686" s="58"/>
      <c r="F7686" s="58"/>
      <c r="G7686" s="58"/>
    </row>
    <row r="7687">
      <c r="D7687" s="58"/>
      <c r="E7687" s="58"/>
      <c r="F7687" s="58"/>
      <c r="G7687" s="58"/>
    </row>
    <row r="7688">
      <c r="D7688" s="58"/>
      <c r="E7688" s="58"/>
      <c r="F7688" s="58"/>
      <c r="G7688" s="58"/>
    </row>
    <row r="7689">
      <c r="D7689" s="58"/>
      <c r="E7689" s="58"/>
      <c r="F7689" s="58"/>
      <c r="G7689" s="58"/>
    </row>
    <row r="7690">
      <c r="D7690" s="58"/>
      <c r="E7690" s="58"/>
      <c r="F7690" s="58"/>
      <c r="G7690" s="58"/>
    </row>
    <row r="7691">
      <c r="D7691" s="58"/>
      <c r="E7691" s="58"/>
      <c r="F7691" s="58"/>
      <c r="G7691" s="58"/>
    </row>
    <row r="7692">
      <c r="D7692" s="58"/>
      <c r="E7692" s="58"/>
      <c r="F7692" s="58"/>
      <c r="G7692" s="58"/>
    </row>
    <row r="7693">
      <c r="D7693" s="58"/>
      <c r="E7693" s="58"/>
      <c r="F7693" s="58"/>
      <c r="G7693" s="58"/>
    </row>
    <row r="7694">
      <c r="D7694" s="58"/>
      <c r="E7694" s="58"/>
      <c r="F7694" s="58"/>
      <c r="G7694" s="58"/>
    </row>
    <row r="7695">
      <c r="D7695" s="58"/>
      <c r="E7695" s="58"/>
      <c r="F7695" s="58"/>
      <c r="G7695" s="58"/>
    </row>
    <row r="7696">
      <c r="D7696" s="58"/>
      <c r="E7696" s="58"/>
      <c r="F7696" s="58"/>
      <c r="G7696" s="58"/>
    </row>
    <row r="7697">
      <c r="D7697" s="58"/>
      <c r="E7697" s="58"/>
      <c r="F7697" s="58"/>
      <c r="G7697" s="58"/>
    </row>
    <row r="7698">
      <c r="D7698" s="58"/>
      <c r="E7698" s="58"/>
      <c r="F7698" s="58"/>
      <c r="G7698" s="58"/>
    </row>
    <row r="7699">
      <c r="D7699" s="58"/>
      <c r="E7699" s="58"/>
      <c r="F7699" s="58"/>
      <c r="G7699" s="58"/>
    </row>
    <row r="7700">
      <c r="D7700" s="58"/>
      <c r="E7700" s="58"/>
      <c r="F7700" s="58"/>
      <c r="G7700" s="58"/>
    </row>
    <row r="7701">
      <c r="D7701" s="58"/>
      <c r="E7701" s="58"/>
      <c r="F7701" s="58"/>
      <c r="G7701" s="58"/>
    </row>
    <row r="7702">
      <c r="D7702" s="58"/>
      <c r="E7702" s="58"/>
      <c r="F7702" s="58"/>
      <c r="G7702" s="58"/>
    </row>
    <row r="7703">
      <c r="D7703" s="58"/>
      <c r="E7703" s="58"/>
      <c r="F7703" s="58"/>
      <c r="G7703" s="58"/>
    </row>
    <row r="7704">
      <c r="D7704" s="58"/>
      <c r="E7704" s="58"/>
      <c r="F7704" s="58"/>
      <c r="G7704" s="58"/>
    </row>
    <row r="7705">
      <c r="D7705" s="58"/>
      <c r="E7705" s="58"/>
      <c r="F7705" s="58"/>
      <c r="G7705" s="58"/>
    </row>
    <row r="7706">
      <c r="D7706" s="58"/>
      <c r="E7706" s="58"/>
      <c r="F7706" s="58"/>
      <c r="G7706" s="58"/>
    </row>
    <row r="7707">
      <c r="D7707" s="58"/>
      <c r="E7707" s="58"/>
      <c r="F7707" s="58"/>
      <c r="G7707" s="58"/>
    </row>
    <row r="7708">
      <c r="D7708" s="58"/>
      <c r="E7708" s="58"/>
      <c r="F7708" s="58"/>
      <c r="G7708" s="58"/>
    </row>
    <row r="7709">
      <c r="D7709" s="58"/>
      <c r="E7709" s="58"/>
      <c r="F7709" s="58"/>
      <c r="G7709" s="58"/>
    </row>
    <row r="7710">
      <c r="D7710" s="58"/>
      <c r="E7710" s="58"/>
      <c r="F7710" s="58"/>
      <c r="G7710" s="58"/>
    </row>
    <row r="7711">
      <c r="D7711" s="58"/>
      <c r="E7711" s="58"/>
      <c r="F7711" s="58"/>
      <c r="G7711" s="58"/>
    </row>
    <row r="7712">
      <c r="D7712" s="58"/>
      <c r="E7712" s="58"/>
      <c r="F7712" s="58"/>
      <c r="G7712" s="58"/>
    </row>
    <row r="7713">
      <c r="D7713" s="58"/>
      <c r="E7713" s="58"/>
      <c r="F7713" s="58"/>
      <c r="G7713" s="58"/>
    </row>
    <row r="7714">
      <c r="D7714" s="58"/>
      <c r="E7714" s="58"/>
      <c r="F7714" s="58"/>
      <c r="G7714" s="58"/>
    </row>
    <row r="7715">
      <c r="D7715" s="58"/>
      <c r="E7715" s="58"/>
      <c r="F7715" s="58"/>
      <c r="G7715" s="58"/>
    </row>
    <row r="7716">
      <c r="D7716" s="58"/>
      <c r="E7716" s="58"/>
      <c r="F7716" s="58"/>
      <c r="G7716" s="58"/>
    </row>
    <row r="7717">
      <c r="D7717" s="58"/>
      <c r="E7717" s="58"/>
      <c r="F7717" s="58"/>
      <c r="G7717" s="58"/>
    </row>
    <row r="7718">
      <c r="D7718" s="58"/>
      <c r="E7718" s="58"/>
      <c r="F7718" s="58"/>
      <c r="G7718" s="58"/>
    </row>
    <row r="7719">
      <c r="D7719" s="58"/>
      <c r="E7719" s="58"/>
      <c r="F7719" s="58"/>
      <c r="G7719" s="58"/>
    </row>
    <row r="7720">
      <c r="D7720" s="58"/>
      <c r="E7720" s="58"/>
      <c r="F7720" s="58"/>
      <c r="G7720" s="58"/>
    </row>
    <row r="7721">
      <c r="D7721" s="58"/>
      <c r="E7721" s="58"/>
      <c r="F7721" s="58"/>
      <c r="G7721" s="58"/>
    </row>
    <row r="7722">
      <c r="D7722" s="58"/>
      <c r="E7722" s="58"/>
      <c r="F7722" s="58"/>
      <c r="G7722" s="58"/>
    </row>
    <row r="7723">
      <c r="D7723" s="58"/>
      <c r="E7723" s="58"/>
      <c r="F7723" s="58"/>
      <c r="G7723" s="58"/>
    </row>
    <row r="7724">
      <c r="D7724" s="58"/>
      <c r="E7724" s="58"/>
      <c r="F7724" s="58"/>
      <c r="G7724" s="58"/>
    </row>
    <row r="7725">
      <c r="D7725" s="58"/>
      <c r="E7725" s="58"/>
      <c r="F7725" s="58"/>
      <c r="G7725" s="58"/>
    </row>
    <row r="7726">
      <c r="D7726" s="58"/>
      <c r="E7726" s="58"/>
      <c r="F7726" s="58"/>
      <c r="G7726" s="58"/>
    </row>
    <row r="7727">
      <c r="D7727" s="58"/>
      <c r="E7727" s="58"/>
      <c r="F7727" s="58"/>
      <c r="G7727" s="58"/>
    </row>
    <row r="7728">
      <c r="D7728" s="58"/>
      <c r="E7728" s="58"/>
      <c r="F7728" s="58"/>
      <c r="G7728" s="58"/>
    </row>
    <row r="7729">
      <c r="D7729" s="58"/>
      <c r="E7729" s="58"/>
      <c r="F7729" s="58"/>
      <c r="G7729" s="58"/>
    </row>
    <row r="7730">
      <c r="D7730" s="58"/>
      <c r="E7730" s="58"/>
      <c r="F7730" s="58"/>
      <c r="G7730" s="58"/>
    </row>
    <row r="7731">
      <c r="D7731" s="58"/>
      <c r="E7731" s="58"/>
      <c r="F7731" s="58"/>
      <c r="G7731" s="58"/>
    </row>
    <row r="7732">
      <c r="D7732" s="58"/>
      <c r="E7732" s="58"/>
      <c r="F7732" s="58"/>
      <c r="G7732" s="58"/>
    </row>
    <row r="7733">
      <c r="D7733" s="58"/>
      <c r="E7733" s="58"/>
      <c r="F7733" s="58"/>
      <c r="G7733" s="58"/>
    </row>
    <row r="7734">
      <c r="D7734" s="58"/>
      <c r="E7734" s="58"/>
      <c r="F7734" s="58"/>
      <c r="G7734" s="58"/>
    </row>
    <row r="7735">
      <c r="D7735" s="58"/>
      <c r="E7735" s="58"/>
      <c r="F7735" s="58"/>
      <c r="G7735" s="58"/>
    </row>
    <row r="7736">
      <c r="D7736" s="58"/>
      <c r="E7736" s="58"/>
      <c r="F7736" s="58"/>
      <c r="G7736" s="58"/>
    </row>
    <row r="7737">
      <c r="D7737" s="58"/>
      <c r="E7737" s="58"/>
      <c r="F7737" s="58"/>
      <c r="G7737" s="58"/>
    </row>
    <row r="7738">
      <c r="D7738" s="58"/>
      <c r="E7738" s="58"/>
      <c r="F7738" s="58"/>
      <c r="G7738" s="58"/>
    </row>
    <row r="7739">
      <c r="D7739" s="58"/>
      <c r="E7739" s="58"/>
      <c r="F7739" s="58"/>
      <c r="G7739" s="58"/>
    </row>
    <row r="7740">
      <c r="D7740" s="58"/>
      <c r="E7740" s="58"/>
      <c r="F7740" s="58"/>
      <c r="G7740" s="58"/>
    </row>
    <row r="7741">
      <c r="D7741" s="58"/>
      <c r="E7741" s="58"/>
      <c r="F7741" s="58"/>
      <c r="G7741" s="58"/>
    </row>
    <row r="7742">
      <c r="D7742" s="58"/>
      <c r="E7742" s="58"/>
      <c r="F7742" s="58"/>
      <c r="G7742" s="58"/>
    </row>
    <row r="7743">
      <c r="D7743" s="58"/>
      <c r="E7743" s="58"/>
      <c r="F7743" s="58"/>
      <c r="G7743" s="58"/>
    </row>
    <row r="7744">
      <c r="D7744" s="58"/>
      <c r="E7744" s="58"/>
      <c r="F7744" s="58"/>
      <c r="G7744" s="58"/>
    </row>
    <row r="7745">
      <c r="D7745" s="58"/>
      <c r="E7745" s="58"/>
      <c r="F7745" s="58"/>
      <c r="G7745" s="58"/>
    </row>
    <row r="7746">
      <c r="D7746" s="58"/>
      <c r="E7746" s="58"/>
      <c r="F7746" s="58"/>
      <c r="G7746" s="58"/>
    </row>
    <row r="7747">
      <c r="D7747" s="58"/>
      <c r="E7747" s="58"/>
      <c r="F7747" s="58"/>
      <c r="G7747" s="58"/>
    </row>
    <row r="7748">
      <c r="D7748" s="58"/>
      <c r="E7748" s="58"/>
      <c r="F7748" s="58"/>
      <c r="G7748" s="58"/>
    </row>
    <row r="7749">
      <c r="D7749" s="58"/>
      <c r="E7749" s="58"/>
      <c r="F7749" s="58"/>
      <c r="G7749" s="58"/>
    </row>
    <row r="7750">
      <c r="D7750" s="58"/>
      <c r="E7750" s="58"/>
      <c r="F7750" s="58"/>
      <c r="G7750" s="58"/>
    </row>
    <row r="7751">
      <c r="D7751" s="58"/>
      <c r="E7751" s="58"/>
      <c r="F7751" s="58"/>
      <c r="G7751" s="58"/>
    </row>
    <row r="7752">
      <c r="D7752" s="58"/>
      <c r="E7752" s="58"/>
      <c r="F7752" s="58"/>
      <c r="G7752" s="58"/>
    </row>
    <row r="7753">
      <c r="D7753" s="58"/>
      <c r="E7753" s="58"/>
      <c r="F7753" s="58"/>
      <c r="G7753" s="58"/>
    </row>
    <row r="7754">
      <c r="D7754" s="58"/>
      <c r="E7754" s="58"/>
      <c r="F7754" s="58"/>
      <c r="G7754" s="58"/>
    </row>
    <row r="7755">
      <c r="D7755" s="58"/>
      <c r="E7755" s="58"/>
      <c r="F7755" s="58"/>
      <c r="G7755" s="58"/>
    </row>
    <row r="7756">
      <c r="D7756" s="58"/>
      <c r="E7756" s="58"/>
      <c r="F7756" s="58"/>
      <c r="G7756" s="58"/>
    </row>
    <row r="7757">
      <c r="D7757" s="58"/>
      <c r="E7757" s="58"/>
      <c r="F7757" s="58"/>
      <c r="G7757" s="58"/>
    </row>
    <row r="7758">
      <c r="D7758" s="58"/>
      <c r="E7758" s="58"/>
      <c r="F7758" s="58"/>
      <c r="G7758" s="58"/>
    </row>
    <row r="7759">
      <c r="D7759" s="58"/>
      <c r="E7759" s="58"/>
      <c r="F7759" s="58"/>
      <c r="G7759" s="58"/>
    </row>
    <row r="7760">
      <c r="D7760" s="58"/>
      <c r="E7760" s="58"/>
      <c r="F7760" s="58"/>
      <c r="G7760" s="58"/>
    </row>
    <row r="7761">
      <c r="D7761" s="58"/>
      <c r="E7761" s="58"/>
      <c r="F7761" s="58"/>
      <c r="G7761" s="58"/>
    </row>
    <row r="7762">
      <c r="D7762" s="58"/>
      <c r="E7762" s="58"/>
      <c r="F7762" s="58"/>
      <c r="G7762" s="58"/>
    </row>
    <row r="7763">
      <c r="D7763" s="58"/>
      <c r="E7763" s="58"/>
      <c r="F7763" s="58"/>
      <c r="G7763" s="58"/>
    </row>
    <row r="7764">
      <c r="D7764" s="58"/>
      <c r="E7764" s="58"/>
      <c r="F7764" s="58"/>
      <c r="G7764" s="58"/>
    </row>
    <row r="7765">
      <c r="D7765" s="58"/>
      <c r="E7765" s="58"/>
      <c r="F7765" s="58"/>
      <c r="G7765" s="58"/>
    </row>
    <row r="7766">
      <c r="D7766" s="58"/>
      <c r="E7766" s="58"/>
      <c r="F7766" s="58"/>
      <c r="G7766" s="58"/>
    </row>
    <row r="7767">
      <c r="D7767" s="58"/>
      <c r="E7767" s="58"/>
      <c r="F7767" s="58"/>
      <c r="G7767" s="58"/>
    </row>
    <row r="7768">
      <c r="D7768" s="58"/>
      <c r="E7768" s="58"/>
      <c r="F7768" s="58"/>
      <c r="G7768" s="58"/>
    </row>
    <row r="7769">
      <c r="D7769" s="58"/>
      <c r="E7769" s="58"/>
      <c r="F7769" s="58"/>
      <c r="G7769" s="58"/>
    </row>
    <row r="7770">
      <c r="D7770" s="58"/>
      <c r="E7770" s="58"/>
      <c r="F7770" s="58"/>
      <c r="G7770" s="58"/>
    </row>
    <row r="7771">
      <c r="D7771" s="58"/>
      <c r="E7771" s="58"/>
      <c r="F7771" s="58"/>
      <c r="G7771" s="58"/>
    </row>
    <row r="7772">
      <c r="D7772" s="58"/>
      <c r="E7772" s="58"/>
      <c r="F7772" s="58"/>
      <c r="G7772" s="58"/>
    </row>
    <row r="7773">
      <c r="D7773" s="58"/>
      <c r="E7773" s="58"/>
      <c r="F7773" s="58"/>
      <c r="G7773" s="58"/>
    </row>
    <row r="7774">
      <c r="D7774" s="58"/>
      <c r="E7774" s="58"/>
      <c r="F7774" s="58"/>
      <c r="G7774" s="58"/>
    </row>
    <row r="7775">
      <c r="D7775" s="58"/>
      <c r="E7775" s="58"/>
      <c r="F7775" s="58"/>
      <c r="G7775" s="58"/>
    </row>
    <row r="7776">
      <c r="D7776" s="58"/>
      <c r="E7776" s="58"/>
      <c r="F7776" s="58"/>
      <c r="G7776" s="58"/>
    </row>
    <row r="7777">
      <c r="D7777" s="58"/>
      <c r="E7777" s="58"/>
      <c r="F7777" s="58"/>
      <c r="G7777" s="58"/>
    </row>
    <row r="7778">
      <c r="D7778" s="58"/>
      <c r="E7778" s="58"/>
      <c r="F7778" s="58"/>
      <c r="G7778" s="58"/>
    </row>
    <row r="7779">
      <c r="D7779" s="58"/>
      <c r="E7779" s="58"/>
      <c r="F7779" s="58"/>
      <c r="G7779" s="58"/>
    </row>
    <row r="7780">
      <c r="D7780" s="58"/>
      <c r="E7780" s="58"/>
      <c r="F7780" s="58"/>
      <c r="G7780" s="58"/>
    </row>
    <row r="7781">
      <c r="D7781" s="58"/>
      <c r="E7781" s="58"/>
      <c r="F7781" s="58"/>
      <c r="G7781" s="58"/>
    </row>
    <row r="7782">
      <c r="D7782" s="58"/>
      <c r="E7782" s="58"/>
      <c r="F7782" s="58"/>
      <c r="G7782" s="58"/>
    </row>
    <row r="7783">
      <c r="D7783" s="58"/>
      <c r="E7783" s="58"/>
      <c r="F7783" s="58"/>
      <c r="G7783" s="58"/>
    </row>
    <row r="7784">
      <c r="D7784" s="58"/>
      <c r="E7784" s="58"/>
      <c r="F7784" s="58"/>
      <c r="G7784" s="58"/>
    </row>
    <row r="7785">
      <c r="D7785" s="58"/>
      <c r="E7785" s="58"/>
      <c r="F7785" s="58"/>
      <c r="G7785" s="58"/>
    </row>
    <row r="7786">
      <c r="D7786" s="58"/>
      <c r="E7786" s="58"/>
      <c r="F7786" s="58"/>
      <c r="G7786" s="58"/>
    </row>
    <row r="7787">
      <c r="D7787" s="58"/>
      <c r="E7787" s="58"/>
      <c r="F7787" s="58"/>
      <c r="G7787" s="58"/>
    </row>
    <row r="7788">
      <c r="D7788" s="58"/>
      <c r="E7788" s="58"/>
      <c r="F7788" s="58"/>
      <c r="G7788" s="58"/>
    </row>
    <row r="7789">
      <c r="D7789" s="58"/>
      <c r="E7789" s="58"/>
      <c r="F7789" s="58"/>
      <c r="G7789" s="58"/>
    </row>
    <row r="7790">
      <c r="D7790" s="58"/>
      <c r="E7790" s="58"/>
      <c r="F7790" s="58"/>
      <c r="G7790" s="58"/>
    </row>
    <row r="7791">
      <c r="D7791" s="58"/>
      <c r="E7791" s="58"/>
      <c r="F7791" s="58"/>
      <c r="G7791" s="58"/>
    </row>
    <row r="7792">
      <c r="D7792" s="58"/>
      <c r="E7792" s="58"/>
      <c r="F7792" s="58"/>
      <c r="G7792" s="58"/>
    </row>
    <row r="7793">
      <c r="D7793" s="58"/>
      <c r="E7793" s="58"/>
      <c r="F7793" s="58"/>
      <c r="G7793" s="58"/>
    </row>
    <row r="7794">
      <c r="D7794" s="58"/>
      <c r="E7794" s="58"/>
      <c r="F7794" s="58"/>
      <c r="G7794" s="58"/>
    </row>
    <row r="7795">
      <c r="D7795" s="58"/>
      <c r="E7795" s="58"/>
      <c r="F7795" s="58"/>
      <c r="G7795" s="58"/>
    </row>
    <row r="7796">
      <c r="D7796" s="58"/>
      <c r="E7796" s="58"/>
      <c r="F7796" s="58"/>
      <c r="G7796" s="58"/>
    </row>
    <row r="7797">
      <c r="D7797" s="58"/>
      <c r="E7797" s="58"/>
      <c r="F7797" s="58"/>
      <c r="G7797" s="58"/>
    </row>
    <row r="7798">
      <c r="D7798" s="58"/>
      <c r="E7798" s="58"/>
      <c r="F7798" s="58"/>
      <c r="G7798" s="58"/>
    </row>
    <row r="7799">
      <c r="D7799" s="58"/>
      <c r="E7799" s="58"/>
      <c r="F7799" s="58"/>
      <c r="G7799" s="58"/>
    </row>
    <row r="7800">
      <c r="D7800" s="58"/>
      <c r="E7800" s="58"/>
      <c r="F7800" s="58"/>
      <c r="G7800" s="58"/>
    </row>
    <row r="7801">
      <c r="D7801" s="58"/>
      <c r="E7801" s="58"/>
      <c r="F7801" s="58"/>
      <c r="G7801" s="58"/>
    </row>
    <row r="7802">
      <c r="D7802" s="58"/>
      <c r="E7802" s="58"/>
      <c r="F7802" s="58"/>
      <c r="G7802" s="58"/>
    </row>
    <row r="7803">
      <c r="D7803" s="58"/>
      <c r="E7803" s="58"/>
      <c r="F7803" s="58"/>
      <c r="G7803" s="58"/>
    </row>
    <row r="7804">
      <c r="D7804" s="58"/>
      <c r="E7804" s="58"/>
      <c r="F7804" s="58"/>
      <c r="G7804" s="58"/>
    </row>
    <row r="7805">
      <c r="D7805" s="58"/>
      <c r="E7805" s="58"/>
      <c r="F7805" s="58"/>
      <c r="G7805" s="58"/>
    </row>
    <row r="7806">
      <c r="D7806" s="58"/>
      <c r="E7806" s="58"/>
      <c r="F7806" s="58"/>
      <c r="G7806" s="58"/>
    </row>
    <row r="7807">
      <c r="D7807" s="58"/>
      <c r="E7807" s="58"/>
      <c r="F7807" s="58"/>
      <c r="G7807" s="58"/>
    </row>
    <row r="7808">
      <c r="D7808" s="58"/>
      <c r="E7808" s="58"/>
      <c r="F7808" s="58"/>
      <c r="G7808" s="58"/>
    </row>
    <row r="7809">
      <c r="D7809" s="58"/>
      <c r="E7809" s="58"/>
      <c r="F7809" s="58"/>
      <c r="G7809" s="58"/>
    </row>
    <row r="7810">
      <c r="D7810" s="58"/>
      <c r="E7810" s="58"/>
      <c r="F7810" s="58"/>
      <c r="G7810" s="58"/>
    </row>
    <row r="7811">
      <c r="D7811" s="58"/>
      <c r="E7811" s="58"/>
      <c r="F7811" s="58"/>
      <c r="G7811" s="58"/>
    </row>
    <row r="7812">
      <c r="D7812" s="58"/>
      <c r="E7812" s="58"/>
      <c r="F7812" s="58"/>
      <c r="G7812" s="58"/>
    </row>
    <row r="7813">
      <c r="D7813" s="58"/>
      <c r="E7813" s="58"/>
      <c r="F7813" s="58"/>
      <c r="G7813" s="58"/>
    </row>
    <row r="7814">
      <c r="D7814" s="58"/>
      <c r="E7814" s="58"/>
      <c r="F7814" s="58"/>
      <c r="G7814" s="58"/>
    </row>
    <row r="7815">
      <c r="D7815" s="58"/>
      <c r="E7815" s="58"/>
      <c r="F7815" s="58"/>
      <c r="G7815" s="58"/>
    </row>
    <row r="7816">
      <c r="D7816" s="58"/>
      <c r="E7816" s="58"/>
      <c r="F7816" s="58"/>
      <c r="G7816" s="58"/>
    </row>
    <row r="7817">
      <c r="D7817" s="58"/>
      <c r="E7817" s="58"/>
      <c r="F7817" s="58"/>
      <c r="G7817" s="58"/>
    </row>
    <row r="7818">
      <c r="D7818" s="58"/>
      <c r="E7818" s="58"/>
      <c r="F7818" s="58"/>
      <c r="G7818" s="58"/>
    </row>
    <row r="7819">
      <c r="D7819" s="58"/>
      <c r="E7819" s="58"/>
      <c r="F7819" s="58"/>
      <c r="G7819" s="58"/>
    </row>
    <row r="7820">
      <c r="D7820" s="58"/>
      <c r="E7820" s="58"/>
      <c r="F7820" s="58"/>
      <c r="G7820" s="58"/>
    </row>
    <row r="7821">
      <c r="D7821" s="58"/>
      <c r="E7821" s="58"/>
      <c r="F7821" s="58"/>
      <c r="G7821" s="58"/>
    </row>
    <row r="7822">
      <c r="D7822" s="58"/>
      <c r="E7822" s="58"/>
      <c r="F7822" s="58"/>
      <c r="G7822" s="58"/>
    </row>
    <row r="7823">
      <c r="D7823" s="58"/>
      <c r="E7823" s="58"/>
      <c r="F7823" s="58"/>
      <c r="G7823" s="58"/>
    </row>
    <row r="7824">
      <c r="D7824" s="58"/>
      <c r="E7824" s="58"/>
      <c r="F7824" s="58"/>
      <c r="G7824" s="58"/>
    </row>
    <row r="7825">
      <c r="D7825" s="58"/>
      <c r="E7825" s="58"/>
      <c r="F7825" s="58"/>
      <c r="G7825" s="58"/>
    </row>
    <row r="7826">
      <c r="D7826" s="58"/>
      <c r="E7826" s="58"/>
      <c r="F7826" s="58"/>
      <c r="G7826" s="58"/>
    </row>
    <row r="7827">
      <c r="D7827" s="58"/>
      <c r="E7827" s="58"/>
      <c r="F7827" s="58"/>
      <c r="G7827" s="58"/>
    </row>
    <row r="7828">
      <c r="D7828" s="58"/>
      <c r="E7828" s="58"/>
      <c r="F7828" s="58"/>
      <c r="G7828" s="58"/>
    </row>
    <row r="7829">
      <c r="D7829" s="58"/>
      <c r="E7829" s="58"/>
      <c r="F7829" s="58"/>
      <c r="G7829" s="58"/>
    </row>
    <row r="7830">
      <c r="D7830" s="58"/>
      <c r="E7830" s="58"/>
      <c r="F7830" s="58"/>
      <c r="G7830" s="58"/>
    </row>
    <row r="7831">
      <c r="D7831" s="58"/>
      <c r="E7831" s="58"/>
      <c r="F7831" s="58"/>
      <c r="G7831" s="58"/>
    </row>
    <row r="7832">
      <c r="D7832" s="58"/>
      <c r="E7832" s="58"/>
      <c r="F7832" s="58"/>
      <c r="G7832" s="58"/>
    </row>
    <row r="7833">
      <c r="D7833" s="58"/>
      <c r="E7833" s="58"/>
      <c r="F7833" s="58"/>
      <c r="G7833" s="58"/>
    </row>
    <row r="7834">
      <c r="D7834" s="58"/>
      <c r="E7834" s="58"/>
      <c r="F7834" s="58"/>
      <c r="G7834" s="58"/>
    </row>
    <row r="7835">
      <c r="D7835" s="58"/>
      <c r="E7835" s="58"/>
      <c r="F7835" s="58"/>
      <c r="G7835" s="58"/>
    </row>
    <row r="7836">
      <c r="D7836" s="58"/>
      <c r="E7836" s="58"/>
      <c r="F7836" s="58"/>
      <c r="G7836" s="58"/>
    </row>
    <row r="7837">
      <c r="D7837" s="58"/>
      <c r="E7837" s="58"/>
      <c r="F7837" s="58"/>
      <c r="G7837" s="58"/>
    </row>
    <row r="7838">
      <c r="D7838" s="58"/>
      <c r="E7838" s="58"/>
      <c r="F7838" s="58"/>
      <c r="G7838" s="58"/>
    </row>
    <row r="7839">
      <c r="D7839" s="58"/>
      <c r="E7839" s="58"/>
      <c r="F7839" s="58"/>
      <c r="G7839" s="58"/>
    </row>
    <row r="7840">
      <c r="D7840" s="58"/>
      <c r="E7840" s="58"/>
      <c r="F7840" s="58"/>
      <c r="G7840" s="58"/>
    </row>
    <row r="7841">
      <c r="D7841" s="58"/>
      <c r="E7841" s="58"/>
      <c r="F7841" s="58"/>
      <c r="G7841" s="58"/>
    </row>
    <row r="7842">
      <c r="D7842" s="58"/>
      <c r="E7842" s="58"/>
      <c r="F7842" s="58"/>
      <c r="G7842" s="58"/>
    </row>
    <row r="7843">
      <c r="D7843" s="58"/>
      <c r="E7843" s="58"/>
      <c r="F7843" s="58"/>
      <c r="G7843" s="58"/>
    </row>
    <row r="7844">
      <c r="D7844" s="58"/>
      <c r="E7844" s="58"/>
      <c r="F7844" s="58"/>
      <c r="G7844" s="58"/>
    </row>
    <row r="7845">
      <c r="D7845" s="58"/>
      <c r="E7845" s="58"/>
      <c r="F7845" s="58"/>
      <c r="G7845" s="58"/>
    </row>
    <row r="7846">
      <c r="D7846" s="58"/>
      <c r="E7846" s="58"/>
      <c r="F7846" s="58"/>
      <c r="G7846" s="58"/>
    </row>
    <row r="7847">
      <c r="D7847" s="58"/>
      <c r="E7847" s="58"/>
      <c r="F7847" s="58"/>
      <c r="G7847" s="58"/>
    </row>
    <row r="7848">
      <c r="D7848" s="58"/>
      <c r="E7848" s="58"/>
      <c r="F7848" s="58"/>
      <c r="G7848" s="58"/>
    </row>
    <row r="7849">
      <c r="D7849" s="58"/>
      <c r="E7849" s="58"/>
      <c r="F7849" s="58"/>
      <c r="G7849" s="58"/>
    </row>
    <row r="7850">
      <c r="D7850" s="58"/>
      <c r="E7850" s="58"/>
      <c r="F7850" s="58"/>
      <c r="G7850" s="58"/>
    </row>
    <row r="7851">
      <c r="D7851" s="58"/>
      <c r="E7851" s="58"/>
      <c r="F7851" s="58"/>
      <c r="G7851" s="58"/>
    </row>
    <row r="7852">
      <c r="D7852" s="58"/>
      <c r="E7852" s="58"/>
      <c r="F7852" s="58"/>
      <c r="G7852" s="58"/>
    </row>
    <row r="7853">
      <c r="D7853" s="58"/>
      <c r="E7853" s="58"/>
      <c r="F7853" s="58"/>
      <c r="G7853" s="58"/>
    </row>
    <row r="7854">
      <c r="D7854" s="58"/>
      <c r="E7854" s="58"/>
      <c r="F7854" s="58"/>
      <c r="G7854" s="58"/>
    </row>
    <row r="7855">
      <c r="D7855" s="58"/>
      <c r="E7855" s="58"/>
      <c r="F7855" s="58"/>
      <c r="G7855" s="58"/>
    </row>
    <row r="7856">
      <c r="D7856" s="58"/>
      <c r="E7856" s="58"/>
      <c r="F7856" s="58"/>
      <c r="G7856" s="58"/>
    </row>
    <row r="7857">
      <c r="D7857" s="58"/>
      <c r="E7857" s="58"/>
      <c r="F7857" s="58"/>
      <c r="G7857" s="58"/>
    </row>
    <row r="7858">
      <c r="D7858" s="58"/>
      <c r="E7858" s="58"/>
      <c r="F7858" s="58"/>
      <c r="G7858" s="58"/>
    </row>
    <row r="7859">
      <c r="D7859" s="58"/>
      <c r="E7859" s="58"/>
      <c r="F7859" s="58"/>
      <c r="G7859" s="58"/>
    </row>
    <row r="7860">
      <c r="D7860" s="58"/>
      <c r="E7860" s="58"/>
      <c r="F7860" s="58"/>
      <c r="G7860" s="58"/>
    </row>
    <row r="7861">
      <c r="D7861" s="58"/>
      <c r="E7861" s="58"/>
      <c r="F7861" s="58"/>
      <c r="G7861" s="58"/>
    </row>
    <row r="7862">
      <c r="D7862" s="58"/>
      <c r="E7862" s="58"/>
      <c r="F7862" s="58"/>
      <c r="G7862" s="58"/>
    </row>
    <row r="7863">
      <c r="D7863" s="58"/>
      <c r="E7863" s="58"/>
      <c r="F7863" s="58"/>
      <c r="G7863" s="58"/>
    </row>
    <row r="7864">
      <c r="D7864" s="58"/>
      <c r="E7864" s="58"/>
      <c r="F7864" s="58"/>
      <c r="G7864" s="58"/>
    </row>
    <row r="7865">
      <c r="D7865" s="58"/>
      <c r="E7865" s="58"/>
      <c r="F7865" s="58"/>
      <c r="G7865" s="58"/>
    </row>
    <row r="7866">
      <c r="D7866" s="58"/>
      <c r="E7866" s="58"/>
      <c r="F7866" s="58"/>
      <c r="G7866" s="58"/>
    </row>
    <row r="7867">
      <c r="D7867" s="58"/>
      <c r="E7867" s="58"/>
      <c r="F7867" s="58"/>
      <c r="G7867" s="58"/>
    </row>
    <row r="7868">
      <c r="D7868" s="58"/>
      <c r="E7868" s="58"/>
      <c r="F7868" s="58"/>
      <c r="G7868" s="58"/>
    </row>
    <row r="7869">
      <c r="D7869" s="58"/>
      <c r="E7869" s="58"/>
      <c r="F7869" s="58"/>
      <c r="G7869" s="58"/>
    </row>
    <row r="7870">
      <c r="D7870" s="58"/>
      <c r="E7870" s="58"/>
      <c r="F7870" s="58"/>
      <c r="G7870" s="58"/>
    </row>
    <row r="7871">
      <c r="D7871" s="58"/>
      <c r="E7871" s="58"/>
      <c r="F7871" s="58"/>
      <c r="G7871" s="58"/>
    </row>
    <row r="7872">
      <c r="D7872" s="58"/>
      <c r="E7872" s="58"/>
      <c r="F7872" s="58"/>
      <c r="G7872" s="58"/>
    </row>
    <row r="7873">
      <c r="D7873" s="58"/>
      <c r="E7873" s="58"/>
      <c r="F7873" s="58"/>
      <c r="G7873" s="58"/>
    </row>
    <row r="7874">
      <c r="D7874" s="58"/>
      <c r="E7874" s="58"/>
      <c r="F7874" s="58"/>
      <c r="G7874" s="58"/>
    </row>
    <row r="7875">
      <c r="D7875" s="58"/>
      <c r="E7875" s="58"/>
      <c r="F7875" s="58"/>
      <c r="G7875" s="58"/>
    </row>
    <row r="7876">
      <c r="D7876" s="58"/>
      <c r="E7876" s="58"/>
      <c r="F7876" s="58"/>
      <c r="G7876" s="58"/>
    </row>
    <row r="7877">
      <c r="D7877" s="58"/>
      <c r="E7877" s="58"/>
      <c r="F7877" s="58"/>
      <c r="G7877" s="58"/>
    </row>
    <row r="7878">
      <c r="D7878" s="58"/>
      <c r="E7878" s="58"/>
      <c r="F7878" s="58"/>
      <c r="G7878" s="58"/>
    </row>
    <row r="7879">
      <c r="D7879" s="58"/>
      <c r="E7879" s="58"/>
      <c r="F7879" s="58"/>
      <c r="G7879" s="58"/>
    </row>
    <row r="7880">
      <c r="D7880" s="58"/>
      <c r="E7880" s="58"/>
      <c r="F7880" s="58"/>
      <c r="G7880" s="58"/>
    </row>
    <row r="7881">
      <c r="D7881" s="58"/>
      <c r="E7881" s="58"/>
      <c r="F7881" s="58"/>
      <c r="G7881" s="58"/>
    </row>
    <row r="7882">
      <c r="D7882" s="58"/>
      <c r="E7882" s="58"/>
      <c r="F7882" s="58"/>
      <c r="G7882" s="58"/>
    </row>
    <row r="7883">
      <c r="D7883" s="58"/>
      <c r="E7883" s="58"/>
      <c r="F7883" s="58"/>
      <c r="G7883" s="58"/>
    </row>
    <row r="7884">
      <c r="D7884" s="58"/>
      <c r="E7884" s="58"/>
      <c r="F7884" s="58"/>
      <c r="G7884" s="58"/>
    </row>
    <row r="7885">
      <c r="D7885" s="58"/>
      <c r="E7885" s="58"/>
      <c r="F7885" s="58"/>
      <c r="G7885" s="58"/>
    </row>
    <row r="7886">
      <c r="D7886" s="58"/>
      <c r="E7886" s="58"/>
      <c r="F7886" s="58"/>
      <c r="G7886" s="58"/>
    </row>
    <row r="7887">
      <c r="D7887" s="58"/>
      <c r="E7887" s="58"/>
      <c r="F7887" s="58"/>
      <c r="G7887" s="58"/>
    </row>
    <row r="7888">
      <c r="D7888" s="58"/>
      <c r="E7888" s="58"/>
      <c r="F7888" s="58"/>
      <c r="G7888" s="58"/>
    </row>
    <row r="7889">
      <c r="D7889" s="58"/>
      <c r="E7889" s="58"/>
      <c r="F7889" s="58"/>
      <c r="G7889" s="58"/>
    </row>
    <row r="7890">
      <c r="D7890" s="58"/>
      <c r="E7890" s="58"/>
      <c r="F7890" s="58"/>
      <c r="G7890" s="58"/>
    </row>
    <row r="7891">
      <c r="D7891" s="58"/>
      <c r="E7891" s="58"/>
      <c r="F7891" s="58"/>
      <c r="G7891" s="58"/>
    </row>
    <row r="7892">
      <c r="D7892" s="58"/>
      <c r="E7892" s="58"/>
      <c r="F7892" s="58"/>
      <c r="G7892" s="58"/>
    </row>
    <row r="7893">
      <c r="D7893" s="58"/>
      <c r="E7893" s="58"/>
      <c r="F7893" s="58"/>
      <c r="G7893" s="58"/>
    </row>
    <row r="7894">
      <c r="D7894" s="58"/>
      <c r="E7894" s="58"/>
      <c r="F7894" s="58"/>
      <c r="G7894" s="58"/>
    </row>
    <row r="7895">
      <c r="D7895" s="58"/>
      <c r="E7895" s="58"/>
      <c r="F7895" s="58"/>
      <c r="G7895" s="58"/>
    </row>
    <row r="7896">
      <c r="D7896" s="58"/>
      <c r="E7896" s="58"/>
      <c r="F7896" s="58"/>
      <c r="G7896" s="58"/>
    </row>
    <row r="7897">
      <c r="D7897" s="58"/>
      <c r="E7897" s="58"/>
      <c r="F7897" s="58"/>
      <c r="G7897" s="58"/>
    </row>
    <row r="7898">
      <c r="D7898" s="58"/>
      <c r="E7898" s="58"/>
      <c r="F7898" s="58"/>
      <c r="G7898" s="58"/>
    </row>
    <row r="7899">
      <c r="D7899" s="58"/>
      <c r="E7899" s="58"/>
      <c r="F7899" s="58"/>
      <c r="G7899" s="58"/>
    </row>
    <row r="7900">
      <c r="D7900" s="58"/>
      <c r="E7900" s="58"/>
      <c r="F7900" s="58"/>
      <c r="G7900" s="58"/>
    </row>
    <row r="7901">
      <c r="D7901" s="58"/>
      <c r="E7901" s="58"/>
      <c r="F7901" s="58"/>
      <c r="G7901" s="58"/>
    </row>
    <row r="7902">
      <c r="D7902" s="58"/>
      <c r="E7902" s="58"/>
      <c r="F7902" s="58"/>
      <c r="G7902" s="58"/>
    </row>
    <row r="7903">
      <c r="D7903" s="58"/>
      <c r="E7903" s="58"/>
      <c r="F7903" s="58"/>
      <c r="G7903" s="58"/>
    </row>
    <row r="7904">
      <c r="D7904" s="58"/>
      <c r="E7904" s="58"/>
      <c r="F7904" s="58"/>
      <c r="G7904" s="58"/>
    </row>
    <row r="7905">
      <c r="D7905" s="58"/>
      <c r="E7905" s="58"/>
      <c r="F7905" s="58"/>
      <c r="G7905" s="58"/>
    </row>
    <row r="7906">
      <c r="D7906" s="58"/>
      <c r="E7906" s="58"/>
      <c r="F7906" s="58"/>
      <c r="G7906" s="58"/>
    </row>
    <row r="7907">
      <c r="D7907" s="58"/>
      <c r="E7907" s="58"/>
      <c r="F7907" s="58"/>
      <c r="G7907" s="58"/>
    </row>
    <row r="7908">
      <c r="D7908" s="58"/>
      <c r="E7908" s="58"/>
      <c r="F7908" s="58"/>
      <c r="G7908" s="58"/>
    </row>
    <row r="7909">
      <c r="D7909" s="58"/>
      <c r="E7909" s="58"/>
      <c r="F7909" s="58"/>
      <c r="G7909" s="58"/>
    </row>
    <row r="7910">
      <c r="D7910" s="58"/>
      <c r="E7910" s="58"/>
      <c r="F7910" s="58"/>
      <c r="G7910" s="58"/>
    </row>
    <row r="7911">
      <c r="D7911" s="58"/>
      <c r="E7911" s="58"/>
      <c r="F7911" s="58"/>
      <c r="G7911" s="58"/>
    </row>
    <row r="7912">
      <c r="D7912" s="58"/>
      <c r="E7912" s="58"/>
      <c r="F7912" s="58"/>
      <c r="G7912" s="58"/>
    </row>
    <row r="7913">
      <c r="D7913" s="58"/>
      <c r="E7913" s="58"/>
      <c r="F7913" s="58"/>
      <c r="G7913" s="58"/>
    </row>
    <row r="7914">
      <c r="D7914" s="58"/>
      <c r="E7914" s="58"/>
      <c r="F7914" s="58"/>
      <c r="G7914" s="58"/>
    </row>
    <row r="7915">
      <c r="D7915" s="58"/>
      <c r="E7915" s="58"/>
      <c r="F7915" s="58"/>
      <c r="G7915" s="58"/>
    </row>
    <row r="7916">
      <c r="D7916" s="58"/>
      <c r="E7916" s="58"/>
      <c r="F7916" s="58"/>
      <c r="G7916" s="58"/>
    </row>
    <row r="7917">
      <c r="D7917" s="58"/>
      <c r="E7917" s="58"/>
      <c r="F7917" s="58"/>
      <c r="G7917" s="58"/>
    </row>
    <row r="7918">
      <c r="D7918" s="58"/>
      <c r="E7918" s="58"/>
      <c r="F7918" s="58"/>
      <c r="G7918" s="58"/>
    </row>
    <row r="7919">
      <c r="D7919" s="58"/>
      <c r="E7919" s="58"/>
      <c r="F7919" s="58"/>
      <c r="G7919" s="58"/>
    </row>
    <row r="7920">
      <c r="D7920" s="58"/>
      <c r="E7920" s="58"/>
      <c r="F7920" s="58"/>
      <c r="G7920" s="58"/>
    </row>
    <row r="7921">
      <c r="D7921" s="58"/>
      <c r="E7921" s="58"/>
      <c r="F7921" s="58"/>
      <c r="G7921" s="58"/>
    </row>
    <row r="7922">
      <c r="D7922" s="58"/>
      <c r="E7922" s="58"/>
      <c r="F7922" s="58"/>
      <c r="G7922" s="58"/>
    </row>
    <row r="7923">
      <c r="D7923" s="58"/>
      <c r="E7923" s="58"/>
      <c r="F7923" s="58"/>
      <c r="G7923" s="58"/>
    </row>
    <row r="7924">
      <c r="D7924" s="58"/>
      <c r="E7924" s="58"/>
      <c r="F7924" s="58"/>
      <c r="G7924" s="58"/>
    </row>
    <row r="7925">
      <c r="D7925" s="58"/>
      <c r="E7925" s="58"/>
      <c r="F7925" s="58"/>
      <c r="G7925" s="58"/>
    </row>
    <row r="7926">
      <c r="D7926" s="58"/>
      <c r="E7926" s="58"/>
      <c r="F7926" s="58"/>
      <c r="G7926" s="58"/>
    </row>
    <row r="7927">
      <c r="D7927" s="58"/>
      <c r="E7927" s="58"/>
      <c r="F7927" s="58"/>
      <c r="G7927" s="58"/>
    </row>
    <row r="7928">
      <c r="D7928" s="58"/>
      <c r="E7928" s="58"/>
      <c r="F7928" s="58"/>
      <c r="G7928" s="58"/>
    </row>
    <row r="7929">
      <c r="D7929" s="58"/>
      <c r="E7929" s="58"/>
      <c r="F7929" s="58"/>
      <c r="G7929" s="58"/>
    </row>
    <row r="7930">
      <c r="D7930" s="58"/>
      <c r="E7930" s="58"/>
      <c r="F7930" s="58"/>
      <c r="G7930" s="58"/>
    </row>
    <row r="7931">
      <c r="D7931" s="58"/>
      <c r="E7931" s="58"/>
      <c r="F7931" s="58"/>
      <c r="G7931" s="58"/>
    </row>
    <row r="7932">
      <c r="D7932" s="58"/>
      <c r="E7932" s="58"/>
      <c r="F7932" s="58"/>
      <c r="G7932" s="58"/>
    </row>
    <row r="7933">
      <c r="D7933" s="58"/>
      <c r="E7933" s="58"/>
      <c r="F7933" s="58"/>
      <c r="G7933" s="58"/>
    </row>
    <row r="7934">
      <c r="D7934" s="58"/>
      <c r="E7934" s="58"/>
      <c r="F7934" s="58"/>
      <c r="G7934" s="58"/>
    </row>
    <row r="7935">
      <c r="D7935" s="58"/>
      <c r="E7935" s="58"/>
      <c r="F7935" s="58"/>
      <c r="G7935" s="58"/>
    </row>
    <row r="7936">
      <c r="D7936" s="58"/>
      <c r="E7936" s="58"/>
      <c r="F7936" s="58"/>
      <c r="G7936" s="58"/>
    </row>
    <row r="7937">
      <c r="D7937" s="58"/>
      <c r="E7937" s="58"/>
      <c r="F7937" s="58"/>
      <c r="G7937" s="58"/>
    </row>
    <row r="7938">
      <c r="D7938" s="58"/>
      <c r="E7938" s="58"/>
      <c r="F7938" s="58"/>
      <c r="G7938" s="58"/>
    </row>
    <row r="7939">
      <c r="D7939" s="58"/>
      <c r="E7939" s="58"/>
      <c r="F7939" s="58"/>
      <c r="G7939" s="58"/>
    </row>
    <row r="7940">
      <c r="D7940" s="58"/>
      <c r="E7940" s="58"/>
      <c r="F7940" s="58"/>
      <c r="G7940" s="58"/>
    </row>
    <row r="7941">
      <c r="D7941" s="58"/>
      <c r="E7941" s="58"/>
      <c r="F7941" s="58"/>
      <c r="G7941" s="58"/>
    </row>
    <row r="7942">
      <c r="D7942" s="58"/>
      <c r="E7942" s="58"/>
      <c r="F7942" s="58"/>
      <c r="G7942" s="58"/>
    </row>
    <row r="7943">
      <c r="D7943" s="58"/>
      <c r="E7943" s="58"/>
      <c r="F7943" s="58"/>
      <c r="G7943" s="58"/>
    </row>
    <row r="7944">
      <c r="D7944" s="58"/>
      <c r="E7944" s="58"/>
      <c r="F7944" s="58"/>
      <c r="G7944" s="58"/>
    </row>
    <row r="7945">
      <c r="D7945" s="58"/>
      <c r="E7945" s="58"/>
      <c r="F7945" s="58"/>
      <c r="G7945" s="58"/>
    </row>
    <row r="7946">
      <c r="D7946" s="58"/>
      <c r="E7946" s="58"/>
      <c r="F7946" s="58"/>
      <c r="G7946" s="58"/>
    </row>
    <row r="7947">
      <c r="D7947" s="58"/>
      <c r="E7947" s="58"/>
      <c r="F7947" s="58"/>
      <c r="G7947" s="58"/>
    </row>
    <row r="7948">
      <c r="D7948" s="58"/>
      <c r="E7948" s="58"/>
      <c r="F7948" s="58"/>
      <c r="G7948" s="58"/>
    </row>
    <row r="7949">
      <c r="D7949" s="58"/>
      <c r="E7949" s="58"/>
      <c r="F7949" s="58"/>
      <c r="G7949" s="58"/>
    </row>
    <row r="7950">
      <c r="D7950" s="58"/>
      <c r="E7950" s="58"/>
      <c r="F7950" s="58"/>
      <c r="G7950" s="58"/>
    </row>
    <row r="7951">
      <c r="D7951" s="58"/>
      <c r="E7951" s="58"/>
      <c r="F7951" s="58"/>
      <c r="G7951" s="58"/>
    </row>
    <row r="7952">
      <c r="D7952" s="58"/>
      <c r="E7952" s="58"/>
      <c r="F7952" s="58"/>
      <c r="G7952" s="58"/>
    </row>
    <row r="7953">
      <c r="D7953" s="58"/>
      <c r="E7953" s="58"/>
      <c r="F7953" s="58"/>
      <c r="G7953" s="58"/>
    </row>
    <row r="7954">
      <c r="D7954" s="58"/>
      <c r="E7954" s="58"/>
      <c r="F7954" s="58"/>
      <c r="G7954" s="58"/>
    </row>
    <row r="7955">
      <c r="D7955" s="58"/>
      <c r="E7955" s="58"/>
      <c r="F7955" s="58"/>
      <c r="G7955" s="58"/>
    </row>
    <row r="7956">
      <c r="D7956" s="58"/>
      <c r="E7956" s="58"/>
      <c r="F7956" s="58"/>
      <c r="G7956" s="58"/>
    </row>
    <row r="7957">
      <c r="D7957" s="58"/>
      <c r="E7957" s="58"/>
      <c r="F7957" s="58"/>
      <c r="G7957" s="58"/>
    </row>
    <row r="7958">
      <c r="D7958" s="58"/>
      <c r="E7958" s="58"/>
      <c r="F7958" s="58"/>
      <c r="G7958" s="58"/>
    </row>
    <row r="7959">
      <c r="D7959" s="58"/>
      <c r="E7959" s="58"/>
      <c r="F7959" s="58"/>
      <c r="G7959" s="58"/>
    </row>
    <row r="7960">
      <c r="D7960" s="58"/>
      <c r="E7960" s="58"/>
      <c r="F7960" s="58"/>
      <c r="G7960" s="58"/>
    </row>
    <row r="7961">
      <c r="D7961" s="58"/>
      <c r="E7961" s="58"/>
      <c r="F7961" s="58"/>
      <c r="G7961" s="58"/>
    </row>
    <row r="7962">
      <c r="D7962" s="58"/>
      <c r="E7962" s="58"/>
      <c r="F7962" s="58"/>
      <c r="G7962" s="58"/>
    </row>
    <row r="7963">
      <c r="D7963" s="58"/>
      <c r="E7963" s="58"/>
      <c r="F7963" s="58"/>
      <c r="G7963" s="58"/>
    </row>
    <row r="7964">
      <c r="D7964" s="58"/>
      <c r="E7964" s="58"/>
      <c r="F7964" s="58"/>
      <c r="G7964" s="58"/>
    </row>
    <row r="7965">
      <c r="D7965" s="58"/>
      <c r="E7965" s="58"/>
      <c r="F7965" s="58"/>
      <c r="G7965" s="58"/>
    </row>
    <row r="7966">
      <c r="D7966" s="58"/>
      <c r="E7966" s="58"/>
      <c r="F7966" s="58"/>
      <c r="G7966" s="58"/>
    </row>
    <row r="7967">
      <c r="D7967" s="58"/>
      <c r="E7967" s="58"/>
      <c r="F7967" s="58"/>
      <c r="G7967" s="58"/>
    </row>
    <row r="7968">
      <c r="D7968" s="58"/>
      <c r="E7968" s="58"/>
      <c r="F7968" s="58"/>
      <c r="G7968" s="58"/>
    </row>
    <row r="7969">
      <c r="D7969" s="58"/>
      <c r="E7969" s="58"/>
      <c r="F7969" s="58"/>
      <c r="G7969" s="58"/>
    </row>
    <row r="7970">
      <c r="D7970" s="58"/>
      <c r="E7970" s="58"/>
      <c r="F7970" s="58"/>
      <c r="G7970" s="58"/>
    </row>
    <row r="7971">
      <c r="D7971" s="58"/>
      <c r="E7971" s="58"/>
      <c r="F7971" s="58"/>
      <c r="G7971" s="58"/>
    </row>
    <row r="7972">
      <c r="D7972" s="58"/>
      <c r="E7972" s="58"/>
      <c r="F7972" s="58"/>
      <c r="G7972" s="58"/>
    </row>
    <row r="7973">
      <c r="D7973" s="58"/>
      <c r="E7973" s="58"/>
      <c r="F7973" s="58"/>
      <c r="G7973" s="58"/>
    </row>
    <row r="7974">
      <c r="D7974" s="58"/>
      <c r="E7974" s="58"/>
      <c r="F7974" s="58"/>
      <c r="G7974" s="58"/>
    </row>
    <row r="7975">
      <c r="D7975" s="58"/>
      <c r="E7975" s="58"/>
      <c r="F7975" s="58"/>
      <c r="G7975" s="58"/>
    </row>
    <row r="7976">
      <c r="D7976" s="58"/>
      <c r="E7976" s="58"/>
      <c r="F7976" s="58"/>
      <c r="G7976" s="58"/>
    </row>
    <row r="7977">
      <c r="D7977" s="58"/>
      <c r="E7977" s="58"/>
      <c r="F7977" s="58"/>
      <c r="G7977" s="58"/>
    </row>
    <row r="7978">
      <c r="D7978" s="58"/>
      <c r="E7978" s="58"/>
      <c r="F7978" s="58"/>
      <c r="G7978" s="58"/>
    </row>
    <row r="7979">
      <c r="D7979" s="58"/>
      <c r="E7979" s="58"/>
      <c r="F7979" s="58"/>
      <c r="G7979" s="58"/>
    </row>
    <row r="7980">
      <c r="D7980" s="58"/>
      <c r="E7980" s="58"/>
      <c r="F7980" s="58"/>
      <c r="G7980" s="58"/>
    </row>
    <row r="7981">
      <c r="D7981" s="58"/>
      <c r="E7981" s="58"/>
      <c r="F7981" s="58"/>
      <c r="G7981" s="58"/>
    </row>
    <row r="7982">
      <c r="D7982" s="58"/>
      <c r="E7982" s="58"/>
      <c r="F7982" s="58"/>
      <c r="G7982" s="58"/>
    </row>
    <row r="7983">
      <c r="D7983" s="58"/>
      <c r="E7983" s="58"/>
      <c r="F7983" s="58"/>
      <c r="G7983" s="58"/>
    </row>
    <row r="7984">
      <c r="D7984" s="58"/>
      <c r="E7984" s="58"/>
      <c r="F7984" s="58"/>
      <c r="G7984" s="58"/>
    </row>
    <row r="7985">
      <c r="D7985" s="58"/>
      <c r="E7985" s="58"/>
      <c r="F7985" s="58"/>
      <c r="G7985" s="58"/>
    </row>
    <row r="7986">
      <c r="D7986" s="58"/>
      <c r="E7986" s="58"/>
      <c r="F7986" s="58"/>
      <c r="G7986" s="58"/>
    </row>
    <row r="7987">
      <c r="D7987" s="58"/>
      <c r="E7987" s="58"/>
      <c r="F7987" s="58"/>
      <c r="G7987" s="58"/>
    </row>
    <row r="7988">
      <c r="D7988" s="58"/>
      <c r="E7988" s="58"/>
      <c r="F7988" s="58"/>
      <c r="G7988" s="58"/>
    </row>
    <row r="7989">
      <c r="D7989" s="58"/>
      <c r="E7989" s="58"/>
      <c r="F7989" s="58"/>
      <c r="G7989" s="58"/>
    </row>
    <row r="7990">
      <c r="D7990" s="58"/>
      <c r="E7990" s="58"/>
      <c r="F7990" s="58"/>
      <c r="G7990" s="58"/>
    </row>
    <row r="7991">
      <c r="D7991" s="58"/>
      <c r="E7991" s="58"/>
      <c r="F7991" s="58"/>
      <c r="G7991" s="58"/>
    </row>
    <row r="7992">
      <c r="D7992" s="58"/>
      <c r="E7992" s="58"/>
      <c r="F7992" s="58"/>
      <c r="G7992" s="58"/>
    </row>
    <row r="7993">
      <c r="D7993" s="58"/>
      <c r="E7993" s="58"/>
      <c r="F7993" s="58"/>
      <c r="G7993" s="58"/>
    </row>
    <row r="7994">
      <c r="D7994" s="58"/>
      <c r="E7994" s="58"/>
      <c r="F7994" s="58"/>
      <c r="G7994" s="58"/>
    </row>
    <row r="7995">
      <c r="D7995" s="58"/>
      <c r="E7995" s="58"/>
      <c r="F7995" s="58"/>
      <c r="G7995" s="58"/>
    </row>
    <row r="7996">
      <c r="D7996" s="58"/>
      <c r="E7996" s="58"/>
      <c r="F7996" s="58"/>
      <c r="G7996" s="58"/>
    </row>
    <row r="7997">
      <c r="D7997" s="58"/>
      <c r="E7997" s="58"/>
      <c r="F7997" s="58"/>
      <c r="G7997" s="58"/>
    </row>
    <row r="7998">
      <c r="D7998" s="58"/>
      <c r="E7998" s="58"/>
      <c r="F7998" s="58"/>
      <c r="G7998" s="58"/>
    </row>
    <row r="7999">
      <c r="D7999" s="58"/>
      <c r="E7999" s="58"/>
      <c r="F7999" s="58"/>
      <c r="G7999" s="58"/>
    </row>
    <row r="8000">
      <c r="D8000" s="58"/>
      <c r="E8000" s="58"/>
      <c r="F8000" s="58"/>
      <c r="G8000" s="58"/>
    </row>
    <row r="8001">
      <c r="D8001" s="58"/>
      <c r="E8001" s="58"/>
      <c r="F8001" s="58"/>
      <c r="G8001" s="58"/>
    </row>
    <row r="8002">
      <c r="D8002" s="58"/>
      <c r="E8002" s="58"/>
      <c r="F8002" s="58"/>
      <c r="G8002" s="58"/>
    </row>
    <row r="8003">
      <c r="D8003" s="58"/>
      <c r="E8003" s="58"/>
      <c r="F8003" s="58"/>
      <c r="G8003" s="58"/>
    </row>
    <row r="8004">
      <c r="D8004" s="58"/>
      <c r="E8004" s="58"/>
      <c r="F8004" s="58"/>
      <c r="G8004" s="58"/>
    </row>
    <row r="8005">
      <c r="D8005" s="58"/>
      <c r="E8005" s="58"/>
      <c r="F8005" s="58"/>
      <c r="G8005" s="58"/>
    </row>
    <row r="8006">
      <c r="D8006" s="58"/>
      <c r="E8006" s="58"/>
      <c r="F8006" s="58"/>
      <c r="G8006" s="58"/>
    </row>
    <row r="8007">
      <c r="D8007" s="58"/>
      <c r="E8007" s="58"/>
      <c r="F8007" s="58"/>
      <c r="G8007" s="58"/>
    </row>
    <row r="8008">
      <c r="D8008" s="58"/>
      <c r="E8008" s="58"/>
      <c r="F8008" s="58"/>
      <c r="G8008" s="58"/>
    </row>
    <row r="8009">
      <c r="D8009" s="58"/>
      <c r="E8009" s="58"/>
      <c r="F8009" s="58"/>
      <c r="G8009" s="58"/>
    </row>
    <row r="8010">
      <c r="D8010" s="58"/>
      <c r="E8010" s="58"/>
      <c r="F8010" s="58"/>
      <c r="G8010" s="58"/>
    </row>
    <row r="8011">
      <c r="D8011" s="58"/>
      <c r="E8011" s="58"/>
      <c r="F8011" s="58"/>
      <c r="G8011" s="58"/>
    </row>
    <row r="8012">
      <c r="D8012" s="58"/>
      <c r="E8012" s="58"/>
      <c r="F8012" s="58"/>
      <c r="G8012" s="58"/>
    </row>
    <row r="8013">
      <c r="D8013" s="58"/>
      <c r="E8013" s="58"/>
      <c r="F8013" s="58"/>
      <c r="G8013" s="58"/>
    </row>
    <row r="8014">
      <c r="D8014" s="58"/>
      <c r="E8014" s="58"/>
      <c r="F8014" s="58"/>
      <c r="G8014" s="58"/>
    </row>
    <row r="8015">
      <c r="D8015" s="58"/>
      <c r="E8015" s="58"/>
      <c r="F8015" s="58"/>
      <c r="G8015" s="58"/>
    </row>
    <row r="8016">
      <c r="D8016" s="58"/>
      <c r="E8016" s="58"/>
      <c r="F8016" s="58"/>
      <c r="G8016" s="58"/>
    </row>
    <row r="8017">
      <c r="D8017" s="58"/>
      <c r="E8017" s="58"/>
      <c r="F8017" s="58"/>
      <c r="G8017" s="58"/>
    </row>
    <row r="8018">
      <c r="D8018" s="58"/>
      <c r="E8018" s="58"/>
      <c r="F8018" s="58"/>
      <c r="G8018" s="58"/>
    </row>
    <row r="8019">
      <c r="D8019" s="58"/>
      <c r="E8019" s="58"/>
      <c r="F8019" s="58"/>
      <c r="G8019" s="58"/>
    </row>
    <row r="8020">
      <c r="D8020" s="58"/>
      <c r="E8020" s="58"/>
      <c r="F8020" s="58"/>
      <c r="G8020" s="58"/>
    </row>
    <row r="8021">
      <c r="D8021" s="58"/>
      <c r="E8021" s="58"/>
      <c r="F8021" s="58"/>
      <c r="G8021" s="58"/>
    </row>
    <row r="8022">
      <c r="D8022" s="58"/>
      <c r="E8022" s="58"/>
      <c r="F8022" s="58"/>
      <c r="G8022" s="58"/>
    </row>
    <row r="8023">
      <c r="D8023" s="58"/>
      <c r="E8023" s="58"/>
      <c r="F8023" s="58"/>
      <c r="G8023" s="58"/>
    </row>
    <row r="8024">
      <c r="D8024" s="58"/>
      <c r="E8024" s="58"/>
      <c r="F8024" s="58"/>
      <c r="G8024" s="58"/>
    </row>
    <row r="8025">
      <c r="D8025" s="58"/>
      <c r="E8025" s="58"/>
      <c r="F8025" s="58"/>
      <c r="G8025" s="58"/>
    </row>
    <row r="8026">
      <c r="D8026" s="58"/>
      <c r="E8026" s="58"/>
      <c r="F8026" s="58"/>
      <c r="G8026" s="58"/>
    </row>
    <row r="8027">
      <c r="D8027" s="58"/>
      <c r="E8027" s="58"/>
      <c r="F8027" s="58"/>
      <c r="G8027" s="58"/>
    </row>
    <row r="8028">
      <c r="D8028" s="58"/>
      <c r="E8028" s="58"/>
      <c r="F8028" s="58"/>
      <c r="G8028" s="58"/>
    </row>
    <row r="8029">
      <c r="D8029" s="58"/>
      <c r="E8029" s="58"/>
      <c r="F8029" s="58"/>
      <c r="G8029" s="58"/>
    </row>
    <row r="8030">
      <c r="D8030" s="58"/>
      <c r="E8030" s="58"/>
      <c r="F8030" s="58"/>
      <c r="G8030" s="58"/>
    </row>
    <row r="8031">
      <c r="D8031" s="58"/>
      <c r="E8031" s="58"/>
      <c r="F8031" s="58"/>
      <c r="G8031" s="58"/>
    </row>
    <row r="8032">
      <c r="D8032" s="58"/>
      <c r="E8032" s="58"/>
      <c r="F8032" s="58"/>
      <c r="G8032" s="58"/>
    </row>
    <row r="8033">
      <c r="D8033" s="58"/>
      <c r="E8033" s="58"/>
      <c r="F8033" s="58"/>
      <c r="G8033" s="58"/>
    </row>
    <row r="8034">
      <c r="D8034" s="58"/>
      <c r="E8034" s="58"/>
      <c r="F8034" s="58"/>
      <c r="G8034" s="58"/>
    </row>
    <row r="8035">
      <c r="D8035" s="58"/>
      <c r="E8035" s="58"/>
      <c r="F8035" s="58"/>
      <c r="G8035" s="58"/>
    </row>
    <row r="8036">
      <c r="D8036" s="58"/>
      <c r="E8036" s="58"/>
      <c r="F8036" s="58"/>
      <c r="G8036" s="58"/>
    </row>
    <row r="8037">
      <c r="D8037" s="58"/>
      <c r="E8037" s="58"/>
      <c r="F8037" s="58"/>
      <c r="G8037" s="58"/>
    </row>
    <row r="8038">
      <c r="D8038" s="58"/>
      <c r="E8038" s="58"/>
      <c r="F8038" s="58"/>
      <c r="G8038" s="58"/>
    </row>
    <row r="8039">
      <c r="D8039" s="58"/>
      <c r="E8039" s="58"/>
      <c r="F8039" s="58"/>
      <c r="G8039" s="58"/>
    </row>
    <row r="8040">
      <c r="D8040" s="58"/>
      <c r="E8040" s="58"/>
      <c r="F8040" s="58"/>
      <c r="G8040" s="58"/>
    </row>
    <row r="8041">
      <c r="D8041" s="58"/>
      <c r="E8041" s="58"/>
      <c r="F8041" s="58"/>
      <c r="G8041" s="58"/>
    </row>
    <row r="8042">
      <c r="D8042" s="58"/>
      <c r="E8042" s="58"/>
      <c r="F8042" s="58"/>
      <c r="G8042" s="58"/>
    </row>
    <row r="8043">
      <c r="D8043" s="58"/>
      <c r="E8043" s="58"/>
      <c r="F8043" s="58"/>
      <c r="G8043" s="58"/>
    </row>
    <row r="8044">
      <c r="D8044" s="58"/>
      <c r="E8044" s="58"/>
      <c r="F8044" s="58"/>
      <c r="G8044" s="58"/>
    </row>
    <row r="8045">
      <c r="D8045" s="58"/>
      <c r="E8045" s="58"/>
      <c r="F8045" s="58"/>
      <c r="G8045" s="58"/>
    </row>
    <row r="8046">
      <c r="D8046" s="58"/>
      <c r="E8046" s="58"/>
      <c r="F8046" s="58"/>
      <c r="G8046" s="58"/>
    </row>
    <row r="8047">
      <c r="D8047" s="58"/>
      <c r="E8047" s="58"/>
      <c r="F8047" s="58"/>
      <c r="G8047" s="58"/>
    </row>
    <row r="8048">
      <c r="D8048" s="58"/>
      <c r="E8048" s="58"/>
      <c r="F8048" s="58"/>
      <c r="G8048" s="58"/>
    </row>
    <row r="8049">
      <c r="D8049" s="58"/>
      <c r="E8049" s="58"/>
      <c r="F8049" s="58"/>
      <c r="G8049" s="58"/>
    </row>
    <row r="8050">
      <c r="D8050" s="58"/>
      <c r="E8050" s="58"/>
      <c r="F8050" s="58"/>
      <c r="G8050" s="58"/>
    </row>
    <row r="8051">
      <c r="D8051" s="58"/>
      <c r="E8051" s="58"/>
      <c r="F8051" s="58"/>
      <c r="G8051" s="58"/>
    </row>
    <row r="8052">
      <c r="D8052" s="58"/>
      <c r="E8052" s="58"/>
      <c r="F8052" s="58"/>
      <c r="G8052" s="58"/>
    </row>
    <row r="8053">
      <c r="D8053" s="58"/>
      <c r="E8053" s="58"/>
      <c r="F8053" s="58"/>
      <c r="G8053" s="58"/>
    </row>
    <row r="8054">
      <c r="D8054" s="58"/>
      <c r="E8054" s="58"/>
      <c r="F8054" s="58"/>
      <c r="G8054" s="58"/>
    </row>
    <row r="8055">
      <c r="D8055" s="58"/>
      <c r="E8055" s="58"/>
      <c r="F8055" s="58"/>
      <c r="G8055" s="58"/>
    </row>
    <row r="8056">
      <c r="D8056" s="58"/>
      <c r="E8056" s="58"/>
      <c r="F8056" s="58"/>
      <c r="G8056" s="58"/>
    </row>
    <row r="8057">
      <c r="D8057" s="58"/>
      <c r="E8057" s="58"/>
      <c r="F8057" s="58"/>
      <c r="G8057" s="58"/>
    </row>
    <row r="8058">
      <c r="D8058" s="58"/>
      <c r="E8058" s="58"/>
      <c r="F8058" s="58"/>
      <c r="G8058" s="58"/>
    </row>
    <row r="8059">
      <c r="D8059" s="58"/>
      <c r="E8059" s="58"/>
      <c r="F8059" s="58"/>
      <c r="G8059" s="58"/>
    </row>
    <row r="8060">
      <c r="D8060" s="58"/>
      <c r="E8060" s="58"/>
      <c r="F8060" s="58"/>
      <c r="G8060" s="58"/>
    </row>
    <row r="8061">
      <c r="D8061" s="58"/>
      <c r="E8061" s="58"/>
      <c r="F8061" s="58"/>
      <c r="G8061" s="58"/>
    </row>
    <row r="8062">
      <c r="D8062" s="58"/>
      <c r="E8062" s="58"/>
      <c r="F8062" s="58"/>
      <c r="G8062" s="58"/>
    </row>
    <row r="8063">
      <c r="D8063" s="58"/>
      <c r="E8063" s="58"/>
      <c r="F8063" s="58"/>
      <c r="G8063" s="58"/>
    </row>
    <row r="8064">
      <c r="D8064" s="58"/>
      <c r="E8064" s="58"/>
      <c r="F8064" s="58"/>
      <c r="G8064" s="58"/>
    </row>
    <row r="8065">
      <c r="D8065" s="58"/>
      <c r="E8065" s="58"/>
      <c r="F8065" s="58"/>
      <c r="G8065" s="58"/>
    </row>
    <row r="8066">
      <c r="D8066" s="58"/>
      <c r="E8066" s="58"/>
      <c r="F8066" s="58"/>
      <c r="G8066" s="58"/>
    </row>
    <row r="8067">
      <c r="D8067" s="58"/>
      <c r="E8067" s="58"/>
      <c r="F8067" s="58"/>
      <c r="G8067" s="58"/>
    </row>
    <row r="8068">
      <c r="D8068" s="58"/>
      <c r="E8068" s="58"/>
      <c r="F8068" s="58"/>
      <c r="G8068" s="58"/>
    </row>
    <row r="8069">
      <c r="D8069" s="58"/>
      <c r="E8069" s="58"/>
      <c r="F8069" s="58"/>
      <c r="G8069" s="58"/>
    </row>
    <row r="8070">
      <c r="D8070" s="58"/>
      <c r="E8070" s="58"/>
      <c r="F8070" s="58"/>
      <c r="G8070" s="58"/>
    </row>
    <row r="8071">
      <c r="D8071" s="58"/>
      <c r="E8071" s="58"/>
      <c r="F8071" s="58"/>
      <c r="G8071" s="58"/>
    </row>
    <row r="8072">
      <c r="D8072" s="58"/>
      <c r="E8072" s="58"/>
      <c r="F8072" s="58"/>
      <c r="G8072" s="58"/>
    </row>
    <row r="8073">
      <c r="D8073" s="58"/>
      <c r="E8073" s="58"/>
      <c r="F8073" s="58"/>
      <c r="G8073" s="58"/>
    </row>
    <row r="8074">
      <c r="D8074" s="58"/>
      <c r="E8074" s="58"/>
      <c r="F8074" s="58"/>
      <c r="G8074" s="58"/>
    </row>
    <row r="8075">
      <c r="D8075" s="58"/>
      <c r="E8075" s="58"/>
      <c r="F8075" s="58"/>
      <c r="G8075" s="58"/>
    </row>
    <row r="8076">
      <c r="D8076" s="58"/>
      <c r="E8076" s="58"/>
      <c r="F8076" s="58"/>
      <c r="G8076" s="58"/>
    </row>
    <row r="8077">
      <c r="D8077" s="58"/>
      <c r="E8077" s="58"/>
      <c r="F8077" s="58"/>
      <c r="G8077" s="58"/>
    </row>
    <row r="8078">
      <c r="D8078" s="58"/>
      <c r="E8078" s="58"/>
      <c r="F8078" s="58"/>
      <c r="G8078" s="58"/>
    </row>
    <row r="8079">
      <c r="D8079" s="58"/>
      <c r="E8079" s="58"/>
      <c r="F8079" s="58"/>
      <c r="G8079" s="58"/>
    </row>
    <row r="8080">
      <c r="D8080" s="58"/>
      <c r="E8080" s="58"/>
      <c r="F8080" s="58"/>
      <c r="G8080" s="58"/>
    </row>
    <row r="8081">
      <c r="D8081" s="58"/>
      <c r="E8081" s="58"/>
      <c r="F8081" s="58"/>
      <c r="G8081" s="58"/>
    </row>
    <row r="8082">
      <c r="D8082" s="58"/>
      <c r="E8082" s="58"/>
      <c r="F8082" s="58"/>
      <c r="G8082" s="58"/>
    </row>
    <row r="8083">
      <c r="D8083" s="58"/>
      <c r="E8083" s="58"/>
      <c r="F8083" s="58"/>
      <c r="G8083" s="58"/>
    </row>
    <row r="8084">
      <c r="D8084" s="58"/>
      <c r="E8084" s="58"/>
      <c r="F8084" s="58"/>
      <c r="G8084" s="58"/>
    </row>
    <row r="8085">
      <c r="D8085" s="58"/>
      <c r="E8085" s="58"/>
      <c r="F8085" s="58"/>
      <c r="G8085" s="58"/>
    </row>
    <row r="8086">
      <c r="D8086" s="58"/>
      <c r="E8086" s="58"/>
      <c r="F8086" s="58"/>
      <c r="G8086" s="58"/>
    </row>
    <row r="8087">
      <c r="D8087" s="58"/>
      <c r="E8087" s="58"/>
      <c r="F8087" s="58"/>
      <c r="G8087" s="58"/>
    </row>
    <row r="8088">
      <c r="D8088" s="58"/>
      <c r="E8088" s="58"/>
      <c r="F8088" s="58"/>
      <c r="G8088" s="58"/>
    </row>
    <row r="8089">
      <c r="D8089" s="58"/>
      <c r="E8089" s="58"/>
      <c r="F8089" s="58"/>
      <c r="G8089" s="58"/>
    </row>
    <row r="8090">
      <c r="D8090" s="58"/>
      <c r="E8090" s="58"/>
      <c r="F8090" s="58"/>
      <c r="G8090" s="58"/>
    </row>
    <row r="8091">
      <c r="D8091" s="58"/>
      <c r="E8091" s="58"/>
      <c r="F8091" s="58"/>
      <c r="G8091" s="58"/>
    </row>
    <row r="8092">
      <c r="D8092" s="58"/>
      <c r="E8092" s="58"/>
      <c r="F8092" s="58"/>
      <c r="G8092" s="58"/>
    </row>
    <row r="8093">
      <c r="D8093" s="58"/>
      <c r="E8093" s="58"/>
      <c r="F8093" s="58"/>
      <c r="G8093" s="58"/>
    </row>
    <row r="8094">
      <c r="D8094" s="58"/>
      <c r="E8094" s="58"/>
      <c r="F8094" s="58"/>
      <c r="G8094" s="58"/>
    </row>
    <row r="8095">
      <c r="D8095" s="58"/>
      <c r="E8095" s="58"/>
      <c r="F8095" s="58"/>
      <c r="G8095" s="58"/>
    </row>
    <row r="8096">
      <c r="D8096" s="58"/>
      <c r="E8096" s="58"/>
      <c r="F8096" s="58"/>
      <c r="G8096" s="58"/>
    </row>
    <row r="8097">
      <c r="D8097" s="58"/>
      <c r="E8097" s="58"/>
      <c r="F8097" s="58"/>
      <c r="G8097" s="58"/>
    </row>
    <row r="8098">
      <c r="D8098" s="58"/>
      <c r="E8098" s="58"/>
      <c r="F8098" s="58"/>
      <c r="G8098" s="58"/>
    </row>
    <row r="8099">
      <c r="D8099" s="58"/>
      <c r="E8099" s="58"/>
      <c r="F8099" s="58"/>
      <c r="G8099" s="58"/>
    </row>
    <row r="8100">
      <c r="D8100" s="58"/>
      <c r="E8100" s="58"/>
      <c r="F8100" s="58"/>
      <c r="G8100" s="58"/>
    </row>
    <row r="8101">
      <c r="D8101" s="58"/>
      <c r="E8101" s="58"/>
      <c r="F8101" s="58"/>
      <c r="G8101" s="58"/>
    </row>
    <row r="8102">
      <c r="D8102" s="58"/>
      <c r="E8102" s="58"/>
      <c r="F8102" s="58"/>
      <c r="G8102" s="58"/>
    </row>
    <row r="8103">
      <c r="D8103" s="58"/>
      <c r="E8103" s="58"/>
      <c r="F8103" s="58"/>
      <c r="G8103" s="58"/>
    </row>
    <row r="8104">
      <c r="D8104" s="58"/>
      <c r="E8104" s="58"/>
      <c r="F8104" s="58"/>
      <c r="G8104" s="58"/>
    </row>
    <row r="8105">
      <c r="D8105" s="58"/>
      <c r="E8105" s="58"/>
      <c r="F8105" s="58"/>
      <c r="G8105" s="58"/>
    </row>
    <row r="8106">
      <c r="D8106" s="58"/>
      <c r="E8106" s="58"/>
      <c r="F8106" s="58"/>
      <c r="G8106" s="58"/>
    </row>
    <row r="8107">
      <c r="D8107" s="58"/>
      <c r="E8107" s="58"/>
      <c r="F8107" s="58"/>
      <c r="G8107" s="58"/>
    </row>
    <row r="8108">
      <c r="D8108" s="58"/>
      <c r="E8108" s="58"/>
      <c r="F8108" s="58"/>
      <c r="G8108" s="58"/>
    </row>
    <row r="8109">
      <c r="D8109" s="58"/>
      <c r="E8109" s="58"/>
      <c r="F8109" s="58"/>
      <c r="G8109" s="58"/>
    </row>
    <row r="8110">
      <c r="D8110" s="58"/>
      <c r="E8110" s="58"/>
      <c r="F8110" s="58"/>
      <c r="G8110" s="58"/>
    </row>
    <row r="8111">
      <c r="D8111" s="58"/>
      <c r="E8111" s="58"/>
      <c r="F8111" s="58"/>
      <c r="G8111" s="58"/>
    </row>
    <row r="8112">
      <c r="D8112" s="58"/>
      <c r="E8112" s="58"/>
      <c r="F8112" s="58"/>
      <c r="G8112" s="58"/>
    </row>
    <row r="8113">
      <c r="D8113" s="58"/>
      <c r="E8113" s="58"/>
      <c r="F8113" s="58"/>
      <c r="G8113" s="58"/>
    </row>
    <row r="8114">
      <c r="D8114" s="58"/>
      <c r="E8114" s="58"/>
      <c r="F8114" s="58"/>
      <c r="G8114" s="58"/>
    </row>
    <row r="8115">
      <c r="D8115" s="58"/>
      <c r="E8115" s="58"/>
      <c r="F8115" s="58"/>
      <c r="G8115" s="58"/>
    </row>
    <row r="8116">
      <c r="D8116" s="58"/>
      <c r="E8116" s="58"/>
      <c r="F8116" s="58"/>
      <c r="G8116" s="58"/>
    </row>
    <row r="8117">
      <c r="D8117" s="58"/>
      <c r="E8117" s="58"/>
      <c r="F8117" s="58"/>
      <c r="G8117" s="58"/>
    </row>
    <row r="8118">
      <c r="D8118" s="58"/>
      <c r="E8118" s="58"/>
      <c r="F8118" s="58"/>
      <c r="G8118" s="58"/>
    </row>
    <row r="8119">
      <c r="D8119" s="58"/>
      <c r="E8119" s="58"/>
      <c r="F8119" s="58"/>
      <c r="G8119" s="58"/>
    </row>
    <row r="8120">
      <c r="D8120" s="58"/>
      <c r="E8120" s="58"/>
      <c r="F8120" s="58"/>
      <c r="G8120" s="58"/>
    </row>
    <row r="8121">
      <c r="D8121" s="58"/>
      <c r="E8121" s="58"/>
      <c r="F8121" s="58"/>
      <c r="G8121" s="58"/>
    </row>
    <row r="8122">
      <c r="D8122" s="58"/>
      <c r="E8122" s="58"/>
      <c r="F8122" s="58"/>
      <c r="G8122" s="58"/>
    </row>
    <row r="8123">
      <c r="D8123" s="58"/>
      <c r="E8123" s="58"/>
      <c r="F8123" s="58"/>
      <c r="G8123" s="58"/>
    </row>
    <row r="8124">
      <c r="D8124" s="58"/>
      <c r="E8124" s="58"/>
      <c r="F8124" s="58"/>
      <c r="G8124" s="58"/>
    </row>
    <row r="8125">
      <c r="D8125" s="58"/>
      <c r="E8125" s="58"/>
      <c r="F8125" s="58"/>
      <c r="G8125" s="58"/>
    </row>
    <row r="8126">
      <c r="D8126" s="58"/>
      <c r="E8126" s="58"/>
      <c r="F8126" s="58"/>
      <c r="G8126" s="58"/>
    </row>
    <row r="8127">
      <c r="D8127" s="58"/>
      <c r="E8127" s="58"/>
      <c r="F8127" s="58"/>
      <c r="G8127" s="58"/>
    </row>
    <row r="8128">
      <c r="D8128" s="58"/>
      <c r="E8128" s="58"/>
      <c r="F8128" s="58"/>
      <c r="G8128" s="58"/>
    </row>
    <row r="8129">
      <c r="D8129" s="58"/>
      <c r="E8129" s="58"/>
      <c r="F8129" s="58"/>
      <c r="G8129" s="58"/>
    </row>
    <row r="8130">
      <c r="D8130" s="58"/>
      <c r="E8130" s="58"/>
      <c r="F8130" s="58"/>
      <c r="G8130" s="58"/>
    </row>
    <row r="8131">
      <c r="D8131" s="58"/>
      <c r="E8131" s="58"/>
      <c r="F8131" s="58"/>
      <c r="G8131" s="58"/>
    </row>
    <row r="8132">
      <c r="D8132" s="58"/>
      <c r="E8132" s="58"/>
      <c r="F8132" s="58"/>
      <c r="G8132" s="58"/>
    </row>
    <row r="8133">
      <c r="D8133" s="58"/>
      <c r="E8133" s="58"/>
      <c r="F8133" s="58"/>
      <c r="G8133" s="58"/>
    </row>
    <row r="8134">
      <c r="D8134" s="58"/>
      <c r="E8134" s="58"/>
      <c r="F8134" s="58"/>
      <c r="G8134" s="58"/>
    </row>
    <row r="8135">
      <c r="D8135" s="58"/>
      <c r="E8135" s="58"/>
      <c r="F8135" s="58"/>
      <c r="G8135" s="58"/>
    </row>
    <row r="8136">
      <c r="D8136" s="58"/>
      <c r="E8136" s="58"/>
      <c r="F8136" s="58"/>
      <c r="G8136" s="58"/>
    </row>
    <row r="8137">
      <c r="D8137" s="58"/>
      <c r="E8137" s="58"/>
      <c r="F8137" s="58"/>
      <c r="G8137" s="58"/>
    </row>
    <row r="8138">
      <c r="D8138" s="58"/>
      <c r="E8138" s="58"/>
      <c r="F8138" s="58"/>
      <c r="G8138" s="58"/>
    </row>
    <row r="8139">
      <c r="D8139" s="58"/>
      <c r="E8139" s="58"/>
      <c r="F8139" s="58"/>
      <c r="G8139" s="58"/>
    </row>
    <row r="8140">
      <c r="D8140" s="58"/>
      <c r="E8140" s="58"/>
      <c r="F8140" s="58"/>
      <c r="G8140" s="58"/>
    </row>
    <row r="8141">
      <c r="D8141" s="58"/>
      <c r="E8141" s="58"/>
      <c r="F8141" s="58"/>
      <c r="G8141" s="58"/>
    </row>
    <row r="8142">
      <c r="D8142" s="58"/>
      <c r="E8142" s="58"/>
      <c r="F8142" s="58"/>
      <c r="G8142" s="58"/>
    </row>
    <row r="8143">
      <c r="D8143" s="58"/>
      <c r="E8143" s="58"/>
      <c r="F8143" s="58"/>
      <c r="G8143" s="58"/>
    </row>
    <row r="8144">
      <c r="D8144" s="58"/>
      <c r="E8144" s="58"/>
      <c r="F8144" s="58"/>
      <c r="G8144" s="58"/>
    </row>
    <row r="8145">
      <c r="D8145" s="58"/>
      <c r="E8145" s="58"/>
      <c r="F8145" s="58"/>
      <c r="G8145" s="58"/>
    </row>
    <row r="8146">
      <c r="D8146" s="58"/>
      <c r="E8146" s="58"/>
      <c r="F8146" s="58"/>
      <c r="G8146" s="58"/>
    </row>
    <row r="8147">
      <c r="D8147" s="58"/>
      <c r="E8147" s="58"/>
      <c r="F8147" s="58"/>
      <c r="G8147" s="58"/>
    </row>
    <row r="8148">
      <c r="D8148" s="58"/>
      <c r="E8148" s="58"/>
      <c r="F8148" s="58"/>
      <c r="G8148" s="58"/>
    </row>
    <row r="8149">
      <c r="D8149" s="58"/>
      <c r="E8149" s="58"/>
      <c r="F8149" s="58"/>
      <c r="G8149" s="58"/>
    </row>
    <row r="8150">
      <c r="D8150" s="58"/>
      <c r="E8150" s="58"/>
      <c r="F8150" s="58"/>
      <c r="G8150" s="58"/>
    </row>
    <row r="8151">
      <c r="D8151" s="58"/>
      <c r="E8151" s="58"/>
      <c r="F8151" s="58"/>
      <c r="G8151" s="58"/>
    </row>
    <row r="8152">
      <c r="D8152" s="58"/>
      <c r="E8152" s="58"/>
      <c r="F8152" s="58"/>
      <c r="G8152" s="58"/>
    </row>
    <row r="8153">
      <c r="D8153" s="58"/>
      <c r="E8153" s="58"/>
      <c r="F8153" s="58"/>
      <c r="G8153" s="58"/>
    </row>
    <row r="8154">
      <c r="D8154" s="58"/>
      <c r="E8154" s="58"/>
      <c r="F8154" s="58"/>
      <c r="G8154" s="58"/>
    </row>
    <row r="8155">
      <c r="D8155" s="58"/>
      <c r="E8155" s="58"/>
      <c r="F8155" s="58"/>
      <c r="G8155" s="58"/>
    </row>
    <row r="8156">
      <c r="D8156" s="58"/>
      <c r="E8156" s="58"/>
      <c r="F8156" s="58"/>
      <c r="G8156" s="58"/>
    </row>
    <row r="8157">
      <c r="D8157" s="58"/>
      <c r="E8157" s="58"/>
      <c r="F8157" s="58"/>
      <c r="G8157" s="58"/>
    </row>
    <row r="8158">
      <c r="D8158" s="58"/>
      <c r="E8158" s="58"/>
      <c r="F8158" s="58"/>
      <c r="G8158" s="58"/>
    </row>
    <row r="8159">
      <c r="D8159" s="58"/>
      <c r="E8159" s="58"/>
      <c r="F8159" s="58"/>
      <c r="G8159" s="58"/>
    </row>
    <row r="8160">
      <c r="D8160" s="58"/>
      <c r="E8160" s="58"/>
      <c r="F8160" s="58"/>
      <c r="G8160" s="58"/>
    </row>
    <row r="8161">
      <c r="D8161" s="58"/>
      <c r="E8161" s="58"/>
      <c r="F8161" s="58"/>
      <c r="G8161" s="58"/>
    </row>
    <row r="8162">
      <c r="D8162" s="58"/>
      <c r="E8162" s="58"/>
      <c r="F8162" s="58"/>
      <c r="G8162" s="58"/>
    </row>
    <row r="8163">
      <c r="D8163" s="58"/>
      <c r="E8163" s="58"/>
      <c r="F8163" s="58"/>
      <c r="G8163" s="58"/>
    </row>
    <row r="8164">
      <c r="D8164" s="58"/>
      <c r="E8164" s="58"/>
      <c r="F8164" s="58"/>
      <c r="G8164" s="58"/>
    </row>
    <row r="8165">
      <c r="D8165" s="58"/>
      <c r="E8165" s="58"/>
      <c r="F8165" s="58"/>
      <c r="G8165" s="58"/>
    </row>
    <row r="8166">
      <c r="D8166" s="58"/>
      <c r="E8166" s="58"/>
      <c r="F8166" s="58"/>
      <c r="G8166" s="58"/>
    </row>
    <row r="8167">
      <c r="D8167" s="58"/>
      <c r="E8167" s="58"/>
      <c r="F8167" s="58"/>
      <c r="G8167" s="58"/>
    </row>
    <row r="8168">
      <c r="D8168" s="58"/>
      <c r="E8168" s="58"/>
      <c r="F8168" s="58"/>
      <c r="G8168" s="58"/>
    </row>
    <row r="8169">
      <c r="D8169" s="58"/>
      <c r="E8169" s="58"/>
      <c r="F8169" s="58"/>
      <c r="G8169" s="58"/>
    </row>
    <row r="8170">
      <c r="D8170" s="58"/>
      <c r="E8170" s="58"/>
      <c r="F8170" s="58"/>
      <c r="G8170" s="58"/>
    </row>
    <row r="8171">
      <c r="D8171" s="58"/>
      <c r="E8171" s="58"/>
      <c r="F8171" s="58"/>
      <c r="G8171" s="58"/>
    </row>
    <row r="8172">
      <c r="D8172" s="58"/>
      <c r="E8172" s="58"/>
      <c r="F8172" s="58"/>
      <c r="G8172" s="58"/>
    </row>
    <row r="8173">
      <c r="D8173" s="58"/>
      <c r="E8173" s="58"/>
      <c r="F8173" s="58"/>
      <c r="G8173" s="58"/>
    </row>
    <row r="8174">
      <c r="D8174" s="58"/>
      <c r="E8174" s="58"/>
      <c r="F8174" s="58"/>
      <c r="G8174" s="58"/>
    </row>
    <row r="8175">
      <c r="D8175" s="58"/>
      <c r="E8175" s="58"/>
      <c r="F8175" s="58"/>
      <c r="G8175" s="58"/>
    </row>
    <row r="8176">
      <c r="D8176" s="58"/>
      <c r="E8176" s="58"/>
      <c r="F8176" s="58"/>
      <c r="G8176" s="58"/>
    </row>
    <row r="8177">
      <c r="D8177" s="58"/>
      <c r="E8177" s="58"/>
      <c r="F8177" s="58"/>
      <c r="G8177" s="58"/>
    </row>
    <row r="8178">
      <c r="D8178" s="58"/>
      <c r="E8178" s="58"/>
      <c r="F8178" s="58"/>
      <c r="G8178" s="58"/>
    </row>
    <row r="8179">
      <c r="D8179" s="58"/>
      <c r="E8179" s="58"/>
      <c r="F8179" s="58"/>
      <c r="G8179" s="58"/>
    </row>
    <row r="8180">
      <c r="D8180" s="58"/>
      <c r="E8180" s="58"/>
      <c r="F8180" s="58"/>
      <c r="G8180" s="58"/>
    </row>
    <row r="8181">
      <c r="D8181" s="58"/>
      <c r="E8181" s="58"/>
      <c r="F8181" s="58"/>
      <c r="G8181" s="58"/>
    </row>
    <row r="8182">
      <c r="D8182" s="58"/>
      <c r="E8182" s="58"/>
      <c r="F8182" s="58"/>
      <c r="G8182" s="58"/>
    </row>
    <row r="8183">
      <c r="D8183" s="58"/>
      <c r="E8183" s="58"/>
      <c r="F8183" s="58"/>
      <c r="G8183" s="58"/>
    </row>
    <row r="8184">
      <c r="D8184" s="58"/>
      <c r="E8184" s="58"/>
      <c r="F8184" s="58"/>
      <c r="G8184" s="58"/>
    </row>
    <row r="8185">
      <c r="D8185" s="58"/>
      <c r="E8185" s="58"/>
      <c r="F8185" s="58"/>
      <c r="G8185" s="58"/>
    </row>
    <row r="8186">
      <c r="D8186" s="58"/>
      <c r="E8186" s="58"/>
      <c r="F8186" s="58"/>
      <c r="G8186" s="58"/>
    </row>
    <row r="8187">
      <c r="D8187" s="58"/>
      <c r="E8187" s="58"/>
      <c r="F8187" s="58"/>
      <c r="G8187" s="58"/>
    </row>
    <row r="8188">
      <c r="D8188" s="58"/>
      <c r="E8188" s="58"/>
      <c r="F8188" s="58"/>
      <c r="G8188" s="58"/>
    </row>
    <row r="8189">
      <c r="D8189" s="58"/>
      <c r="E8189" s="58"/>
      <c r="F8189" s="58"/>
      <c r="G8189" s="58"/>
    </row>
    <row r="8190">
      <c r="D8190" s="58"/>
      <c r="E8190" s="58"/>
      <c r="F8190" s="58"/>
      <c r="G8190" s="58"/>
    </row>
    <row r="8191">
      <c r="D8191" s="58"/>
      <c r="E8191" s="58"/>
      <c r="F8191" s="58"/>
      <c r="G8191" s="58"/>
    </row>
    <row r="8192">
      <c r="D8192" s="58"/>
      <c r="E8192" s="58"/>
      <c r="F8192" s="58"/>
      <c r="G8192" s="58"/>
    </row>
    <row r="8193">
      <c r="D8193" s="58"/>
      <c r="E8193" s="58"/>
      <c r="F8193" s="58"/>
      <c r="G8193" s="58"/>
    </row>
    <row r="8194">
      <c r="D8194" s="58"/>
      <c r="E8194" s="58"/>
      <c r="F8194" s="58"/>
      <c r="G8194" s="58"/>
    </row>
    <row r="8195">
      <c r="D8195" s="58"/>
      <c r="E8195" s="58"/>
      <c r="F8195" s="58"/>
      <c r="G8195" s="58"/>
    </row>
    <row r="8196">
      <c r="D8196" s="58"/>
      <c r="E8196" s="58"/>
      <c r="F8196" s="58"/>
      <c r="G8196" s="58"/>
    </row>
    <row r="8197">
      <c r="D8197" s="58"/>
      <c r="E8197" s="58"/>
      <c r="F8197" s="58"/>
      <c r="G8197" s="58"/>
    </row>
    <row r="8198">
      <c r="D8198" s="58"/>
      <c r="E8198" s="58"/>
      <c r="F8198" s="58"/>
      <c r="G8198" s="58"/>
    </row>
    <row r="8199">
      <c r="D8199" s="58"/>
      <c r="E8199" s="58"/>
      <c r="F8199" s="58"/>
      <c r="G8199" s="58"/>
    </row>
    <row r="8200">
      <c r="D8200" s="58"/>
      <c r="E8200" s="58"/>
      <c r="F8200" s="58"/>
      <c r="G8200" s="58"/>
    </row>
    <row r="8201">
      <c r="D8201" s="58"/>
      <c r="E8201" s="58"/>
      <c r="F8201" s="58"/>
      <c r="G8201" s="58"/>
    </row>
    <row r="8202">
      <c r="D8202" s="58"/>
      <c r="E8202" s="58"/>
      <c r="F8202" s="58"/>
      <c r="G8202" s="58"/>
    </row>
    <row r="8203">
      <c r="D8203" s="58"/>
      <c r="E8203" s="58"/>
      <c r="F8203" s="58"/>
      <c r="G8203" s="58"/>
    </row>
    <row r="8204">
      <c r="D8204" s="58"/>
      <c r="E8204" s="58"/>
      <c r="F8204" s="58"/>
      <c r="G8204" s="58"/>
    </row>
    <row r="8205">
      <c r="D8205" s="58"/>
      <c r="E8205" s="58"/>
      <c r="F8205" s="58"/>
      <c r="G8205" s="58"/>
    </row>
    <row r="8206">
      <c r="D8206" s="58"/>
      <c r="E8206" s="58"/>
      <c r="F8206" s="58"/>
      <c r="G8206" s="58"/>
    </row>
    <row r="8207">
      <c r="D8207" s="58"/>
      <c r="E8207" s="58"/>
      <c r="F8207" s="58"/>
      <c r="G8207" s="58"/>
    </row>
    <row r="8208">
      <c r="D8208" s="58"/>
      <c r="E8208" s="58"/>
      <c r="F8208" s="58"/>
      <c r="G8208" s="58"/>
    </row>
    <row r="8209">
      <c r="D8209" s="58"/>
      <c r="E8209" s="58"/>
      <c r="F8209" s="58"/>
      <c r="G8209" s="58"/>
    </row>
    <row r="8210">
      <c r="D8210" s="58"/>
      <c r="E8210" s="58"/>
      <c r="F8210" s="58"/>
      <c r="G8210" s="58"/>
    </row>
    <row r="8211">
      <c r="D8211" s="58"/>
      <c r="E8211" s="58"/>
      <c r="F8211" s="58"/>
      <c r="G8211" s="58"/>
    </row>
    <row r="8212">
      <c r="D8212" s="58"/>
      <c r="E8212" s="58"/>
      <c r="F8212" s="58"/>
      <c r="G8212" s="58"/>
    </row>
    <row r="8213">
      <c r="D8213" s="58"/>
      <c r="E8213" s="58"/>
      <c r="F8213" s="58"/>
      <c r="G8213" s="58"/>
    </row>
    <row r="8214">
      <c r="D8214" s="58"/>
      <c r="E8214" s="58"/>
      <c r="F8214" s="58"/>
      <c r="G8214" s="58"/>
    </row>
    <row r="8215">
      <c r="D8215" s="58"/>
      <c r="E8215" s="58"/>
      <c r="F8215" s="58"/>
      <c r="G8215" s="58"/>
    </row>
    <row r="8216">
      <c r="D8216" s="58"/>
      <c r="E8216" s="58"/>
      <c r="F8216" s="58"/>
      <c r="G8216" s="58"/>
    </row>
    <row r="8217">
      <c r="D8217" s="58"/>
      <c r="E8217" s="58"/>
      <c r="F8217" s="58"/>
      <c r="G8217" s="58"/>
    </row>
    <row r="8218">
      <c r="D8218" s="58"/>
      <c r="E8218" s="58"/>
      <c r="F8218" s="58"/>
      <c r="G8218" s="58"/>
    </row>
    <row r="8219">
      <c r="D8219" s="58"/>
      <c r="E8219" s="58"/>
      <c r="F8219" s="58"/>
      <c r="G8219" s="58"/>
    </row>
    <row r="8220">
      <c r="D8220" s="58"/>
      <c r="E8220" s="58"/>
      <c r="F8220" s="58"/>
      <c r="G8220" s="58"/>
    </row>
    <row r="8221">
      <c r="D8221" s="58"/>
      <c r="E8221" s="58"/>
      <c r="F8221" s="58"/>
      <c r="G8221" s="58"/>
    </row>
    <row r="8222">
      <c r="D8222" s="58"/>
      <c r="E8222" s="58"/>
      <c r="F8222" s="58"/>
      <c r="G8222" s="58"/>
    </row>
    <row r="8223">
      <c r="D8223" s="58"/>
      <c r="E8223" s="58"/>
      <c r="F8223" s="58"/>
      <c r="G8223" s="58"/>
    </row>
    <row r="8224">
      <c r="D8224" s="58"/>
      <c r="E8224" s="58"/>
      <c r="F8224" s="58"/>
      <c r="G8224" s="58"/>
    </row>
    <row r="8225">
      <c r="D8225" s="58"/>
      <c r="E8225" s="58"/>
      <c r="F8225" s="58"/>
      <c r="G8225" s="58"/>
    </row>
    <row r="8226">
      <c r="D8226" s="58"/>
      <c r="E8226" s="58"/>
      <c r="F8226" s="58"/>
      <c r="G8226" s="58"/>
    </row>
    <row r="8227">
      <c r="D8227" s="58"/>
      <c r="E8227" s="58"/>
      <c r="F8227" s="58"/>
      <c r="G8227" s="58"/>
    </row>
    <row r="8228">
      <c r="D8228" s="58"/>
      <c r="E8228" s="58"/>
      <c r="F8228" s="58"/>
      <c r="G8228" s="58"/>
    </row>
    <row r="8229">
      <c r="D8229" s="58"/>
      <c r="E8229" s="58"/>
      <c r="F8229" s="58"/>
      <c r="G8229" s="58"/>
    </row>
    <row r="8230">
      <c r="D8230" s="58"/>
      <c r="E8230" s="58"/>
      <c r="F8230" s="58"/>
      <c r="G8230" s="58"/>
    </row>
    <row r="8231">
      <c r="D8231" s="58"/>
      <c r="E8231" s="58"/>
      <c r="F8231" s="58"/>
      <c r="G8231" s="58"/>
    </row>
    <row r="8232">
      <c r="D8232" s="58"/>
      <c r="E8232" s="58"/>
      <c r="F8232" s="58"/>
      <c r="G8232" s="58"/>
    </row>
    <row r="8233">
      <c r="D8233" s="58"/>
      <c r="E8233" s="58"/>
      <c r="F8233" s="58"/>
      <c r="G8233" s="58"/>
    </row>
    <row r="8234">
      <c r="D8234" s="58"/>
      <c r="E8234" s="58"/>
      <c r="F8234" s="58"/>
      <c r="G8234" s="58"/>
    </row>
    <row r="8235">
      <c r="D8235" s="58"/>
      <c r="E8235" s="58"/>
      <c r="F8235" s="58"/>
      <c r="G8235" s="58"/>
    </row>
    <row r="8236">
      <c r="D8236" s="58"/>
      <c r="E8236" s="58"/>
      <c r="F8236" s="58"/>
      <c r="G8236" s="58"/>
    </row>
    <row r="8237">
      <c r="D8237" s="58"/>
      <c r="E8237" s="58"/>
      <c r="F8237" s="58"/>
      <c r="G8237" s="58"/>
    </row>
    <row r="8238">
      <c r="D8238" s="58"/>
      <c r="E8238" s="58"/>
      <c r="F8238" s="58"/>
      <c r="G8238" s="58"/>
    </row>
    <row r="8239">
      <c r="D8239" s="58"/>
      <c r="E8239" s="58"/>
      <c r="F8239" s="58"/>
      <c r="G8239" s="58"/>
    </row>
    <row r="8240">
      <c r="D8240" s="58"/>
      <c r="E8240" s="58"/>
      <c r="F8240" s="58"/>
      <c r="G8240" s="58"/>
    </row>
    <row r="8241">
      <c r="D8241" s="58"/>
      <c r="E8241" s="58"/>
      <c r="F8241" s="58"/>
      <c r="G8241" s="58"/>
    </row>
    <row r="8242">
      <c r="D8242" s="58"/>
      <c r="E8242" s="58"/>
      <c r="F8242" s="58"/>
      <c r="G8242" s="58"/>
    </row>
    <row r="8243">
      <c r="D8243" s="58"/>
      <c r="E8243" s="58"/>
      <c r="F8243" s="58"/>
      <c r="G8243" s="58"/>
    </row>
    <row r="8244">
      <c r="D8244" s="58"/>
      <c r="E8244" s="58"/>
      <c r="F8244" s="58"/>
      <c r="G8244" s="58"/>
    </row>
    <row r="8245">
      <c r="D8245" s="58"/>
      <c r="E8245" s="58"/>
      <c r="F8245" s="58"/>
      <c r="G8245" s="58"/>
    </row>
    <row r="8246">
      <c r="D8246" s="58"/>
      <c r="E8246" s="58"/>
      <c r="F8246" s="58"/>
      <c r="G8246" s="58"/>
    </row>
    <row r="8247">
      <c r="D8247" s="58"/>
      <c r="E8247" s="58"/>
      <c r="F8247" s="58"/>
      <c r="G8247" s="58"/>
    </row>
    <row r="8248">
      <c r="D8248" s="58"/>
      <c r="E8248" s="58"/>
      <c r="F8248" s="58"/>
      <c r="G8248" s="58"/>
    </row>
    <row r="8249">
      <c r="D8249" s="58"/>
      <c r="E8249" s="58"/>
      <c r="F8249" s="58"/>
      <c r="G8249" s="58"/>
    </row>
    <row r="8250">
      <c r="D8250" s="58"/>
      <c r="E8250" s="58"/>
      <c r="F8250" s="58"/>
      <c r="G8250" s="58"/>
    </row>
    <row r="8251">
      <c r="D8251" s="58"/>
      <c r="E8251" s="58"/>
      <c r="F8251" s="58"/>
      <c r="G8251" s="58"/>
    </row>
    <row r="8252">
      <c r="D8252" s="58"/>
      <c r="E8252" s="58"/>
      <c r="F8252" s="58"/>
      <c r="G8252" s="58"/>
    </row>
    <row r="8253">
      <c r="D8253" s="58"/>
      <c r="E8253" s="58"/>
      <c r="F8253" s="58"/>
      <c r="G8253" s="58"/>
    </row>
    <row r="8254">
      <c r="D8254" s="58"/>
      <c r="E8254" s="58"/>
      <c r="F8254" s="58"/>
      <c r="G8254" s="58"/>
    </row>
    <row r="8255">
      <c r="D8255" s="58"/>
      <c r="E8255" s="58"/>
      <c r="F8255" s="58"/>
      <c r="G8255" s="58"/>
    </row>
    <row r="8256">
      <c r="D8256" s="58"/>
      <c r="E8256" s="58"/>
      <c r="F8256" s="58"/>
      <c r="G8256" s="58"/>
    </row>
    <row r="8257">
      <c r="D8257" s="58"/>
      <c r="E8257" s="58"/>
      <c r="F8257" s="58"/>
      <c r="G8257" s="58"/>
    </row>
    <row r="8258">
      <c r="D8258" s="58"/>
      <c r="E8258" s="58"/>
      <c r="F8258" s="58"/>
      <c r="G8258" s="58"/>
    </row>
    <row r="8259">
      <c r="D8259" s="58"/>
      <c r="E8259" s="58"/>
      <c r="F8259" s="58"/>
      <c r="G8259" s="58"/>
    </row>
    <row r="8260">
      <c r="D8260" s="58"/>
      <c r="E8260" s="58"/>
      <c r="F8260" s="58"/>
      <c r="G8260" s="58"/>
    </row>
    <row r="8261">
      <c r="D8261" s="58"/>
      <c r="E8261" s="58"/>
      <c r="F8261" s="58"/>
      <c r="G8261" s="58"/>
    </row>
    <row r="8262">
      <c r="D8262" s="58"/>
      <c r="E8262" s="58"/>
      <c r="F8262" s="58"/>
      <c r="G8262" s="58"/>
    </row>
    <row r="8263">
      <c r="D8263" s="58"/>
      <c r="E8263" s="58"/>
      <c r="F8263" s="58"/>
      <c r="G8263" s="58"/>
    </row>
    <row r="8264">
      <c r="D8264" s="58"/>
      <c r="E8264" s="58"/>
      <c r="F8264" s="58"/>
      <c r="G8264" s="58"/>
    </row>
    <row r="8265">
      <c r="D8265" s="58"/>
      <c r="E8265" s="58"/>
      <c r="F8265" s="58"/>
      <c r="G8265" s="58"/>
    </row>
    <row r="8266">
      <c r="D8266" s="58"/>
      <c r="E8266" s="58"/>
      <c r="F8266" s="58"/>
      <c r="G8266" s="58"/>
    </row>
    <row r="8267">
      <c r="D8267" s="58"/>
      <c r="E8267" s="58"/>
      <c r="F8267" s="58"/>
      <c r="G8267" s="58"/>
    </row>
    <row r="8268">
      <c r="D8268" s="58"/>
      <c r="E8268" s="58"/>
      <c r="F8268" s="58"/>
      <c r="G8268" s="58"/>
    </row>
    <row r="8269">
      <c r="D8269" s="58"/>
      <c r="E8269" s="58"/>
      <c r="F8269" s="58"/>
      <c r="G8269" s="58"/>
    </row>
    <row r="8270">
      <c r="D8270" s="58"/>
      <c r="E8270" s="58"/>
      <c r="F8270" s="58"/>
      <c r="G8270" s="58"/>
    </row>
    <row r="8271">
      <c r="D8271" s="58"/>
      <c r="E8271" s="58"/>
      <c r="F8271" s="58"/>
      <c r="G8271" s="58"/>
    </row>
    <row r="8272">
      <c r="D8272" s="58"/>
      <c r="E8272" s="58"/>
      <c r="F8272" s="58"/>
      <c r="G8272" s="58"/>
    </row>
    <row r="8273">
      <c r="D8273" s="58"/>
      <c r="E8273" s="58"/>
      <c r="F8273" s="58"/>
      <c r="G8273" s="58"/>
    </row>
    <row r="8274">
      <c r="D8274" s="58"/>
      <c r="E8274" s="58"/>
      <c r="F8274" s="58"/>
      <c r="G8274" s="58"/>
    </row>
    <row r="8275">
      <c r="D8275" s="58"/>
      <c r="E8275" s="58"/>
      <c r="F8275" s="58"/>
      <c r="G8275" s="58"/>
    </row>
    <row r="8276">
      <c r="D8276" s="58"/>
      <c r="E8276" s="58"/>
      <c r="F8276" s="58"/>
      <c r="G8276" s="58"/>
    </row>
    <row r="8277">
      <c r="D8277" s="58"/>
      <c r="E8277" s="58"/>
      <c r="F8277" s="58"/>
      <c r="G8277" s="58"/>
    </row>
    <row r="8278">
      <c r="D8278" s="58"/>
      <c r="E8278" s="58"/>
      <c r="F8278" s="58"/>
      <c r="G8278" s="58"/>
    </row>
    <row r="8279">
      <c r="D8279" s="58"/>
      <c r="E8279" s="58"/>
      <c r="F8279" s="58"/>
      <c r="G8279" s="58"/>
    </row>
    <row r="8280">
      <c r="D8280" s="58"/>
      <c r="E8280" s="58"/>
      <c r="F8280" s="58"/>
      <c r="G8280" s="58"/>
    </row>
    <row r="8281">
      <c r="D8281" s="58"/>
      <c r="E8281" s="58"/>
      <c r="F8281" s="58"/>
      <c r="G8281" s="58"/>
    </row>
    <row r="8282">
      <c r="D8282" s="58"/>
      <c r="E8282" s="58"/>
      <c r="F8282" s="58"/>
      <c r="G8282" s="58"/>
    </row>
    <row r="8283">
      <c r="D8283" s="58"/>
      <c r="E8283" s="58"/>
      <c r="F8283" s="58"/>
      <c r="G8283" s="58"/>
    </row>
    <row r="8284">
      <c r="D8284" s="58"/>
      <c r="E8284" s="58"/>
      <c r="F8284" s="58"/>
      <c r="G8284" s="58"/>
    </row>
    <row r="8285">
      <c r="D8285" s="58"/>
      <c r="E8285" s="58"/>
      <c r="F8285" s="58"/>
      <c r="G8285" s="58"/>
    </row>
    <row r="8286">
      <c r="D8286" s="58"/>
      <c r="E8286" s="58"/>
      <c r="F8286" s="58"/>
      <c r="G8286" s="58"/>
    </row>
    <row r="8287">
      <c r="D8287" s="58"/>
      <c r="E8287" s="58"/>
      <c r="F8287" s="58"/>
      <c r="G8287" s="58"/>
    </row>
    <row r="8288">
      <c r="D8288" s="58"/>
      <c r="E8288" s="58"/>
      <c r="F8288" s="58"/>
      <c r="G8288" s="58"/>
    </row>
    <row r="8289">
      <c r="D8289" s="58"/>
      <c r="E8289" s="58"/>
      <c r="F8289" s="58"/>
      <c r="G8289" s="58"/>
    </row>
    <row r="8290">
      <c r="D8290" s="58"/>
      <c r="E8290" s="58"/>
      <c r="F8290" s="58"/>
      <c r="G8290" s="58"/>
    </row>
    <row r="8291">
      <c r="D8291" s="58"/>
      <c r="E8291" s="58"/>
      <c r="F8291" s="58"/>
      <c r="G8291" s="58"/>
    </row>
    <row r="8292">
      <c r="D8292" s="58"/>
      <c r="E8292" s="58"/>
      <c r="F8292" s="58"/>
      <c r="G8292" s="58"/>
    </row>
    <row r="8293">
      <c r="D8293" s="58"/>
      <c r="E8293" s="58"/>
      <c r="F8293" s="58"/>
      <c r="G8293" s="58"/>
    </row>
    <row r="8294">
      <c r="D8294" s="58"/>
      <c r="E8294" s="58"/>
      <c r="F8294" s="58"/>
      <c r="G8294" s="58"/>
    </row>
    <row r="8295">
      <c r="D8295" s="58"/>
      <c r="E8295" s="58"/>
      <c r="F8295" s="58"/>
      <c r="G8295" s="58"/>
    </row>
    <row r="8296">
      <c r="D8296" s="58"/>
      <c r="E8296" s="58"/>
      <c r="F8296" s="58"/>
      <c r="G8296" s="58"/>
    </row>
    <row r="8297">
      <c r="D8297" s="58"/>
      <c r="E8297" s="58"/>
      <c r="F8297" s="58"/>
      <c r="G8297" s="58"/>
    </row>
    <row r="8298">
      <c r="D8298" s="58"/>
      <c r="E8298" s="58"/>
      <c r="F8298" s="58"/>
      <c r="G8298" s="58"/>
    </row>
    <row r="8299">
      <c r="D8299" s="58"/>
      <c r="E8299" s="58"/>
      <c r="F8299" s="58"/>
      <c r="G8299" s="58"/>
    </row>
    <row r="8300">
      <c r="D8300" s="58"/>
      <c r="E8300" s="58"/>
      <c r="F8300" s="58"/>
      <c r="G8300" s="58"/>
    </row>
    <row r="8301">
      <c r="D8301" s="58"/>
      <c r="E8301" s="58"/>
      <c r="F8301" s="58"/>
      <c r="G8301" s="58"/>
    </row>
    <row r="8302">
      <c r="D8302" s="58"/>
      <c r="E8302" s="58"/>
      <c r="F8302" s="58"/>
      <c r="G8302" s="58"/>
    </row>
    <row r="8303">
      <c r="D8303" s="58"/>
      <c r="E8303" s="58"/>
      <c r="F8303" s="58"/>
      <c r="G8303" s="58"/>
    </row>
    <row r="8304">
      <c r="D8304" s="58"/>
      <c r="E8304" s="58"/>
      <c r="F8304" s="58"/>
      <c r="G8304" s="58"/>
    </row>
    <row r="8305">
      <c r="D8305" s="58"/>
      <c r="E8305" s="58"/>
      <c r="F8305" s="58"/>
      <c r="G8305" s="58"/>
    </row>
    <row r="8306">
      <c r="D8306" s="58"/>
      <c r="E8306" s="58"/>
      <c r="F8306" s="58"/>
      <c r="G8306" s="58"/>
    </row>
    <row r="8307">
      <c r="D8307" s="58"/>
      <c r="E8307" s="58"/>
      <c r="F8307" s="58"/>
      <c r="G8307" s="58"/>
    </row>
    <row r="8308">
      <c r="D8308" s="58"/>
      <c r="E8308" s="58"/>
      <c r="F8308" s="58"/>
      <c r="G8308" s="58"/>
    </row>
    <row r="8309">
      <c r="D8309" s="58"/>
      <c r="E8309" s="58"/>
      <c r="F8309" s="58"/>
      <c r="G8309" s="58"/>
    </row>
    <row r="8310">
      <c r="D8310" s="58"/>
      <c r="E8310" s="58"/>
      <c r="F8310" s="58"/>
      <c r="G8310" s="58"/>
    </row>
    <row r="8311">
      <c r="D8311" s="58"/>
      <c r="E8311" s="58"/>
      <c r="F8311" s="58"/>
      <c r="G8311" s="58"/>
    </row>
    <row r="8312">
      <c r="D8312" s="58"/>
      <c r="E8312" s="58"/>
      <c r="F8312" s="58"/>
      <c r="G8312" s="58"/>
    </row>
    <row r="8313">
      <c r="D8313" s="58"/>
      <c r="E8313" s="58"/>
      <c r="F8313" s="58"/>
      <c r="G8313" s="58"/>
    </row>
    <row r="8314">
      <c r="D8314" s="58"/>
      <c r="E8314" s="58"/>
      <c r="F8314" s="58"/>
      <c r="G8314" s="58"/>
    </row>
    <row r="8315">
      <c r="D8315" s="58"/>
      <c r="E8315" s="58"/>
      <c r="F8315" s="58"/>
      <c r="G8315" s="58"/>
    </row>
    <row r="8316">
      <c r="D8316" s="58"/>
      <c r="E8316" s="58"/>
      <c r="F8316" s="58"/>
      <c r="G8316" s="58"/>
    </row>
    <row r="8317">
      <c r="D8317" s="58"/>
      <c r="E8317" s="58"/>
      <c r="F8317" s="58"/>
      <c r="G8317" s="58"/>
    </row>
    <row r="8318">
      <c r="D8318" s="58"/>
      <c r="E8318" s="58"/>
      <c r="F8318" s="58"/>
      <c r="G8318" s="58"/>
    </row>
    <row r="8319">
      <c r="D8319" s="58"/>
      <c r="E8319" s="58"/>
      <c r="F8319" s="58"/>
      <c r="G8319" s="58"/>
    </row>
    <row r="8320">
      <c r="D8320" s="58"/>
      <c r="E8320" s="58"/>
      <c r="F8320" s="58"/>
      <c r="G8320" s="58"/>
    </row>
    <row r="8321">
      <c r="D8321" s="58"/>
      <c r="E8321" s="58"/>
      <c r="F8321" s="58"/>
      <c r="G8321" s="58"/>
    </row>
    <row r="8322">
      <c r="D8322" s="58"/>
      <c r="E8322" s="58"/>
      <c r="F8322" s="58"/>
      <c r="G8322" s="58"/>
    </row>
    <row r="8323">
      <c r="D8323" s="58"/>
      <c r="E8323" s="58"/>
      <c r="F8323" s="58"/>
      <c r="G8323" s="58"/>
    </row>
    <row r="8324">
      <c r="D8324" s="58"/>
      <c r="E8324" s="58"/>
      <c r="F8324" s="58"/>
      <c r="G8324" s="58"/>
    </row>
    <row r="8325">
      <c r="D8325" s="58"/>
      <c r="E8325" s="58"/>
      <c r="F8325" s="58"/>
      <c r="G8325" s="58"/>
    </row>
    <row r="8326">
      <c r="D8326" s="58"/>
      <c r="E8326" s="58"/>
      <c r="F8326" s="58"/>
      <c r="G8326" s="58"/>
    </row>
    <row r="8327">
      <c r="D8327" s="58"/>
      <c r="E8327" s="58"/>
      <c r="F8327" s="58"/>
      <c r="G8327" s="58"/>
    </row>
    <row r="8328">
      <c r="D8328" s="58"/>
      <c r="E8328" s="58"/>
      <c r="F8328" s="58"/>
      <c r="G8328" s="58"/>
    </row>
    <row r="8329">
      <c r="D8329" s="58"/>
      <c r="E8329" s="58"/>
      <c r="F8329" s="58"/>
      <c r="G8329" s="58"/>
    </row>
    <row r="8330">
      <c r="D8330" s="58"/>
      <c r="E8330" s="58"/>
      <c r="F8330" s="58"/>
      <c r="G8330" s="58"/>
    </row>
    <row r="8331">
      <c r="D8331" s="58"/>
      <c r="E8331" s="58"/>
      <c r="F8331" s="58"/>
      <c r="G8331" s="58"/>
    </row>
    <row r="8332">
      <c r="D8332" s="58"/>
      <c r="E8332" s="58"/>
      <c r="F8332" s="58"/>
      <c r="G8332" s="58"/>
    </row>
    <row r="8333">
      <c r="D8333" s="58"/>
      <c r="E8333" s="58"/>
      <c r="F8333" s="58"/>
      <c r="G8333" s="58"/>
    </row>
    <row r="8334">
      <c r="D8334" s="58"/>
      <c r="E8334" s="58"/>
      <c r="F8334" s="58"/>
      <c r="G8334" s="58"/>
    </row>
    <row r="8335">
      <c r="D8335" s="58"/>
      <c r="E8335" s="58"/>
      <c r="F8335" s="58"/>
      <c r="G8335" s="58"/>
    </row>
    <row r="8336">
      <c r="D8336" s="58"/>
      <c r="E8336" s="58"/>
      <c r="F8336" s="58"/>
      <c r="G8336" s="58"/>
    </row>
    <row r="8337">
      <c r="D8337" s="58"/>
      <c r="E8337" s="58"/>
      <c r="F8337" s="58"/>
      <c r="G8337" s="58"/>
    </row>
    <row r="8338">
      <c r="D8338" s="58"/>
      <c r="E8338" s="58"/>
      <c r="F8338" s="58"/>
      <c r="G8338" s="58"/>
    </row>
    <row r="8339">
      <c r="D8339" s="58"/>
      <c r="E8339" s="58"/>
      <c r="F8339" s="58"/>
      <c r="G8339" s="58"/>
    </row>
    <row r="8340">
      <c r="D8340" s="58"/>
      <c r="E8340" s="58"/>
      <c r="F8340" s="58"/>
      <c r="G8340" s="58"/>
    </row>
    <row r="8341">
      <c r="D8341" s="58"/>
      <c r="E8341" s="58"/>
      <c r="F8341" s="58"/>
      <c r="G8341" s="58"/>
    </row>
    <row r="8342">
      <c r="D8342" s="58"/>
      <c r="E8342" s="58"/>
      <c r="F8342" s="58"/>
      <c r="G8342" s="58"/>
    </row>
    <row r="8343">
      <c r="D8343" s="58"/>
      <c r="E8343" s="58"/>
      <c r="F8343" s="58"/>
      <c r="G8343" s="58"/>
    </row>
    <row r="8344">
      <c r="D8344" s="58"/>
      <c r="E8344" s="58"/>
      <c r="F8344" s="58"/>
      <c r="G8344" s="58"/>
    </row>
    <row r="8345">
      <c r="D8345" s="58"/>
      <c r="E8345" s="58"/>
      <c r="F8345" s="58"/>
      <c r="G8345" s="58"/>
    </row>
    <row r="8346">
      <c r="D8346" s="58"/>
      <c r="E8346" s="58"/>
      <c r="F8346" s="58"/>
      <c r="G8346" s="58"/>
    </row>
    <row r="8347">
      <c r="D8347" s="58"/>
      <c r="E8347" s="58"/>
      <c r="F8347" s="58"/>
      <c r="G8347" s="58"/>
    </row>
    <row r="8348">
      <c r="D8348" s="58"/>
      <c r="E8348" s="58"/>
      <c r="F8348" s="58"/>
      <c r="G8348" s="58"/>
    </row>
    <row r="8349">
      <c r="D8349" s="58"/>
      <c r="E8349" s="58"/>
      <c r="F8349" s="58"/>
      <c r="G8349" s="58"/>
    </row>
    <row r="8350">
      <c r="D8350" s="58"/>
      <c r="E8350" s="58"/>
      <c r="F8350" s="58"/>
      <c r="G8350" s="58"/>
    </row>
    <row r="8351">
      <c r="D8351" s="58"/>
      <c r="E8351" s="58"/>
      <c r="F8351" s="58"/>
      <c r="G8351" s="58"/>
    </row>
    <row r="8352">
      <c r="D8352" s="58"/>
      <c r="E8352" s="58"/>
      <c r="F8352" s="58"/>
      <c r="G8352" s="58"/>
    </row>
    <row r="8353">
      <c r="D8353" s="58"/>
      <c r="E8353" s="58"/>
      <c r="F8353" s="58"/>
      <c r="G8353" s="58"/>
    </row>
    <row r="8354">
      <c r="D8354" s="58"/>
      <c r="E8354" s="58"/>
      <c r="F8354" s="58"/>
      <c r="G8354" s="58"/>
    </row>
    <row r="8355">
      <c r="D8355" s="58"/>
      <c r="E8355" s="58"/>
      <c r="F8355" s="58"/>
      <c r="G8355" s="58"/>
    </row>
    <row r="8356">
      <c r="D8356" s="58"/>
      <c r="E8356" s="58"/>
      <c r="F8356" s="58"/>
      <c r="G8356" s="58"/>
    </row>
    <row r="8357">
      <c r="D8357" s="58"/>
      <c r="E8357" s="58"/>
      <c r="F8357" s="58"/>
      <c r="G8357" s="58"/>
    </row>
    <row r="8358">
      <c r="D8358" s="58"/>
      <c r="E8358" s="58"/>
      <c r="F8358" s="58"/>
      <c r="G8358" s="58"/>
    </row>
    <row r="8359">
      <c r="D8359" s="58"/>
      <c r="E8359" s="58"/>
      <c r="F8359" s="58"/>
      <c r="G8359" s="58"/>
    </row>
    <row r="8360">
      <c r="D8360" s="58"/>
      <c r="E8360" s="58"/>
      <c r="F8360" s="58"/>
      <c r="G8360" s="58"/>
    </row>
    <row r="8361">
      <c r="D8361" s="58"/>
      <c r="E8361" s="58"/>
      <c r="F8361" s="58"/>
      <c r="G8361" s="58"/>
    </row>
    <row r="8362">
      <c r="D8362" s="58"/>
      <c r="E8362" s="58"/>
      <c r="F8362" s="58"/>
      <c r="G8362" s="58"/>
    </row>
    <row r="8363">
      <c r="D8363" s="58"/>
      <c r="E8363" s="58"/>
      <c r="F8363" s="58"/>
      <c r="G8363" s="58"/>
    </row>
    <row r="8364">
      <c r="D8364" s="58"/>
      <c r="E8364" s="58"/>
      <c r="F8364" s="58"/>
      <c r="G8364" s="58"/>
    </row>
    <row r="8365">
      <c r="D8365" s="58"/>
      <c r="E8365" s="58"/>
      <c r="F8365" s="58"/>
      <c r="G8365" s="58"/>
    </row>
    <row r="8366">
      <c r="D8366" s="58"/>
      <c r="E8366" s="58"/>
      <c r="F8366" s="58"/>
      <c r="G8366" s="58"/>
    </row>
    <row r="8367">
      <c r="D8367" s="58"/>
      <c r="E8367" s="58"/>
      <c r="F8367" s="58"/>
      <c r="G8367" s="58"/>
    </row>
    <row r="8368">
      <c r="D8368" s="58"/>
      <c r="E8368" s="58"/>
      <c r="F8368" s="58"/>
      <c r="G8368" s="58"/>
    </row>
    <row r="8369">
      <c r="D8369" s="58"/>
      <c r="E8369" s="58"/>
      <c r="F8369" s="58"/>
      <c r="G8369" s="58"/>
    </row>
    <row r="8370">
      <c r="D8370" s="58"/>
      <c r="E8370" s="58"/>
      <c r="F8370" s="58"/>
      <c r="G8370" s="58"/>
    </row>
    <row r="8371">
      <c r="D8371" s="58"/>
      <c r="E8371" s="58"/>
      <c r="F8371" s="58"/>
      <c r="G8371" s="58"/>
    </row>
    <row r="8372">
      <c r="D8372" s="58"/>
      <c r="E8372" s="58"/>
      <c r="F8372" s="58"/>
      <c r="G8372" s="58"/>
    </row>
    <row r="8373">
      <c r="D8373" s="58"/>
      <c r="E8373" s="58"/>
      <c r="F8373" s="58"/>
      <c r="G8373" s="58"/>
    </row>
    <row r="8374">
      <c r="D8374" s="58"/>
      <c r="E8374" s="58"/>
      <c r="F8374" s="58"/>
      <c r="G8374" s="58"/>
    </row>
    <row r="8375">
      <c r="D8375" s="58"/>
      <c r="E8375" s="58"/>
      <c r="F8375" s="58"/>
      <c r="G8375" s="58"/>
    </row>
    <row r="8376">
      <c r="D8376" s="58"/>
      <c r="E8376" s="58"/>
      <c r="F8376" s="58"/>
      <c r="G8376" s="58"/>
    </row>
    <row r="8377">
      <c r="D8377" s="58"/>
      <c r="E8377" s="58"/>
      <c r="F8377" s="58"/>
      <c r="G8377" s="58"/>
    </row>
    <row r="8378">
      <c r="D8378" s="58"/>
      <c r="E8378" s="58"/>
      <c r="F8378" s="58"/>
      <c r="G8378" s="58"/>
    </row>
    <row r="8379">
      <c r="D8379" s="58"/>
      <c r="E8379" s="58"/>
      <c r="F8379" s="58"/>
      <c r="G8379" s="58"/>
    </row>
    <row r="8380">
      <c r="D8380" s="58"/>
      <c r="E8380" s="58"/>
      <c r="F8380" s="58"/>
      <c r="G8380" s="58"/>
    </row>
    <row r="8381">
      <c r="D8381" s="58"/>
      <c r="E8381" s="58"/>
      <c r="F8381" s="58"/>
      <c r="G8381" s="58"/>
    </row>
    <row r="8382">
      <c r="D8382" s="58"/>
      <c r="E8382" s="58"/>
      <c r="F8382" s="58"/>
      <c r="G8382" s="58"/>
    </row>
    <row r="8383">
      <c r="D8383" s="58"/>
      <c r="E8383" s="58"/>
      <c r="F8383" s="58"/>
      <c r="G8383" s="58"/>
    </row>
    <row r="8384">
      <c r="D8384" s="58"/>
      <c r="E8384" s="58"/>
      <c r="F8384" s="58"/>
      <c r="G8384" s="58"/>
    </row>
    <row r="8385">
      <c r="D8385" s="58"/>
      <c r="E8385" s="58"/>
      <c r="F8385" s="58"/>
      <c r="G8385" s="58"/>
    </row>
    <row r="8386">
      <c r="D8386" s="58"/>
      <c r="E8386" s="58"/>
      <c r="F8386" s="58"/>
      <c r="G8386" s="58"/>
    </row>
    <row r="8387">
      <c r="D8387" s="58"/>
      <c r="E8387" s="58"/>
      <c r="F8387" s="58"/>
      <c r="G8387" s="58"/>
    </row>
    <row r="8388">
      <c r="D8388" s="58"/>
      <c r="E8388" s="58"/>
      <c r="F8388" s="58"/>
      <c r="G8388" s="58"/>
    </row>
    <row r="8389">
      <c r="D8389" s="58"/>
      <c r="E8389" s="58"/>
      <c r="F8389" s="58"/>
      <c r="G8389" s="58"/>
    </row>
    <row r="8390">
      <c r="D8390" s="58"/>
      <c r="E8390" s="58"/>
      <c r="F8390" s="58"/>
      <c r="G8390" s="58"/>
    </row>
    <row r="8391">
      <c r="D8391" s="58"/>
      <c r="E8391" s="58"/>
      <c r="F8391" s="58"/>
      <c r="G8391" s="58"/>
    </row>
    <row r="8392">
      <c r="D8392" s="58"/>
      <c r="E8392" s="58"/>
      <c r="F8392" s="58"/>
      <c r="G8392" s="58"/>
    </row>
    <row r="8393">
      <c r="D8393" s="58"/>
      <c r="E8393" s="58"/>
      <c r="F8393" s="58"/>
      <c r="G8393" s="58"/>
    </row>
    <row r="8394">
      <c r="D8394" s="58"/>
      <c r="E8394" s="58"/>
      <c r="F8394" s="58"/>
      <c r="G8394" s="58"/>
    </row>
    <row r="8395">
      <c r="D8395" s="58"/>
      <c r="E8395" s="58"/>
      <c r="F8395" s="58"/>
      <c r="G8395" s="58"/>
    </row>
    <row r="8396">
      <c r="D8396" s="58"/>
      <c r="E8396" s="58"/>
      <c r="F8396" s="58"/>
      <c r="G8396" s="58"/>
    </row>
    <row r="8397">
      <c r="D8397" s="58"/>
      <c r="E8397" s="58"/>
      <c r="F8397" s="58"/>
      <c r="G8397" s="58"/>
    </row>
    <row r="8398">
      <c r="D8398" s="58"/>
      <c r="E8398" s="58"/>
      <c r="F8398" s="58"/>
      <c r="G8398" s="58"/>
    </row>
    <row r="8399">
      <c r="D8399" s="58"/>
      <c r="E8399" s="58"/>
      <c r="F8399" s="58"/>
      <c r="G8399" s="58"/>
    </row>
    <row r="8400">
      <c r="D8400" s="58"/>
      <c r="E8400" s="58"/>
      <c r="F8400" s="58"/>
      <c r="G8400" s="58"/>
    </row>
    <row r="8401">
      <c r="D8401" s="58"/>
      <c r="E8401" s="58"/>
      <c r="F8401" s="58"/>
      <c r="G8401" s="58"/>
    </row>
    <row r="8402">
      <c r="D8402" s="58"/>
      <c r="E8402" s="58"/>
      <c r="F8402" s="58"/>
      <c r="G8402" s="58"/>
    </row>
    <row r="8403">
      <c r="D8403" s="58"/>
      <c r="E8403" s="58"/>
      <c r="F8403" s="58"/>
      <c r="G8403" s="58"/>
    </row>
    <row r="8404">
      <c r="D8404" s="58"/>
      <c r="E8404" s="58"/>
      <c r="F8404" s="58"/>
      <c r="G8404" s="58"/>
    </row>
    <row r="8405">
      <c r="D8405" s="58"/>
      <c r="E8405" s="58"/>
      <c r="F8405" s="58"/>
      <c r="G8405" s="58"/>
    </row>
    <row r="8406">
      <c r="D8406" s="58"/>
      <c r="E8406" s="58"/>
      <c r="F8406" s="58"/>
      <c r="G8406" s="58"/>
    </row>
    <row r="8407">
      <c r="D8407" s="58"/>
      <c r="E8407" s="58"/>
      <c r="F8407" s="58"/>
      <c r="G8407" s="58"/>
    </row>
    <row r="8408">
      <c r="D8408" s="58"/>
      <c r="E8408" s="58"/>
      <c r="F8408" s="58"/>
      <c r="G8408" s="58"/>
    </row>
    <row r="8409">
      <c r="D8409" s="58"/>
      <c r="E8409" s="58"/>
      <c r="F8409" s="58"/>
      <c r="G8409" s="58"/>
    </row>
    <row r="8410">
      <c r="D8410" s="58"/>
      <c r="E8410" s="58"/>
      <c r="F8410" s="58"/>
      <c r="G8410" s="58"/>
    </row>
    <row r="8411">
      <c r="D8411" s="58"/>
      <c r="E8411" s="58"/>
      <c r="F8411" s="58"/>
      <c r="G8411" s="58"/>
    </row>
    <row r="8412">
      <c r="D8412" s="58"/>
      <c r="E8412" s="58"/>
      <c r="F8412" s="58"/>
      <c r="G8412" s="58"/>
    </row>
    <row r="8413">
      <c r="D8413" s="58"/>
      <c r="E8413" s="58"/>
      <c r="F8413" s="58"/>
      <c r="G8413" s="58"/>
    </row>
    <row r="8414">
      <c r="D8414" s="58"/>
      <c r="E8414" s="58"/>
      <c r="F8414" s="58"/>
      <c r="G8414" s="58"/>
    </row>
    <row r="8415">
      <c r="D8415" s="58"/>
      <c r="E8415" s="58"/>
      <c r="F8415" s="58"/>
      <c r="G8415" s="58"/>
    </row>
    <row r="8416">
      <c r="D8416" s="58"/>
      <c r="E8416" s="58"/>
      <c r="F8416" s="58"/>
      <c r="G8416" s="58"/>
    </row>
    <row r="8417">
      <c r="D8417" s="58"/>
      <c r="E8417" s="58"/>
      <c r="F8417" s="58"/>
      <c r="G8417" s="58"/>
    </row>
    <row r="8418">
      <c r="D8418" s="58"/>
      <c r="E8418" s="58"/>
      <c r="F8418" s="58"/>
      <c r="G8418" s="58"/>
    </row>
    <row r="8419">
      <c r="D8419" s="58"/>
      <c r="E8419" s="58"/>
      <c r="F8419" s="58"/>
      <c r="G8419" s="58"/>
    </row>
    <row r="8420">
      <c r="D8420" s="58"/>
      <c r="E8420" s="58"/>
      <c r="F8420" s="58"/>
      <c r="G8420" s="58"/>
    </row>
    <row r="8421">
      <c r="D8421" s="58"/>
      <c r="E8421" s="58"/>
      <c r="F8421" s="58"/>
      <c r="G8421" s="58"/>
    </row>
    <row r="8422">
      <c r="D8422" s="58"/>
      <c r="E8422" s="58"/>
      <c r="F8422" s="58"/>
      <c r="G8422" s="58"/>
    </row>
    <row r="8423">
      <c r="D8423" s="58"/>
      <c r="E8423" s="58"/>
      <c r="F8423" s="58"/>
      <c r="G8423" s="58"/>
    </row>
    <row r="8424">
      <c r="D8424" s="58"/>
      <c r="E8424" s="58"/>
      <c r="F8424" s="58"/>
      <c r="G8424" s="58"/>
    </row>
    <row r="8425">
      <c r="D8425" s="58"/>
      <c r="E8425" s="58"/>
      <c r="F8425" s="58"/>
      <c r="G8425" s="58"/>
    </row>
    <row r="8426">
      <c r="D8426" s="58"/>
      <c r="E8426" s="58"/>
      <c r="F8426" s="58"/>
      <c r="G8426" s="58"/>
    </row>
    <row r="8427">
      <c r="D8427" s="58"/>
      <c r="E8427" s="58"/>
      <c r="F8427" s="58"/>
      <c r="G8427" s="58"/>
    </row>
    <row r="8428">
      <c r="D8428" s="58"/>
      <c r="E8428" s="58"/>
      <c r="F8428" s="58"/>
      <c r="G8428" s="58"/>
    </row>
    <row r="8429">
      <c r="D8429" s="58"/>
      <c r="E8429" s="58"/>
      <c r="F8429" s="58"/>
      <c r="G8429" s="58"/>
    </row>
    <row r="8430">
      <c r="D8430" s="58"/>
      <c r="E8430" s="58"/>
      <c r="F8430" s="58"/>
      <c r="G8430" s="58"/>
    </row>
    <row r="8431">
      <c r="D8431" s="58"/>
      <c r="E8431" s="58"/>
      <c r="F8431" s="58"/>
      <c r="G8431" s="58"/>
    </row>
    <row r="8432">
      <c r="D8432" s="58"/>
      <c r="E8432" s="58"/>
      <c r="F8432" s="58"/>
      <c r="G8432" s="58"/>
    </row>
    <row r="8433">
      <c r="D8433" s="58"/>
      <c r="E8433" s="58"/>
      <c r="F8433" s="58"/>
      <c r="G8433" s="58"/>
    </row>
    <row r="8434">
      <c r="D8434" s="58"/>
      <c r="E8434" s="58"/>
      <c r="F8434" s="58"/>
      <c r="G8434" s="58"/>
    </row>
    <row r="8435">
      <c r="D8435" s="58"/>
      <c r="E8435" s="58"/>
      <c r="F8435" s="58"/>
      <c r="G8435" s="58"/>
    </row>
    <row r="8436">
      <c r="D8436" s="58"/>
      <c r="E8436" s="58"/>
      <c r="F8436" s="58"/>
      <c r="G8436" s="58"/>
    </row>
    <row r="8437">
      <c r="D8437" s="58"/>
      <c r="E8437" s="58"/>
      <c r="F8437" s="58"/>
      <c r="G8437" s="58"/>
    </row>
    <row r="8438">
      <c r="D8438" s="58"/>
      <c r="E8438" s="58"/>
      <c r="F8438" s="58"/>
      <c r="G8438" s="58"/>
    </row>
    <row r="8439">
      <c r="D8439" s="58"/>
      <c r="E8439" s="58"/>
      <c r="F8439" s="58"/>
      <c r="G8439" s="58"/>
    </row>
    <row r="8440">
      <c r="D8440" s="58"/>
      <c r="E8440" s="58"/>
      <c r="F8440" s="58"/>
      <c r="G8440" s="58"/>
    </row>
    <row r="8441">
      <c r="D8441" s="58"/>
      <c r="E8441" s="58"/>
      <c r="F8441" s="58"/>
      <c r="G8441" s="58"/>
    </row>
    <row r="8442">
      <c r="D8442" s="58"/>
      <c r="E8442" s="58"/>
      <c r="F8442" s="58"/>
      <c r="G8442" s="58"/>
    </row>
    <row r="8443">
      <c r="D8443" s="58"/>
      <c r="E8443" s="58"/>
      <c r="F8443" s="58"/>
      <c r="G8443" s="58"/>
    </row>
    <row r="8444">
      <c r="D8444" s="58"/>
      <c r="E8444" s="58"/>
      <c r="F8444" s="58"/>
      <c r="G8444" s="58"/>
    </row>
    <row r="8445">
      <c r="D8445" s="58"/>
      <c r="E8445" s="58"/>
      <c r="F8445" s="58"/>
      <c r="G8445" s="58"/>
    </row>
    <row r="8446">
      <c r="D8446" s="58"/>
      <c r="E8446" s="58"/>
      <c r="F8446" s="58"/>
      <c r="G8446" s="58"/>
    </row>
    <row r="8447">
      <c r="D8447" s="58"/>
      <c r="E8447" s="58"/>
      <c r="F8447" s="58"/>
      <c r="G8447" s="58"/>
    </row>
    <row r="8448">
      <c r="D8448" s="58"/>
      <c r="E8448" s="58"/>
      <c r="F8448" s="58"/>
      <c r="G8448" s="58"/>
    </row>
    <row r="8449">
      <c r="D8449" s="58"/>
      <c r="E8449" s="58"/>
      <c r="F8449" s="58"/>
      <c r="G8449" s="58"/>
    </row>
    <row r="8450">
      <c r="D8450" s="58"/>
      <c r="E8450" s="58"/>
      <c r="F8450" s="58"/>
      <c r="G8450" s="58"/>
    </row>
    <row r="8451">
      <c r="D8451" s="58"/>
      <c r="E8451" s="58"/>
      <c r="F8451" s="58"/>
      <c r="G8451" s="58"/>
    </row>
    <row r="8452">
      <c r="D8452" s="58"/>
      <c r="E8452" s="58"/>
      <c r="F8452" s="58"/>
      <c r="G8452" s="58"/>
    </row>
    <row r="8453">
      <c r="D8453" s="58"/>
      <c r="E8453" s="58"/>
      <c r="F8453" s="58"/>
      <c r="G8453" s="58"/>
    </row>
    <row r="8454">
      <c r="D8454" s="58"/>
      <c r="E8454" s="58"/>
      <c r="F8454" s="58"/>
      <c r="G8454" s="58"/>
    </row>
    <row r="8455">
      <c r="D8455" s="58"/>
      <c r="E8455" s="58"/>
      <c r="F8455" s="58"/>
      <c r="G8455" s="58"/>
    </row>
    <row r="8456">
      <c r="D8456" s="58"/>
      <c r="E8456" s="58"/>
      <c r="F8456" s="58"/>
      <c r="G8456" s="58"/>
    </row>
    <row r="8457">
      <c r="D8457" s="58"/>
      <c r="E8457" s="58"/>
      <c r="F8457" s="58"/>
      <c r="G8457" s="58"/>
    </row>
    <row r="8458">
      <c r="D8458" s="58"/>
      <c r="E8458" s="58"/>
      <c r="F8458" s="58"/>
      <c r="G8458" s="58"/>
    </row>
    <row r="8459">
      <c r="D8459" s="58"/>
      <c r="E8459" s="58"/>
      <c r="F8459" s="58"/>
      <c r="G8459" s="58"/>
    </row>
    <row r="8460">
      <c r="D8460" s="58"/>
      <c r="E8460" s="58"/>
      <c r="F8460" s="58"/>
      <c r="G8460" s="58"/>
    </row>
    <row r="8461">
      <c r="D8461" s="58"/>
      <c r="E8461" s="58"/>
      <c r="F8461" s="58"/>
      <c r="G8461" s="58"/>
    </row>
    <row r="8462">
      <c r="D8462" s="58"/>
      <c r="E8462" s="58"/>
      <c r="F8462" s="58"/>
      <c r="G8462" s="58"/>
    </row>
    <row r="8463">
      <c r="D8463" s="58"/>
      <c r="E8463" s="58"/>
      <c r="F8463" s="58"/>
      <c r="G8463" s="58"/>
    </row>
    <row r="8464">
      <c r="D8464" s="58"/>
      <c r="E8464" s="58"/>
      <c r="F8464" s="58"/>
      <c r="G8464" s="58"/>
    </row>
    <row r="8465">
      <c r="D8465" s="58"/>
      <c r="E8465" s="58"/>
      <c r="F8465" s="58"/>
      <c r="G8465" s="58"/>
    </row>
    <row r="8466">
      <c r="D8466" s="58"/>
      <c r="E8466" s="58"/>
      <c r="F8466" s="58"/>
      <c r="G8466" s="58"/>
    </row>
    <row r="8467">
      <c r="D8467" s="58"/>
      <c r="E8467" s="58"/>
      <c r="F8467" s="58"/>
      <c r="G8467" s="58"/>
    </row>
    <row r="8468">
      <c r="D8468" s="58"/>
      <c r="E8468" s="58"/>
      <c r="F8468" s="58"/>
      <c r="G8468" s="58"/>
    </row>
    <row r="8469">
      <c r="D8469" s="58"/>
      <c r="E8469" s="58"/>
      <c r="F8469" s="58"/>
      <c r="G8469" s="58"/>
    </row>
    <row r="8470">
      <c r="D8470" s="58"/>
      <c r="E8470" s="58"/>
      <c r="F8470" s="58"/>
      <c r="G8470" s="58"/>
    </row>
    <row r="8471">
      <c r="D8471" s="58"/>
      <c r="E8471" s="58"/>
      <c r="F8471" s="58"/>
      <c r="G8471" s="58"/>
    </row>
    <row r="8472">
      <c r="D8472" s="58"/>
      <c r="E8472" s="58"/>
      <c r="F8472" s="58"/>
      <c r="G8472" s="58"/>
    </row>
    <row r="8473">
      <c r="D8473" s="58"/>
      <c r="E8473" s="58"/>
      <c r="F8473" s="58"/>
      <c r="G8473" s="58"/>
    </row>
    <row r="8474">
      <c r="D8474" s="58"/>
      <c r="E8474" s="58"/>
      <c r="F8474" s="58"/>
      <c r="G8474" s="58"/>
    </row>
    <row r="8475">
      <c r="D8475" s="58"/>
      <c r="E8475" s="58"/>
      <c r="F8475" s="58"/>
      <c r="G8475" s="58"/>
    </row>
    <row r="8476">
      <c r="D8476" s="58"/>
      <c r="E8476" s="58"/>
      <c r="F8476" s="58"/>
      <c r="G8476" s="58"/>
    </row>
    <row r="8477">
      <c r="D8477" s="58"/>
      <c r="E8477" s="58"/>
      <c r="F8477" s="58"/>
      <c r="G8477" s="58"/>
    </row>
    <row r="8478">
      <c r="D8478" s="58"/>
      <c r="E8478" s="58"/>
      <c r="F8478" s="58"/>
      <c r="G8478" s="58"/>
    </row>
    <row r="8479">
      <c r="D8479" s="58"/>
      <c r="E8479" s="58"/>
      <c r="F8479" s="58"/>
      <c r="G8479" s="58"/>
    </row>
    <row r="8480">
      <c r="D8480" s="58"/>
      <c r="E8480" s="58"/>
      <c r="F8480" s="58"/>
      <c r="G8480" s="58"/>
    </row>
    <row r="8481">
      <c r="D8481" s="58"/>
      <c r="E8481" s="58"/>
      <c r="F8481" s="58"/>
      <c r="G8481" s="58"/>
    </row>
    <row r="8482">
      <c r="D8482" s="58"/>
      <c r="E8482" s="58"/>
      <c r="F8482" s="58"/>
      <c r="G8482" s="58"/>
    </row>
    <row r="8483">
      <c r="D8483" s="58"/>
      <c r="E8483" s="58"/>
      <c r="F8483" s="58"/>
      <c r="G8483" s="58"/>
    </row>
    <row r="8484">
      <c r="D8484" s="58"/>
      <c r="E8484" s="58"/>
      <c r="F8484" s="58"/>
      <c r="G8484" s="58"/>
    </row>
    <row r="8485">
      <c r="D8485" s="58"/>
      <c r="E8485" s="58"/>
      <c r="F8485" s="58"/>
      <c r="G8485" s="58"/>
    </row>
    <row r="8486">
      <c r="D8486" s="58"/>
      <c r="E8486" s="58"/>
      <c r="F8486" s="58"/>
      <c r="G8486" s="58"/>
    </row>
    <row r="8487">
      <c r="D8487" s="58"/>
      <c r="E8487" s="58"/>
      <c r="F8487" s="58"/>
      <c r="G8487" s="58"/>
    </row>
    <row r="8488">
      <c r="D8488" s="58"/>
      <c r="E8488" s="58"/>
      <c r="F8488" s="58"/>
      <c r="G8488" s="58"/>
    </row>
    <row r="8489">
      <c r="D8489" s="58"/>
      <c r="E8489" s="58"/>
      <c r="F8489" s="58"/>
      <c r="G8489" s="58"/>
    </row>
    <row r="8490">
      <c r="D8490" s="58"/>
      <c r="E8490" s="58"/>
      <c r="F8490" s="58"/>
      <c r="G8490" s="58"/>
    </row>
    <row r="8491">
      <c r="D8491" s="58"/>
      <c r="E8491" s="58"/>
      <c r="F8491" s="58"/>
      <c r="G8491" s="58"/>
    </row>
    <row r="8492">
      <c r="D8492" s="58"/>
      <c r="E8492" s="58"/>
      <c r="F8492" s="58"/>
      <c r="G8492" s="58"/>
    </row>
    <row r="8493">
      <c r="D8493" s="58"/>
      <c r="E8493" s="58"/>
      <c r="F8493" s="58"/>
      <c r="G8493" s="58"/>
    </row>
    <row r="8494">
      <c r="D8494" s="58"/>
      <c r="E8494" s="58"/>
      <c r="F8494" s="58"/>
      <c r="G8494" s="58"/>
    </row>
    <row r="8495">
      <c r="D8495" s="58"/>
      <c r="E8495" s="58"/>
      <c r="F8495" s="58"/>
      <c r="G8495" s="58"/>
    </row>
    <row r="8496">
      <c r="D8496" s="58"/>
      <c r="E8496" s="58"/>
      <c r="F8496" s="58"/>
      <c r="G8496" s="58"/>
    </row>
    <row r="8497">
      <c r="D8497" s="58"/>
      <c r="E8497" s="58"/>
      <c r="F8497" s="58"/>
      <c r="G8497" s="58"/>
    </row>
    <row r="8498">
      <c r="D8498" s="58"/>
      <c r="E8498" s="58"/>
      <c r="F8498" s="58"/>
      <c r="G8498" s="58"/>
    </row>
    <row r="8499">
      <c r="D8499" s="58"/>
      <c r="E8499" s="58"/>
      <c r="F8499" s="58"/>
      <c r="G8499" s="58"/>
    </row>
    <row r="8500">
      <c r="D8500" s="58"/>
      <c r="E8500" s="58"/>
      <c r="F8500" s="58"/>
      <c r="G8500" s="58"/>
    </row>
    <row r="8501">
      <c r="D8501" s="58"/>
      <c r="E8501" s="58"/>
      <c r="F8501" s="58"/>
      <c r="G8501" s="58"/>
    </row>
    <row r="8502">
      <c r="D8502" s="58"/>
      <c r="E8502" s="58"/>
      <c r="F8502" s="58"/>
      <c r="G8502" s="58"/>
    </row>
    <row r="8503">
      <c r="D8503" s="58"/>
      <c r="E8503" s="58"/>
      <c r="F8503" s="58"/>
      <c r="G8503" s="58"/>
    </row>
    <row r="8504">
      <c r="D8504" s="58"/>
      <c r="E8504" s="58"/>
      <c r="F8504" s="58"/>
      <c r="G8504" s="58"/>
    </row>
    <row r="8505">
      <c r="D8505" s="58"/>
      <c r="E8505" s="58"/>
      <c r="F8505" s="58"/>
      <c r="G8505" s="58"/>
    </row>
    <row r="8506">
      <c r="D8506" s="58"/>
      <c r="E8506" s="58"/>
      <c r="F8506" s="58"/>
      <c r="G8506" s="58"/>
    </row>
    <row r="8507">
      <c r="D8507" s="58"/>
      <c r="E8507" s="58"/>
      <c r="F8507" s="58"/>
      <c r="G8507" s="58"/>
    </row>
    <row r="8508">
      <c r="D8508" s="58"/>
      <c r="E8508" s="58"/>
      <c r="F8508" s="58"/>
      <c r="G8508" s="58"/>
    </row>
    <row r="8509">
      <c r="D8509" s="58"/>
      <c r="E8509" s="58"/>
      <c r="F8509" s="58"/>
      <c r="G8509" s="58"/>
    </row>
    <row r="8510">
      <c r="D8510" s="58"/>
      <c r="E8510" s="58"/>
      <c r="F8510" s="58"/>
      <c r="G8510" s="58"/>
    </row>
    <row r="8511">
      <c r="D8511" s="58"/>
      <c r="E8511" s="58"/>
      <c r="F8511" s="58"/>
      <c r="G8511" s="58"/>
    </row>
    <row r="8512">
      <c r="D8512" s="58"/>
      <c r="E8512" s="58"/>
      <c r="F8512" s="58"/>
      <c r="G8512" s="58"/>
    </row>
    <row r="8513">
      <c r="D8513" s="58"/>
      <c r="E8513" s="58"/>
      <c r="F8513" s="58"/>
      <c r="G8513" s="58"/>
    </row>
    <row r="8514">
      <c r="D8514" s="58"/>
      <c r="E8514" s="58"/>
      <c r="F8514" s="58"/>
      <c r="G8514" s="58"/>
    </row>
    <row r="8515">
      <c r="D8515" s="58"/>
      <c r="E8515" s="58"/>
      <c r="F8515" s="58"/>
      <c r="G8515" s="58"/>
    </row>
    <row r="8516">
      <c r="D8516" s="58"/>
      <c r="E8516" s="58"/>
      <c r="F8516" s="58"/>
      <c r="G8516" s="58"/>
    </row>
    <row r="8517">
      <c r="D8517" s="58"/>
      <c r="E8517" s="58"/>
      <c r="F8517" s="58"/>
      <c r="G8517" s="58"/>
    </row>
    <row r="8518">
      <c r="D8518" s="58"/>
      <c r="E8518" s="58"/>
      <c r="F8518" s="58"/>
      <c r="G8518" s="58"/>
    </row>
    <row r="8519">
      <c r="D8519" s="58"/>
      <c r="E8519" s="58"/>
      <c r="F8519" s="58"/>
      <c r="G8519" s="58"/>
    </row>
    <row r="8520">
      <c r="D8520" s="58"/>
      <c r="E8520" s="58"/>
      <c r="F8520" s="58"/>
      <c r="G8520" s="58"/>
    </row>
    <row r="8521">
      <c r="D8521" s="58"/>
      <c r="E8521" s="58"/>
      <c r="F8521" s="58"/>
      <c r="G8521" s="58"/>
    </row>
    <row r="8522">
      <c r="D8522" s="58"/>
      <c r="E8522" s="58"/>
      <c r="F8522" s="58"/>
      <c r="G8522" s="58"/>
    </row>
    <row r="8523">
      <c r="D8523" s="58"/>
      <c r="E8523" s="58"/>
      <c r="F8523" s="58"/>
      <c r="G8523" s="58"/>
    </row>
    <row r="8524">
      <c r="D8524" s="58"/>
      <c r="E8524" s="58"/>
      <c r="F8524" s="58"/>
      <c r="G8524" s="58"/>
    </row>
    <row r="8525">
      <c r="D8525" s="58"/>
      <c r="E8525" s="58"/>
      <c r="F8525" s="58"/>
      <c r="G8525" s="58"/>
    </row>
    <row r="8526">
      <c r="D8526" s="58"/>
      <c r="E8526" s="58"/>
      <c r="F8526" s="58"/>
      <c r="G8526" s="58"/>
    </row>
    <row r="8527">
      <c r="D8527" s="58"/>
      <c r="E8527" s="58"/>
      <c r="F8527" s="58"/>
      <c r="G8527" s="58"/>
    </row>
    <row r="8528">
      <c r="D8528" s="58"/>
      <c r="E8528" s="58"/>
      <c r="F8528" s="58"/>
      <c r="G8528" s="58"/>
    </row>
    <row r="8529">
      <c r="D8529" s="58"/>
      <c r="E8529" s="58"/>
      <c r="F8529" s="58"/>
      <c r="G8529" s="58"/>
    </row>
    <row r="8530">
      <c r="D8530" s="58"/>
      <c r="E8530" s="58"/>
      <c r="F8530" s="58"/>
      <c r="G8530" s="58"/>
    </row>
    <row r="8531">
      <c r="D8531" s="58"/>
      <c r="E8531" s="58"/>
      <c r="F8531" s="58"/>
      <c r="G8531" s="58"/>
    </row>
    <row r="8532">
      <c r="D8532" s="58"/>
      <c r="E8532" s="58"/>
      <c r="F8532" s="58"/>
      <c r="G8532" s="58"/>
    </row>
    <row r="8533">
      <c r="D8533" s="58"/>
      <c r="E8533" s="58"/>
      <c r="F8533" s="58"/>
      <c r="G8533" s="58"/>
    </row>
    <row r="8534">
      <c r="D8534" s="58"/>
      <c r="E8534" s="58"/>
      <c r="F8534" s="58"/>
      <c r="G8534" s="58"/>
    </row>
    <row r="8535">
      <c r="D8535" s="58"/>
      <c r="E8535" s="58"/>
      <c r="F8535" s="58"/>
      <c r="G8535" s="58"/>
    </row>
    <row r="8536">
      <c r="D8536" s="58"/>
      <c r="E8536" s="58"/>
      <c r="F8536" s="58"/>
      <c r="G8536" s="58"/>
    </row>
    <row r="8537">
      <c r="D8537" s="58"/>
      <c r="E8537" s="58"/>
      <c r="F8537" s="58"/>
      <c r="G8537" s="58"/>
    </row>
    <row r="8538">
      <c r="D8538" s="58"/>
      <c r="E8538" s="58"/>
      <c r="F8538" s="58"/>
      <c r="G8538" s="58"/>
    </row>
    <row r="8539">
      <c r="D8539" s="58"/>
      <c r="E8539" s="58"/>
      <c r="F8539" s="58"/>
      <c r="G8539" s="58"/>
    </row>
    <row r="8540">
      <c r="D8540" s="58"/>
      <c r="E8540" s="58"/>
      <c r="F8540" s="58"/>
      <c r="G8540" s="58"/>
    </row>
    <row r="8541">
      <c r="D8541" s="58"/>
      <c r="E8541" s="58"/>
      <c r="F8541" s="58"/>
      <c r="G8541" s="58"/>
    </row>
    <row r="8542">
      <c r="D8542" s="58"/>
      <c r="E8542" s="58"/>
      <c r="F8542" s="58"/>
      <c r="G8542" s="58"/>
    </row>
    <row r="8543">
      <c r="D8543" s="58"/>
      <c r="E8543" s="58"/>
      <c r="F8543" s="58"/>
      <c r="G8543" s="58"/>
    </row>
    <row r="8544">
      <c r="D8544" s="58"/>
      <c r="E8544" s="58"/>
      <c r="F8544" s="58"/>
      <c r="G8544" s="58"/>
    </row>
    <row r="8545">
      <c r="D8545" s="58"/>
      <c r="E8545" s="58"/>
      <c r="F8545" s="58"/>
      <c r="G8545" s="58"/>
    </row>
    <row r="8546">
      <c r="D8546" s="58"/>
      <c r="E8546" s="58"/>
      <c r="F8546" s="58"/>
      <c r="G8546" s="58"/>
    </row>
    <row r="8547">
      <c r="D8547" s="58"/>
      <c r="E8547" s="58"/>
      <c r="F8547" s="58"/>
      <c r="G8547" s="58"/>
    </row>
    <row r="8548">
      <c r="D8548" s="58"/>
      <c r="E8548" s="58"/>
      <c r="F8548" s="58"/>
      <c r="G8548" s="58"/>
    </row>
    <row r="8549">
      <c r="D8549" s="58"/>
      <c r="E8549" s="58"/>
      <c r="F8549" s="58"/>
      <c r="G8549" s="58"/>
    </row>
    <row r="8550">
      <c r="D8550" s="58"/>
      <c r="E8550" s="58"/>
      <c r="F8550" s="58"/>
      <c r="G8550" s="58"/>
    </row>
    <row r="8551">
      <c r="D8551" s="58"/>
      <c r="E8551" s="58"/>
      <c r="F8551" s="58"/>
      <c r="G8551" s="58"/>
    </row>
    <row r="8552">
      <c r="D8552" s="58"/>
      <c r="E8552" s="58"/>
      <c r="F8552" s="58"/>
      <c r="G8552" s="58"/>
    </row>
    <row r="8553">
      <c r="D8553" s="58"/>
      <c r="E8553" s="58"/>
      <c r="F8553" s="58"/>
      <c r="G8553" s="58"/>
    </row>
    <row r="8554">
      <c r="D8554" s="58"/>
      <c r="E8554" s="58"/>
      <c r="F8554" s="58"/>
      <c r="G8554" s="58"/>
    </row>
    <row r="8555">
      <c r="D8555" s="58"/>
      <c r="E8555" s="58"/>
      <c r="F8555" s="58"/>
      <c r="G8555" s="58"/>
    </row>
    <row r="8556">
      <c r="D8556" s="58"/>
      <c r="E8556" s="58"/>
      <c r="F8556" s="58"/>
      <c r="G8556" s="58"/>
    </row>
    <row r="8557">
      <c r="D8557" s="58"/>
      <c r="E8557" s="58"/>
      <c r="F8557" s="58"/>
      <c r="G8557" s="58"/>
    </row>
    <row r="8558">
      <c r="D8558" s="58"/>
      <c r="E8558" s="58"/>
      <c r="F8558" s="58"/>
      <c r="G8558" s="58"/>
    </row>
    <row r="8559">
      <c r="D8559" s="58"/>
      <c r="E8559" s="58"/>
      <c r="F8559" s="58"/>
      <c r="G8559" s="58"/>
    </row>
    <row r="8560">
      <c r="D8560" s="58"/>
      <c r="E8560" s="58"/>
      <c r="F8560" s="58"/>
      <c r="G8560" s="58"/>
    </row>
    <row r="8561">
      <c r="D8561" s="58"/>
      <c r="E8561" s="58"/>
      <c r="F8561" s="58"/>
      <c r="G8561" s="58"/>
    </row>
    <row r="8562">
      <c r="D8562" s="58"/>
      <c r="E8562" s="58"/>
      <c r="F8562" s="58"/>
      <c r="G8562" s="58"/>
    </row>
    <row r="8563">
      <c r="D8563" s="58"/>
      <c r="E8563" s="58"/>
      <c r="F8563" s="58"/>
      <c r="G8563" s="58"/>
    </row>
    <row r="8564">
      <c r="D8564" s="58"/>
      <c r="E8564" s="58"/>
      <c r="F8564" s="58"/>
      <c r="G8564" s="58"/>
    </row>
    <row r="8565">
      <c r="D8565" s="58"/>
      <c r="E8565" s="58"/>
      <c r="F8565" s="58"/>
      <c r="G8565" s="58"/>
    </row>
    <row r="8566">
      <c r="D8566" s="58"/>
      <c r="E8566" s="58"/>
      <c r="F8566" s="58"/>
      <c r="G8566" s="58"/>
    </row>
    <row r="8567">
      <c r="D8567" s="58"/>
      <c r="E8567" s="58"/>
      <c r="F8567" s="58"/>
      <c r="G8567" s="58"/>
    </row>
    <row r="8568">
      <c r="D8568" s="58"/>
      <c r="E8568" s="58"/>
      <c r="F8568" s="58"/>
      <c r="G8568" s="58"/>
    </row>
    <row r="8569">
      <c r="D8569" s="58"/>
      <c r="E8569" s="58"/>
      <c r="F8569" s="58"/>
      <c r="G8569" s="58"/>
    </row>
    <row r="8570">
      <c r="D8570" s="58"/>
      <c r="E8570" s="58"/>
      <c r="F8570" s="58"/>
      <c r="G8570" s="58"/>
    </row>
    <row r="8571">
      <c r="D8571" s="58"/>
      <c r="E8571" s="58"/>
      <c r="F8571" s="58"/>
      <c r="G8571" s="58"/>
    </row>
    <row r="8572">
      <c r="D8572" s="58"/>
      <c r="E8572" s="58"/>
      <c r="F8572" s="58"/>
      <c r="G8572" s="58"/>
    </row>
    <row r="8573">
      <c r="D8573" s="58"/>
      <c r="E8573" s="58"/>
      <c r="F8573" s="58"/>
      <c r="G8573" s="58"/>
    </row>
    <row r="8574">
      <c r="D8574" s="58"/>
      <c r="E8574" s="58"/>
      <c r="F8574" s="58"/>
      <c r="G8574" s="58"/>
    </row>
    <row r="8575">
      <c r="D8575" s="58"/>
      <c r="E8575" s="58"/>
      <c r="F8575" s="58"/>
      <c r="G8575" s="58"/>
    </row>
    <row r="8576">
      <c r="D8576" s="58"/>
      <c r="E8576" s="58"/>
      <c r="F8576" s="58"/>
      <c r="G8576" s="58"/>
    </row>
    <row r="8577">
      <c r="D8577" s="58"/>
      <c r="E8577" s="58"/>
      <c r="F8577" s="58"/>
      <c r="G8577" s="58"/>
    </row>
    <row r="8578">
      <c r="D8578" s="58"/>
      <c r="E8578" s="58"/>
      <c r="F8578" s="58"/>
      <c r="G8578" s="58"/>
    </row>
    <row r="8579">
      <c r="D8579" s="58"/>
      <c r="E8579" s="58"/>
      <c r="F8579" s="58"/>
      <c r="G8579" s="58"/>
    </row>
    <row r="8580">
      <c r="D8580" s="58"/>
      <c r="E8580" s="58"/>
      <c r="F8580" s="58"/>
      <c r="G8580" s="58"/>
    </row>
    <row r="8581">
      <c r="D8581" s="58"/>
      <c r="E8581" s="58"/>
      <c r="F8581" s="58"/>
      <c r="G8581" s="58"/>
    </row>
    <row r="8582">
      <c r="D8582" s="58"/>
      <c r="E8582" s="58"/>
      <c r="F8582" s="58"/>
      <c r="G8582" s="58"/>
    </row>
    <row r="8583">
      <c r="D8583" s="58"/>
      <c r="E8583" s="58"/>
      <c r="F8583" s="58"/>
      <c r="G8583" s="58"/>
    </row>
    <row r="8584">
      <c r="D8584" s="58"/>
      <c r="E8584" s="58"/>
      <c r="F8584" s="58"/>
      <c r="G8584" s="58"/>
    </row>
    <row r="8585">
      <c r="D8585" s="58"/>
      <c r="E8585" s="58"/>
      <c r="F8585" s="58"/>
      <c r="G8585" s="58"/>
    </row>
    <row r="8586">
      <c r="D8586" s="58"/>
      <c r="E8586" s="58"/>
      <c r="F8586" s="58"/>
      <c r="G8586" s="58"/>
    </row>
    <row r="8587">
      <c r="D8587" s="58"/>
      <c r="E8587" s="58"/>
      <c r="F8587" s="58"/>
      <c r="G8587" s="58"/>
    </row>
    <row r="8588">
      <c r="D8588" s="58"/>
      <c r="E8588" s="58"/>
      <c r="F8588" s="58"/>
      <c r="G8588" s="58"/>
    </row>
    <row r="8589">
      <c r="D8589" s="58"/>
      <c r="E8589" s="58"/>
      <c r="F8589" s="58"/>
      <c r="G8589" s="58"/>
    </row>
    <row r="8590">
      <c r="D8590" s="58"/>
      <c r="E8590" s="58"/>
      <c r="F8590" s="58"/>
      <c r="G8590" s="58"/>
    </row>
    <row r="8591">
      <c r="D8591" s="58"/>
      <c r="E8591" s="58"/>
      <c r="F8591" s="58"/>
      <c r="G8591" s="58"/>
    </row>
    <row r="8592">
      <c r="D8592" s="58"/>
      <c r="E8592" s="58"/>
      <c r="F8592" s="58"/>
      <c r="G8592" s="58"/>
    </row>
    <row r="8593">
      <c r="D8593" s="58"/>
      <c r="E8593" s="58"/>
      <c r="F8593" s="58"/>
      <c r="G8593" s="58"/>
    </row>
    <row r="8594">
      <c r="D8594" s="58"/>
      <c r="E8594" s="58"/>
      <c r="F8594" s="58"/>
      <c r="G8594" s="58"/>
    </row>
    <row r="8595">
      <c r="D8595" s="58"/>
      <c r="E8595" s="58"/>
      <c r="F8595" s="58"/>
      <c r="G8595" s="58"/>
    </row>
    <row r="8596">
      <c r="D8596" s="58"/>
      <c r="E8596" s="58"/>
      <c r="F8596" s="58"/>
      <c r="G8596" s="58"/>
    </row>
    <row r="8597">
      <c r="D8597" s="58"/>
      <c r="E8597" s="58"/>
      <c r="F8597" s="58"/>
      <c r="G8597" s="58"/>
    </row>
    <row r="8598">
      <c r="D8598" s="58"/>
      <c r="E8598" s="58"/>
      <c r="F8598" s="58"/>
      <c r="G8598" s="58"/>
    </row>
    <row r="8599">
      <c r="D8599" s="58"/>
      <c r="E8599" s="58"/>
      <c r="F8599" s="58"/>
      <c r="G8599" s="58"/>
    </row>
    <row r="8600">
      <c r="D8600" s="58"/>
      <c r="E8600" s="58"/>
      <c r="F8600" s="58"/>
      <c r="G8600" s="58"/>
    </row>
    <row r="8601">
      <c r="D8601" s="58"/>
      <c r="E8601" s="58"/>
      <c r="F8601" s="58"/>
      <c r="G8601" s="58"/>
    </row>
    <row r="8602">
      <c r="D8602" s="58"/>
      <c r="E8602" s="58"/>
      <c r="F8602" s="58"/>
      <c r="G8602" s="58"/>
    </row>
    <row r="8603">
      <c r="D8603" s="58"/>
      <c r="E8603" s="58"/>
      <c r="F8603" s="58"/>
      <c r="G8603" s="58"/>
    </row>
    <row r="8604">
      <c r="D8604" s="58"/>
      <c r="E8604" s="58"/>
      <c r="F8604" s="58"/>
      <c r="G8604" s="58"/>
    </row>
    <row r="8605">
      <c r="D8605" s="58"/>
      <c r="E8605" s="58"/>
      <c r="F8605" s="58"/>
      <c r="G8605" s="58"/>
    </row>
    <row r="8606">
      <c r="D8606" s="58"/>
      <c r="E8606" s="58"/>
      <c r="F8606" s="58"/>
      <c r="G8606" s="58"/>
    </row>
    <row r="8607">
      <c r="D8607" s="58"/>
      <c r="E8607" s="58"/>
      <c r="F8607" s="58"/>
      <c r="G8607" s="58"/>
    </row>
    <row r="8608">
      <c r="D8608" s="58"/>
      <c r="E8608" s="58"/>
      <c r="F8608" s="58"/>
      <c r="G8608" s="58"/>
    </row>
    <row r="8609">
      <c r="D8609" s="58"/>
      <c r="E8609" s="58"/>
      <c r="F8609" s="58"/>
      <c r="G8609" s="58"/>
    </row>
    <row r="8610">
      <c r="D8610" s="58"/>
      <c r="E8610" s="58"/>
      <c r="F8610" s="58"/>
      <c r="G8610" s="58"/>
    </row>
    <row r="8611">
      <c r="D8611" s="58"/>
      <c r="E8611" s="58"/>
      <c r="F8611" s="58"/>
      <c r="G8611" s="58"/>
    </row>
    <row r="8612">
      <c r="D8612" s="58"/>
      <c r="E8612" s="58"/>
      <c r="F8612" s="58"/>
      <c r="G8612" s="58"/>
    </row>
    <row r="8613">
      <c r="D8613" s="58"/>
      <c r="E8613" s="58"/>
      <c r="F8613" s="58"/>
      <c r="G8613" s="58"/>
    </row>
    <row r="8614">
      <c r="D8614" s="58"/>
      <c r="E8614" s="58"/>
      <c r="F8614" s="58"/>
      <c r="G8614" s="58"/>
    </row>
    <row r="8615">
      <c r="D8615" s="58"/>
      <c r="E8615" s="58"/>
      <c r="F8615" s="58"/>
      <c r="G8615" s="58"/>
    </row>
    <row r="8616">
      <c r="D8616" s="58"/>
      <c r="E8616" s="58"/>
      <c r="F8616" s="58"/>
      <c r="G8616" s="58"/>
    </row>
    <row r="8617">
      <c r="D8617" s="58"/>
      <c r="E8617" s="58"/>
      <c r="F8617" s="58"/>
      <c r="G8617" s="58"/>
    </row>
    <row r="8618">
      <c r="D8618" s="58"/>
      <c r="E8618" s="58"/>
      <c r="F8618" s="58"/>
      <c r="G8618" s="58"/>
    </row>
    <row r="8619">
      <c r="D8619" s="58"/>
      <c r="E8619" s="58"/>
      <c r="F8619" s="58"/>
      <c r="G8619" s="58"/>
    </row>
    <row r="8620">
      <c r="D8620" s="58"/>
      <c r="E8620" s="58"/>
      <c r="F8620" s="58"/>
      <c r="G8620" s="58"/>
    </row>
    <row r="8621">
      <c r="D8621" s="58"/>
      <c r="E8621" s="58"/>
      <c r="F8621" s="58"/>
      <c r="G8621" s="58"/>
    </row>
    <row r="8622">
      <c r="D8622" s="58"/>
      <c r="E8622" s="58"/>
      <c r="F8622" s="58"/>
      <c r="G8622" s="58"/>
    </row>
    <row r="8623">
      <c r="D8623" s="58"/>
      <c r="E8623" s="58"/>
      <c r="F8623" s="58"/>
      <c r="G8623" s="58"/>
    </row>
    <row r="8624">
      <c r="D8624" s="58"/>
      <c r="E8624" s="58"/>
      <c r="F8624" s="58"/>
      <c r="G8624" s="58"/>
    </row>
    <row r="8625">
      <c r="D8625" s="58"/>
      <c r="E8625" s="58"/>
      <c r="F8625" s="58"/>
      <c r="G8625" s="58"/>
    </row>
    <row r="8626">
      <c r="D8626" s="58"/>
      <c r="E8626" s="58"/>
      <c r="F8626" s="58"/>
      <c r="G8626" s="58"/>
    </row>
    <row r="8627">
      <c r="D8627" s="58"/>
      <c r="E8627" s="58"/>
      <c r="F8627" s="58"/>
      <c r="G8627" s="58"/>
    </row>
    <row r="8628">
      <c r="D8628" s="58"/>
      <c r="E8628" s="58"/>
      <c r="F8628" s="58"/>
      <c r="G8628" s="58"/>
    </row>
    <row r="8629">
      <c r="D8629" s="58"/>
      <c r="E8629" s="58"/>
      <c r="F8629" s="58"/>
      <c r="G8629" s="58"/>
    </row>
    <row r="8630">
      <c r="D8630" s="58"/>
      <c r="E8630" s="58"/>
      <c r="F8630" s="58"/>
      <c r="G8630" s="58"/>
    </row>
    <row r="8631">
      <c r="D8631" s="58"/>
      <c r="E8631" s="58"/>
      <c r="F8631" s="58"/>
      <c r="G8631" s="58"/>
    </row>
    <row r="8632">
      <c r="D8632" s="58"/>
      <c r="E8632" s="58"/>
      <c r="F8632" s="58"/>
      <c r="G8632" s="58"/>
    </row>
    <row r="8633">
      <c r="D8633" s="58"/>
      <c r="E8633" s="58"/>
      <c r="F8633" s="58"/>
      <c r="G8633" s="58"/>
    </row>
    <row r="8634">
      <c r="D8634" s="58"/>
      <c r="E8634" s="58"/>
      <c r="F8634" s="58"/>
      <c r="G8634" s="58"/>
    </row>
    <row r="8635">
      <c r="D8635" s="58"/>
      <c r="E8635" s="58"/>
      <c r="F8635" s="58"/>
      <c r="G8635" s="58"/>
    </row>
    <row r="8636">
      <c r="D8636" s="58"/>
      <c r="E8636" s="58"/>
      <c r="F8636" s="58"/>
      <c r="G8636" s="58"/>
    </row>
    <row r="8637">
      <c r="D8637" s="58"/>
      <c r="E8637" s="58"/>
      <c r="F8637" s="58"/>
      <c r="G8637" s="58"/>
    </row>
    <row r="8638">
      <c r="D8638" s="58"/>
      <c r="E8638" s="58"/>
      <c r="F8638" s="58"/>
      <c r="G8638" s="58"/>
    </row>
    <row r="8639">
      <c r="D8639" s="58"/>
      <c r="E8639" s="58"/>
      <c r="F8639" s="58"/>
      <c r="G8639" s="58"/>
    </row>
    <row r="8640">
      <c r="D8640" s="58"/>
      <c r="E8640" s="58"/>
      <c r="F8640" s="58"/>
      <c r="G8640" s="58"/>
    </row>
    <row r="8641">
      <c r="D8641" s="58"/>
      <c r="E8641" s="58"/>
      <c r="F8641" s="58"/>
      <c r="G8641" s="58"/>
    </row>
    <row r="8642">
      <c r="D8642" s="58"/>
      <c r="E8642" s="58"/>
      <c r="F8642" s="58"/>
      <c r="G8642" s="58"/>
    </row>
    <row r="8643">
      <c r="D8643" s="58"/>
      <c r="E8643" s="58"/>
      <c r="F8643" s="58"/>
      <c r="G8643" s="58"/>
    </row>
    <row r="8644">
      <c r="D8644" s="58"/>
      <c r="E8644" s="58"/>
      <c r="F8644" s="58"/>
      <c r="G8644" s="58"/>
    </row>
    <row r="8645">
      <c r="D8645" s="58"/>
      <c r="E8645" s="58"/>
      <c r="F8645" s="58"/>
      <c r="G8645" s="58"/>
    </row>
    <row r="8646">
      <c r="D8646" s="58"/>
      <c r="E8646" s="58"/>
      <c r="F8646" s="58"/>
      <c r="G8646" s="58"/>
    </row>
    <row r="8647">
      <c r="D8647" s="58"/>
      <c r="E8647" s="58"/>
      <c r="F8647" s="58"/>
      <c r="G8647" s="58"/>
    </row>
    <row r="8648">
      <c r="D8648" s="58"/>
      <c r="E8648" s="58"/>
      <c r="F8648" s="58"/>
      <c r="G8648" s="58"/>
    </row>
    <row r="8649">
      <c r="D8649" s="58"/>
      <c r="E8649" s="58"/>
      <c r="F8649" s="58"/>
      <c r="G8649" s="58"/>
    </row>
    <row r="8650">
      <c r="D8650" s="58"/>
      <c r="E8650" s="58"/>
      <c r="F8650" s="58"/>
      <c r="G8650" s="58"/>
    </row>
    <row r="8651">
      <c r="D8651" s="58"/>
      <c r="E8651" s="58"/>
      <c r="F8651" s="58"/>
      <c r="G8651" s="58"/>
    </row>
    <row r="8652">
      <c r="D8652" s="58"/>
      <c r="E8652" s="58"/>
      <c r="F8652" s="58"/>
      <c r="G8652" s="58"/>
    </row>
    <row r="8653">
      <c r="D8653" s="58"/>
      <c r="E8653" s="58"/>
      <c r="F8653" s="58"/>
      <c r="G8653" s="58"/>
    </row>
    <row r="8654">
      <c r="D8654" s="58"/>
      <c r="E8654" s="58"/>
      <c r="F8654" s="58"/>
      <c r="G8654" s="58"/>
    </row>
    <row r="8655">
      <c r="D8655" s="58"/>
      <c r="E8655" s="58"/>
      <c r="F8655" s="58"/>
      <c r="G8655" s="58"/>
    </row>
    <row r="8656">
      <c r="D8656" s="58"/>
      <c r="E8656" s="58"/>
      <c r="F8656" s="58"/>
      <c r="G8656" s="58"/>
    </row>
    <row r="8657">
      <c r="D8657" s="58"/>
      <c r="E8657" s="58"/>
      <c r="F8657" s="58"/>
      <c r="G8657" s="58"/>
    </row>
    <row r="8658">
      <c r="D8658" s="58"/>
      <c r="E8658" s="58"/>
      <c r="F8658" s="58"/>
      <c r="G8658" s="58"/>
    </row>
    <row r="8659">
      <c r="D8659" s="58"/>
      <c r="E8659" s="58"/>
      <c r="F8659" s="58"/>
      <c r="G8659" s="58"/>
    </row>
    <row r="8660">
      <c r="D8660" s="58"/>
      <c r="E8660" s="58"/>
      <c r="F8660" s="58"/>
      <c r="G8660" s="58"/>
    </row>
    <row r="8661">
      <c r="D8661" s="58"/>
      <c r="E8661" s="58"/>
      <c r="F8661" s="58"/>
      <c r="G8661" s="58"/>
    </row>
    <row r="8662">
      <c r="D8662" s="58"/>
      <c r="E8662" s="58"/>
      <c r="F8662" s="58"/>
      <c r="G8662" s="58"/>
    </row>
    <row r="8663">
      <c r="D8663" s="58"/>
      <c r="E8663" s="58"/>
      <c r="F8663" s="58"/>
      <c r="G8663" s="58"/>
    </row>
    <row r="8664">
      <c r="D8664" s="58"/>
      <c r="E8664" s="58"/>
      <c r="F8664" s="58"/>
      <c r="G8664" s="58"/>
    </row>
    <row r="8665">
      <c r="D8665" s="58"/>
      <c r="E8665" s="58"/>
      <c r="F8665" s="58"/>
      <c r="G8665" s="58"/>
    </row>
    <row r="8666">
      <c r="D8666" s="58"/>
      <c r="E8666" s="58"/>
      <c r="F8666" s="58"/>
      <c r="G8666" s="58"/>
    </row>
    <row r="8667">
      <c r="D8667" s="58"/>
      <c r="E8667" s="58"/>
      <c r="F8667" s="58"/>
      <c r="G8667" s="58"/>
    </row>
    <row r="8668">
      <c r="D8668" s="58"/>
      <c r="E8668" s="58"/>
      <c r="F8668" s="58"/>
      <c r="G8668" s="58"/>
    </row>
    <row r="8669">
      <c r="D8669" s="58"/>
      <c r="E8669" s="58"/>
      <c r="F8669" s="58"/>
      <c r="G8669" s="58"/>
    </row>
    <row r="8670">
      <c r="D8670" s="58"/>
      <c r="E8670" s="58"/>
      <c r="F8670" s="58"/>
      <c r="G8670" s="58"/>
    </row>
    <row r="8671">
      <c r="D8671" s="58"/>
      <c r="E8671" s="58"/>
      <c r="F8671" s="58"/>
      <c r="G8671" s="58"/>
    </row>
    <row r="8672">
      <c r="D8672" s="58"/>
      <c r="E8672" s="58"/>
      <c r="F8672" s="58"/>
      <c r="G8672" s="58"/>
    </row>
    <row r="8673">
      <c r="D8673" s="58"/>
      <c r="E8673" s="58"/>
      <c r="F8673" s="58"/>
      <c r="G8673" s="58"/>
    </row>
    <row r="8674">
      <c r="D8674" s="58"/>
      <c r="E8674" s="58"/>
      <c r="F8674" s="58"/>
      <c r="G8674" s="58"/>
    </row>
    <row r="8675">
      <c r="D8675" s="58"/>
      <c r="E8675" s="58"/>
      <c r="F8675" s="58"/>
      <c r="G8675" s="58"/>
    </row>
    <row r="8676">
      <c r="D8676" s="58"/>
      <c r="E8676" s="58"/>
      <c r="F8676" s="58"/>
      <c r="G8676" s="58"/>
    </row>
    <row r="8677">
      <c r="D8677" s="58"/>
      <c r="E8677" s="58"/>
      <c r="F8677" s="58"/>
      <c r="G8677" s="58"/>
    </row>
    <row r="8678">
      <c r="D8678" s="58"/>
      <c r="E8678" s="58"/>
      <c r="F8678" s="58"/>
      <c r="G8678" s="58"/>
    </row>
    <row r="8679">
      <c r="D8679" s="58"/>
      <c r="E8679" s="58"/>
      <c r="F8679" s="58"/>
      <c r="G8679" s="58"/>
    </row>
    <row r="8680">
      <c r="D8680" s="58"/>
      <c r="E8680" s="58"/>
      <c r="F8680" s="58"/>
      <c r="G8680" s="58"/>
    </row>
    <row r="8681">
      <c r="D8681" s="58"/>
      <c r="E8681" s="58"/>
      <c r="F8681" s="58"/>
      <c r="G8681" s="58"/>
    </row>
    <row r="8682">
      <c r="D8682" s="58"/>
      <c r="E8682" s="58"/>
      <c r="F8682" s="58"/>
      <c r="G8682" s="58"/>
    </row>
    <row r="8683">
      <c r="D8683" s="58"/>
      <c r="E8683" s="58"/>
      <c r="F8683" s="58"/>
      <c r="G8683" s="58"/>
    </row>
    <row r="8684">
      <c r="D8684" s="58"/>
      <c r="E8684" s="58"/>
      <c r="F8684" s="58"/>
      <c r="G8684" s="58"/>
    </row>
    <row r="8685">
      <c r="D8685" s="58"/>
      <c r="E8685" s="58"/>
      <c r="F8685" s="58"/>
      <c r="G8685" s="58"/>
    </row>
    <row r="8686">
      <c r="D8686" s="58"/>
      <c r="E8686" s="58"/>
      <c r="F8686" s="58"/>
      <c r="G8686" s="58"/>
    </row>
    <row r="8687">
      <c r="D8687" s="58"/>
      <c r="E8687" s="58"/>
      <c r="F8687" s="58"/>
      <c r="G8687" s="58"/>
    </row>
    <row r="8688">
      <c r="D8688" s="58"/>
      <c r="E8688" s="58"/>
      <c r="F8688" s="58"/>
      <c r="G8688" s="58"/>
    </row>
    <row r="8689">
      <c r="D8689" s="58"/>
      <c r="E8689" s="58"/>
      <c r="F8689" s="58"/>
      <c r="G8689" s="58"/>
    </row>
    <row r="8690">
      <c r="D8690" s="58"/>
      <c r="E8690" s="58"/>
      <c r="F8690" s="58"/>
      <c r="G8690" s="58"/>
    </row>
    <row r="8691">
      <c r="D8691" s="58"/>
      <c r="E8691" s="58"/>
      <c r="F8691" s="58"/>
      <c r="G8691" s="58"/>
    </row>
    <row r="8692">
      <c r="D8692" s="58"/>
      <c r="E8692" s="58"/>
      <c r="F8692" s="58"/>
      <c r="G8692" s="58"/>
    </row>
    <row r="8693">
      <c r="D8693" s="58"/>
      <c r="E8693" s="58"/>
      <c r="F8693" s="58"/>
      <c r="G8693" s="58"/>
    </row>
    <row r="8694">
      <c r="D8694" s="58"/>
      <c r="E8694" s="58"/>
      <c r="F8694" s="58"/>
      <c r="G8694" s="58"/>
    </row>
    <row r="8695">
      <c r="D8695" s="58"/>
      <c r="E8695" s="58"/>
      <c r="F8695" s="58"/>
      <c r="G8695" s="58"/>
    </row>
    <row r="8696">
      <c r="D8696" s="58"/>
      <c r="E8696" s="58"/>
      <c r="F8696" s="58"/>
      <c r="G8696" s="58"/>
    </row>
    <row r="8697">
      <c r="D8697" s="58"/>
      <c r="E8697" s="58"/>
      <c r="F8697" s="58"/>
      <c r="G8697" s="58"/>
    </row>
    <row r="8698">
      <c r="D8698" s="58"/>
      <c r="E8698" s="58"/>
      <c r="F8698" s="58"/>
      <c r="G8698" s="58"/>
    </row>
    <row r="8699">
      <c r="D8699" s="58"/>
      <c r="E8699" s="58"/>
      <c r="F8699" s="58"/>
      <c r="G8699" s="58"/>
    </row>
    <row r="8700">
      <c r="D8700" s="58"/>
      <c r="E8700" s="58"/>
      <c r="F8700" s="58"/>
      <c r="G8700" s="58"/>
    </row>
    <row r="8701">
      <c r="D8701" s="58"/>
      <c r="E8701" s="58"/>
      <c r="F8701" s="58"/>
      <c r="G8701" s="58"/>
    </row>
    <row r="8702">
      <c r="D8702" s="58"/>
      <c r="E8702" s="58"/>
      <c r="F8702" s="58"/>
      <c r="G8702" s="58"/>
    </row>
    <row r="8703">
      <c r="D8703" s="58"/>
      <c r="E8703" s="58"/>
      <c r="F8703" s="58"/>
      <c r="G8703" s="58"/>
    </row>
    <row r="8704">
      <c r="D8704" s="58"/>
      <c r="E8704" s="58"/>
      <c r="F8704" s="58"/>
      <c r="G8704" s="58"/>
    </row>
    <row r="8705">
      <c r="D8705" s="58"/>
      <c r="E8705" s="58"/>
      <c r="F8705" s="58"/>
      <c r="G8705" s="58"/>
    </row>
    <row r="8706">
      <c r="D8706" s="58"/>
      <c r="E8706" s="58"/>
      <c r="F8706" s="58"/>
      <c r="G8706" s="58"/>
    </row>
    <row r="8707">
      <c r="D8707" s="58"/>
      <c r="E8707" s="58"/>
      <c r="F8707" s="58"/>
      <c r="G8707" s="58"/>
    </row>
    <row r="8708">
      <c r="D8708" s="58"/>
      <c r="E8708" s="58"/>
      <c r="F8708" s="58"/>
      <c r="G8708" s="58"/>
    </row>
    <row r="8709">
      <c r="D8709" s="58"/>
      <c r="E8709" s="58"/>
      <c r="F8709" s="58"/>
      <c r="G8709" s="58"/>
    </row>
    <row r="8710">
      <c r="D8710" s="58"/>
      <c r="E8710" s="58"/>
      <c r="F8710" s="58"/>
      <c r="G8710" s="58"/>
    </row>
    <row r="8711">
      <c r="D8711" s="58"/>
      <c r="E8711" s="58"/>
      <c r="F8711" s="58"/>
      <c r="G8711" s="58"/>
    </row>
    <row r="8712">
      <c r="D8712" s="58"/>
      <c r="E8712" s="58"/>
      <c r="F8712" s="58"/>
      <c r="G8712" s="58"/>
    </row>
    <row r="8713">
      <c r="D8713" s="58"/>
      <c r="E8713" s="58"/>
      <c r="F8713" s="58"/>
      <c r="G8713" s="58"/>
    </row>
    <row r="8714">
      <c r="D8714" s="58"/>
      <c r="E8714" s="58"/>
      <c r="F8714" s="58"/>
      <c r="G8714" s="58"/>
    </row>
    <row r="8715">
      <c r="D8715" s="58"/>
      <c r="E8715" s="58"/>
      <c r="F8715" s="58"/>
      <c r="G8715" s="58"/>
    </row>
    <row r="8716">
      <c r="D8716" s="58"/>
      <c r="E8716" s="58"/>
      <c r="F8716" s="58"/>
      <c r="G8716" s="58"/>
    </row>
    <row r="8717">
      <c r="D8717" s="58"/>
      <c r="E8717" s="58"/>
      <c r="F8717" s="58"/>
      <c r="G8717" s="58"/>
    </row>
    <row r="8718">
      <c r="D8718" s="58"/>
      <c r="E8718" s="58"/>
      <c r="F8718" s="58"/>
      <c r="G8718" s="58"/>
    </row>
    <row r="8719">
      <c r="D8719" s="58"/>
      <c r="E8719" s="58"/>
      <c r="F8719" s="58"/>
      <c r="G8719" s="58"/>
    </row>
    <row r="8720">
      <c r="D8720" s="58"/>
      <c r="E8720" s="58"/>
      <c r="F8720" s="58"/>
      <c r="G8720" s="58"/>
    </row>
    <row r="8721">
      <c r="D8721" s="58"/>
      <c r="E8721" s="58"/>
      <c r="F8721" s="58"/>
      <c r="G8721" s="58"/>
    </row>
    <row r="8722">
      <c r="D8722" s="58"/>
      <c r="E8722" s="58"/>
      <c r="F8722" s="58"/>
      <c r="G8722" s="58"/>
    </row>
    <row r="8723">
      <c r="D8723" s="58"/>
      <c r="E8723" s="58"/>
      <c r="F8723" s="58"/>
      <c r="G8723" s="58"/>
    </row>
    <row r="8724">
      <c r="D8724" s="58"/>
      <c r="E8724" s="58"/>
      <c r="F8724" s="58"/>
      <c r="G8724" s="58"/>
    </row>
    <row r="8725">
      <c r="D8725" s="58"/>
      <c r="E8725" s="58"/>
      <c r="F8725" s="58"/>
      <c r="G8725" s="58"/>
    </row>
    <row r="8726">
      <c r="D8726" s="58"/>
      <c r="E8726" s="58"/>
      <c r="F8726" s="58"/>
      <c r="G8726" s="58"/>
    </row>
    <row r="8727">
      <c r="D8727" s="58"/>
      <c r="E8727" s="58"/>
      <c r="F8727" s="58"/>
      <c r="G8727" s="58"/>
    </row>
    <row r="8728">
      <c r="D8728" s="58"/>
      <c r="E8728" s="58"/>
      <c r="F8728" s="58"/>
      <c r="G8728" s="58"/>
    </row>
    <row r="8729">
      <c r="D8729" s="58"/>
      <c r="E8729" s="58"/>
      <c r="F8729" s="58"/>
      <c r="G8729" s="58"/>
    </row>
    <row r="8730">
      <c r="D8730" s="58"/>
      <c r="E8730" s="58"/>
      <c r="F8730" s="58"/>
      <c r="G8730" s="58"/>
    </row>
    <row r="8731">
      <c r="D8731" s="58"/>
      <c r="E8731" s="58"/>
      <c r="F8731" s="58"/>
      <c r="G8731" s="58"/>
    </row>
    <row r="8732">
      <c r="D8732" s="58"/>
      <c r="E8732" s="58"/>
      <c r="F8732" s="58"/>
      <c r="G8732" s="58"/>
    </row>
    <row r="8733">
      <c r="D8733" s="58"/>
      <c r="E8733" s="58"/>
      <c r="F8733" s="58"/>
      <c r="G8733" s="58"/>
    </row>
    <row r="8734">
      <c r="D8734" s="58"/>
      <c r="E8734" s="58"/>
      <c r="F8734" s="58"/>
      <c r="G8734" s="58"/>
    </row>
    <row r="8735">
      <c r="D8735" s="58"/>
      <c r="E8735" s="58"/>
      <c r="F8735" s="58"/>
      <c r="G8735" s="58"/>
    </row>
    <row r="8736">
      <c r="D8736" s="58"/>
      <c r="E8736" s="58"/>
      <c r="F8736" s="58"/>
      <c r="G8736" s="58"/>
    </row>
    <row r="8737">
      <c r="D8737" s="58"/>
      <c r="E8737" s="58"/>
      <c r="F8737" s="58"/>
      <c r="G8737" s="58"/>
    </row>
    <row r="8738">
      <c r="D8738" s="58"/>
      <c r="E8738" s="58"/>
      <c r="F8738" s="58"/>
      <c r="G8738" s="58"/>
    </row>
    <row r="8739">
      <c r="D8739" s="58"/>
      <c r="E8739" s="58"/>
      <c r="F8739" s="58"/>
      <c r="G8739" s="58"/>
    </row>
    <row r="8740">
      <c r="D8740" s="58"/>
      <c r="E8740" s="58"/>
      <c r="F8740" s="58"/>
      <c r="G8740" s="58"/>
    </row>
    <row r="8741">
      <c r="D8741" s="58"/>
      <c r="E8741" s="58"/>
      <c r="F8741" s="58"/>
      <c r="G8741" s="58"/>
    </row>
    <row r="8742">
      <c r="D8742" s="58"/>
      <c r="E8742" s="58"/>
      <c r="F8742" s="58"/>
      <c r="G8742" s="58"/>
    </row>
    <row r="8743">
      <c r="D8743" s="58"/>
      <c r="E8743" s="58"/>
      <c r="F8743" s="58"/>
      <c r="G8743" s="58"/>
    </row>
    <row r="8744">
      <c r="D8744" s="58"/>
      <c r="E8744" s="58"/>
      <c r="F8744" s="58"/>
      <c r="G8744" s="58"/>
    </row>
    <row r="8745">
      <c r="D8745" s="58"/>
      <c r="E8745" s="58"/>
      <c r="F8745" s="58"/>
      <c r="G8745" s="58"/>
    </row>
    <row r="8746">
      <c r="D8746" s="58"/>
      <c r="E8746" s="58"/>
      <c r="F8746" s="58"/>
      <c r="G8746" s="58"/>
    </row>
    <row r="8747">
      <c r="D8747" s="58"/>
      <c r="E8747" s="58"/>
      <c r="F8747" s="58"/>
      <c r="G8747" s="58"/>
    </row>
    <row r="8748">
      <c r="D8748" s="58"/>
      <c r="E8748" s="58"/>
      <c r="F8748" s="58"/>
      <c r="G8748" s="58"/>
    </row>
    <row r="8749">
      <c r="D8749" s="58"/>
      <c r="E8749" s="58"/>
      <c r="F8749" s="58"/>
      <c r="G8749" s="58"/>
    </row>
    <row r="8750">
      <c r="D8750" s="58"/>
      <c r="E8750" s="58"/>
      <c r="F8750" s="58"/>
      <c r="G8750" s="58"/>
    </row>
    <row r="8751">
      <c r="D8751" s="58"/>
      <c r="E8751" s="58"/>
      <c r="F8751" s="58"/>
      <c r="G8751" s="58"/>
    </row>
    <row r="8752">
      <c r="D8752" s="58"/>
      <c r="E8752" s="58"/>
      <c r="F8752" s="58"/>
      <c r="G8752" s="58"/>
    </row>
    <row r="8753">
      <c r="D8753" s="58"/>
      <c r="E8753" s="58"/>
      <c r="F8753" s="58"/>
      <c r="G8753" s="58"/>
    </row>
    <row r="8754">
      <c r="D8754" s="58"/>
      <c r="E8754" s="58"/>
      <c r="F8754" s="58"/>
      <c r="G8754" s="58"/>
    </row>
    <row r="8755">
      <c r="D8755" s="58"/>
      <c r="E8755" s="58"/>
      <c r="F8755" s="58"/>
      <c r="G8755" s="58"/>
    </row>
    <row r="8756">
      <c r="D8756" s="58"/>
      <c r="E8756" s="58"/>
      <c r="F8756" s="58"/>
      <c r="G8756" s="58"/>
    </row>
    <row r="8757">
      <c r="D8757" s="58"/>
      <c r="E8757" s="58"/>
      <c r="F8757" s="58"/>
      <c r="G8757" s="58"/>
    </row>
    <row r="8758">
      <c r="D8758" s="58"/>
      <c r="E8758" s="58"/>
      <c r="F8758" s="58"/>
      <c r="G8758" s="58"/>
    </row>
    <row r="8759">
      <c r="D8759" s="58"/>
      <c r="E8759" s="58"/>
      <c r="F8759" s="58"/>
      <c r="G8759" s="58"/>
    </row>
    <row r="8760">
      <c r="D8760" s="58"/>
      <c r="E8760" s="58"/>
      <c r="F8760" s="58"/>
      <c r="G8760" s="58"/>
    </row>
    <row r="8761">
      <c r="D8761" s="58"/>
      <c r="E8761" s="58"/>
      <c r="F8761" s="58"/>
      <c r="G8761" s="58"/>
    </row>
    <row r="8762">
      <c r="D8762" s="58"/>
      <c r="E8762" s="58"/>
      <c r="F8762" s="58"/>
      <c r="G8762" s="58"/>
    </row>
    <row r="8763">
      <c r="D8763" s="58"/>
      <c r="E8763" s="58"/>
      <c r="F8763" s="58"/>
      <c r="G8763" s="58"/>
    </row>
    <row r="8764">
      <c r="D8764" s="58"/>
      <c r="E8764" s="58"/>
      <c r="F8764" s="58"/>
      <c r="G8764" s="58"/>
    </row>
    <row r="8765">
      <c r="D8765" s="58"/>
      <c r="E8765" s="58"/>
      <c r="F8765" s="58"/>
      <c r="G8765" s="58"/>
    </row>
    <row r="8766">
      <c r="D8766" s="58"/>
      <c r="E8766" s="58"/>
      <c r="F8766" s="58"/>
      <c r="G8766" s="58"/>
    </row>
    <row r="8767">
      <c r="D8767" s="58"/>
      <c r="E8767" s="58"/>
      <c r="F8767" s="58"/>
      <c r="G8767" s="58"/>
    </row>
    <row r="8768">
      <c r="D8768" s="58"/>
      <c r="E8768" s="58"/>
      <c r="F8768" s="58"/>
      <c r="G8768" s="58"/>
    </row>
    <row r="8769">
      <c r="D8769" s="58"/>
      <c r="E8769" s="58"/>
      <c r="F8769" s="58"/>
      <c r="G8769" s="58"/>
    </row>
    <row r="8770">
      <c r="D8770" s="58"/>
      <c r="E8770" s="58"/>
      <c r="F8770" s="58"/>
      <c r="G8770" s="58"/>
    </row>
    <row r="8771">
      <c r="D8771" s="58"/>
      <c r="E8771" s="58"/>
      <c r="F8771" s="58"/>
      <c r="G8771" s="58"/>
    </row>
    <row r="8772">
      <c r="D8772" s="58"/>
      <c r="E8772" s="58"/>
      <c r="F8772" s="58"/>
      <c r="G8772" s="58"/>
    </row>
    <row r="8773">
      <c r="D8773" s="58"/>
      <c r="E8773" s="58"/>
      <c r="F8773" s="58"/>
      <c r="G8773" s="58"/>
    </row>
    <row r="8774">
      <c r="D8774" s="58"/>
      <c r="E8774" s="58"/>
      <c r="F8774" s="58"/>
      <c r="G8774" s="58"/>
    </row>
    <row r="8775">
      <c r="D8775" s="58"/>
      <c r="E8775" s="58"/>
      <c r="F8775" s="58"/>
      <c r="G8775" s="58"/>
    </row>
    <row r="8776">
      <c r="D8776" s="58"/>
      <c r="E8776" s="58"/>
      <c r="F8776" s="58"/>
      <c r="G8776" s="58"/>
    </row>
    <row r="8777">
      <c r="D8777" s="58"/>
      <c r="E8777" s="58"/>
      <c r="F8777" s="58"/>
      <c r="G8777" s="58"/>
    </row>
    <row r="8778">
      <c r="D8778" s="58"/>
      <c r="E8778" s="58"/>
      <c r="F8778" s="58"/>
      <c r="G8778" s="58"/>
    </row>
    <row r="8779">
      <c r="D8779" s="58"/>
      <c r="E8779" s="58"/>
      <c r="F8779" s="58"/>
      <c r="G8779" s="58"/>
    </row>
    <row r="8780">
      <c r="D8780" s="58"/>
      <c r="E8780" s="58"/>
      <c r="F8780" s="58"/>
      <c r="G8780" s="58"/>
    </row>
    <row r="8781">
      <c r="D8781" s="58"/>
      <c r="E8781" s="58"/>
      <c r="F8781" s="58"/>
      <c r="G8781" s="58"/>
    </row>
    <row r="8782">
      <c r="D8782" s="58"/>
      <c r="E8782" s="58"/>
      <c r="F8782" s="58"/>
      <c r="G8782" s="58"/>
    </row>
    <row r="8783">
      <c r="D8783" s="58"/>
      <c r="E8783" s="58"/>
      <c r="F8783" s="58"/>
      <c r="G8783" s="58"/>
    </row>
    <row r="8784">
      <c r="D8784" s="58"/>
      <c r="E8784" s="58"/>
      <c r="F8784" s="58"/>
      <c r="G8784" s="58"/>
    </row>
    <row r="8785">
      <c r="D8785" s="58"/>
      <c r="E8785" s="58"/>
      <c r="F8785" s="58"/>
      <c r="G8785" s="58"/>
    </row>
    <row r="8786">
      <c r="D8786" s="58"/>
      <c r="E8786" s="58"/>
      <c r="F8786" s="58"/>
      <c r="G8786" s="58"/>
    </row>
    <row r="8787">
      <c r="D8787" s="58"/>
      <c r="E8787" s="58"/>
      <c r="F8787" s="58"/>
      <c r="G8787" s="58"/>
    </row>
    <row r="8788">
      <c r="D8788" s="58"/>
      <c r="E8788" s="58"/>
      <c r="F8788" s="58"/>
      <c r="G8788" s="58"/>
    </row>
    <row r="8789">
      <c r="D8789" s="58"/>
      <c r="E8789" s="58"/>
      <c r="F8789" s="58"/>
      <c r="G8789" s="58"/>
    </row>
    <row r="8790">
      <c r="D8790" s="58"/>
      <c r="E8790" s="58"/>
      <c r="F8790" s="58"/>
      <c r="G8790" s="58"/>
    </row>
    <row r="8791">
      <c r="D8791" s="58"/>
      <c r="E8791" s="58"/>
      <c r="F8791" s="58"/>
      <c r="G8791" s="58"/>
    </row>
    <row r="8792">
      <c r="D8792" s="58"/>
      <c r="E8792" s="58"/>
      <c r="F8792" s="58"/>
      <c r="G8792" s="58"/>
    </row>
    <row r="8793">
      <c r="D8793" s="58"/>
      <c r="E8793" s="58"/>
      <c r="F8793" s="58"/>
      <c r="G8793" s="58"/>
    </row>
    <row r="8794">
      <c r="D8794" s="58"/>
      <c r="E8794" s="58"/>
      <c r="F8794" s="58"/>
      <c r="G8794" s="58"/>
    </row>
    <row r="8795">
      <c r="D8795" s="58"/>
      <c r="E8795" s="58"/>
      <c r="F8795" s="58"/>
      <c r="G8795" s="58"/>
    </row>
  </sheetData>
  <mergeCells count="3">
    <mergeCell ref="B2:F2"/>
    <mergeCell ref="H2:I3"/>
    <mergeCell ref="C3: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25"/>
    <col customWidth="1" min="2" max="2" width="22.63"/>
    <col customWidth="1" min="3" max="3" width="7.75"/>
    <col customWidth="1" min="4" max="4" width="12.0"/>
    <col customWidth="1" min="5" max="7" width="11.63"/>
    <col customWidth="1" min="8" max="8" width="6.75"/>
    <col customWidth="1" min="9" max="9" width="8.13"/>
    <col customWidth="1" min="11" max="11" width="5.5"/>
    <col customWidth="1" min="12" max="12" width="4.88"/>
    <col customWidth="1" min="13" max="13" width="4.75"/>
    <col customWidth="1" min="14" max="14" width="6.0"/>
    <col customWidth="1" min="15" max="15" width="6.13"/>
    <col customWidth="1" min="16" max="16" width="5.63"/>
    <col customWidth="1" min="17" max="17" width="6.0"/>
    <col customWidth="1" min="18" max="18" width="6.88"/>
  </cols>
  <sheetData>
    <row r="1">
      <c r="A1" s="230" t="s">
        <v>10255</v>
      </c>
      <c r="B1" s="81" t="s">
        <v>64</v>
      </c>
      <c r="C1" s="81" t="s">
        <v>10256</v>
      </c>
      <c r="D1" s="81" t="s">
        <v>10257</v>
      </c>
      <c r="E1" s="231" t="s">
        <v>10258</v>
      </c>
      <c r="F1" s="81" t="s">
        <v>10249</v>
      </c>
      <c r="G1" s="81" t="s">
        <v>62</v>
      </c>
      <c r="H1" s="81" t="s">
        <v>10259</v>
      </c>
      <c r="I1" s="81" t="s">
        <v>66</v>
      </c>
      <c r="K1" s="232"/>
      <c r="L1" s="81" t="s">
        <v>10260</v>
      </c>
      <c r="M1" s="232"/>
      <c r="N1" s="232"/>
      <c r="O1" s="232"/>
    </row>
    <row r="2">
      <c r="A2" s="233" t="s">
        <v>3672</v>
      </c>
      <c r="B2" s="23" t="str">
        <f>Publishers!A121</f>
        <v>HypeTrain Digital</v>
      </c>
      <c r="C2" s="78">
        <f>COUNTIF(Inventory!A:A, A2)</f>
        <v>1</v>
      </c>
      <c r="D2" s="89">
        <f>IFERROR(__xludf.DUMMYFUNCTION("IFERROR(AVERAGE(FILTER(Inventory!H:H,Inventory!J:J=""Closed"",Inventory!A:A=A2)),"""")"),1.0)</f>
        <v>1</v>
      </c>
      <c r="E2" s="234">
        <f>IFERROR(__xludf.DUMMYFUNCTION("IFERROR(AVERAGE(FILTER(Inventory!G:G,Inventory!J:J=""Closed"",Inventory!A:A=A2)),""0"")"),0.21)</f>
        <v>0.21</v>
      </c>
      <c r="F2" s="235">
        <f>IFERROR(__xludf.DUMMYFUNCTION("IFERROR(SUM(FILTER(Inventory!G:G,Inventory!J:J=""Closed"",Inventory!A:A=A2)),""0"")"),0.21)</f>
        <v>0.21</v>
      </c>
      <c r="G2" s="235">
        <f>IFERROR(__xludf.DUMMYFUNCTION("IFERROR(AVERAGE(FILTER(Inventory!K:K,Inventory!J:J=""Closed"",Inventory!A:A=A2)),""0"")"),31.0)</f>
        <v>31</v>
      </c>
      <c r="H2" s="23" t="b">
        <v>0</v>
      </c>
      <c r="I2" s="236"/>
      <c r="J2" s="236">
        <f>MAXIFS(Inventory!D:D, Inventory!A:A, A:A)</f>
        <v>45030</v>
      </c>
      <c r="L2" s="23">
        <f>COUNTIFS(Inventory!A:A,A2,Inventory!J:J,"Open")</f>
        <v>0</v>
      </c>
    </row>
    <row r="3">
      <c r="A3" s="237" t="s">
        <v>187</v>
      </c>
      <c r="B3" s="23" t="str">
        <f>Publishers!A107</f>
        <v>Games Operators</v>
      </c>
      <c r="C3" s="78">
        <f>COUNTIF(Inventory!A:A, A3)</f>
        <v>2</v>
      </c>
      <c r="D3" s="89">
        <f>IFERROR(__xludf.DUMMYFUNCTION("IFERROR(AVERAGE(FILTER(Inventory!H:H,Inventory!J:J=""Closed"",Inventory!A:A=A3)),""0"")"),1.0)</f>
        <v>1</v>
      </c>
      <c r="E3" s="234">
        <f>IFERROR(__xludf.DUMMYFUNCTION("IFERROR(AVERAGE(FILTER(Inventory!G:G,Inventory!J:J=""Closed"",Inventory!A:A=A3)),""0"")"),0.725)</f>
        <v>0.725</v>
      </c>
      <c r="F3" s="235">
        <f>IFERROR(__xludf.DUMMYFUNCTION("IFERROR(SUM(FILTER(Inventory!G:G,Inventory!J:J=""Closed"",Inventory!A:A=A3)),""0"")"),1.45)</f>
        <v>1.45</v>
      </c>
      <c r="G3" s="235">
        <f>IFERROR(__xludf.DUMMYFUNCTION("IFERROR(AVERAGE(FILTER(Inventory!K:K,Inventory!J:J=""Closed"",Inventory!A:A=A3)),""0"")"),22.0)</f>
        <v>22</v>
      </c>
      <c r="H3" s="23" t="b">
        <v>0</v>
      </c>
      <c r="I3" s="236"/>
      <c r="J3" s="236">
        <f>MAXIFS(Inventory!D:D, Inventory!A:A, A:A)</f>
        <v>44010</v>
      </c>
      <c r="L3" s="23">
        <f>COUNTIFS(Inventory!A:A,A3,Inventory!J:J,"Open")</f>
        <v>0</v>
      </c>
    </row>
    <row r="4">
      <c r="A4" s="233" t="s">
        <v>4342</v>
      </c>
      <c r="B4" s="23" t="str">
        <f>Publishers!A220</f>
        <v>Secret Mode</v>
      </c>
      <c r="C4" s="78">
        <f>COUNTIF(Inventory!A:A, A4)</f>
        <v>1</v>
      </c>
      <c r="D4" s="89" t="str">
        <f>IFERROR(__xludf.DUMMYFUNCTION("IFERROR(AVERAGE(FILTER(Inventory!H:H,Inventory!J:J=""Closed"",Inventory!A:A=A4)),"""")"),"")</f>
        <v/>
      </c>
      <c r="E4" s="234"/>
      <c r="F4" s="235" t="str">
        <f>IFERROR(__xludf.DUMMYFUNCTION("IFERROR(SUM(FILTER(Inventory!G:G,Inventory!J:J=""Closed"",Inventory!A:A=A4)),""0"")"),"0")</f>
        <v>0</v>
      </c>
      <c r="G4" s="235"/>
      <c r="H4" s="23" t="b">
        <v>0</v>
      </c>
      <c r="I4" s="236"/>
      <c r="J4" s="236">
        <f>MAXIFS(Inventory!D:D, Inventory!A:A, A:A)</f>
        <v>0</v>
      </c>
      <c r="L4" s="23">
        <f>COUNTIFS(Inventory!A:A,A4,Inventory!J:J,"Open")</f>
        <v>1</v>
      </c>
    </row>
    <row r="5">
      <c r="A5" s="237" t="s">
        <v>424</v>
      </c>
      <c r="B5" s="23" t="str">
        <f>Publishers!A99</f>
        <v>Focus Home Interactive</v>
      </c>
      <c r="C5" s="78">
        <f>COUNTIF(Inventory!A:A, A5)</f>
        <v>5</v>
      </c>
      <c r="D5" s="89">
        <f>IFERROR(__xludf.DUMMYFUNCTION("IFERROR(AVERAGE(FILTER(Inventory!H:H,Inventory!J:J=""Closed"",Inventory!A:A=A5)),""0"")"),0.17317231130307326)</f>
        <v>0.1731723113</v>
      </c>
      <c r="E5" s="234">
        <f>IFERROR(__xludf.DUMMYFUNCTION("IFERROR(AVERAGE(FILTER(Inventory!G:G,Inventory!J:J=""Closed"",Inventory!A:A=A5)),""0"")"),2.0120000000000005)</f>
        <v>2.012</v>
      </c>
      <c r="F5" s="235">
        <f>IFERROR(__xludf.DUMMYFUNCTION("IFERROR(SUM(FILTER(Inventory!G:G,Inventory!J:J=""Closed"",Inventory!A:A=A5)),""0"")"),10.060000000000002)</f>
        <v>10.06</v>
      </c>
      <c r="G5" s="235">
        <f>IFERROR(__xludf.DUMMYFUNCTION("IFERROR(AVERAGE(FILTER(Inventory!K:K,Inventory!J:J=""Closed"",Inventory!A:A=A5)),""0"")"),32.6)</f>
        <v>32.6</v>
      </c>
      <c r="H5" s="23" t="b">
        <v>0</v>
      </c>
      <c r="I5" s="236"/>
      <c r="J5" s="236">
        <f>MAXIFS(Inventory!D:D, Inventory!A:A, A:A)</f>
        <v>44887</v>
      </c>
      <c r="L5" s="23">
        <f>COUNTIFS(Inventory!A:A,A5,Inventory!J:J,"Open")</f>
        <v>0</v>
      </c>
    </row>
    <row r="6">
      <c r="A6" s="233" t="s">
        <v>4344</v>
      </c>
      <c r="B6" s="23" t="str">
        <f>Publishers!A99</f>
        <v>Focus Home Interactive</v>
      </c>
      <c r="C6" s="78">
        <f>COUNTIF(Inventory!A:A, A6)</f>
        <v>1</v>
      </c>
      <c r="D6" s="89">
        <f>IFERROR(__xludf.DUMMYFUNCTION("IFERROR(AVERAGE(FILTER(Inventory!H:H,Inventory!J:J=""Closed"",Inventory!A:A=A6)),""0"")"),0.057562524811433216)</f>
        <v>0.05756252481</v>
      </c>
      <c r="E6" s="234">
        <f>IFERROR(__xludf.DUMMYFUNCTION("IFERROR(AVERAGE(FILTER(Inventory!G:G,Inventory!J:J=""Closed"",Inventory!A:A=A6)),""0"")"),1.4500000000000028)</f>
        <v>1.45</v>
      </c>
      <c r="F6" s="235">
        <f>IFERROR(__xludf.DUMMYFUNCTION("IFERROR(SUM(FILTER(Inventory!G:G,Inventory!J:J=""Closed"",Inventory!A:A=A6)),""0"")"),1.4500000000000028)</f>
        <v>1.45</v>
      </c>
      <c r="G6" s="235">
        <f>IFERROR(__xludf.DUMMYFUNCTION("IFERROR(AVERAGE(FILTER(Inventory!K:K,Inventory!J:J=""Closed"",Inventory!A:A=A6)),""0"")"),9.0)</f>
        <v>9</v>
      </c>
      <c r="H6" s="23" t="b">
        <v>0</v>
      </c>
      <c r="I6" s="236"/>
      <c r="J6" s="236">
        <f>MAXIFS(Inventory!D:D, Inventory!A:A, A:A)</f>
        <v>45122</v>
      </c>
      <c r="L6" s="23">
        <f>COUNTIFS(Inventory!A:A,A6,Inventory!J:J,"Open")</f>
        <v>0</v>
      </c>
    </row>
    <row r="7">
      <c r="A7" s="233" t="s">
        <v>4149</v>
      </c>
      <c r="B7" s="23" t="str">
        <f>Publishers!A62</f>
        <v>Crytivo</v>
      </c>
      <c r="C7" s="78">
        <f>COUNTIF(Inventory!A:A, A7)</f>
        <v>2</v>
      </c>
      <c r="D7" s="89">
        <f>IFERROR(__xludf.DUMMYFUNCTION("IFERROR(AVERAGE(FILTER(Inventory!H:H,Inventory!J:J=""Closed"",Inventory!A:A=A7)),""0"")"),0.06288664089421458)</f>
        <v>0.06288664089</v>
      </c>
      <c r="E7" s="234">
        <f>IFERROR(__xludf.DUMMYFUNCTION("IFERROR(AVERAGE(FILTER(Inventory!G:G,Inventory!J:J=""Closed"",Inventory!A:A=A7)),""0"")"),0.8549999999999995)</f>
        <v>0.855</v>
      </c>
      <c r="F7" s="235">
        <f>IFERROR(__xludf.DUMMYFUNCTION("IFERROR(SUM(FILTER(Inventory!G:G,Inventory!J:J=""Closed"",Inventory!A:A=A7)),""0"")"),1.709999999999999)</f>
        <v>1.71</v>
      </c>
      <c r="G7" s="235">
        <f>IFERROR(__xludf.DUMMYFUNCTION("IFERROR(AVERAGE(FILTER(Inventory!K:K,Inventory!J:J=""Closed"",Inventory!A:A=A7)),""0"")"),1.0)</f>
        <v>1</v>
      </c>
      <c r="H7" s="23" t="b">
        <v>0</v>
      </c>
      <c r="I7" s="236"/>
      <c r="J7" s="236">
        <f>MAXIFS(Inventory!D:D, Inventory!A:A, A:A)</f>
        <v>45077</v>
      </c>
      <c r="L7" s="23">
        <f>COUNTIFS(Inventory!A:A,A7,Inventory!J:J,"Open")</f>
        <v>0</v>
      </c>
    </row>
    <row r="8">
      <c r="A8" s="233" t="s">
        <v>4955</v>
      </c>
      <c r="B8" s="23" t="str">
        <f>Publishers!A25</f>
        <v>astragon Entertainment</v>
      </c>
      <c r="C8" s="78">
        <f>COUNTIF(Inventory!A:A, A8)</f>
        <v>1</v>
      </c>
      <c r="D8" s="89"/>
      <c r="E8" s="238"/>
      <c r="F8" s="235" t="str">
        <f>IFERROR(__xludf.DUMMYFUNCTION("IFERROR(SUM(FILTER(Inventory!G:G,Inventory!J:J=""Closed"",Inventory!A:A=A8)),""0"")"),"0")</f>
        <v>0</v>
      </c>
      <c r="G8" s="235"/>
      <c r="H8" s="23" t="b">
        <v>0</v>
      </c>
      <c r="I8" s="236"/>
      <c r="J8" s="236">
        <f>MAXIFS(Inventory!D:D, Inventory!A:A, A:A)</f>
        <v>0</v>
      </c>
      <c r="L8" s="23">
        <f>COUNTIFS(Inventory!A:A,A8,Inventory!J:J,"Open")</f>
        <v>1</v>
      </c>
    </row>
    <row r="9">
      <c r="A9" s="237" t="s">
        <v>1141</v>
      </c>
      <c r="B9" s="23" t="str">
        <f>Publishers!A71</f>
        <v>Devolver Digital</v>
      </c>
      <c r="C9" s="78">
        <f>COUNTIF(Inventory!A:A, A9)</f>
        <v>2</v>
      </c>
      <c r="D9" s="89">
        <f>IFERROR(__xludf.DUMMYFUNCTION("IFERROR(AVERAGE(FILTER(Inventory!H:H,Inventory!J:J=""Closed"",Inventory!A:A=A9)),""0"")"),0.18208851086450928)</f>
        <v>0.1820885109</v>
      </c>
      <c r="E9" s="234">
        <f>IFERROR(__xludf.DUMMYFUNCTION("IFERROR(AVERAGE(FILTER(Inventory!G:G,Inventory!J:J=""Closed"",Inventory!A:A=A9)),""0"")"),1.3450000000000002)</f>
        <v>1.345</v>
      </c>
      <c r="F9" s="235">
        <f>IFERROR(__xludf.DUMMYFUNCTION("IFERROR(SUM(FILTER(Inventory!G:G,Inventory!J:J=""Closed"",Inventory!A:A=A9)),""0"")"),2.6900000000000004)</f>
        <v>2.69</v>
      </c>
      <c r="G9" s="235">
        <f>IFERROR(__xludf.DUMMYFUNCTION("IFERROR(AVERAGE(FILTER(Inventory!K:K,Inventory!J:J=""Closed"",Inventory!A:A=A9)),""0"")"),40.5)</f>
        <v>40.5</v>
      </c>
      <c r="H9" s="23" t="b">
        <v>0</v>
      </c>
      <c r="I9" s="236"/>
      <c r="J9" s="236">
        <f>MAXIFS(Inventory!D:D, Inventory!A:A, A:A)</f>
        <v>44591</v>
      </c>
      <c r="L9" s="23">
        <f>COUNTIFS(Inventory!A:A,A9,Inventory!J:J,"Open")</f>
        <v>0</v>
      </c>
    </row>
    <row r="10">
      <c r="A10" s="237" t="s">
        <v>308</v>
      </c>
      <c r="B10" s="23" t="str">
        <f>Publishers!A8</f>
        <v>505 Games</v>
      </c>
      <c r="C10" s="78">
        <f>COUNTIF(Inventory!A:A, A10)</f>
        <v>17</v>
      </c>
      <c r="D10" s="89">
        <f>IFERROR(__xludf.DUMMYFUNCTION("IFERROR(AVERAGE(FILTER(Inventory!H:H,Inventory!J:J=""Closed"",Inventory!A:A=A10)),""0"")"),0.2993622928480093)</f>
        <v>0.2993622928</v>
      </c>
      <c r="E10" s="234">
        <f>IFERROR(__xludf.DUMMYFUNCTION("IFERROR(AVERAGE(FILTER(Inventory!G:G,Inventory!J:J=""Closed"",Inventory!A:A=A10)),""0"")"),2.094705882352941)</f>
        <v>2.094705882</v>
      </c>
      <c r="F10" s="235">
        <f>IFERROR(__xludf.DUMMYFUNCTION("IFERROR(SUM(FILTER(Inventory!G:G,Inventory!J:J=""Closed"",Inventory!A:A=A10)),""0"")"),35.61)</f>
        <v>35.61</v>
      </c>
      <c r="G10" s="235">
        <f>IFERROR(__xludf.DUMMYFUNCTION("IFERROR(AVERAGE(FILTER(Inventory!K:K,Inventory!J:J=""Closed"",Inventory!A:A=A10)),""0"")"),9.823529411764707)</f>
        <v>9.823529412</v>
      </c>
      <c r="H10" s="23" t="b">
        <v>0</v>
      </c>
      <c r="I10" s="236"/>
      <c r="J10" s="236">
        <f>MAXIFS(Inventory!D:D, Inventory!A:A, A:A)</f>
        <v>45236</v>
      </c>
      <c r="L10" s="23">
        <f>COUNTIFS(Inventory!A:A,A10,Inventory!J:J,"Open")</f>
        <v>0</v>
      </c>
    </row>
    <row r="11">
      <c r="A11" s="233" t="s">
        <v>3766</v>
      </c>
      <c r="B11" s="23" t="str">
        <f>Publishers!A188</f>
        <v>Paradox Interactive</v>
      </c>
      <c r="C11" s="78">
        <f>COUNTIF(Inventory!A:A, A11)</f>
        <v>4</v>
      </c>
      <c r="D11" s="89">
        <f>IFERROR(__xludf.DUMMYFUNCTION("IFERROR(AVERAGE(FILTER(Inventory!H:H,Inventory!J:J=""Closed"",Inventory!A:A=A11)),""0"")"),0.20710438811359097)</f>
        <v>0.2071043881</v>
      </c>
      <c r="E11" s="234">
        <f>IFERROR(__xludf.DUMMYFUNCTION("IFERROR(AVERAGE(FILTER(Inventory!G:G,Inventory!J:J=""Closed"",Inventory!A:A=A11)),""0"")"),2.5600000000000005)</f>
        <v>2.56</v>
      </c>
      <c r="F11" s="235">
        <f>IFERROR(__xludf.DUMMYFUNCTION("IFERROR(SUM(FILTER(Inventory!G:G,Inventory!J:J=""Closed"",Inventory!A:A=A11)),""0"")"),10.240000000000002)</f>
        <v>10.24</v>
      </c>
      <c r="G11" s="235">
        <f>IFERROR(__xludf.DUMMYFUNCTION("IFERROR(AVERAGE(FILTER(Inventory!K:K,Inventory!J:J=""Closed"",Inventory!A:A=A11)),""0"")"),1.0)</f>
        <v>1</v>
      </c>
      <c r="H11" s="23" t="b">
        <v>0</v>
      </c>
      <c r="I11" s="236"/>
      <c r="J11" s="236">
        <f>MAXIFS(Inventory!D:D, Inventory!A:A, A:A)</f>
        <v>45019</v>
      </c>
      <c r="L11" s="23">
        <f>COUNTIFS(Inventory!A:A,A11,Inventory!J:J,"Open")</f>
        <v>0</v>
      </c>
    </row>
    <row r="12">
      <c r="A12" s="237" t="s">
        <v>572</v>
      </c>
      <c r="B12" s="23" t="str">
        <f>Publishers!A87</f>
        <v>Eugen Systems</v>
      </c>
      <c r="C12" s="78">
        <f>COUNTIF(Inventory!A:A, A12)</f>
        <v>12</v>
      </c>
      <c r="D12" s="89">
        <f>IFERROR(__xludf.DUMMYFUNCTION("IFERROR(AVERAGE(FILTER(Inventory!H:H,Inventory!J:J=""Closed"",Inventory!A:A=A12)),""0"")"),0.22616858283609234)</f>
        <v>0.2261685828</v>
      </c>
      <c r="E12" s="234">
        <f>IFERROR(__xludf.DUMMYFUNCTION("IFERROR(AVERAGE(FILTER(Inventory!G:G,Inventory!J:J=""Closed"",Inventory!A:A=A12)),""0"")"),0.24166666666666667)</f>
        <v>0.2416666667</v>
      </c>
      <c r="F12" s="235">
        <f>IFERROR(__xludf.DUMMYFUNCTION("IFERROR(SUM(FILTER(Inventory!G:G,Inventory!J:J=""Closed"",Inventory!A:A=A12)),""0"")"),2.9)</f>
        <v>2.9</v>
      </c>
      <c r="G12" s="235">
        <f>IFERROR(__xludf.DUMMYFUNCTION("IFERROR(AVERAGE(FILTER(Inventory!K:K,Inventory!J:J=""Closed"",Inventory!A:A=A12)),""0"")"),94.0)</f>
        <v>94</v>
      </c>
      <c r="H12" s="23" t="b">
        <v>0</v>
      </c>
      <c r="I12" s="236"/>
      <c r="J12" s="236">
        <f>MAXIFS(Inventory!D:D, Inventory!A:A, A:A)</f>
        <v>44968</v>
      </c>
      <c r="L12" s="23">
        <f>COUNTIFS(Inventory!A:A,A12,Inventory!J:J,"Open")</f>
        <v>0</v>
      </c>
    </row>
    <row r="13">
      <c r="A13" s="233" t="s">
        <v>4638</v>
      </c>
      <c r="B13" s="23" t="str">
        <f>Publishers!A199</f>
        <v>Private Division</v>
      </c>
      <c r="C13" s="78">
        <f>COUNTIF(Inventory!A:A, A13)</f>
        <v>1</v>
      </c>
      <c r="D13" s="89">
        <f>IFERROR(__xludf.DUMMYFUNCTION("IFERROR(AVERAGE(FILTER(Inventory!H:H,Inventory!J:J=""Closed"",Inventory!A:A=A13)),""0"")"),0.18514350028137305)</f>
        <v>0.1851435003</v>
      </c>
      <c r="E13" s="234">
        <f>IFERROR(__xludf.DUMMYFUNCTION("IFERROR(AVERAGE(FILTER(Inventory!G:G,Inventory!J:J=""Closed"",Inventory!A:A=A13)),""0"")"),3.289999999999999)</f>
        <v>3.29</v>
      </c>
      <c r="F13" s="235">
        <f>IFERROR(__xludf.DUMMYFUNCTION("IFERROR(SUM(FILTER(Inventory!G:G,Inventory!J:J=""Closed"",Inventory!A:A=A13)),""0"")"),3.289999999999999)</f>
        <v>3.29</v>
      </c>
      <c r="G13" s="235">
        <f>IFERROR(__xludf.DUMMYFUNCTION("IFERROR(AVERAGE(FILTER(Inventory!K:K,Inventory!J:J=""Closed"",Inventory!A:A=A13)),""0"")"),323.0)</f>
        <v>323</v>
      </c>
      <c r="H13" s="23" t="b">
        <v>0</v>
      </c>
      <c r="I13" s="236"/>
      <c r="J13" s="236">
        <f>MAXIFS(Inventory!D:D, Inventory!A:A, A:A)</f>
        <v>45467</v>
      </c>
      <c r="L13" s="23">
        <f>COUNTIFS(Inventory!A:A,A13,Inventory!J:J,"Open")</f>
        <v>0</v>
      </c>
    </row>
    <row r="14">
      <c r="A14" s="233" t="s">
        <v>4780</v>
      </c>
      <c r="B14" s="23" t="str">
        <f>Publishers!A119</f>
        <v>Hooded Horse</v>
      </c>
      <c r="C14" s="78">
        <f>COUNTIF(Inventory!A:A, A14)</f>
        <v>1</v>
      </c>
      <c r="D14" s="89"/>
      <c r="E14" s="234"/>
      <c r="F14" s="235" t="str">
        <f>IFERROR(__xludf.DUMMYFUNCTION("IFERROR(SUM(FILTER(Inventory!G:G,Inventory!J:J=""Closed"",Inventory!A:A=A14)),""0"")"),"0")</f>
        <v>0</v>
      </c>
      <c r="G14" s="235"/>
      <c r="H14" s="23" t="b">
        <v>0</v>
      </c>
      <c r="I14" s="236"/>
      <c r="J14" s="236">
        <f>MAXIFS(Inventory!D:D, Inventory!A:A, A:A)</f>
        <v>0</v>
      </c>
      <c r="L14" s="23">
        <f>COUNTIFS(Inventory!A:A,A14,Inventory!J:J,"Open")</f>
        <v>1</v>
      </c>
    </row>
    <row r="15">
      <c r="A15" s="237" t="s">
        <v>1495</v>
      </c>
      <c r="B15" s="23" t="str">
        <f>Publishers!A253</f>
        <v>Team17 Digital</v>
      </c>
      <c r="C15" s="78">
        <f>COUNTIF(Inventory!A:A, A15)</f>
        <v>2</v>
      </c>
      <c r="D15" s="89">
        <f>IFERROR(__xludf.DUMMYFUNCTION("IFERROR(AVERAGE(FILTER(Inventory!H:H,Inventory!J:J=""Closed"",Inventory!A:A=A15)),"""")"),-0.36520858296079095)</f>
        <v>-0.365208583</v>
      </c>
      <c r="E15" s="234">
        <f>IFERROR(__xludf.DUMMYFUNCTION("IFERROR(AVERAGE(FILTER(Inventory!G:G,Inventory!J:J=""Closed"",Inventory!A:A=A15)),""0"")"),-2.37)</f>
        <v>-2.37</v>
      </c>
      <c r="F15" s="235">
        <f>IFERROR(__xludf.DUMMYFUNCTION("IFERROR(SUM(FILTER(Inventory!G:G,Inventory!J:J=""Closed"",Inventory!A:A=A15)),""0"")"),-4.74)</f>
        <v>-4.74</v>
      </c>
      <c r="G15" s="235">
        <f>IFERROR(__xludf.DUMMYFUNCTION("IFERROR(AVERAGE(FILTER(Inventory!K:K,Inventory!J:J=""Closed"",Inventory!A:A=A15)),"""")"),454.5)</f>
        <v>454.5</v>
      </c>
      <c r="H15" s="23" t="b">
        <v>0</v>
      </c>
      <c r="I15" s="236"/>
      <c r="J15" s="236">
        <f>MAXIFS(Inventory!D:D, Inventory!A:A, A:A)</f>
        <v>45385</v>
      </c>
      <c r="L15" s="23">
        <f>COUNTIFS(Inventory!A:A,A15,Inventory!J:J,"Open")</f>
        <v>0</v>
      </c>
    </row>
    <row r="16">
      <c r="A16" s="237" t="s">
        <v>1698</v>
      </c>
      <c r="B16" s="23" t="str">
        <f>Publishers!A289</f>
        <v>Xbox Game Studios</v>
      </c>
      <c r="C16" s="78">
        <f>COUNTIF(Inventory!A:A, A16)</f>
        <v>2</v>
      </c>
      <c r="D16" s="89">
        <f>IFERROR(__xludf.DUMMYFUNCTION("IFERROR(AVERAGE(FILTER(Inventory!H:H,Inventory!J:J=""Closed"",Inventory!A:A=A16)),"""")"),0.18039865061033422)</f>
        <v>0.1803986506</v>
      </c>
      <c r="E16" s="234">
        <f>IFERROR(__xludf.DUMMYFUNCTION("IFERROR(AVERAGE(FILTER(Inventory!G:G,Inventory!J:J=""Closed"",Inventory!A:A=A16)),""0"")"),1.5750000000000002)</f>
        <v>1.575</v>
      </c>
      <c r="F16" s="235">
        <f>IFERROR(__xludf.DUMMYFUNCTION("IFERROR(SUM(FILTER(Inventory!G:G,Inventory!J:J=""Closed"",Inventory!A:A=A16)),""0"")"),3.1500000000000004)</f>
        <v>3.15</v>
      </c>
      <c r="G16" s="235">
        <f>IFERROR(__xludf.DUMMYFUNCTION("IFERROR(AVERAGE(FILTER(Inventory!K:K,Inventory!J:J=""Closed"",Inventory!A:A=A16)),"""")"),4.0)</f>
        <v>4</v>
      </c>
      <c r="H16" s="23" t="b">
        <v>0</v>
      </c>
      <c r="I16" s="236"/>
      <c r="J16" s="236">
        <f>MAXIFS(Inventory!D:D, Inventory!A:A, A:A)</f>
        <v>44535</v>
      </c>
      <c r="L16" s="23">
        <f>COUNTIFS(Inventory!A:A,A16,Inventory!J:J,"Open")</f>
        <v>0</v>
      </c>
    </row>
    <row r="17">
      <c r="A17" s="233" t="s">
        <v>3003</v>
      </c>
      <c r="B17" s="23" t="str">
        <f>Publishers!A289</f>
        <v>Xbox Game Studios</v>
      </c>
      <c r="C17" s="78">
        <f>COUNTIF(Inventory!A:A, A17)</f>
        <v>6</v>
      </c>
      <c r="D17" s="89">
        <f>IFERROR(__xludf.DUMMYFUNCTION("IFERROR(AVERAGE(FILTER(Inventory!H:H,Inventory!J:J=""Closed"",Inventory!A:A=A17)),"""")"),0.08085453037237496)</f>
        <v>0.08085453037</v>
      </c>
      <c r="E17" s="234">
        <f>IFERROR(__xludf.DUMMYFUNCTION("IFERROR(AVERAGE(FILTER(Inventory!G:G,Inventory!J:J=""Closed"",Inventory!A:A=A17)),""0"")"),2.2699999999999996)</f>
        <v>2.27</v>
      </c>
      <c r="F17" s="235">
        <f>IFERROR(__xludf.DUMMYFUNCTION("IFERROR(SUM(FILTER(Inventory!G:G,Inventory!J:J=""Closed"",Inventory!A:A=A17)),""0"")"),13.619999999999997)</f>
        <v>13.62</v>
      </c>
      <c r="G17" s="235">
        <f>IFERROR(__xludf.DUMMYFUNCTION("IFERROR(AVERAGE(FILTER(Inventory!K:K,Inventory!J:J=""Closed"",Inventory!A:A=A17)),"""")"),3.3333333333333335)</f>
        <v>3.333333333</v>
      </c>
      <c r="H17" s="23" t="b">
        <v>0</v>
      </c>
      <c r="I17" s="236"/>
      <c r="J17" s="236">
        <f>MAXIFS(Inventory!D:D, Inventory!A:A, A:A)</f>
        <v>44817</v>
      </c>
      <c r="L17" s="23">
        <f>COUNTIFS(Inventory!A:A,A17,Inventory!J:J,"Open")</f>
        <v>0</v>
      </c>
    </row>
    <row r="18">
      <c r="A18" s="233" t="s">
        <v>4014</v>
      </c>
      <c r="B18" s="23" t="str">
        <f>Publishers!A289</f>
        <v>Xbox Game Studios</v>
      </c>
      <c r="C18" s="78">
        <f>COUNTIF(Inventory!A:A, A18)</f>
        <v>3</v>
      </c>
      <c r="D18" s="89">
        <f>IFERROR(__xludf.DUMMYFUNCTION("IFERROR(AVERAGE(FILTER(Inventory!H:H,Inventory!J:J=""Closed"",Inventory!A:A=A18)),"""")"),0.13429256594724223)</f>
        <v>0.1342925659</v>
      </c>
      <c r="E18" s="234">
        <f>IFERROR(__xludf.DUMMYFUNCTION("IFERROR(AVERAGE(FILTER(Inventory!G:G,Inventory!J:J=""Closed"",Inventory!A:A=A18)),""0"")"),2.8000000000000007)</f>
        <v>2.8</v>
      </c>
      <c r="F18" s="235">
        <f>IFERROR(__xludf.DUMMYFUNCTION("IFERROR(SUM(FILTER(Inventory!G:G,Inventory!J:J=""Closed"",Inventory!A:A=A18)),""0"")"),8.400000000000002)</f>
        <v>8.4</v>
      </c>
      <c r="G18" s="235">
        <f>IFERROR(__xludf.DUMMYFUNCTION("IFERROR(AVERAGE(FILTER(Inventory!K:K,Inventory!J:J=""Closed"",Inventory!A:A=A18)),"""")"),0.3333333333333333)</f>
        <v>0.3333333333</v>
      </c>
      <c r="H18" s="23" t="b">
        <v>0</v>
      </c>
      <c r="I18" s="236"/>
      <c r="J18" s="236">
        <f>MAXIFS(Inventory!D:D, Inventory!A:A, A:A)</f>
        <v>45047</v>
      </c>
      <c r="L18" s="23">
        <f>COUNTIFS(Inventory!A:A,A18,Inventory!J:J,"Open")</f>
        <v>0</v>
      </c>
    </row>
    <row r="19">
      <c r="A19" s="237" t="s">
        <v>846</v>
      </c>
      <c r="B19" s="23" t="str">
        <f>Publishers!A188</f>
        <v>Paradox Interactive</v>
      </c>
      <c r="C19" s="78">
        <f>COUNTIF(Inventory!A:A, A19)</f>
        <v>1</v>
      </c>
      <c r="D19" s="89">
        <f>IFERROR(__xludf.DUMMYFUNCTION("IFERROR(AVERAGE(FILTER(Inventory!H:H,Inventory!J:J=""Closed"",Inventory!A:A=A19)),"""")"),0.23834537097833228)</f>
        <v>0.238345371</v>
      </c>
      <c r="E19" s="234">
        <f>IFERROR(__xludf.DUMMYFUNCTION("IFERROR(AVERAGE(FILTER(Inventory!G:G,Inventory!J:J=""Closed"",Inventory!A:A=A19)),""0"")"),3.630000000000001)</f>
        <v>3.63</v>
      </c>
      <c r="F19" s="235">
        <f>IFERROR(__xludf.DUMMYFUNCTION("IFERROR(SUM(FILTER(Inventory!G:G,Inventory!J:J=""Closed"",Inventory!A:A=A19)),""0"")"),3.630000000000001)</f>
        <v>3.63</v>
      </c>
      <c r="G19" s="235">
        <f>IFERROR(__xludf.DUMMYFUNCTION("IFERROR(AVERAGE(FILTER(Inventory!K:K,Inventory!J:J=""Closed"",Inventory!A:A=A19)),"""")"),1.0)</f>
        <v>1</v>
      </c>
      <c r="H19" s="23" t="b">
        <v>0</v>
      </c>
      <c r="I19" s="236"/>
      <c r="J19" s="236">
        <f>MAXIFS(Inventory!D:D, Inventory!A:A, A:A)</f>
        <v>44181</v>
      </c>
      <c r="L19" s="23">
        <f>COUNTIFS(Inventory!A:A,A19,Inventory!J:J,"Open")</f>
        <v>0</v>
      </c>
    </row>
    <row r="20">
      <c r="A20" s="233" t="s">
        <v>8920</v>
      </c>
      <c r="C20" s="78">
        <f>COUNTIF(Inventory!A:A, A20)</f>
        <v>1</v>
      </c>
      <c r="D20" s="89">
        <f>IFERROR(__xludf.DUMMYFUNCTION("IFERROR(AVERAGE(FILTER(Inventory!H:H,Inventory!J:J=""Closed"",Inventory!A:A=A20)),"""")"),0.5179009318293281)</f>
        <v>0.5179009318</v>
      </c>
      <c r="E20" s="234">
        <f>IFERROR(__xludf.DUMMYFUNCTION("IFERROR(AVERAGE(FILTER(Inventory!G:G,Inventory!J:J=""Closed"",Inventory!A:A=A20)),""0"")"),21.12)</f>
        <v>21.12</v>
      </c>
      <c r="F20" s="235">
        <f>IFERROR(__xludf.DUMMYFUNCTION("IFERROR(SUM(FILTER(Inventory!G:G,Inventory!J:J=""Closed"",Inventory!A:A=A20)),""0"")"),21.12)</f>
        <v>21.12</v>
      </c>
      <c r="G20" s="235">
        <f>IFERROR(__xludf.DUMMYFUNCTION("IFERROR(AVERAGE(FILTER(Inventory!K:K,Inventory!J:J=""Closed"",Inventory!A:A=A20)),"""")"),4.0)</f>
        <v>4</v>
      </c>
      <c r="H20" s="78" t="b">
        <v>0</v>
      </c>
      <c r="I20" s="236"/>
      <c r="J20" s="236">
        <f>MAXIFS(Inventory!D:D, Inventory!A:A, A:A)</f>
        <v>45804</v>
      </c>
      <c r="K20" s="23" t="str">
        <f>IMAGE("https://shared.fastly.steamstatic.com/store_item_assets/steam/apps/2407270/header.jpg?t=1746584047")</f>
        <v/>
      </c>
      <c r="L20" s="23">
        <f>COUNTIFS(Inventory!A:A,A20,Inventory!J:J,"Open")</f>
        <v>0</v>
      </c>
    </row>
    <row r="21">
      <c r="A21" s="237" t="s">
        <v>216</v>
      </c>
      <c r="B21" s="23" t="str">
        <f>Publishers!A222</f>
        <v>SEGA</v>
      </c>
      <c r="C21" s="78">
        <f>COUNTIF(Inventory!A:A, A21)</f>
        <v>1</v>
      </c>
      <c r="D21" s="89">
        <f>IFERROR(__xludf.DUMMYFUNCTION("IFERROR(AVERAGE(FILTER(Inventory!H:H,Inventory!J:J=""Closed"",Inventory!A:A=A21)),"""")"),0.020787746170678474)</f>
        <v>0.02078774617</v>
      </c>
      <c r="E21" s="234">
        <f>IFERROR(__xludf.DUMMYFUNCTION("IFERROR(AVERAGE(FILTER(Inventory!G:G,Inventory!J:J=""Closed"",Inventory!A:A=A21)),""0"")"),0.19000000000000128)</f>
        <v>0.19</v>
      </c>
      <c r="F21" s="235">
        <f>IFERROR(__xludf.DUMMYFUNCTION("IFERROR(SUM(FILTER(Inventory!G:G,Inventory!J:J=""Closed"",Inventory!A:A=A21)),""0"")"),0.19000000000000128)</f>
        <v>0.19</v>
      </c>
      <c r="G21" s="235">
        <f>IFERROR(__xludf.DUMMYFUNCTION("IFERROR(AVERAGE(FILTER(Inventory!K:K,Inventory!J:J=""Closed"",Inventory!A:A=A21)),"""")"),73.0)</f>
        <v>73</v>
      </c>
      <c r="H21" s="78" t="b">
        <v>0</v>
      </c>
      <c r="I21" s="236"/>
      <c r="J21" s="236">
        <f>MAXIFS(Inventory!D:D, Inventory!A:A, A:A)</f>
        <v>44067</v>
      </c>
      <c r="L21" s="23">
        <f>COUNTIFS(Inventory!A:A,A21,Inventory!J:J,"Open")</f>
        <v>0</v>
      </c>
    </row>
    <row r="22">
      <c r="A22" s="233" t="s">
        <v>8056</v>
      </c>
      <c r="B22" s="23" t="str">
        <f>Publishers!A249</f>
        <v>Survios</v>
      </c>
      <c r="C22" s="78">
        <f>COUNTIF(Inventory!A:A, A22)</f>
        <v>168</v>
      </c>
      <c r="D22" s="89">
        <f>IFERROR(__xludf.DUMMYFUNCTION("IFERROR(AVERAGE(FILTER(Inventory!H:H,Inventory!J:J=""Closed"",Inventory!A:A=A22)),"""")"),0.2805352796811728)</f>
        <v>0.2805352797</v>
      </c>
      <c r="E22" s="234">
        <f>IFERROR(__xludf.DUMMYFUNCTION("IFERROR(AVERAGE(FILTER(Inventory!G:G,Inventory!J:J=""Closed"",Inventory!A:A=A22)),""0"")"),6.527643613000755)</f>
        <v>6.527643613</v>
      </c>
      <c r="F22" s="235">
        <f>IFERROR(__xludf.DUMMYFUNCTION("IFERROR(SUM(FILTER(Inventory!G:G,Inventory!J:J=""Closed"",Inventory!A:A=A22)),""0"")"),1096.6441269841268)</f>
        <v>1096.644127</v>
      </c>
      <c r="G22" s="235">
        <f>IFERROR(__xludf.DUMMYFUNCTION("IFERROR(AVERAGE(FILTER(Inventory!K:K,Inventory!J:J=""Closed"",Inventory!A:A=A22)),"""")"),1.0238095238095237)</f>
        <v>1.023809524</v>
      </c>
      <c r="H22" s="78" t="b">
        <v>0</v>
      </c>
      <c r="I22" s="236"/>
      <c r="J22" s="236">
        <f>MAXIFS(Inventory!D:D, Inventory!A:A, A:A)</f>
        <v>45981</v>
      </c>
      <c r="K22" s="23" t="str">
        <f>IMAGE("https://shared.cloudflare.steamstatic.com/store_item_assets/steam/apps/1850050/header.jpg?t=1734621044")</f>
        <v/>
      </c>
      <c r="L22" s="23">
        <f>COUNTIFS(Inventory!A:A,A22,Inventory!J:J,"Open")</f>
        <v>0</v>
      </c>
    </row>
    <row r="23">
      <c r="A23" s="237" t="s">
        <v>381</v>
      </c>
      <c r="B23" s="23" t="str">
        <f>Publishers!A63</f>
        <v>Curve Digital</v>
      </c>
      <c r="C23" s="78">
        <f>COUNTIF(Inventory!A:A, A23)</f>
        <v>1</v>
      </c>
      <c r="D23" s="89">
        <f>IFERROR(__xludf.DUMMYFUNCTION("IFERROR(AVERAGE(FILTER(Inventory!H:H,Inventory!J:J=""Closed"",Inventory!A:A=A23)),"""")"),0.6014492753623187)</f>
        <v>0.6014492754</v>
      </c>
      <c r="E23" s="234">
        <f>IFERROR(__xludf.DUMMYFUNCTION("IFERROR(AVERAGE(FILTER(Inventory!G:G,Inventory!J:J=""Closed"",Inventory!A:A=A23)),""0"")"),0.8299999999999998)</f>
        <v>0.83</v>
      </c>
      <c r="F23" s="235">
        <f>IFERROR(__xludf.DUMMYFUNCTION("IFERROR(SUM(FILTER(Inventory!G:G,Inventory!J:J=""Closed"",Inventory!A:A=A23)),""0"")"),0.8299999999999998)</f>
        <v>0.83</v>
      </c>
      <c r="G23" s="235">
        <f>IFERROR(__xludf.DUMMYFUNCTION("IFERROR(AVERAGE(FILTER(Inventory!K:K,Inventory!J:J=""Closed"",Inventory!A:A=A23)),"""")"),3.0)</f>
        <v>3</v>
      </c>
      <c r="H23" s="23" t="b">
        <v>0</v>
      </c>
      <c r="I23" s="236"/>
      <c r="J23" s="236">
        <f>MAXIFS(Inventory!D:D, Inventory!A:A, A:A)</f>
        <v>44045</v>
      </c>
      <c r="L23" s="23">
        <f>COUNTIFS(Inventory!A:A,A23,Inventory!J:J,"Open")</f>
        <v>0</v>
      </c>
    </row>
    <row r="24">
      <c r="A24" s="237" t="s">
        <v>502</v>
      </c>
      <c r="B24" s="23" t="str">
        <f>Publishers!A143</f>
        <v>Krillbite Studio</v>
      </c>
      <c r="C24" s="78">
        <f>COUNTIF(Inventory!A:A, A24)</f>
        <v>4</v>
      </c>
      <c r="D24" s="89">
        <f>IFERROR(__xludf.DUMMYFUNCTION("IFERROR(AVERAGE(FILTER(Inventory!H:H,Inventory!J:J=""Closed"",Inventory!A:A=A24)),"""")"),0.22317354292442332)</f>
        <v>0.2231735429</v>
      </c>
      <c r="E24" s="234">
        <f>IFERROR(__xludf.DUMMYFUNCTION("IFERROR(AVERAGE(FILTER(Inventory!G:G,Inventory!J:J=""Closed"",Inventory!A:A=A24)),""0"")"),0.22000000000000003)</f>
        <v>0.22</v>
      </c>
      <c r="F24" s="235">
        <f>IFERROR(__xludf.DUMMYFUNCTION("IFERROR(SUM(FILTER(Inventory!G:G,Inventory!J:J=""Closed"",Inventory!A:A=A24)),""0"")"),0.8800000000000001)</f>
        <v>0.88</v>
      </c>
      <c r="G24" s="235">
        <f>IFERROR(__xludf.DUMMYFUNCTION("IFERROR(AVERAGE(FILTER(Inventory!K:K,Inventory!J:J=""Closed"",Inventory!A:A=A24)),"""")"),10.0)</f>
        <v>10</v>
      </c>
      <c r="H24" s="23" t="b">
        <v>0</v>
      </c>
      <c r="I24" s="236"/>
      <c r="J24" s="236">
        <f>MAXIFS(Inventory!D:D, Inventory!A:A, A:A)</f>
        <v>44348</v>
      </c>
      <c r="L24" s="23">
        <f>COUNTIFS(Inventory!A:A,A24,Inventory!J:J,"Open")</f>
        <v>0</v>
      </c>
    </row>
    <row r="25">
      <c r="A25" s="233" t="s">
        <v>4053</v>
      </c>
      <c r="B25" s="23" t="str">
        <f>Publishers!A128</f>
        <v>Innersloth</v>
      </c>
      <c r="C25" s="78">
        <f>COUNTIF(Inventory!A:A, A25)</f>
        <v>3</v>
      </c>
      <c r="D25" s="89">
        <f>IFERROR(__xludf.DUMMYFUNCTION("IFERROR(AVERAGE(FILTER(Inventory!H:H,Inventory!J:J=""Closed"",Inventory!A:A=A25)),"""")"),0.28875393612235717)</f>
        <v>0.2887539361</v>
      </c>
      <c r="E25" s="234">
        <f>IFERROR(__xludf.DUMMYFUNCTION("IFERROR(AVERAGE(FILTER(Inventory!G:G,Inventory!J:J=""Closed"",Inventory!A:A=A25)),""0"")"),1.0433333333333332)</f>
        <v>1.043333333</v>
      </c>
      <c r="F25" s="235">
        <f>IFERROR(__xludf.DUMMYFUNCTION("IFERROR(SUM(FILTER(Inventory!G:G,Inventory!J:J=""Closed"",Inventory!A:A=A25)),""0"")"),3.13)</f>
        <v>3.13</v>
      </c>
      <c r="G25" s="235">
        <f>IFERROR(__xludf.DUMMYFUNCTION("IFERROR(AVERAGE(FILTER(Inventory!K:K,Inventory!J:J=""Closed"",Inventory!A:A=A25)),"""")"),109.0)</f>
        <v>109</v>
      </c>
      <c r="H25" s="23" t="b">
        <v>0</v>
      </c>
      <c r="I25" s="78">
        <v>3.41</v>
      </c>
      <c r="J25" s="236">
        <f>MAXIFS(Inventory!D:D, Inventory!A:A, A:A)</f>
        <v>45215</v>
      </c>
      <c r="L25" s="23">
        <f>COUNTIFS(Inventory!A:A,A25,Inventory!J:J,"Open")</f>
        <v>0</v>
      </c>
    </row>
    <row r="26">
      <c r="A26" s="233" t="s">
        <v>4055</v>
      </c>
      <c r="B26" s="23" t="str">
        <f>Publishers!A128</f>
        <v>Innersloth</v>
      </c>
      <c r="C26" s="78">
        <f>COUNTIF(Inventory!A:A, A26)</f>
        <v>1</v>
      </c>
      <c r="D26" s="89">
        <f>IFERROR(__xludf.DUMMYFUNCTION("IFERROR(AVERAGE(FILTER(Inventory!H:H,Inventory!J:J=""Closed"",Inventory!A:A=A26)),"""")"),0.34366925064599485)</f>
        <v>0.3436692506</v>
      </c>
      <c r="E26" s="234">
        <f>IFERROR(__xludf.DUMMYFUNCTION("IFERROR(AVERAGE(FILTER(Inventory!G:G,Inventory!J:J=""Closed"",Inventory!A:A=A26)),""0"")"),1.33)</f>
        <v>1.33</v>
      </c>
      <c r="F26" s="235">
        <f>IFERROR(__xludf.DUMMYFUNCTION("IFERROR(SUM(FILTER(Inventory!G:G,Inventory!J:J=""Closed"",Inventory!A:A=A26)),""0"")"),1.33)</f>
        <v>1.33</v>
      </c>
      <c r="G26" s="235">
        <f>IFERROR(__xludf.DUMMYFUNCTION("IFERROR(AVERAGE(FILTER(Inventory!K:K,Inventory!J:J=""Closed"",Inventory!A:A=A26)),"""")"),1.0)</f>
        <v>1</v>
      </c>
      <c r="H26" s="23" t="b">
        <v>0</v>
      </c>
      <c r="I26" s="78">
        <v>3.41</v>
      </c>
      <c r="J26" s="236">
        <f>MAXIFS(Inventory!D:D, Inventory!A:A, A:A)</f>
        <v>45053</v>
      </c>
      <c r="L26" s="23">
        <f>COUNTIFS(Inventory!A:A,A26,Inventory!J:J,"Open")</f>
        <v>0</v>
      </c>
    </row>
    <row r="27">
      <c r="A27" s="237" t="s">
        <v>379</v>
      </c>
      <c r="B27" s="23" t="str">
        <f>Publishers!A5</f>
        <v>1C Entertainment</v>
      </c>
      <c r="C27" s="78">
        <f>COUNTIF(Inventory!A:A, A27)</f>
        <v>1</v>
      </c>
      <c r="D27" s="89">
        <f>IFERROR(__xludf.DUMMYFUNCTION("IFERROR(AVERAGE(FILTER(Inventory!H:H,Inventory!J:J=""Closed"",Inventory!A:A=A27)),"""")"),0.7027027027027027)</f>
        <v>0.7027027027</v>
      </c>
      <c r="E27" s="234">
        <f>IFERROR(__xludf.DUMMYFUNCTION("IFERROR(AVERAGE(FILTER(Inventory!G:G,Inventory!J:J=""Closed"",Inventory!A:A=A27)),""0"")"),1.3)</f>
        <v>1.3</v>
      </c>
      <c r="F27" s="235">
        <f>IFERROR(__xludf.DUMMYFUNCTION("IFERROR(SUM(FILTER(Inventory!G:G,Inventory!J:J=""Closed"",Inventory!A:A=A27)),""0"")"),1.3)</f>
        <v>1.3</v>
      </c>
      <c r="G27" s="235">
        <f>IFERROR(__xludf.DUMMYFUNCTION("IFERROR(AVERAGE(FILTER(Inventory!K:K,Inventory!J:J=""Closed"",Inventory!A:A=A27)),"""")"),0.0)</f>
        <v>0</v>
      </c>
      <c r="H27" s="23" t="b">
        <v>0</v>
      </c>
      <c r="I27" s="236"/>
      <c r="J27" s="236">
        <f>MAXIFS(Inventory!D:D, Inventory!A:A, A:A)</f>
        <v>44042</v>
      </c>
      <c r="L27" s="23">
        <f>COUNTIFS(Inventory!A:A,A27,Inventory!J:J,"Open")</f>
        <v>0</v>
      </c>
    </row>
    <row r="28">
      <c r="A28" s="237" t="s">
        <v>629</v>
      </c>
      <c r="B28" s="23" t="str">
        <f>Publishers!A5</f>
        <v>1C Entertainment</v>
      </c>
      <c r="C28" s="78">
        <f>COUNTIF(Inventory!A:A, A28)</f>
        <v>9</v>
      </c>
      <c r="D28" s="89">
        <f>IFERROR(__xludf.DUMMYFUNCTION("IFERROR(AVERAGE(FILTER(Inventory!H:H,Inventory!J:J=""Closed"",Inventory!A:A=A28)),"""")"),0.4201740778835569)</f>
        <v>0.4201740779</v>
      </c>
      <c r="E28" s="234">
        <f>IFERROR(__xludf.DUMMYFUNCTION("IFERROR(AVERAGE(FILTER(Inventory!G:G,Inventory!J:J=""Closed"",Inventory!A:A=A28)),""0"")"),1.8900000000000006)</f>
        <v>1.89</v>
      </c>
      <c r="F28" s="235">
        <f>IFERROR(__xludf.DUMMYFUNCTION("IFERROR(SUM(FILTER(Inventory!G:G,Inventory!J:J=""Closed"",Inventory!A:A=A28)),""0"")"),17.010000000000005)</f>
        <v>17.01</v>
      </c>
      <c r="G28" s="235">
        <f>IFERROR(__xludf.DUMMYFUNCTION("IFERROR(AVERAGE(FILTER(Inventory!K:K,Inventory!J:J=""Closed"",Inventory!A:A=A28)),"""")"),92.66666666666667)</f>
        <v>92.66666667</v>
      </c>
      <c r="H28" s="23" t="b">
        <v>0</v>
      </c>
      <c r="I28" s="236"/>
      <c r="J28" s="236">
        <f>MAXIFS(Inventory!D:D, Inventory!A:A, A:A)</f>
        <v>44361</v>
      </c>
      <c r="L28" s="23">
        <f>COUNTIFS(Inventory!A:A,A28,Inventory!J:J,"Open")</f>
        <v>0</v>
      </c>
    </row>
    <row r="29">
      <c r="A29" s="237" t="s">
        <v>883</v>
      </c>
      <c r="B29" s="23" t="str">
        <f>Publishers!A199</f>
        <v>Private Division</v>
      </c>
      <c r="C29" s="78">
        <f>COUNTIF(Inventory!A:A, A29)</f>
        <v>2</v>
      </c>
      <c r="D29" s="89">
        <f>IFERROR(__xludf.DUMMYFUNCTION("IFERROR(AVERAGE(FILTER(Inventory!H:H,Inventory!J:J=""Closed"",Inventory!A:A=A29)),"""")"),0.05892024973513778)</f>
        <v>0.05892024974</v>
      </c>
      <c r="E29" s="234">
        <f>IFERROR(__xludf.DUMMYFUNCTION("IFERROR(AVERAGE(FILTER(Inventory!G:G,Inventory!J:J=""Closed"",Inventory!A:A=A29)),""0"")"),0.5999999999999996)</f>
        <v>0.6</v>
      </c>
      <c r="F29" s="235">
        <f>IFERROR(__xludf.DUMMYFUNCTION("IFERROR(SUM(FILTER(Inventory!G:G,Inventory!J:J=""Closed"",Inventory!A:A=A29)),""0"")"),1.1999999999999993)</f>
        <v>1.2</v>
      </c>
      <c r="G29" s="235">
        <f>IFERROR(__xludf.DUMMYFUNCTION("IFERROR(AVERAGE(FILTER(Inventory!K:K,Inventory!J:J=""Closed"",Inventory!A:A=A29)),"""")"),421.0)</f>
        <v>421</v>
      </c>
      <c r="H29" s="23" t="b">
        <v>0</v>
      </c>
      <c r="I29" s="236"/>
      <c r="J29" s="236">
        <f>MAXIFS(Inventory!D:D, Inventory!A:A, A:A)</f>
        <v>45158</v>
      </c>
      <c r="L29" s="23">
        <f>COUNTIFS(Inventory!A:A,A29,Inventory!J:J,"Open")</f>
        <v>0</v>
      </c>
    </row>
    <row r="30">
      <c r="A30" s="233" t="s">
        <v>2948</v>
      </c>
      <c r="B30" s="23" t="str">
        <f>Publishers!A286</f>
        <v>Whitethorn Games</v>
      </c>
      <c r="C30" s="78">
        <f>COUNTIF(Inventory!A:A, A30)</f>
        <v>2</v>
      </c>
      <c r="D30" s="89">
        <f>IFERROR(__xludf.DUMMYFUNCTION("IFERROR(AVERAGE(FILTER(Inventory!H:H,Inventory!J:J=""Closed"",Inventory!A:A=A30)),"""")"),0.20738548107146224)</f>
        <v>0.2073854811</v>
      </c>
      <c r="E30" s="234">
        <f>IFERROR(__xludf.DUMMYFUNCTION("IFERROR(AVERAGE(FILTER(Inventory!G:G,Inventory!J:J=""Closed"",Inventory!A:A=A30)),""0"")"),3.205)</f>
        <v>3.205</v>
      </c>
      <c r="F30" s="235">
        <f>IFERROR(__xludf.DUMMYFUNCTION("IFERROR(SUM(FILTER(Inventory!G:G,Inventory!J:J=""Closed"",Inventory!A:A=A30)),""0"")"),6.41)</f>
        <v>6.41</v>
      </c>
      <c r="G30" s="235">
        <f>IFERROR(__xludf.DUMMYFUNCTION("IFERROR(AVERAGE(FILTER(Inventory!K:K,Inventory!J:J=""Closed"",Inventory!A:A=A30)),"""")"),57.5)</f>
        <v>57.5</v>
      </c>
      <c r="H30" s="23" t="b">
        <v>0</v>
      </c>
      <c r="I30" s="236"/>
      <c r="J30" s="236">
        <f>MAXIFS(Inventory!D:D, Inventory!A:A, A:A)</f>
        <v>44890</v>
      </c>
      <c r="L30" s="23">
        <f>COUNTIFS(Inventory!A:A,A30,Inventory!J:J,"Open")</f>
        <v>0</v>
      </c>
    </row>
    <row r="31">
      <c r="A31" s="233" t="s">
        <v>4217</v>
      </c>
      <c r="B31" s="23" t="str">
        <f>Publishers!A243</f>
        <v>Studio Wildcard</v>
      </c>
      <c r="C31" s="78">
        <f>COUNTIF(Inventory!A:A, A31)</f>
        <v>12</v>
      </c>
      <c r="D31" s="89">
        <f>IFERROR(__xludf.DUMMYFUNCTION("IFERROR(AVERAGE(FILTER(Inventory!H:H,Inventory!J:J=""Closed"",Inventory!A:A=A31)),"""")"),0.31010422870292637)</f>
        <v>0.3101042287</v>
      </c>
      <c r="E31" s="234">
        <f>IFERROR(__xludf.DUMMYFUNCTION("IFERROR(AVERAGE(FILTER(Inventory!G:G,Inventory!J:J=""Closed"",Inventory!A:A=A31)),""0"")"),7.560833333333334)</f>
        <v>7.560833333</v>
      </c>
      <c r="F31" s="235">
        <f>IFERROR(__xludf.DUMMYFUNCTION("IFERROR(SUM(FILTER(Inventory!G:G,Inventory!J:J=""Closed"",Inventory!A:A=A31)),""0"")"),90.73)</f>
        <v>90.73</v>
      </c>
      <c r="G31" s="235">
        <f>IFERROR(__xludf.DUMMYFUNCTION("IFERROR(AVERAGE(FILTER(Inventory!K:K,Inventory!J:J=""Closed"",Inventory!A:A=A31)),"""")"),2.0)</f>
        <v>2</v>
      </c>
      <c r="H31" s="23" t="b">
        <v>0</v>
      </c>
      <c r="I31" s="236"/>
      <c r="J31" s="236">
        <f>MAXIFS(Inventory!D:D, Inventory!A:A, A:A)</f>
        <v>45122</v>
      </c>
      <c r="L31" s="23">
        <f>COUNTIFS(Inventory!A:A,A31,Inventory!J:J,"Open")</f>
        <v>0</v>
      </c>
    </row>
    <row r="32">
      <c r="A32" s="233" t="s">
        <v>3181</v>
      </c>
      <c r="B32" s="23" t="str">
        <f>Publishers!A266</f>
        <v>Thunderful Publishing</v>
      </c>
      <c r="C32" s="78">
        <f>COUNTIF(Inventory!A:A, A32)</f>
        <v>3</v>
      </c>
      <c r="D32" s="89">
        <f>IFERROR(__xludf.DUMMYFUNCTION("IFERROR(AVERAGE(FILTER(Inventory!H:H,Inventory!J:J=""Closed"",Inventory!A:A=A32)),"""")"),0.12523048059595498)</f>
        <v>0.1252304806</v>
      </c>
      <c r="E32" s="234">
        <f>IFERROR(__xludf.DUMMYFUNCTION("IFERROR(AVERAGE(FILTER(Inventory!G:G,Inventory!J:J=""Closed"",Inventory!A:A=A32)),""0"")"),2.740000000000001)</f>
        <v>2.74</v>
      </c>
      <c r="F32" s="235">
        <f>IFERROR(__xludf.DUMMYFUNCTION("IFERROR(SUM(FILTER(Inventory!G:G,Inventory!J:J=""Closed"",Inventory!A:A=A32)),""0"")"),5.480000000000002)</f>
        <v>5.48</v>
      </c>
      <c r="G32" s="235">
        <f>IFERROR(__xludf.DUMMYFUNCTION("IFERROR(AVERAGE(FILTER(Inventory!K:K,Inventory!J:J=""Closed"",Inventory!A:A=A32)),"""")"),132.5)</f>
        <v>132.5</v>
      </c>
      <c r="H32" s="23" t="b">
        <v>0</v>
      </c>
      <c r="I32" s="236"/>
      <c r="J32" s="236">
        <f>MAXIFS(Inventory!D:D, Inventory!A:A, A:A)</f>
        <v>45414</v>
      </c>
      <c r="L32" s="23">
        <f>COUNTIFS(Inventory!A:A,A32,Inventory!J:J,"Open")</f>
        <v>1</v>
      </c>
    </row>
    <row r="33">
      <c r="A33" s="233" t="s">
        <v>7159</v>
      </c>
      <c r="B33" s="23" t="str">
        <f>Publishers!A290</f>
        <v>XREAL Games</v>
      </c>
      <c r="C33" s="78">
        <f>COUNTIF(Inventory!A:A, A33)</f>
        <v>28</v>
      </c>
      <c r="D33" s="89">
        <f>IFERROR(__xludf.DUMMYFUNCTION("IFERROR(AVERAGE(FILTER(Inventory!H:H,Inventory!J:J=""Closed"",Inventory!A:A=A33)),"""")"),0.2978488328698911)</f>
        <v>0.2978488329</v>
      </c>
      <c r="E33" s="234">
        <f>IFERROR(__xludf.DUMMYFUNCTION("IFERROR(AVERAGE(FILTER(Inventory!G:G,Inventory!J:J=""Closed"",Inventory!A:A=A33)),""0"")"),5.411111111111112)</f>
        <v>5.411111111</v>
      </c>
      <c r="F33" s="235">
        <f>IFERROR(__xludf.DUMMYFUNCTION("IFERROR(SUM(FILTER(Inventory!G:G,Inventory!J:J=""Closed"",Inventory!A:A=A33)),""0"")"),146.10000000000002)</f>
        <v>146.1</v>
      </c>
      <c r="G33" s="235">
        <f>IFERROR(__xludf.DUMMYFUNCTION("IFERROR(AVERAGE(FILTER(Inventory!K:K,Inventory!J:J=""Closed"",Inventory!A:A=A33)),"""")"),1.0740740740740742)</f>
        <v>1.074074074</v>
      </c>
      <c r="H33" s="23" t="b">
        <v>0</v>
      </c>
      <c r="I33" s="236"/>
      <c r="J33" s="236">
        <f>MAXIFS(Inventory!D:D, Inventory!A:A, A:A)</f>
        <v>45498</v>
      </c>
      <c r="L33" s="23">
        <f>COUNTIFS(Inventory!A:A,A33,Inventory!J:J,"Open")</f>
        <v>1</v>
      </c>
    </row>
    <row r="34">
      <c r="A34" s="237" t="s">
        <v>196</v>
      </c>
      <c r="B34" s="23" t="str">
        <f>Publishers!A26</f>
        <v>Atari</v>
      </c>
      <c r="C34" s="78">
        <f>COUNTIF(Inventory!A:A, A34)</f>
        <v>2</v>
      </c>
      <c r="D34" s="89">
        <f>IFERROR(__xludf.DUMMYFUNCTION("IFERROR(AVERAGE(FILTER(Inventory!H:H,Inventory!J:J=""Closed"",Inventory!A:A=A34)),"""")"),1.0)</f>
        <v>1</v>
      </c>
      <c r="E34" s="234">
        <f>IFERROR(__xludf.DUMMYFUNCTION("IFERROR(AVERAGE(FILTER(Inventory!G:G,Inventory!J:J=""Closed"",Inventory!A:A=A34)),""0"")"),0.33999999999999997)</f>
        <v>0.34</v>
      </c>
      <c r="F34" s="235">
        <f>IFERROR(__xludf.DUMMYFUNCTION("IFERROR(SUM(FILTER(Inventory!G:G,Inventory!J:J=""Closed"",Inventory!A:A=A34)),""0"")"),0.6799999999999999)</f>
        <v>0.68</v>
      </c>
      <c r="G34" s="235">
        <f>IFERROR(__xludf.DUMMYFUNCTION("IFERROR(AVERAGE(FILTER(Inventory!K:K,Inventory!J:J=""Closed"",Inventory!A:A=A34)),"""")"),23.5)</f>
        <v>23.5</v>
      </c>
      <c r="H34" s="23" t="b">
        <v>0</v>
      </c>
      <c r="I34" s="236"/>
      <c r="J34" s="236">
        <f>MAXIFS(Inventory!D:D, Inventory!A:A, A:A)</f>
        <v>44034</v>
      </c>
      <c r="L34" s="23">
        <f>COUNTIFS(Inventory!A:A,A34,Inventory!J:J,"Open")</f>
        <v>0</v>
      </c>
    </row>
    <row r="35">
      <c r="A35" s="233" t="s">
        <v>4572</v>
      </c>
      <c r="B35" s="23" t="str">
        <f>Publishers!A141</f>
        <v>KOEI TECMO GAMES</v>
      </c>
      <c r="C35" s="78">
        <f>COUNTIF(Inventory!A:A, A35)</f>
        <v>1</v>
      </c>
      <c r="D35" s="89">
        <f>IFERROR(__xludf.DUMMYFUNCTION("IFERROR(AVERAGE(FILTER(Inventory!H:H,Inventory!J:J=""Closed"",Inventory!A:A=A35)),"""")"),0.16087934049462896)</f>
        <v>0.1608793405</v>
      </c>
      <c r="E35" s="234">
        <f>IFERROR(__xludf.DUMMYFUNCTION("IFERROR(AVERAGE(FILTER(Inventory!G:G,Inventory!J:J=""Closed"",Inventory!A:A=A35)),""0"")"),6.439999999999998)</f>
        <v>6.44</v>
      </c>
      <c r="F35" s="235">
        <f>IFERROR(__xludf.DUMMYFUNCTION("IFERROR(SUM(FILTER(Inventory!G:G,Inventory!J:J=""Closed"",Inventory!A:A=A35)),""0"")"),6.439999999999998)</f>
        <v>6.44</v>
      </c>
      <c r="G35" s="235">
        <f>IFERROR(__xludf.DUMMYFUNCTION("IFERROR(AVERAGE(FILTER(Inventory!K:K,Inventory!J:J=""Closed"",Inventory!A:A=A35)),"""")"),20.0)</f>
        <v>20</v>
      </c>
      <c r="H35" s="23" t="b">
        <v>0</v>
      </c>
      <c r="I35" s="236"/>
      <c r="J35" s="236">
        <f>MAXIFS(Inventory!D:D, Inventory!A:A, A:A)</f>
        <v>45159</v>
      </c>
      <c r="L35" s="23">
        <f>COUNTIFS(Inventory!A:A,A35,Inventory!J:J,"Open")</f>
        <v>0</v>
      </c>
    </row>
    <row r="36">
      <c r="A36" s="233" t="s">
        <v>5003</v>
      </c>
      <c r="B36" s="23" t="str">
        <f>Publishers!A99</f>
        <v>Focus Home Interactive</v>
      </c>
      <c r="C36" s="78">
        <f>COUNTIF(Inventory!A:A, A36)</f>
        <v>2</v>
      </c>
      <c r="D36" s="89">
        <f>IFERROR(__xludf.DUMMYFUNCTION("IFERROR(AVERAGE(FILTER(Inventory!H:H,Inventory!J:J=""Closed"",Inventory!A:A=A36)),"""")"),0.07399260717170313)</f>
        <v>0.07399260717</v>
      </c>
      <c r="E36" s="234">
        <f>IFERROR(__xludf.DUMMYFUNCTION("IFERROR(AVERAGE(FILTER(Inventory!G:G,Inventory!J:J=""Closed"",Inventory!A:A=A36)),""0"")"),2.235000000000001)</f>
        <v>2.235</v>
      </c>
      <c r="F36" s="235">
        <f>IFERROR(__xludf.DUMMYFUNCTION("IFERROR(SUM(FILTER(Inventory!G:G,Inventory!J:J=""Closed"",Inventory!A:A=A36)),""0"")"),4.470000000000002)</f>
        <v>4.47</v>
      </c>
      <c r="G36" s="235">
        <f>IFERROR(__xludf.DUMMYFUNCTION("IFERROR(AVERAGE(FILTER(Inventory!K:K,Inventory!J:J=""Closed"",Inventory!A:A=A36)),"""")"),47.5)</f>
        <v>47.5</v>
      </c>
      <c r="H36" s="23" t="b">
        <v>0</v>
      </c>
      <c r="I36" s="236"/>
      <c r="J36" s="236">
        <f>MAXIFS(Inventory!D:D, Inventory!A:A, A:A)</f>
        <v>45387</v>
      </c>
      <c r="L36" s="23">
        <f>COUNTIFS(Inventory!A:A,A36,Inventory!J:J,"Open")</f>
        <v>0</v>
      </c>
    </row>
    <row r="37">
      <c r="A37" s="233" t="s">
        <v>4944</v>
      </c>
      <c r="B37" s="23" t="str">
        <f>Publishers!A99</f>
        <v>Focus Home Interactive</v>
      </c>
      <c r="C37" s="78">
        <f>COUNTIF(Inventory!A:A, A37)</f>
        <v>2</v>
      </c>
      <c r="D37" s="89">
        <f>IFERROR(__xludf.DUMMYFUNCTION("IFERROR(AVERAGE(FILTER(Inventory!H:H,Inventory!J:J=""Closed"",Inventory!A:A=A37)),"""")"),0.17715131991363953)</f>
        <v>0.1771513199</v>
      </c>
      <c r="E37" s="234">
        <f>IFERROR(__xludf.DUMMYFUNCTION("IFERROR(AVERAGE(FILTER(Inventory!G:G,Inventory!J:J=""Closed"",Inventory!A:A=A37)),""0"")"),6.9)</f>
        <v>6.9</v>
      </c>
      <c r="F37" s="235">
        <f>IFERROR(__xludf.DUMMYFUNCTION("IFERROR(SUM(FILTER(Inventory!G:G,Inventory!J:J=""Closed"",Inventory!A:A=A37)),""0"")"),13.8)</f>
        <v>13.8</v>
      </c>
      <c r="G37" s="235">
        <f>IFERROR(__xludf.DUMMYFUNCTION("IFERROR(AVERAGE(FILTER(Inventory!K:K,Inventory!J:J=""Closed"",Inventory!A:A=A37)),"""")"),42.5)</f>
        <v>42.5</v>
      </c>
      <c r="H37" s="23" t="b">
        <v>0</v>
      </c>
      <c r="I37" s="236"/>
      <c r="J37" s="236">
        <f>MAXIFS(Inventory!D:D, Inventory!A:A, A:A)</f>
        <v>45384</v>
      </c>
      <c r="L37" s="23">
        <f>COUNTIFS(Inventory!A:A,A37,Inventory!J:J,"Open")</f>
        <v>0</v>
      </c>
    </row>
    <row r="38">
      <c r="A38" s="237" t="s">
        <v>1453</v>
      </c>
      <c r="B38" s="23" t="str">
        <f>Publishers!A253</f>
        <v>Team17 Digital</v>
      </c>
      <c r="C38" s="78">
        <f>COUNTIF(Inventory!A:A, A38)</f>
        <v>5</v>
      </c>
      <c r="D38" s="89">
        <f>IFERROR(__xludf.DUMMYFUNCTION("IFERROR(AVERAGE(FILTER(Inventory!H:H,Inventory!J:J=""Closed"",Inventory!A:A=A38)),"""")"),1.0)</f>
        <v>1</v>
      </c>
      <c r="E38" s="234">
        <f>IFERROR(__xludf.DUMMYFUNCTION("IFERROR(AVERAGE(FILTER(Inventory!G:G,Inventory!J:J=""Closed"",Inventory!A:A=A38)),""0"")"),0.05600000000000001)</f>
        <v>0.056</v>
      </c>
      <c r="F38" s="235">
        <f>IFERROR(__xludf.DUMMYFUNCTION("IFERROR(SUM(FILTER(Inventory!G:G,Inventory!J:J=""Closed"",Inventory!A:A=A38)),""0"")"),0.28)</f>
        <v>0.28</v>
      </c>
      <c r="G38" s="235">
        <f>IFERROR(__xludf.DUMMYFUNCTION("IFERROR(AVERAGE(FILTER(Inventory!K:K,Inventory!J:J=""Closed"",Inventory!A:A=A38)),"""")"),197.4)</f>
        <v>197.4</v>
      </c>
      <c r="H38" s="23" t="b">
        <v>0</v>
      </c>
      <c r="I38" s="236"/>
      <c r="J38" s="236">
        <f>MAXIFS(Inventory!D:D, Inventory!A:A, A:A)</f>
        <v>44847</v>
      </c>
      <c r="L38" s="23">
        <f>COUNTIFS(Inventory!A:A,A38,Inventory!J:J,"Open")</f>
        <v>0</v>
      </c>
    </row>
    <row r="39">
      <c r="A39" s="233" t="s">
        <v>4384</v>
      </c>
      <c r="B39" s="23" t="str">
        <f>Publishers!A63</f>
        <v>Curve Digital</v>
      </c>
      <c r="C39" s="78">
        <f>COUNTIF(Inventory!A:A, A39)</f>
        <v>1</v>
      </c>
      <c r="D39" s="89">
        <f>IFERROR(__xludf.DUMMYFUNCTION("IFERROR(AVERAGE(FILTER(Inventory!H:H,Inventory!J:J=""Closed"",Inventory!A:A=A39)),"""")"),1.0)</f>
        <v>1</v>
      </c>
      <c r="E39" s="234">
        <f>IFERROR(__xludf.DUMMYFUNCTION("IFERROR(AVERAGE(FILTER(Inventory!G:G,Inventory!J:J=""Closed"",Inventory!A:A=A39)),""0"")"),1.63)</f>
        <v>1.63</v>
      </c>
      <c r="F39" s="235">
        <f>IFERROR(__xludf.DUMMYFUNCTION("IFERROR(SUM(FILTER(Inventory!G:G,Inventory!J:J=""Closed"",Inventory!A:A=A39)),""0"")"),1.63)</f>
        <v>1.63</v>
      </c>
      <c r="G39" s="235">
        <f>IFERROR(__xludf.DUMMYFUNCTION("IFERROR(AVERAGE(FILTER(Inventory!K:K,Inventory!J:J=""Closed"",Inventory!A:A=A39)),"""")"),1.0)</f>
        <v>1</v>
      </c>
      <c r="H39" s="23" t="b">
        <v>0</v>
      </c>
      <c r="I39" s="236"/>
      <c r="J39" s="236">
        <f>MAXIFS(Inventory!D:D, Inventory!A:A, A:A)</f>
        <v>45119</v>
      </c>
      <c r="L39" s="23">
        <f>COUNTIFS(Inventory!A:A,A39,Inventory!J:J,"Open")</f>
        <v>0</v>
      </c>
    </row>
    <row r="40">
      <c r="A40" s="233" t="s">
        <v>3185</v>
      </c>
      <c r="B40" s="23" t="str">
        <f>Publishers!A285</f>
        <v>Wired Productions</v>
      </c>
      <c r="C40" s="78">
        <f>COUNTIF(Inventory!A:A, A40)</f>
        <v>1</v>
      </c>
      <c r="D40" s="89">
        <f>IFERROR(__xludf.DUMMYFUNCTION("IFERROR(AVERAGE(FILTER(Inventory!H:H,Inventory!J:J=""Closed"",Inventory!A:A=A40)),"""")"),1.0)</f>
        <v>1</v>
      </c>
      <c r="E40" s="234">
        <f>IFERROR(__xludf.DUMMYFUNCTION("IFERROR(AVERAGE(FILTER(Inventory!G:G,Inventory!J:J=""Closed"",Inventory!A:A=A40)),""0"")"),0.58)</f>
        <v>0.58</v>
      </c>
      <c r="F40" s="235">
        <f>IFERROR(__xludf.DUMMYFUNCTION("IFERROR(SUM(FILTER(Inventory!G:G,Inventory!J:J=""Closed"",Inventory!A:A=A40)),""0"")"),0.58)</f>
        <v>0.58</v>
      </c>
      <c r="G40" s="235">
        <f>IFERROR(__xludf.DUMMYFUNCTION("IFERROR(AVERAGE(FILTER(Inventory!K:K,Inventory!J:J=""Closed"",Inventory!A:A=A40)),"""")"),11.0)</f>
        <v>11</v>
      </c>
      <c r="H40" s="23" t="b">
        <v>0</v>
      </c>
      <c r="I40" s="236"/>
      <c r="J40" s="236">
        <f>MAXIFS(Inventory!D:D, Inventory!A:A, A:A)</f>
        <v>44897</v>
      </c>
      <c r="L40" s="23">
        <f>COUNTIFS(Inventory!A:A,A40,Inventory!J:J,"Open")</f>
        <v>0</v>
      </c>
    </row>
    <row r="41">
      <c r="A41" s="233" t="s">
        <v>3294</v>
      </c>
      <c r="B41" s="23" t="str">
        <f>Publishers!A285</f>
        <v>Wired Productions</v>
      </c>
      <c r="C41" s="78">
        <f>COUNTIF(Inventory!A:A, A41)</f>
        <v>1</v>
      </c>
      <c r="D41" s="89">
        <f>IFERROR(__xludf.DUMMYFUNCTION("IFERROR(AVERAGE(FILTER(Inventory!H:H,Inventory!J:J=""Closed"",Inventory!A:A=A41)),"""")"),0.27819548872180455)</f>
        <v>0.2781954887</v>
      </c>
      <c r="E41" s="234">
        <f>IFERROR(__xludf.DUMMYFUNCTION("IFERROR(AVERAGE(FILTER(Inventory!G:G,Inventory!J:J=""Closed"",Inventory!A:A=A41)),""0"")"),0.3700000000000001)</f>
        <v>0.37</v>
      </c>
      <c r="F41" s="235">
        <f>IFERROR(__xludf.DUMMYFUNCTION("IFERROR(SUM(FILTER(Inventory!G:G,Inventory!J:J=""Closed"",Inventory!A:A=A41)),""0"")"),0.3700000000000001)</f>
        <v>0.37</v>
      </c>
      <c r="G41" s="235">
        <f>IFERROR(__xludf.DUMMYFUNCTION("IFERROR(AVERAGE(FILTER(Inventory!K:K,Inventory!J:J=""Closed"",Inventory!A:A=A41)),"""")"),11.0)</f>
        <v>11</v>
      </c>
      <c r="H41" s="23" t="b">
        <v>0</v>
      </c>
      <c r="I41" s="236"/>
      <c r="J41" s="236">
        <f>MAXIFS(Inventory!D:D, Inventory!A:A, A:A)</f>
        <v>44960</v>
      </c>
      <c r="L41" s="23">
        <f>COUNTIFS(Inventory!A:A,A41,Inventory!J:J,"Open")</f>
        <v>0</v>
      </c>
    </row>
    <row r="42">
      <c r="A42" s="237" t="s">
        <v>553</v>
      </c>
      <c r="B42" s="23" t="str">
        <f>Publishers!A30</f>
        <v>Beamdog</v>
      </c>
      <c r="C42" s="78">
        <f>COUNTIF(Inventory!A:A, A42)</f>
        <v>11</v>
      </c>
      <c r="D42" s="89">
        <f>IFERROR(__xludf.DUMMYFUNCTION("IFERROR(AVERAGE(FILTER(Inventory!H:H,Inventory!J:J=""Closed"",Inventory!A:A=A42)),"""")"),0.13543243856499906)</f>
        <v>0.1354324386</v>
      </c>
      <c r="E42" s="234">
        <f>IFERROR(__xludf.DUMMYFUNCTION("IFERROR(AVERAGE(FILTER(Inventory!G:G,Inventory!J:J=""Closed"",Inventory!A:A=A42)),""0"")"),1.6990909090909092)</f>
        <v>1.699090909</v>
      </c>
      <c r="F42" s="235">
        <f>IFERROR(__xludf.DUMMYFUNCTION("IFERROR(SUM(FILTER(Inventory!G:G,Inventory!J:J=""Closed"",Inventory!A:A=A42)),""0"")"),18.69)</f>
        <v>18.69</v>
      </c>
      <c r="G42" s="235">
        <f>IFERROR(__xludf.DUMMYFUNCTION("IFERROR(AVERAGE(FILTER(Inventory!K:K,Inventory!J:J=""Closed"",Inventory!A:A=A42)),"""")"),71.54545454545455)</f>
        <v>71.54545455</v>
      </c>
      <c r="H42" s="23" t="b">
        <v>0</v>
      </c>
      <c r="I42" s="236"/>
      <c r="J42" s="236">
        <f>MAXIFS(Inventory!D:D, Inventory!A:A, A:A)</f>
        <v>45366</v>
      </c>
      <c r="L42" s="23">
        <f>COUNTIFS(Inventory!A:A,A42,Inventory!J:J,"Open")</f>
        <v>0</v>
      </c>
    </row>
    <row r="43">
      <c r="A43" s="233" t="s">
        <v>3675</v>
      </c>
      <c r="B43" s="23" t="str">
        <f>Publishers!A282</f>
        <v>Warner Bros</v>
      </c>
      <c r="C43" s="78">
        <f>COUNTIF(Inventory!A:A, A43)</f>
        <v>3</v>
      </c>
      <c r="D43" s="89">
        <f>IFERROR(__xludf.DUMMYFUNCTION("IFERROR(AVERAGE(FILTER(Inventory!H:H,Inventory!J:J=""Closed"",Inventory!A:A=A43)),"""")"),0.2690131876549169)</f>
        <v>0.2690131877</v>
      </c>
      <c r="E43" s="234">
        <f>IFERROR(__xludf.DUMMYFUNCTION("IFERROR(AVERAGE(FILTER(Inventory!G:G,Inventory!J:J=""Closed"",Inventory!A:A=A43)),""0"")"),5.445000000000002)</f>
        <v>5.445</v>
      </c>
      <c r="F43" s="235">
        <f>IFERROR(__xludf.DUMMYFUNCTION("IFERROR(SUM(FILTER(Inventory!G:G,Inventory!J:J=""Closed"",Inventory!A:A=A43)),""0"")"),10.890000000000004)</f>
        <v>10.89</v>
      </c>
      <c r="G43" s="235">
        <f>IFERROR(__xludf.DUMMYFUNCTION("IFERROR(AVERAGE(FILTER(Inventory!K:K,Inventory!J:J=""Closed"",Inventory!A:A=A43)),"""")"),9.5)</f>
        <v>9.5</v>
      </c>
      <c r="H43" s="23" t="b">
        <v>0</v>
      </c>
      <c r="I43" s="236"/>
      <c r="J43" s="236">
        <f>MAXIFS(Inventory!D:D, Inventory!A:A, A:A)</f>
        <v>45019</v>
      </c>
      <c r="L43" s="23">
        <f>COUNTIFS(Inventory!A:A,A43,Inventory!J:J,"Open")</f>
        <v>1</v>
      </c>
      <c r="N43" s="239"/>
      <c r="O43" s="239"/>
    </row>
    <row r="44">
      <c r="A44" s="237" t="s">
        <v>1486</v>
      </c>
      <c r="B44" s="23" t="str">
        <f>Publishers!A30</f>
        <v>Beamdog</v>
      </c>
      <c r="C44" s="78">
        <f>COUNTIF(Inventory!A:A, A44)</f>
        <v>9</v>
      </c>
      <c r="D44" s="89">
        <f>IFERROR(__xludf.DUMMYFUNCTION("IFERROR(AVERAGE(FILTER(Inventory!H:H,Inventory!J:J=""Closed"",Inventory!A:A=A44)),"""")"),0.23927087098132827)</f>
        <v>0.239270871</v>
      </c>
      <c r="E44" s="234">
        <f>IFERROR(__xludf.DUMMYFUNCTION("IFERROR(AVERAGE(FILTER(Inventory!G:G,Inventory!J:J=""Closed"",Inventory!A:A=A44)),""0"")"),1.181111111111111)</f>
        <v>1.181111111</v>
      </c>
      <c r="F44" s="235">
        <f>IFERROR(__xludf.DUMMYFUNCTION("IFERROR(SUM(FILTER(Inventory!G:G,Inventory!J:J=""Closed"",Inventory!A:A=A44)),""0"")"),10.629999999999999)</f>
        <v>10.63</v>
      </c>
      <c r="G44" s="235">
        <f>IFERROR(__xludf.DUMMYFUNCTION("IFERROR(AVERAGE(FILTER(Inventory!K:K,Inventory!J:J=""Closed"",Inventory!A:A=A44)),"""")"),2.111111111111111)</f>
        <v>2.111111111</v>
      </c>
      <c r="H44" s="23" t="b">
        <v>0</v>
      </c>
      <c r="I44" s="236"/>
      <c r="J44" s="236">
        <f>MAXIFS(Inventory!D:D, Inventory!A:A, A:A)</f>
        <v>44660</v>
      </c>
      <c r="L44" s="23">
        <f>COUNTIFS(Inventory!A:A,A44,Inventory!J:J,"Open")</f>
        <v>0</v>
      </c>
      <c r="N44" s="239"/>
      <c r="O44" s="239"/>
    </row>
    <row r="45">
      <c r="A45" s="237" t="s">
        <v>1482</v>
      </c>
      <c r="B45" s="23" t="str">
        <f>Publishers!A30</f>
        <v>Beamdog</v>
      </c>
      <c r="C45" s="78">
        <f>COUNTIF(Inventory!A:A, A45)</f>
        <v>5</v>
      </c>
      <c r="D45" s="89">
        <f>IFERROR(__xludf.DUMMYFUNCTION("IFERROR(AVERAGE(FILTER(Inventory!H:H,Inventory!J:J=""Closed"",Inventory!A:A=A45)),"""")"),0.1712598977953838)</f>
        <v>0.1712598978</v>
      </c>
      <c r="E45" s="234">
        <f>IFERROR(__xludf.DUMMYFUNCTION("IFERROR(AVERAGE(FILTER(Inventory!G:G,Inventory!J:J=""Closed"",Inventory!A:A=A45)),""0"")"),2.742)</f>
        <v>2.742</v>
      </c>
      <c r="F45" s="235">
        <f>IFERROR(__xludf.DUMMYFUNCTION("IFERROR(SUM(FILTER(Inventory!G:G,Inventory!J:J=""Closed"",Inventory!A:A=A45)),""0"")"),13.709999999999999)</f>
        <v>13.71</v>
      </c>
      <c r="G45" s="235">
        <f>IFERROR(__xludf.DUMMYFUNCTION("IFERROR(AVERAGE(FILTER(Inventory!K:K,Inventory!J:J=""Closed"",Inventory!A:A=A45)),"""")"),38.6)</f>
        <v>38.6</v>
      </c>
      <c r="H45" s="23" t="b">
        <v>0</v>
      </c>
      <c r="I45" s="236"/>
      <c r="J45" s="236">
        <f>MAXIFS(Inventory!D:D, Inventory!A:A, A:A)</f>
        <v>44712</v>
      </c>
      <c r="L45" s="23">
        <f>COUNTIFS(Inventory!A:A,A45,Inventory!J:J,"Open")</f>
        <v>0</v>
      </c>
    </row>
    <row r="46">
      <c r="A46" s="233" t="s">
        <v>3866</v>
      </c>
      <c r="B46" s="23" t="str">
        <f>Publishers!A224</f>
        <v>Shining Rock</v>
      </c>
      <c r="C46" s="78">
        <f>COUNTIF(Inventory!A:A, A46)</f>
        <v>2</v>
      </c>
      <c r="D46" s="89">
        <f>IFERROR(__xludf.DUMMYFUNCTION("IFERROR(AVERAGE(FILTER(Inventory!H:H,Inventory!J:J=""Closed"",Inventory!A:A=A46)),"""")"),-0.06349825087456276)</f>
        <v>-0.06349825087</v>
      </c>
      <c r="E46" s="234">
        <f>IFERROR(__xludf.DUMMYFUNCTION("IFERROR(AVERAGE(FILTER(Inventory!G:G,Inventory!J:J=""Closed"",Inventory!A:A=A46)),""0"")"),-0.38500000000000023)</f>
        <v>-0.385</v>
      </c>
      <c r="F46" s="235">
        <f>IFERROR(__xludf.DUMMYFUNCTION("IFERROR(SUM(FILTER(Inventory!G:G,Inventory!J:J=""Closed"",Inventory!A:A=A46)),""0"")"),-0.7700000000000005)</f>
        <v>-0.77</v>
      </c>
      <c r="G46" s="235">
        <f>IFERROR(__xludf.DUMMYFUNCTION("IFERROR(AVERAGE(FILTER(Inventory!K:K,Inventory!J:J=""Closed"",Inventory!A:A=A46)),"""")"),539.0)</f>
        <v>539</v>
      </c>
      <c r="H46" s="78" t="b">
        <v>0</v>
      </c>
      <c r="I46" s="78">
        <v>8.37</v>
      </c>
      <c r="J46" s="236">
        <f>MAXIFS(Inventory!D:D, Inventory!A:A, A:A)</f>
        <v>45761</v>
      </c>
      <c r="L46" s="23">
        <f>COUNTIFS(Inventory!A:A,A46,Inventory!J:J,"Open")</f>
        <v>0</v>
      </c>
    </row>
    <row r="47">
      <c r="A47" s="233" t="s">
        <v>5186</v>
      </c>
      <c r="B47" s="23" t="str">
        <f>Publishers!A275</f>
        <v>Untold Tales</v>
      </c>
      <c r="C47" s="78">
        <f>COUNTIF(Inventory!A:A, A47)</f>
        <v>18</v>
      </c>
      <c r="D47" s="89">
        <f>IFERROR(__xludf.DUMMYFUNCTION("IFERROR(AVERAGE(FILTER(Inventory!H:H,Inventory!J:J=""Closed"",Inventory!A:A=A47)),"""")"),0.0889960548817462)</f>
        <v>0.08899605488</v>
      </c>
      <c r="E47" s="234">
        <f>IFERROR(__xludf.DUMMYFUNCTION("IFERROR(AVERAGE(FILTER(Inventory!G:G,Inventory!J:J=""Closed"",Inventory!A:A=A47)),""0"")"),0.7694117647058826)</f>
        <v>0.7694117647</v>
      </c>
      <c r="F47" s="235">
        <f>IFERROR(__xludf.DUMMYFUNCTION("IFERROR(SUM(FILTER(Inventory!G:G,Inventory!J:J=""Closed"",Inventory!A:A=A47)),""0"")"),13.080000000000004)</f>
        <v>13.08</v>
      </c>
      <c r="G47" s="235">
        <f>IFERROR(__xludf.DUMMYFUNCTION("IFERROR(AVERAGE(FILTER(Inventory!K:K,Inventory!J:J=""Closed"",Inventory!A:A=A47)),"""")"),0.7058823529411765)</f>
        <v>0.7058823529</v>
      </c>
      <c r="H47" s="78" t="b">
        <v>0</v>
      </c>
      <c r="I47" s="78">
        <v>9.28</v>
      </c>
      <c r="J47" s="236">
        <f>MAXIFS(Inventory!D:D, Inventory!A:A, A:A)</f>
        <v>45221</v>
      </c>
      <c r="L47" s="23">
        <f>COUNTIFS(Inventory!A:A,A47,Inventory!J:J,"Open")</f>
        <v>1</v>
      </c>
    </row>
    <row r="48">
      <c r="A48" s="233" t="s">
        <v>2624</v>
      </c>
      <c r="B48" s="23" t="str">
        <f>Publishers!A65</f>
        <v>Daedalic Entertainment</v>
      </c>
      <c r="C48" s="78">
        <f>COUNTIF(Inventory!A:A, A48)</f>
        <v>11</v>
      </c>
      <c r="D48" s="89">
        <f>IFERROR(__xludf.DUMMYFUNCTION("IFERROR(AVERAGE(FILTER(Inventory!H:H,Inventory!J:J=""Closed"",Inventory!A:A=A48)),"""")"),0.14990073522677)</f>
        <v>0.1499007352</v>
      </c>
      <c r="E48" s="234">
        <f>IFERROR(__xludf.DUMMYFUNCTION("IFERROR(AVERAGE(FILTER(Inventory!G:G,Inventory!J:J=""Closed"",Inventory!A:A=A48)),""0"")"),1.3845454545454547)</f>
        <v>1.384545455</v>
      </c>
      <c r="F48" s="235">
        <f>IFERROR(__xludf.DUMMYFUNCTION("IFERROR(SUM(FILTER(Inventory!G:G,Inventory!J:J=""Closed"",Inventory!A:A=A48)),""0"")"),15.230000000000002)</f>
        <v>15.23</v>
      </c>
      <c r="G48" s="235">
        <f>IFERROR(__xludf.DUMMYFUNCTION("IFERROR(AVERAGE(FILTER(Inventory!K:K,Inventory!J:J=""Closed"",Inventory!A:A=A48)),"""")"),27.272727272727273)</f>
        <v>27.27272727</v>
      </c>
      <c r="H48" s="78" t="b">
        <v>0</v>
      </c>
      <c r="I48" s="236"/>
      <c r="J48" s="236">
        <f>MAXIFS(Inventory!D:D, Inventory!A:A, A:A)</f>
        <v>45390</v>
      </c>
      <c r="L48" s="23">
        <f>COUNTIFS(Inventory!A:A,A48,Inventory!J:J,"Open")</f>
        <v>0</v>
      </c>
    </row>
    <row r="49">
      <c r="A49" s="233" t="s">
        <v>2558</v>
      </c>
      <c r="B49" s="23" t="str">
        <f>Publishers!A65</f>
        <v>Daedalic Entertainment</v>
      </c>
      <c r="C49" s="78">
        <f>COUNTIF(Inventory!A:A, A49)</f>
        <v>7</v>
      </c>
      <c r="D49" s="89">
        <f>IFERROR(__xludf.DUMMYFUNCTION("IFERROR(AVERAGE(FILTER(Inventory!H:H,Inventory!J:J=""Closed"",Inventory!A:A=A49)),"""")"),0.2852288716367036)</f>
        <v>0.2852288716</v>
      </c>
      <c r="E49" s="234">
        <f>IFERROR(__xludf.DUMMYFUNCTION("IFERROR(AVERAGE(FILTER(Inventory!G:G,Inventory!J:J=""Closed"",Inventory!A:A=A49)),""0"")"),1.8071428571428572)</f>
        <v>1.807142857</v>
      </c>
      <c r="F49" s="235">
        <f>IFERROR(__xludf.DUMMYFUNCTION("IFERROR(SUM(FILTER(Inventory!G:G,Inventory!J:J=""Closed"",Inventory!A:A=A49)),""0"")"),12.65)</f>
        <v>12.65</v>
      </c>
      <c r="G49" s="235">
        <f>IFERROR(__xludf.DUMMYFUNCTION("IFERROR(AVERAGE(FILTER(Inventory!K:K,Inventory!J:J=""Closed"",Inventory!A:A=A49)),"""")"),6.714285714285714)</f>
        <v>6.714285714</v>
      </c>
      <c r="H49" s="78" t="b">
        <v>0</v>
      </c>
      <c r="I49" s="236"/>
      <c r="J49" s="236">
        <f>MAXIFS(Inventory!D:D, Inventory!A:A, A:A)</f>
        <v>44807</v>
      </c>
      <c r="L49" s="23">
        <f>COUNTIFS(Inventory!A:A,A49,Inventory!J:J,"Open")</f>
        <v>0</v>
      </c>
    </row>
    <row r="50">
      <c r="A50" s="237" t="s">
        <v>1700</v>
      </c>
      <c r="B50" s="23" t="str">
        <f>Publishers!A282</f>
        <v>Warner Bros</v>
      </c>
      <c r="C50" s="78">
        <f>COUNTIF(Inventory!A:A, A50)</f>
        <v>17</v>
      </c>
      <c r="D50" s="89">
        <f>IFERROR(__xludf.DUMMYFUNCTION("IFERROR(AVERAGE(FILTER(Inventory!H:H,Inventory!J:J=""Closed"",Inventory!A:A=A50)),"""")"),0.17984638602169617)</f>
        <v>0.179846386</v>
      </c>
      <c r="E50" s="234">
        <f>IFERROR(__xludf.DUMMYFUNCTION("IFERROR(AVERAGE(FILTER(Inventory!G:G,Inventory!J:J=""Closed"",Inventory!A:A=A50)),""0"")"),0.9335294117647062)</f>
        <v>0.9335294118</v>
      </c>
      <c r="F50" s="235">
        <f>IFERROR(__xludf.DUMMYFUNCTION("IFERROR(SUM(FILTER(Inventory!G:G,Inventory!J:J=""Closed"",Inventory!A:A=A50)),""0"")"),15.870000000000005)</f>
        <v>15.87</v>
      </c>
      <c r="G50" s="235">
        <f>IFERROR(__xludf.DUMMYFUNCTION("IFERROR(AVERAGE(FILTER(Inventory!K:K,Inventory!J:J=""Closed"",Inventory!A:A=A50)),"""")"),62.705882352941174)</f>
        <v>62.70588235</v>
      </c>
      <c r="H50" s="78" t="b">
        <v>1</v>
      </c>
      <c r="I50" s="236"/>
      <c r="J50" s="236">
        <f>MAXIFS(Inventory!D:D, Inventory!A:A, A:A)</f>
        <v>45785</v>
      </c>
      <c r="L50" s="23">
        <f>COUNTIFS(Inventory!A:A,A50,Inventory!J:J,"Open")</f>
        <v>0</v>
      </c>
    </row>
    <row r="51">
      <c r="A51" s="237" t="s">
        <v>1656</v>
      </c>
      <c r="B51" s="23" t="str">
        <f>Publishers!A183</f>
        <v>Overhype Studios</v>
      </c>
      <c r="C51" s="78">
        <f>COUNTIF(Inventory!A:A, A51)</f>
        <v>14</v>
      </c>
      <c r="D51" s="89">
        <f>IFERROR(__xludf.DUMMYFUNCTION("IFERROR(AVERAGE(FILTER(Inventory!H:H,Inventory!J:J=""Closed"",Inventory!A:A=A51)),"""")"),0.09820735375592338)</f>
        <v>0.09820735376</v>
      </c>
      <c r="E51" s="234">
        <f>IFERROR(__xludf.DUMMYFUNCTION("IFERROR(AVERAGE(FILTER(Inventory!G:G,Inventory!J:J=""Closed"",Inventory!A:A=A51)),""0"")"),2.19)</f>
        <v>2.19</v>
      </c>
      <c r="F51" s="235">
        <f>IFERROR(__xludf.DUMMYFUNCTION("IFERROR(SUM(FILTER(Inventory!G:G,Inventory!J:J=""Closed"",Inventory!A:A=A51)),""0"")"),30.66)</f>
        <v>30.66</v>
      </c>
      <c r="G51" s="235">
        <f>IFERROR(__xludf.DUMMYFUNCTION("IFERROR(AVERAGE(FILTER(Inventory!K:K,Inventory!J:J=""Closed"",Inventory!A:A=A51)),"""")"),63.357142857142854)</f>
        <v>63.35714286</v>
      </c>
      <c r="H51" s="78" t="b">
        <v>1</v>
      </c>
      <c r="I51" s="236"/>
      <c r="J51" s="236">
        <f>MAXIFS(Inventory!D:D, Inventory!A:A, A:A)</f>
        <v>45555</v>
      </c>
      <c r="L51" s="23">
        <f>COUNTIFS(Inventory!A:A,A51,Inventory!J:J,"Open")</f>
        <v>0</v>
      </c>
    </row>
    <row r="52">
      <c r="A52" s="233" t="s">
        <v>7257</v>
      </c>
      <c r="B52" s="23" t="str">
        <f>Publishers!A83</f>
        <v>Electronic Arts</v>
      </c>
      <c r="C52" s="78">
        <f>COUNTIF(Inventory!A:A, A52)</f>
        <v>22</v>
      </c>
      <c r="D52" s="89">
        <f>IFERROR(__xludf.DUMMYFUNCTION("IFERROR(AVERAGE(FILTER(Inventory!H:H,Inventory!J:J=""Closed"",Inventory!A:A=A52)),"""")"),0.14862371094782514)</f>
        <v>0.1486237109</v>
      </c>
      <c r="E52" s="234">
        <f>IFERROR(__xludf.DUMMYFUNCTION("IFERROR(AVERAGE(FILTER(Inventory!G:G,Inventory!J:J=""Closed"",Inventory!A:A=A52)),""0"")"),5.575909090909092)</f>
        <v>5.575909091</v>
      </c>
      <c r="F52" s="235">
        <f>IFERROR(__xludf.DUMMYFUNCTION("IFERROR(SUM(FILTER(Inventory!G:G,Inventory!J:J=""Closed"",Inventory!A:A=A52)),""0"")"),122.67000000000003)</f>
        <v>122.67</v>
      </c>
      <c r="G52" s="235">
        <f>IFERROR(__xludf.DUMMYFUNCTION("IFERROR(AVERAGE(FILTER(Inventory!K:K,Inventory!J:J=""Closed"",Inventory!A:A=A52)),"""")"),4.7272727272727275)</f>
        <v>4.727272727</v>
      </c>
      <c r="H52" s="78" t="b">
        <v>0</v>
      </c>
      <c r="I52" s="236"/>
      <c r="J52" s="236">
        <f>MAXIFS(Inventory!D:D, Inventory!A:A, A:A)</f>
        <v>45584</v>
      </c>
      <c r="K52" s="23" t="str">
        <f>IMAGE("https://shared.akamai.steamstatic.com/store_item_assets/steam/apps/1517290/header.jpg?t=1725901700")</f>
        <v/>
      </c>
      <c r="L52" s="23">
        <f>COUNTIFS(Inventory!A:A,A52,Inventory!J:J,"Open")</f>
        <v>0</v>
      </c>
    </row>
    <row r="53">
      <c r="A53" s="237" t="s">
        <v>432</v>
      </c>
      <c r="B53" s="23" t="str">
        <f>Publishers!A99</f>
        <v>Focus Home Interactive</v>
      </c>
      <c r="C53" s="78">
        <f>COUNTIF(Inventory!A:A, A53)</f>
        <v>5</v>
      </c>
      <c r="D53" s="89">
        <f>IFERROR(__xludf.DUMMYFUNCTION("IFERROR(AVERAGE(FILTER(Inventory!H:H,Inventory!J:J=""Closed"",Inventory!A:A=A53)),"""")"),0.31033927084815865)</f>
        <v>0.3103392708</v>
      </c>
      <c r="E53" s="234">
        <f>IFERROR(__xludf.DUMMYFUNCTION("IFERROR(AVERAGE(FILTER(Inventory!G:G,Inventory!J:J=""Closed"",Inventory!A:A=A53)),""0"")"),3.1020000000000003)</f>
        <v>3.102</v>
      </c>
      <c r="F53" s="235">
        <f>IFERROR(__xludf.DUMMYFUNCTION("IFERROR(SUM(FILTER(Inventory!G:G,Inventory!J:J=""Closed"",Inventory!A:A=A53)),""0"")"),15.510000000000002)</f>
        <v>15.51</v>
      </c>
      <c r="G53" s="235">
        <f>IFERROR(__xludf.DUMMYFUNCTION("IFERROR(AVERAGE(FILTER(Inventory!K:K,Inventory!J:J=""Closed"",Inventory!A:A=A53)),"""")"),67.2)</f>
        <v>67.2</v>
      </c>
      <c r="H53" s="23" t="b">
        <v>0</v>
      </c>
      <c r="I53" s="236"/>
      <c r="J53" s="236">
        <f>MAXIFS(Inventory!D:D, Inventory!A:A, A:A)</f>
        <v>45043</v>
      </c>
      <c r="L53" s="23">
        <f>COUNTIFS(Inventory!A:A,A53,Inventory!J:J,"Open")</f>
        <v>0</v>
      </c>
    </row>
    <row r="54">
      <c r="A54" s="237" t="s">
        <v>67</v>
      </c>
      <c r="B54" s="23" t="str">
        <f>Publishers!A222</f>
        <v>SEGA</v>
      </c>
      <c r="C54" s="78">
        <f>COUNTIF(Inventory!A:A, A54)</f>
        <v>14</v>
      </c>
      <c r="D54" s="89">
        <f>IFERROR(__xludf.DUMMYFUNCTION("IFERROR(AVERAGE(FILTER(Inventory!H:H,Inventory!J:J=""Closed"",Inventory!A:A=A54)),"""")"),0.281142260080816)</f>
        <v>0.2811422601</v>
      </c>
      <c r="E54" s="234">
        <f>IFERROR(__xludf.DUMMYFUNCTION("IFERROR(AVERAGE(FILTER(Inventory!G:G,Inventory!J:J=""Closed"",Inventory!A:A=A54)),""0"")"),1.662142857142857)</f>
        <v>1.662142857</v>
      </c>
      <c r="F54" s="235">
        <f>IFERROR(__xludf.DUMMYFUNCTION("IFERROR(SUM(FILTER(Inventory!G:G,Inventory!J:J=""Closed"",Inventory!A:A=A54)),""0"")"),23.269999999999996)</f>
        <v>23.27</v>
      </c>
      <c r="G54" s="235">
        <f>IFERROR(__xludf.DUMMYFUNCTION("IFERROR(AVERAGE(FILTER(Inventory!K:K,Inventory!J:J=""Closed"",Inventory!A:A=A54)),"""")"),58.214285714285715)</f>
        <v>58.21428571</v>
      </c>
      <c r="H54" s="23" t="b">
        <v>0</v>
      </c>
      <c r="I54" s="236"/>
      <c r="J54" s="236">
        <f>MAXIFS(Inventory!D:D, Inventory!A:A, A:A)</f>
        <v>45090</v>
      </c>
      <c r="L54" s="23">
        <f>COUNTIFS(Inventory!A:A,A54,Inventory!J:J,"Open")</f>
        <v>0</v>
      </c>
    </row>
    <row r="55">
      <c r="A55" s="233" t="s">
        <v>4615</v>
      </c>
      <c r="B55" s="23" t="str">
        <f>Publishers!A95</f>
        <v>Fellow Traveller</v>
      </c>
      <c r="C55" s="78">
        <f>COUNTIF(Inventory!A:A, A55)</f>
        <v>8</v>
      </c>
      <c r="D55" s="89">
        <f>IFERROR(__xludf.DUMMYFUNCTION("IFERROR(AVERAGE(FILTER(Inventory!H:H,Inventory!J:J=""Closed"",Inventory!A:A=A55)),"""")"),0.20370853348201307)</f>
        <v>0.2037085335</v>
      </c>
      <c r="E55" s="234">
        <f>IFERROR(__xludf.DUMMYFUNCTION("IFERROR(AVERAGE(FILTER(Inventory!G:G,Inventory!J:J=""Closed"",Inventory!A:A=A55)),""0"")"),2.3412499999999996)</f>
        <v>2.34125</v>
      </c>
      <c r="F55" s="235">
        <f>IFERROR(__xludf.DUMMYFUNCTION("IFERROR(SUM(FILTER(Inventory!G:G,Inventory!J:J=""Closed"",Inventory!A:A=A55)),""0"")"),18.729999999999997)</f>
        <v>18.73</v>
      </c>
      <c r="G55" s="235">
        <f>IFERROR(__xludf.DUMMYFUNCTION("IFERROR(AVERAGE(FILTER(Inventory!K:K,Inventory!J:J=""Closed"",Inventory!A:A=A55)),"""")"),17.5)</f>
        <v>17.5</v>
      </c>
      <c r="H55" s="23" t="b">
        <v>0</v>
      </c>
      <c r="I55" s="78">
        <v>12.35</v>
      </c>
      <c r="J55" s="236">
        <f>MAXIFS(Inventory!D:D, Inventory!A:A, A:A)</f>
        <v>45328</v>
      </c>
      <c r="L55" s="23">
        <f>COUNTIFS(Inventory!A:A,A55,Inventory!J:J,"Open")</f>
        <v>0</v>
      </c>
    </row>
    <row r="56">
      <c r="A56" s="237" t="s">
        <v>1139</v>
      </c>
      <c r="B56" s="23" t="str">
        <f>Publishers!A253</f>
        <v>Team17 Digital</v>
      </c>
      <c r="C56" s="78">
        <f>COUNTIF(Inventory!A:A, A56)</f>
        <v>6</v>
      </c>
      <c r="D56" s="89">
        <f>IFERROR(__xludf.DUMMYFUNCTION("IFERROR(AVERAGE(FILTER(Inventory!H:H,Inventory!J:J=""Closed"",Inventory!A:A=A56)),"""")"),0.22083156870383727)</f>
        <v>0.2208315687</v>
      </c>
      <c r="E56" s="234">
        <f>IFERROR(__xludf.DUMMYFUNCTION("IFERROR(AVERAGE(FILTER(Inventory!G:G,Inventory!J:J=""Closed"",Inventory!A:A=A56)),""0"")"),1.4616666666666667)</f>
        <v>1.461666667</v>
      </c>
      <c r="F56" s="235">
        <f>IFERROR(__xludf.DUMMYFUNCTION("IFERROR(SUM(FILTER(Inventory!G:G,Inventory!J:J=""Closed"",Inventory!A:A=A56)),""0"")"),8.77)</f>
        <v>8.77</v>
      </c>
      <c r="G56" s="235">
        <f>IFERROR(__xludf.DUMMYFUNCTION("IFERROR(AVERAGE(FILTER(Inventory!K:K,Inventory!J:J=""Closed"",Inventory!A:A=A56)),"""")"),4.166666666666667)</f>
        <v>4.166666667</v>
      </c>
      <c r="H56" s="23" t="b">
        <v>0</v>
      </c>
      <c r="I56" s="236"/>
      <c r="J56" s="236">
        <f>MAXIFS(Inventory!D:D, Inventory!A:A, A:A)</f>
        <v>44432</v>
      </c>
      <c r="L56" s="23">
        <f>COUNTIFS(Inventory!A:A,A56,Inventory!J:J,"Open")</f>
        <v>0</v>
      </c>
    </row>
    <row r="57">
      <c r="A57" s="233" t="s">
        <v>2530</v>
      </c>
      <c r="B57" s="23" t="str">
        <f>Publishers!A228</f>
        <v>Skybound Games</v>
      </c>
      <c r="C57" s="78">
        <f>COUNTIF(Inventory!A:A, A57)</f>
        <v>1</v>
      </c>
      <c r="D57" s="89">
        <f>IFERROR(__xludf.DUMMYFUNCTION("IFERROR(AVERAGE(FILTER(Inventory!H:H,Inventory!J:J=""Closed"",Inventory!A:A=A57)),"""")"),0.3682864450127877)</f>
        <v>0.368286445</v>
      </c>
      <c r="E57" s="234">
        <f>IFERROR(__xludf.DUMMYFUNCTION("IFERROR(AVERAGE(FILTER(Inventory!G:G,Inventory!J:J=""Closed"",Inventory!A:A=A57)),""0"")"),1.44)</f>
        <v>1.44</v>
      </c>
      <c r="F57" s="235">
        <f>IFERROR(__xludf.DUMMYFUNCTION("IFERROR(SUM(FILTER(Inventory!G:G,Inventory!J:J=""Closed"",Inventory!A:A=A57)),""0"")"),1.44)</f>
        <v>1.44</v>
      </c>
      <c r="G57" s="235">
        <f>IFERROR(__xludf.DUMMYFUNCTION("IFERROR(AVERAGE(FILTER(Inventory!K:K,Inventory!J:J=""Closed"",Inventory!A:A=A57)),"""")"),37.0)</f>
        <v>37</v>
      </c>
      <c r="H57" s="23" t="b">
        <v>0</v>
      </c>
      <c r="I57" s="236"/>
      <c r="J57" s="236">
        <f>MAXIFS(Inventory!D:D, Inventory!A:A, A:A)</f>
        <v>44728</v>
      </c>
      <c r="L57" s="23">
        <f>COUNTIFS(Inventory!A:A,A57,Inventory!J:J,"Open")</f>
        <v>0</v>
      </c>
    </row>
    <row r="58">
      <c r="A58" s="233" t="s">
        <v>2422</v>
      </c>
      <c r="B58" s="23" t="str">
        <f>Publishers!A228</f>
        <v>Skybound Games</v>
      </c>
      <c r="C58" s="78">
        <f>COUNTIF(Inventory!A:A, A58)</f>
        <v>1</v>
      </c>
      <c r="D58" s="89">
        <f>IFERROR(__xludf.DUMMYFUNCTION("IFERROR(AVERAGE(FILTER(Inventory!H:H,Inventory!J:J=""Closed"",Inventory!A:A=A58)),"""")"),0.1388888888888889)</f>
        <v>0.1388888889</v>
      </c>
      <c r="E58" s="234">
        <f>IFERROR(__xludf.DUMMYFUNCTION("IFERROR(AVERAGE(FILTER(Inventory!G:G,Inventory!J:J=""Closed"",Inventory!A:A=A58)),""0"")"),0.5)</f>
        <v>0.5</v>
      </c>
      <c r="F58" s="235">
        <f>IFERROR(__xludf.DUMMYFUNCTION("IFERROR(SUM(FILTER(Inventory!G:G,Inventory!J:J=""Closed"",Inventory!A:A=A58)),""0"")"),0.5)</f>
        <v>0.5</v>
      </c>
      <c r="G58" s="235">
        <f>IFERROR(__xludf.DUMMYFUNCTION("IFERROR(AVERAGE(FILTER(Inventory!K:K,Inventory!J:J=""Closed"",Inventory!A:A=A58)),"""")"),9.0)</f>
        <v>9</v>
      </c>
      <c r="H58" s="23" t="b">
        <v>0</v>
      </c>
      <c r="I58" s="236"/>
      <c r="J58" s="236">
        <f>MAXIFS(Inventory!D:D, Inventory!A:A, A:A)</f>
        <v>44679</v>
      </c>
      <c r="L58" s="23">
        <f>COUNTIFS(Inventory!A:A,A58,Inventory!J:J,"Open")</f>
        <v>0</v>
      </c>
    </row>
    <row r="59">
      <c r="A59" s="237" t="s">
        <v>349</v>
      </c>
      <c r="B59" s="23" t="str">
        <f>Publishers!A15</f>
        <v>Alawar Premium</v>
      </c>
      <c r="C59" s="78">
        <f>COUNTIF(Inventory!A:A, A59)</f>
        <v>2</v>
      </c>
      <c r="D59" s="89">
        <f>IFERROR(__xludf.DUMMYFUNCTION("IFERROR(AVERAGE(FILTER(Inventory!H:H,Inventory!J:J=""Closed"",Inventory!A:A=A59)),"""")"),0.7384064560127301)</f>
        <v>0.738406456</v>
      </c>
      <c r="E59" s="234">
        <f>IFERROR(__xludf.DUMMYFUNCTION("IFERROR(AVERAGE(FILTER(Inventory!G:G,Inventory!J:J=""Closed"",Inventory!A:A=A59)),""0"")"),1.2000000000000002)</f>
        <v>1.2</v>
      </c>
      <c r="F59" s="235">
        <f>IFERROR(__xludf.DUMMYFUNCTION("IFERROR(SUM(FILTER(Inventory!G:G,Inventory!J:J=""Closed"",Inventory!A:A=A59)),""0"")"),2.4000000000000004)</f>
        <v>2.4</v>
      </c>
      <c r="G59" s="235">
        <f>IFERROR(__xludf.DUMMYFUNCTION("IFERROR(AVERAGE(FILTER(Inventory!K:K,Inventory!J:J=""Closed"",Inventory!A:A=A59)),"""")"),11.0)</f>
        <v>11</v>
      </c>
      <c r="H59" s="23" t="b">
        <v>0</v>
      </c>
      <c r="I59" s="236"/>
      <c r="J59" s="236">
        <f>MAXIFS(Inventory!D:D, Inventory!A:A, A:A)</f>
        <v>44052</v>
      </c>
      <c r="L59" s="23">
        <f>COUNTIFS(Inventory!A:A,A59,Inventory!J:J,"Open")</f>
        <v>0</v>
      </c>
    </row>
    <row r="60">
      <c r="A60" s="233" t="s">
        <v>5357</v>
      </c>
      <c r="B60" s="23" t="str">
        <f>Publishers!A111</f>
        <v>Goblinz Publishing</v>
      </c>
      <c r="C60" s="78">
        <f>COUNTIF(Inventory!A:A, A60)</f>
        <v>1</v>
      </c>
      <c r="D60" s="89" t="str">
        <f>IFERROR(__xludf.DUMMYFUNCTION("IFERROR(AVERAGE(FILTER(Inventory!H:H,Inventory!J:J=""Closed"",Inventory!A:A=A60)),"""")"),"")</f>
        <v/>
      </c>
      <c r="E60" s="234" t="str">
        <f>IFERROR(__xludf.DUMMYFUNCTION("IFERROR(AVERAGE(FILTER(Inventory!G:G,Inventory!J:J=""Closed"",Inventory!A:A=A60)),""0"")"),"0")</f>
        <v>0</v>
      </c>
      <c r="F60" s="235" t="str">
        <f>IFERROR(__xludf.DUMMYFUNCTION("IFERROR(SUM(FILTER(Inventory!G:G,Inventory!J:J=""Closed"",Inventory!A:A=A60)),""0"")"),"0")</f>
        <v>0</v>
      </c>
      <c r="G60" s="235" t="str">
        <f>IFERROR(__xludf.DUMMYFUNCTION("IFERROR(AVERAGE(FILTER(Inventory!K:K,Inventory!J:J=""Closed"",Inventory!A:A=A60)),"""")"),"")</f>
        <v/>
      </c>
      <c r="H60" s="23" t="b">
        <v>0</v>
      </c>
      <c r="I60" s="236"/>
      <c r="J60" s="236">
        <f>MAXIFS(Inventory!D:D, Inventory!A:A, A:A)</f>
        <v>0</v>
      </c>
      <c r="L60" s="23">
        <f>COUNTIFS(Inventory!A:A,A60,Inventory!J:J,"Open")</f>
        <v>1</v>
      </c>
    </row>
    <row r="61">
      <c r="A61" s="233" t="s">
        <v>5408</v>
      </c>
      <c r="B61" s="23" t="str">
        <f>Publishers!A134</f>
        <v>Joey Drew Studios</v>
      </c>
      <c r="C61" s="78">
        <f>COUNTIF(Inventory!A:A, A61)</f>
        <v>33</v>
      </c>
      <c r="D61" s="89">
        <f>IFERROR(__xludf.DUMMYFUNCTION("IFERROR(AVERAGE(FILTER(Inventory!H:H,Inventory!J:J=""Closed"",Inventory!A:A=A61)),"""")"),0.33800826180753313)</f>
        <v>0.3380082618</v>
      </c>
      <c r="E61" s="234">
        <f>IFERROR(__xludf.DUMMYFUNCTION("IFERROR(AVERAGE(FILTER(Inventory!G:G,Inventory!J:J=""Closed"",Inventory!A:A=A61)),""0"")"),1.2178787878787878)</f>
        <v>1.217878788</v>
      </c>
      <c r="F61" s="235">
        <f>IFERROR(__xludf.DUMMYFUNCTION("IFERROR(SUM(FILTER(Inventory!G:G,Inventory!J:J=""Closed"",Inventory!A:A=A61)),""0"")"),40.19)</f>
        <v>40.19</v>
      </c>
      <c r="G61" s="235">
        <f>IFERROR(__xludf.DUMMYFUNCTION("IFERROR(AVERAGE(FILTER(Inventory!K:K,Inventory!J:J=""Closed"",Inventory!A:A=A61)),"""")"),5.575757575757576)</f>
        <v>5.575757576</v>
      </c>
      <c r="H61" s="23" t="b">
        <v>0</v>
      </c>
      <c r="I61" s="78">
        <v>1.89</v>
      </c>
      <c r="J61" s="236">
        <f>MAXIFS(Inventory!D:D, Inventory!A:A, A:A)</f>
        <v>45264</v>
      </c>
      <c r="L61" s="23">
        <f>COUNTIFS(Inventory!A:A,A61,Inventory!J:J,"Open")</f>
        <v>0</v>
      </c>
    </row>
    <row r="62">
      <c r="A62" s="233" t="s">
        <v>2031</v>
      </c>
      <c r="B62" s="23" t="str">
        <f>Publishers!A141</f>
        <v>KOEI TECMO GAMES</v>
      </c>
      <c r="C62" s="78">
        <f>COUNTIF(Inventory!A:A, A62)</f>
        <v>10</v>
      </c>
      <c r="D62" s="89">
        <f>IFERROR(__xludf.DUMMYFUNCTION("IFERROR(AVERAGE(FILTER(Inventory!H:H,Inventory!J:J=""Closed"",Inventory!A:A=A62)),"""")"),0.23461883086681112)</f>
        <v>0.2346188309</v>
      </c>
      <c r="E62" s="234">
        <f>IFERROR(__xludf.DUMMYFUNCTION("IFERROR(AVERAGE(FILTER(Inventory!G:G,Inventory!J:J=""Closed"",Inventory!A:A=A62)),""0"")"),8.610000000000001)</f>
        <v>8.61</v>
      </c>
      <c r="F62" s="235">
        <f>IFERROR(__xludf.DUMMYFUNCTION("IFERROR(SUM(FILTER(Inventory!G:G,Inventory!J:J=""Closed"",Inventory!A:A=A62)),""0"")"),86.10000000000001)</f>
        <v>86.1</v>
      </c>
      <c r="G62" s="235">
        <f>IFERROR(__xludf.DUMMYFUNCTION("IFERROR(AVERAGE(FILTER(Inventory!K:K,Inventory!J:J=""Closed"",Inventory!A:A=A62)),"""")"),14.3)</f>
        <v>14.3</v>
      </c>
      <c r="H62" s="23" t="b">
        <v>0</v>
      </c>
      <c r="I62" s="236"/>
      <c r="J62" s="236">
        <f>MAXIFS(Inventory!D:D, Inventory!A:A, A:A)</f>
        <v>45181</v>
      </c>
      <c r="K62" s="23" t="str">
        <f>IMAGE("https://shared.akamai.steamstatic.com/store_item_assets/steam/apps/502280/header.jpg?t=1726558132")</f>
        <v/>
      </c>
      <c r="L62" s="23">
        <f>COUNTIFS(Inventory!A:A,A62,Inventory!J:J,"Open")</f>
        <v>0</v>
      </c>
    </row>
    <row r="63">
      <c r="A63" s="237" t="s">
        <v>1765</v>
      </c>
      <c r="B63" s="23" t="str">
        <f>Publishers!A207</f>
        <v>Revolution Software</v>
      </c>
      <c r="C63" s="78">
        <f>COUNTIF(Inventory!A:A, A63)</f>
        <v>2</v>
      </c>
      <c r="D63" s="89">
        <f>IFERROR(__xludf.DUMMYFUNCTION("IFERROR(AVERAGE(FILTER(Inventory!H:H,Inventory!J:J=""Closed"",Inventory!A:A=A63)),"""")"),0.6402843601895735)</f>
        <v>0.6402843602</v>
      </c>
      <c r="E63" s="234">
        <f>IFERROR(__xludf.DUMMYFUNCTION("IFERROR(AVERAGE(FILTER(Inventory!G:G,Inventory!J:J=""Closed"",Inventory!A:A=A63)),""0"")"),2.0800000000000005)</f>
        <v>2.08</v>
      </c>
      <c r="F63" s="235">
        <f>IFERROR(__xludf.DUMMYFUNCTION("IFERROR(SUM(FILTER(Inventory!G:G,Inventory!J:J=""Closed"",Inventory!A:A=A63)),""0"")"),4.160000000000001)</f>
        <v>4.16</v>
      </c>
      <c r="G63" s="235">
        <f>IFERROR(__xludf.DUMMYFUNCTION("IFERROR(AVERAGE(FILTER(Inventory!K:K,Inventory!J:J=""Closed"",Inventory!A:A=A63)),"""")"),5.5)</f>
        <v>5.5</v>
      </c>
      <c r="H63" s="23" t="b">
        <v>0</v>
      </c>
      <c r="I63" s="236"/>
      <c r="J63" s="236">
        <f>MAXIFS(Inventory!D:D, Inventory!A:A, A:A)</f>
        <v>45936</v>
      </c>
      <c r="L63" s="23">
        <f>COUNTIFS(Inventory!A:A,A63,Inventory!J:J,"Open")</f>
        <v>0</v>
      </c>
    </row>
    <row r="64">
      <c r="A64" s="233" t="s">
        <v>3800</v>
      </c>
      <c r="B64" s="23" t="str">
        <f>Publishers!A200</f>
        <v>Quantic Dream</v>
      </c>
      <c r="C64" s="78">
        <f>COUNTIF(Inventory!A:A, A64)</f>
        <v>1</v>
      </c>
      <c r="D64" s="89">
        <f>IFERROR(__xludf.DUMMYFUNCTION("IFERROR(AVERAGE(FILTER(Inventory!H:H,Inventory!J:J=""Closed"",Inventory!A:A=A64)),"""")"),0.1306532663316582)</f>
        <v>0.1306532663</v>
      </c>
      <c r="E64" s="234">
        <f>IFERROR(__xludf.DUMMYFUNCTION("IFERROR(AVERAGE(FILTER(Inventory!G:G,Inventory!J:J=""Closed"",Inventory!A:A=A64)),""0"")"),0.7799999999999994)</f>
        <v>0.78</v>
      </c>
      <c r="F64" s="235">
        <f>IFERROR(__xludf.DUMMYFUNCTION("IFERROR(SUM(FILTER(Inventory!G:G,Inventory!J:J=""Closed"",Inventory!A:A=A64)),""0"")"),0.7799999999999994)</f>
        <v>0.78</v>
      </c>
      <c r="G64" s="235">
        <f>IFERROR(__xludf.DUMMYFUNCTION("IFERROR(AVERAGE(FILTER(Inventory!K:K,Inventory!J:J=""Closed"",Inventory!A:A=A64)),"""")"),574.0)</f>
        <v>574</v>
      </c>
      <c r="H64" s="78" t="b">
        <v>0</v>
      </c>
      <c r="I64" s="236"/>
      <c r="J64" s="236">
        <f>MAXIFS(Inventory!D:D, Inventory!A:A, A:A)</f>
        <v>45595</v>
      </c>
      <c r="L64" s="23">
        <f>COUNTIFS(Inventory!A:A,A64,Inventory!J:J,"Open")</f>
        <v>0</v>
      </c>
    </row>
    <row r="65">
      <c r="A65" s="237" t="s">
        <v>624</v>
      </c>
      <c r="B65" s="23" t="str">
        <f>Publishers!A172</f>
        <v>NEXT Studios</v>
      </c>
      <c r="C65" s="78">
        <f>COUNTIF(Inventory!A:A, A65)</f>
        <v>35</v>
      </c>
      <c r="D65" s="89">
        <f>IFERROR(__xludf.DUMMYFUNCTION("IFERROR(AVERAGE(FILTER(Inventory!H:H,Inventory!J:J=""Closed"",Inventory!A:A=A65)),"""")"),0.2767025041311067)</f>
        <v>0.2767025041</v>
      </c>
      <c r="E65" s="234">
        <f>IFERROR(__xludf.DUMMYFUNCTION("IFERROR(AVERAGE(FILTER(Inventory!G:G,Inventory!J:J=""Closed"",Inventory!A:A=A65)),""0"")"),1.6234285714285712)</f>
        <v>1.623428571</v>
      </c>
      <c r="F65" s="235">
        <f>IFERROR(__xludf.DUMMYFUNCTION("IFERROR(SUM(FILTER(Inventory!G:G,Inventory!J:J=""Closed"",Inventory!A:A=A65)),""0"")"),56.81999999999999)</f>
        <v>56.82</v>
      </c>
      <c r="G65" s="235">
        <f>IFERROR(__xludf.DUMMYFUNCTION("IFERROR(AVERAGE(FILTER(Inventory!K:K,Inventory!J:J=""Closed"",Inventory!A:A=A65)),"""")"),74.37142857142857)</f>
        <v>74.37142857</v>
      </c>
      <c r="H65" s="78" t="b">
        <v>1</v>
      </c>
      <c r="I65" s="236"/>
      <c r="J65" s="236">
        <f>MAXIFS(Inventory!D:D, Inventory!A:A, A:A)</f>
        <v>45490</v>
      </c>
      <c r="L65" s="23">
        <f>COUNTIFS(Inventory!A:A,A65,Inventory!J:J,"Open")</f>
        <v>0</v>
      </c>
    </row>
    <row r="66">
      <c r="A66" s="237" t="s">
        <v>1727</v>
      </c>
      <c r="B66" s="23" t="str">
        <f>Publishers!A121</f>
        <v>HypeTrain Digital</v>
      </c>
      <c r="C66" s="78">
        <f>COUNTIF(Inventory!A:A, A66)</f>
        <v>1</v>
      </c>
      <c r="D66" s="89">
        <f>IFERROR(__xludf.DUMMYFUNCTION("IFERROR(AVERAGE(FILTER(Inventory!H:H,Inventory!J:J=""Closed"",Inventory!A:A=A66)),"""")"),0.06607142857142864)</f>
        <v>0.06607142857</v>
      </c>
      <c r="E66" s="234">
        <f>IFERROR(__xludf.DUMMYFUNCTION("IFERROR(AVERAGE(FILTER(Inventory!G:G,Inventory!J:J=""Closed"",Inventory!A:A=A66)),""0"")"),1.1100000000000012)</f>
        <v>1.11</v>
      </c>
      <c r="F66" s="235">
        <f>IFERROR(__xludf.DUMMYFUNCTION("IFERROR(SUM(FILTER(Inventory!G:G,Inventory!J:J=""Closed"",Inventory!A:A=A66)),""0"")"),1.1100000000000012)</f>
        <v>1.11</v>
      </c>
      <c r="G66" s="235">
        <f>IFERROR(__xludf.DUMMYFUNCTION("IFERROR(AVERAGE(FILTER(Inventory!K:K,Inventory!J:J=""Closed"",Inventory!A:A=A66)),"""")"),28.0)</f>
        <v>28</v>
      </c>
      <c r="H66" s="23" t="b">
        <v>0</v>
      </c>
      <c r="I66" s="236"/>
      <c r="J66" s="236">
        <f>MAXIFS(Inventory!D:D, Inventory!A:A, A:A)</f>
        <v>44568</v>
      </c>
      <c r="L66" s="23">
        <f>COUNTIFS(Inventory!A:A,A66,Inventory!J:J,"Open")</f>
        <v>0</v>
      </c>
    </row>
    <row r="67">
      <c r="A67" s="233" t="s">
        <v>9018</v>
      </c>
      <c r="B67" s="23" t="str">
        <f>Publishers!A108</f>
        <v>Game Science</v>
      </c>
      <c r="C67" s="78">
        <f>COUNTIF(Inventory!A:A, A67)</f>
        <v>38</v>
      </c>
      <c r="D67" s="89">
        <f>IFERROR(__xludf.DUMMYFUNCTION("IFERROR(AVERAGE(FILTER(Inventory!H:H,Inventory!J:J=""Closed"",Inventory!A:A=A67)),"""")"),0.13638203204492222)</f>
        <v>0.136382032</v>
      </c>
      <c r="E67" s="234">
        <f>IFERROR(__xludf.DUMMYFUNCTION("IFERROR(AVERAGE(FILTER(Inventory!G:G,Inventory!J:J=""Closed"",Inventory!A:A=A67)),""0"")"),6.090540540540539)</f>
        <v>6.090540541</v>
      </c>
      <c r="F67" s="235">
        <f>IFERROR(__xludf.DUMMYFUNCTION("IFERROR(SUM(FILTER(Inventory!G:G,Inventory!J:J=""Closed"",Inventory!A:A=A67)),""0"")"),225.34999999999994)</f>
        <v>225.35</v>
      </c>
      <c r="G67" s="235">
        <f>IFERROR(__xludf.DUMMYFUNCTION("IFERROR(AVERAGE(FILTER(Inventory!K:K,Inventory!J:J=""Closed"",Inventory!A:A=A67)),"""")"),5.135135135135135)</f>
        <v>5.135135135</v>
      </c>
      <c r="H67" s="23" t="b">
        <v>0</v>
      </c>
      <c r="I67" s="236"/>
      <c r="J67" s="236">
        <f>MAXIFS(Inventory!D:D, Inventory!A:A, A:A)</f>
        <v>46200</v>
      </c>
      <c r="K67" s="23" t="str">
        <f>IMAGE("https://shared.fastly.steamstatic.com/store_item_assets/steam/apps/2358720/header.jpg?t=1749182199")</f>
        <v/>
      </c>
      <c r="L67" s="23">
        <f>COUNTIFS(Inventory!A:A,A67,Inventory!J:J,"Open")</f>
        <v>1</v>
      </c>
    </row>
    <row r="68">
      <c r="A68" s="237" t="s">
        <v>391</v>
      </c>
      <c r="B68" s="23" t="str">
        <f>Publishers!A65</f>
        <v>Daedalic Entertainment</v>
      </c>
      <c r="C68" s="78">
        <f>COUNTIF(Inventory!A:A, A68)</f>
        <v>1</v>
      </c>
      <c r="D68" s="89">
        <f>IFERROR(__xludf.DUMMYFUNCTION("IFERROR(AVERAGE(FILTER(Inventory!H:H,Inventory!J:J=""Closed"",Inventory!A:A=A68)),"""")"),0.1234567901234569)</f>
        <v>0.1234567901</v>
      </c>
      <c r="E68" s="234">
        <f>IFERROR(__xludf.DUMMYFUNCTION("IFERROR(AVERAGE(FILTER(Inventory!G:G,Inventory!J:J=""Closed"",Inventory!A:A=A68)),""0"")"),0.20000000000000018)</f>
        <v>0.2</v>
      </c>
      <c r="F68" s="235">
        <f>IFERROR(__xludf.DUMMYFUNCTION("IFERROR(SUM(FILTER(Inventory!G:G,Inventory!J:J=""Closed"",Inventory!A:A=A68)),""0"")"),0.20000000000000018)</f>
        <v>0.2</v>
      </c>
      <c r="G68" s="235">
        <f>IFERROR(__xludf.DUMMYFUNCTION("IFERROR(AVERAGE(FILTER(Inventory!K:K,Inventory!J:J=""Closed"",Inventory!A:A=A68)),"""")"),70.0)</f>
        <v>70</v>
      </c>
      <c r="H68" s="23" t="b">
        <v>0</v>
      </c>
      <c r="I68" s="236"/>
      <c r="J68" s="236">
        <f>MAXIFS(Inventory!D:D, Inventory!A:A, A:A)</f>
        <v>44113</v>
      </c>
      <c r="L68" s="23">
        <f>COUNTIFS(Inventory!A:A,A68,Inventory!J:J,"Open")</f>
        <v>0</v>
      </c>
    </row>
    <row r="69">
      <c r="A69" s="237" t="s">
        <v>1341</v>
      </c>
      <c r="B69" s="23" t="str">
        <f>Publishers!A253</f>
        <v>Team17 Digital</v>
      </c>
      <c r="C69" s="78">
        <f>COUNTIF(Inventory!A:A, A69)</f>
        <v>4</v>
      </c>
      <c r="D69" s="89">
        <f>IFERROR(__xludf.DUMMYFUNCTION("IFERROR(AVERAGE(FILTER(Inventory!H:H,Inventory!J:J=""Closed"",Inventory!A:A=A69)),"""")"),-0.012399973428179667)</f>
        <v>-0.01239997343</v>
      </c>
      <c r="E69" s="234">
        <f>IFERROR(__xludf.DUMMYFUNCTION("IFERROR(AVERAGE(FILTER(Inventory!G:G,Inventory!J:J=""Closed"",Inventory!A:A=A69)),""0"")"),1.01)</f>
        <v>1.01</v>
      </c>
      <c r="F69" s="235">
        <f>IFERROR(__xludf.DUMMYFUNCTION("IFERROR(SUM(FILTER(Inventory!G:G,Inventory!J:J=""Closed"",Inventory!A:A=A69)),""0"")"),4.04)</f>
        <v>4.04</v>
      </c>
      <c r="G69" s="235">
        <f>IFERROR(__xludf.DUMMYFUNCTION("IFERROR(AVERAGE(FILTER(Inventory!K:K,Inventory!J:J=""Closed"",Inventory!A:A=A69)),"""")"),365.25)</f>
        <v>365.25</v>
      </c>
      <c r="H69" s="23" t="b">
        <v>0</v>
      </c>
      <c r="I69" s="236"/>
      <c r="J69" s="236">
        <f>MAXIFS(Inventory!D:D, Inventory!A:A, A:A)</f>
        <v>45175</v>
      </c>
      <c r="L69" s="23">
        <f>COUNTIFS(Inventory!A:A,A69,Inventory!J:J,"Open")</f>
        <v>0</v>
      </c>
      <c r="N69" s="239"/>
      <c r="O69" s="239"/>
    </row>
    <row r="70">
      <c r="A70" s="237" t="s">
        <v>1050</v>
      </c>
      <c r="B70" s="23" t="str">
        <f>Publishers!A20</f>
        <v>Applava</v>
      </c>
      <c r="C70" s="78">
        <f>COUNTIF(Inventory!A:A, A70)</f>
        <v>2</v>
      </c>
      <c r="D70" s="89">
        <f>IFERROR(__xludf.DUMMYFUNCTION("IFERROR(AVERAGE(FILTER(Inventory!H:H,Inventory!J:J=""Closed"",Inventory!A:A=A70)),"""")"),0.10714285714285723)</f>
        <v>0.1071428571</v>
      </c>
      <c r="E70" s="234">
        <f>IFERROR(__xludf.DUMMYFUNCTION("IFERROR(AVERAGE(FILTER(Inventory!G:G,Inventory!J:J=""Closed"",Inventory!A:A=A70)),""0"")"),0.06000000000000005)</f>
        <v>0.06</v>
      </c>
      <c r="F70" s="235">
        <f>IFERROR(__xludf.DUMMYFUNCTION("IFERROR(SUM(FILTER(Inventory!G:G,Inventory!J:J=""Closed"",Inventory!A:A=A70)),""0"")"),0.1200000000000001)</f>
        <v>0.12</v>
      </c>
      <c r="G70" s="235">
        <f>IFERROR(__xludf.DUMMYFUNCTION("IFERROR(AVERAGE(FILTER(Inventory!K:K,Inventory!J:J=""Closed"",Inventory!A:A=A70)),"""")"),35.0)</f>
        <v>35</v>
      </c>
      <c r="H70" s="23" t="b">
        <v>0</v>
      </c>
      <c r="I70" s="236"/>
      <c r="J70" s="236">
        <f>MAXIFS(Inventory!D:D, Inventory!A:A, A:A)</f>
        <v>44341</v>
      </c>
      <c r="L70" s="23">
        <f>COUNTIFS(Inventory!A:A,A70,Inventory!J:J,"Open")</f>
        <v>0</v>
      </c>
      <c r="N70" s="239"/>
      <c r="O70" s="239"/>
    </row>
    <row r="71">
      <c r="A71" s="237" t="s">
        <v>801</v>
      </c>
      <c r="B71" s="23" t="str">
        <f>Publishers!A167</f>
        <v>Nacon</v>
      </c>
      <c r="C71" s="78">
        <f>COUNTIF(Inventory!A:A, A71)</f>
        <v>1</v>
      </c>
      <c r="D71" s="89">
        <f>IFERROR(__xludf.DUMMYFUNCTION("IFERROR(AVERAGE(FILTER(Inventory!H:H,Inventory!J:J=""Closed"",Inventory!A:A=A71)),"""")"),0.227810650887574)</f>
        <v>0.2278106509</v>
      </c>
      <c r="E71" s="234">
        <f>IFERROR(__xludf.DUMMYFUNCTION("IFERROR(AVERAGE(FILTER(Inventory!G:G,Inventory!J:J=""Closed"",Inventory!A:A=A71)),""0"")"),0.77)</f>
        <v>0.77</v>
      </c>
      <c r="F71" s="235">
        <f>IFERROR(__xludf.DUMMYFUNCTION("IFERROR(SUM(FILTER(Inventory!G:G,Inventory!J:J=""Closed"",Inventory!A:A=A71)),""0"")"),0.77)</f>
        <v>0.77</v>
      </c>
      <c r="G71" s="235">
        <f>IFERROR(__xludf.DUMMYFUNCTION("IFERROR(AVERAGE(FILTER(Inventory!K:K,Inventory!J:J=""Closed"",Inventory!A:A=A71)),"""")"),70.0)</f>
        <v>70</v>
      </c>
      <c r="H71" s="23" t="b">
        <v>0</v>
      </c>
      <c r="I71" s="236"/>
      <c r="J71" s="236">
        <f>MAXIFS(Inventory!D:D, Inventory!A:A, A:A)</f>
        <v>44238</v>
      </c>
      <c r="L71" s="23">
        <f>COUNTIFS(Inventory!A:A,A71,Inventory!J:J,"Open")</f>
        <v>0</v>
      </c>
    </row>
    <row r="72">
      <c r="A72" s="233" t="s">
        <v>3317</v>
      </c>
      <c r="B72" s="23" t="str">
        <f>Publishers!A167</f>
        <v>Nacon</v>
      </c>
      <c r="C72" s="78">
        <f>COUNTIF(Inventory!A:A, A72)</f>
        <v>5</v>
      </c>
      <c r="D72" s="89">
        <f>IFERROR(__xludf.DUMMYFUNCTION("IFERROR(AVERAGE(FILTER(Inventory!H:H,Inventory!J:J=""Closed"",Inventory!A:A=A72)),"""")"),0.39758519016160937)</f>
        <v>0.3975851902</v>
      </c>
      <c r="E72" s="234">
        <f>IFERROR(__xludf.DUMMYFUNCTION("IFERROR(AVERAGE(FILTER(Inventory!G:G,Inventory!J:J=""Closed"",Inventory!A:A=A72)),""0"")"),0.9199999999999999)</f>
        <v>0.92</v>
      </c>
      <c r="F72" s="235">
        <f>IFERROR(__xludf.DUMMYFUNCTION("IFERROR(SUM(FILTER(Inventory!G:G,Inventory!J:J=""Closed"",Inventory!A:A=A72)),""0"")"),4.6)</f>
        <v>4.6</v>
      </c>
      <c r="G72" s="235">
        <f>IFERROR(__xludf.DUMMYFUNCTION("IFERROR(AVERAGE(FILTER(Inventory!K:K,Inventory!J:J=""Closed"",Inventory!A:A=A72)),"""")"),0.6)</f>
        <v>0.6</v>
      </c>
      <c r="H72" s="23" t="b">
        <v>0</v>
      </c>
      <c r="I72" s="236"/>
      <c r="J72" s="236">
        <f>MAXIFS(Inventory!D:D, Inventory!A:A, A:A)</f>
        <v>44955</v>
      </c>
      <c r="L72" s="23">
        <f>COUNTIFS(Inventory!A:A,A72,Inventory!J:J,"Open")</f>
        <v>0</v>
      </c>
    </row>
    <row r="73">
      <c r="A73" s="233" t="s">
        <v>2611</v>
      </c>
      <c r="B73" s="23" t="str">
        <f>Publishers!A174</f>
        <v>Ninja Kiwi</v>
      </c>
      <c r="C73" s="78">
        <f>COUNTIF(Inventory!A:A, A73)</f>
        <v>27</v>
      </c>
      <c r="D73" s="89">
        <f>IFERROR(__xludf.DUMMYFUNCTION("IFERROR(AVERAGE(FILTER(Inventory!H:H,Inventory!J:J=""Closed"",Inventory!A:A=A73)),"""")"),0.2539076429433501)</f>
        <v>0.2539076429</v>
      </c>
      <c r="E73" s="234">
        <f>IFERROR(__xludf.DUMMYFUNCTION("IFERROR(AVERAGE(FILTER(Inventory!G:G,Inventory!J:J=""Closed"",Inventory!A:A=A73)),""0"")"),4.545185185185185)</f>
        <v>4.545185185</v>
      </c>
      <c r="F73" s="235">
        <f>IFERROR(__xludf.DUMMYFUNCTION("IFERROR(SUM(FILTER(Inventory!G:G,Inventory!J:J=""Closed"",Inventory!A:A=A73)),""0"")"),122.72)</f>
        <v>122.72</v>
      </c>
      <c r="G73" s="235">
        <f>IFERROR(__xludf.DUMMYFUNCTION("IFERROR(AVERAGE(FILTER(Inventory!K:K,Inventory!J:J=""Closed"",Inventory!A:A=A73)),"""")"),43.7037037037037)</f>
        <v>43.7037037</v>
      </c>
      <c r="H73" s="23" t="b">
        <v>0</v>
      </c>
      <c r="I73" s="78">
        <v>18.12</v>
      </c>
      <c r="J73" s="236">
        <f>MAXIFS(Inventory!D:D, Inventory!A:A, A:A)</f>
        <v>45536</v>
      </c>
      <c r="L73" s="23">
        <f>COUNTIFS(Inventory!A:A,A73,Inventory!J:J,"Open")</f>
        <v>0</v>
      </c>
    </row>
    <row r="74">
      <c r="A74" s="237" t="s">
        <v>439</v>
      </c>
      <c r="B74" s="23" t="str">
        <f>Publishers!A63</f>
        <v>Curve Digital</v>
      </c>
      <c r="C74" s="78">
        <f>COUNTIF(Inventory!A:A, A74)</f>
        <v>6</v>
      </c>
      <c r="D74" s="89">
        <f>IFERROR(__xludf.DUMMYFUNCTION("IFERROR(AVERAGE(FILTER(Inventory!H:H,Inventory!J:J=""Closed"",Inventory!A:A=A74)),"""")"),1.0)</f>
        <v>1</v>
      </c>
      <c r="E74" s="234">
        <f>IFERROR(__xludf.DUMMYFUNCTION("IFERROR(AVERAGE(FILTER(Inventory!G:G,Inventory!J:J=""Closed"",Inventory!A:A=A74)),""0"")"),1.1700000000000002)</f>
        <v>1.17</v>
      </c>
      <c r="F74" s="235">
        <f>IFERROR(__xludf.DUMMYFUNCTION("IFERROR(SUM(FILTER(Inventory!G:G,Inventory!J:J=""Closed"",Inventory!A:A=A74)),""0"")"),7.020000000000001)</f>
        <v>7.02</v>
      </c>
      <c r="G74" s="235">
        <f>IFERROR(__xludf.DUMMYFUNCTION("IFERROR(AVERAGE(FILTER(Inventory!K:K,Inventory!J:J=""Closed"",Inventory!A:A=A74)),"""")"),8.0)</f>
        <v>8</v>
      </c>
      <c r="H74" s="23" t="b">
        <v>0</v>
      </c>
      <c r="I74" s="236"/>
      <c r="J74" s="236">
        <f>MAXIFS(Inventory!D:D, Inventory!A:A, A:A)</f>
        <v>44142</v>
      </c>
      <c r="L74" s="23">
        <f>COUNTIFS(Inventory!A:A,A74,Inventory!J:J,"Open")</f>
        <v>0</v>
      </c>
    </row>
    <row r="75">
      <c r="A75" s="237" t="s">
        <v>199</v>
      </c>
      <c r="B75" s="23" t="str">
        <f>Publishers!A262</f>
        <v>Thing Trunk</v>
      </c>
      <c r="C75" s="78">
        <f>COUNTIF(Inventory!A:A, A75)</f>
        <v>2</v>
      </c>
      <c r="D75" s="89">
        <f>IFERROR(__xludf.DUMMYFUNCTION("IFERROR(AVERAGE(FILTER(Inventory!H:H,Inventory!J:J=""Closed"",Inventory!A:A=A75)),"""")"),1.0)</f>
        <v>1</v>
      </c>
      <c r="E75" s="234">
        <f>IFERROR(__xludf.DUMMYFUNCTION("IFERROR(AVERAGE(FILTER(Inventory!G:G,Inventory!J:J=""Closed"",Inventory!A:A=A75)),""0"")"),0.54)</f>
        <v>0.54</v>
      </c>
      <c r="F75" s="235">
        <f>IFERROR(__xludf.DUMMYFUNCTION("IFERROR(SUM(FILTER(Inventory!G:G,Inventory!J:J=""Closed"",Inventory!A:A=A75)),""0"")"),1.08)</f>
        <v>1.08</v>
      </c>
      <c r="G75" s="235">
        <f>IFERROR(__xludf.DUMMYFUNCTION("IFERROR(AVERAGE(FILTER(Inventory!K:K,Inventory!J:J=""Closed"",Inventory!A:A=A75)),"""")"),34.0)</f>
        <v>34</v>
      </c>
      <c r="H75" s="23" t="b">
        <v>0</v>
      </c>
      <c r="I75" s="236"/>
      <c r="J75" s="236">
        <f>MAXIFS(Inventory!D:D, Inventory!A:A, A:A)</f>
        <v>44023</v>
      </c>
      <c r="L75" s="23">
        <f>COUNTIFS(Inventory!A:A,A75,Inventory!J:J,"Open")</f>
        <v>0</v>
      </c>
    </row>
    <row r="76">
      <c r="A76" s="237" t="s">
        <v>1995</v>
      </c>
      <c r="B76" s="23" t="str">
        <f>Publishers!A71</f>
        <v>Devolver Digital</v>
      </c>
      <c r="C76" s="78">
        <f>COUNTIF(Inventory!A:A, A76)</f>
        <v>1</v>
      </c>
      <c r="D76" s="89">
        <f>IFERROR(__xludf.DUMMYFUNCTION("IFERROR(AVERAGE(FILTER(Inventory!H:H,Inventory!J:J=""Closed"",Inventory!A:A=A76)),"""")"),0.19760000000000005)</f>
        <v>0.1976</v>
      </c>
      <c r="E76" s="234">
        <f>IFERROR(__xludf.DUMMYFUNCTION("IFERROR(AVERAGE(FILTER(Inventory!G:G,Inventory!J:J=""Closed"",Inventory!A:A=A76)),""0"")"),2.4700000000000006)</f>
        <v>2.47</v>
      </c>
      <c r="F76" s="235">
        <f>IFERROR(__xludf.DUMMYFUNCTION("IFERROR(SUM(FILTER(Inventory!G:G,Inventory!J:J=""Closed"",Inventory!A:A=A76)),""0"")"),2.4700000000000006)</f>
        <v>2.47</v>
      </c>
      <c r="G76" s="235">
        <f>IFERROR(__xludf.DUMMYFUNCTION("IFERROR(AVERAGE(FILTER(Inventory!K:K,Inventory!J:J=""Closed"",Inventory!A:A=A76)),"""")"),85.0)</f>
        <v>85</v>
      </c>
      <c r="H76" s="23" t="b">
        <v>0</v>
      </c>
      <c r="I76" s="236"/>
      <c r="J76" s="236">
        <f>MAXIFS(Inventory!D:D, Inventory!A:A, A:A)</f>
        <v>44682</v>
      </c>
      <c r="L76" s="23">
        <f>COUNTIFS(Inventory!A:A,A76,Inventory!J:J,"Open")</f>
        <v>0</v>
      </c>
    </row>
    <row r="77">
      <c r="A77" s="237" t="s">
        <v>1669</v>
      </c>
      <c r="B77" s="23" t="str">
        <f>Publishers!A6</f>
        <v>2K</v>
      </c>
      <c r="C77" s="78">
        <f>COUNTIF(Inventory!A:A, A77)</f>
        <v>1</v>
      </c>
      <c r="D77" s="89">
        <f>IFERROR(__xludf.DUMMYFUNCTION("IFERROR(AVERAGE(FILTER(Inventory!H:H,Inventory!J:J=""Closed"",Inventory!A:A=A77)),"""")"),0.0703012912482065)</f>
        <v>0.07030129125</v>
      </c>
      <c r="E77" s="234">
        <f>IFERROR(__xludf.DUMMYFUNCTION("IFERROR(AVERAGE(FILTER(Inventory!G:G,Inventory!J:J=""Closed"",Inventory!A:A=A77)),""0"")"),0.9799999999999986)</f>
        <v>0.98</v>
      </c>
      <c r="F77" s="235">
        <f>IFERROR(__xludf.DUMMYFUNCTION("IFERROR(SUM(FILTER(Inventory!G:G,Inventory!J:J=""Closed"",Inventory!A:A=A77)),""0"")"),0.9799999999999986)</f>
        <v>0.98</v>
      </c>
      <c r="G77" s="235">
        <f>IFERROR(__xludf.DUMMYFUNCTION("IFERROR(AVERAGE(FILTER(Inventory!K:K,Inventory!J:J=""Closed"",Inventory!A:A=A77)),"""")"),60.0)</f>
        <v>60</v>
      </c>
      <c r="H77" s="23" t="b">
        <v>0</v>
      </c>
      <c r="I77" s="236"/>
      <c r="J77" s="236">
        <f>MAXIFS(Inventory!D:D, Inventory!A:A, A:A)</f>
        <v>44582</v>
      </c>
      <c r="L77" s="23">
        <f>COUNTIFS(Inventory!A:A,A77,Inventory!J:J,"Open")</f>
        <v>0</v>
      </c>
    </row>
    <row r="78">
      <c r="A78" s="237" t="s">
        <v>1287</v>
      </c>
      <c r="B78" s="23" t="str">
        <f>Publishers!A6</f>
        <v>2K</v>
      </c>
      <c r="C78" s="78">
        <f>COUNTIF(Inventory!A:A, A78)</f>
        <v>1</v>
      </c>
      <c r="D78" s="89">
        <f>IFERROR(__xludf.DUMMYFUNCTION("IFERROR(AVERAGE(FILTER(Inventory!H:H,Inventory!J:J=""Closed"",Inventory!A:A=A78)),"""")"),0.12173913043478266)</f>
        <v>0.1217391304</v>
      </c>
      <c r="E78" s="234">
        <f>IFERROR(__xludf.DUMMYFUNCTION("IFERROR(AVERAGE(FILTER(Inventory!G:G,Inventory!J:J=""Closed"",Inventory!A:A=A78)),""0"")"),1.9600000000000009)</f>
        <v>1.96</v>
      </c>
      <c r="F78" s="235">
        <f>IFERROR(__xludf.DUMMYFUNCTION("IFERROR(SUM(FILTER(Inventory!G:G,Inventory!J:J=""Closed"",Inventory!A:A=A78)),""0"")"),1.9600000000000009)</f>
        <v>1.96</v>
      </c>
      <c r="G78" s="235">
        <f>IFERROR(__xludf.DUMMYFUNCTION("IFERROR(AVERAGE(FILTER(Inventory!K:K,Inventory!J:J=""Closed"",Inventory!A:A=A78)),"""")"),6.0)</f>
        <v>6</v>
      </c>
      <c r="H78" s="23" t="b">
        <v>0</v>
      </c>
      <c r="I78" s="236"/>
      <c r="J78" s="236">
        <f>MAXIFS(Inventory!D:D, Inventory!A:A, A:A)</f>
        <v>44398</v>
      </c>
      <c r="L78" s="23">
        <f>COUNTIFS(Inventory!A:A,A78,Inventory!J:J,"Open")</f>
        <v>0</v>
      </c>
    </row>
    <row r="79">
      <c r="A79" s="237" t="s">
        <v>1642</v>
      </c>
      <c r="B79" s="23" t="str">
        <f>Publishers!A6</f>
        <v>2K</v>
      </c>
      <c r="C79" s="78">
        <f>COUNTIF(Inventory!A:A, A79)</f>
        <v>2</v>
      </c>
      <c r="D79" s="89">
        <f>IFERROR(__xludf.DUMMYFUNCTION("IFERROR(AVERAGE(FILTER(Inventory!H:H,Inventory!J:J=""Closed"",Inventory!A:A=A79)),"""")"),-0.7446077947419466)</f>
        <v>-0.7446077947</v>
      </c>
      <c r="E79" s="234">
        <f>IFERROR(__xludf.DUMMYFUNCTION("IFERROR(AVERAGE(FILTER(Inventory!G:G,Inventory!J:J=""Closed"",Inventory!A:A=A79)),""0"")"),-2.88)</f>
        <v>-2.88</v>
      </c>
      <c r="F79" s="235">
        <f>IFERROR(__xludf.DUMMYFUNCTION("IFERROR(SUM(FILTER(Inventory!G:G,Inventory!J:J=""Closed"",Inventory!A:A=A79)),""0"")"),-5.76)</f>
        <v>-5.76</v>
      </c>
      <c r="G79" s="235">
        <f>IFERROR(__xludf.DUMMYFUNCTION("IFERROR(AVERAGE(FILTER(Inventory!K:K,Inventory!J:J=""Closed"",Inventory!A:A=A79)),"""")"),515.0)</f>
        <v>515</v>
      </c>
      <c r="H79" s="23" t="b">
        <v>0</v>
      </c>
      <c r="I79" s="236"/>
      <c r="J79" s="236">
        <f>MAXIFS(Inventory!D:D, Inventory!A:A, A:A)</f>
        <v>45548</v>
      </c>
      <c r="L79" s="23">
        <f>COUNTIFS(Inventory!A:A,A79,Inventory!J:J,"Open")</f>
        <v>0</v>
      </c>
    </row>
    <row r="80">
      <c r="A80" s="237" t="s">
        <v>736</v>
      </c>
      <c r="B80" s="23" t="str">
        <f>Publishers!A28</f>
        <v>Awe Interactive</v>
      </c>
      <c r="C80" s="78">
        <f>COUNTIF(Inventory!A:A, A80)</f>
        <v>4</v>
      </c>
      <c r="D80" s="89">
        <f>IFERROR(__xludf.DUMMYFUNCTION("IFERROR(AVERAGE(FILTER(Inventory!H:H,Inventory!J:J=""Closed"",Inventory!A:A=A80)),"""")"),0.2601283402873795)</f>
        <v>0.2601283403</v>
      </c>
      <c r="E80" s="234">
        <f>IFERROR(__xludf.DUMMYFUNCTION("IFERROR(AVERAGE(FILTER(Inventory!G:G,Inventory!J:J=""Closed"",Inventory!A:A=A80)),""0"")"),2.705)</f>
        <v>2.705</v>
      </c>
      <c r="F80" s="235">
        <f>IFERROR(__xludf.DUMMYFUNCTION("IFERROR(SUM(FILTER(Inventory!G:G,Inventory!J:J=""Closed"",Inventory!A:A=A80)),""0"")"),10.82)</f>
        <v>10.82</v>
      </c>
      <c r="G80" s="235">
        <f>IFERROR(__xludf.DUMMYFUNCTION("IFERROR(AVERAGE(FILTER(Inventory!K:K,Inventory!J:J=""Closed"",Inventory!A:A=A80)),"""")"),3.5)</f>
        <v>3.5</v>
      </c>
      <c r="H80" s="23" t="b">
        <v>0</v>
      </c>
      <c r="I80" s="236"/>
      <c r="J80" s="236">
        <f>MAXIFS(Inventory!D:D, Inventory!A:A, A:A)</f>
        <v>44456</v>
      </c>
      <c r="L80" s="23">
        <f>COUNTIFS(Inventory!A:A,A80,Inventory!J:J,"Open")</f>
        <v>0</v>
      </c>
    </row>
    <row r="81">
      <c r="A81" s="233" t="s">
        <v>5209</v>
      </c>
      <c r="B81" s="23" t="str">
        <f>Publishers!A158</f>
        <v>Merge Games</v>
      </c>
      <c r="C81" s="78">
        <f>COUNTIF(Inventory!A:A, A81)</f>
        <v>1</v>
      </c>
      <c r="D81" s="89" t="str">
        <f>IFERROR(__xludf.DUMMYFUNCTION("IFERROR(AVERAGE(FILTER(Inventory!H:H,Inventory!J:J=""Closed"",Inventory!A:A=A81)),"""")"),"")</f>
        <v/>
      </c>
      <c r="E81" s="234" t="str">
        <f>IFERROR(__xludf.DUMMYFUNCTION("IFERROR(AVERAGE(FILTER(Inventory!G:G,Inventory!J:J=""Closed"",Inventory!A:A=A81)),""0"")"),"0")</f>
        <v>0</v>
      </c>
      <c r="F81" s="235" t="str">
        <f>IFERROR(__xludf.DUMMYFUNCTION("IFERROR(SUM(FILTER(Inventory!G:G,Inventory!J:J=""Closed"",Inventory!A:A=A81)),""0"")"),"0")</f>
        <v>0</v>
      </c>
      <c r="G81" s="235" t="str">
        <f>IFERROR(__xludf.DUMMYFUNCTION("IFERROR(AVERAGE(FILTER(Inventory!K:K,Inventory!J:J=""Closed"",Inventory!A:A=A81)),"""")"),"")</f>
        <v/>
      </c>
      <c r="H81" s="78" t="b">
        <v>0</v>
      </c>
      <c r="I81" s="78"/>
      <c r="J81" s="236">
        <f>MAXIFS(Inventory!D:D, Inventory!A:A, A:A)</f>
        <v>0</v>
      </c>
      <c r="L81" s="23">
        <f>COUNTIFS(Inventory!A:A,A81,Inventory!J:J,"Open")</f>
        <v>1</v>
      </c>
    </row>
    <row r="82">
      <c r="A82" s="237" t="s">
        <v>719</v>
      </c>
      <c r="B82" s="23" t="str">
        <f>Publishers!A149</f>
        <v>Lukas Rustemeyer</v>
      </c>
      <c r="C82" s="78">
        <f>COUNTIF(Inventory!A:A, A82)</f>
        <v>28</v>
      </c>
      <c r="D82" s="89">
        <f>IFERROR(__xludf.DUMMYFUNCTION("IFERROR(AVERAGE(FILTER(Inventory!H:H,Inventory!J:J=""Closed"",Inventory!A:A=A82)),"""")"),0.21113307591836455)</f>
        <v>0.2111330759</v>
      </c>
      <c r="E82" s="234">
        <f>IFERROR(__xludf.DUMMYFUNCTION("IFERROR(AVERAGE(FILTER(Inventory!G:G,Inventory!J:J=""Closed"",Inventory!A:A=A82)),""0"")"),2.5046428571428576)</f>
        <v>2.504642857</v>
      </c>
      <c r="F82" s="235">
        <f>IFERROR(__xludf.DUMMYFUNCTION("IFERROR(SUM(FILTER(Inventory!G:G,Inventory!J:J=""Closed"",Inventory!A:A=A82)),""0"")"),70.13000000000001)</f>
        <v>70.13</v>
      </c>
      <c r="G82" s="235">
        <f>IFERROR(__xludf.DUMMYFUNCTION("IFERROR(AVERAGE(FILTER(Inventory!K:K,Inventory!J:J=""Closed"",Inventory!A:A=A82)),"""")"),20.892857142857142)</f>
        <v>20.89285714</v>
      </c>
      <c r="H82" s="78" t="b">
        <v>1</v>
      </c>
      <c r="I82" s="78">
        <v>13.38</v>
      </c>
      <c r="J82" s="236">
        <f>MAXIFS(Inventory!D:D, Inventory!A:A, A:A)</f>
        <v>45398</v>
      </c>
      <c r="L82" s="23">
        <f>COUNTIFS(Inventory!A:A,A82,Inventory!J:J,"Open")</f>
        <v>0</v>
      </c>
    </row>
    <row r="83">
      <c r="A83" s="233" t="s">
        <v>3020</v>
      </c>
      <c r="B83" s="23" t="str">
        <f>Publishers!A59</f>
        <v>COWCAT</v>
      </c>
      <c r="C83" s="78">
        <f>COUNTIF(Inventory!A:A, A83)</f>
        <v>6</v>
      </c>
      <c r="D83" s="89">
        <f>IFERROR(__xludf.DUMMYFUNCTION("IFERROR(AVERAGE(FILTER(Inventory!H:H,Inventory!J:J=""Closed"",Inventory!A:A=A83)),"""")"),0.38098400421714923)</f>
        <v>0.3809840042</v>
      </c>
      <c r="E83" s="234">
        <f>IFERROR(__xludf.DUMMYFUNCTION("IFERROR(AVERAGE(FILTER(Inventory!G:G,Inventory!J:J=""Closed"",Inventory!A:A=A83)),""0"")"),3.5366666666666657)</f>
        <v>3.536666667</v>
      </c>
      <c r="F83" s="235">
        <f>IFERROR(__xludf.DUMMYFUNCTION("IFERROR(SUM(FILTER(Inventory!G:G,Inventory!J:J=""Closed"",Inventory!A:A=A83)),""0"")"),21.219999999999995)</f>
        <v>21.22</v>
      </c>
      <c r="G83" s="235">
        <f>IFERROR(__xludf.DUMMYFUNCTION("IFERROR(AVERAGE(FILTER(Inventory!K:K,Inventory!J:J=""Closed"",Inventory!A:A=A83)),"""")"),120.83333333333333)</f>
        <v>120.8333333</v>
      </c>
      <c r="H83" s="23" t="b">
        <v>0</v>
      </c>
      <c r="I83" s="236"/>
      <c r="J83" s="236">
        <f>MAXIFS(Inventory!D:D, Inventory!A:A, A:A)</f>
        <v>44992</v>
      </c>
      <c r="L83" s="23">
        <f>COUNTIFS(Inventory!A:A,A83,Inventory!J:J,"Open")</f>
        <v>0</v>
      </c>
    </row>
    <row r="84">
      <c r="A84" s="237" t="s">
        <v>1548</v>
      </c>
      <c r="B84" s="23" t="str">
        <f>Publishers!A71</f>
        <v>Devolver Digital</v>
      </c>
      <c r="C84" s="78">
        <f>COUNTIF(Inventory!A:A, A84)</f>
        <v>3</v>
      </c>
      <c r="D84" s="89">
        <f>IFERROR(__xludf.DUMMYFUNCTION("IFERROR(AVERAGE(FILTER(Inventory!H:H,Inventory!J:J=""Closed"",Inventory!A:A=A84)),"""")"),0.2171532501889645)</f>
        <v>0.2171532502</v>
      </c>
      <c r="E84" s="234">
        <f>IFERROR(__xludf.DUMMYFUNCTION("IFERROR(AVERAGE(FILTER(Inventory!G:G,Inventory!J:J=""Closed"",Inventory!A:A=A84)),""0"")"),1.086666666666667)</f>
        <v>1.086666667</v>
      </c>
      <c r="F84" s="235">
        <f>IFERROR(__xludf.DUMMYFUNCTION("IFERROR(SUM(FILTER(Inventory!G:G,Inventory!J:J=""Closed"",Inventory!A:A=A84)),""0"")"),3.2600000000000007)</f>
        <v>3.26</v>
      </c>
      <c r="G84" s="235">
        <f>IFERROR(__xludf.DUMMYFUNCTION("IFERROR(AVERAGE(FILTER(Inventory!K:K,Inventory!J:J=""Closed"",Inventory!A:A=A84)),"""")"),57.333333333333336)</f>
        <v>57.33333333</v>
      </c>
      <c r="H84" s="23" t="b">
        <v>0</v>
      </c>
      <c r="I84" s="236"/>
      <c r="J84" s="236">
        <f>MAXIFS(Inventory!D:D, Inventory!A:A, A:A)</f>
        <v>44828</v>
      </c>
      <c r="L84" s="23">
        <f>COUNTIFS(Inventory!A:A,A84,Inventory!J:J,"Open")</f>
        <v>0</v>
      </c>
    </row>
    <row r="85">
      <c r="A85" s="237" t="s">
        <v>1740</v>
      </c>
      <c r="B85" s="23" t="str">
        <f>Publishers!A66</f>
        <v>DANGEN Entertainment</v>
      </c>
      <c r="C85" s="78">
        <f>COUNTIF(Inventory!A:A, A85)</f>
        <v>3</v>
      </c>
      <c r="D85" s="89">
        <f>IFERROR(__xludf.DUMMYFUNCTION("IFERROR(AVERAGE(FILTER(Inventory!H:H,Inventory!J:J=""Closed"",Inventory!A:A=A85)),"""")"),0.2257798655234203)</f>
        <v>0.2257798655</v>
      </c>
      <c r="E85" s="234">
        <f>IFERROR(__xludf.DUMMYFUNCTION("IFERROR(AVERAGE(FILTER(Inventory!G:G,Inventory!J:J=""Closed"",Inventory!A:A=A85)),""0"")"),2.0000000000000004)</f>
        <v>2</v>
      </c>
      <c r="F85" s="235">
        <f>IFERROR(__xludf.DUMMYFUNCTION("IFERROR(SUM(FILTER(Inventory!G:G,Inventory!J:J=""Closed"",Inventory!A:A=A85)),""0"")"),6.000000000000001)</f>
        <v>6</v>
      </c>
      <c r="G85" s="235">
        <f>IFERROR(__xludf.DUMMYFUNCTION("IFERROR(AVERAGE(FILTER(Inventory!K:K,Inventory!J:J=""Closed"",Inventory!A:A=A85)),"""")"),72.0)</f>
        <v>72</v>
      </c>
      <c r="H85" s="23" t="b">
        <v>0</v>
      </c>
      <c r="I85" s="78">
        <v>8.34</v>
      </c>
      <c r="J85" s="236">
        <f>MAXIFS(Inventory!D:D, Inventory!A:A, A:A)</f>
        <v>45185</v>
      </c>
      <c r="L85" s="23">
        <f>COUNTIFS(Inventory!A:A,A85,Inventory!J:J,"Open")</f>
        <v>0</v>
      </c>
    </row>
    <row r="86">
      <c r="A86" s="233" t="s">
        <v>4702</v>
      </c>
      <c r="B86" s="23" t="str">
        <f>Publishers!A175</f>
        <v>Ninja Robot Dinosaur</v>
      </c>
      <c r="C86" s="78">
        <f>COUNTIF(Inventory!A:A, A86)</f>
        <v>1</v>
      </c>
      <c r="D86" s="89">
        <f>IFERROR(__xludf.DUMMYFUNCTION("IFERROR(AVERAGE(FILTER(Inventory!H:H,Inventory!J:J=""Closed"",Inventory!A:A=A86)),"""")"),1.0)</f>
        <v>1</v>
      </c>
      <c r="E86" s="234">
        <f>IFERROR(__xludf.DUMMYFUNCTION("IFERROR(AVERAGE(FILTER(Inventory!G:G,Inventory!J:J=""Closed"",Inventory!A:A=A86)),""0"")"),0.6)</f>
        <v>0.6</v>
      </c>
      <c r="F86" s="235">
        <f>IFERROR(__xludf.DUMMYFUNCTION("IFERROR(SUM(FILTER(Inventory!G:G,Inventory!J:J=""Closed"",Inventory!A:A=A86)),""0"")"),0.6)</f>
        <v>0.6</v>
      </c>
      <c r="G86" s="235">
        <f>IFERROR(__xludf.DUMMYFUNCTION("IFERROR(AVERAGE(FILTER(Inventory!K:K,Inventory!J:J=""Closed"",Inventory!A:A=A86)),"""")"),2.0)</f>
        <v>2</v>
      </c>
      <c r="H86" s="23" t="b">
        <v>0</v>
      </c>
      <c r="I86" s="236"/>
      <c r="J86" s="236">
        <f>MAXIFS(Inventory!D:D, Inventory!A:A, A:A)</f>
        <v>45153</v>
      </c>
      <c r="L86" s="23">
        <f>COUNTIFS(Inventory!A:A,A86,Inventory!J:J,"Open")</f>
        <v>0</v>
      </c>
    </row>
    <row r="87">
      <c r="A87" s="233" t="s">
        <v>3654</v>
      </c>
      <c r="B87" s="23" t="str">
        <f>Publishers!A25</f>
        <v>astragon Entertainment</v>
      </c>
      <c r="C87" s="78">
        <f>COUNTIF(Inventory!A:A, A87)</f>
        <v>2</v>
      </c>
      <c r="D87" s="89">
        <f>IFERROR(__xludf.DUMMYFUNCTION("IFERROR(AVERAGE(FILTER(Inventory!H:H,Inventory!J:J=""Closed"",Inventory!A:A=A87)),"""")"),0.04496908375491854)</f>
        <v>0.04496908375</v>
      </c>
      <c r="E87" s="234">
        <f>IFERROR(__xludf.DUMMYFUNCTION("IFERROR(AVERAGE(FILTER(Inventory!G:G,Inventory!J:J=""Closed"",Inventory!A:A=A87)),""0"")"),0.8000000000000007)</f>
        <v>0.8</v>
      </c>
      <c r="F87" s="235">
        <f>IFERROR(__xludf.DUMMYFUNCTION("IFERROR(SUM(FILTER(Inventory!G:G,Inventory!J:J=""Closed"",Inventory!A:A=A87)),""0"")"),0.8000000000000007)</f>
        <v>0.8</v>
      </c>
      <c r="G87" s="235">
        <f>IFERROR(__xludf.DUMMYFUNCTION("IFERROR(AVERAGE(FILTER(Inventory!K:K,Inventory!J:J=""Closed"",Inventory!A:A=A87)),"""")"),14.0)</f>
        <v>14</v>
      </c>
      <c r="H87" s="23" t="b">
        <v>0</v>
      </c>
      <c r="I87" s="236"/>
      <c r="J87" s="236">
        <f>MAXIFS(Inventory!D:D, Inventory!A:A, A:A)</f>
        <v>45010</v>
      </c>
      <c r="L87" s="23">
        <f>COUNTIFS(Inventory!A:A,A87,Inventory!J:J,"Open")</f>
        <v>1</v>
      </c>
    </row>
    <row r="88">
      <c r="A88" s="237" t="s">
        <v>1053</v>
      </c>
      <c r="B88" s="23" t="str">
        <f>Publishers!A254</f>
        <v>Techland Publishing</v>
      </c>
      <c r="C88" s="78">
        <f>COUNTIF(Inventory!A:A, A88)</f>
        <v>5</v>
      </c>
      <c r="D88" s="89">
        <f>IFERROR(__xludf.DUMMYFUNCTION("IFERROR(AVERAGE(FILTER(Inventory!H:H,Inventory!J:J=""Closed"",Inventory!A:A=A88)),"""")"),0.8848484848484848)</f>
        <v>0.8848484848</v>
      </c>
      <c r="E88" s="234">
        <f>IFERROR(__xludf.DUMMYFUNCTION("IFERROR(AVERAGE(FILTER(Inventory!G:G,Inventory!J:J=""Closed"",Inventory!A:A=A88)),""0"")"),0.89)</f>
        <v>0.89</v>
      </c>
      <c r="F88" s="235">
        <f>IFERROR(__xludf.DUMMYFUNCTION("IFERROR(SUM(FILTER(Inventory!G:G,Inventory!J:J=""Closed"",Inventory!A:A=A88)),""0"")"),4.45)</f>
        <v>4.45</v>
      </c>
      <c r="G88" s="235">
        <f>IFERROR(__xludf.DUMMYFUNCTION("IFERROR(AVERAGE(FILTER(Inventory!K:K,Inventory!J:J=""Closed"",Inventory!A:A=A88)),"""")"),7.4)</f>
        <v>7.4</v>
      </c>
      <c r="H88" s="23" t="b">
        <v>0</v>
      </c>
      <c r="I88" s="236"/>
      <c r="J88" s="236">
        <f>MAXIFS(Inventory!D:D, Inventory!A:A, A:A)</f>
        <v>45802</v>
      </c>
      <c r="L88" s="23">
        <f>COUNTIFS(Inventory!A:A,A88,Inventory!J:J,"Open")</f>
        <v>0</v>
      </c>
    </row>
    <row r="89">
      <c r="A89" s="233" t="s">
        <v>3789</v>
      </c>
      <c r="B89" s="23" t="str">
        <f>Publishers!A71</f>
        <v>Devolver Digital</v>
      </c>
      <c r="C89" s="78">
        <f>COUNTIF(Inventory!A:A, A89)</f>
        <v>2</v>
      </c>
      <c r="D89" s="89">
        <f>IFERROR(__xludf.DUMMYFUNCTION("IFERROR(AVERAGE(FILTER(Inventory!H:H,Inventory!J:J=""Closed"",Inventory!A:A=A89)),"""")"),0.034515940930792854)</f>
        <v>0.03451594093</v>
      </c>
      <c r="E89" s="234">
        <f>IFERROR(__xludf.DUMMYFUNCTION("IFERROR(AVERAGE(FILTER(Inventory!G:G,Inventory!J:J=""Closed"",Inventory!A:A=A89)),""0"")"),0.6049999999999995)</f>
        <v>0.605</v>
      </c>
      <c r="F89" s="235">
        <f>IFERROR(__xludf.DUMMYFUNCTION("IFERROR(SUM(FILTER(Inventory!G:G,Inventory!J:J=""Closed"",Inventory!A:A=A89)),""0"")"),1.209999999999999)</f>
        <v>1.21</v>
      </c>
      <c r="G89" s="235">
        <f>IFERROR(__xludf.DUMMYFUNCTION("IFERROR(AVERAGE(FILTER(Inventory!K:K,Inventory!J:J=""Closed"",Inventory!A:A=A89)),"""")"),524.0)</f>
        <v>524</v>
      </c>
      <c r="H89" s="23" t="b">
        <v>0</v>
      </c>
      <c r="I89" s="236"/>
      <c r="J89" s="236">
        <f>MAXIFS(Inventory!D:D, Inventory!A:A, A:A)</f>
        <v>46068</v>
      </c>
      <c r="L89" s="23">
        <f>COUNTIFS(Inventory!A:A,A89,Inventory!J:J,"Open")</f>
        <v>0</v>
      </c>
    </row>
    <row r="90">
      <c r="A90" s="233" t="s">
        <v>3216</v>
      </c>
      <c r="B90" s="23" t="str">
        <f>Publishers!A71</f>
        <v>Devolver Digital</v>
      </c>
      <c r="C90" s="78">
        <f>COUNTIF(Inventory!A:A, A90)</f>
        <v>1</v>
      </c>
      <c r="D90" s="89">
        <f>IFERROR(__xludf.DUMMYFUNCTION("IFERROR(AVERAGE(FILTER(Inventory!H:H,Inventory!J:J=""Closed"",Inventory!A:A=A90)),"""")"),0.10438144329896902)</f>
        <v>0.1043814433</v>
      </c>
      <c r="E90" s="234">
        <f>IFERROR(__xludf.DUMMYFUNCTION("IFERROR(AVERAGE(FILTER(Inventory!G:G,Inventory!J:J=""Closed"",Inventory!A:A=A90)),""0"")"),0.8099999999999996)</f>
        <v>0.81</v>
      </c>
      <c r="F90" s="235">
        <f>IFERROR(__xludf.DUMMYFUNCTION("IFERROR(SUM(FILTER(Inventory!G:G,Inventory!J:J=""Closed"",Inventory!A:A=A90)),""0"")"),0.8099999999999996)</f>
        <v>0.81</v>
      </c>
      <c r="G90" s="235">
        <f>IFERROR(__xludf.DUMMYFUNCTION("IFERROR(AVERAGE(FILTER(Inventory!K:K,Inventory!J:J=""Closed"",Inventory!A:A=A90)),"""")"),62.0)</f>
        <v>62</v>
      </c>
      <c r="H90" s="23" t="b">
        <v>0</v>
      </c>
      <c r="I90" s="236"/>
      <c r="J90" s="236">
        <f>MAXIFS(Inventory!D:D, Inventory!A:A, A:A)</f>
        <v>44963</v>
      </c>
      <c r="L90" s="23">
        <f>COUNTIFS(Inventory!A:A,A90,Inventory!J:J,"Open")</f>
        <v>0</v>
      </c>
    </row>
    <row r="91">
      <c r="A91" s="233" t="s">
        <v>4173</v>
      </c>
      <c r="B91" s="23" t="str">
        <f>Publishers!A138</f>
        <v>Kepler Interactive</v>
      </c>
      <c r="C91" s="78">
        <f>COUNTIF(Inventory!A:A, A91)</f>
        <v>2</v>
      </c>
      <c r="D91" s="89">
        <f>IFERROR(__xludf.DUMMYFUNCTION("IFERROR(AVERAGE(FILTER(Inventory!H:H,Inventory!J:J=""Closed"",Inventory!A:A=A91)),"""")"),0.24305260045149982)</f>
        <v>0.2430526005</v>
      </c>
      <c r="E91" s="234">
        <f>IFERROR(__xludf.DUMMYFUNCTION("IFERROR(AVERAGE(FILTER(Inventory!G:G,Inventory!J:J=""Closed"",Inventory!A:A=A91)),""0"")"),1.585)</f>
        <v>1.585</v>
      </c>
      <c r="F91" s="235">
        <f>IFERROR(__xludf.DUMMYFUNCTION("IFERROR(SUM(FILTER(Inventory!G:G,Inventory!J:J=""Closed"",Inventory!A:A=A91)),""0"")"),3.17)</f>
        <v>3.17</v>
      </c>
      <c r="G91" s="235">
        <f>IFERROR(__xludf.DUMMYFUNCTION("IFERROR(AVERAGE(FILTER(Inventory!K:K,Inventory!J:J=""Closed"",Inventory!A:A=A91)),"""")"),12.5)</f>
        <v>12.5</v>
      </c>
      <c r="H91" s="23" t="b">
        <v>0</v>
      </c>
      <c r="I91" s="236"/>
      <c r="J91" s="236">
        <f>MAXIFS(Inventory!D:D, Inventory!A:A, A:A)</f>
        <v>45103</v>
      </c>
      <c r="L91" s="23">
        <f>COUNTIFS(Inventory!A:A,A91,Inventory!J:J,"Open")</f>
        <v>0</v>
      </c>
    </row>
    <row r="92">
      <c r="A92" s="233" t="s">
        <v>5916</v>
      </c>
      <c r="C92" s="78">
        <f>COUNTIF(Inventory!A:A, A92)</f>
        <v>2</v>
      </c>
      <c r="D92" s="89">
        <f>IFERROR(__xludf.DUMMYFUNCTION("IFERROR(AVERAGE(FILTER(Inventory!H:H,Inventory!J:J=""Closed"",Inventory!A:A=A92)),"""")"),1.0)</f>
        <v>1</v>
      </c>
      <c r="E92" s="234">
        <f>IFERROR(__xludf.DUMMYFUNCTION("IFERROR(AVERAGE(FILTER(Inventory!G:G,Inventory!J:J=""Closed"",Inventory!A:A=A92)),""0"")"),0.615)</f>
        <v>0.615</v>
      </c>
      <c r="F92" s="235">
        <f>IFERROR(__xludf.DUMMYFUNCTION("IFERROR(SUM(FILTER(Inventory!G:G,Inventory!J:J=""Closed"",Inventory!A:A=A92)),""0"")"),1.23)</f>
        <v>1.23</v>
      </c>
      <c r="G92" s="235">
        <f>IFERROR(__xludf.DUMMYFUNCTION("IFERROR(AVERAGE(FILTER(Inventory!K:K,Inventory!J:J=""Closed"",Inventory!A:A=A92)),"""")"),18.5)</f>
        <v>18.5</v>
      </c>
      <c r="H92" s="23" t="b">
        <v>0</v>
      </c>
      <c r="I92" s="236"/>
      <c r="J92" s="236"/>
      <c r="L92" s="23">
        <f>COUNTIFS(Inventory!A:A,A92,Inventory!J:J,"Open")</f>
        <v>0</v>
      </c>
    </row>
    <row r="93">
      <c r="A93" s="237" t="s">
        <v>964</v>
      </c>
      <c r="B93" s="23" t="str">
        <f>Publishers!A151</f>
        <v>LW Games</v>
      </c>
      <c r="C93" s="78">
        <f>COUNTIF(Inventory!A:A, A93)</f>
        <v>1</v>
      </c>
      <c r="D93" s="89">
        <f>IFERROR(__xludf.DUMMYFUNCTION("IFERROR(AVERAGE(FILTER(Inventory!H:H,Inventory!J:J=""Closed"",Inventory!A:A=A93)),"""")"),1.0)</f>
        <v>1</v>
      </c>
      <c r="E93" s="234">
        <f>IFERROR(__xludf.DUMMYFUNCTION("IFERROR(AVERAGE(FILTER(Inventory!G:G,Inventory!J:J=""Closed"",Inventory!A:A=A93)),""0"")"),1.18)</f>
        <v>1.18</v>
      </c>
      <c r="F93" s="235">
        <f>IFERROR(__xludf.DUMMYFUNCTION("IFERROR(SUM(FILTER(Inventory!G:G,Inventory!J:J=""Closed"",Inventory!A:A=A93)),""0"")"),1.18)</f>
        <v>1.18</v>
      </c>
      <c r="G93" s="235">
        <f>IFERROR(__xludf.DUMMYFUNCTION("IFERROR(AVERAGE(FILTER(Inventory!K:K,Inventory!J:J=""Closed"",Inventory!A:A=A93)),"""")"),336.0)</f>
        <v>336</v>
      </c>
      <c r="H93" s="23" t="b">
        <v>0</v>
      </c>
      <c r="I93" s="236"/>
      <c r="J93" s="236">
        <f>MAXIFS(Inventory!D:D, Inventory!A:A, A:A)</f>
        <v>44601</v>
      </c>
      <c r="L93" s="23">
        <f>COUNTIFS(Inventory!A:A,A93,Inventory!J:J,"Open")</f>
        <v>0</v>
      </c>
    </row>
    <row r="94">
      <c r="A94" s="233" t="s">
        <v>4957</v>
      </c>
      <c r="B94" s="23" t="str">
        <f>Publishers!A99</f>
        <v>Focus Home Interactive</v>
      </c>
      <c r="C94" s="78">
        <f>COUNTIF(Inventory!A:A, A94)</f>
        <v>1</v>
      </c>
      <c r="D94" s="89">
        <f>IFERROR(__xludf.DUMMYFUNCTION("IFERROR(AVERAGE(FILTER(Inventory!H:H,Inventory!J:J=""Closed"",Inventory!A:A=A94)),"""")"),0.004761904761904661)</f>
        <v>0.004761904762</v>
      </c>
      <c r="E94" s="234">
        <f>IFERROR(__xludf.DUMMYFUNCTION("IFERROR(AVERAGE(FILTER(Inventory!G:G,Inventory!J:J=""Closed"",Inventory!A:A=A94)),""0"")"),0.06999999999999851)</f>
        <v>0.07</v>
      </c>
      <c r="F94" s="235">
        <f>IFERROR(__xludf.DUMMYFUNCTION("IFERROR(SUM(FILTER(Inventory!G:G,Inventory!J:J=""Closed"",Inventory!A:A=A94)),""0"")"),0.06999999999999851)</f>
        <v>0.07</v>
      </c>
      <c r="G94" s="235">
        <f>IFERROR(__xludf.DUMMYFUNCTION("IFERROR(AVERAGE(FILTER(Inventory!K:K,Inventory!J:J=""Closed"",Inventory!A:A=A94)),"""")"),71.0)</f>
        <v>71</v>
      </c>
      <c r="H94" s="23" t="b">
        <v>0</v>
      </c>
      <c r="I94" s="236"/>
      <c r="J94" s="236">
        <f>MAXIFS(Inventory!D:D, Inventory!A:A, A:A)</f>
        <v>45251</v>
      </c>
      <c r="L94" s="23">
        <f>COUNTIFS(Inventory!A:A,A94,Inventory!J:J,"Open")</f>
        <v>0</v>
      </c>
    </row>
    <row r="95">
      <c r="A95" s="233" t="s">
        <v>4326</v>
      </c>
      <c r="B95" s="23" t="str">
        <f>Publishers!A63</f>
        <v>Curve Digital</v>
      </c>
      <c r="C95" s="78">
        <f>COUNTIF(Inventory!A:A, A95)</f>
        <v>1</v>
      </c>
      <c r="D95" s="89">
        <f>IFERROR(__xludf.DUMMYFUNCTION("IFERROR(AVERAGE(FILTER(Inventory!H:H,Inventory!J:J=""Closed"",Inventory!A:A=A95)),"""")"),1.0)</f>
        <v>1</v>
      </c>
      <c r="E95" s="234">
        <f>IFERROR(__xludf.DUMMYFUNCTION("IFERROR(AVERAGE(FILTER(Inventory!G:G,Inventory!J:J=""Closed"",Inventory!A:A=A95)),""0"")"),1.0)</f>
        <v>1</v>
      </c>
      <c r="F95" s="235">
        <f>IFERROR(__xludf.DUMMYFUNCTION("IFERROR(SUM(FILTER(Inventory!G:G,Inventory!J:J=""Closed"",Inventory!A:A=A95)),""0"")"),1.0)</f>
        <v>1</v>
      </c>
      <c r="G95" s="235">
        <f>IFERROR(__xludf.DUMMYFUNCTION("IFERROR(AVERAGE(FILTER(Inventory!K:K,Inventory!J:J=""Closed"",Inventory!A:A=A95)),"""")"),50.0)</f>
        <v>50</v>
      </c>
      <c r="H95" s="23" t="b">
        <v>0</v>
      </c>
      <c r="I95" s="236"/>
      <c r="J95" s="236">
        <f>MAXIFS(Inventory!D:D, Inventory!A:A, A:A)</f>
        <v>45151</v>
      </c>
      <c r="L95" s="23">
        <f>COUNTIFS(Inventory!A:A,A95,Inventory!J:J,"Open")</f>
        <v>0</v>
      </c>
    </row>
    <row r="96">
      <c r="A96" s="237" t="s">
        <v>1644</v>
      </c>
      <c r="B96" s="23" t="str">
        <f>Publishers!A258</f>
        <v>The Farm 51</v>
      </c>
      <c r="C96" s="78">
        <f>COUNTIF(Inventory!A:A, A96)</f>
        <v>1</v>
      </c>
      <c r="D96" s="89">
        <f>IFERROR(__xludf.DUMMYFUNCTION("IFERROR(AVERAGE(FILTER(Inventory!H:H,Inventory!J:J=""Closed"",Inventory!A:A=A96)),"""")"),0.04409672830725461)</f>
        <v>0.04409672831</v>
      </c>
      <c r="E96" s="234">
        <f>IFERROR(__xludf.DUMMYFUNCTION("IFERROR(AVERAGE(FILTER(Inventory!G:G,Inventory!J:J=""Closed"",Inventory!A:A=A96)),""0"")"),0.9299999999999997)</f>
        <v>0.93</v>
      </c>
      <c r="F96" s="235">
        <f>IFERROR(__xludf.DUMMYFUNCTION("IFERROR(SUM(FILTER(Inventory!G:G,Inventory!J:J=""Closed"",Inventory!A:A=A96)),""0"")"),0.9299999999999997)</f>
        <v>0.93</v>
      </c>
      <c r="G96" s="235">
        <f>IFERROR(__xludf.DUMMYFUNCTION("IFERROR(AVERAGE(FILTER(Inventory!K:K,Inventory!J:J=""Closed"",Inventory!A:A=A96)),"""")"),133.0)</f>
        <v>133</v>
      </c>
      <c r="H96" s="23" t="b">
        <v>0</v>
      </c>
      <c r="I96" s="236"/>
      <c r="J96" s="236">
        <f>MAXIFS(Inventory!D:D, Inventory!A:A, A:A)</f>
        <v>44652</v>
      </c>
      <c r="L96" s="23">
        <f>COUNTIFS(Inventory!A:A,A96,Inventory!J:J,"Open")</f>
        <v>0</v>
      </c>
    </row>
    <row r="97">
      <c r="A97" s="233" t="s">
        <v>3269</v>
      </c>
      <c r="B97" s="23" t="str">
        <f>Publishers!A65</f>
        <v>Daedalic Entertainment</v>
      </c>
      <c r="C97" s="78">
        <f>COUNTIF(Inventory!A:A, A97)</f>
        <v>3</v>
      </c>
      <c r="D97" s="89">
        <f>IFERROR(__xludf.DUMMYFUNCTION("IFERROR(AVERAGE(FILTER(Inventory!H:H,Inventory!J:J=""Closed"",Inventory!A:A=A97)),"""")"),0.2502779745776344)</f>
        <v>0.2502779746</v>
      </c>
      <c r="E97" s="234">
        <f>IFERROR(__xludf.DUMMYFUNCTION("IFERROR(AVERAGE(FILTER(Inventory!G:G,Inventory!J:J=""Closed"",Inventory!A:A=A97)),""0"")"),3.483333333333333)</f>
        <v>3.483333333</v>
      </c>
      <c r="F97" s="235">
        <f>IFERROR(__xludf.DUMMYFUNCTION("IFERROR(SUM(FILTER(Inventory!G:G,Inventory!J:J=""Closed"",Inventory!A:A=A97)),""0"")"),10.45)</f>
        <v>10.45</v>
      </c>
      <c r="G97" s="235">
        <f>IFERROR(__xludf.DUMMYFUNCTION("IFERROR(AVERAGE(FILTER(Inventory!K:K,Inventory!J:J=""Closed"",Inventory!A:A=A97)),"""")"),81.0)</f>
        <v>81</v>
      </c>
      <c r="H97" s="23" t="b">
        <v>0</v>
      </c>
      <c r="I97" s="236"/>
      <c r="J97" s="236">
        <f>MAXIFS(Inventory!D:D, Inventory!A:A, A:A)</f>
        <v>45214</v>
      </c>
      <c r="L97" s="23">
        <f>COUNTIFS(Inventory!A:A,A97,Inventory!J:J,"Open")</f>
        <v>0</v>
      </c>
    </row>
    <row r="98">
      <c r="A98" s="237" t="s">
        <v>1715</v>
      </c>
      <c r="B98" s="23" t="str">
        <f>Publishers!A69</f>
        <v>Deep Silver</v>
      </c>
      <c r="C98" s="78">
        <f>COUNTIF(Inventory!A:A, A98)</f>
        <v>3</v>
      </c>
      <c r="D98" s="89">
        <f>IFERROR(__xludf.DUMMYFUNCTION("IFERROR(AVERAGE(FILTER(Inventory!H:H,Inventory!J:J=""Closed"",Inventory!A:A=A98)),"""")"),0.1758957654723127)</f>
        <v>0.1758957655</v>
      </c>
      <c r="E98" s="234">
        <f>IFERROR(__xludf.DUMMYFUNCTION("IFERROR(AVERAGE(FILTER(Inventory!G:G,Inventory!J:J=""Closed"",Inventory!A:A=A98)),""0"")"),4.859999999999999)</f>
        <v>4.86</v>
      </c>
      <c r="F98" s="235">
        <f>IFERROR(__xludf.DUMMYFUNCTION("IFERROR(SUM(FILTER(Inventory!G:G,Inventory!J:J=""Closed"",Inventory!A:A=A98)),""0"")"),9.719999999999999)</f>
        <v>9.72</v>
      </c>
      <c r="G98" s="235">
        <f>IFERROR(__xludf.DUMMYFUNCTION("IFERROR(AVERAGE(FILTER(Inventory!K:K,Inventory!J:J=""Closed"",Inventory!A:A=A98)),"""")"),0.0)</f>
        <v>0</v>
      </c>
      <c r="H98" s="23" t="b">
        <v>0</v>
      </c>
      <c r="I98" s="236"/>
      <c r="J98" s="236">
        <f>MAXIFS(Inventory!D:D, Inventory!A:A, A:A)</f>
        <v>44533</v>
      </c>
      <c r="L98" s="23">
        <f>COUNTIFS(Inventory!A:A,A98,Inventory!J:J,"Open")</f>
        <v>1</v>
      </c>
      <c r="N98" s="239"/>
      <c r="O98" s="239"/>
    </row>
    <row r="99">
      <c r="A99" s="237" t="s">
        <v>89</v>
      </c>
      <c r="B99" s="23" t="str">
        <f>Publishers!A237</f>
        <v>Square Enix</v>
      </c>
      <c r="C99" s="78">
        <f>COUNTIF(Inventory!A:A, A99)</f>
        <v>1</v>
      </c>
      <c r="D99" s="89">
        <f>IFERROR(__xludf.DUMMYFUNCTION("IFERROR(AVERAGE(FILTER(Inventory!H:H,Inventory!J:J=""Closed"",Inventory!A:A=A99)),"""")"),0.09608091024020225)</f>
        <v>0.09608091024</v>
      </c>
      <c r="E99" s="234">
        <f>IFERROR(__xludf.DUMMYFUNCTION("IFERROR(AVERAGE(FILTER(Inventory!G:G,Inventory!J:J=""Closed"",Inventory!A:A=A99)),""0"")"),0.7599999999999998)</f>
        <v>0.76</v>
      </c>
      <c r="F99" s="235">
        <f>IFERROR(__xludf.DUMMYFUNCTION("IFERROR(SUM(FILTER(Inventory!G:G,Inventory!J:J=""Closed"",Inventory!A:A=A99)),""0"")"),0.7599999999999998)</f>
        <v>0.76</v>
      </c>
      <c r="G99" s="235">
        <f>IFERROR(__xludf.DUMMYFUNCTION("IFERROR(AVERAGE(FILTER(Inventory!K:K,Inventory!J:J=""Closed"",Inventory!A:A=A99)),"""")"),39.0)</f>
        <v>39</v>
      </c>
      <c r="H99" s="23" t="b">
        <v>0</v>
      </c>
      <c r="I99" s="236"/>
      <c r="J99" s="236">
        <f>MAXIFS(Inventory!D:D, Inventory!A:A, A:A)</f>
        <v>43992</v>
      </c>
      <c r="L99" s="23">
        <f>COUNTIFS(Inventory!A:A,A99,Inventory!J:J,"Open")</f>
        <v>0</v>
      </c>
      <c r="N99" s="239"/>
      <c r="O99" s="239"/>
    </row>
    <row r="100">
      <c r="A100" s="233" t="s">
        <v>5920</v>
      </c>
      <c r="B100" s="23" t="str">
        <f>Publishers!A188</f>
        <v>Paradox Interactive</v>
      </c>
      <c r="C100" s="78">
        <f>COUNTIF(Inventory!A:A, A100)</f>
        <v>8</v>
      </c>
      <c r="D100" s="89">
        <f>IFERROR(__xludf.DUMMYFUNCTION("IFERROR(AVERAGE(FILTER(Inventory!H:H,Inventory!J:J=""Closed"",Inventory!A:A=A100)),"""")"),0.1057477611608717)</f>
        <v>0.1057477612</v>
      </c>
      <c r="E100" s="234">
        <f>IFERROR(__xludf.DUMMYFUNCTION("IFERROR(AVERAGE(FILTER(Inventory!G:G,Inventory!J:J=""Closed"",Inventory!A:A=A100)),""0"")"),3.0262499999999983)</f>
        <v>3.02625</v>
      </c>
      <c r="F100" s="235">
        <f>IFERROR(__xludf.DUMMYFUNCTION("IFERROR(SUM(FILTER(Inventory!G:G,Inventory!J:J=""Closed"",Inventory!A:A=A100)),""0"")"),24.209999999999987)</f>
        <v>24.21</v>
      </c>
      <c r="G100" s="235">
        <f>IFERROR(__xludf.DUMMYFUNCTION("IFERROR(AVERAGE(FILTER(Inventory!K:K,Inventory!J:J=""Closed"",Inventory!A:A=A100)),"""")"),0.75)</f>
        <v>0.75</v>
      </c>
      <c r="H100" s="23" t="b">
        <v>0</v>
      </c>
      <c r="I100" s="78"/>
      <c r="J100" s="236">
        <f>MAXIFS(Inventory!D:D, Inventory!A:A, A:A)</f>
        <v>45791</v>
      </c>
      <c r="L100" s="23">
        <f>COUNTIFS(Inventory!A:A,A100,Inventory!J:J,"Open")</f>
        <v>0</v>
      </c>
    </row>
    <row r="101">
      <c r="A101" s="233" t="s">
        <v>3796</v>
      </c>
      <c r="B101" s="23" t="str">
        <f>Publishers!A95</f>
        <v>Fellow Traveller</v>
      </c>
      <c r="C101" s="78">
        <f>COUNTIF(Inventory!A:A, A101)</f>
        <v>6</v>
      </c>
      <c r="D101" s="89">
        <f>IFERROR(__xludf.DUMMYFUNCTION("IFERROR(AVERAGE(FILTER(Inventory!H:H,Inventory!J:J=""Closed"",Inventory!A:A=A101)),"""")"),0.2929701710423899)</f>
        <v>0.292970171</v>
      </c>
      <c r="E101" s="234">
        <f>IFERROR(__xludf.DUMMYFUNCTION("IFERROR(AVERAGE(FILTER(Inventory!G:G,Inventory!J:J=""Closed"",Inventory!A:A=A101)),""0"")"),3.4725)</f>
        <v>3.4725</v>
      </c>
      <c r="F101" s="235">
        <f>IFERROR(__xludf.DUMMYFUNCTION("IFERROR(SUM(FILTER(Inventory!G:G,Inventory!J:J=""Closed"",Inventory!A:A=A101)),""0"")"),13.89)</f>
        <v>13.89</v>
      </c>
      <c r="G101" s="235">
        <f>IFERROR(__xludf.DUMMYFUNCTION("IFERROR(AVERAGE(FILTER(Inventory!K:K,Inventory!J:J=""Closed"",Inventory!A:A=A101)),"""")"),31.75)</f>
        <v>31.75</v>
      </c>
      <c r="H101" s="23" t="b">
        <v>0</v>
      </c>
      <c r="I101" s="78">
        <v>12.55</v>
      </c>
      <c r="J101" s="236">
        <f>MAXIFS(Inventory!D:D, Inventory!A:A, A:A)</f>
        <v>45173</v>
      </c>
      <c r="L101" s="23">
        <f>COUNTIFS(Inventory!A:A,A101,Inventory!J:J,"Open")</f>
        <v>2</v>
      </c>
    </row>
    <row r="102">
      <c r="A102" s="237" t="s">
        <v>1849</v>
      </c>
      <c r="B102" s="23" t="str">
        <f>Publishers!A153</f>
        <v>Marmalade Game Studio</v>
      </c>
      <c r="C102" s="78">
        <f>COUNTIF(Inventory!A:A, A102)</f>
        <v>29</v>
      </c>
      <c r="D102" s="89">
        <f>IFERROR(__xludf.DUMMYFUNCTION("IFERROR(AVERAGE(FILTER(Inventory!H:H,Inventory!J:J=""Closed"",Inventory!A:A=A102)),"""")"),0.2675394329522271)</f>
        <v>0.267539433</v>
      </c>
      <c r="E102" s="234">
        <f>IFERROR(__xludf.DUMMYFUNCTION("IFERROR(AVERAGE(FILTER(Inventory!G:G,Inventory!J:J=""Closed"",Inventory!A:A=A102)),""0"")"),1.932413793103448)</f>
        <v>1.932413793</v>
      </c>
      <c r="F102" s="235">
        <f>IFERROR(__xludf.DUMMYFUNCTION("IFERROR(SUM(FILTER(Inventory!G:G,Inventory!J:J=""Closed"",Inventory!A:A=A102)),""0"")"),56.03999999999999)</f>
        <v>56.04</v>
      </c>
      <c r="G102" s="235">
        <f>IFERROR(__xludf.DUMMYFUNCTION("IFERROR(AVERAGE(FILTER(Inventory!K:K,Inventory!J:J=""Closed"",Inventory!A:A=A102)),"""")"),38.51724137931034)</f>
        <v>38.51724138</v>
      </c>
      <c r="H102" s="23" t="b">
        <v>0</v>
      </c>
      <c r="I102" s="78">
        <v>6.36</v>
      </c>
      <c r="J102" s="236">
        <f>MAXIFS(Inventory!D:D, Inventory!A:A, A:A)</f>
        <v>46046</v>
      </c>
      <c r="L102" s="23">
        <f>COUNTIFS(Inventory!A:A,A102,Inventory!J:J,"Open")</f>
        <v>0</v>
      </c>
    </row>
    <row r="103">
      <c r="A103" s="237" t="s">
        <v>559</v>
      </c>
      <c r="B103" s="23" t="str">
        <f>Publishers!A29</f>
        <v>BANDAI NAMCO</v>
      </c>
      <c r="C103" s="78">
        <f>COUNTIF(Inventory!A:A, A103)</f>
        <v>2</v>
      </c>
      <c r="D103" s="89">
        <f>IFERROR(__xludf.DUMMYFUNCTION("IFERROR(AVERAGE(FILTER(Inventory!H:H,Inventory!J:J=""Closed"",Inventory!A:A=A103)),"""")"),0.19777876814218534)</f>
        <v>0.1977787681</v>
      </c>
      <c r="E103" s="234">
        <f>IFERROR(__xludf.DUMMYFUNCTION("IFERROR(AVERAGE(FILTER(Inventory!G:G,Inventory!J:J=""Closed"",Inventory!A:A=A103)),""0"")"),4.709999999999999)</f>
        <v>4.71</v>
      </c>
      <c r="F103" s="235">
        <f>IFERROR(__xludf.DUMMYFUNCTION("IFERROR(SUM(FILTER(Inventory!G:G,Inventory!J:J=""Closed"",Inventory!A:A=A103)),""0"")"),9.419999999999998)</f>
        <v>9.42</v>
      </c>
      <c r="G103" s="235">
        <f>IFERROR(__xludf.DUMMYFUNCTION("IFERROR(AVERAGE(FILTER(Inventory!K:K,Inventory!J:J=""Closed"",Inventory!A:A=A103)),"""")"),16.0)</f>
        <v>16</v>
      </c>
      <c r="H103" s="23" t="b">
        <v>0</v>
      </c>
      <c r="I103" s="236"/>
      <c r="J103" s="236">
        <f>MAXIFS(Inventory!D:D, Inventory!A:A, A:A)</f>
        <v>44111</v>
      </c>
      <c r="L103" s="23">
        <f>COUNTIFS(Inventory!A:A,A103,Inventory!J:J,"Open")</f>
        <v>0</v>
      </c>
    </row>
    <row r="104">
      <c r="A104" s="237" t="s">
        <v>1177</v>
      </c>
      <c r="B104" s="23" t="str">
        <f>Publishers!A136</f>
        <v>Kalypso Media</v>
      </c>
      <c r="C104" s="78">
        <f>COUNTIF(Inventory!A:A, A104)</f>
        <v>1</v>
      </c>
      <c r="D104" s="89">
        <f>IFERROR(__xludf.DUMMYFUNCTION("IFERROR(AVERAGE(FILTER(Inventory!H:H,Inventory!J:J=""Closed"",Inventory!A:A=A104)),"""")"),0.15835777126099707)</f>
        <v>0.1583577713</v>
      </c>
      <c r="E104" s="234">
        <f>IFERROR(__xludf.DUMMYFUNCTION("IFERROR(AVERAGE(FILTER(Inventory!G:G,Inventory!J:J=""Closed"",Inventory!A:A=A104)),""0"")"),0.54)</f>
        <v>0.54</v>
      </c>
      <c r="F104" s="235">
        <f>IFERROR(__xludf.DUMMYFUNCTION("IFERROR(SUM(FILTER(Inventory!G:G,Inventory!J:J=""Closed"",Inventory!A:A=A104)),""0"")"),0.54)</f>
        <v>0.54</v>
      </c>
      <c r="G104" s="235">
        <f>IFERROR(__xludf.DUMMYFUNCTION("IFERROR(AVERAGE(FILTER(Inventory!K:K,Inventory!J:J=""Closed"",Inventory!A:A=A104)),"""")"),0.0)</f>
        <v>0</v>
      </c>
      <c r="H104" s="23" t="b">
        <v>0</v>
      </c>
      <c r="I104" s="236"/>
      <c r="J104" s="236">
        <f>MAXIFS(Inventory!D:D, Inventory!A:A, A:A)</f>
        <v>44352</v>
      </c>
      <c r="L104" s="23">
        <f>COUNTIFS(Inventory!A:A,A104,Inventory!J:J,"Open")</f>
        <v>0</v>
      </c>
    </row>
    <row r="105">
      <c r="A105" s="233" t="s">
        <v>5156</v>
      </c>
      <c r="B105" s="23" t="str">
        <f>Publishers!A222</f>
        <v>SEGA</v>
      </c>
      <c r="C105" s="78">
        <f>COUNTIF(Inventory!A:A, A105)</f>
        <v>10</v>
      </c>
      <c r="D105" s="89">
        <f>IFERROR(__xludf.DUMMYFUNCTION("IFERROR(AVERAGE(FILTER(Inventory!H:H,Inventory!J:J=""Closed"",Inventory!A:A=A105)),"""")"),0.20602437330823986)</f>
        <v>0.2060243733</v>
      </c>
      <c r="E105" s="234">
        <f>IFERROR(__xludf.DUMMYFUNCTION("IFERROR(AVERAGE(FILTER(Inventory!G:G,Inventory!J:J=""Closed"",Inventory!A:A=A105)),""0"")"),8.207)</f>
        <v>8.207</v>
      </c>
      <c r="F105" s="235">
        <f>IFERROR(__xludf.DUMMYFUNCTION("IFERROR(SUM(FILTER(Inventory!G:G,Inventory!J:J=""Closed"",Inventory!A:A=A105)),""0"")"),82.07000000000001)</f>
        <v>82.07</v>
      </c>
      <c r="G105" s="235">
        <f>IFERROR(__xludf.DUMMYFUNCTION("IFERROR(AVERAGE(FILTER(Inventory!K:K,Inventory!J:J=""Closed"",Inventory!A:A=A105)),"""")"),61.8)</f>
        <v>61.8</v>
      </c>
      <c r="H105" s="23" t="b">
        <v>0</v>
      </c>
      <c r="I105" s="236"/>
      <c r="J105" s="236">
        <f>MAXIFS(Inventory!D:D, Inventory!A:A, A:A)</f>
        <v>45517</v>
      </c>
      <c r="K105" s="23" t="str">
        <f t="shared" ref="K105:K106" si="1">IMAGE("https://shared.fastly.steamstatic.com/store_item_assets/steam/apps/1677280/header.jpg?t=1722417077")</f>
        <v/>
      </c>
      <c r="L105" s="23">
        <f>COUNTIFS(Inventory!A:A,A105,Inventory!J:J,"Open")</f>
        <v>0</v>
      </c>
    </row>
    <row r="106">
      <c r="A106" s="233" t="s">
        <v>9087</v>
      </c>
      <c r="B106" s="23" t="str">
        <f>Publishers!A222</f>
        <v>SEGA</v>
      </c>
      <c r="C106" s="78">
        <f>COUNTIF(Inventory!A:A, A106)</f>
        <v>4</v>
      </c>
      <c r="D106" s="89">
        <f>IFERROR(__xludf.DUMMYFUNCTION("IFERROR(AVERAGE(FILTER(Inventory!H:H,Inventory!J:J=""Closed"",Inventory!A:A=A106)),"""")"),0.5124193639101804)</f>
        <v>0.5124193639</v>
      </c>
      <c r="E106" s="234">
        <f>IFERROR(__xludf.DUMMYFUNCTION("IFERROR(AVERAGE(FILTER(Inventory!G:G,Inventory!J:J=""Closed"",Inventory!A:A=A106)),""0"")"),20.81)</f>
        <v>20.81</v>
      </c>
      <c r="F106" s="235">
        <f>IFERROR(__xludf.DUMMYFUNCTION("IFERROR(SUM(FILTER(Inventory!G:G,Inventory!J:J=""Closed"",Inventory!A:A=A106)),""0"")"),62.43)</f>
        <v>62.43</v>
      </c>
      <c r="G106" s="235">
        <f>IFERROR(__xludf.DUMMYFUNCTION("IFERROR(AVERAGE(FILTER(Inventory!K:K,Inventory!J:J=""Closed"",Inventory!A:A=A106)),"""")"),7.333333333333333)</f>
        <v>7.333333333</v>
      </c>
      <c r="H106" s="23" t="b">
        <v>0</v>
      </c>
      <c r="I106" s="236"/>
      <c r="J106" s="236">
        <f>MAXIFS(Inventory!D:D, Inventory!A:A, A:A)</f>
        <v>45961</v>
      </c>
      <c r="K106" s="23" t="str">
        <f t="shared" si="1"/>
        <v/>
      </c>
      <c r="L106" s="23">
        <f>COUNTIFS(Inventory!A:A,A106,Inventory!J:J,"Open")</f>
        <v>1</v>
      </c>
    </row>
    <row r="107">
      <c r="A107" s="233" t="s">
        <v>5098</v>
      </c>
      <c r="B107" s="23" t="str">
        <f>Publishers!A105</f>
        <v>Funcom</v>
      </c>
      <c r="C107" s="78">
        <f>COUNTIF(Inventory!A:A, A107)</f>
        <v>11</v>
      </c>
      <c r="D107" s="89">
        <f>IFERROR(__xludf.DUMMYFUNCTION("IFERROR(AVERAGE(FILTER(Inventory!H:H,Inventory!J:J=""Closed"",Inventory!A:A=A107)),"""")"),0.18234371253947013)</f>
        <v>0.1823437125</v>
      </c>
      <c r="E107" s="234">
        <f>IFERROR(__xludf.DUMMYFUNCTION("IFERROR(AVERAGE(FILTER(Inventory!G:G,Inventory!J:J=""Closed"",Inventory!A:A=A107)),""0"")"),1.2863636363636366)</f>
        <v>1.286363636</v>
      </c>
      <c r="F107" s="235">
        <f>IFERROR(__xludf.DUMMYFUNCTION("IFERROR(SUM(FILTER(Inventory!G:G,Inventory!J:J=""Closed"",Inventory!A:A=A107)),""0"")"),14.150000000000002)</f>
        <v>14.15</v>
      </c>
      <c r="G107" s="235">
        <f>IFERROR(__xludf.DUMMYFUNCTION("IFERROR(AVERAGE(FILTER(Inventory!K:K,Inventory!J:J=""Closed"",Inventory!A:A=A107)),"""")"),18.545454545454547)</f>
        <v>18.54545455</v>
      </c>
      <c r="H107" s="23" t="b">
        <v>0</v>
      </c>
      <c r="I107" s="236"/>
      <c r="J107" s="236">
        <f>MAXIFS(Inventory!D:D, Inventory!A:A, A:A)</f>
        <v>45729</v>
      </c>
      <c r="L107" s="23">
        <f>COUNTIFS(Inventory!A:A,A107,Inventory!J:J,"Open")</f>
        <v>0</v>
      </c>
    </row>
    <row r="108">
      <c r="A108" s="233" t="s">
        <v>3995</v>
      </c>
      <c r="B108" s="23" t="str">
        <f>Publishers!A25</f>
        <v>astragon Entertainment</v>
      </c>
      <c r="C108" s="78">
        <f>COUNTIF(Inventory!A:A, A108)</f>
        <v>4</v>
      </c>
      <c r="D108" s="89">
        <f>IFERROR(__xludf.DUMMYFUNCTION("IFERROR(AVERAGE(FILTER(Inventory!H:H,Inventory!J:J=""Closed"",Inventory!A:A=A108)),"""")"),0.11516582723457339)</f>
        <v>0.1151658272</v>
      </c>
      <c r="E108" s="234">
        <f>IFERROR(__xludf.DUMMYFUNCTION("IFERROR(AVERAGE(FILTER(Inventory!G:G,Inventory!J:J=""Closed"",Inventory!A:A=A108)),""0"")"),2.4799999999999995)</f>
        <v>2.48</v>
      </c>
      <c r="F108" s="235">
        <f>IFERROR(__xludf.DUMMYFUNCTION("IFERROR(SUM(FILTER(Inventory!G:G,Inventory!J:J=""Closed"",Inventory!A:A=A108)),""0"")"),9.919999999999998)</f>
        <v>9.92</v>
      </c>
      <c r="G108" s="235">
        <f>IFERROR(__xludf.DUMMYFUNCTION("IFERROR(AVERAGE(FILTER(Inventory!K:K,Inventory!J:J=""Closed"",Inventory!A:A=A108)),"""")"),5.25)</f>
        <v>5.25</v>
      </c>
      <c r="H108" s="23" t="b">
        <v>0</v>
      </c>
      <c r="I108" s="236"/>
      <c r="J108" s="236">
        <f>MAXIFS(Inventory!D:D, Inventory!A:A, A:A)</f>
        <v>45138</v>
      </c>
      <c r="L108" s="23">
        <f>COUNTIFS(Inventory!A:A,A108,Inventory!J:J,"Open")</f>
        <v>0</v>
      </c>
    </row>
    <row r="109">
      <c r="A109" s="233" t="s">
        <v>2845</v>
      </c>
      <c r="B109" s="23" t="str">
        <f>Publishers!A8</f>
        <v>505 Games</v>
      </c>
      <c r="C109" s="78">
        <f>COUNTIF(Inventory!A:A, A109)</f>
        <v>1</v>
      </c>
      <c r="D109" s="89">
        <f>IFERROR(__xludf.DUMMYFUNCTION("IFERROR(AVERAGE(FILTER(Inventory!H:H,Inventory!J:J=""Closed"",Inventory!A:A=A109)),"""")"),0.2884753042233358)</f>
        <v>0.2884753042</v>
      </c>
      <c r="E109" s="234">
        <f>IFERROR(__xludf.DUMMYFUNCTION("IFERROR(AVERAGE(FILTER(Inventory!G:G,Inventory!J:J=""Closed"",Inventory!A:A=A109)),""0"")"),4.030000000000001)</f>
        <v>4.03</v>
      </c>
      <c r="F109" s="235">
        <f>IFERROR(__xludf.DUMMYFUNCTION("IFERROR(SUM(FILTER(Inventory!G:G,Inventory!J:J=""Closed"",Inventory!A:A=A109)),""0"")"),4.030000000000001)</f>
        <v>4.03</v>
      </c>
      <c r="G109" s="235">
        <f>IFERROR(__xludf.DUMMYFUNCTION("IFERROR(AVERAGE(FILTER(Inventory!K:K,Inventory!J:J=""Closed"",Inventory!A:A=A109)),"""")"),73.0)</f>
        <v>73</v>
      </c>
      <c r="H109" s="23" t="b">
        <v>0</v>
      </c>
      <c r="I109" s="236"/>
      <c r="J109" s="236">
        <f>MAXIFS(Inventory!D:D, Inventory!A:A, A:A)</f>
        <v>44808</v>
      </c>
      <c r="L109" s="23">
        <f>COUNTIFS(Inventory!A:A,A109,Inventory!J:J,"Open")</f>
        <v>0</v>
      </c>
    </row>
    <row r="110">
      <c r="A110" s="233" t="s">
        <v>3331</v>
      </c>
      <c r="B110" s="23" t="str">
        <f>Publishers!A277</f>
        <v>Vertigo Gaming</v>
      </c>
      <c r="C110" s="78">
        <f>COUNTIF(Inventory!A:A, A110)</f>
        <v>1</v>
      </c>
      <c r="D110" s="89">
        <f>IFERROR(__xludf.DUMMYFUNCTION("IFERROR(AVERAGE(FILTER(Inventory!H:H,Inventory!J:J=""Closed"",Inventory!A:A=A110)),"""")"),1.0)</f>
        <v>1</v>
      </c>
      <c r="E110" s="234">
        <f>IFERROR(__xludf.DUMMYFUNCTION("IFERROR(AVERAGE(FILTER(Inventory!G:G,Inventory!J:J=""Closed"",Inventory!A:A=A110)),""0"")"),0.28)</f>
        <v>0.28</v>
      </c>
      <c r="F110" s="235">
        <f>IFERROR(__xludf.DUMMYFUNCTION("IFERROR(SUM(FILTER(Inventory!G:G,Inventory!J:J=""Closed"",Inventory!A:A=A110)),""0"")"),0.28)</f>
        <v>0.28</v>
      </c>
      <c r="G110" s="235">
        <f>IFERROR(__xludf.DUMMYFUNCTION("IFERROR(AVERAGE(FILTER(Inventory!K:K,Inventory!J:J=""Closed"",Inventory!A:A=A110)),"""")"),1.0)</f>
        <v>1</v>
      </c>
      <c r="H110" s="23" t="b">
        <v>0</v>
      </c>
      <c r="I110" s="236"/>
      <c r="J110" s="236">
        <f>MAXIFS(Inventory!D:D, Inventory!A:A, A:A)</f>
        <v>44954</v>
      </c>
      <c r="L110" s="23">
        <f>COUNTIFS(Inventory!A:A,A110,Inventory!J:J,"Open")</f>
        <v>0</v>
      </c>
    </row>
    <row r="111">
      <c r="A111" s="233" t="s">
        <v>2316</v>
      </c>
      <c r="B111" s="23" t="str">
        <f>Publishers!A100</f>
        <v>Freedom Games</v>
      </c>
      <c r="C111" s="78">
        <f>COUNTIF(Inventory!A:A, A111)</f>
        <v>5</v>
      </c>
      <c r="D111" s="89">
        <f>IFERROR(__xludf.DUMMYFUNCTION("IFERROR(AVERAGE(FILTER(Inventory!H:H,Inventory!J:J=""Closed"",Inventory!A:A=A111)),"""")"),0.5228717651633338)</f>
        <v>0.5228717652</v>
      </c>
      <c r="E111" s="234">
        <f>IFERROR(__xludf.DUMMYFUNCTION("IFERROR(AVERAGE(FILTER(Inventory!G:G,Inventory!J:J=""Closed"",Inventory!A:A=A111)),""0"")"),2.218)</f>
        <v>2.218</v>
      </c>
      <c r="F111" s="235">
        <f>IFERROR(__xludf.DUMMYFUNCTION("IFERROR(SUM(FILTER(Inventory!G:G,Inventory!J:J=""Closed"",Inventory!A:A=A111)),""0"")"),11.09)</f>
        <v>11.09</v>
      </c>
      <c r="G111" s="235">
        <f>IFERROR(__xludf.DUMMYFUNCTION("IFERROR(AVERAGE(FILTER(Inventory!K:K,Inventory!J:J=""Closed"",Inventory!A:A=A111)),"""")"),7.8)</f>
        <v>7.8</v>
      </c>
      <c r="H111" s="23" t="b">
        <v>0</v>
      </c>
      <c r="I111" s="236"/>
      <c r="J111" s="236">
        <f>MAXIFS(Inventory!D:D, Inventory!A:A, A:A)</f>
        <v>45923</v>
      </c>
      <c r="L111" s="23">
        <f>COUNTIFS(Inventory!A:A,A111,Inventory!J:J,"Open")</f>
        <v>0</v>
      </c>
    </row>
    <row r="112">
      <c r="A112" s="233" t="s">
        <v>4098</v>
      </c>
      <c r="B112" s="23" t="str">
        <f>Publishers!A75</f>
        <v>DolphinBarn</v>
      </c>
      <c r="C112" s="78">
        <f>COUNTIF(Inventory!A:A, A112)</f>
        <v>1</v>
      </c>
      <c r="D112" s="89">
        <f>IFERROR(__xludf.DUMMYFUNCTION("IFERROR(AVERAGE(FILTER(Inventory!H:H,Inventory!J:J=""Closed"",Inventory!A:A=A112)),"""")"),1.0)</f>
        <v>1</v>
      </c>
      <c r="E112" s="234">
        <f>IFERROR(__xludf.DUMMYFUNCTION("IFERROR(AVERAGE(FILTER(Inventory!G:G,Inventory!J:J=""Closed"",Inventory!A:A=A112)),""0"")"),2.04)</f>
        <v>2.04</v>
      </c>
      <c r="F112" s="235">
        <f>IFERROR(__xludf.DUMMYFUNCTION("IFERROR(SUM(FILTER(Inventory!G:G,Inventory!J:J=""Closed"",Inventory!A:A=A112)),""0"")"),2.04)</f>
        <v>2.04</v>
      </c>
      <c r="G112" s="235">
        <f>IFERROR(__xludf.DUMMYFUNCTION("IFERROR(AVERAGE(FILTER(Inventory!K:K,Inventory!J:J=""Closed"",Inventory!A:A=A112)),"""")"),9.0)</f>
        <v>9</v>
      </c>
      <c r="H112" s="23" t="b">
        <v>0</v>
      </c>
      <c r="I112" s="236"/>
      <c r="J112" s="236">
        <f>MAXIFS(Inventory!D:D, Inventory!A:A, A:A)</f>
        <v>45078</v>
      </c>
      <c r="L112" s="23">
        <f>COUNTIFS(Inventory!A:A,A112,Inventory!J:J,"Open")</f>
        <v>0</v>
      </c>
    </row>
    <row r="113">
      <c r="A113" s="233" t="s">
        <v>2078</v>
      </c>
      <c r="B113" s="23" t="str">
        <f>Publishers!A293</f>
        <v>Zeboyd Games</v>
      </c>
      <c r="C113" s="78">
        <f>COUNTIF(Inventory!A:A, A113)</f>
        <v>3</v>
      </c>
      <c r="D113" s="89">
        <f>IFERROR(__xludf.DUMMYFUNCTION("IFERROR(AVERAGE(FILTER(Inventory!H:H,Inventory!J:J=""Closed"",Inventory!A:A=A113)),"""")"),0.5659661107029529)</f>
        <v>0.5659661107</v>
      </c>
      <c r="E113" s="234">
        <f>IFERROR(__xludf.DUMMYFUNCTION("IFERROR(AVERAGE(FILTER(Inventory!G:G,Inventory!J:J=""Closed"",Inventory!A:A=A113)),""0"")"),1.3433333333333335)</f>
        <v>1.343333333</v>
      </c>
      <c r="F113" s="235">
        <f>IFERROR(__xludf.DUMMYFUNCTION("IFERROR(SUM(FILTER(Inventory!G:G,Inventory!J:J=""Closed"",Inventory!A:A=A113)),""0"")"),4.03)</f>
        <v>4.03</v>
      </c>
      <c r="G113" s="235">
        <f>IFERROR(__xludf.DUMMYFUNCTION("IFERROR(AVERAGE(FILTER(Inventory!K:K,Inventory!J:J=""Closed"",Inventory!A:A=A113)),"""")"),56.333333333333336)</f>
        <v>56.33333333</v>
      </c>
      <c r="H113" s="23" t="b">
        <v>0</v>
      </c>
      <c r="I113" s="236"/>
      <c r="J113" s="236">
        <f>MAXIFS(Inventory!D:D, Inventory!A:A, A:A)</f>
        <v>44708</v>
      </c>
      <c r="L113" s="23">
        <f>COUNTIFS(Inventory!A:A,A113,Inventory!J:J,"Open")</f>
        <v>0</v>
      </c>
    </row>
    <row r="114">
      <c r="A114" s="233" t="s">
        <v>10261</v>
      </c>
      <c r="B114" s="23" t="str">
        <f>Publishers!A37</f>
        <v>Black Maple Games</v>
      </c>
      <c r="C114" s="78">
        <f>COUNTIF(Inventory!A:A, A114)</f>
        <v>1</v>
      </c>
      <c r="D114" s="89">
        <f>IFERROR(__xludf.DUMMYFUNCTION("IFERROR(AVERAGE(FILTER(Inventory!H:H,Inventory!J:J=""Closed"",Inventory!A:A=A114)),"""")"),0.1287726358148893)</f>
        <v>0.1287726358</v>
      </c>
      <c r="E114" s="234">
        <f>IFERROR(__xludf.DUMMYFUNCTION("IFERROR(AVERAGE(FILTER(Inventory!G:G,Inventory!J:J=""Closed"",Inventory!A:A=A114)),""0"")"),0.6399999999999997)</f>
        <v>0.64</v>
      </c>
      <c r="F114" s="235">
        <f>IFERROR(__xludf.DUMMYFUNCTION("IFERROR(SUM(FILTER(Inventory!G:G,Inventory!J:J=""Closed"",Inventory!A:A=A114)),""0"")"),0.6399999999999997)</f>
        <v>0.64</v>
      </c>
      <c r="G114" s="235">
        <f>IFERROR(__xludf.DUMMYFUNCTION("IFERROR(AVERAGE(FILTER(Inventory!K:K,Inventory!J:J=""Closed"",Inventory!A:A=A114)),"""")"),23.0)</f>
        <v>23</v>
      </c>
      <c r="H114" s="23" t="b">
        <v>0</v>
      </c>
      <c r="I114" s="236"/>
      <c r="J114" s="236">
        <f>MAXIFS(Inventory!D:D, Inventory!A:A, A:A)</f>
        <v>44626</v>
      </c>
      <c r="L114" s="23">
        <f>COUNTIFS(Inventory!A:A,A114,Inventory!J:J,"Open")</f>
        <v>0</v>
      </c>
    </row>
    <row r="115">
      <c r="A115" s="237" t="s">
        <v>932</v>
      </c>
      <c r="B115" s="23" t="str">
        <f>Publishers!A91</f>
        <v>Excalibur Games</v>
      </c>
      <c r="C115" s="78">
        <f>COUNTIF(Inventory!A:A, A115)</f>
        <v>1</v>
      </c>
      <c r="D115" s="89">
        <f>IFERROR(__xludf.DUMMYFUNCTION("IFERROR(AVERAGE(FILTER(Inventory!H:H,Inventory!J:J=""Closed"",Inventory!A:A=A115)),"""")"),0.34679334916864607)</f>
        <v>0.3467933492</v>
      </c>
      <c r="E115" s="234">
        <f>IFERROR(__xludf.DUMMYFUNCTION("IFERROR(AVERAGE(FILTER(Inventory!G:G,Inventory!J:J=""Closed"",Inventory!A:A=A115)),""0"")"),1.46)</f>
        <v>1.46</v>
      </c>
      <c r="F115" s="235">
        <f>IFERROR(__xludf.DUMMYFUNCTION("IFERROR(SUM(FILTER(Inventory!G:G,Inventory!J:J=""Closed"",Inventory!A:A=A115)),""0"")"),1.46)</f>
        <v>1.46</v>
      </c>
      <c r="G115" s="235">
        <f>IFERROR(__xludf.DUMMYFUNCTION("IFERROR(AVERAGE(FILTER(Inventory!K:K,Inventory!J:J=""Closed"",Inventory!A:A=A115)),"""")"),40.0)</f>
        <v>40</v>
      </c>
      <c r="H115" s="23" t="b">
        <v>0</v>
      </c>
      <c r="I115" s="236"/>
      <c r="J115" s="236">
        <f>MAXIFS(Inventory!D:D, Inventory!A:A, A:A)</f>
        <v>44258</v>
      </c>
      <c r="L115" s="23">
        <f>COUNTIFS(Inventory!A:A,A115,Inventory!J:J,"Open")</f>
        <v>0</v>
      </c>
    </row>
    <row r="116">
      <c r="A116" s="237" t="s">
        <v>375</v>
      </c>
      <c r="B116" s="23" t="str">
        <f>Publishers!A249</f>
        <v>Survios</v>
      </c>
      <c r="C116" s="78">
        <f>COUNTIF(Inventory!A:A, A116)</f>
        <v>33</v>
      </c>
      <c r="D116" s="89">
        <f>IFERROR(__xludf.DUMMYFUNCTION("IFERROR(AVERAGE(FILTER(Inventory!H:H,Inventory!J:J=""Closed"",Inventory!A:A=A116)),"""")"),0.2503089834076338)</f>
        <v>0.2503089834</v>
      </c>
      <c r="E116" s="234">
        <f>IFERROR(__xludf.DUMMYFUNCTION("IFERROR(AVERAGE(FILTER(Inventory!G:G,Inventory!J:J=""Closed"",Inventory!A:A=A116)),""0"")"),1.999375)</f>
        <v>1.999375</v>
      </c>
      <c r="F116" s="235">
        <f>IFERROR(__xludf.DUMMYFUNCTION("IFERROR(SUM(FILTER(Inventory!G:G,Inventory!J:J=""Closed"",Inventory!A:A=A116)),""0"")"),63.98)</f>
        <v>63.98</v>
      </c>
      <c r="G116" s="235">
        <f>IFERROR(__xludf.DUMMYFUNCTION("IFERROR(AVERAGE(FILTER(Inventory!K:K,Inventory!J:J=""Closed"",Inventory!A:A=A116)),"""")"),22.0625)</f>
        <v>22.0625</v>
      </c>
      <c r="H116" s="78" t="b">
        <v>1</v>
      </c>
      <c r="I116" s="236"/>
      <c r="J116" s="236">
        <f>MAXIFS(Inventory!D:D, Inventory!A:A, A:A)</f>
        <v>46198</v>
      </c>
      <c r="L116" s="23">
        <f>COUNTIFS(Inventory!A:A,A116,Inventory!J:J,"Open")</f>
        <v>1</v>
      </c>
    </row>
    <row r="117">
      <c r="A117" s="233" t="s">
        <v>4448</v>
      </c>
      <c r="B117" s="23" t="str">
        <f>Publishers!A237</f>
        <v>Square Enix</v>
      </c>
      <c r="C117" s="78">
        <f>COUNTIF(Inventory!A:A, A117)</f>
        <v>2</v>
      </c>
      <c r="D117" s="89">
        <f>IFERROR(__xludf.DUMMYFUNCTION("IFERROR(AVERAGE(FILTER(Inventory!H:H,Inventory!J:J=""Closed"",Inventory!A:A=A117)),"""")"),0.04575935828877007)</f>
        <v>0.04575935829</v>
      </c>
      <c r="E117" s="234">
        <f>IFERROR(__xludf.DUMMYFUNCTION("IFERROR(AVERAGE(FILTER(Inventory!G:G,Inventory!J:J=""Closed"",Inventory!A:A=A117)),""0"")"),1.1950000000000003)</f>
        <v>1.195</v>
      </c>
      <c r="F117" s="235">
        <f>IFERROR(__xludf.DUMMYFUNCTION("IFERROR(SUM(FILTER(Inventory!G:G,Inventory!J:J=""Closed"",Inventory!A:A=A117)),""0"")"),2.3900000000000006)</f>
        <v>2.39</v>
      </c>
      <c r="G117" s="235">
        <f>IFERROR(__xludf.DUMMYFUNCTION("IFERROR(AVERAGE(FILTER(Inventory!K:K,Inventory!J:J=""Closed"",Inventory!A:A=A117)),"""")"),23.5)</f>
        <v>23.5</v>
      </c>
      <c r="H117" s="78" t="b">
        <v>0</v>
      </c>
      <c r="I117" s="236"/>
      <c r="J117" s="236">
        <f>MAXIFS(Inventory!D:D, Inventory!A:A, A:A)</f>
        <v>45440</v>
      </c>
      <c r="L117" s="23">
        <f>COUNTIFS(Inventory!A:A,A117,Inventory!J:J,"Open")</f>
        <v>0</v>
      </c>
    </row>
    <row r="118">
      <c r="A118" s="233" t="s">
        <v>5824</v>
      </c>
      <c r="B118" s="23" t="str">
        <f>Publishers!A71</f>
        <v>Devolver Digital</v>
      </c>
      <c r="C118" s="78">
        <f>COUNTIF(Inventory!A:A, A118)</f>
        <v>1</v>
      </c>
      <c r="D118" s="89" t="str">
        <f>IFERROR(__xludf.DUMMYFUNCTION("IFERROR(AVERAGE(FILTER(Inventory!H:H,Inventory!J:J=""Closed"",Inventory!A:A=A118)),"""")"),"")</f>
        <v/>
      </c>
      <c r="E118" s="234" t="str">
        <f>IFERROR(__xludf.DUMMYFUNCTION("IFERROR(AVERAGE(FILTER(Inventory!G:G,Inventory!J:J=""Closed"",Inventory!A:A=A118)),""0"")"),"0")</f>
        <v>0</v>
      </c>
      <c r="F118" s="235" t="str">
        <f>IFERROR(__xludf.DUMMYFUNCTION("IFERROR(SUM(FILTER(Inventory!G:G,Inventory!J:J=""Closed"",Inventory!A:A=A118)),""0"")"),"0")</f>
        <v>0</v>
      </c>
      <c r="G118" s="235" t="str">
        <f>IFERROR(__xludf.DUMMYFUNCTION("IFERROR(AVERAGE(FILTER(Inventory!K:K,Inventory!J:J=""Closed"",Inventory!A:A=A118)),"""")"),"")</f>
        <v/>
      </c>
      <c r="H118" s="23" t="b">
        <v>0</v>
      </c>
      <c r="I118" s="236"/>
      <c r="J118" s="236">
        <f>MAXIFS(Inventory!D:D, Inventory!A:A, A:A)</f>
        <v>0</v>
      </c>
      <c r="L118" s="23">
        <f>COUNTIFS(Inventory!A:A,A118,Inventory!J:J,"Open")</f>
        <v>1</v>
      </c>
    </row>
    <row r="119">
      <c r="A119" s="237" t="s">
        <v>1077</v>
      </c>
      <c r="B119" s="23" t="str">
        <f>Publishers!A283</f>
        <v>Weather Factory</v>
      </c>
      <c r="C119" s="78">
        <f>COUNTIF(Inventory!A:A, A119)</f>
        <v>16</v>
      </c>
      <c r="D119" s="89">
        <f>IFERROR(__xludf.DUMMYFUNCTION("IFERROR(AVERAGE(FILTER(Inventory!H:H,Inventory!J:J=""Closed"",Inventory!A:A=A119)),"""")"),0.17546208311496436)</f>
        <v>0.1754620831</v>
      </c>
      <c r="E119" s="234">
        <f>IFERROR(__xludf.DUMMYFUNCTION("IFERROR(AVERAGE(FILTER(Inventory!G:G,Inventory!J:J=""Closed"",Inventory!A:A=A119)),""0"")"),0.6350000000000001)</f>
        <v>0.635</v>
      </c>
      <c r="F119" s="235">
        <f>IFERROR(__xludf.DUMMYFUNCTION("IFERROR(SUM(FILTER(Inventory!G:G,Inventory!J:J=""Closed"",Inventory!A:A=A119)),""0"")"),10.160000000000002)</f>
        <v>10.16</v>
      </c>
      <c r="G119" s="235">
        <f>IFERROR(__xludf.DUMMYFUNCTION("IFERROR(AVERAGE(FILTER(Inventory!K:K,Inventory!J:J=""Closed"",Inventory!A:A=A119)),"""")"),4.0)</f>
        <v>4</v>
      </c>
      <c r="H119" s="23" t="b">
        <v>0</v>
      </c>
      <c r="I119" s="236"/>
      <c r="J119" s="236">
        <f>MAXIFS(Inventory!D:D, Inventory!A:A, A:A)</f>
        <v>44714</v>
      </c>
      <c r="L119" s="23">
        <f>COUNTIFS(Inventory!A:A,A119,Inventory!J:J,"Open")</f>
        <v>0</v>
      </c>
    </row>
    <row r="120">
      <c r="A120" s="233" t="s">
        <v>4073</v>
      </c>
      <c r="B120" s="23" t="str">
        <f>Publishers!A283</f>
        <v>Weather Factory</v>
      </c>
      <c r="C120" s="78">
        <f>COUNTIF(Inventory!A:A, A120)</f>
        <v>1</v>
      </c>
      <c r="D120" s="89">
        <f>IFERROR(__xludf.DUMMYFUNCTION("IFERROR(AVERAGE(FILTER(Inventory!H:H,Inventory!J:J=""Closed"",Inventory!A:A=A120)),"""")"),0.10818713450292401)</f>
        <v>0.1081871345</v>
      </c>
      <c r="E120" s="234">
        <f>IFERROR(__xludf.DUMMYFUNCTION("IFERROR(AVERAGE(FILTER(Inventory!G:G,Inventory!J:J=""Closed"",Inventory!A:A=A120)),""0"")"),0.3700000000000001)</f>
        <v>0.37</v>
      </c>
      <c r="F120" s="235">
        <f>IFERROR(__xludf.DUMMYFUNCTION("IFERROR(SUM(FILTER(Inventory!G:G,Inventory!J:J=""Closed"",Inventory!A:A=A120)),""0"")"),0.3700000000000001)</f>
        <v>0.37</v>
      </c>
      <c r="G120" s="235">
        <f>IFERROR(__xludf.DUMMYFUNCTION("IFERROR(AVERAGE(FILTER(Inventory!K:K,Inventory!J:J=""Closed"",Inventory!A:A=A120)),"""")"),1.0)</f>
        <v>1</v>
      </c>
      <c r="H120" s="23" t="b">
        <v>0</v>
      </c>
      <c r="I120" s="236"/>
      <c r="J120" s="236">
        <f>MAXIFS(Inventory!D:D, Inventory!A:A, A:A)</f>
        <v>45058</v>
      </c>
      <c r="L120" s="23">
        <f>COUNTIFS(Inventory!A:A,A120,Inventory!J:J,"Open")</f>
        <v>0</v>
      </c>
    </row>
    <row r="121">
      <c r="A121" s="233" t="s">
        <v>4658</v>
      </c>
      <c r="B121" s="23" t="str">
        <f>Publishers!A238</f>
        <v>Star Drifters</v>
      </c>
      <c r="C121" s="78">
        <f>COUNTIF(Inventory!A:A, A121)</f>
        <v>2</v>
      </c>
      <c r="D121" s="89">
        <f>IFERROR(__xludf.DUMMYFUNCTION("IFERROR(AVERAGE(FILTER(Inventory!H:H,Inventory!J:J=""Closed"",Inventory!A:A=A121)),"""")"),1.0)</f>
        <v>1</v>
      </c>
      <c r="E121" s="234">
        <f>IFERROR(__xludf.DUMMYFUNCTION("IFERROR(AVERAGE(FILTER(Inventory!G:G,Inventory!J:J=""Closed"",Inventory!A:A=A121)),""0"")"),0.26)</f>
        <v>0.26</v>
      </c>
      <c r="F121" s="235">
        <f>IFERROR(__xludf.DUMMYFUNCTION("IFERROR(SUM(FILTER(Inventory!G:G,Inventory!J:J=""Closed"",Inventory!A:A=A121)),""0"")"),0.52)</f>
        <v>0.52</v>
      </c>
      <c r="G121" s="235">
        <f>IFERROR(__xludf.DUMMYFUNCTION("IFERROR(AVERAGE(FILTER(Inventory!K:K,Inventory!J:J=""Closed"",Inventory!A:A=A121)),"""")"),27.5)</f>
        <v>27.5</v>
      </c>
      <c r="H121" s="23" t="b">
        <v>0</v>
      </c>
      <c r="I121" s="78"/>
      <c r="J121" s="236">
        <f>MAXIFS(Inventory!D:D, Inventory!A:A, A:A)</f>
        <v>45177</v>
      </c>
      <c r="L121" s="23">
        <f>COUNTIFS(Inventory!A:A,A121,Inventory!J:J,"Open")</f>
        <v>0</v>
      </c>
    </row>
    <row r="122">
      <c r="A122" s="233" t="s">
        <v>3854</v>
      </c>
      <c r="B122" s="23" t="str">
        <f>Publishers!A29</f>
        <v>BANDAI NAMCO</v>
      </c>
      <c r="C122" s="78">
        <f>COUNTIF(Inventory!A:A, A122)</f>
        <v>1</v>
      </c>
      <c r="D122" s="89">
        <f>IFERROR(__xludf.DUMMYFUNCTION("IFERROR(AVERAGE(FILTER(Inventory!H:H,Inventory!J:J=""Closed"",Inventory!A:A=A122)),"""")"),0.12598231827111975)</f>
        <v>0.1259823183</v>
      </c>
      <c r="E122" s="234">
        <f>IFERROR(__xludf.DUMMYFUNCTION("IFERROR(AVERAGE(FILTER(Inventory!G:G,Inventory!J:J=""Closed"",Inventory!A:A=A122)),""0"")"),5.1299999999999955)</f>
        <v>5.13</v>
      </c>
      <c r="F122" s="235">
        <f>IFERROR(__xludf.DUMMYFUNCTION("IFERROR(SUM(FILTER(Inventory!G:G,Inventory!J:J=""Closed"",Inventory!A:A=A122)),""0"")"),5.1299999999999955)</f>
        <v>5.13</v>
      </c>
      <c r="G122" s="235">
        <f>IFERROR(__xludf.DUMMYFUNCTION("IFERROR(AVERAGE(FILTER(Inventory!K:K,Inventory!J:J=""Closed"",Inventory!A:A=A122)),"""")"),38.0)</f>
        <v>38</v>
      </c>
      <c r="H122" s="23" t="b">
        <v>0</v>
      </c>
      <c r="I122" s="78">
        <v>42.53</v>
      </c>
      <c r="J122" s="236">
        <f>MAXIFS(Inventory!D:D, Inventory!A:A, A:A)</f>
        <v>45066</v>
      </c>
      <c r="L122" s="23">
        <f>COUNTIFS(Inventory!A:A,A122,Inventory!J:J,"Open")</f>
        <v>0</v>
      </c>
    </row>
    <row r="123">
      <c r="A123" s="237" t="s">
        <v>1167</v>
      </c>
      <c r="B123" s="23" t="str">
        <f>Publishers!A29</f>
        <v>BANDAI NAMCO</v>
      </c>
      <c r="C123" s="78">
        <f>COUNTIF(Inventory!A:A, A123)</f>
        <v>5</v>
      </c>
      <c r="D123" s="89">
        <f>IFERROR(__xludf.DUMMYFUNCTION("IFERROR(AVERAGE(FILTER(Inventory!H:H,Inventory!J:J=""Closed"",Inventory!A:A=A123)),"""")"),0.08867687807762081)</f>
        <v>0.08867687808</v>
      </c>
      <c r="E123" s="234">
        <f>IFERROR(__xludf.DUMMYFUNCTION("IFERROR(AVERAGE(FILTER(Inventory!G:G,Inventory!J:J=""Closed"",Inventory!A:A=A123)),""0"")"),2.2059999999999995)</f>
        <v>2.206</v>
      </c>
      <c r="F123" s="235">
        <f>IFERROR(__xludf.DUMMYFUNCTION("IFERROR(SUM(FILTER(Inventory!G:G,Inventory!J:J=""Closed"",Inventory!A:A=A123)),""0"")"),11.029999999999998)</f>
        <v>11.03</v>
      </c>
      <c r="G123" s="235">
        <f>IFERROR(__xludf.DUMMYFUNCTION("IFERROR(AVERAGE(FILTER(Inventory!K:K,Inventory!J:J=""Closed"",Inventory!A:A=A123)),"""")"),19.4)</f>
        <v>19.4</v>
      </c>
      <c r="H123" s="23" t="b">
        <v>0</v>
      </c>
      <c r="I123" s="236"/>
      <c r="J123" s="236">
        <f>MAXIFS(Inventory!D:D, Inventory!A:A, A:A)</f>
        <v>45318</v>
      </c>
      <c r="L123" s="23">
        <f>COUNTIFS(Inventory!A:A,A123,Inventory!J:J,"Open")</f>
        <v>0</v>
      </c>
    </row>
    <row r="124">
      <c r="A124" s="237" t="s">
        <v>660</v>
      </c>
      <c r="B124" s="23" t="str">
        <f>Publishers!A225</f>
        <v>Shiro Games</v>
      </c>
      <c r="C124" s="78">
        <f>COUNTIF(Inventory!A:A, A124)</f>
        <v>4</v>
      </c>
      <c r="D124" s="89">
        <f>IFERROR(__xludf.DUMMYFUNCTION("IFERROR(AVERAGE(FILTER(Inventory!H:H,Inventory!J:J=""Closed"",Inventory!A:A=A124)),"""")"),-1.4731269891701697)</f>
        <v>-1.473126989</v>
      </c>
      <c r="E124" s="234">
        <f>IFERROR(__xludf.DUMMYFUNCTION("IFERROR(AVERAGE(FILTER(Inventory!G:G,Inventory!J:J=""Closed"",Inventory!A:A=A124)),""0"")"),-0.39000000000000035)</f>
        <v>-0.39</v>
      </c>
      <c r="F124" s="235">
        <f>IFERROR(__xludf.DUMMYFUNCTION("IFERROR(SUM(FILTER(Inventory!G:G,Inventory!J:J=""Closed"",Inventory!A:A=A124)),""0"")"),-1.5600000000000014)</f>
        <v>-1.56</v>
      </c>
      <c r="G124" s="235">
        <f>IFERROR(__xludf.DUMMYFUNCTION("IFERROR(AVERAGE(FILTER(Inventory!K:K,Inventory!J:J=""Closed"",Inventory!A:A=A124)),"""")"),229.75)</f>
        <v>229.75</v>
      </c>
      <c r="H124" s="23" t="b">
        <v>0</v>
      </c>
      <c r="I124" s="236"/>
      <c r="J124" s="236">
        <f>MAXIFS(Inventory!D:D, Inventory!A:A, A:A)</f>
        <v>45046</v>
      </c>
      <c r="L124" s="23">
        <f>COUNTIFS(Inventory!A:A,A124,Inventory!J:J,"Open")</f>
        <v>0</v>
      </c>
    </row>
    <row r="125">
      <c r="A125" s="237" t="s">
        <v>850</v>
      </c>
      <c r="B125" s="23" t="str">
        <f>Publishers!A264</f>
        <v>THQ Nordic</v>
      </c>
      <c r="C125" s="78">
        <f>COUNTIF(Inventory!A:A, A125)</f>
        <v>1</v>
      </c>
      <c r="D125" s="89">
        <f>IFERROR(__xludf.DUMMYFUNCTION("IFERROR(AVERAGE(FILTER(Inventory!H:H,Inventory!J:J=""Closed"",Inventory!A:A=A125)),"""")"),0.20382663022256928)</f>
        <v>0.2038266302</v>
      </c>
      <c r="E125" s="234">
        <f>IFERROR(__xludf.DUMMYFUNCTION("IFERROR(AVERAGE(FILTER(Inventory!G:G,Inventory!J:J=""Closed"",Inventory!A:A=A125)),""0"")"),5.219999999999999)</f>
        <v>5.22</v>
      </c>
      <c r="F125" s="235">
        <f>IFERROR(__xludf.DUMMYFUNCTION("IFERROR(SUM(FILTER(Inventory!G:G,Inventory!J:J=""Closed"",Inventory!A:A=A125)),""0"")"),5.219999999999999)</f>
        <v>5.22</v>
      </c>
      <c r="G125" s="235">
        <f>IFERROR(__xludf.DUMMYFUNCTION("IFERROR(AVERAGE(FILTER(Inventory!K:K,Inventory!J:J=""Closed"",Inventory!A:A=A125)),"""")"),69.0)</f>
        <v>69</v>
      </c>
      <c r="H125" s="23" t="b">
        <v>0</v>
      </c>
      <c r="I125" s="236"/>
      <c r="J125" s="236">
        <f>MAXIFS(Inventory!D:D, Inventory!A:A, A:A)</f>
        <v>44250</v>
      </c>
      <c r="L125" s="23">
        <f>COUNTIFS(Inventory!A:A,A125,Inventory!J:J,"Open")</f>
        <v>0</v>
      </c>
    </row>
    <row r="126">
      <c r="A126" s="237" t="s">
        <v>714</v>
      </c>
      <c r="B126" s="23" t="str">
        <f>Publishers!A79</f>
        <v>Driven Arts</v>
      </c>
      <c r="C126" s="78">
        <f>COUNTIF(Inventory!A:A, A126)</f>
        <v>2</v>
      </c>
      <c r="D126" s="89">
        <f>IFERROR(__xludf.DUMMYFUNCTION("IFERROR(AVERAGE(FILTER(Inventory!H:H,Inventory!J:J=""Closed"",Inventory!A:A=A126)),"""")"),0.3805970149253732)</f>
        <v>0.3805970149</v>
      </c>
      <c r="E126" s="234">
        <f>IFERROR(__xludf.DUMMYFUNCTION("IFERROR(AVERAGE(FILTER(Inventory!G:G,Inventory!J:J=""Closed"",Inventory!A:A=A126)),""0"")"),0.5100000000000001)</f>
        <v>0.51</v>
      </c>
      <c r="F126" s="235">
        <f>IFERROR(__xludf.DUMMYFUNCTION("IFERROR(SUM(FILTER(Inventory!G:G,Inventory!J:J=""Closed"",Inventory!A:A=A126)),""0"")"),1.0200000000000002)</f>
        <v>1.02</v>
      </c>
      <c r="G126" s="235">
        <f>IFERROR(__xludf.DUMMYFUNCTION("IFERROR(AVERAGE(FILTER(Inventory!K:K,Inventory!J:J=""Closed"",Inventory!A:A=A126)),"""")"),2.0)</f>
        <v>2</v>
      </c>
      <c r="H126" s="23" t="b">
        <v>0</v>
      </c>
      <c r="I126" s="236"/>
      <c r="J126" s="236">
        <f>MAXIFS(Inventory!D:D, Inventory!A:A, A:A)</f>
        <v>44121</v>
      </c>
      <c r="L126" s="23">
        <f>COUNTIFS(Inventory!A:A,A126,Inventory!J:J,"Open")</f>
        <v>0</v>
      </c>
    </row>
    <row r="127">
      <c r="A127" s="237" t="s">
        <v>1001</v>
      </c>
      <c r="B127" s="23" t="str">
        <f>Publishers!A117</f>
        <v>Headup</v>
      </c>
      <c r="C127" s="78">
        <f>COUNTIF(Inventory!A:A, A127)</f>
        <v>2</v>
      </c>
      <c r="D127" s="89">
        <f>IFERROR(__xludf.DUMMYFUNCTION("IFERROR(AVERAGE(FILTER(Inventory!H:H,Inventory!J:J=""Closed"",Inventory!A:A=A127)),"""")"),0.12140588849067736)</f>
        <v>0.1214058885</v>
      </c>
      <c r="E127" s="234">
        <f>IFERROR(__xludf.DUMMYFUNCTION("IFERROR(AVERAGE(FILTER(Inventory!G:G,Inventory!J:J=""Closed"",Inventory!A:A=A127)),""0"")"),0.5700000000000003)</f>
        <v>0.57</v>
      </c>
      <c r="F127" s="235">
        <f>IFERROR(__xludf.DUMMYFUNCTION("IFERROR(SUM(FILTER(Inventory!G:G,Inventory!J:J=""Closed"",Inventory!A:A=A127)),""0"")"),1.1400000000000006)</f>
        <v>1.14</v>
      </c>
      <c r="G127" s="235">
        <f>IFERROR(__xludf.DUMMYFUNCTION("IFERROR(AVERAGE(FILTER(Inventory!K:K,Inventory!J:J=""Closed"",Inventory!A:A=A127)),"""")"),22.0)</f>
        <v>22</v>
      </c>
      <c r="H127" s="23" t="b">
        <v>0</v>
      </c>
      <c r="I127" s="236"/>
      <c r="J127" s="236">
        <f>MAXIFS(Inventory!D:D, Inventory!A:A, A:A)</f>
        <v>44302</v>
      </c>
      <c r="L127" s="23">
        <f>COUNTIFS(Inventory!A:A,A127,Inventory!J:J,"Open")</f>
        <v>0</v>
      </c>
    </row>
    <row r="128">
      <c r="A128" s="233" t="s">
        <v>9233</v>
      </c>
      <c r="B128" s="23" t="str">
        <f>Publishers!A32</f>
        <v>Behaviour Interactive</v>
      </c>
      <c r="C128" s="78">
        <f>COUNTIF(Inventory!A:A, A128)</f>
        <v>131</v>
      </c>
      <c r="D128" s="89">
        <f>IFERROR(__xludf.DUMMYFUNCTION("IFERROR(AVERAGE(FILTER(Inventory!H:H,Inventory!J:J=""Closed"",Inventory!A:A=A128)),"""")"),0.24333617656559295)</f>
        <v>0.2433361766</v>
      </c>
      <c r="E128" s="234">
        <f>IFERROR(__xludf.DUMMYFUNCTION("IFERROR(AVERAGE(FILTER(Inventory!G:G,Inventory!J:J=""Closed"",Inventory!A:A=A128)),""0"")"),3.1749999999999985)</f>
        <v>3.175</v>
      </c>
      <c r="F128" s="235">
        <f>IFERROR(__xludf.DUMMYFUNCTION("IFERROR(SUM(FILTER(Inventory!G:G,Inventory!J:J=""Closed"",Inventory!A:A=A128)),""0"")"),412.74999999999983)</f>
        <v>412.75</v>
      </c>
      <c r="G128" s="235">
        <f>IFERROR(__xludf.DUMMYFUNCTION("IFERROR(AVERAGE(FILTER(Inventory!K:K,Inventory!J:J=""Closed"",Inventory!A:A=A128)),"""")"),2.3384615384615386)</f>
        <v>2.338461538</v>
      </c>
      <c r="H128" s="23" t="b">
        <v>0</v>
      </c>
      <c r="I128" s="236"/>
      <c r="J128" s="236">
        <f>MAXIFS(Inventory!D:D, Inventory!A:A, A:A)</f>
        <v>46204</v>
      </c>
      <c r="K128" s="23" t="str">
        <f>IMAGE("https://shared.fastly.steamstatic.com/store_item_assets/steam/apps/381210/header.jpg?t=1760636583")</f>
        <v/>
      </c>
      <c r="L128" s="23">
        <f>COUNTIFS(Inventory!A:A,A128,Inventory!J:J,"Open")</f>
        <v>1</v>
      </c>
    </row>
    <row r="129">
      <c r="A129" s="233" t="s">
        <v>2726</v>
      </c>
      <c r="B129" s="23" t="str">
        <f>Publishers!A32</f>
        <v>Behaviour Interactive</v>
      </c>
      <c r="C129" s="78">
        <f>COUNTIF(Inventory!A:A, A129)</f>
        <v>3</v>
      </c>
      <c r="D129" s="89">
        <f>IFERROR(__xludf.DUMMYFUNCTION("IFERROR(AVERAGE(FILTER(Inventory!H:H,Inventory!J:J=""Closed"",Inventory!A:A=A129)),"""")"),0.4572248156549536)</f>
        <v>0.4572248157</v>
      </c>
      <c r="E129" s="234">
        <f>IFERROR(__xludf.DUMMYFUNCTION("IFERROR(AVERAGE(FILTER(Inventory!G:G,Inventory!J:J=""Closed"",Inventory!A:A=A129)),""0"")"),4.06)</f>
        <v>4.06</v>
      </c>
      <c r="F129" s="235">
        <f>IFERROR(__xludf.DUMMYFUNCTION("IFERROR(SUM(FILTER(Inventory!G:G,Inventory!J:J=""Closed"",Inventory!A:A=A129)),""0"")"),12.18)</f>
        <v>12.18</v>
      </c>
      <c r="G129" s="235">
        <f>IFERROR(__xludf.DUMMYFUNCTION("IFERROR(AVERAGE(FILTER(Inventory!K:K,Inventory!J:J=""Closed"",Inventory!A:A=A129)),"""")"),66.33333333333333)</f>
        <v>66.33333333</v>
      </c>
      <c r="H129" s="23" t="b">
        <v>0</v>
      </c>
      <c r="I129" s="236"/>
      <c r="J129" s="236">
        <f>MAXIFS(Inventory!D:D, Inventory!A:A, A:A)</f>
        <v>44920</v>
      </c>
      <c r="L129" s="23">
        <f>COUNTIFS(Inventory!A:A,A129,Inventory!J:J,"Open")</f>
        <v>0</v>
      </c>
    </row>
    <row r="130">
      <c r="A130" s="237" t="s">
        <v>403</v>
      </c>
      <c r="B130" s="23" t="str">
        <f>Publishers!A164</f>
        <v>Motion Twin</v>
      </c>
      <c r="C130" s="78">
        <f>COUNTIF(Inventory!A:A, A130)</f>
        <v>5</v>
      </c>
      <c r="D130" s="89">
        <f>IFERROR(__xludf.DUMMYFUNCTION("IFERROR(AVERAGE(FILTER(Inventory!H:H,Inventory!J:J=""Closed"",Inventory!A:A=A130)),"""")"),0.1931056432111989)</f>
        <v>0.1931056432</v>
      </c>
      <c r="E130" s="234">
        <f>IFERROR(__xludf.DUMMYFUNCTION("IFERROR(AVERAGE(FILTER(Inventory!G:G,Inventory!J:J=""Closed"",Inventory!A:A=A130)),""0"")"),2.9460000000000006)</f>
        <v>2.946</v>
      </c>
      <c r="F130" s="235">
        <f>IFERROR(__xludf.DUMMYFUNCTION("IFERROR(SUM(FILTER(Inventory!G:G,Inventory!J:J=""Closed"",Inventory!A:A=A130)),""0"")"),14.730000000000002)</f>
        <v>14.73</v>
      </c>
      <c r="G130" s="235">
        <f>IFERROR(__xludf.DUMMYFUNCTION("IFERROR(AVERAGE(FILTER(Inventory!K:K,Inventory!J:J=""Closed"",Inventory!A:A=A130)),"""")"),21.0)</f>
        <v>21</v>
      </c>
      <c r="H130" s="23" t="b">
        <v>0</v>
      </c>
      <c r="I130" s="236"/>
      <c r="J130" s="236">
        <f>MAXIFS(Inventory!D:D, Inventory!A:A, A:A)</f>
        <v>44348</v>
      </c>
      <c r="L130" s="23">
        <f>COUNTIFS(Inventory!A:A,A130,Inventory!J:J,"Open")</f>
        <v>0</v>
      </c>
    </row>
    <row r="131">
      <c r="A131" s="233" t="s">
        <v>2741</v>
      </c>
      <c r="B131" s="23" t="str">
        <f>Publishers!A47</f>
        <v>CAPCOM</v>
      </c>
      <c r="C131" s="78">
        <f>COUNTIF(Inventory!A:A, A131)</f>
        <v>2</v>
      </c>
      <c r="D131" s="89">
        <f>IFERROR(__xludf.DUMMYFUNCTION("IFERROR(AVERAGE(FILTER(Inventory!H:H,Inventory!J:J=""Closed"",Inventory!A:A=A131)),"""")"),0.1026984924623116)</f>
        <v>0.1026984925</v>
      </c>
      <c r="E131" s="234">
        <f>IFERROR(__xludf.DUMMYFUNCTION("IFERROR(AVERAGE(FILTER(Inventory!G:G,Inventory!J:J=""Closed"",Inventory!A:A=A131)),""0"")"),0.8000000000000003)</f>
        <v>0.8</v>
      </c>
      <c r="F131" s="235">
        <f>IFERROR(__xludf.DUMMYFUNCTION("IFERROR(SUM(FILTER(Inventory!G:G,Inventory!J:J=""Closed"",Inventory!A:A=A131)),""0"")"),1.6000000000000005)</f>
        <v>1.6</v>
      </c>
      <c r="G131" s="235">
        <f>IFERROR(__xludf.DUMMYFUNCTION("IFERROR(AVERAGE(FILTER(Inventory!K:K,Inventory!J:J=""Closed"",Inventory!A:A=A131)),"""")"),5.0)</f>
        <v>5</v>
      </c>
      <c r="H131" s="23" t="b">
        <v>0</v>
      </c>
      <c r="I131" s="236"/>
      <c r="J131" s="236">
        <f>MAXIFS(Inventory!D:D, Inventory!A:A, A:A)</f>
        <v>44727</v>
      </c>
      <c r="L131" s="23">
        <f>COUNTIFS(Inventory!A:A,A131,Inventory!J:J,"Open")</f>
        <v>0</v>
      </c>
      <c r="N131" s="239"/>
      <c r="O131" s="239"/>
    </row>
    <row r="132">
      <c r="A132" s="237" t="s">
        <v>1172</v>
      </c>
      <c r="B132" s="23" t="str">
        <f>Publishers!A47</f>
        <v>CAPCOM</v>
      </c>
      <c r="C132" s="78">
        <f>COUNTIF(Inventory!A:A, A132)</f>
        <v>1</v>
      </c>
      <c r="D132" s="89">
        <f>IFERROR(__xludf.DUMMYFUNCTION("IFERROR(AVERAGE(FILTER(Inventory!H:H,Inventory!J:J=""Closed"",Inventory!A:A=A132)),"""")"),0.16395494367959956)</f>
        <v>0.1639549437</v>
      </c>
      <c r="E132" s="234">
        <f>IFERROR(__xludf.DUMMYFUNCTION("IFERROR(AVERAGE(FILTER(Inventory!G:G,Inventory!J:J=""Closed"",Inventory!A:A=A132)),""0"")"),1.3100000000000005)</f>
        <v>1.31</v>
      </c>
      <c r="F132" s="235">
        <f>IFERROR(__xludf.DUMMYFUNCTION("IFERROR(SUM(FILTER(Inventory!G:G,Inventory!J:J=""Closed"",Inventory!A:A=A132)),""0"")"),1.3100000000000005)</f>
        <v>1.31</v>
      </c>
      <c r="G132" s="235">
        <f>IFERROR(__xludf.DUMMYFUNCTION("IFERROR(AVERAGE(FILTER(Inventory!K:K,Inventory!J:J=""Closed"",Inventory!A:A=A132)),"""")"),18.0)</f>
        <v>18</v>
      </c>
      <c r="H132" s="23" t="b">
        <v>0</v>
      </c>
      <c r="I132" s="236"/>
      <c r="J132" s="236">
        <f>MAXIFS(Inventory!D:D, Inventory!A:A, A:A)</f>
        <v>44369</v>
      </c>
      <c r="L132" s="23">
        <f>COUNTIFS(Inventory!A:A,A132,Inventory!J:J,"Open")</f>
        <v>0</v>
      </c>
      <c r="N132" s="239"/>
      <c r="O132" s="239"/>
    </row>
    <row r="133">
      <c r="A133" s="233" t="s">
        <v>7814</v>
      </c>
      <c r="B133" s="23" t="str">
        <f>Publishers!A83</f>
        <v>Electronic Arts</v>
      </c>
      <c r="C133" s="78">
        <f>COUNTIF(Inventory!A:A, A133)</f>
        <v>60</v>
      </c>
      <c r="D133" s="89">
        <f>IFERROR(__xludf.DUMMYFUNCTION("IFERROR(AVERAGE(FILTER(Inventory!H:H,Inventory!J:J=""Closed"",Inventory!A:A=A133)),"""")"),0.2146834208328211)</f>
        <v>0.2146834208</v>
      </c>
      <c r="E133" s="234">
        <f>IFERROR(__xludf.DUMMYFUNCTION("IFERROR(AVERAGE(FILTER(Inventory!G:G,Inventory!J:J=""Closed"",Inventory!A:A=A133)),""0"")"),8.034666666666668)</f>
        <v>8.034666667</v>
      </c>
      <c r="F133" s="235">
        <f>IFERROR(__xludf.DUMMYFUNCTION("IFERROR(SUM(FILTER(Inventory!G:G,Inventory!J:J=""Closed"",Inventory!A:A=A133)),""0"")"),482.0800000000001)</f>
        <v>482.08</v>
      </c>
      <c r="G133" s="235">
        <f>IFERROR(__xludf.DUMMYFUNCTION("IFERROR(AVERAGE(FILTER(Inventory!K:K,Inventory!J:J=""Closed"",Inventory!A:A=A133)),"""")"),10.266666666666667)</f>
        <v>10.26666667</v>
      </c>
      <c r="H133" s="23" t="b">
        <v>0</v>
      </c>
      <c r="I133" s="236"/>
      <c r="J133" s="236">
        <f>MAXIFS(Inventory!D:D, Inventory!A:A, A:A)</f>
        <v>46075</v>
      </c>
      <c r="K133" s="23" t="str">
        <f>IMAGE("https://shared.fastly.steamstatic.com/store_item_assets/steam/apps/2164210/header.jpg?t=1675793659")</f>
        <v/>
      </c>
      <c r="L133" s="23">
        <f>COUNTIFS(Inventory!A:A,A133,Inventory!J:J,"Open")</f>
        <v>0</v>
      </c>
      <c r="N133" s="239"/>
      <c r="O133" s="239"/>
    </row>
    <row r="134">
      <c r="A134" s="233" t="s">
        <v>3054</v>
      </c>
      <c r="B134" s="23" t="str">
        <f>Publishers!A71</f>
        <v>Devolver Digital</v>
      </c>
      <c r="C134" s="78">
        <f>COUNTIF(Inventory!A:A, A134)</f>
        <v>1</v>
      </c>
      <c r="D134" s="89">
        <f>IFERROR(__xludf.DUMMYFUNCTION("IFERROR(AVERAGE(FILTER(Inventory!H:H,Inventory!J:J=""Closed"",Inventory!A:A=A134)),"""")"),0.11391492429704399)</f>
        <v>0.1139149243</v>
      </c>
      <c r="E134" s="234">
        <f>IFERROR(__xludf.DUMMYFUNCTION("IFERROR(AVERAGE(FILTER(Inventory!G:G,Inventory!J:J=""Closed"",Inventory!A:A=A134)),""0"")"),1.58)</f>
        <v>1.58</v>
      </c>
      <c r="F134" s="235">
        <f>IFERROR(__xludf.DUMMYFUNCTION("IFERROR(SUM(FILTER(Inventory!G:G,Inventory!J:J=""Closed"",Inventory!A:A=A134)),""0"")"),1.58)</f>
        <v>1.58</v>
      </c>
      <c r="G134" s="235">
        <f>IFERROR(__xludf.DUMMYFUNCTION("IFERROR(AVERAGE(FILTER(Inventory!K:K,Inventory!J:J=""Closed"",Inventory!A:A=A134)),"""")"),15.0)</f>
        <v>15</v>
      </c>
      <c r="H134" s="78" t="b">
        <v>0</v>
      </c>
      <c r="I134" s="78">
        <v>16.3</v>
      </c>
      <c r="J134" s="236">
        <f>MAXIFS(Inventory!D:D, Inventory!A:A, A:A)</f>
        <v>44835</v>
      </c>
      <c r="L134" s="23">
        <f>COUNTIFS(Inventory!A:A,A134,Inventory!J:J,"Open")</f>
        <v>0</v>
      </c>
      <c r="N134" s="239"/>
      <c r="O134" s="239"/>
    </row>
    <row r="135">
      <c r="A135" s="237" t="s">
        <v>1596</v>
      </c>
      <c r="B135" s="23" t="str">
        <f>Publishers!A8</f>
        <v>505 Games</v>
      </c>
      <c r="C135" s="78">
        <f>COUNTIF(Inventory!A:A, A135)</f>
        <v>26</v>
      </c>
      <c r="D135" s="89">
        <f>IFERROR(__xludf.DUMMYFUNCTION("IFERROR(AVERAGE(FILTER(Inventory!H:H,Inventory!J:J=""Closed"",Inventory!A:A=A135)),"""")"),0.20918941944026456)</f>
        <v>0.2091894194</v>
      </c>
      <c r="E135" s="234">
        <f>IFERROR(__xludf.DUMMYFUNCTION("IFERROR(AVERAGE(FILTER(Inventory!G:G,Inventory!J:J=""Closed"",Inventory!A:A=A135)),""0"")"),6.2103846153846165)</f>
        <v>6.210384615</v>
      </c>
      <c r="F135" s="235">
        <f>IFERROR(__xludf.DUMMYFUNCTION("IFERROR(SUM(FILTER(Inventory!G:G,Inventory!J:J=""Closed"",Inventory!A:A=A135)),""0"")"),161.47000000000003)</f>
        <v>161.47</v>
      </c>
      <c r="G135" s="235">
        <f>IFERROR(__xludf.DUMMYFUNCTION("IFERROR(AVERAGE(FILTER(Inventory!K:K,Inventory!J:J=""Closed"",Inventory!A:A=A135)),"""")"),20.76923076923077)</f>
        <v>20.76923077</v>
      </c>
      <c r="H135" s="78" t="b">
        <v>1</v>
      </c>
      <c r="I135" s="78">
        <v>46.21</v>
      </c>
      <c r="J135" s="236">
        <f>MAXIFS(Inventory!D:D, Inventory!A:A, A:A)</f>
        <v>45428</v>
      </c>
      <c r="K135" s="23" t="str">
        <f>IMAGE("https://clan.akamai.steamstatic.com/images/36149007/542105032e437e2ef1ad4459767f3a6adabae391.png")</f>
        <v/>
      </c>
      <c r="L135" s="23">
        <f>COUNTIFS(Inventory!A:A,A135,Inventory!J:J,"Open")</f>
        <v>0</v>
      </c>
      <c r="N135" s="239"/>
      <c r="O135" s="239"/>
    </row>
    <row r="136">
      <c r="A136" s="233" t="s">
        <v>2998</v>
      </c>
      <c r="B136" s="23" t="str">
        <f>Publishers!A8</f>
        <v>505 Games</v>
      </c>
      <c r="C136" s="78">
        <f>COUNTIF(Inventory!A:A, A136)</f>
        <v>4</v>
      </c>
      <c r="D136" s="89">
        <f>IFERROR(__xludf.DUMMYFUNCTION("IFERROR(AVERAGE(FILTER(Inventory!H:H,Inventory!J:J=""Closed"",Inventory!A:A=A136)),"""")"),0.13897728336582552)</f>
        <v>0.1389772834</v>
      </c>
      <c r="E136" s="234">
        <f>IFERROR(__xludf.DUMMYFUNCTION("IFERROR(AVERAGE(FILTER(Inventory!G:G,Inventory!J:J=""Closed"",Inventory!A:A=A136)),""0"")"),3.255000000000001)</f>
        <v>3.255</v>
      </c>
      <c r="F136" s="235">
        <f>IFERROR(__xludf.DUMMYFUNCTION("IFERROR(SUM(FILTER(Inventory!G:G,Inventory!J:J=""Closed"",Inventory!A:A=A136)),""0"")"),13.020000000000003)</f>
        <v>13.02</v>
      </c>
      <c r="G136" s="235">
        <f>IFERROR(__xludf.DUMMYFUNCTION("IFERROR(AVERAGE(FILTER(Inventory!K:K,Inventory!J:J=""Closed"",Inventory!A:A=A136)),"""")"),168.5)</f>
        <v>168.5</v>
      </c>
      <c r="H136" s="23" t="b">
        <v>0</v>
      </c>
      <c r="I136" s="78">
        <v>22.38</v>
      </c>
      <c r="J136" s="236">
        <f>MAXIFS(Inventory!D:D, Inventory!A:A, A:A)</f>
        <v>45618</v>
      </c>
      <c r="L136" s="23">
        <f>COUNTIFS(Inventory!A:A,A136,Inventory!J:J,"Open")</f>
        <v>0</v>
      </c>
    </row>
    <row r="137">
      <c r="A137" s="237" t="s">
        <v>1333</v>
      </c>
      <c r="B137" s="23" t="str">
        <f>Publishers!A8</f>
        <v>505 Games</v>
      </c>
      <c r="C137" s="78">
        <f>COUNTIF(Inventory!A:A, A137)</f>
        <v>4</v>
      </c>
      <c r="D137" s="89">
        <f>IFERROR(__xludf.DUMMYFUNCTION("IFERROR(AVERAGE(FILTER(Inventory!H:H,Inventory!J:J=""Closed"",Inventory!A:A=A137)),"""")"),0.1814924085614995)</f>
        <v>0.1814924086</v>
      </c>
      <c r="E137" s="234">
        <f>IFERROR(__xludf.DUMMYFUNCTION("IFERROR(AVERAGE(FILTER(Inventory!G:G,Inventory!J:J=""Closed"",Inventory!A:A=A137)),""0"")"),6.004999999999999)</f>
        <v>6.005</v>
      </c>
      <c r="F137" s="235">
        <f>IFERROR(__xludf.DUMMYFUNCTION("IFERROR(SUM(FILTER(Inventory!G:G,Inventory!J:J=""Closed"",Inventory!A:A=A137)),""0"")"),24.019999999999996)</f>
        <v>24.02</v>
      </c>
      <c r="G137" s="235">
        <f>IFERROR(__xludf.DUMMYFUNCTION("IFERROR(AVERAGE(FILTER(Inventory!K:K,Inventory!J:J=""Closed"",Inventory!A:A=A137)),"""")"),67.0)</f>
        <v>67</v>
      </c>
      <c r="H137" s="23" t="b">
        <v>0</v>
      </c>
      <c r="I137" s="236"/>
      <c r="J137" s="236">
        <f>MAXIFS(Inventory!D:D, Inventory!A:A, A:A)</f>
        <v>45271</v>
      </c>
      <c r="L137" s="23">
        <f>COUNTIFS(Inventory!A:A,A137,Inventory!J:J,"Open")</f>
        <v>0</v>
      </c>
    </row>
    <row r="138">
      <c r="A138" s="233" t="s">
        <v>3760</v>
      </c>
      <c r="B138" s="23" t="str">
        <f>Publishers!A273</f>
        <v>Tripwire Presents</v>
      </c>
      <c r="C138" s="78">
        <f>COUNTIF(Inventory!A:A, A138)</f>
        <v>1</v>
      </c>
      <c r="D138" s="89" t="str">
        <f>IFERROR(__xludf.DUMMYFUNCTION("IFERROR(AVERAGE(FILTER(Inventory!H:H,Inventory!J:J=""Closed"",Inventory!A:A=A138)),"""")"),"")</f>
        <v/>
      </c>
      <c r="E138" s="234" t="str">
        <f>IFERROR(__xludf.DUMMYFUNCTION("IFERROR(AVERAGE(FILTER(Inventory!G:G,Inventory!J:J=""Closed"",Inventory!A:A=A138)),""0"")"),"0")</f>
        <v>0</v>
      </c>
      <c r="F138" s="235" t="str">
        <f>IFERROR(__xludf.DUMMYFUNCTION("IFERROR(SUM(FILTER(Inventory!G:G,Inventory!J:J=""Closed"",Inventory!A:A=A138)),""0"")"),"0")</f>
        <v>0</v>
      </c>
      <c r="G138" s="235" t="str">
        <f>IFERROR(__xludf.DUMMYFUNCTION("IFERROR(AVERAGE(FILTER(Inventory!K:K,Inventory!J:J=""Closed"",Inventory!A:A=A138)),"""")"),"")</f>
        <v/>
      </c>
      <c r="H138" s="23" t="b">
        <v>0</v>
      </c>
      <c r="I138" s="236"/>
      <c r="J138" s="236">
        <f>MAXIFS(Inventory!D:D, Inventory!A:A, A:A)</f>
        <v>0</v>
      </c>
      <c r="L138" s="23">
        <f>COUNTIFS(Inventory!A:A,A138,Inventory!J:J,"Open")</f>
        <v>1</v>
      </c>
    </row>
    <row r="139">
      <c r="A139" s="237" t="s">
        <v>221</v>
      </c>
      <c r="B139" s="23" t="str">
        <f>Publishers!A285</f>
        <v>Wired Productions</v>
      </c>
      <c r="C139" s="78">
        <f>COUNTIF(Inventory!A:A, A139)</f>
        <v>9</v>
      </c>
      <c r="D139" s="89">
        <f>IFERROR(__xludf.DUMMYFUNCTION("IFERROR(AVERAGE(FILTER(Inventory!H:H,Inventory!J:J=""Closed"",Inventory!A:A=A139)),"""")"),0.34408788141942315)</f>
        <v>0.3440878814</v>
      </c>
      <c r="E139" s="234">
        <f>IFERROR(__xludf.DUMMYFUNCTION("IFERROR(AVERAGE(FILTER(Inventory!G:G,Inventory!J:J=""Closed"",Inventory!A:A=A139)),""0"")"),3.5633333333333335)</f>
        <v>3.563333333</v>
      </c>
      <c r="F139" s="235">
        <f>IFERROR(__xludf.DUMMYFUNCTION("IFERROR(SUM(FILTER(Inventory!G:G,Inventory!J:J=""Closed"",Inventory!A:A=A139)),""0"")"),32.07)</f>
        <v>32.07</v>
      </c>
      <c r="G139" s="235">
        <f>IFERROR(__xludf.DUMMYFUNCTION("IFERROR(AVERAGE(FILTER(Inventory!K:K,Inventory!J:J=""Closed"",Inventory!A:A=A139)),"""")"),10.555555555555555)</f>
        <v>10.55555556</v>
      </c>
      <c r="H139" s="23" t="b">
        <v>0</v>
      </c>
      <c r="I139" s="236"/>
      <c r="J139" s="236">
        <f>MAXIFS(Inventory!D:D, Inventory!A:A, A:A)</f>
        <v>44743</v>
      </c>
      <c r="L139" s="23">
        <f>COUNTIFS(Inventory!A:A,A139,Inventory!J:J,"Open")</f>
        <v>0</v>
      </c>
    </row>
    <row r="140">
      <c r="A140" s="237" t="s">
        <v>1707</v>
      </c>
      <c r="B140" s="23" t="str">
        <f>Publishers!A222</f>
        <v>SEGA</v>
      </c>
      <c r="C140" s="78">
        <f>COUNTIF(Inventory!A:A, A140)</f>
        <v>1</v>
      </c>
      <c r="D140" s="89">
        <f>IFERROR(__xludf.DUMMYFUNCTION("IFERROR(AVERAGE(FILTER(Inventory!H:H,Inventory!J:J=""Closed"",Inventory!A:A=A140)),"""")"),0.2390643274853801)</f>
        <v>0.2390643275</v>
      </c>
      <c r="E140" s="234">
        <f>IFERROR(__xludf.DUMMYFUNCTION("IFERROR(AVERAGE(FILTER(Inventory!G:G,Inventory!J:J=""Closed"",Inventory!A:A=A140)),""0"")"),10.219999999999999)</f>
        <v>10.22</v>
      </c>
      <c r="F140" s="235">
        <f>IFERROR(__xludf.DUMMYFUNCTION("IFERROR(SUM(FILTER(Inventory!G:G,Inventory!J:J=""Closed"",Inventory!A:A=A140)),""0"")"),10.219999999999999)</f>
        <v>10.22</v>
      </c>
      <c r="G140" s="235">
        <f>IFERROR(__xludf.DUMMYFUNCTION("IFERROR(AVERAGE(FILTER(Inventory!K:K,Inventory!J:J=""Closed"",Inventory!A:A=A140)),"""")"),6.0)</f>
        <v>6</v>
      </c>
      <c r="H140" s="23" t="b">
        <v>0</v>
      </c>
      <c r="I140" s="236"/>
      <c r="J140" s="236">
        <f>MAXIFS(Inventory!D:D, Inventory!A:A, A:A)</f>
        <v>44534</v>
      </c>
      <c r="K140" s="23" t="str">
        <f>IMAGE("https://shared.akamai.steamstatic.com/store_item_assets/steam/apps/1490890/header.jpg?t=1718862754")</f>
        <v/>
      </c>
      <c r="L140" s="23">
        <f>COUNTIFS(Inventory!A:A,A140,Inventory!J:J,"Open")</f>
        <v>0</v>
      </c>
    </row>
    <row r="141">
      <c r="A141" s="237" t="s">
        <v>1790</v>
      </c>
      <c r="B141" s="23" t="str">
        <f>Publishers!A222</f>
        <v>SEGA</v>
      </c>
      <c r="C141" s="78">
        <f>COUNTIF(Inventory!A:A, A141)</f>
        <v>1</v>
      </c>
      <c r="D141" s="89">
        <f>IFERROR(__xludf.DUMMYFUNCTION("IFERROR(AVERAGE(FILTER(Inventory!H:H,Inventory!J:J=""Closed"",Inventory!A:A=A141)),"""")"),0.1406613879832324)</f>
        <v>0.140661388</v>
      </c>
      <c r="E141" s="234">
        <f>IFERROR(__xludf.DUMMYFUNCTION("IFERROR(AVERAGE(FILTER(Inventory!G:G,Inventory!J:J=""Closed"",Inventory!A:A=A141)),""0"")"),6.039999999999999)</f>
        <v>6.04</v>
      </c>
      <c r="F141" s="235">
        <f>IFERROR(__xludf.DUMMYFUNCTION("IFERROR(SUM(FILTER(Inventory!G:G,Inventory!J:J=""Closed"",Inventory!A:A=A141)),""0"")"),6.039999999999999)</f>
        <v>6.04</v>
      </c>
      <c r="G141" s="235">
        <f>IFERROR(__xludf.DUMMYFUNCTION("IFERROR(AVERAGE(FILTER(Inventory!K:K,Inventory!J:J=""Closed"",Inventory!A:A=A141)),"""")"),22.0)</f>
        <v>22</v>
      </c>
      <c r="H141" s="23" t="b">
        <v>0</v>
      </c>
      <c r="I141" s="236"/>
      <c r="J141" s="236">
        <f>MAXIFS(Inventory!D:D, Inventory!A:A, A:A)</f>
        <v>44577</v>
      </c>
      <c r="L141" s="23">
        <f>COUNTIFS(Inventory!A:A,A141,Inventory!J:J,"Open")</f>
        <v>0</v>
      </c>
    </row>
    <row r="142">
      <c r="A142" s="237" t="s">
        <v>1114</v>
      </c>
      <c r="B142" s="23" t="str">
        <f>Publishers!A65</f>
        <v>Daedalic Entertainment</v>
      </c>
      <c r="C142" s="78">
        <f>COUNTIF(Inventory!A:A, A142)</f>
        <v>1</v>
      </c>
      <c r="D142" s="89">
        <f>IFERROR(__xludf.DUMMYFUNCTION("IFERROR(AVERAGE(FILTER(Inventory!H:H,Inventory!J:J=""Closed"",Inventory!A:A=A142)),"""")"),1.0)</f>
        <v>1</v>
      </c>
      <c r="E142" s="234">
        <f>IFERROR(__xludf.DUMMYFUNCTION("IFERROR(AVERAGE(FILTER(Inventory!G:G,Inventory!J:J=""Closed"",Inventory!A:A=A142)),""0"")"),0.46)</f>
        <v>0.46</v>
      </c>
      <c r="F142" s="235">
        <f>IFERROR(__xludf.DUMMYFUNCTION("IFERROR(SUM(FILTER(Inventory!G:G,Inventory!J:J=""Closed"",Inventory!A:A=A142)),""0"")"),0.46)</f>
        <v>0.46</v>
      </c>
      <c r="G142" s="235">
        <f>IFERROR(__xludf.DUMMYFUNCTION("IFERROR(AVERAGE(FILTER(Inventory!K:K,Inventory!J:J=""Closed"",Inventory!A:A=A142)),"""")"),5.0)</f>
        <v>5</v>
      </c>
      <c r="H142" s="23" t="b">
        <v>0</v>
      </c>
      <c r="I142" s="236"/>
      <c r="J142" s="236">
        <f>MAXIFS(Inventory!D:D, Inventory!A:A, A:A)</f>
        <v>44331</v>
      </c>
      <c r="L142" s="23">
        <f>COUNTIFS(Inventory!A:A,A142,Inventory!J:J,"Open")</f>
        <v>0</v>
      </c>
    </row>
    <row r="143">
      <c r="A143" s="237" t="s">
        <v>1725</v>
      </c>
      <c r="B143" s="23" t="str">
        <f>Publishers!A43</f>
        <v>Bungie</v>
      </c>
      <c r="C143" s="78">
        <f>COUNTIF(Inventory!A:A, A143)</f>
        <v>1</v>
      </c>
      <c r="D143" s="89">
        <f>IFERROR(__xludf.DUMMYFUNCTION("IFERROR(AVERAGE(FILTER(Inventory!H:H,Inventory!J:J=""Closed"",Inventory!A:A=A143)),"""")"),0.11421319796954309)</f>
        <v>0.114213198</v>
      </c>
      <c r="E143" s="234">
        <f>IFERROR(__xludf.DUMMYFUNCTION("IFERROR(AVERAGE(FILTER(Inventory!G:G,Inventory!J:J=""Closed"",Inventory!A:A=A143)),""0"")"),1.799999999999999)</f>
        <v>1.8</v>
      </c>
      <c r="F143" s="235">
        <f>IFERROR(__xludf.DUMMYFUNCTION("IFERROR(SUM(FILTER(Inventory!G:G,Inventory!J:J=""Closed"",Inventory!A:A=A143)),""0"")"),1.799999999999999)</f>
        <v>1.8</v>
      </c>
      <c r="G143" s="235">
        <f>IFERROR(__xludf.DUMMYFUNCTION("IFERROR(AVERAGE(FILTER(Inventory!K:K,Inventory!J:J=""Closed"",Inventory!A:A=A143)),"""")"),0.0)</f>
        <v>0</v>
      </c>
      <c r="H143" s="23" t="b">
        <v>0</v>
      </c>
      <c r="I143" s="236"/>
      <c r="J143" s="236">
        <f>MAXIFS(Inventory!D:D, Inventory!A:A, A:A)</f>
        <v>44540</v>
      </c>
      <c r="L143" s="23">
        <f>COUNTIFS(Inventory!A:A,A143,Inventory!J:J,"Open")</f>
        <v>0</v>
      </c>
    </row>
    <row r="144">
      <c r="A144" s="237" t="s">
        <v>784</v>
      </c>
      <c r="B144" s="23" t="str">
        <f>Publishers!A43</f>
        <v>Bungie</v>
      </c>
      <c r="C144" s="78">
        <f>COUNTIF(Inventory!A:A, A144)</f>
        <v>1</v>
      </c>
      <c r="D144" s="89">
        <f>IFERROR(__xludf.DUMMYFUNCTION("IFERROR(AVERAGE(FILTER(Inventory!H:H,Inventory!J:J=""Closed"",Inventory!A:A=A144)),"""")"),0.19442165709598025)</f>
        <v>0.1944216571</v>
      </c>
      <c r="E144" s="234">
        <f>IFERROR(__xludf.DUMMYFUNCTION("IFERROR(AVERAGE(FILTER(Inventory!G:G,Inventory!J:J=""Closed"",Inventory!A:A=A144)),""0"")"),2.369999999999999)</f>
        <v>2.37</v>
      </c>
      <c r="F144" s="235">
        <f>IFERROR(__xludf.DUMMYFUNCTION("IFERROR(SUM(FILTER(Inventory!G:G,Inventory!J:J=""Closed"",Inventory!A:A=A144)),""0"")"),2.369999999999999)</f>
        <v>2.37</v>
      </c>
      <c r="G144" s="235">
        <f>IFERROR(__xludf.DUMMYFUNCTION("IFERROR(AVERAGE(FILTER(Inventory!K:K,Inventory!J:J=""Closed"",Inventory!A:A=A144)),"""")"),108.0)</f>
        <v>108</v>
      </c>
      <c r="H144" s="23" t="b">
        <v>0</v>
      </c>
      <c r="I144" s="236"/>
      <c r="J144" s="236">
        <f>MAXIFS(Inventory!D:D, Inventory!A:A, A:A)</f>
        <v>44267</v>
      </c>
      <c r="L144" s="23">
        <f>COUNTIFS(Inventory!A:A,A144,Inventory!J:J,"Open")</f>
        <v>0</v>
      </c>
    </row>
    <row r="145">
      <c r="A145" s="233" t="s">
        <v>2127</v>
      </c>
      <c r="B145" s="23" t="str">
        <f>Publishers!A43</f>
        <v>Bungie</v>
      </c>
      <c r="C145" s="78">
        <f>COUNTIF(Inventory!A:A, A145)</f>
        <v>95</v>
      </c>
      <c r="D145" s="89">
        <f>IFERROR(__xludf.DUMMYFUNCTION("IFERROR(AVERAGE(FILTER(Inventory!H:H,Inventory!J:J=""Closed"",Inventory!A:A=A145)),"""")"),0.16923138593415987)</f>
        <v>0.1692313859</v>
      </c>
      <c r="E145" s="234">
        <f>IFERROR(__xludf.DUMMYFUNCTION("IFERROR(AVERAGE(FILTER(Inventory!G:G,Inventory!J:J=""Closed"",Inventory!A:A=A145)),""0"")"),4.9811578947368425)</f>
        <v>4.981157895</v>
      </c>
      <c r="F145" s="235">
        <f>IFERROR(__xludf.DUMMYFUNCTION("IFERROR(SUM(FILTER(Inventory!G:G,Inventory!J:J=""Closed"",Inventory!A:A=A145)),""0"")"),473.21000000000004)</f>
        <v>473.21</v>
      </c>
      <c r="G145" s="235">
        <f>IFERROR(__xludf.DUMMYFUNCTION("IFERROR(AVERAGE(FILTER(Inventory!K:K,Inventory!J:J=""Closed"",Inventory!A:A=A145)),"""")"),5.5473684210526315)</f>
        <v>5.547368421</v>
      </c>
      <c r="H145" s="78" t="b">
        <v>1</v>
      </c>
      <c r="I145" s="236"/>
      <c r="J145" s="236">
        <f>MAXIFS(Inventory!D:D, Inventory!A:A, A:A)</f>
        <v>44968</v>
      </c>
      <c r="K145" s="23" t="str">
        <f>IMAGE("https://shared.akamai.steamstatic.com/store_item_assets/steam/apps/2648100/header.jpg?t=1717792791")</f>
        <v/>
      </c>
      <c r="L145" s="23">
        <f>COUNTIFS(Inventory!A:A,A145,Inventory!J:J,"Open")</f>
        <v>0</v>
      </c>
    </row>
    <row r="146">
      <c r="A146" s="233" t="s">
        <v>2290</v>
      </c>
      <c r="B146" s="23" t="str">
        <f>Publishers!A43</f>
        <v>Bungie</v>
      </c>
      <c r="C146" s="78">
        <f>COUNTIF(Inventory!A:A, A146)</f>
        <v>2</v>
      </c>
      <c r="D146" s="89">
        <f>IFERROR(__xludf.DUMMYFUNCTION("IFERROR(AVERAGE(FILTER(Inventory!H:H,Inventory!J:J=""Closed"",Inventory!A:A=A146)),"""")"),0.13767235099598044)</f>
        <v>0.137672351</v>
      </c>
      <c r="E146" s="234">
        <f>IFERROR(__xludf.DUMMYFUNCTION("IFERROR(AVERAGE(FILTER(Inventory!G:G,Inventory!J:J=""Closed"",Inventory!A:A=A146)),""0"")"),2.6049999999999995)</f>
        <v>2.605</v>
      </c>
      <c r="F146" s="235">
        <f>IFERROR(__xludf.DUMMYFUNCTION("IFERROR(SUM(FILTER(Inventory!G:G,Inventory!J:J=""Closed"",Inventory!A:A=A146)),""0"")"),5.209999999999999)</f>
        <v>5.21</v>
      </c>
      <c r="G146" s="235">
        <f>IFERROR(__xludf.DUMMYFUNCTION("IFERROR(AVERAGE(FILTER(Inventory!K:K,Inventory!J:J=""Closed"",Inventory!A:A=A146)),"""")"),40.5)</f>
        <v>40.5</v>
      </c>
      <c r="H146" s="78" t="b">
        <v>0</v>
      </c>
      <c r="I146" s="236"/>
      <c r="J146" s="236">
        <f>MAXIFS(Inventory!D:D, Inventory!A:A, A:A)</f>
        <v>44940</v>
      </c>
      <c r="L146" s="23">
        <f>COUNTIFS(Inventory!A:A,A146,Inventory!J:J,"Open")</f>
        <v>0</v>
      </c>
    </row>
    <row r="147">
      <c r="A147" s="233" t="s">
        <v>4074</v>
      </c>
      <c r="B147" s="23" t="str">
        <f>Publishers!A43</f>
        <v>Bungie</v>
      </c>
      <c r="C147" s="78">
        <f>COUNTIF(Inventory!A:A, A147)</f>
        <v>5</v>
      </c>
      <c r="D147" s="89">
        <f>IFERROR(__xludf.DUMMYFUNCTION("IFERROR(AVERAGE(FILTER(Inventory!H:H,Inventory!J:J=""Closed"",Inventory!A:A=A147)),"""")"),0.22953319158343094)</f>
        <v>0.2295331916</v>
      </c>
      <c r="E147" s="234">
        <f>IFERROR(__xludf.DUMMYFUNCTION("IFERROR(AVERAGE(FILTER(Inventory!G:G,Inventory!J:J=""Closed"",Inventory!A:A=A147)),""0"")"),7.2924999999999995)</f>
        <v>7.2925</v>
      </c>
      <c r="F147" s="235">
        <f>IFERROR(__xludf.DUMMYFUNCTION("IFERROR(SUM(FILTER(Inventory!G:G,Inventory!J:J=""Closed"",Inventory!A:A=A147)),""0"")"),29.169999999999998)</f>
        <v>29.17</v>
      </c>
      <c r="G147" s="235">
        <f>IFERROR(__xludf.DUMMYFUNCTION("IFERROR(AVERAGE(FILTER(Inventory!K:K,Inventory!J:J=""Closed"",Inventory!A:A=A147)),"""")"),1.25)</f>
        <v>1.25</v>
      </c>
      <c r="H147" s="78" t="b">
        <v>0</v>
      </c>
      <c r="I147" s="78">
        <v>38.22</v>
      </c>
      <c r="J147" s="236">
        <f>MAXIFS(Inventory!D:D, Inventory!A:A, A:A)</f>
        <v>45061</v>
      </c>
      <c r="L147" s="23">
        <f>COUNTIFS(Inventory!A:A,A147,Inventory!J:J,"Open")</f>
        <v>1</v>
      </c>
    </row>
    <row r="148">
      <c r="A148" s="237" t="s">
        <v>765</v>
      </c>
      <c r="B148" s="23" t="str">
        <f>Publishers!A43</f>
        <v>Bungie</v>
      </c>
      <c r="C148" s="78">
        <f>COUNTIF(Inventory!A:A, A148)</f>
        <v>1</v>
      </c>
      <c r="D148" s="89">
        <f>IFERROR(__xludf.DUMMYFUNCTION("IFERROR(AVERAGE(FILTER(Inventory!H:H,Inventory!J:J=""Closed"",Inventory!A:A=A148)),"""")"),0.23316912972085385)</f>
        <v>0.2331691297</v>
      </c>
      <c r="E148" s="234">
        <f>IFERROR(__xludf.DUMMYFUNCTION("IFERROR(AVERAGE(FILTER(Inventory!G:G,Inventory!J:J=""Closed"",Inventory!A:A=A148)),""0"")"),2.84)</f>
        <v>2.84</v>
      </c>
      <c r="F148" s="235">
        <f>IFERROR(__xludf.DUMMYFUNCTION("IFERROR(SUM(FILTER(Inventory!G:G,Inventory!J:J=""Closed"",Inventory!A:A=A148)),""0"")"),2.84)</f>
        <v>2.84</v>
      </c>
      <c r="G148" s="235">
        <f>IFERROR(__xludf.DUMMYFUNCTION("IFERROR(AVERAGE(FILTER(Inventory!K:K,Inventory!J:J=""Closed"",Inventory!A:A=A148)),"""")"),1.0)</f>
        <v>1</v>
      </c>
      <c r="H148" s="23" t="b">
        <v>0</v>
      </c>
      <c r="I148" s="236"/>
      <c r="J148" s="236">
        <f>MAXIFS(Inventory!D:D, Inventory!A:A, A:A)</f>
        <v>44155</v>
      </c>
      <c r="L148" s="23">
        <f>COUNTIFS(Inventory!A:A,A148,Inventory!J:J,"Open")</f>
        <v>0</v>
      </c>
    </row>
    <row r="149">
      <c r="A149" s="237" t="s">
        <v>742</v>
      </c>
      <c r="B149" s="23" t="str">
        <f>Publishers!A200</f>
        <v>Quantic Dream</v>
      </c>
      <c r="C149" s="78">
        <f>COUNTIF(Inventory!A:A, A149)</f>
        <v>10</v>
      </c>
      <c r="D149" s="89">
        <f>IFERROR(__xludf.DUMMYFUNCTION("IFERROR(AVERAGE(FILTER(Inventory!H:H,Inventory!J:J=""Closed"",Inventory!A:A=A149)),"""")"),0.11871852759332567)</f>
        <v>0.1187185276</v>
      </c>
      <c r="E149" s="234">
        <f>IFERROR(__xludf.DUMMYFUNCTION("IFERROR(AVERAGE(FILTER(Inventory!G:G,Inventory!J:J=""Closed"",Inventory!A:A=A149)),""0"")"),2.2188888888888894)</f>
        <v>2.218888889</v>
      </c>
      <c r="F149" s="235">
        <f>IFERROR(__xludf.DUMMYFUNCTION("IFERROR(SUM(FILTER(Inventory!G:G,Inventory!J:J=""Closed"",Inventory!A:A=A149)),""0"")"),19.970000000000002)</f>
        <v>19.97</v>
      </c>
      <c r="G149" s="235">
        <f>IFERROR(__xludf.DUMMYFUNCTION("IFERROR(AVERAGE(FILTER(Inventory!K:K,Inventory!J:J=""Closed"",Inventory!A:A=A149)),"""")"),16.11111111111111)</f>
        <v>16.11111111</v>
      </c>
      <c r="H149" s="23" t="b">
        <v>0</v>
      </c>
      <c r="I149" s="78">
        <v>18.55</v>
      </c>
      <c r="J149" s="236">
        <f>MAXIFS(Inventory!D:D, Inventory!A:A, A:A)</f>
        <v>45247</v>
      </c>
      <c r="L149" s="23">
        <f>COUNTIFS(Inventory!A:A,A149,Inventory!J:J,"Open")</f>
        <v>1</v>
      </c>
    </row>
    <row r="150">
      <c r="A150" s="237" t="s">
        <v>1217</v>
      </c>
      <c r="B150" s="23" t="str">
        <f>Publishers!A237</f>
        <v>Square Enix</v>
      </c>
      <c r="C150" s="78">
        <f>COUNTIF(Inventory!A:A, A150)</f>
        <v>12</v>
      </c>
      <c r="D150" s="89">
        <f>IFERROR(__xludf.DUMMYFUNCTION("IFERROR(AVERAGE(FILTER(Inventory!H:H,Inventory!J:J=""Closed"",Inventory!A:A=A150)),"""")"),0.24302701900441517)</f>
        <v>0.243027019</v>
      </c>
      <c r="E150" s="234">
        <f>IFERROR(__xludf.DUMMYFUNCTION("IFERROR(AVERAGE(FILTER(Inventory!G:G,Inventory!J:J=""Closed"",Inventory!A:A=A150)),""0"")"),1.178333333333333)</f>
        <v>1.178333333</v>
      </c>
      <c r="F150" s="235">
        <f>IFERROR(__xludf.DUMMYFUNCTION("IFERROR(SUM(FILTER(Inventory!G:G,Inventory!J:J=""Closed"",Inventory!A:A=A150)),""0"")"),14.139999999999997)</f>
        <v>14.14</v>
      </c>
      <c r="G150" s="235">
        <f>IFERROR(__xludf.DUMMYFUNCTION("IFERROR(AVERAGE(FILTER(Inventory!K:K,Inventory!J:J=""Closed"",Inventory!A:A=A150)),"""")"),37.75)</f>
        <v>37.75</v>
      </c>
      <c r="H150" s="23" t="b">
        <v>0</v>
      </c>
      <c r="I150" s="236"/>
      <c r="J150" s="236">
        <f>MAXIFS(Inventory!D:D, Inventory!A:A, A:A)</f>
        <v>44992</v>
      </c>
      <c r="L150" s="23">
        <f>COUNTIFS(Inventory!A:A,A150,Inventory!J:J,"Open")</f>
        <v>0</v>
      </c>
    </row>
    <row r="151">
      <c r="A151" s="237" t="s">
        <v>291</v>
      </c>
      <c r="B151" s="23" t="str">
        <f>Publishers!A237</f>
        <v>Square Enix</v>
      </c>
      <c r="C151" s="78">
        <f>COUNTIF(Inventory!A:A, A151)</f>
        <v>12</v>
      </c>
      <c r="D151" s="89">
        <f>IFERROR(__xludf.DUMMYFUNCTION("IFERROR(AVERAGE(FILTER(Inventory!H:H,Inventory!J:J=""Closed"",Inventory!A:A=A151)),"""")"),0.324893515871202)</f>
        <v>0.3248935159</v>
      </c>
      <c r="E151" s="234">
        <f>IFERROR(__xludf.DUMMYFUNCTION("IFERROR(AVERAGE(FILTER(Inventory!G:G,Inventory!J:J=""Closed"",Inventory!A:A=A151)),""0"")"),1.4400000000000002)</f>
        <v>1.44</v>
      </c>
      <c r="F151" s="235">
        <f>IFERROR(__xludf.DUMMYFUNCTION("IFERROR(SUM(FILTER(Inventory!G:G,Inventory!J:J=""Closed"",Inventory!A:A=A151)),""0"")"),17.28)</f>
        <v>17.28</v>
      </c>
      <c r="G151" s="235">
        <f>IFERROR(__xludf.DUMMYFUNCTION("IFERROR(AVERAGE(FILTER(Inventory!K:K,Inventory!J:J=""Closed"",Inventory!A:A=A151)),"""")"),24.333333333333332)</f>
        <v>24.33333333</v>
      </c>
      <c r="H151" s="23" t="b">
        <v>0</v>
      </c>
      <c r="I151" s="236"/>
      <c r="J151" s="236">
        <f>MAXIFS(Inventory!D:D, Inventory!A:A, A:A)</f>
        <v>44235</v>
      </c>
      <c r="L151" s="23">
        <f>COUNTIFS(Inventory!A:A,A151,Inventory!J:J,"Open")</f>
        <v>0</v>
      </c>
    </row>
    <row r="152">
      <c r="A152" s="237" t="s">
        <v>207</v>
      </c>
      <c r="B152" s="23" t="str">
        <f>Publishers!A237</f>
        <v>Square Enix</v>
      </c>
      <c r="C152" s="78">
        <f>COUNTIF(Inventory!A:A, A152)</f>
        <v>28</v>
      </c>
      <c r="D152" s="89">
        <f>IFERROR(__xludf.DUMMYFUNCTION("IFERROR(AVERAGE(FILTER(Inventory!H:H,Inventory!J:J=""Closed"",Inventory!A:A=A152)),"""")"),0.3034068084512483)</f>
        <v>0.3034068085</v>
      </c>
      <c r="E152" s="234">
        <f>IFERROR(__xludf.DUMMYFUNCTION("IFERROR(AVERAGE(FILTER(Inventory!G:G,Inventory!J:J=""Closed"",Inventory!A:A=A152)),""0"")"),2.5470370370370365)</f>
        <v>2.547037037</v>
      </c>
      <c r="F152" s="235">
        <f>IFERROR(__xludf.DUMMYFUNCTION("IFERROR(SUM(FILTER(Inventory!G:G,Inventory!J:J=""Closed"",Inventory!A:A=A152)),""0"")"),68.76999999999998)</f>
        <v>68.77</v>
      </c>
      <c r="G152" s="235">
        <f>IFERROR(__xludf.DUMMYFUNCTION("IFERROR(AVERAGE(FILTER(Inventory!K:K,Inventory!J:J=""Closed"",Inventory!A:A=A152)),"""")"),33.629629629629626)</f>
        <v>33.62962963</v>
      </c>
      <c r="H152" s="23" t="b">
        <v>0</v>
      </c>
      <c r="I152" s="236"/>
      <c r="J152" s="236">
        <f>MAXIFS(Inventory!D:D, Inventory!A:A, A:A)</f>
        <v>44986</v>
      </c>
      <c r="L152" s="23">
        <f>COUNTIFS(Inventory!A:A,A152,Inventory!J:J,"Open")</f>
        <v>1</v>
      </c>
    </row>
    <row r="153">
      <c r="A153" s="233" t="s">
        <v>2226</v>
      </c>
      <c r="B153" s="23" t="str">
        <f>Publishers!A47</f>
        <v>CAPCOM</v>
      </c>
      <c r="C153" s="78">
        <f>COUNTIF(Inventory!A:A, A153)</f>
        <v>1</v>
      </c>
      <c r="D153" s="89">
        <f>IFERROR(__xludf.DUMMYFUNCTION("IFERROR(AVERAGE(FILTER(Inventory!H:H,Inventory!J:J=""Closed"",Inventory!A:A=A153)),"""")"),0.021304926764314266)</f>
        <v>0.02130492676</v>
      </c>
      <c r="E153" s="234">
        <f>IFERROR(__xludf.DUMMYFUNCTION("IFERROR(AVERAGE(FILTER(Inventory!G:G,Inventory!J:J=""Closed"",Inventory!A:A=A153)),""0"")"),0.16000000000000014)</f>
        <v>0.16</v>
      </c>
      <c r="F153" s="235">
        <f>IFERROR(__xludf.DUMMYFUNCTION("IFERROR(SUM(FILTER(Inventory!G:G,Inventory!J:J=""Closed"",Inventory!A:A=A153)),""0"")"),0.16000000000000014)</f>
        <v>0.16</v>
      </c>
      <c r="G153" s="235">
        <f>IFERROR(__xludf.DUMMYFUNCTION("IFERROR(AVERAGE(FILTER(Inventory!K:K,Inventory!J:J=""Closed"",Inventory!A:A=A153)),"""")"),1.0)</f>
        <v>1</v>
      </c>
      <c r="H153" s="23" t="b">
        <v>0</v>
      </c>
      <c r="I153" s="236"/>
      <c r="J153" s="236">
        <f>MAXIFS(Inventory!D:D, Inventory!A:A, A:A)</f>
        <v>44643</v>
      </c>
      <c r="L153" s="23">
        <f>COUNTIFS(Inventory!A:A,A153,Inventory!J:J,"Open")</f>
        <v>0</v>
      </c>
    </row>
    <row r="154">
      <c r="A154" s="237" t="s">
        <v>1966</v>
      </c>
      <c r="B154" s="23" t="str">
        <f>Publishers!A193</f>
        <v>Playstack</v>
      </c>
      <c r="C154" s="78">
        <f>COUNTIF(Inventory!A:A, A154)</f>
        <v>6</v>
      </c>
      <c r="D154" s="89">
        <f>IFERROR(__xludf.DUMMYFUNCTION("IFERROR(AVERAGE(FILTER(Inventory!H:H,Inventory!J:J=""Closed"",Inventory!A:A=A154)),"""")"),0.5238029947337703)</f>
        <v>0.5238029947</v>
      </c>
      <c r="E154" s="234">
        <f>IFERROR(__xludf.DUMMYFUNCTION("IFERROR(AVERAGE(FILTER(Inventory!G:G,Inventory!J:J=""Closed"",Inventory!A:A=A154)),""0"")"),1.1733333333333336)</f>
        <v>1.173333333</v>
      </c>
      <c r="F154" s="235">
        <f>IFERROR(__xludf.DUMMYFUNCTION("IFERROR(SUM(FILTER(Inventory!G:G,Inventory!J:J=""Closed"",Inventory!A:A=A154)),""0"")"),7.040000000000001)</f>
        <v>7.04</v>
      </c>
      <c r="G154" s="235">
        <f>IFERROR(__xludf.DUMMYFUNCTION("IFERROR(AVERAGE(FILTER(Inventory!K:K,Inventory!J:J=""Closed"",Inventory!A:A=A154)),"""")"),32.666666666666664)</f>
        <v>32.66666667</v>
      </c>
      <c r="H154" s="23" t="b">
        <v>0</v>
      </c>
      <c r="I154" s="236"/>
      <c r="J154" s="236">
        <f>MAXIFS(Inventory!D:D, Inventory!A:A, A:A)</f>
        <v>44700</v>
      </c>
      <c r="L154" s="23">
        <f>COUNTIFS(Inventory!A:A,A154,Inventory!J:J,"Open")</f>
        <v>0</v>
      </c>
    </row>
    <row r="155">
      <c r="A155" s="233" t="s">
        <v>3859</v>
      </c>
      <c r="B155" s="23" t="str">
        <f>Publishers!A29</f>
        <v>BANDAI NAMCO</v>
      </c>
      <c r="C155" s="78">
        <f>COUNTIF(Inventory!A:A, A155)</f>
        <v>1</v>
      </c>
      <c r="D155" s="89" t="str">
        <f>IFERROR(__xludf.DUMMYFUNCTION("IFERROR(AVERAGE(FILTER(Inventory!H:H,Inventory!J:J=""Closed"",Inventory!A:A=A155)),"""")"),"")</f>
        <v/>
      </c>
      <c r="E155" s="234" t="str">
        <f>IFERROR(__xludf.DUMMYFUNCTION("IFERROR(AVERAGE(FILTER(Inventory!G:G,Inventory!J:J=""Closed"",Inventory!A:A=A155)),""0"")"),"0")</f>
        <v>0</v>
      </c>
      <c r="F155" s="235" t="str">
        <f>IFERROR(__xludf.DUMMYFUNCTION("IFERROR(SUM(FILTER(Inventory!G:G,Inventory!J:J=""Closed"",Inventory!A:A=A155)),""0"")"),"0")</f>
        <v>0</v>
      </c>
      <c r="G155" s="235" t="str">
        <f>IFERROR(__xludf.DUMMYFUNCTION("IFERROR(AVERAGE(FILTER(Inventory!K:K,Inventory!J:J=""Closed"",Inventory!A:A=A155)),"""")"),"")</f>
        <v/>
      </c>
      <c r="H155" s="23" t="b">
        <v>0</v>
      </c>
      <c r="I155" s="78">
        <v>36.6</v>
      </c>
      <c r="J155" s="236">
        <f>MAXIFS(Inventory!D:D, Inventory!A:A, A:A)</f>
        <v>0</v>
      </c>
      <c r="L155" s="23">
        <f>COUNTIFS(Inventory!A:A,A155,Inventory!J:J,"Open")</f>
        <v>1</v>
      </c>
    </row>
    <row r="156">
      <c r="A156" s="233" t="s">
        <v>4463</v>
      </c>
      <c r="B156" s="23" t="str">
        <f>Publishers!A29</f>
        <v>BANDAI NAMCO</v>
      </c>
      <c r="C156" s="78">
        <f>COUNTIF(Inventory!A:A, A156)</f>
        <v>3</v>
      </c>
      <c r="D156" s="89">
        <f>IFERROR(__xludf.DUMMYFUNCTION("IFERROR(AVERAGE(FILTER(Inventory!H:H,Inventory!J:J=""Closed"",Inventory!A:A=A156)),"""")"),0.2527784521522515)</f>
        <v>0.2527784522</v>
      </c>
      <c r="E156" s="234">
        <f>IFERROR(__xludf.DUMMYFUNCTION("IFERROR(AVERAGE(FILTER(Inventory!G:G,Inventory!J:J=""Closed"",Inventory!A:A=A156)),""0"")"),9.33)</f>
        <v>9.33</v>
      </c>
      <c r="F156" s="235">
        <f>IFERROR(__xludf.DUMMYFUNCTION("IFERROR(SUM(FILTER(Inventory!G:G,Inventory!J:J=""Closed"",Inventory!A:A=A156)),""0"")"),18.66)</f>
        <v>18.66</v>
      </c>
      <c r="G156" s="235">
        <f>IFERROR(__xludf.DUMMYFUNCTION("IFERROR(AVERAGE(FILTER(Inventory!K:K,Inventory!J:J=""Closed"",Inventory!A:A=A156)),"""")"),36.0)</f>
        <v>36</v>
      </c>
      <c r="H156" s="23" t="b">
        <v>0</v>
      </c>
      <c r="I156" s="78"/>
      <c r="J156" s="236">
        <f>MAXIFS(Inventory!D:D, Inventory!A:A, A:A)</f>
        <v>45276</v>
      </c>
      <c r="K156" s="23" t="str">
        <f>IMAGE("https://shared.akamai.steamstatic.com/store_item_assets/steam/apps/1530160/header.jpg?t=1703657174")</f>
        <v/>
      </c>
      <c r="L156" s="23">
        <f>COUNTIFS(Inventory!A:A,A156,Inventory!J:J,"Open")</f>
        <v>1</v>
      </c>
    </row>
    <row r="157">
      <c r="A157" s="233" t="s">
        <v>3846</v>
      </c>
      <c r="B157" s="23" t="str">
        <f>Publishers!A133</f>
        <v>James Bendon</v>
      </c>
      <c r="C157" s="78">
        <f>COUNTIF(Inventory!A:A, A157)</f>
        <v>2</v>
      </c>
      <c r="D157" s="89">
        <f>IFERROR(__xludf.DUMMYFUNCTION("IFERROR(AVERAGE(FILTER(Inventory!H:H,Inventory!J:J=""Closed"",Inventory!A:A=A157)),"""")"),0.12852147360126082)</f>
        <v>0.1285214736</v>
      </c>
      <c r="E157" s="234">
        <f>IFERROR(__xludf.DUMMYFUNCTION("IFERROR(AVERAGE(FILTER(Inventory!G:G,Inventory!J:J=""Closed"",Inventory!A:A=A157)),""0"")"),1.5949999999999998)</f>
        <v>1.595</v>
      </c>
      <c r="F157" s="235">
        <f>IFERROR(__xludf.DUMMYFUNCTION("IFERROR(SUM(FILTER(Inventory!G:G,Inventory!J:J=""Closed"",Inventory!A:A=A157)),""0"")"),3.1899999999999995)</f>
        <v>3.19</v>
      </c>
      <c r="G157" s="235">
        <f>IFERROR(__xludf.DUMMYFUNCTION("IFERROR(AVERAGE(FILTER(Inventory!K:K,Inventory!J:J=""Closed"",Inventory!A:A=A157)),"""")"),48.5)</f>
        <v>48.5</v>
      </c>
      <c r="H157" s="23" t="b">
        <v>0</v>
      </c>
      <c r="I157" s="236"/>
      <c r="J157" s="236">
        <f>MAXIFS(Inventory!D:D, Inventory!A:A, A:A)</f>
        <v>45124</v>
      </c>
      <c r="L157" s="23">
        <f>COUNTIFS(Inventory!A:A,A157,Inventory!J:J,"Open")</f>
        <v>0</v>
      </c>
    </row>
    <row r="158">
      <c r="A158" s="237" t="s">
        <v>950</v>
      </c>
      <c r="B158" s="23" t="str">
        <f>Publishers!A48</f>
        <v>Codemasters</v>
      </c>
      <c r="C158" s="78">
        <f>COUNTIF(Inventory!A:A, A158)</f>
        <v>6</v>
      </c>
      <c r="D158" s="89">
        <f>IFERROR(__xludf.DUMMYFUNCTION("IFERROR(AVERAGE(FILTER(Inventory!H:H,Inventory!J:J=""Closed"",Inventory!A:A=A158)),"""")"),0.674074074074074)</f>
        <v>0.6740740741</v>
      </c>
      <c r="E158" s="234">
        <f>IFERROR(__xludf.DUMMYFUNCTION("IFERROR(AVERAGE(FILTER(Inventory!G:G,Inventory!J:J=""Closed"",Inventory!A:A=A158)),""0"")"),0.8166666666666669)</f>
        <v>0.8166666667</v>
      </c>
      <c r="F158" s="235">
        <f>IFERROR(__xludf.DUMMYFUNCTION("IFERROR(SUM(FILTER(Inventory!G:G,Inventory!J:J=""Closed"",Inventory!A:A=A158)),""0"")"),4.900000000000001)</f>
        <v>4.9</v>
      </c>
      <c r="G158" s="235">
        <f>IFERROR(__xludf.DUMMYFUNCTION("IFERROR(AVERAGE(FILTER(Inventory!K:K,Inventory!J:J=""Closed"",Inventory!A:A=A158)),"""")"),50.333333333333336)</f>
        <v>50.33333333</v>
      </c>
      <c r="H158" s="23" t="b">
        <v>0</v>
      </c>
      <c r="I158" s="236"/>
      <c r="J158" s="236">
        <f>MAXIFS(Inventory!D:D, Inventory!A:A, A:A)</f>
        <v>44429</v>
      </c>
      <c r="L158" s="23">
        <f>COUNTIFS(Inventory!A:A,A158,Inventory!J:J,"Open")</f>
        <v>0</v>
      </c>
      <c r="N158" s="239"/>
      <c r="O158" s="239"/>
    </row>
    <row r="159">
      <c r="A159" s="237" t="s">
        <v>985</v>
      </c>
      <c r="B159" s="23" t="str">
        <f>Publishers!A48</f>
        <v>Codemasters</v>
      </c>
      <c r="C159" s="78">
        <f>COUNTIF(Inventory!A:A, A159)</f>
        <v>2</v>
      </c>
      <c r="D159" s="89">
        <f>IFERROR(__xludf.DUMMYFUNCTION("IFERROR(AVERAGE(FILTER(Inventory!H:H,Inventory!J:J=""Closed"",Inventory!A:A=A159)),"""")"),1.0)</f>
        <v>1</v>
      </c>
      <c r="E159" s="234">
        <f>IFERROR(__xludf.DUMMYFUNCTION("IFERROR(AVERAGE(FILTER(Inventory!G:G,Inventory!J:J=""Closed"",Inventory!A:A=A159)),""0"")"),0.575)</f>
        <v>0.575</v>
      </c>
      <c r="F159" s="235">
        <f>IFERROR(__xludf.DUMMYFUNCTION("IFERROR(SUM(FILTER(Inventory!G:G,Inventory!J:J=""Closed"",Inventory!A:A=A159)),""0"")"),1.15)</f>
        <v>1.15</v>
      </c>
      <c r="G159" s="235">
        <f>IFERROR(__xludf.DUMMYFUNCTION("IFERROR(AVERAGE(FILTER(Inventory!K:K,Inventory!J:J=""Closed"",Inventory!A:A=A159)),"""")"),22.5)</f>
        <v>22.5</v>
      </c>
      <c r="H159" s="23" t="b">
        <v>0</v>
      </c>
      <c r="I159" s="236"/>
      <c r="J159" s="236">
        <f>MAXIFS(Inventory!D:D, Inventory!A:A, A:A)</f>
        <v>44317</v>
      </c>
      <c r="L159" s="23">
        <f>COUNTIFS(Inventory!A:A,A159,Inventory!J:J,"Open")</f>
        <v>0</v>
      </c>
      <c r="N159" s="239"/>
      <c r="O159" s="239"/>
    </row>
    <row r="160">
      <c r="A160" s="237" t="s">
        <v>230</v>
      </c>
      <c r="B160" s="23" t="str">
        <f>Publishers!A48</f>
        <v>Codemasters</v>
      </c>
      <c r="C160" s="78">
        <f>COUNTIF(Inventory!A:A, A160)</f>
        <v>11</v>
      </c>
      <c r="D160" s="89">
        <f>IFERROR(__xludf.DUMMYFUNCTION("IFERROR(AVERAGE(FILTER(Inventory!H:H,Inventory!J:J=""Closed"",Inventory!A:A=A160)),"""")"),0.4006377616943648)</f>
        <v>0.4006377617</v>
      </c>
      <c r="E160" s="234">
        <f>IFERROR(__xludf.DUMMYFUNCTION("IFERROR(AVERAGE(FILTER(Inventory!G:G,Inventory!J:J=""Closed"",Inventory!A:A=A160)),""0"")"),2.0145454545454546)</f>
        <v>2.014545455</v>
      </c>
      <c r="F160" s="235">
        <f>IFERROR(__xludf.DUMMYFUNCTION("IFERROR(SUM(FILTER(Inventory!G:G,Inventory!J:J=""Closed"",Inventory!A:A=A160)),""0"")"),22.16)</f>
        <v>22.16</v>
      </c>
      <c r="G160" s="235">
        <f>IFERROR(__xludf.DUMMYFUNCTION("IFERROR(AVERAGE(FILTER(Inventory!K:K,Inventory!J:J=""Closed"",Inventory!A:A=A160)),"""")"),2.090909090909091)</f>
        <v>2.090909091</v>
      </c>
      <c r="H160" s="78" t="b">
        <v>1</v>
      </c>
      <c r="I160" s="236"/>
      <c r="J160" s="236">
        <f>MAXIFS(Inventory!D:D, Inventory!A:A, A:A)</f>
        <v>44315</v>
      </c>
      <c r="L160" s="23">
        <f>COUNTIFS(Inventory!A:A,A160,Inventory!J:J,"Open")</f>
        <v>0</v>
      </c>
    </row>
    <row r="161">
      <c r="A161" s="237" t="s">
        <v>753</v>
      </c>
      <c r="B161" s="23" t="str">
        <f>Publishers!A48</f>
        <v>Codemasters</v>
      </c>
      <c r="C161" s="78">
        <f>COUNTIF(Inventory!A:A, A161)</f>
        <v>11</v>
      </c>
      <c r="D161" s="89">
        <f>IFERROR(__xludf.DUMMYFUNCTION("IFERROR(AVERAGE(FILTER(Inventory!H:H,Inventory!J:J=""Closed"",Inventory!A:A=A161)),"""")"),0.3216495233316374)</f>
        <v>0.3216495233</v>
      </c>
      <c r="E161" s="234">
        <f>IFERROR(__xludf.DUMMYFUNCTION("IFERROR(AVERAGE(FILTER(Inventory!G:G,Inventory!J:J=""Closed"",Inventory!A:A=A161)),""0"")"),1.8481818181818184)</f>
        <v>1.848181818</v>
      </c>
      <c r="F161" s="235">
        <f>IFERROR(__xludf.DUMMYFUNCTION("IFERROR(SUM(FILTER(Inventory!G:G,Inventory!J:J=""Closed"",Inventory!A:A=A161)),""0"")"),20.330000000000002)</f>
        <v>20.33</v>
      </c>
      <c r="G161" s="235">
        <f>IFERROR(__xludf.DUMMYFUNCTION("IFERROR(AVERAGE(FILTER(Inventory!K:K,Inventory!J:J=""Closed"",Inventory!A:A=A161)),"""")"),3.5454545454545454)</f>
        <v>3.545454545</v>
      </c>
      <c r="H161" s="23" t="b">
        <v>0</v>
      </c>
      <c r="I161" s="236"/>
      <c r="J161" s="236">
        <f>MAXIFS(Inventory!D:D, Inventory!A:A, A:A)</f>
        <v>44361</v>
      </c>
      <c r="L161" s="23">
        <f>COUNTIFS(Inventory!A:A,A161,Inventory!J:J,"Open")</f>
        <v>0</v>
      </c>
    </row>
    <row r="162">
      <c r="A162" s="237" t="s">
        <v>528</v>
      </c>
      <c r="B162" s="23" t="str">
        <f>Publishers!A48</f>
        <v>Codemasters</v>
      </c>
      <c r="C162" s="78">
        <f>COUNTIF(Inventory!A:A, A162)</f>
        <v>1</v>
      </c>
      <c r="D162" s="89">
        <f>IFERROR(__xludf.DUMMYFUNCTION("IFERROR(AVERAGE(FILTER(Inventory!H:H,Inventory!J:J=""Closed"",Inventory!A:A=A162)),"""")"),0.07710651828298892)</f>
        <v>0.07710651828</v>
      </c>
      <c r="E162" s="234">
        <f>IFERROR(__xludf.DUMMYFUNCTION("IFERROR(AVERAGE(FILTER(Inventory!G:G,Inventory!J:J=""Closed"",Inventory!A:A=A162)),""0"")"),0.9700000000000006)</f>
        <v>0.97</v>
      </c>
      <c r="F162" s="235">
        <f>IFERROR(__xludf.DUMMYFUNCTION("IFERROR(SUM(FILTER(Inventory!G:G,Inventory!J:J=""Closed"",Inventory!A:A=A162)),""0"")"),0.9700000000000006)</f>
        <v>0.97</v>
      </c>
      <c r="G162" s="235">
        <f>IFERROR(__xludf.DUMMYFUNCTION("IFERROR(AVERAGE(FILTER(Inventory!K:K,Inventory!J:J=""Closed"",Inventory!A:A=A162)),"""")"),39.0)</f>
        <v>39</v>
      </c>
      <c r="H162" s="23" t="b">
        <v>0</v>
      </c>
      <c r="I162" s="236"/>
      <c r="J162" s="236">
        <f>MAXIFS(Inventory!D:D, Inventory!A:A, A:A)</f>
        <v>44104</v>
      </c>
      <c r="L162" s="23">
        <f>COUNTIFS(Inventory!A:A,A162,Inventory!J:J,"Open")</f>
        <v>0</v>
      </c>
    </row>
    <row r="163">
      <c r="A163" s="237" t="s">
        <v>942</v>
      </c>
      <c r="B163" s="23" t="str">
        <f>Publishers!A48</f>
        <v>Codemasters</v>
      </c>
      <c r="C163" s="78">
        <f>COUNTIF(Inventory!A:A, A163)</f>
        <v>2</v>
      </c>
      <c r="D163" s="89">
        <f>IFERROR(__xludf.DUMMYFUNCTION("IFERROR(AVERAGE(FILTER(Inventory!H:H,Inventory!J:J=""Closed"",Inventory!A:A=A163)),"""")"),0.11650355314996869)</f>
        <v>0.1165035531</v>
      </c>
      <c r="E163" s="234">
        <f>IFERROR(__xludf.DUMMYFUNCTION("IFERROR(AVERAGE(FILTER(Inventory!G:G,Inventory!J:J=""Closed"",Inventory!A:A=A163)),""0"")"),0.96)</f>
        <v>0.96</v>
      </c>
      <c r="F163" s="235">
        <f>IFERROR(__xludf.DUMMYFUNCTION("IFERROR(SUM(FILTER(Inventory!G:G,Inventory!J:J=""Closed"",Inventory!A:A=A163)),""0"")"),1.92)</f>
        <v>1.92</v>
      </c>
      <c r="G163" s="235">
        <f>IFERROR(__xludf.DUMMYFUNCTION("IFERROR(AVERAGE(FILTER(Inventory!K:K,Inventory!J:J=""Closed"",Inventory!A:A=A163)),"""")"),69.5)</f>
        <v>69.5</v>
      </c>
      <c r="H163" s="23" t="b">
        <v>0</v>
      </c>
      <c r="I163" s="236"/>
      <c r="J163" s="236">
        <f>MAXIFS(Inventory!D:D, Inventory!A:A, A:A)</f>
        <v>44316</v>
      </c>
      <c r="L163" s="23">
        <f>COUNTIFS(Inventory!A:A,A163,Inventory!J:J,"Open")</f>
        <v>0</v>
      </c>
    </row>
    <row r="164">
      <c r="A164" s="233" t="s">
        <v>2701</v>
      </c>
      <c r="B164" s="23" t="str">
        <f>Publishers!A48</f>
        <v>Codemasters</v>
      </c>
      <c r="C164" s="78">
        <f>COUNTIF(Inventory!A:A, A164)</f>
        <v>2</v>
      </c>
      <c r="D164" s="89">
        <f>IFERROR(__xludf.DUMMYFUNCTION("IFERROR(AVERAGE(FILTER(Inventory!H:H,Inventory!J:J=""Closed"",Inventory!A:A=A164)),"""")"),1.0)</f>
        <v>1</v>
      </c>
      <c r="E164" s="234">
        <f>IFERROR(__xludf.DUMMYFUNCTION("IFERROR(AVERAGE(FILTER(Inventory!G:G,Inventory!J:J=""Closed"",Inventory!A:A=A164)),""0"")"),0.79)</f>
        <v>0.79</v>
      </c>
      <c r="F164" s="235">
        <f>IFERROR(__xludf.DUMMYFUNCTION("IFERROR(SUM(FILTER(Inventory!G:G,Inventory!J:J=""Closed"",Inventory!A:A=A164)),""0"")"),1.58)</f>
        <v>1.58</v>
      </c>
      <c r="G164" s="235">
        <f>IFERROR(__xludf.DUMMYFUNCTION("IFERROR(AVERAGE(FILTER(Inventory!K:K,Inventory!J:J=""Closed"",Inventory!A:A=A164)),"""")"),8.0)</f>
        <v>8</v>
      </c>
      <c r="H164" s="23" t="b">
        <v>0</v>
      </c>
      <c r="I164" s="236"/>
      <c r="J164" s="236">
        <f>MAXIFS(Inventory!D:D, Inventory!A:A, A:A)</f>
        <v>45242</v>
      </c>
      <c r="L164" s="23">
        <f>COUNTIFS(Inventory!A:A,A164,Inventory!J:J,"Open")</f>
        <v>0</v>
      </c>
    </row>
    <row r="165">
      <c r="A165" s="237" t="s">
        <v>169</v>
      </c>
      <c r="B165" s="23" t="str">
        <f>Publishers!A176</f>
        <v>NIS America</v>
      </c>
      <c r="C165" s="78">
        <f>COUNTIF(Inventory!A:A, A165)</f>
        <v>5</v>
      </c>
      <c r="D165" s="89">
        <f>IFERROR(__xludf.DUMMYFUNCTION("IFERROR(AVERAGE(FILTER(Inventory!H:H,Inventory!J:J=""Closed"",Inventory!A:A=A165)),"""")"),0.23879839704088726)</f>
        <v>0.238798397</v>
      </c>
      <c r="E165" s="234">
        <f>IFERROR(__xludf.DUMMYFUNCTION("IFERROR(AVERAGE(FILTER(Inventory!G:G,Inventory!J:J=""Closed"",Inventory!A:A=A165)),""0"")"),4.788)</f>
        <v>4.788</v>
      </c>
      <c r="F165" s="235">
        <f>IFERROR(__xludf.DUMMYFUNCTION("IFERROR(SUM(FILTER(Inventory!G:G,Inventory!J:J=""Closed"",Inventory!A:A=A165)),""0"")"),23.94)</f>
        <v>23.94</v>
      </c>
      <c r="G165" s="235">
        <f>IFERROR(__xludf.DUMMYFUNCTION("IFERROR(AVERAGE(FILTER(Inventory!K:K,Inventory!J:J=""Closed"",Inventory!A:A=A165)),"""")"),53.0)</f>
        <v>53</v>
      </c>
      <c r="H165" s="23" t="b">
        <v>0</v>
      </c>
      <c r="I165" s="236"/>
      <c r="J165" s="236">
        <f>MAXIFS(Inventory!D:D, Inventory!A:A, A:A)</f>
        <v>44305</v>
      </c>
      <c r="L165" s="23">
        <f>COUNTIFS(Inventory!A:A,A165,Inventory!J:J,"Open")</f>
        <v>0</v>
      </c>
    </row>
    <row r="166">
      <c r="A166" s="237" t="s">
        <v>1611</v>
      </c>
      <c r="B166" s="23" t="str">
        <f>Publishers!A176</f>
        <v>NIS America</v>
      </c>
      <c r="C166" s="78">
        <f>COUNTIF(Inventory!A:A, A166)</f>
        <v>1</v>
      </c>
      <c r="D166" s="89">
        <f>IFERROR(__xludf.DUMMYFUNCTION("IFERROR(AVERAGE(FILTER(Inventory!H:H,Inventory!J:J=""Closed"",Inventory!A:A=A166)),"""")"),0.19250551065393087)</f>
        <v>0.1925055107</v>
      </c>
      <c r="E166" s="234">
        <f>IFERROR(__xludf.DUMMYFUNCTION("IFERROR(AVERAGE(FILTER(Inventory!G:G,Inventory!J:J=""Closed"",Inventory!A:A=A166)),""0"")"),2.619999999999999)</f>
        <v>2.62</v>
      </c>
      <c r="F166" s="235">
        <f>IFERROR(__xludf.DUMMYFUNCTION("IFERROR(SUM(FILTER(Inventory!G:G,Inventory!J:J=""Closed"",Inventory!A:A=A166)),""0"")"),2.619999999999999)</f>
        <v>2.62</v>
      </c>
      <c r="G166" s="235">
        <f>IFERROR(__xludf.DUMMYFUNCTION("IFERROR(AVERAGE(FILTER(Inventory!K:K,Inventory!J:J=""Closed"",Inventory!A:A=A166)),"""")"),66.0)</f>
        <v>66</v>
      </c>
      <c r="H166" s="23" t="b">
        <v>0</v>
      </c>
      <c r="I166" s="236"/>
      <c r="J166" s="236">
        <f>MAXIFS(Inventory!D:D, Inventory!A:A, A:A)</f>
        <v>44567</v>
      </c>
      <c r="L166" s="23">
        <f>COUNTIFS(Inventory!A:A,A166,Inventory!J:J,"Open")</f>
        <v>0</v>
      </c>
    </row>
    <row r="167">
      <c r="A167" s="237" t="s">
        <v>355</v>
      </c>
      <c r="B167" s="23" t="str">
        <f>Publishers!A15</f>
        <v>Alawar Premium</v>
      </c>
      <c r="C167" s="78">
        <f>COUNTIF(Inventory!A:A, A167)</f>
        <v>2</v>
      </c>
      <c r="D167" s="89">
        <f>IFERROR(__xludf.DUMMYFUNCTION("IFERROR(AVERAGE(FILTER(Inventory!H:H,Inventory!J:J=""Closed"",Inventory!A:A=A167)),"""")"),0.14142857142857146)</f>
        <v>0.1414285714</v>
      </c>
      <c r="E167" s="234">
        <f>IFERROR(__xludf.DUMMYFUNCTION("IFERROR(AVERAGE(FILTER(Inventory!G:G,Inventory!J:J=""Closed"",Inventory!A:A=A167)),""0"")"),0.07)</f>
        <v>0.07</v>
      </c>
      <c r="F167" s="235">
        <f>IFERROR(__xludf.DUMMYFUNCTION("IFERROR(SUM(FILTER(Inventory!G:G,Inventory!J:J=""Closed"",Inventory!A:A=A167)),""0"")"),0.14)</f>
        <v>0.14</v>
      </c>
      <c r="G167" s="235">
        <f>IFERROR(__xludf.DUMMYFUNCTION("IFERROR(AVERAGE(FILTER(Inventory!K:K,Inventory!J:J=""Closed"",Inventory!A:A=A167)),"""")"),11.0)</f>
        <v>11</v>
      </c>
      <c r="H167" s="23" t="b">
        <v>0</v>
      </c>
      <c r="I167" s="236"/>
      <c r="J167" s="236">
        <f>MAXIFS(Inventory!D:D, Inventory!A:A, A:A)</f>
        <v>44049</v>
      </c>
      <c r="L167" s="23">
        <f>COUNTIFS(Inventory!A:A,A167,Inventory!J:J,"Open")</f>
        <v>0</v>
      </c>
    </row>
    <row r="168">
      <c r="A168" s="233" t="s">
        <v>3691</v>
      </c>
      <c r="B168" s="23" t="str">
        <f>Publishers!A140</f>
        <v>Klei Entertainment</v>
      </c>
      <c r="C168" s="78">
        <f>COUNTIF(Inventory!A:A, A168)</f>
        <v>15</v>
      </c>
      <c r="D168" s="89">
        <f>IFERROR(__xludf.DUMMYFUNCTION("IFERROR(AVERAGE(FILTER(Inventory!H:H,Inventory!J:J=""Closed"",Inventory!A:A=A168)),"""")"),0.300591825250624)</f>
        <v>0.3005918253</v>
      </c>
      <c r="E168" s="234">
        <f>IFERROR(__xludf.DUMMYFUNCTION("IFERROR(AVERAGE(FILTER(Inventory!G:G,Inventory!J:J=""Closed"",Inventory!A:A=A168)),""0"")"),2.1873333333333336)</f>
        <v>2.187333333</v>
      </c>
      <c r="F168" s="235">
        <f>IFERROR(__xludf.DUMMYFUNCTION("IFERROR(SUM(FILTER(Inventory!G:G,Inventory!J:J=""Closed"",Inventory!A:A=A168)),""0"")"),32.81)</f>
        <v>32.81</v>
      </c>
      <c r="G168" s="235">
        <f>IFERROR(__xludf.DUMMYFUNCTION("IFERROR(AVERAGE(FILTER(Inventory!K:K,Inventory!J:J=""Closed"",Inventory!A:A=A168)),"""")"),2.3333333333333335)</f>
        <v>2.333333333</v>
      </c>
      <c r="H168" s="23" t="b">
        <v>0</v>
      </c>
      <c r="I168" s="236"/>
      <c r="J168" s="236">
        <f>MAXIFS(Inventory!D:D, Inventory!A:A, A:A)</f>
        <v>45309</v>
      </c>
      <c r="L168" s="23">
        <f>COUNTIFS(Inventory!A:A,A168,Inventory!J:J,"Open")</f>
        <v>0</v>
      </c>
    </row>
    <row r="169">
      <c r="A169" s="233" t="s">
        <v>3179</v>
      </c>
      <c r="B169" s="23" t="str">
        <f>Publishers!A34</f>
        <v>Bethesda Softworks</v>
      </c>
      <c r="C169" s="78">
        <f>COUNTIF(Inventory!A:A, A169)</f>
        <v>1</v>
      </c>
      <c r="D169" s="89">
        <f>IFERROR(__xludf.DUMMYFUNCTION("IFERROR(AVERAGE(FILTER(Inventory!H:H,Inventory!J:J=""Closed"",Inventory!A:A=A169)),"""")"),0.12899896800825594)</f>
        <v>0.128998968</v>
      </c>
      <c r="E169" s="234">
        <f>IFERROR(__xludf.DUMMYFUNCTION("IFERROR(AVERAGE(FILTER(Inventory!G:G,Inventory!J:J=""Closed"",Inventory!A:A=A169)),""0"")"),1.25)</f>
        <v>1.25</v>
      </c>
      <c r="F169" s="235">
        <f>IFERROR(__xludf.DUMMYFUNCTION("IFERROR(SUM(FILTER(Inventory!G:G,Inventory!J:J=""Closed"",Inventory!A:A=A169)),""0"")"),1.25)</f>
        <v>1.25</v>
      </c>
      <c r="G169" s="235">
        <f>IFERROR(__xludf.DUMMYFUNCTION("IFERROR(AVERAGE(FILTER(Inventory!K:K,Inventory!J:J=""Closed"",Inventory!A:A=A169)),"""")"),305.0)</f>
        <v>305</v>
      </c>
      <c r="H169" s="23" t="b">
        <v>0</v>
      </c>
      <c r="I169" s="236"/>
      <c r="J169" s="236">
        <f>MAXIFS(Inventory!D:D, Inventory!A:A, A:A)</f>
        <v>45188</v>
      </c>
      <c r="L169" s="23">
        <f>COUNTIFS(Inventory!A:A,A169,Inventory!J:J,"Open")</f>
        <v>0</v>
      </c>
    </row>
    <row r="170">
      <c r="A170" s="233" t="s">
        <v>5152</v>
      </c>
      <c r="B170" s="23" t="str">
        <f>Publishers!A34</f>
        <v>Bethesda Softworks</v>
      </c>
      <c r="C170" s="78">
        <f>COUNTIF(Inventory!A:A, A170)</f>
        <v>7</v>
      </c>
      <c r="D170" s="89">
        <f>IFERROR(__xludf.DUMMYFUNCTION("IFERROR(AVERAGE(FILTER(Inventory!H:H,Inventory!J:J=""Closed"",Inventory!A:A=A170)),"""")"),0.10222137480313502)</f>
        <v>0.1022213748</v>
      </c>
      <c r="E170" s="234">
        <f>IFERROR(__xludf.DUMMYFUNCTION("IFERROR(AVERAGE(FILTER(Inventory!G:G,Inventory!J:J=""Closed"",Inventory!A:A=A170)),""0"")"),1.1700000000000004)</f>
        <v>1.17</v>
      </c>
      <c r="F170" s="235">
        <f>IFERROR(__xludf.DUMMYFUNCTION("IFERROR(SUM(FILTER(Inventory!G:G,Inventory!J:J=""Closed"",Inventory!A:A=A170)),""0"")"),8.190000000000003)</f>
        <v>8.19</v>
      </c>
      <c r="G170" s="235">
        <f>IFERROR(__xludf.DUMMYFUNCTION("IFERROR(AVERAGE(FILTER(Inventory!K:K,Inventory!J:J=""Closed"",Inventory!A:A=A170)),"""")"),5.285714285714286)</f>
        <v>5.285714286</v>
      </c>
      <c r="H170" s="23" t="b">
        <v>0</v>
      </c>
      <c r="I170" s="236"/>
      <c r="J170" s="236">
        <f>MAXIFS(Inventory!D:D, Inventory!A:A, A:A)</f>
        <v>45240</v>
      </c>
      <c r="L170" s="23">
        <f>COUNTIFS(Inventory!A:A,A170,Inventory!J:J,"Open")</f>
        <v>0</v>
      </c>
    </row>
    <row r="171">
      <c r="A171" s="233" t="s">
        <v>2515</v>
      </c>
      <c r="B171" s="23" t="str">
        <f>Publishers!A272</f>
        <v>Toukana Interactive</v>
      </c>
      <c r="C171" s="78">
        <f>COUNTIF(Inventory!A:A, A171)</f>
        <v>2</v>
      </c>
      <c r="D171" s="89">
        <f>IFERROR(__xludf.DUMMYFUNCTION("IFERROR(AVERAGE(FILTER(Inventory!H:H,Inventory!J:J=""Closed"",Inventory!A:A=A171)),"""")"),0.12292129218472468)</f>
        <v>0.1229212922</v>
      </c>
      <c r="E171" s="234">
        <f>IFERROR(__xludf.DUMMYFUNCTION("IFERROR(AVERAGE(FILTER(Inventory!G:G,Inventory!J:J=""Closed"",Inventory!A:A=A171)),""0"")"),1.3399999999999999)</f>
        <v>1.34</v>
      </c>
      <c r="F171" s="235">
        <f>IFERROR(__xludf.DUMMYFUNCTION("IFERROR(SUM(FILTER(Inventory!G:G,Inventory!J:J=""Closed"",Inventory!A:A=A171)),""0"")"),2.6799999999999997)</f>
        <v>2.68</v>
      </c>
      <c r="G171" s="235">
        <f>IFERROR(__xludf.DUMMYFUNCTION("IFERROR(AVERAGE(FILTER(Inventory!K:K,Inventory!J:J=""Closed"",Inventory!A:A=A171)),"""")"),2.5)</f>
        <v>2.5</v>
      </c>
      <c r="H171" s="23" t="b">
        <v>0</v>
      </c>
      <c r="I171" s="236"/>
      <c r="J171" s="236">
        <f>MAXIFS(Inventory!D:D, Inventory!A:A, A:A)</f>
        <v>44694</v>
      </c>
      <c r="L171" s="23">
        <f>COUNTIFS(Inventory!A:A,A171,Inventory!J:J,"Open")</f>
        <v>0</v>
      </c>
    </row>
    <row r="172">
      <c r="A172" s="237" t="s">
        <v>398</v>
      </c>
      <c r="B172" s="23" t="str">
        <f>Publishers!A29</f>
        <v>BANDAI NAMCO</v>
      </c>
      <c r="C172" s="78">
        <f>COUNTIF(Inventory!A:A, A172)</f>
        <v>1</v>
      </c>
      <c r="D172" s="89">
        <f>IFERROR(__xludf.DUMMYFUNCTION("IFERROR(AVERAGE(FILTER(Inventory!H:H,Inventory!J:J=""Closed"",Inventory!A:A=A172)),"""")"),0.10754017305315205)</f>
        <v>0.1075401731</v>
      </c>
      <c r="E172" s="234">
        <f>IFERROR(__xludf.DUMMYFUNCTION("IFERROR(AVERAGE(FILTER(Inventory!G:G,Inventory!J:J=""Closed"",Inventory!A:A=A172)),""0"")"),0.8700000000000001)</f>
        <v>0.87</v>
      </c>
      <c r="F172" s="235">
        <f>IFERROR(__xludf.DUMMYFUNCTION("IFERROR(SUM(FILTER(Inventory!G:G,Inventory!J:J=""Closed"",Inventory!A:A=A172)),""0"")"),0.8700000000000001)</f>
        <v>0.87</v>
      </c>
      <c r="G172" s="235">
        <f>IFERROR(__xludf.DUMMYFUNCTION("IFERROR(AVERAGE(FILTER(Inventory!K:K,Inventory!J:J=""Closed"",Inventory!A:A=A172)),"""")"),7.0)</f>
        <v>7</v>
      </c>
      <c r="H172" s="23" t="b">
        <v>0</v>
      </c>
      <c r="I172" s="236"/>
      <c r="J172" s="236">
        <f>MAXIFS(Inventory!D:D, Inventory!A:A, A:A)</f>
        <v>44051</v>
      </c>
      <c r="L172" s="23">
        <f>COUNTIFS(Inventory!A:A,A172,Inventory!J:J,"Open")</f>
        <v>0</v>
      </c>
    </row>
    <row r="173">
      <c r="A173" s="233" t="s">
        <v>7845</v>
      </c>
      <c r="B173" s="23" t="str">
        <f>Publishers!A237</f>
        <v>Square Enix</v>
      </c>
      <c r="C173" s="78">
        <f>COUNTIF(Inventory!A:A, A173)</f>
        <v>10</v>
      </c>
      <c r="D173" s="89">
        <f>IFERROR(__xludf.DUMMYFUNCTION("IFERROR(AVERAGE(FILTER(Inventory!H:H,Inventory!J:J=""Closed"",Inventory!A:A=A173)),"""")"),0.11060814899044229)</f>
        <v>0.110608149</v>
      </c>
      <c r="E173" s="234">
        <f>IFERROR(__xludf.DUMMYFUNCTION("IFERROR(AVERAGE(FILTER(Inventory!G:G,Inventory!J:J=""Closed"",Inventory!A:A=A173)),""0"")"),5.353999999999998)</f>
        <v>5.354</v>
      </c>
      <c r="F173" s="235">
        <f>IFERROR(__xludf.DUMMYFUNCTION("IFERROR(SUM(FILTER(Inventory!G:G,Inventory!J:J=""Closed"",Inventory!A:A=A173)),""0"")"),53.539999999999985)</f>
        <v>53.54</v>
      </c>
      <c r="G173" s="235">
        <f>IFERROR(__xludf.DUMMYFUNCTION("IFERROR(AVERAGE(FILTER(Inventory!K:K,Inventory!J:J=""Closed"",Inventory!A:A=A173)),"""")"),0.5)</f>
        <v>0.5</v>
      </c>
      <c r="H173" s="23" t="b">
        <v>0</v>
      </c>
      <c r="I173" s="236"/>
      <c r="J173" s="236">
        <f>MAXIFS(Inventory!D:D, Inventory!A:A, A:A)</f>
        <v>45615</v>
      </c>
      <c r="L173" s="23">
        <f>COUNTIFS(Inventory!A:A,A173,Inventory!J:J,"Open")</f>
        <v>0</v>
      </c>
    </row>
    <row r="174">
      <c r="A174" s="233" t="s">
        <v>6504</v>
      </c>
      <c r="C174" s="78">
        <f>COUNTIF(Inventory!A:A, A174)</f>
        <v>1</v>
      </c>
      <c r="D174" s="89">
        <f>IFERROR(__xludf.DUMMYFUNCTION("IFERROR(AVERAGE(FILTER(Inventory!H:H,Inventory!J:J=""Closed"",Inventory!A:A=A174)),"""")"),0.11551228147820312)</f>
        <v>0.1155122815</v>
      </c>
      <c r="E174" s="234">
        <f>IFERROR(__xludf.DUMMYFUNCTION("IFERROR(AVERAGE(FILTER(Inventory!G:G,Inventory!J:J=""Closed"",Inventory!A:A=A174)),""0"")"),5.219999999999999)</f>
        <v>5.22</v>
      </c>
      <c r="F174" s="235">
        <f>IFERROR(__xludf.DUMMYFUNCTION("IFERROR(SUM(FILTER(Inventory!G:G,Inventory!J:J=""Closed"",Inventory!A:A=A174)),""0"")"),5.219999999999999)</f>
        <v>5.22</v>
      </c>
      <c r="G174" s="235">
        <f>IFERROR(__xludf.DUMMYFUNCTION("IFERROR(AVERAGE(FILTER(Inventory!K:K,Inventory!J:J=""Closed"",Inventory!A:A=A174)),"""")"),0.0)</f>
        <v>0</v>
      </c>
      <c r="H174" s="23" t="b">
        <v>0</v>
      </c>
      <c r="I174" s="236"/>
      <c r="J174" s="236">
        <f>MAXIFS(Inventory!D:D, Inventory!A:A, A:A)</f>
        <v>45401</v>
      </c>
      <c r="L174" s="23">
        <f>COUNTIFS(Inventory!A:A,A174,Inventory!J:J,"Open")</f>
        <v>0</v>
      </c>
    </row>
    <row r="175">
      <c r="A175" s="233" t="s">
        <v>5988</v>
      </c>
      <c r="B175" s="23" t="str">
        <f>Publishers!A253</f>
        <v>Team17 Digital</v>
      </c>
      <c r="C175" s="78">
        <f>COUNTIF(Inventory!A:A, A175)</f>
        <v>8</v>
      </c>
      <c r="D175" s="89">
        <f>IFERROR(__xludf.DUMMYFUNCTION("IFERROR(AVERAGE(FILTER(Inventory!H:H,Inventory!J:J=""Closed"",Inventory!A:A=A175)),"""")"),0.05640949331879045)</f>
        <v>0.05640949332</v>
      </c>
      <c r="E175" s="234">
        <f>IFERROR(__xludf.DUMMYFUNCTION("IFERROR(AVERAGE(FILTER(Inventory!G:G,Inventory!J:J=""Closed"",Inventory!A:A=A175)),""0"")"),0.8500000000000002)</f>
        <v>0.85</v>
      </c>
      <c r="F175" s="235">
        <f>IFERROR(__xludf.DUMMYFUNCTION("IFERROR(SUM(FILTER(Inventory!G:G,Inventory!J:J=""Closed"",Inventory!A:A=A175)),""0"")"),5.950000000000001)</f>
        <v>5.95</v>
      </c>
      <c r="G175" s="235">
        <f>IFERROR(__xludf.DUMMYFUNCTION("IFERROR(AVERAGE(FILTER(Inventory!K:K,Inventory!J:J=""Closed"",Inventory!A:A=A175)),"""")"),0.2857142857142857)</f>
        <v>0.2857142857</v>
      </c>
      <c r="H175" s="23" t="b">
        <v>0</v>
      </c>
      <c r="I175" s="78">
        <v>16.88</v>
      </c>
      <c r="J175" s="236">
        <f>MAXIFS(Inventory!D:D, Inventory!A:A, A:A)</f>
        <v>45339</v>
      </c>
      <c r="L175" s="23">
        <f>COUNTIFS(Inventory!A:A,A175,Inventory!J:J,"Open")</f>
        <v>1</v>
      </c>
    </row>
    <row r="176">
      <c r="A176" s="237" t="s">
        <v>1445</v>
      </c>
      <c r="B176" s="23" t="str">
        <f>Publishers!A8</f>
        <v>505 Games</v>
      </c>
      <c r="C176" s="78">
        <f>COUNTIF(Inventory!A:A, A176)</f>
        <v>1</v>
      </c>
      <c r="D176" s="89">
        <f>IFERROR(__xludf.DUMMYFUNCTION("IFERROR(AVERAGE(FILTER(Inventory!H:H,Inventory!J:J=""Closed"",Inventory!A:A=A176)),"""")"),0.0980507974010632)</f>
        <v>0.0980507974</v>
      </c>
      <c r="E176" s="234">
        <f>IFERROR(__xludf.DUMMYFUNCTION("IFERROR(AVERAGE(FILTER(Inventory!G:G,Inventory!J:J=""Closed"",Inventory!A:A=A176)),""0"")"),1.6600000000000001)</f>
        <v>1.66</v>
      </c>
      <c r="F176" s="235">
        <f>IFERROR(__xludf.DUMMYFUNCTION("IFERROR(SUM(FILTER(Inventory!G:G,Inventory!J:J=""Closed"",Inventory!A:A=A176)),""0"")"),1.6600000000000001)</f>
        <v>1.66</v>
      </c>
      <c r="G176" s="235">
        <f>IFERROR(__xludf.DUMMYFUNCTION("IFERROR(AVERAGE(FILTER(Inventory!K:K,Inventory!J:J=""Closed"",Inventory!A:A=A176)),"""")"),3.0)</f>
        <v>3</v>
      </c>
      <c r="H176" s="23" t="b">
        <v>0</v>
      </c>
      <c r="I176" s="236"/>
      <c r="J176" s="236">
        <f>MAXIFS(Inventory!D:D, Inventory!A:A, A:A)</f>
        <v>44472</v>
      </c>
      <c r="L176" s="23">
        <f>COUNTIFS(Inventory!A:A,A176,Inventory!J:J,"Open")</f>
        <v>0</v>
      </c>
    </row>
    <row r="177">
      <c r="A177" s="237" t="s">
        <v>1702</v>
      </c>
      <c r="B177" s="23" t="str">
        <f>Publishers!A8</f>
        <v>505 Games</v>
      </c>
      <c r="C177" s="78">
        <f>COUNTIF(Inventory!A:A, A177)</f>
        <v>1</v>
      </c>
      <c r="D177" s="89">
        <f>IFERROR(__xludf.DUMMYFUNCTION("IFERROR(AVERAGE(FILTER(Inventory!H:H,Inventory!J:J=""Closed"",Inventory!A:A=A177)),"""")"),0.09268292682926833)</f>
        <v>0.09268292683</v>
      </c>
      <c r="E177" s="234">
        <f>IFERROR(__xludf.DUMMYFUNCTION("IFERROR(AVERAGE(FILTER(Inventory!G:G,Inventory!J:J=""Closed"",Inventory!A:A=A177)),""0"")"),1.1400000000000006)</f>
        <v>1.14</v>
      </c>
      <c r="F177" s="235">
        <f>IFERROR(__xludf.DUMMYFUNCTION("IFERROR(SUM(FILTER(Inventory!G:G,Inventory!J:J=""Closed"",Inventory!A:A=A177)),""0"")"),1.1400000000000006)</f>
        <v>1.14</v>
      </c>
      <c r="G177" s="235">
        <f>IFERROR(__xludf.DUMMYFUNCTION("IFERROR(AVERAGE(FILTER(Inventory!K:K,Inventory!J:J=""Closed"",Inventory!A:A=A177)),"""")"),23.0)</f>
        <v>23</v>
      </c>
      <c r="H177" s="23" t="b">
        <v>0</v>
      </c>
      <c r="I177" s="236"/>
      <c r="J177" s="236">
        <f>MAXIFS(Inventory!D:D, Inventory!A:A, A:A)</f>
        <v>44550</v>
      </c>
      <c r="L177" s="23">
        <f>COUNTIFS(Inventory!A:A,A177,Inventory!J:J,"Open")</f>
        <v>0</v>
      </c>
    </row>
    <row r="178">
      <c r="A178" s="237" t="s">
        <v>1907</v>
      </c>
      <c r="B178" s="23" t="str">
        <f>Publishers!A238</f>
        <v>Star Drifters</v>
      </c>
      <c r="C178" s="78">
        <f>COUNTIF(Inventory!A:A, A178)</f>
        <v>1</v>
      </c>
      <c r="D178" s="89">
        <f>IFERROR(__xludf.DUMMYFUNCTION("IFERROR(AVERAGE(FILTER(Inventory!H:H,Inventory!J:J=""Closed"",Inventory!A:A=A178)),"""")"),1.0)</f>
        <v>1</v>
      </c>
      <c r="E178" s="234">
        <f>IFERROR(__xludf.DUMMYFUNCTION("IFERROR(AVERAGE(FILTER(Inventory!G:G,Inventory!J:J=""Closed"",Inventory!A:A=A178)),""0"")"),0.12)</f>
        <v>0.12</v>
      </c>
      <c r="F178" s="235">
        <f>IFERROR(__xludf.DUMMYFUNCTION("IFERROR(SUM(FILTER(Inventory!G:G,Inventory!J:J=""Closed"",Inventory!A:A=A178)),""0"")"),0.12)</f>
        <v>0.12</v>
      </c>
      <c r="G178" s="235">
        <f>IFERROR(__xludf.DUMMYFUNCTION("IFERROR(AVERAGE(FILTER(Inventory!K:K,Inventory!J:J=""Closed"",Inventory!A:A=A178)),"""")"),7.0)</f>
        <v>7</v>
      </c>
      <c r="H178" s="23" t="b">
        <v>0</v>
      </c>
      <c r="I178" s="236"/>
      <c r="J178" s="236">
        <f>MAXIFS(Inventory!D:D, Inventory!A:A, A:A)</f>
        <v>44596</v>
      </c>
      <c r="L178" s="23">
        <f>COUNTIFS(Inventory!A:A,A178,Inventory!J:J,"Open")</f>
        <v>0</v>
      </c>
    </row>
    <row r="179">
      <c r="A179" s="233" t="s">
        <v>7384</v>
      </c>
      <c r="B179" s="23" t="str">
        <f>Publishers!A267</f>
        <v>tinyBuild</v>
      </c>
      <c r="C179" s="78">
        <f>COUNTIF(Inventory!A:A, A179)</f>
        <v>19</v>
      </c>
      <c r="D179" s="89">
        <f>IFERROR(__xludf.DUMMYFUNCTION("IFERROR(AVERAGE(FILTER(Inventory!H:H,Inventory!J:J=""Closed"",Inventory!A:A=A179)),"""")"),0.2917480678157334)</f>
        <v>0.2917480678</v>
      </c>
      <c r="E179" s="234">
        <f>IFERROR(__xludf.DUMMYFUNCTION("IFERROR(AVERAGE(FILTER(Inventory!G:G,Inventory!J:J=""Closed"",Inventory!A:A=A179)),""0"")"),2.1557894736842105)</f>
        <v>2.155789474</v>
      </c>
      <c r="F179" s="235">
        <f>IFERROR(__xludf.DUMMYFUNCTION("IFERROR(SUM(FILTER(Inventory!G:G,Inventory!J:J=""Closed"",Inventory!A:A=A179)),""0"")"),40.96)</f>
        <v>40.96</v>
      </c>
      <c r="G179" s="235">
        <f>IFERROR(__xludf.DUMMYFUNCTION("IFERROR(AVERAGE(FILTER(Inventory!K:K,Inventory!J:J=""Closed"",Inventory!A:A=A179)),"""")"),1.5263157894736843)</f>
        <v>1.526315789</v>
      </c>
      <c r="H179" s="23" t="b">
        <v>0</v>
      </c>
      <c r="I179" s="236"/>
      <c r="J179" s="236">
        <f>MAXIFS(Inventory!D:D, Inventory!A:A, A:A)</f>
        <v>45698</v>
      </c>
      <c r="K179" s="23" t="str">
        <f>image("https://shared.akamai.steamstatic.com/store_item_assets/steam/apps/2821800/header_alt_assets_0.jpg?t=1727444351")</f>
        <v/>
      </c>
      <c r="L179" s="23">
        <f>COUNTIFS(Inventory!A:A,A179,Inventory!J:J,"Open")</f>
        <v>0</v>
      </c>
    </row>
    <row r="180">
      <c r="A180" s="233" t="s">
        <v>2339</v>
      </c>
      <c r="B180" s="23" t="str">
        <f>Publishers!A195</f>
        <v>PlayWay</v>
      </c>
      <c r="C180" s="78">
        <f>COUNTIF(Inventory!A:A, A180)</f>
        <v>87</v>
      </c>
      <c r="D180" s="89">
        <f>IFERROR(__xludf.DUMMYFUNCTION("IFERROR(AVERAGE(FILTER(Inventory!H:H,Inventory!J:J=""Closed"",Inventory!A:A=A180)),"""")"),0.36131197216830946)</f>
        <v>0.3613119722</v>
      </c>
      <c r="E180" s="234">
        <f>IFERROR(__xludf.DUMMYFUNCTION("IFERROR(AVERAGE(FILTER(Inventory!G:G,Inventory!J:J=""Closed"",Inventory!A:A=A180)),""0"")"),1.225057471264368)</f>
        <v>1.225057471</v>
      </c>
      <c r="F180" s="235">
        <f>IFERROR(__xludf.DUMMYFUNCTION("IFERROR(SUM(FILTER(Inventory!G:G,Inventory!J:J=""Closed"",Inventory!A:A=A180)),""0"")"),106.58000000000001)</f>
        <v>106.58</v>
      </c>
      <c r="G180" s="235">
        <f>IFERROR(__xludf.DUMMYFUNCTION("IFERROR(AVERAGE(FILTER(Inventory!K:K,Inventory!J:J=""Closed"",Inventory!A:A=A180)),"""")"),21.057471264367816)</f>
        <v>21.05747126</v>
      </c>
      <c r="H180" s="23" t="b">
        <v>0</v>
      </c>
      <c r="I180" s="236"/>
      <c r="J180" s="236">
        <f>MAXIFS(Inventory!D:D, Inventory!A:A, A:A)</f>
        <v>45825</v>
      </c>
      <c r="K180" s="23" t="str">
        <f>IMAGE("https://shared.akamai.steamstatic.com/store_item_assets/steam/apps/682990/header.jpg?t=1724674315")</f>
        <v/>
      </c>
      <c r="L180" s="23">
        <f>COUNTIFS(Inventory!A:A,A180,Inventory!J:J,"Open")</f>
        <v>0</v>
      </c>
    </row>
    <row r="181">
      <c r="A181" s="233" t="s">
        <v>7236</v>
      </c>
      <c r="B181" s="23" t="str">
        <f>Publishers!A195</f>
        <v>PlayWay</v>
      </c>
      <c r="C181" s="78">
        <f>COUNTIF(Inventory!A:A, A181)</f>
        <v>2</v>
      </c>
      <c r="D181" s="89">
        <f>IFERROR(__xludf.DUMMYFUNCTION("IFERROR(AVERAGE(FILTER(Inventory!H:H,Inventory!J:J=""Closed"",Inventory!A:A=A181)),"""")"),0.411955055015134)</f>
        <v>0.411955055</v>
      </c>
      <c r="E181" s="234">
        <f>IFERROR(__xludf.DUMMYFUNCTION("IFERROR(AVERAGE(FILTER(Inventory!G:G,Inventory!J:J=""Closed"",Inventory!A:A=A181)),""0"")"),16.475)</f>
        <v>16.475</v>
      </c>
      <c r="F181" s="235">
        <f>IFERROR(__xludf.DUMMYFUNCTION("IFERROR(SUM(FILTER(Inventory!G:G,Inventory!J:J=""Closed"",Inventory!A:A=A181)),""0"")"),32.95)</f>
        <v>32.95</v>
      </c>
      <c r="G181" s="235">
        <f>IFERROR(__xludf.DUMMYFUNCTION("IFERROR(AVERAGE(FILTER(Inventory!K:K,Inventory!J:J=""Closed"",Inventory!A:A=A181)),"""")"),4.0)</f>
        <v>4</v>
      </c>
      <c r="H181" s="23" t="b">
        <v>0</v>
      </c>
      <c r="I181" s="236"/>
      <c r="J181" s="236">
        <f>MAXIFS(Inventory!D:D, Inventory!A:A, A:A)</f>
        <v>45542</v>
      </c>
      <c r="K181" s="23" t="str">
        <f>IMAGE("https://shared.akamai.steamstatic.com/store_item_assets/steam/apps/1708850/header.jpg?t=1728302733")</f>
        <v/>
      </c>
      <c r="L181" s="23">
        <f>COUNTIFS(Inventory!A:A,A181,Inventory!J:J,"Open")</f>
        <v>0</v>
      </c>
    </row>
    <row r="182">
      <c r="A182" s="233" t="s">
        <v>2123</v>
      </c>
      <c r="B182" s="23" t="str">
        <f>Publishers!A47</f>
        <v>CAPCOM</v>
      </c>
      <c r="C182" s="78">
        <f>COUNTIF(Inventory!A:A, A182)</f>
        <v>6</v>
      </c>
      <c r="D182" s="89">
        <f>IFERROR(__xludf.DUMMYFUNCTION("IFERROR(AVERAGE(FILTER(Inventory!H:H,Inventory!J:J=""Closed"",Inventory!A:A=A182)),"""")"),-0.07729483436106795)</f>
        <v>-0.07729483436</v>
      </c>
      <c r="E182" s="234">
        <f>IFERROR(__xludf.DUMMYFUNCTION("IFERROR(AVERAGE(FILTER(Inventory!G:G,Inventory!J:J=""Closed"",Inventory!A:A=A182)),""0"")"),0.03333333333333344)</f>
        <v>0.03333333333</v>
      </c>
      <c r="F182" s="235">
        <f>IFERROR(__xludf.DUMMYFUNCTION("IFERROR(SUM(FILTER(Inventory!G:G,Inventory!J:J=""Closed"",Inventory!A:A=A182)),""0"")"),0.20000000000000062)</f>
        <v>0.2</v>
      </c>
      <c r="G182" s="235">
        <f>IFERROR(__xludf.DUMMYFUNCTION("IFERROR(AVERAGE(FILTER(Inventory!K:K,Inventory!J:J=""Closed"",Inventory!A:A=A182)),"""")"),235.66666666666666)</f>
        <v>235.6666667</v>
      </c>
      <c r="H182" s="23" t="b">
        <v>0</v>
      </c>
      <c r="I182" s="236"/>
      <c r="J182" s="236">
        <f>MAXIFS(Inventory!D:D, Inventory!A:A, A:A)</f>
        <v>45190</v>
      </c>
      <c r="L182" s="23">
        <f>COUNTIFS(Inventory!A:A,A182,Inventory!J:J,"Open")</f>
        <v>0</v>
      </c>
    </row>
    <row r="183">
      <c r="A183" s="233" t="s">
        <v>4353</v>
      </c>
      <c r="B183" s="23" t="str">
        <f>Publishers!A225</f>
        <v>Shiro Games</v>
      </c>
      <c r="C183" s="78">
        <f>COUNTIF(Inventory!A:A, A183)</f>
        <v>5</v>
      </c>
      <c r="D183" s="89">
        <f>IFERROR(__xludf.DUMMYFUNCTION("IFERROR(AVERAGE(FILTER(Inventory!H:H,Inventory!J:J=""Closed"",Inventory!A:A=A183)),"""")"),0.122543697716617)</f>
        <v>0.1225436977</v>
      </c>
      <c r="E183" s="234">
        <f>IFERROR(__xludf.DUMMYFUNCTION("IFERROR(AVERAGE(FILTER(Inventory!G:G,Inventory!J:J=""Closed"",Inventory!A:A=A183)),""0"")"),2.4860000000000007)</f>
        <v>2.486</v>
      </c>
      <c r="F183" s="235">
        <f>IFERROR(__xludf.DUMMYFUNCTION("IFERROR(SUM(FILTER(Inventory!G:G,Inventory!J:J=""Closed"",Inventory!A:A=A183)),""0"")"),12.430000000000003)</f>
        <v>12.43</v>
      </c>
      <c r="G183" s="235">
        <f>IFERROR(__xludf.DUMMYFUNCTION("IFERROR(AVERAGE(FILTER(Inventory!K:K,Inventory!J:J=""Closed"",Inventory!A:A=A183)),"""")"),14.0)</f>
        <v>14</v>
      </c>
      <c r="H183" s="23" t="b">
        <v>0</v>
      </c>
      <c r="I183" s="236"/>
      <c r="J183" s="236">
        <f>MAXIFS(Inventory!D:D, Inventory!A:A, A:A)</f>
        <v>45216</v>
      </c>
      <c r="L183" s="23">
        <f>COUNTIFS(Inventory!A:A,A183,Inventory!J:J,"Open")</f>
        <v>0</v>
      </c>
    </row>
    <row r="184">
      <c r="A184" s="233" t="s">
        <v>5613</v>
      </c>
      <c r="B184" s="23" t="str">
        <f>Publishers!A225</f>
        <v>Shiro Games</v>
      </c>
      <c r="C184" s="78">
        <f>COUNTIF(Inventory!A:A, A184)</f>
        <v>8</v>
      </c>
      <c r="D184" s="89">
        <f>IFERROR(__xludf.DUMMYFUNCTION("IFERROR(AVERAGE(FILTER(Inventory!H:H,Inventory!J:J=""Closed"",Inventory!A:A=A184)),"""")"),0.21422710030657727)</f>
        <v>0.2142271003</v>
      </c>
      <c r="E184" s="234">
        <f>IFERROR(__xludf.DUMMYFUNCTION("IFERROR(AVERAGE(FILTER(Inventory!G:G,Inventory!J:J=""Closed"",Inventory!A:A=A184)),""0"")"),3.95875)</f>
        <v>3.95875</v>
      </c>
      <c r="F184" s="235">
        <f>IFERROR(__xludf.DUMMYFUNCTION("IFERROR(SUM(FILTER(Inventory!G:G,Inventory!J:J=""Closed"",Inventory!A:A=A184)),""0"")"),31.67)</f>
        <v>31.67</v>
      </c>
      <c r="G184" s="235">
        <f>IFERROR(__xludf.DUMMYFUNCTION("IFERROR(AVERAGE(FILTER(Inventory!K:K,Inventory!J:J=""Closed"",Inventory!A:A=A184)),"""")"),23.75)</f>
        <v>23.75</v>
      </c>
      <c r="H184" s="23" t="b">
        <v>0</v>
      </c>
      <c r="I184" s="236"/>
      <c r="J184" s="236">
        <f>MAXIFS(Inventory!D:D, Inventory!A:A, A:A)</f>
        <v>45607</v>
      </c>
      <c r="L184" s="23">
        <f>COUNTIFS(Inventory!A:A,A184,Inventory!J:J,"Open")</f>
        <v>0</v>
      </c>
    </row>
    <row r="185">
      <c r="A185" s="237" t="s">
        <v>123</v>
      </c>
      <c r="B185" s="23" t="str">
        <f>Publishers!A136</f>
        <v>Kalypso Media</v>
      </c>
      <c r="C185" s="78">
        <f>COUNTIF(Inventory!A:A, A185)</f>
        <v>11</v>
      </c>
      <c r="D185" s="89">
        <f>IFERROR(__xludf.DUMMYFUNCTION("IFERROR(AVERAGE(FILTER(Inventory!H:H,Inventory!J:J=""Closed"",Inventory!A:A=A185)),"""")"),0.41982902720250476)</f>
        <v>0.4198290272</v>
      </c>
      <c r="E185" s="234">
        <f>IFERROR(__xludf.DUMMYFUNCTION("IFERROR(AVERAGE(FILTER(Inventory!G:G,Inventory!J:J=""Closed"",Inventory!A:A=A185)),""0"")"),1.2381818181818185)</f>
        <v>1.238181818</v>
      </c>
      <c r="F185" s="235">
        <f>IFERROR(__xludf.DUMMYFUNCTION("IFERROR(SUM(FILTER(Inventory!G:G,Inventory!J:J=""Closed"",Inventory!A:A=A185)),""0"")"),13.620000000000003)</f>
        <v>13.62</v>
      </c>
      <c r="G185" s="235">
        <f>IFERROR(__xludf.DUMMYFUNCTION("IFERROR(AVERAGE(FILTER(Inventory!K:K,Inventory!J:J=""Closed"",Inventory!A:A=A185)),"""")"),9.272727272727273)</f>
        <v>9.272727273</v>
      </c>
      <c r="H185" s="23" t="b">
        <v>0</v>
      </c>
      <c r="I185" s="236"/>
      <c r="J185" s="236">
        <f>MAXIFS(Inventory!D:D, Inventory!A:A, A:A)</f>
        <v>44104</v>
      </c>
      <c r="L185" s="23">
        <f>COUNTIFS(Inventory!A:A,A185,Inventory!J:J,"Open")</f>
        <v>0</v>
      </c>
    </row>
    <row r="186">
      <c r="A186" s="237" t="s">
        <v>1047</v>
      </c>
      <c r="B186" s="23" t="str">
        <f>Publishers!A136</f>
        <v>Kalypso Media</v>
      </c>
      <c r="C186" s="78">
        <f>COUNTIF(Inventory!A:A, A186)</f>
        <v>2</v>
      </c>
      <c r="D186" s="89">
        <f>IFERROR(__xludf.DUMMYFUNCTION("IFERROR(AVERAGE(FILTER(Inventory!H:H,Inventory!J:J=""Closed"",Inventory!A:A=A186)),"""")"),0.7487437185929648)</f>
        <v>0.7487437186</v>
      </c>
      <c r="E186" s="234">
        <f>IFERROR(__xludf.DUMMYFUNCTION("IFERROR(AVERAGE(FILTER(Inventory!G:G,Inventory!J:J=""Closed"",Inventory!A:A=A186)),""0"")"),1.49)</f>
        <v>1.49</v>
      </c>
      <c r="F186" s="235">
        <f>IFERROR(__xludf.DUMMYFUNCTION("IFERROR(SUM(FILTER(Inventory!G:G,Inventory!J:J=""Closed"",Inventory!A:A=A186)),""0"")"),2.98)</f>
        <v>2.98</v>
      </c>
      <c r="G186" s="235">
        <f>IFERROR(__xludf.DUMMYFUNCTION("IFERROR(AVERAGE(FILTER(Inventory!K:K,Inventory!J:J=""Closed"",Inventory!A:A=A186)),"""")"),4.0)</f>
        <v>4</v>
      </c>
      <c r="H186" s="23" t="b">
        <v>0</v>
      </c>
      <c r="I186" s="236"/>
      <c r="J186" s="236">
        <f>MAXIFS(Inventory!D:D, Inventory!A:A, A:A)</f>
        <v>44310</v>
      </c>
      <c r="L186" s="23">
        <f>COUNTIFS(Inventory!A:A,A186,Inventory!J:J,"Open")</f>
        <v>0</v>
      </c>
    </row>
    <row r="187">
      <c r="A187" s="233" t="s">
        <v>5578</v>
      </c>
      <c r="B187" s="23" t="str">
        <f>Publishers!A136</f>
        <v>Kalypso Media</v>
      </c>
      <c r="C187" s="78">
        <f>COUNTIF(Inventory!A:A, A187)</f>
        <v>4</v>
      </c>
      <c r="D187" s="89">
        <f>IFERROR(__xludf.DUMMYFUNCTION("IFERROR(AVERAGE(FILTER(Inventory!H:H,Inventory!J:J=""Closed"",Inventory!A:A=A187)),"""")"),0.1463463346566651)</f>
        <v>0.1463463347</v>
      </c>
      <c r="E187" s="234">
        <f>IFERROR(__xludf.DUMMYFUNCTION("IFERROR(AVERAGE(FILTER(Inventory!G:G,Inventory!J:J=""Closed"",Inventory!A:A=A187)),""0"")"),4.660000000000001)</f>
        <v>4.66</v>
      </c>
      <c r="F187" s="235">
        <f>IFERROR(__xludf.DUMMYFUNCTION("IFERROR(SUM(FILTER(Inventory!G:G,Inventory!J:J=""Closed"",Inventory!A:A=A187)),""0"")"),13.980000000000004)</f>
        <v>13.98</v>
      </c>
      <c r="G187" s="235">
        <f>IFERROR(__xludf.DUMMYFUNCTION("IFERROR(AVERAGE(FILTER(Inventory!K:K,Inventory!J:J=""Closed"",Inventory!A:A=A187)),"""")"),10.333333333333334)</f>
        <v>10.33333333</v>
      </c>
      <c r="H187" s="23" t="b">
        <v>0</v>
      </c>
      <c r="I187" s="236"/>
      <c r="J187" s="236">
        <f>MAXIFS(Inventory!D:D, Inventory!A:A, A:A)</f>
        <v>45617</v>
      </c>
      <c r="L187" s="23">
        <f>COUNTIFS(Inventory!A:A,A187,Inventory!J:J,"Open")</f>
        <v>1</v>
      </c>
    </row>
    <row r="188">
      <c r="A188" s="233" t="s">
        <v>7117</v>
      </c>
      <c r="B188" s="23" t="str">
        <f>Publishers!A136</f>
        <v>Kalypso Media</v>
      </c>
      <c r="C188" s="78">
        <f>COUNTIF(Inventory!A:A, A188)</f>
        <v>5</v>
      </c>
      <c r="D188" s="89">
        <f>IFERROR(__xludf.DUMMYFUNCTION("IFERROR(AVERAGE(FILTER(Inventory!H:H,Inventory!J:J=""Closed"",Inventory!A:A=A188)),"""")"),0.04957454658294018)</f>
        <v>0.04957454658</v>
      </c>
      <c r="E188" s="234">
        <f>IFERROR(__xludf.DUMMYFUNCTION("IFERROR(AVERAGE(FILTER(Inventory!G:G,Inventory!J:J=""Closed"",Inventory!A:A=A188)),""0"")"),1.4524999999999988)</f>
        <v>1.4525</v>
      </c>
      <c r="F188" s="235">
        <f>IFERROR(__xludf.DUMMYFUNCTION("IFERROR(SUM(FILTER(Inventory!G:G,Inventory!J:J=""Closed"",Inventory!A:A=A188)),""0"")"),5.809999999999995)</f>
        <v>5.81</v>
      </c>
      <c r="G188" s="235">
        <f>IFERROR(__xludf.DUMMYFUNCTION("IFERROR(AVERAGE(FILTER(Inventory!K:K,Inventory!J:J=""Closed"",Inventory!A:A=A188)),"""")"),18.75)</f>
        <v>18.75</v>
      </c>
      <c r="H188" s="23" t="b">
        <v>0</v>
      </c>
      <c r="I188" s="236"/>
      <c r="J188" s="236">
        <f>MAXIFS(Inventory!D:D, Inventory!A:A, A:A)</f>
        <v>45494</v>
      </c>
      <c r="L188" s="23">
        <f>COUNTIFS(Inventory!A:A,A188,Inventory!J:J,"Open")</f>
        <v>1</v>
      </c>
    </row>
    <row r="189">
      <c r="A189" s="233" t="s">
        <v>3777</v>
      </c>
      <c r="B189" s="23" t="str">
        <f>Publishers!A51</f>
        <v>Chromatic Games</v>
      </c>
      <c r="C189" s="78">
        <f>COUNTIF(Inventory!A:A, A189)</f>
        <v>1</v>
      </c>
      <c r="D189" s="89">
        <f>IFERROR(__xludf.DUMMYFUNCTION("IFERROR(AVERAGE(FILTER(Inventory!H:H,Inventory!J:J=""Closed"",Inventory!A:A=A189)),"""")"),0.17081260364842457)</f>
        <v>0.1708126036</v>
      </c>
      <c r="E189" s="234">
        <f>IFERROR(__xludf.DUMMYFUNCTION("IFERROR(AVERAGE(FILTER(Inventory!G:G,Inventory!J:J=""Closed"",Inventory!A:A=A189)),""0"")"),2.0600000000000005)</f>
        <v>2.06</v>
      </c>
      <c r="F189" s="235">
        <f>IFERROR(__xludf.DUMMYFUNCTION("IFERROR(SUM(FILTER(Inventory!G:G,Inventory!J:J=""Closed"",Inventory!A:A=A189)),""0"")"),2.0600000000000005)</f>
        <v>2.06</v>
      </c>
      <c r="G189" s="235">
        <f>IFERROR(__xludf.DUMMYFUNCTION("IFERROR(AVERAGE(FILTER(Inventory!K:K,Inventory!J:J=""Closed"",Inventory!A:A=A189)),"""")"),157.0)</f>
        <v>157</v>
      </c>
      <c r="H189" s="23" t="b">
        <v>0</v>
      </c>
      <c r="I189" s="236"/>
      <c r="J189" s="236">
        <f>MAXIFS(Inventory!D:D, Inventory!A:A, A:A)</f>
        <v>45173</v>
      </c>
      <c r="L189" s="23">
        <f>COUNTIFS(Inventory!A:A,A189,Inventory!J:J,"Open")</f>
        <v>0</v>
      </c>
    </row>
    <row r="190">
      <c r="A190" s="233" t="s">
        <v>4168</v>
      </c>
      <c r="B190" s="23" t="str">
        <f>Publishers!A66</f>
        <v>DANGEN Entertainment</v>
      </c>
      <c r="C190" s="78">
        <f>COUNTIF(Inventory!A:A, A190)</f>
        <v>8</v>
      </c>
      <c r="D190" s="89">
        <f>IFERROR(__xludf.DUMMYFUNCTION("IFERROR(AVERAGE(FILTER(Inventory!H:H,Inventory!J:J=""Closed"",Inventory!A:A=A190)),"""")"),0.29893752881844526)</f>
        <v>0.2989375288</v>
      </c>
      <c r="E190" s="234">
        <f>IFERROR(__xludf.DUMMYFUNCTION("IFERROR(AVERAGE(FILTER(Inventory!G:G,Inventory!J:J=""Closed"",Inventory!A:A=A190)),""0"")"),3.5662499999999997)</f>
        <v>3.56625</v>
      </c>
      <c r="F190" s="235">
        <f>IFERROR(__xludf.DUMMYFUNCTION("IFERROR(SUM(FILTER(Inventory!G:G,Inventory!J:J=""Closed"",Inventory!A:A=A190)),""0"")"),28.529999999999998)</f>
        <v>28.53</v>
      </c>
      <c r="G190" s="235">
        <f>IFERROR(__xludf.DUMMYFUNCTION("IFERROR(AVERAGE(FILTER(Inventory!K:K,Inventory!J:J=""Closed"",Inventory!A:A=A190)),"""")"),56.875)</f>
        <v>56.875</v>
      </c>
      <c r="H190" s="23" t="b">
        <v>0</v>
      </c>
      <c r="I190" s="236"/>
      <c r="J190" s="236">
        <f>MAXIFS(Inventory!D:D, Inventory!A:A, A:A)</f>
        <v>45560</v>
      </c>
      <c r="L190" s="23">
        <f>COUNTIFS(Inventory!A:A,A190,Inventory!J:J,"Open")</f>
        <v>0</v>
      </c>
    </row>
    <row r="191">
      <c r="A191" s="233" t="s">
        <v>5510</v>
      </c>
      <c r="B191" s="23" t="str">
        <f>Publishers!A254</f>
        <v>Techland Publishing</v>
      </c>
      <c r="C191" s="78">
        <f>COUNTIF(Inventory!A:A, A191)</f>
        <v>17</v>
      </c>
      <c r="D191" s="89">
        <f>IFERROR(__xludf.DUMMYFUNCTION("IFERROR(AVERAGE(FILTER(Inventory!H:H,Inventory!J:J=""Closed"",Inventory!A:A=A191)),"""")"),0.11325454818145525)</f>
        <v>0.1132545482</v>
      </c>
      <c r="E191" s="234">
        <f>IFERROR(__xludf.DUMMYFUNCTION("IFERROR(AVERAGE(FILTER(Inventory!G:G,Inventory!J:J=""Closed"",Inventory!A:A=A191)),""0"")"),2.2647058823529416)</f>
        <v>2.264705882</v>
      </c>
      <c r="F191" s="235">
        <f>IFERROR(__xludf.DUMMYFUNCTION("IFERROR(SUM(FILTER(Inventory!G:G,Inventory!J:J=""Closed"",Inventory!A:A=A191)),""0"")"),38.50000000000001)</f>
        <v>38.5</v>
      </c>
      <c r="G191" s="235">
        <f>IFERROR(__xludf.DUMMYFUNCTION("IFERROR(AVERAGE(FILTER(Inventory!K:K,Inventory!J:J=""Closed"",Inventory!A:A=A191)),"""")"),0.23529411764705882)</f>
        <v>0.2352941176</v>
      </c>
      <c r="H191" s="23" t="b">
        <v>0</v>
      </c>
      <c r="I191" s="236"/>
      <c r="J191" s="236">
        <f>MAXIFS(Inventory!D:D, Inventory!A:A, A:A)</f>
        <v>45541</v>
      </c>
      <c r="L191" s="23">
        <f>COUNTIFS(Inventory!A:A,A191,Inventory!J:J,"Open")</f>
        <v>0</v>
      </c>
    </row>
    <row r="192">
      <c r="A192" s="233" t="s">
        <v>7232</v>
      </c>
      <c r="B192" s="23" t="str">
        <f>Publishers!A83</f>
        <v>Electronic Arts</v>
      </c>
      <c r="C192" s="78">
        <f>COUNTIF(Inventory!A:A, A192)</f>
        <v>5</v>
      </c>
      <c r="D192" s="89">
        <f>IFERROR(__xludf.DUMMYFUNCTION("IFERROR(AVERAGE(FILTER(Inventory!H:H,Inventory!J:J=""Closed"",Inventory!A:A=A192)),"""")"),0.13552278555431527)</f>
        <v>0.1355227856</v>
      </c>
      <c r="E192" s="234">
        <f>IFERROR(__xludf.DUMMYFUNCTION("IFERROR(AVERAGE(FILTER(Inventory!G:G,Inventory!J:J=""Closed"",Inventory!A:A=A192)),""0"")"),5.525999999999998)</f>
        <v>5.526</v>
      </c>
      <c r="F192" s="235">
        <f>IFERROR(__xludf.DUMMYFUNCTION("IFERROR(SUM(FILTER(Inventory!G:G,Inventory!J:J=""Closed"",Inventory!A:A=A192)),""0"")"),27.62999999999999)</f>
        <v>27.63</v>
      </c>
      <c r="G192" s="235">
        <f>IFERROR(__xludf.DUMMYFUNCTION("IFERROR(AVERAGE(FILTER(Inventory!K:K,Inventory!J:J=""Closed"",Inventory!A:A=A192)),"""")"),2.6)</f>
        <v>2.6</v>
      </c>
      <c r="H192" s="23" t="b">
        <v>0</v>
      </c>
      <c r="I192" s="236"/>
      <c r="J192" s="236">
        <f>MAXIFS(Inventory!D:D, Inventory!A:A, A:A)</f>
        <v>45489</v>
      </c>
      <c r="L192" s="23">
        <f>COUNTIFS(Inventory!A:A,A192,Inventory!J:J,"Open")</f>
        <v>0</v>
      </c>
      <c r="N192" s="239"/>
      <c r="O192" s="239"/>
    </row>
    <row r="193">
      <c r="A193" s="237" t="s">
        <v>504</v>
      </c>
      <c r="B193" s="23" t="str">
        <f>Publishers!A182</f>
        <v>oneoreight</v>
      </c>
      <c r="C193" s="78">
        <f>COUNTIF(Inventory!A:A, A193)</f>
        <v>3</v>
      </c>
      <c r="D193" s="89">
        <f>IFERROR(__xludf.DUMMYFUNCTION("IFERROR(AVERAGE(FILTER(Inventory!H:H,Inventory!J:J=""Closed"",Inventory!A:A=A193)),"""")"),0.3698251160039192)</f>
        <v>0.369825116</v>
      </c>
      <c r="E193" s="234">
        <f>IFERROR(__xludf.DUMMYFUNCTION("IFERROR(AVERAGE(FILTER(Inventory!G:G,Inventory!J:J=""Closed"",Inventory!A:A=A193)),""0"")"),0.26666666666666666)</f>
        <v>0.2666666667</v>
      </c>
      <c r="F193" s="235">
        <f>IFERROR(__xludf.DUMMYFUNCTION("IFERROR(SUM(FILTER(Inventory!G:G,Inventory!J:J=""Closed"",Inventory!A:A=A193)),""0"")"),0.8)</f>
        <v>0.8</v>
      </c>
      <c r="G193" s="235">
        <f>IFERROR(__xludf.DUMMYFUNCTION("IFERROR(AVERAGE(FILTER(Inventory!K:K,Inventory!J:J=""Closed"",Inventory!A:A=A193)),"""")"),36.333333333333336)</f>
        <v>36.33333333</v>
      </c>
      <c r="H193" s="23" t="b">
        <v>0</v>
      </c>
      <c r="I193" s="236"/>
      <c r="J193" s="236">
        <f>MAXIFS(Inventory!D:D, Inventory!A:A, A:A)</f>
        <v>44114</v>
      </c>
      <c r="L193" s="23">
        <f>COUNTIFS(Inventory!A:A,A193,Inventory!J:J,"Open")</f>
        <v>0</v>
      </c>
      <c r="N193" s="239"/>
      <c r="O193" s="239"/>
    </row>
    <row r="194">
      <c r="A194" s="233" t="s">
        <v>5471</v>
      </c>
      <c r="B194" s="23" t="str">
        <f>Publishers!A192</f>
        <v>Play on Worlds</v>
      </c>
      <c r="C194" s="78">
        <f>COUNTIF(Inventory!A:A, A194)</f>
        <v>1</v>
      </c>
      <c r="D194" s="89">
        <f>IFERROR(__xludf.DUMMYFUNCTION("IFERROR(AVERAGE(FILTER(Inventory!H:H,Inventory!J:J=""Closed"",Inventory!A:A=A194)),"""")"),0.22505462490895847)</f>
        <v>0.2250546249</v>
      </c>
      <c r="E194" s="234">
        <f>IFERROR(__xludf.DUMMYFUNCTION("IFERROR(AVERAGE(FILTER(Inventory!G:G,Inventory!J:J=""Closed"",Inventory!A:A=A194)),""0"")"),3.09)</f>
        <v>3.09</v>
      </c>
      <c r="F194" s="235">
        <f>IFERROR(__xludf.DUMMYFUNCTION("IFERROR(SUM(FILTER(Inventory!G:G,Inventory!J:J=""Closed"",Inventory!A:A=A194)),""0"")"),3.09)</f>
        <v>3.09</v>
      </c>
      <c r="G194" s="235">
        <f>IFERROR(__xludf.DUMMYFUNCTION("IFERROR(AVERAGE(FILTER(Inventory!K:K,Inventory!J:J=""Closed"",Inventory!A:A=A194)),"""")"),0.0)</f>
        <v>0</v>
      </c>
      <c r="H194" s="23" t="b">
        <v>0</v>
      </c>
      <c r="I194" s="236"/>
      <c r="J194" s="236">
        <f>MAXIFS(Inventory!D:D, Inventory!A:A, A:A)</f>
        <v>45236</v>
      </c>
      <c r="L194" s="23">
        <f>COUNTIFS(Inventory!A:A,A194,Inventory!J:J,"Open")</f>
        <v>0</v>
      </c>
    </row>
    <row r="195">
      <c r="A195" s="237" t="s">
        <v>1745</v>
      </c>
      <c r="B195" s="23" t="str">
        <f>Publishers!A68</f>
        <v>Dear Villagers</v>
      </c>
      <c r="C195" s="78">
        <f>COUNTIF(Inventory!A:A, A195)</f>
        <v>3</v>
      </c>
      <c r="D195" s="89">
        <f>IFERROR(__xludf.DUMMYFUNCTION("IFERROR(AVERAGE(FILTER(Inventory!H:H,Inventory!J:J=""Closed"",Inventory!A:A=A195)),"""")"),0.1579956139427113)</f>
        <v>0.1579956139</v>
      </c>
      <c r="E195" s="234">
        <f>IFERROR(__xludf.DUMMYFUNCTION("IFERROR(AVERAGE(FILTER(Inventory!G:G,Inventory!J:J=""Closed"",Inventory!A:A=A195)),""0"")"),2.5900000000000003)</f>
        <v>2.59</v>
      </c>
      <c r="F195" s="235">
        <f>IFERROR(__xludf.DUMMYFUNCTION("IFERROR(SUM(FILTER(Inventory!G:G,Inventory!J:J=""Closed"",Inventory!A:A=A195)),""0"")"),7.770000000000001)</f>
        <v>7.77</v>
      </c>
      <c r="G195" s="235">
        <f>IFERROR(__xludf.DUMMYFUNCTION("IFERROR(AVERAGE(FILTER(Inventory!K:K,Inventory!J:J=""Closed"",Inventory!A:A=A195)),"""")"),13.0)</f>
        <v>13</v>
      </c>
      <c r="H195" s="23" t="b">
        <v>0</v>
      </c>
      <c r="I195" s="236"/>
      <c r="J195" s="236">
        <f>MAXIFS(Inventory!D:D, Inventory!A:A, A:A)</f>
        <v>44621</v>
      </c>
      <c r="L195" s="23">
        <f>COUNTIFS(Inventory!A:A,A195,Inventory!J:J,"Open")</f>
        <v>0</v>
      </c>
    </row>
    <row r="196">
      <c r="A196" s="237" t="s">
        <v>1010</v>
      </c>
      <c r="B196" s="23" t="str">
        <f>Publishers!A142</f>
        <v>Konami</v>
      </c>
      <c r="C196" s="78">
        <f>COUNTIF(Inventory!A:A, A196)</f>
        <v>12</v>
      </c>
      <c r="D196" s="89">
        <f>IFERROR(__xludf.DUMMYFUNCTION("IFERROR(AVERAGE(FILTER(Inventory!H:H,Inventory!J:J=""Closed"",Inventory!A:A=A196)),"""")"),0.41240101046471933)</f>
        <v>0.4124010105</v>
      </c>
      <c r="E196" s="234">
        <f>IFERROR(__xludf.DUMMYFUNCTION("IFERROR(AVERAGE(FILTER(Inventory!G:G,Inventory!J:J=""Closed"",Inventory!A:A=A196)),""0"")"),10.497499999999999)</f>
        <v>10.4975</v>
      </c>
      <c r="F196" s="235">
        <f>IFERROR(__xludf.DUMMYFUNCTION("IFERROR(SUM(FILTER(Inventory!G:G,Inventory!J:J=""Closed"",Inventory!A:A=A196)),""0"")"),125.96999999999998)</f>
        <v>125.97</v>
      </c>
      <c r="G196" s="235">
        <f>IFERROR(__xludf.DUMMYFUNCTION("IFERROR(AVERAGE(FILTER(Inventory!K:K,Inventory!J:J=""Closed"",Inventory!A:A=A196)),"""")"),5.666666666666667)</f>
        <v>5.666666667</v>
      </c>
      <c r="H196" s="78" t="b">
        <v>1</v>
      </c>
      <c r="I196" s="236"/>
      <c r="J196" s="236">
        <f>MAXIFS(Inventory!D:D, Inventory!A:A, A:A)</f>
        <v>44739</v>
      </c>
      <c r="K196" s="23" t="str">
        <f>IMAGE("https://shared.akamai.steamstatic.com/store_item_assets/steam/apps/1259970/header.jpg?t=1639008061")</f>
        <v/>
      </c>
      <c r="L196" s="23">
        <f>COUNTIFS(Inventory!A:A,A196,Inventory!J:J,"Open")</f>
        <v>0</v>
      </c>
    </row>
    <row r="197">
      <c r="A197" s="237" t="s">
        <v>1281</v>
      </c>
      <c r="B197" s="23" t="str">
        <f>Publishers!A142</f>
        <v>Konami</v>
      </c>
      <c r="C197" s="78">
        <f>COUNTIF(Inventory!A:A, A197)</f>
        <v>19</v>
      </c>
      <c r="D197" s="89">
        <f>IFERROR(__xludf.DUMMYFUNCTION("IFERROR(AVERAGE(FILTER(Inventory!H:H,Inventory!J:J=""Closed"",Inventory!A:A=A197)),"""")"),0.4410005362728484)</f>
        <v>0.4410005363</v>
      </c>
      <c r="E197" s="234">
        <f>IFERROR(__xludf.DUMMYFUNCTION("IFERROR(AVERAGE(FILTER(Inventory!G:G,Inventory!J:J=""Closed"",Inventory!A:A=A197)),""0"")"),3.8315789473684223)</f>
        <v>3.831578947</v>
      </c>
      <c r="F197" s="235">
        <f>IFERROR(__xludf.DUMMYFUNCTION("IFERROR(SUM(FILTER(Inventory!G:G,Inventory!J:J=""Closed"",Inventory!A:A=A197)),""0"")"),72.80000000000003)</f>
        <v>72.8</v>
      </c>
      <c r="G197" s="235">
        <f>IFERROR(__xludf.DUMMYFUNCTION("IFERROR(AVERAGE(FILTER(Inventory!K:K,Inventory!J:J=""Closed"",Inventory!A:A=A197)),"""")"),8.578947368421053)</f>
        <v>8.578947368</v>
      </c>
      <c r="H197" s="78" t="b">
        <v>0</v>
      </c>
      <c r="I197" s="236"/>
      <c r="J197" s="236">
        <f>MAXIFS(Inventory!D:D, Inventory!A:A, A:A)</f>
        <v>44573</v>
      </c>
      <c r="L197" s="23">
        <f>COUNTIFS(Inventory!A:A,A197,Inventory!J:J,"Open")</f>
        <v>0</v>
      </c>
    </row>
    <row r="198">
      <c r="A198" s="233" t="s">
        <v>6024</v>
      </c>
      <c r="B198" s="23" t="str">
        <f>Publishers!A29</f>
        <v>BANDAI NAMCO</v>
      </c>
      <c r="C198" s="78">
        <f>COUNTIF(Inventory!A:A, A198)</f>
        <v>22</v>
      </c>
      <c r="D198" s="89">
        <f>IFERROR(__xludf.DUMMYFUNCTION("IFERROR(AVERAGE(FILTER(Inventory!H:H,Inventory!J:J=""Closed"",Inventory!A:A=A198)),"""")"),0.2004977573039678)</f>
        <v>0.2004977573</v>
      </c>
      <c r="E198" s="234">
        <f>IFERROR(__xludf.DUMMYFUNCTION("IFERROR(AVERAGE(FILTER(Inventory!G:G,Inventory!J:J=""Closed"",Inventory!A:A=A198)),""0"")"),12.263181818181819)</f>
        <v>12.26318182</v>
      </c>
      <c r="F198" s="235">
        <f>IFERROR(__xludf.DUMMYFUNCTION("IFERROR(SUM(FILTER(Inventory!G:G,Inventory!J:J=""Closed"",Inventory!A:A=A198)),""0"")"),269.79)</f>
        <v>269.79</v>
      </c>
      <c r="G198" s="235">
        <f>IFERROR(__xludf.DUMMYFUNCTION("IFERROR(AVERAGE(FILTER(Inventory!K:K,Inventory!J:J=""Closed"",Inventory!A:A=A198)),"""")"),3.409090909090909)</f>
        <v>3.409090909</v>
      </c>
      <c r="H198" s="23" t="b">
        <v>0</v>
      </c>
      <c r="I198" s="236"/>
      <c r="J198" s="236">
        <f>MAXIFS(Inventory!D:D, Inventory!A:A, A:A)</f>
        <v>45559</v>
      </c>
      <c r="K198" s="23" t="str">
        <f>IMAGE("https://shared.akamai.steamstatic.com/store_item_assets/steam/apps/1245620/header.jpg?t=1726158298")</f>
        <v/>
      </c>
      <c r="L198" s="23">
        <f>COUNTIFS(Inventory!A:A,A198,Inventory!J:J,"Open")</f>
        <v>0</v>
      </c>
    </row>
    <row r="199">
      <c r="A199" s="233" t="s">
        <v>7082</v>
      </c>
      <c r="B199" s="23" t="str">
        <f>Publishers!A29</f>
        <v>BANDAI NAMCO</v>
      </c>
      <c r="C199" s="78">
        <f>COUNTIF(Inventory!A:A, A199)</f>
        <v>6</v>
      </c>
      <c r="D199" s="89">
        <f>IFERROR(__xludf.DUMMYFUNCTION("IFERROR(AVERAGE(FILTER(Inventory!H:H,Inventory!J:J=""Closed"",Inventory!A:A=A199)),"""")"),0.23651223492304838)</f>
        <v>0.2365122349</v>
      </c>
      <c r="E199" s="234">
        <f>IFERROR(__xludf.DUMMYFUNCTION("IFERROR(AVERAGE(FILTER(Inventory!G:G,Inventory!J:J=""Closed"",Inventory!A:A=A199)),""0"")"),7.558333333333334)</f>
        <v>7.558333333</v>
      </c>
      <c r="F199" s="235">
        <f>IFERROR(__xludf.DUMMYFUNCTION("IFERROR(SUM(FILTER(Inventory!G:G,Inventory!J:J=""Closed"",Inventory!A:A=A199)),""0"")"),45.35)</f>
        <v>45.35</v>
      </c>
      <c r="G199" s="235">
        <f>IFERROR(__xludf.DUMMYFUNCTION("IFERROR(AVERAGE(FILTER(Inventory!K:K,Inventory!J:J=""Closed"",Inventory!A:A=A199)),"""")"),0.16666666666666666)</f>
        <v>0.1666666667</v>
      </c>
      <c r="H199" s="23" t="b">
        <v>0</v>
      </c>
      <c r="I199" s="236"/>
      <c r="J199" s="236">
        <f>MAXIFS(Inventory!D:D, Inventory!A:A, A:A)</f>
        <v>45717</v>
      </c>
      <c r="L199" s="23">
        <f>COUNTIFS(Inventory!A:A,A199,Inventory!J:J,"Open")</f>
        <v>0</v>
      </c>
    </row>
    <row r="200">
      <c r="A200" s="233" t="s">
        <v>5984</v>
      </c>
      <c r="B200" s="23" t="str">
        <f>Publishers!A29</f>
        <v>BANDAI NAMCO</v>
      </c>
      <c r="C200" s="78">
        <f>COUNTIF(Inventory!A:A, A200)</f>
        <v>20</v>
      </c>
      <c r="D200" s="89">
        <f>IFERROR(__xludf.DUMMYFUNCTION("IFERROR(AVERAGE(FILTER(Inventory!H:H,Inventory!J:J=""Closed"",Inventory!A:A=A200)),"""")"),0.14377288234481495)</f>
        <v>0.1437728823</v>
      </c>
      <c r="E200" s="234">
        <f>IFERROR(__xludf.DUMMYFUNCTION("IFERROR(AVERAGE(FILTER(Inventory!G:G,Inventory!J:J=""Closed"",Inventory!A:A=A200)),""0"")"),5.061)</f>
        <v>5.061</v>
      </c>
      <c r="F200" s="235">
        <f>IFERROR(__xludf.DUMMYFUNCTION("IFERROR(SUM(FILTER(Inventory!G:G,Inventory!J:J=""Closed"",Inventory!A:A=A200)),""0"")"),101.22)</f>
        <v>101.22</v>
      </c>
      <c r="G200" s="235">
        <f>IFERROR(__xludf.DUMMYFUNCTION("IFERROR(AVERAGE(FILTER(Inventory!K:K,Inventory!J:J=""Closed"",Inventory!A:A=A200)),"""")"),2.95)</f>
        <v>2.95</v>
      </c>
      <c r="H200" s="23" t="b">
        <v>0</v>
      </c>
      <c r="I200" s="236"/>
      <c r="J200" s="236">
        <f>MAXIFS(Inventory!D:D, Inventory!A:A, A:A)</f>
        <v>46196</v>
      </c>
      <c r="L200" s="23">
        <f>COUNTIFS(Inventory!A:A,A200,Inventory!J:J,"Open")</f>
        <v>0</v>
      </c>
    </row>
    <row r="201">
      <c r="A201" s="233" t="s">
        <v>8265</v>
      </c>
      <c r="B201" s="78" t="str">
        <f>Publishers!A29</f>
        <v>BANDAI NAMCO</v>
      </c>
      <c r="C201" s="78">
        <f>COUNTIF(Inventory!A:A, A201)</f>
        <v>5</v>
      </c>
      <c r="D201" s="89">
        <f>IFERROR(__xludf.DUMMYFUNCTION("IFERROR(AVERAGE(FILTER(Inventory!H:H,Inventory!J:J=""Closed"",Inventory!A:A=A201)),"""")"),0.09685757046500991)</f>
        <v>0.09685757047</v>
      </c>
      <c r="E201" s="234">
        <f>IFERROR(__xludf.DUMMYFUNCTION("IFERROR(AVERAGE(FILTER(Inventory!G:G,Inventory!J:J=""Closed"",Inventory!A:A=A201)),""0"")"),3.308)</f>
        <v>3.308</v>
      </c>
      <c r="F201" s="235">
        <f>IFERROR(__xludf.DUMMYFUNCTION("IFERROR(SUM(FILTER(Inventory!G:G,Inventory!J:J=""Closed"",Inventory!A:A=A201)),""0"")"),16.54)</f>
        <v>16.54</v>
      </c>
      <c r="G201" s="235">
        <f>IFERROR(__xludf.DUMMYFUNCTION("IFERROR(AVERAGE(FILTER(Inventory!K:K,Inventory!J:J=""Closed"",Inventory!A:A=A201)),"""")"),13.0)</f>
        <v>13</v>
      </c>
      <c r="H201" s="23" t="b">
        <v>0</v>
      </c>
      <c r="I201" s="236"/>
      <c r="J201" s="236">
        <f>MAXIFS(Inventory!D:D, Inventory!A:A, A:A)</f>
        <v>45712</v>
      </c>
      <c r="L201" s="23">
        <f>COUNTIFS(Inventory!A:A,A201,Inventory!J:J,"Open")</f>
        <v>0</v>
      </c>
    </row>
    <row r="202">
      <c r="A202" s="233" t="s">
        <v>5049</v>
      </c>
      <c r="B202" s="23" t="str">
        <f>Publishers!A102</f>
        <v>Frontier Foundry</v>
      </c>
      <c r="C202" s="78">
        <f>COUNTIF(Inventory!A:A, A202)</f>
        <v>9</v>
      </c>
      <c r="D202" s="89">
        <f>IFERROR(__xludf.DUMMYFUNCTION("IFERROR(AVERAGE(FILTER(Inventory!H:H,Inventory!J:J=""Closed"",Inventory!A:A=A202)),"""")"),0.26046764545948886)</f>
        <v>0.2604676455</v>
      </c>
      <c r="E202" s="234">
        <f>IFERROR(__xludf.DUMMYFUNCTION("IFERROR(AVERAGE(FILTER(Inventory!G:G,Inventory!J:J=""Closed"",Inventory!A:A=A202)),""0"")"),1.5966666666666665)</f>
        <v>1.596666667</v>
      </c>
      <c r="F202" s="235">
        <f>IFERROR(__xludf.DUMMYFUNCTION("IFERROR(SUM(FILTER(Inventory!G:G,Inventory!J:J=""Closed"",Inventory!A:A=A202)),""0"")"),14.369999999999997)</f>
        <v>14.37</v>
      </c>
      <c r="G202" s="235">
        <f>IFERROR(__xludf.DUMMYFUNCTION("IFERROR(AVERAGE(FILTER(Inventory!K:K,Inventory!J:J=""Closed"",Inventory!A:A=A202)),"""")"),0.8888888888888888)</f>
        <v>0.8888888889</v>
      </c>
      <c r="H202" s="23" t="b">
        <v>0</v>
      </c>
      <c r="I202" s="236"/>
      <c r="J202" s="236">
        <f>MAXIFS(Inventory!D:D, Inventory!A:A, A:A)</f>
        <v>45199</v>
      </c>
      <c r="L202" s="23">
        <f>COUNTIFS(Inventory!A:A,A202,Inventory!J:J,"Open")</f>
        <v>0</v>
      </c>
    </row>
    <row r="203">
      <c r="A203" s="233" t="s">
        <v>5618</v>
      </c>
      <c r="C203" s="78"/>
      <c r="D203" s="89">
        <f>IFERROR(__xludf.DUMMYFUNCTION("IFERROR(AVERAGE(FILTER(Inventory!H:H,Inventory!J:J=""Closed"",Inventory!A:A=A203)),"""")"),0.3168023097614477)</f>
        <v>0.3168023098</v>
      </c>
      <c r="E203" s="234">
        <f>IFERROR(__xludf.DUMMYFUNCTION("IFERROR(AVERAGE(FILTER(Inventory!G:G,Inventory!J:J=""Closed"",Inventory!A:A=A203)),""0"")"),2.7433333333333327)</f>
        <v>2.743333333</v>
      </c>
      <c r="F203" s="235">
        <f>IFERROR(__xludf.DUMMYFUNCTION("IFERROR(SUM(FILTER(Inventory!G:G,Inventory!J:J=""Closed"",Inventory!A:A=A203)),""0"")"),16.459999999999997)</f>
        <v>16.46</v>
      </c>
      <c r="G203" s="235">
        <f>IFERROR(__xludf.DUMMYFUNCTION("IFERROR(AVERAGE(FILTER(Inventory!K:K,Inventory!J:J=""Closed"",Inventory!A:A=A203)),"""")"),8.5)</f>
        <v>8.5</v>
      </c>
      <c r="H203" s="23" t="b">
        <v>0</v>
      </c>
      <c r="I203" s="236"/>
      <c r="J203" s="236"/>
      <c r="L203" s="23">
        <f>COUNTIFS(Inventory!A:A,A203,Inventory!J:J,"Open")</f>
        <v>0</v>
      </c>
    </row>
    <row r="204">
      <c r="A204" s="233" t="s">
        <v>5328</v>
      </c>
      <c r="B204" s="23" t="str">
        <f>Publishers!A222</f>
        <v>SEGA</v>
      </c>
      <c r="C204" s="78">
        <f>COUNTIF(Inventory!A:A, A204)</f>
        <v>1</v>
      </c>
      <c r="D204" s="89" t="str">
        <f>IFERROR(__xludf.DUMMYFUNCTION("IFERROR(AVERAGE(FILTER(Inventory!H:H,Inventory!J:J=""Closed"",Inventory!A:A=A204)),"""")"),"")</f>
        <v/>
      </c>
      <c r="E204" s="234" t="str">
        <f>IFERROR(__xludf.DUMMYFUNCTION("IFERROR(AVERAGE(FILTER(Inventory!G:G,Inventory!J:J=""Closed"",Inventory!A:A=A204)),""0"")"),"0")</f>
        <v>0</v>
      </c>
      <c r="F204" s="235" t="str">
        <f>IFERROR(__xludf.DUMMYFUNCTION("IFERROR(SUM(FILTER(Inventory!G:G,Inventory!J:J=""Closed"",Inventory!A:A=A204)),""0"")"),"0")</f>
        <v>0</v>
      </c>
      <c r="G204" s="235" t="str">
        <f>IFERROR(__xludf.DUMMYFUNCTION("IFERROR(AVERAGE(FILTER(Inventory!K:K,Inventory!J:J=""Closed"",Inventory!A:A=A204)),"""")"),"")</f>
        <v/>
      </c>
      <c r="H204" s="23" t="b">
        <v>0</v>
      </c>
      <c r="I204" s="236"/>
      <c r="J204" s="236">
        <f>MAXIFS(Inventory!D:D, Inventory!A:A, A:A)</f>
        <v>0</v>
      </c>
      <c r="L204" s="23">
        <f>COUNTIFS(Inventory!A:A,A204,Inventory!J:J,"Open")</f>
        <v>1</v>
      </c>
    </row>
    <row r="205">
      <c r="A205" s="237" t="s">
        <v>896</v>
      </c>
      <c r="B205" s="23" t="str">
        <f>Publishers!A222</f>
        <v>SEGA</v>
      </c>
      <c r="C205" s="78">
        <f>COUNTIF(Inventory!A:A, A205)</f>
        <v>1</v>
      </c>
      <c r="D205" s="89">
        <f>IFERROR(__xludf.DUMMYFUNCTION("IFERROR(AVERAGE(FILTER(Inventory!H:H,Inventory!J:J=""Closed"",Inventory!A:A=A205)),"""")"),0.22567622123536535)</f>
        <v>0.2256762212</v>
      </c>
      <c r="E205" s="234">
        <f>IFERROR(__xludf.DUMMYFUNCTION("IFERROR(AVERAGE(FILTER(Inventory!G:G,Inventory!J:J=""Closed"",Inventory!A:A=A205)),""0"")"),5.59)</f>
        <v>5.59</v>
      </c>
      <c r="F205" s="235">
        <f>IFERROR(__xludf.DUMMYFUNCTION("IFERROR(SUM(FILTER(Inventory!G:G,Inventory!J:J=""Closed"",Inventory!A:A=A205)),""0"")"),5.59)</f>
        <v>5.59</v>
      </c>
      <c r="G205" s="235">
        <f>IFERROR(__xludf.DUMMYFUNCTION("IFERROR(AVERAGE(FILTER(Inventory!K:K,Inventory!J:J=""Closed"",Inventory!A:A=A205)),"""")"),15.0)</f>
        <v>15</v>
      </c>
      <c r="H205" s="23" t="b">
        <v>0</v>
      </c>
      <c r="I205" s="236"/>
      <c r="J205" s="236">
        <f>MAXIFS(Inventory!D:D, Inventory!A:A, A:A)</f>
        <v>44210</v>
      </c>
      <c r="L205" s="23">
        <f>COUNTIFS(Inventory!A:A,A205,Inventory!J:J,"Open")</f>
        <v>0</v>
      </c>
    </row>
    <row r="206">
      <c r="A206" s="233" t="s">
        <v>3915</v>
      </c>
      <c r="B206" s="23" t="str">
        <f>Publishers!A115</f>
        <v>HandyGames</v>
      </c>
      <c r="C206" s="78">
        <f>COUNTIF(Inventory!A:A, A206)</f>
        <v>7</v>
      </c>
      <c r="D206" s="89">
        <f>IFERROR(__xludf.DUMMYFUNCTION("IFERROR(AVERAGE(FILTER(Inventory!H:H,Inventory!J:J=""Closed"",Inventory!A:A=A206)),"""")"),0.32360765560801336)</f>
        <v>0.3236076556</v>
      </c>
      <c r="E206" s="234">
        <f>IFERROR(__xludf.DUMMYFUNCTION("IFERROR(AVERAGE(FILTER(Inventory!G:G,Inventory!J:J=""Closed"",Inventory!A:A=A206)),""0"")"),5.031666666666666)</f>
        <v>5.031666667</v>
      </c>
      <c r="F206" s="235">
        <f>IFERROR(__xludf.DUMMYFUNCTION("IFERROR(SUM(FILTER(Inventory!G:G,Inventory!J:J=""Closed"",Inventory!A:A=A206)),""0"")"),30.189999999999998)</f>
        <v>30.19</v>
      </c>
      <c r="G206" s="235">
        <f>IFERROR(__xludf.DUMMYFUNCTION("IFERROR(AVERAGE(FILTER(Inventory!K:K,Inventory!J:J=""Closed"",Inventory!A:A=A206)),"""")"),48.833333333333336)</f>
        <v>48.83333333</v>
      </c>
      <c r="H206" s="23" t="b">
        <v>0</v>
      </c>
      <c r="I206" s="78">
        <v>15.27</v>
      </c>
      <c r="J206" s="236">
        <f>MAXIFS(Inventory!D:D, Inventory!A:A, A:A)</f>
        <v>45260</v>
      </c>
      <c r="L206" s="23">
        <f>COUNTIFS(Inventory!A:A,A206,Inventory!J:J,"Open")</f>
        <v>1</v>
      </c>
    </row>
    <row r="207">
      <c r="A207" s="237" t="s">
        <v>138</v>
      </c>
      <c r="B207" s="23" t="str">
        <f>Publishers!A219</f>
        <v>SCS Software</v>
      </c>
      <c r="C207" s="78">
        <f>COUNTIF(Inventory!A:A, A207)</f>
        <v>9</v>
      </c>
      <c r="D207" s="89">
        <f>IFERROR(__xludf.DUMMYFUNCTION("IFERROR(AVERAGE(FILTER(Inventory!H:H,Inventory!J:J=""Closed"",Inventory!A:A=A207)),"""")"),0.2831075736687727)</f>
        <v>0.2831075737</v>
      </c>
      <c r="E207" s="234">
        <f>IFERROR(__xludf.DUMMYFUNCTION("IFERROR(AVERAGE(FILTER(Inventory!G:G,Inventory!J:J=""Closed"",Inventory!A:A=A207)),""0"")"),1.88)</f>
        <v>1.88</v>
      </c>
      <c r="F207" s="235">
        <f>IFERROR(__xludf.DUMMYFUNCTION("IFERROR(SUM(FILTER(Inventory!G:G,Inventory!J:J=""Closed"",Inventory!A:A=A207)),""0"")"),16.919999999999998)</f>
        <v>16.92</v>
      </c>
      <c r="G207" s="235">
        <f>IFERROR(__xludf.DUMMYFUNCTION("IFERROR(AVERAGE(FILTER(Inventory!K:K,Inventory!J:J=""Closed"",Inventory!A:A=A207)),"""")"),1.0)</f>
        <v>1</v>
      </c>
      <c r="H207" s="23" t="b">
        <v>0</v>
      </c>
      <c r="I207" s="236"/>
      <c r="J207" s="236">
        <f>MAXIFS(Inventory!D:D, Inventory!A:A, A:A)</f>
        <v>43990</v>
      </c>
      <c r="L207" s="23">
        <f>COUNTIFS(Inventory!A:A,A207,Inventory!J:J,"Open")</f>
        <v>0</v>
      </c>
    </row>
    <row r="208">
      <c r="A208" s="237" t="s">
        <v>917</v>
      </c>
      <c r="B208" s="23" t="str">
        <f>Publishers!A209</f>
        <v>ROCKFISH Games</v>
      </c>
      <c r="C208" s="78">
        <f>COUNTIF(Inventory!A:A, A208)</f>
        <v>3</v>
      </c>
      <c r="D208" s="89">
        <f>IFERROR(__xludf.DUMMYFUNCTION("IFERROR(AVERAGE(FILTER(Inventory!H:H,Inventory!J:J=""Closed"",Inventory!A:A=A208)),"""")"),0.36638583723481516)</f>
        <v>0.3663858372</v>
      </c>
      <c r="E208" s="234">
        <f>IFERROR(__xludf.DUMMYFUNCTION("IFERROR(AVERAGE(FILTER(Inventory!G:G,Inventory!J:J=""Closed"",Inventory!A:A=A208)),""0"")"),1.5433333333333332)</f>
        <v>1.543333333</v>
      </c>
      <c r="F208" s="235">
        <f>IFERROR(__xludf.DUMMYFUNCTION("IFERROR(SUM(FILTER(Inventory!G:G,Inventory!J:J=""Closed"",Inventory!A:A=A208)),""0"")"),4.63)</f>
        <v>4.63</v>
      </c>
      <c r="G208" s="235">
        <f>IFERROR(__xludf.DUMMYFUNCTION("IFERROR(AVERAGE(FILTER(Inventory!K:K,Inventory!J:J=""Closed"",Inventory!A:A=A208)),"""")"),12.666666666666666)</f>
        <v>12.66666667</v>
      </c>
      <c r="H208" s="23" t="b">
        <v>0</v>
      </c>
      <c r="I208" s="236"/>
      <c r="J208" s="236">
        <f>MAXIFS(Inventory!D:D, Inventory!A:A, A:A)</f>
        <v>44267</v>
      </c>
      <c r="L208" s="23">
        <f>COUNTIFS(Inventory!A:A,A208,Inventory!J:J,"Open")</f>
        <v>0</v>
      </c>
    </row>
    <row r="209">
      <c r="A209" s="237" t="s">
        <v>411</v>
      </c>
      <c r="B209" s="23" t="str">
        <f>Publishers!A209</f>
        <v>ROCKFISH Games</v>
      </c>
      <c r="C209" s="78">
        <f>COUNTIF(Inventory!A:A, A209)</f>
        <v>16</v>
      </c>
      <c r="D209" s="89">
        <f>IFERROR(__xludf.DUMMYFUNCTION("IFERROR(AVERAGE(FILTER(Inventory!H:H,Inventory!J:J=""Closed"",Inventory!A:A=A209)),"""")"),0.2637645180481309)</f>
        <v>0.263764518</v>
      </c>
      <c r="E209" s="234">
        <f>IFERROR(__xludf.DUMMYFUNCTION("IFERROR(AVERAGE(FILTER(Inventory!G:G,Inventory!J:J=""Closed"",Inventory!A:A=A209)),""0"")"),2.295)</f>
        <v>2.295</v>
      </c>
      <c r="F209" s="235">
        <f>IFERROR(__xludf.DUMMYFUNCTION("IFERROR(SUM(FILTER(Inventory!G:G,Inventory!J:J=""Closed"",Inventory!A:A=A209)),""0"")"),36.72)</f>
        <v>36.72</v>
      </c>
      <c r="G209" s="235">
        <f>IFERROR(__xludf.DUMMYFUNCTION("IFERROR(AVERAGE(FILTER(Inventory!K:K,Inventory!J:J=""Closed"",Inventory!A:A=A209)),"""")"),20.4375)</f>
        <v>20.4375</v>
      </c>
      <c r="H209" s="23" t="b">
        <v>0</v>
      </c>
      <c r="I209" s="236"/>
      <c r="J209" s="236">
        <f>MAXIFS(Inventory!D:D, Inventory!A:A, A:A)</f>
        <v>44522</v>
      </c>
      <c r="L209" s="23">
        <f>COUNTIFS(Inventory!A:A,A209,Inventory!J:J,"Open")</f>
        <v>0</v>
      </c>
    </row>
    <row r="210">
      <c r="A210" s="233" t="s">
        <v>2731</v>
      </c>
      <c r="B210" s="23" t="str">
        <f>Publishers!A203</f>
        <v>Rebellion</v>
      </c>
      <c r="C210" s="78">
        <f>COUNTIF(Inventory!A:A, A210)</f>
        <v>9</v>
      </c>
      <c r="D210" s="89">
        <f>IFERROR(__xludf.DUMMYFUNCTION("IFERROR(AVERAGE(FILTER(Inventory!H:H,Inventory!J:J=""Closed"",Inventory!A:A=A210)),"""")"),0.19428586568514009)</f>
        <v>0.1942858657</v>
      </c>
      <c r="E210" s="234">
        <f>IFERROR(__xludf.DUMMYFUNCTION("IFERROR(AVERAGE(FILTER(Inventory!G:G,Inventory!J:J=""Closed"",Inventory!A:A=A210)),""0"")"),2.738750000000001)</f>
        <v>2.73875</v>
      </c>
      <c r="F210" s="235">
        <f>IFERROR(__xludf.DUMMYFUNCTION("IFERROR(SUM(FILTER(Inventory!G:G,Inventory!J:J=""Closed"",Inventory!A:A=A210)),""0"")"),21.910000000000007)</f>
        <v>21.91</v>
      </c>
      <c r="G210" s="235">
        <f>IFERROR(__xludf.DUMMYFUNCTION("IFERROR(AVERAGE(FILTER(Inventory!K:K,Inventory!J:J=""Closed"",Inventory!A:A=A210)),"""")"),4.125)</f>
        <v>4.125</v>
      </c>
      <c r="H210" s="23" t="b">
        <v>0</v>
      </c>
      <c r="I210" s="236"/>
      <c r="J210" s="236">
        <f>MAXIFS(Inventory!D:D, Inventory!A:A, A:A)</f>
        <v>44754</v>
      </c>
      <c r="L210" s="23">
        <f>COUNTIFS(Inventory!A:A,A210,Inventory!J:J,"Open")</f>
        <v>1</v>
      </c>
    </row>
    <row r="211">
      <c r="A211" s="237" t="s">
        <v>1922</v>
      </c>
      <c r="B211" s="23" t="str">
        <f>Publishers!A203</f>
        <v>Rebellion</v>
      </c>
      <c r="C211" s="78">
        <f>COUNTIF(Inventory!A:A, A211)</f>
        <v>21</v>
      </c>
      <c r="D211" s="89">
        <f>IFERROR(__xludf.DUMMYFUNCTION("IFERROR(AVERAGE(FILTER(Inventory!H:H,Inventory!J:J=""Closed"",Inventory!A:A=A211)),"""")"),0.2697050561630476)</f>
        <v>0.2697050562</v>
      </c>
      <c r="E211" s="234">
        <f>IFERROR(__xludf.DUMMYFUNCTION("IFERROR(AVERAGE(FILTER(Inventory!G:G,Inventory!J:J=""Closed"",Inventory!A:A=A211)),""0"")"),6.6)</f>
        <v>6.6</v>
      </c>
      <c r="F211" s="235">
        <f>IFERROR(__xludf.DUMMYFUNCTION("IFERROR(SUM(FILTER(Inventory!G:G,Inventory!J:J=""Closed"",Inventory!A:A=A211)),""0"")"),138.6)</f>
        <v>138.6</v>
      </c>
      <c r="G211" s="235">
        <f>IFERROR(__xludf.DUMMYFUNCTION("IFERROR(AVERAGE(FILTER(Inventory!K:K,Inventory!J:J=""Closed"",Inventory!A:A=A211)),"""")"),47.666666666666664)</f>
        <v>47.66666667</v>
      </c>
      <c r="H211" s="23" t="b">
        <v>0</v>
      </c>
      <c r="I211" s="236"/>
      <c r="J211" s="236">
        <f>MAXIFS(Inventory!D:D, Inventory!A:A, A:A)</f>
        <v>45758</v>
      </c>
      <c r="L211" s="23">
        <f>COUNTIFS(Inventory!A:A,A211,Inventory!J:J,"Open")</f>
        <v>0</v>
      </c>
    </row>
    <row r="212">
      <c r="A212" s="233" t="s">
        <v>6188</v>
      </c>
      <c r="B212" s="23" t="str">
        <f>Publishers!A99</f>
        <v>Focus Home Interactive</v>
      </c>
      <c r="C212" s="78">
        <f>COUNTIF(Inventory!A:A, A212)</f>
        <v>13</v>
      </c>
      <c r="D212" s="89">
        <f>IFERROR(__xludf.DUMMYFUNCTION("IFERROR(AVERAGE(FILTER(Inventory!H:H,Inventory!J:J=""Closed"",Inventory!A:A=A212)),"""")"),0.1701431919735327)</f>
        <v>0.170143192</v>
      </c>
      <c r="E212" s="234">
        <f>IFERROR(__xludf.DUMMYFUNCTION("IFERROR(AVERAGE(FILTER(Inventory!G:G,Inventory!J:J=""Closed"",Inventory!A:A=A212)),""0"")"),3.0661538461538456)</f>
        <v>3.066153846</v>
      </c>
      <c r="F212" s="235">
        <f>IFERROR(__xludf.DUMMYFUNCTION("IFERROR(SUM(FILTER(Inventory!G:G,Inventory!J:J=""Closed"",Inventory!A:A=A212)),""0"")"),39.85999999999999)</f>
        <v>39.86</v>
      </c>
      <c r="G212" s="235">
        <f>IFERROR(__xludf.DUMMYFUNCTION("IFERROR(AVERAGE(FILTER(Inventory!K:K,Inventory!J:J=""Closed"",Inventory!A:A=A212)),"""")"),22.46153846153846)</f>
        <v>22.46153846</v>
      </c>
      <c r="H212" s="23" t="b">
        <v>0</v>
      </c>
      <c r="I212" s="236"/>
      <c r="J212" s="236">
        <f>MAXIFS(Inventory!D:D, Inventory!A:A, A:A)</f>
        <v>45688</v>
      </c>
      <c r="L212" s="23">
        <f>COUNTIFS(Inventory!A:A,A212,Inventory!J:J,"Open")</f>
        <v>0</v>
      </c>
    </row>
    <row r="213">
      <c r="A213" s="237" t="s">
        <v>1196</v>
      </c>
      <c r="B213" s="23" t="str">
        <f>Publishers!A178</f>
        <v>Nyu Media</v>
      </c>
      <c r="C213" s="78">
        <f>COUNTIF(Inventory!A:A, A213)</f>
        <v>2</v>
      </c>
      <c r="D213" s="89">
        <f>IFERROR(__xludf.DUMMYFUNCTION("IFERROR(AVERAGE(FILTER(Inventory!H:H,Inventory!J:J=""Closed"",Inventory!A:A=A213)),"""")"),0.7701220517895431)</f>
        <v>0.7701220518</v>
      </c>
      <c r="E213" s="234">
        <f>IFERROR(__xludf.DUMMYFUNCTION("IFERROR(AVERAGE(FILTER(Inventory!G:G,Inventory!J:J=""Closed"",Inventory!A:A=A213)),""0"")"),1.73)</f>
        <v>1.73</v>
      </c>
      <c r="F213" s="235">
        <f>IFERROR(__xludf.DUMMYFUNCTION("IFERROR(SUM(FILTER(Inventory!G:G,Inventory!J:J=""Closed"",Inventory!A:A=A213)),""0"")"),3.46)</f>
        <v>3.46</v>
      </c>
      <c r="G213" s="235">
        <f>IFERROR(__xludf.DUMMYFUNCTION("IFERROR(AVERAGE(FILTER(Inventory!K:K,Inventory!J:J=""Closed"",Inventory!A:A=A213)),"""")"),192.0)</f>
        <v>192</v>
      </c>
      <c r="H213" s="23" t="b">
        <v>0</v>
      </c>
      <c r="I213" s="236"/>
      <c r="J213" s="236">
        <f>MAXIFS(Inventory!D:D, Inventory!A:A, A:A)</f>
        <v>44727</v>
      </c>
      <c r="L213" s="23">
        <f>COUNTIFS(Inventory!A:A,A213,Inventory!J:J,"Open")</f>
        <v>0</v>
      </c>
    </row>
    <row r="214">
      <c r="A214" s="237" t="s">
        <v>293</v>
      </c>
      <c r="B214" s="23" t="str">
        <f>Publishers!A163</f>
        <v>Modus Games</v>
      </c>
      <c r="C214" s="78">
        <f>COUNTIF(Inventory!A:A, A214)</f>
        <v>4</v>
      </c>
      <c r="D214" s="89">
        <f>IFERROR(__xludf.DUMMYFUNCTION("IFERROR(AVERAGE(FILTER(Inventory!H:H,Inventory!J:J=""Closed"",Inventory!A:A=A214)),"""")"),1.0)</f>
        <v>1</v>
      </c>
      <c r="E214" s="234">
        <f>IFERROR(__xludf.DUMMYFUNCTION("IFERROR(AVERAGE(FILTER(Inventory!G:G,Inventory!J:J=""Closed"",Inventory!A:A=A214)),""0"")"),0.7775000000000001)</f>
        <v>0.7775</v>
      </c>
      <c r="F214" s="235">
        <f>IFERROR(__xludf.DUMMYFUNCTION("IFERROR(SUM(FILTER(Inventory!G:G,Inventory!J:J=""Closed"",Inventory!A:A=A214)),""0"")"),3.1100000000000003)</f>
        <v>3.11</v>
      </c>
      <c r="G214" s="235">
        <f>IFERROR(__xludf.DUMMYFUNCTION("IFERROR(AVERAGE(FILTER(Inventory!K:K,Inventory!J:J=""Closed"",Inventory!A:A=A214)),"""")"),20.25)</f>
        <v>20.25</v>
      </c>
      <c r="H214" s="23" t="b">
        <v>0</v>
      </c>
      <c r="I214" s="236"/>
      <c r="J214" s="236">
        <f>MAXIFS(Inventory!D:D, Inventory!A:A, A:A)</f>
        <v>44041</v>
      </c>
      <c r="L214" s="23">
        <f>COUNTIFS(Inventory!A:A,A214,Inventory!J:J,"Open")</f>
        <v>0</v>
      </c>
    </row>
    <row r="215">
      <c r="A215" s="237" t="s">
        <v>467</v>
      </c>
      <c r="B215" s="23" t="str">
        <f>Publishers!A163</f>
        <v>Modus Games</v>
      </c>
      <c r="C215" s="78">
        <f>COUNTIF(Inventory!A:A, A215)</f>
        <v>1</v>
      </c>
      <c r="D215" s="89">
        <f>IFERROR(__xludf.DUMMYFUNCTION("IFERROR(AVERAGE(FILTER(Inventory!H:H,Inventory!J:J=""Closed"",Inventory!A:A=A215)),"""")"),-0.26086956521739113)</f>
        <v>-0.2608695652</v>
      </c>
      <c r="E215" s="234">
        <f>IFERROR(__xludf.DUMMYFUNCTION("IFERROR(AVERAGE(FILTER(Inventory!G:G,Inventory!J:J=""Closed"",Inventory!A:A=A215)),""0"")"),-0.8999999999999995)</f>
        <v>-0.9</v>
      </c>
      <c r="F215" s="235">
        <f>IFERROR(__xludf.DUMMYFUNCTION("IFERROR(SUM(FILTER(Inventory!G:G,Inventory!J:J=""Closed"",Inventory!A:A=A215)),""0"")"),-0.8999999999999995)</f>
        <v>-0.9</v>
      </c>
      <c r="G215" s="235">
        <f>IFERROR(__xludf.DUMMYFUNCTION("IFERROR(AVERAGE(FILTER(Inventory!K:K,Inventory!J:J=""Closed"",Inventory!A:A=A215)),"""")"),795.0)</f>
        <v>795</v>
      </c>
      <c r="H215" s="23" t="b">
        <v>0</v>
      </c>
      <c r="I215" s="236"/>
      <c r="J215" s="236">
        <f>MAXIFS(Inventory!D:D, Inventory!A:A, A:A)</f>
        <v>44849</v>
      </c>
      <c r="L215" s="23">
        <f>COUNTIFS(Inventory!A:A,A215,Inventory!J:J,"Open")</f>
        <v>0</v>
      </c>
    </row>
    <row r="216">
      <c r="A216" s="237" t="s">
        <v>193</v>
      </c>
      <c r="B216" s="23" t="str">
        <f>Publishers!A48</f>
        <v>Codemasters</v>
      </c>
      <c r="C216" s="78">
        <f>COUNTIF(Inventory!A:A, A216)</f>
        <v>4</v>
      </c>
      <c r="D216" s="89">
        <f>IFERROR(__xludf.DUMMYFUNCTION("IFERROR(AVERAGE(FILTER(Inventory!H:H,Inventory!J:J=""Closed"",Inventory!A:A=A216)),"""")"),0.632826236322357)</f>
        <v>0.6328262363</v>
      </c>
      <c r="E216" s="234">
        <f>IFERROR(__xludf.DUMMYFUNCTION("IFERROR(AVERAGE(FILTER(Inventory!G:G,Inventory!J:J=""Closed"",Inventory!A:A=A216)),""0"")"),1.1675)</f>
        <v>1.1675</v>
      </c>
      <c r="F216" s="235">
        <f>IFERROR(__xludf.DUMMYFUNCTION("IFERROR(SUM(FILTER(Inventory!G:G,Inventory!J:J=""Closed"",Inventory!A:A=A216)),""0"")"),4.67)</f>
        <v>4.67</v>
      </c>
      <c r="G216" s="235">
        <f>IFERROR(__xludf.DUMMYFUNCTION("IFERROR(AVERAGE(FILTER(Inventory!K:K,Inventory!J:J=""Closed"",Inventory!A:A=A216)),"""")"),2.75)</f>
        <v>2.75</v>
      </c>
      <c r="H216" s="23" t="b">
        <v>0</v>
      </c>
      <c r="I216" s="236"/>
      <c r="J216" s="236">
        <f>MAXIFS(Inventory!D:D, Inventory!A:A, A:A)</f>
        <v>44468</v>
      </c>
      <c r="L216" s="23">
        <f>COUNTIFS(Inventory!A:A,A216,Inventory!J:J,"Open")</f>
        <v>0</v>
      </c>
    </row>
    <row r="217">
      <c r="A217" s="237" t="s">
        <v>575</v>
      </c>
      <c r="B217" s="23" t="str">
        <f>Publishers!A48</f>
        <v>Codemasters</v>
      </c>
      <c r="C217" s="78">
        <f>COUNTIF(Inventory!A:A, A217)</f>
        <v>4</v>
      </c>
      <c r="D217" s="89">
        <f>IFERROR(__xludf.DUMMYFUNCTION("IFERROR(AVERAGE(FILTER(Inventory!H:H,Inventory!J:J=""Closed"",Inventory!A:A=A217)),"""")"),0.8255655350633437)</f>
        <v>0.8255655351</v>
      </c>
      <c r="E217" s="234">
        <f>IFERROR(__xludf.DUMMYFUNCTION("IFERROR(AVERAGE(FILTER(Inventory!G:G,Inventory!J:J=""Closed"",Inventory!A:A=A217)),""0"")"),2.675)</f>
        <v>2.675</v>
      </c>
      <c r="F217" s="235">
        <f>IFERROR(__xludf.DUMMYFUNCTION("IFERROR(SUM(FILTER(Inventory!G:G,Inventory!J:J=""Closed"",Inventory!A:A=A217)),""0"")"),10.7)</f>
        <v>10.7</v>
      </c>
      <c r="G217" s="235">
        <f>IFERROR(__xludf.DUMMYFUNCTION("IFERROR(AVERAGE(FILTER(Inventory!K:K,Inventory!J:J=""Closed"",Inventory!A:A=A217)),"""")"),2.75)</f>
        <v>2.75</v>
      </c>
      <c r="H217" s="23" t="b">
        <v>0</v>
      </c>
      <c r="I217" s="236"/>
      <c r="J217" s="236">
        <f>MAXIFS(Inventory!D:D, Inventory!A:A, A:A)</f>
        <v>44094</v>
      </c>
      <c r="L217" s="23">
        <f>COUNTIFS(Inventory!A:A,A217,Inventory!J:J,"Open")</f>
        <v>0</v>
      </c>
    </row>
    <row r="218">
      <c r="A218" s="237" t="s">
        <v>899</v>
      </c>
      <c r="B218" s="23" t="str">
        <f>Publishers!A48</f>
        <v>Codemasters</v>
      </c>
      <c r="C218" s="78">
        <f>COUNTIF(Inventory!A:A, A218)</f>
        <v>7</v>
      </c>
      <c r="D218" s="89">
        <f>IFERROR(__xludf.DUMMYFUNCTION("IFERROR(AVERAGE(FILTER(Inventory!H:H,Inventory!J:J=""Closed"",Inventory!A:A=A218)),"""")"),0.5148160562801499)</f>
        <v>0.5148160563</v>
      </c>
      <c r="E218" s="234">
        <f>IFERROR(__xludf.DUMMYFUNCTION("IFERROR(AVERAGE(FILTER(Inventory!G:G,Inventory!J:J=""Closed"",Inventory!A:A=A218)),""0"")"),2.017142857142857)</f>
        <v>2.017142857</v>
      </c>
      <c r="F218" s="235">
        <f>IFERROR(__xludf.DUMMYFUNCTION("IFERROR(SUM(FILTER(Inventory!G:G,Inventory!J:J=""Closed"",Inventory!A:A=A218)),""0"")"),14.12)</f>
        <v>14.12</v>
      </c>
      <c r="G218" s="235">
        <f>IFERROR(__xludf.DUMMYFUNCTION("IFERROR(AVERAGE(FILTER(Inventory!K:K,Inventory!J:J=""Closed"",Inventory!A:A=A218)),"""")"),21.142857142857142)</f>
        <v>21.14285714</v>
      </c>
      <c r="H218" s="23" t="b">
        <v>0</v>
      </c>
      <c r="I218" s="236"/>
      <c r="J218" s="236">
        <f>MAXIFS(Inventory!D:D, Inventory!A:A, A:A)</f>
        <v>44342</v>
      </c>
      <c r="L218" s="23">
        <f>COUNTIFS(Inventory!A:A,A218,Inventory!J:J,"Open")</f>
        <v>0</v>
      </c>
    </row>
    <row r="219">
      <c r="A219" s="237" t="s">
        <v>1163</v>
      </c>
      <c r="B219" s="23" t="str">
        <f>Publishers!A48</f>
        <v>Codemasters</v>
      </c>
      <c r="C219" s="78">
        <f>COUNTIF(Inventory!A:A, A219)</f>
        <v>1</v>
      </c>
      <c r="D219" s="89">
        <f>IFERROR(__xludf.DUMMYFUNCTION("IFERROR(AVERAGE(FILTER(Inventory!H:H,Inventory!J:J=""Closed"",Inventory!A:A=A219)),"""")"),0.2260040844111641)</f>
        <v>0.2260040844</v>
      </c>
      <c r="E219" s="234">
        <f>IFERROR(__xludf.DUMMYFUNCTION("IFERROR(AVERAGE(FILTER(Inventory!G:G,Inventory!J:J=""Closed"",Inventory!A:A=A219)),""0"")"),3.3200000000000003)</f>
        <v>3.32</v>
      </c>
      <c r="F219" s="235">
        <f>IFERROR(__xludf.DUMMYFUNCTION("IFERROR(SUM(FILTER(Inventory!G:G,Inventory!J:J=""Closed"",Inventory!A:A=A219)),""0"")"),3.3200000000000003)</f>
        <v>3.32</v>
      </c>
      <c r="G219" s="235">
        <f>IFERROR(__xludf.DUMMYFUNCTION("IFERROR(AVERAGE(FILTER(Inventory!K:K,Inventory!J:J=""Closed"",Inventory!A:A=A219)),"""")"),4.0)</f>
        <v>4</v>
      </c>
      <c r="H219" s="23" t="b">
        <v>0</v>
      </c>
      <c r="I219" s="236"/>
      <c r="J219" s="236">
        <f>MAXIFS(Inventory!D:D, Inventory!A:A, A:A)</f>
        <v>44348</v>
      </c>
      <c r="L219" s="23">
        <f>COUNTIFS(Inventory!A:A,A219,Inventory!J:J,"Open")</f>
        <v>0</v>
      </c>
    </row>
    <row r="220">
      <c r="A220" s="237" t="s">
        <v>1601</v>
      </c>
      <c r="B220" s="23" t="str">
        <f>Publishers!A48</f>
        <v>Codemasters</v>
      </c>
      <c r="C220" s="78">
        <f>COUNTIF(Inventory!A:A, A220)</f>
        <v>8</v>
      </c>
      <c r="D220" s="89">
        <f>IFERROR(__xludf.DUMMYFUNCTION("IFERROR(AVERAGE(FILTER(Inventory!H:H,Inventory!J:J=""Closed"",Inventory!A:A=A220)),"""")"),0.16593785127470856)</f>
        <v>0.1659378513</v>
      </c>
      <c r="E220" s="234">
        <f>IFERROR(__xludf.DUMMYFUNCTION("IFERROR(AVERAGE(FILTER(Inventory!G:G,Inventory!J:J=""Closed"",Inventory!A:A=A220)),""0"")"),6.268749999999999)</f>
        <v>6.26875</v>
      </c>
      <c r="F220" s="235">
        <f>IFERROR(__xludf.DUMMYFUNCTION("IFERROR(SUM(FILTER(Inventory!G:G,Inventory!J:J=""Closed"",Inventory!A:A=A220)),""0"")"),50.14999999999999)</f>
        <v>50.15</v>
      </c>
      <c r="G220" s="235">
        <f>IFERROR(__xludf.DUMMYFUNCTION("IFERROR(AVERAGE(FILTER(Inventory!K:K,Inventory!J:J=""Closed"",Inventory!A:A=A220)),"""")"),4.5)</f>
        <v>4.5</v>
      </c>
      <c r="H220" s="23" t="b">
        <v>0</v>
      </c>
      <c r="I220" s="236"/>
      <c r="J220" s="236">
        <f>MAXIFS(Inventory!D:D, Inventory!A:A, A:A)</f>
        <v>44757</v>
      </c>
      <c r="L220" s="23">
        <f>COUNTIFS(Inventory!A:A,A220,Inventory!J:J,"Open")</f>
        <v>0</v>
      </c>
      <c r="N220" s="239"/>
      <c r="O220" s="239"/>
    </row>
    <row r="221">
      <c r="A221" s="237" t="s">
        <v>1696</v>
      </c>
      <c r="B221" s="23" t="str">
        <f>Publishers!A48</f>
        <v>Codemasters</v>
      </c>
      <c r="C221" s="78">
        <f>COUNTIF(Inventory!A:A, A221)</f>
        <v>1</v>
      </c>
      <c r="D221" s="89">
        <f>IFERROR(__xludf.DUMMYFUNCTION("IFERROR(AVERAGE(FILTER(Inventory!H:H,Inventory!J:J=""Closed"",Inventory!A:A=A221)),"""")"),0.13151750972762646)</f>
        <v>0.1315175097</v>
      </c>
      <c r="E221" s="234">
        <f>IFERROR(__xludf.DUMMYFUNCTION("IFERROR(AVERAGE(FILTER(Inventory!G:G,Inventory!J:J=""Closed"",Inventory!A:A=A221)),""0"")"),5.07)</f>
        <v>5.07</v>
      </c>
      <c r="F221" s="235">
        <f>IFERROR(__xludf.DUMMYFUNCTION("IFERROR(SUM(FILTER(Inventory!G:G,Inventory!J:J=""Closed"",Inventory!A:A=A221)),""0"")"),5.07)</f>
        <v>5.07</v>
      </c>
      <c r="G221" s="235">
        <f>IFERROR(__xludf.DUMMYFUNCTION("IFERROR(AVERAGE(FILTER(Inventory!K:K,Inventory!J:J=""Closed"",Inventory!A:A=A221)),"""")"),7.0)</f>
        <v>7</v>
      </c>
      <c r="H221" s="23" t="b">
        <v>0</v>
      </c>
      <c r="I221" s="236"/>
      <c r="J221" s="236">
        <f>MAXIFS(Inventory!D:D, Inventory!A:A, A:A)</f>
        <v>44533</v>
      </c>
      <c r="L221" s="23">
        <f>COUNTIFS(Inventory!A:A,A221,Inventory!J:J,"Open")</f>
        <v>0</v>
      </c>
      <c r="N221" s="239"/>
      <c r="O221" s="239"/>
    </row>
    <row r="222">
      <c r="A222" s="233" t="s">
        <v>4355</v>
      </c>
      <c r="B222" s="23" t="str">
        <f>Publishers!A102</f>
        <v>Frontier Foundry</v>
      </c>
      <c r="C222" s="78">
        <f>COUNTIF(Inventory!A:A, A222)</f>
        <v>13</v>
      </c>
      <c r="D222" s="89">
        <f>IFERROR(__xludf.DUMMYFUNCTION("IFERROR(AVERAGE(FILTER(Inventory!H:H,Inventory!J:J=""Closed"",Inventory!A:A=A222)),"""")"),0.16912672759719619)</f>
        <v>0.1691267276</v>
      </c>
      <c r="E222" s="234">
        <f>IFERROR(__xludf.DUMMYFUNCTION("IFERROR(AVERAGE(FILTER(Inventory!G:G,Inventory!J:J=""Closed"",Inventory!A:A=A222)),""0"")"),2.513076923076923)</f>
        <v>2.513076923</v>
      </c>
      <c r="F222" s="235">
        <f>IFERROR(__xludf.DUMMYFUNCTION("IFERROR(SUM(FILTER(Inventory!G:G,Inventory!J:J=""Closed"",Inventory!A:A=A222)),""0"")"),32.67)</f>
        <v>32.67</v>
      </c>
      <c r="G222" s="235">
        <f>IFERROR(__xludf.DUMMYFUNCTION("IFERROR(AVERAGE(FILTER(Inventory!K:K,Inventory!J:J=""Closed"",Inventory!A:A=A222)),"""")"),1.8461538461538463)</f>
        <v>1.846153846</v>
      </c>
      <c r="H222" s="23" t="b">
        <v>0</v>
      </c>
      <c r="I222" s="236"/>
      <c r="J222" s="236">
        <f>MAXIFS(Inventory!D:D, Inventory!A:A, A:A)</f>
        <v>45163</v>
      </c>
      <c r="L222" s="23">
        <f>COUNTIFS(Inventory!A:A,A222,Inventory!J:J,"Open")</f>
        <v>0</v>
      </c>
      <c r="N222" s="239"/>
      <c r="O222" s="239"/>
    </row>
    <row r="223">
      <c r="A223" s="233" t="s">
        <v>4983</v>
      </c>
      <c r="B223" s="23" t="str">
        <f>Publishers!A102</f>
        <v>Frontier Foundry</v>
      </c>
      <c r="C223" s="78">
        <f>COUNTIF(Inventory!A:A, A223)</f>
        <v>5</v>
      </c>
      <c r="D223" s="89">
        <f>IFERROR(__xludf.DUMMYFUNCTION("IFERROR(AVERAGE(FILTER(Inventory!H:H,Inventory!J:J=""Closed"",Inventory!A:A=A223)),"""")"),0.16011324315822584)</f>
        <v>0.1601132432</v>
      </c>
      <c r="E223" s="234">
        <f>IFERROR(__xludf.DUMMYFUNCTION("IFERROR(AVERAGE(FILTER(Inventory!G:G,Inventory!J:J=""Closed"",Inventory!A:A=A223)),""0"")"),5.089999999999999)</f>
        <v>5.09</v>
      </c>
      <c r="F223" s="235">
        <f>IFERROR(__xludf.DUMMYFUNCTION("IFERROR(SUM(FILTER(Inventory!G:G,Inventory!J:J=""Closed"",Inventory!A:A=A223)),""0"")"),20.359999999999996)</f>
        <v>20.36</v>
      </c>
      <c r="G223" s="235">
        <f>IFERROR(__xludf.DUMMYFUNCTION("IFERROR(AVERAGE(FILTER(Inventory!K:K,Inventory!J:J=""Closed"",Inventory!A:A=A223)),"""")"),16.0)</f>
        <v>16</v>
      </c>
      <c r="H223" s="23" t="b">
        <v>0</v>
      </c>
      <c r="I223" s="236"/>
      <c r="J223" s="236">
        <f>MAXIFS(Inventory!D:D, Inventory!A:A, A:A)</f>
        <v>45247</v>
      </c>
      <c r="L223" s="23">
        <f>COUNTIFS(Inventory!A:A,A223,Inventory!J:J,"Open")</f>
        <v>1</v>
      </c>
      <c r="N223" s="239"/>
      <c r="O223" s="239"/>
    </row>
    <row r="224">
      <c r="A224" s="237" t="s">
        <v>550</v>
      </c>
      <c r="B224" s="23" t="str">
        <f>Publishers!A48</f>
        <v>Codemasters</v>
      </c>
      <c r="C224" s="78">
        <f>COUNTIF(Inventory!A:A, A224)</f>
        <v>31</v>
      </c>
      <c r="D224" s="89">
        <f>IFERROR(__xludf.DUMMYFUNCTION("IFERROR(AVERAGE(FILTER(Inventory!H:H,Inventory!J:J=""Closed"",Inventory!A:A=A224)),"""")"),0.2047947071162009)</f>
        <v>0.2047947071</v>
      </c>
      <c r="E224" s="234">
        <f>IFERROR(__xludf.DUMMYFUNCTION("IFERROR(AVERAGE(FILTER(Inventory!G:G,Inventory!J:J=""Closed"",Inventory!A:A=A224)),""0"")"),1.6867741935483873)</f>
        <v>1.686774194</v>
      </c>
      <c r="F224" s="235">
        <f>IFERROR(__xludf.DUMMYFUNCTION("IFERROR(SUM(FILTER(Inventory!G:G,Inventory!J:J=""Closed"",Inventory!A:A=A224)),""0"")"),52.290000000000006)</f>
        <v>52.29</v>
      </c>
      <c r="G224" s="235">
        <f>IFERROR(__xludf.DUMMYFUNCTION("IFERROR(AVERAGE(FILTER(Inventory!K:K,Inventory!J:J=""Closed"",Inventory!A:A=A224)),"""")"),85.25806451612904)</f>
        <v>85.25806452</v>
      </c>
      <c r="H224" s="23" t="b">
        <v>0</v>
      </c>
      <c r="I224" s="78">
        <v>7.2</v>
      </c>
      <c r="J224" s="236">
        <f>MAXIFS(Inventory!D:D, Inventory!A:A, A:A)</f>
        <v>45644</v>
      </c>
      <c r="L224" s="23">
        <f>COUNTIFS(Inventory!A:A,A224,Inventory!J:J,"Open")</f>
        <v>0</v>
      </c>
    </row>
    <row r="225">
      <c r="A225" s="233" t="s">
        <v>6977</v>
      </c>
      <c r="B225" s="23" t="str">
        <f>Publishers!A68</f>
        <v>Dear Villagers</v>
      </c>
      <c r="C225" s="78">
        <f>COUNTIF(Inventory!A:A, A225)</f>
        <v>12</v>
      </c>
      <c r="D225" s="89">
        <f>IFERROR(__xludf.DUMMYFUNCTION("IFERROR(AVERAGE(FILTER(Inventory!H:H,Inventory!J:J=""Closed"",Inventory!A:A=A225)),"""")"),0.2150267545173816)</f>
        <v>0.2150267545</v>
      </c>
      <c r="E225" s="234">
        <f>IFERROR(__xludf.DUMMYFUNCTION("IFERROR(AVERAGE(FILTER(Inventory!G:G,Inventory!J:J=""Closed"",Inventory!A:A=A225)),""0"")"),2.7350000000000008)</f>
        <v>2.735</v>
      </c>
      <c r="F225" s="235">
        <f>IFERROR(__xludf.DUMMYFUNCTION("IFERROR(SUM(FILTER(Inventory!G:G,Inventory!J:J=""Closed"",Inventory!A:A=A225)),""0"")"),32.82000000000001)</f>
        <v>32.82</v>
      </c>
      <c r="G225" s="235">
        <f>IFERROR(__xludf.DUMMYFUNCTION("IFERROR(AVERAGE(FILTER(Inventory!K:K,Inventory!J:J=""Closed"",Inventory!A:A=A225)),"""")"),6.916666666666667)</f>
        <v>6.916666667</v>
      </c>
      <c r="H225" s="23" t="b">
        <v>0</v>
      </c>
      <c r="I225" s="236"/>
      <c r="J225" s="236">
        <f>MAXIFS(Inventory!D:D, Inventory!A:A, A:A)</f>
        <v>45692</v>
      </c>
      <c r="L225" s="23">
        <f>COUNTIFS(Inventory!A:A,A225,Inventory!J:J,"Open")</f>
        <v>0</v>
      </c>
    </row>
    <row r="226">
      <c r="A226" s="233" t="s">
        <v>4872</v>
      </c>
      <c r="B226" s="23" t="str">
        <f>Publishers!A288</f>
        <v>Wube Software</v>
      </c>
      <c r="C226" s="78">
        <f>COUNTIF(Inventory!A:A, A226)</f>
        <v>1</v>
      </c>
      <c r="D226" s="89">
        <f>IFERROR(__xludf.DUMMYFUNCTION("IFERROR(AVERAGE(FILTER(Inventory!H:H,Inventory!J:J=""Closed"",Inventory!A:A=A226)),"""")"),0.05760709010339742)</f>
        <v>0.0576070901</v>
      </c>
      <c r="E226" s="234">
        <f>IFERROR(__xludf.DUMMYFUNCTION("IFERROR(AVERAGE(FILTER(Inventory!G:G,Inventory!J:J=""Closed"",Inventory!A:A=A226)),""0"")"),1.9500000000000028)</f>
        <v>1.95</v>
      </c>
      <c r="F226" s="235">
        <f>IFERROR(__xludf.DUMMYFUNCTION("IFERROR(SUM(FILTER(Inventory!G:G,Inventory!J:J=""Closed"",Inventory!A:A=A226)),""0"")"),1.9500000000000028)</f>
        <v>1.95</v>
      </c>
      <c r="G226" s="235">
        <f>IFERROR(__xludf.DUMMYFUNCTION("IFERROR(AVERAGE(FILTER(Inventory!K:K,Inventory!J:J=""Closed"",Inventory!A:A=A226)),"""")"),37.0)</f>
        <v>37</v>
      </c>
      <c r="H226" s="23" t="b">
        <v>0</v>
      </c>
      <c r="I226" s="236"/>
      <c r="J226" s="236">
        <f>MAXIFS(Inventory!D:D, Inventory!A:A, A:A)</f>
        <v>45205</v>
      </c>
      <c r="L226" s="23">
        <f>COUNTIFS(Inventory!A:A,A226,Inventory!J:J,"Open")</f>
        <v>0</v>
      </c>
    </row>
    <row r="227">
      <c r="A227" s="237" t="s">
        <v>1811</v>
      </c>
      <c r="B227" s="23" t="str">
        <f>Publishers!A155</f>
        <v>Mediatonic</v>
      </c>
      <c r="C227" s="78">
        <f>COUNTIF(Inventory!A:A, A227)</f>
        <v>6</v>
      </c>
      <c r="D227" s="89">
        <f>IFERROR(__xludf.DUMMYFUNCTION("IFERROR(AVERAGE(FILTER(Inventory!H:H,Inventory!J:J=""Closed"",Inventory!A:A=A227)),"""")"),0.15153854812756393)</f>
        <v>0.1515385481</v>
      </c>
      <c r="E227" s="234">
        <f>IFERROR(__xludf.DUMMYFUNCTION("IFERROR(AVERAGE(FILTER(Inventory!G:G,Inventory!J:J=""Closed"",Inventory!A:A=A227)),""0"")"),1.3516666666666666)</f>
        <v>1.351666667</v>
      </c>
      <c r="F227" s="235">
        <f>IFERROR(__xludf.DUMMYFUNCTION("IFERROR(SUM(FILTER(Inventory!G:G,Inventory!J:J=""Closed"",Inventory!A:A=A227)),""0"")"),8.11)</f>
        <v>8.11</v>
      </c>
      <c r="G227" s="235">
        <f>IFERROR(__xludf.DUMMYFUNCTION("IFERROR(AVERAGE(FILTER(Inventory!K:K,Inventory!J:J=""Closed"",Inventory!A:A=A227)),"""")"),1.3333333333333333)</f>
        <v>1.333333333</v>
      </c>
      <c r="H227" s="23" t="b">
        <v>0</v>
      </c>
      <c r="I227" s="236"/>
      <c r="J227" s="236">
        <f>MAXIFS(Inventory!D:D, Inventory!A:A, A:A)</f>
        <v>44569</v>
      </c>
      <c r="L227" s="23">
        <f>COUNTIFS(Inventory!A:A,A227,Inventory!J:J,"Open")</f>
        <v>0</v>
      </c>
    </row>
    <row r="228">
      <c r="A228" s="237" t="s">
        <v>1624</v>
      </c>
      <c r="B228" s="23" t="str">
        <f>Publishers!A160</f>
        <v>Microids</v>
      </c>
      <c r="C228" s="78">
        <f>COUNTIF(Inventory!A:A, A228)</f>
        <v>1</v>
      </c>
      <c r="D228" s="89">
        <f>IFERROR(__xludf.DUMMYFUNCTION("IFERROR(AVERAGE(FILTER(Inventory!H:H,Inventory!J:J=""Closed"",Inventory!A:A=A228)),"""")"),1.0)</f>
        <v>1</v>
      </c>
      <c r="E228" s="234">
        <f>IFERROR(__xludf.DUMMYFUNCTION("IFERROR(AVERAGE(FILTER(Inventory!G:G,Inventory!J:J=""Closed"",Inventory!A:A=A228)),""0"")"),0.14)</f>
        <v>0.14</v>
      </c>
      <c r="F228" s="235">
        <f>IFERROR(__xludf.DUMMYFUNCTION("IFERROR(SUM(FILTER(Inventory!G:G,Inventory!J:J=""Closed"",Inventory!A:A=A228)),""0"")"),0.14)</f>
        <v>0.14</v>
      </c>
      <c r="G228" s="235">
        <f>IFERROR(__xludf.DUMMYFUNCTION("IFERROR(AVERAGE(FILTER(Inventory!K:K,Inventory!J:J=""Closed"",Inventory!A:A=A228)),"""")"),4.0)</f>
        <v>4</v>
      </c>
      <c r="H228" s="23" t="b">
        <v>0</v>
      </c>
      <c r="I228" s="236"/>
      <c r="J228" s="236">
        <f>MAXIFS(Inventory!D:D, Inventory!A:A, A:A)</f>
        <v>44514</v>
      </c>
      <c r="L228" s="23">
        <f>COUNTIFS(Inventory!A:A,A228,Inventory!J:J,"Open")</f>
        <v>0</v>
      </c>
    </row>
    <row r="229">
      <c r="A229" s="233" t="s">
        <v>6627</v>
      </c>
      <c r="B229" s="23" t="str">
        <f>Publishers!A34</f>
        <v>Bethesda Softworks</v>
      </c>
      <c r="C229" s="78">
        <f>COUNTIF(Inventory!A:A, A229)</f>
        <v>8</v>
      </c>
      <c r="D229" s="89">
        <f>IFERROR(__xludf.DUMMYFUNCTION("IFERROR(AVERAGE(FILTER(Inventory!H:H,Inventory!J:J=""Closed"",Inventory!A:A=A229)),"""")"),0.2566770430521787)</f>
        <v>0.2566770431</v>
      </c>
      <c r="E229" s="234">
        <f>IFERROR(__xludf.DUMMYFUNCTION("IFERROR(AVERAGE(FILTER(Inventory!G:G,Inventory!J:J=""Closed"",Inventory!A:A=A229)),""0"")"),3.6487499999999997)</f>
        <v>3.64875</v>
      </c>
      <c r="F229" s="235">
        <f>IFERROR(__xludf.DUMMYFUNCTION("IFERROR(SUM(FILTER(Inventory!G:G,Inventory!J:J=""Closed"",Inventory!A:A=A229)),""0"")"),29.189999999999998)</f>
        <v>29.19</v>
      </c>
      <c r="G229" s="235">
        <f>IFERROR(__xludf.DUMMYFUNCTION("IFERROR(AVERAGE(FILTER(Inventory!K:K,Inventory!J:J=""Closed"",Inventory!A:A=A229)),"""")"),10.5)</f>
        <v>10.5</v>
      </c>
      <c r="H229" s="78" t="b">
        <v>0</v>
      </c>
      <c r="I229" s="236"/>
      <c r="J229" s="236">
        <f>MAXIFS(Inventory!D:D, Inventory!A:A, A:A)</f>
        <v>45597</v>
      </c>
      <c r="L229" s="23">
        <f>COUNTIFS(Inventory!A:A,A229,Inventory!J:J,"Open")</f>
        <v>0</v>
      </c>
    </row>
    <row r="230">
      <c r="A230" s="233" t="s">
        <v>2466</v>
      </c>
      <c r="B230" s="23" t="str">
        <f>Publishers!A34</f>
        <v>Bethesda Softworks</v>
      </c>
      <c r="C230" s="78">
        <f>COUNTIF(Inventory!A:A, A230)</f>
        <v>206</v>
      </c>
      <c r="D230" s="89">
        <f>IFERROR(__xludf.DUMMYFUNCTION("IFERROR(AVERAGE(FILTER(Inventory!H:H,Inventory!J:J=""Closed"",Inventory!A:A=A230)),"""")"),0.21337317150740243)</f>
        <v>0.2133731715</v>
      </c>
      <c r="E230" s="234">
        <f>IFERROR(__xludf.DUMMYFUNCTION("IFERROR(AVERAGE(FILTER(Inventory!G:G,Inventory!J:J=""Closed"",Inventory!A:A=A230)),""0"")"),2.464048780487803)</f>
        <v>2.46404878</v>
      </c>
      <c r="F230" s="235">
        <f>IFERROR(__xludf.DUMMYFUNCTION("IFERROR(SUM(FILTER(Inventory!G:G,Inventory!J:J=""Closed"",Inventory!A:A=A230)),""0"")"),505.1299999999996)</f>
        <v>505.13</v>
      </c>
      <c r="G230" s="235">
        <f>IFERROR(__xludf.DUMMYFUNCTION("IFERROR(AVERAGE(FILTER(Inventory!K:K,Inventory!J:J=""Closed"",Inventory!A:A=A230)),"""")"),3.873170731707317)</f>
        <v>3.873170732</v>
      </c>
      <c r="H230" s="78" t="b">
        <v>1</v>
      </c>
      <c r="I230" s="236"/>
      <c r="J230" s="236">
        <f>MAXIFS(Inventory!D:D, Inventory!A:A, A:A)</f>
        <v>46199</v>
      </c>
      <c r="K230" s="23" t="str">
        <f>IMAGE("https://shared.akamai.steamstatic.com/store_item_assets/steam/apps/611660/header.jpg?t=1607445202")</f>
        <v/>
      </c>
      <c r="L230" s="23">
        <f>COUNTIFS(Inventory!A:A,A230,Inventory!J:J,"Open")</f>
        <v>1</v>
      </c>
    </row>
    <row r="231">
      <c r="A231" s="233" t="s">
        <v>4926</v>
      </c>
      <c r="B231" s="23" t="str">
        <f>Publishers!A34</f>
        <v>Bethesda Softworks</v>
      </c>
      <c r="C231" s="78">
        <f>COUNTIF(Inventory!A:A, A231)</f>
        <v>245</v>
      </c>
      <c r="D231" s="89">
        <f>IFERROR(__xludf.DUMMYFUNCTION("IFERROR(AVERAGE(FILTER(Inventory!H:H,Inventory!J:J=""Closed"",Inventory!A:A=A231)),"""")"),0.18494066531023595)</f>
        <v>0.1849406653</v>
      </c>
      <c r="E231" s="234">
        <f>IFERROR(__xludf.DUMMYFUNCTION("IFERROR(AVERAGE(FILTER(Inventory!G:G,Inventory!J:J=""Closed"",Inventory!A:A=A231)),""0"")"),1.9907346938775508)</f>
        <v>1.990734694</v>
      </c>
      <c r="F231" s="235">
        <f>IFERROR(__xludf.DUMMYFUNCTION("IFERROR(SUM(FILTER(Inventory!G:G,Inventory!J:J=""Closed"",Inventory!A:A=A231)),""0"")"),487.72999999999996)</f>
        <v>487.73</v>
      </c>
      <c r="G231" s="235">
        <f>IFERROR(__xludf.DUMMYFUNCTION("IFERROR(AVERAGE(FILTER(Inventory!K:K,Inventory!J:J=""Closed"",Inventory!A:A=A231)),"""")"),2.5673469387755103)</f>
        <v>2.567346939</v>
      </c>
      <c r="H231" s="78" t="b">
        <v>0</v>
      </c>
      <c r="I231" s="236"/>
      <c r="J231" s="236">
        <f>MAXIFS(Inventory!D:D, Inventory!A:A, A:A)</f>
        <v>45473</v>
      </c>
      <c r="K231" s="23" t="str">
        <f>IMAGE("https://shared.akamai.steamstatic.com/store_item_assets/steam/apps/1151340/header.jpg?t=1725391345")</f>
        <v/>
      </c>
      <c r="L231" s="23">
        <f>COUNTIFS(Inventory!A:A,A231,Inventory!J:J,"Open")</f>
        <v>0</v>
      </c>
    </row>
    <row r="232">
      <c r="A232" s="233" t="s">
        <v>6682</v>
      </c>
      <c r="B232" s="78" t="str">
        <f>Publishers!A34</f>
        <v>Bethesda Softworks</v>
      </c>
      <c r="C232" s="78">
        <f>COUNTIF(Inventory!A:A, A232)</f>
        <v>21</v>
      </c>
      <c r="D232" s="89">
        <f>IFERROR(__xludf.DUMMYFUNCTION("IFERROR(AVERAGE(FILTER(Inventory!H:H,Inventory!J:J=""Closed"",Inventory!A:A=A232)),"""")"),0.3117008626771213)</f>
        <v>0.3117008627</v>
      </c>
      <c r="E232" s="234">
        <f>IFERROR(__xludf.DUMMYFUNCTION("IFERROR(AVERAGE(FILTER(Inventory!G:G,Inventory!J:J=""Closed"",Inventory!A:A=A232)),""0"")"),3.865714285714285)</f>
        <v>3.865714286</v>
      </c>
      <c r="F232" s="235">
        <f>IFERROR(__xludf.DUMMYFUNCTION("IFERROR(SUM(FILTER(Inventory!G:G,Inventory!J:J=""Closed"",Inventory!A:A=A232)),""0"")"),81.17999999999999)</f>
        <v>81.18</v>
      </c>
      <c r="G232" s="235">
        <f>IFERROR(__xludf.DUMMYFUNCTION("IFERROR(AVERAGE(FILTER(Inventory!K:K,Inventory!J:J=""Closed"",Inventory!A:A=A232)),"""")"),21.0)</f>
        <v>21</v>
      </c>
      <c r="H232" s="78" t="b">
        <v>0</v>
      </c>
      <c r="I232" s="236"/>
      <c r="J232" s="236">
        <f>MAXIFS(Inventory!D:D, Inventory!A:A, A:A)</f>
        <v>45640</v>
      </c>
      <c r="L232" s="23">
        <f>COUNTIFS(Inventory!A:A,A232,Inventory!J:J,"Open")</f>
        <v>0</v>
      </c>
    </row>
    <row r="233">
      <c r="A233" s="237" t="s">
        <v>999</v>
      </c>
      <c r="B233" s="23" t="str">
        <f>Publishers!A99</f>
        <v>Focus Home Interactive</v>
      </c>
      <c r="C233" s="78">
        <f>COUNTIF(Inventory!A:A, A233)</f>
        <v>6</v>
      </c>
      <c r="D233" s="89">
        <f>IFERROR(__xludf.DUMMYFUNCTION("IFERROR(AVERAGE(FILTER(Inventory!H:H,Inventory!J:J=""Closed"",Inventory!A:A=A233)),"""")"),0.17080499068150737)</f>
        <v>0.1708049907</v>
      </c>
      <c r="E233" s="234">
        <f>IFERROR(__xludf.DUMMYFUNCTION("IFERROR(AVERAGE(FILTER(Inventory!G:G,Inventory!J:J=""Closed"",Inventory!A:A=A233)),""0"")"),1.6950000000000003)</f>
        <v>1.695</v>
      </c>
      <c r="F233" s="235">
        <f>IFERROR(__xludf.DUMMYFUNCTION("IFERROR(SUM(FILTER(Inventory!G:G,Inventory!J:J=""Closed"",Inventory!A:A=A233)),""0"")"),10.170000000000002)</f>
        <v>10.17</v>
      </c>
      <c r="G233" s="235">
        <f>IFERROR(__xludf.DUMMYFUNCTION("IFERROR(AVERAGE(FILTER(Inventory!K:K,Inventory!J:J=""Closed"",Inventory!A:A=A233)),"""")"),2.0)</f>
        <v>2</v>
      </c>
      <c r="H233" s="23" t="b">
        <v>0</v>
      </c>
      <c r="I233" s="236"/>
      <c r="J233" s="236">
        <f>MAXIFS(Inventory!D:D, Inventory!A:A, A:A)</f>
        <v>44514</v>
      </c>
      <c r="L233" s="23">
        <f>COUNTIFS(Inventory!A:A,A233,Inventory!J:J,"Open")</f>
        <v>0</v>
      </c>
    </row>
    <row r="234">
      <c r="A234" s="237" t="s">
        <v>1574</v>
      </c>
      <c r="B234" s="23" t="str">
        <f>Publishers!A99</f>
        <v>Focus Home Interactive</v>
      </c>
      <c r="C234" s="78">
        <f>COUNTIF(Inventory!A:A, A234)</f>
        <v>2</v>
      </c>
      <c r="D234" s="89">
        <f>IFERROR(__xludf.DUMMYFUNCTION("IFERROR(AVERAGE(FILTER(Inventory!H:H,Inventory!J:J=""Closed"",Inventory!A:A=A234)),"""")"),0.11470823341326936)</f>
        <v>0.1147082334</v>
      </c>
      <c r="E234" s="234">
        <f>IFERROR(__xludf.DUMMYFUNCTION("IFERROR(AVERAGE(FILTER(Inventory!G:G,Inventory!J:J=""Closed"",Inventory!A:A=A234)),""0"")"),1.4349999999999996)</f>
        <v>1.435</v>
      </c>
      <c r="F234" s="235">
        <f>IFERROR(__xludf.DUMMYFUNCTION("IFERROR(SUM(FILTER(Inventory!G:G,Inventory!J:J=""Closed"",Inventory!A:A=A234)),""0"")"),2.869999999999999)</f>
        <v>2.87</v>
      </c>
      <c r="G234" s="235">
        <f>IFERROR(__xludf.DUMMYFUNCTION("IFERROR(AVERAGE(FILTER(Inventory!K:K,Inventory!J:J=""Closed"",Inventory!A:A=A234)),"""")"),0.5)</f>
        <v>0.5</v>
      </c>
      <c r="H234" s="23" t="b">
        <v>0</v>
      </c>
      <c r="I234" s="236"/>
      <c r="J234" s="236">
        <f>MAXIFS(Inventory!D:D, Inventory!A:A, A:A)</f>
        <v>44495</v>
      </c>
      <c r="L234" s="23">
        <f>COUNTIFS(Inventory!A:A,A234,Inventory!J:J,"Open")</f>
        <v>0</v>
      </c>
    </row>
    <row r="235">
      <c r="A235" s="237" t="s">
        <v>1556</v>
      </c>
      <c r="B235" s="23" t="str">
        <f>Publishers!A99</f>
        <v>Focus Home Interactive</v>
      </c>
      <c r="C235" s="78">
        <f>COUNTIF(Inventory!A:A, A235)</f>
        <v>5</v>
      </c>
      <c r="D235" s="89">
        <f>IFERROR(__xludf.DUMMYFUNCTION("IFERROR(AVERAGE(FILTER(Inventory!H:H,Inventory!J:J=""Closed"",Inventory!A:A=A235)),"""")"),0.1528507619624444)</f>
        <v>0.152850762</v>
      </c>
      <c r="E235" s="234">
        <f>IFERROR(__xludf.DUMMYFUNCTION("IFERROR(AVERAGE(FILTER(Inventory!G:G,Inventory!J:J=""Closed"",Inventory!A:A=A235)),""0"")"),3.000000000000001)</f>
        <v>3</v>
      </c>
      <c r="F235" s="235">
        <f>IFERROR(__xludf.DUMMYFUNCTION("IFERROR(SUM(FILTER(Inventory!G:G,Inventory!J:J=""Closed"",Inventory!A:A=A235)),""0"")"),15.000000000000004)</f>
        <v>15</v>
      </c>
      <c r="G235" s="235">
        <f>IFERROR(__xludf.DUMMYFUNCTION("IFERROR(AVERAGE(FILTER(Inventory!K:K,Inventory!J:J=""Closed"",Inventory!A:A=A235)),"""")"),28.8)</f>
        <v>28.8</v>
      </c>
      <c r="H235" s="23" t="b">
        <v>0</v>
      </c>
      <c r="I235" s="236"/>
      <c r="J235" s="236">
        <f>MAXIFS(Inventory!D:D, Inventory!A:A, A:A)</f>
        <v>44643</v>
      </c>
      <c r="L235" s="23">
        <f>COUNTIFS(Inventory!A:A,A235,Inventory!J:J,"Open")</f>
        <v>0</v>
      </c>
    </row>
    <row r="236">
      <c r="A236" s="233" t="s">
        <v>4096</v>
      </c>
      <c r="B236" s="23" t="str">
        <f>Publishers!A60</f>
        <v>Crate Entertainment</v>
      </c>
      <c r="C236" s="78">
        <f>COUNTIF(Inventory!A:A, A236)</f>
        <v>10</v>
      </c>
      <c r="D236" s="89">
        <f>IFERROR(__xludf.DUMMYFUNCTION("IFERROR(AVERAGE(FILTER(Inventory!H:H,Inventory!J:J=""Closed"",Inventory!A:A=A236)),"""")"),0.18819937526092012)</f>
        <v>0.1881993753</v>
      </c>
      <c r="E236" s="234">
        <f>IFERROR(__xludf.DUMMYFUNCTION("IFERROR(AVERAGE(FILTER(Inventory!G:G,Inventory!J:J=""Closed"",Inventory!A:A=A236)),""0"")"),6.389000000000001)</f>
        <v>6.389</v>
      </c>
      <c r="F236" s="235">
        <f>IFERROR(__xludf.DUMMYFUNCTION("IFERROR(SUM(FILTER(Inventory!G:G,Inventory!J:J=""Closed"",Inventory!A:A=A236)),""0"")"),63.89000000000001)</f>
        <v>63.89</v>
      </c>
      <c r="G236" s="235">
        <f>IFERROR(__xludf.DUMMYFUNCTION("IFERROR(AVERAGE(FILTER(Inventory!K:K,Inventory!J:J=""Closed"",Inventory!A:A=A236)),"""")"),32.5)</f>
        <v>32.5</v>
      </c>
      <c r="H236" s="23" t="b">
        <v>0</v>
      </c>
      <c r="I236" s="78">
        <v>33.86</v>
      </c>
      <c r="J236" s="236">
        <f>MAXIFS(Inventory!D:D, Inventory!A:A, A:A)</f>
        <v>45453</v>
      </c>
      <c r="L236" s="23">
        <f>COUNTIFS(Inventory!A:A,A236,Inventory!J:J,"Open")</f>
        <v>0</v>
      </c>
    </row>
    <row r="237">
      <c r="A237" s="233" t="s">
        <v>3354</v>
      </c>
      <c r="B237" s="23" t="str">
        <f>Publishers!A141</f>
        <v>KOEI TECMO GAMES</v>
      </c>
      <c r="C237" s="78">
        <f>COUNTIF(Inventory!A:A, A237)</f>
        <v>1</v>
      </c>
      <c r="D237" s="89">
        <f>IFERROR(__xludf.DUMMYFUNCTION("IFERROR(AVERAGE(FILTER(Inventory!H:H,Inventory!J:J=""Closed"",Inventory!A:A=A237)),"""")"),0.09680000000000007)</f>
        <v>0.0968</v>
      </c>
      <c r="E237" s="234">
        <f>IFERROR(__xludf.DUMMYFUNCTION("IFERROR(AVERAGE(FILTER(Inventory!G:G,Inventory!J:J=""Closed"",Inventory!A:A=A237)),""0"")"),2.4200000000000017)</f>
        <v>2.42</v>
      </c>
      <c r="F237" s="235">
        <f>IFERROR(__xludf.DUMMYFUNCTION("IFERROR(SUM(FILTER(Inventory!G:G,Inventory!J:J=""Closed"",Inventory!A:A=A237)),""0"")"),2.4200000000000017)</f>
        <v>2.42</v>
      </c>
      <c r="G237" s="235">
        <f>IFERROR(__xludf.DUMMYFUNCTION("IFERROR(AVERAGE(FILTER(Inventory!K:K,Inventory!J:J=""Closed"",Inventory!A:A=A237)),"""")"),1150.0)</f>
        <v>1150</v>
      </c>
      <c r="H237" s="23" t="b">
        <v>0</v>
      </c>
      <c r="I237" s="78">
        <v>27.73</v>
      </c>
      <c r="J237" s="236">
        <f>MAXIFS(Inventory!D:D, Inventory!A:A, A:A)</f>
        <v>46108</v>
      </c>
      <c r="L237" s="23">
        <f>COUNTIFS(Inventory!A:A,A237,Inventory!J:J,"Open")</f>
        <v>0</v>
      </c>
    </row>
    <row r="238">
      <c r="A238" s="237" t="s">
        <v>110</v>
      </c>
      <c r="B238" s="23" t="str">
        <f>Publishers!A65</f>
        <v>Daedalic Entertainment</v>
      </c>
      <c r="C238" s="78">
        <f>COUNTIF(Inventory!A:A, A238)</f>
        <v>3</v>
      </c>
      <c r="D238" s="89">
        <f>IFERROR(__xludf.DUMMYFUNCTION("IFERROR(AVERAGE(FILTER(Inventory!H:H,Inventory!J:J=""Closed"",Inventory!A:A=A238)),"""")"),-44.99494949494949)</f>
        <v>-44.99494949</v>
      </c>
      <c r="E238" s="234">
        <f>IFERROR(__xludf.DUMMYFUNCTION("IFERROR(AVERAGE(FILTER(Inventory!G:G,Inventory!J:J=""Closed"",Inventory!A:A=A238)),""0"")"),-2.97)</f>
        <v>-2.97</v>
      </c>
      <c r="F238" s="235">
        <f>IFERROR(__xludf.DUMMYFUNCTION("IFERROR(SUM(FILTER(Inventory!G:G,Inventory!J:J=""Closed"",Inventory!A:A=A238)),""0"")"),-8.91)</f>
        <v>-8.91</v>
      </c>
      <c r="G238" s="235">
        <f>IFERROR(__xludf.DUMMYFUNCTION("IFERROR(AVERAGE(FILTER(Inventory!K:K,Inventory!J:J=""Closed"",Inventory!A:A=A238)),"""")"),950.6666666666666)</f>
        <v>950.6666667</v>
      </c>
      <c r="H238" s="23" t="b">
        <v>0</v>
      </c>
      <c r="I238" s="236"/>
      <c r="J238" s="236">
        <f>MAXIFS(Inventory!D:D, Inventory!A:A, A:A)</f>
        <v>44987</v>
      </c>
      <c r="L238" s="23">
        <f>COUNTIFS(Inventory!A:A,A238,Inventory!J:J,"Open")</f>
        <v>0</v>
      </c>
    </row>
    <row r="239">
      <c r="A239" s="237" t="s">
        <v>861</v>
      </c>
      <c r="B239" s="23" t="str">
        <f>Publishers!A167</f>
        <v>Nacon</v>
      </c>
      <c r="C239" s="78">
        <f>COUNTIF(Inventory!A:A, A239)</f>
        <v>1</v>
      </c>
      <c r="D239" s="89">
        <f>IFERROR(__xludf.DUMMYFUNCTION("IFERROR(AVERAGE(FILTER(Inventory!H:H,Inventory!J:J=""Closed"",Inventory!A:A=A239)),"""")"),0.45945945945945954)</f>
        <v>0.4594594595</v>
      </c>
      <c r="E239" s="234">
        <f>IFERROR(__xludf.DUMMYFUNCTION("IFERROR(AVERAGE(FILTER(Inventory!G:G,Inventory!J:J=""Closed"",Inventory!A:A=A239)),""0"")"),0.5100000000000001)</f>
        <v>0.51</v>
      </c>
      <c r="F239" s="235">
        <f>IFERROR(__xludf.DUMMYFUNCTION("IFERROR(SUM(FILTER(Inventory!G:G,Inventory!J:J=""Closed"",Inventory!A:A=A239)),""0"")"),0.5100000000000001)</f>
        <v>0.51</v>
      </c>
      <c r="G239" s="235">
        <f>IFERROR(__xludf.DUMMYFUNCTION("IFERROR(AVERAGE(FILTER(Inventory!K:K,Inventory!J:J=""Closed"",Inventory!A:A=A239)),"""")"),54.0)</f>
        <v>54</v>
      </c>
      <c r="H239" s="23" t="b">
        <v>0</v>
      </c>
      <c r="I239" s="236"/>
      <c r="J239" s="236">
        <f>MAXIFS(Inventory!D:D, Inventory!A:A, A:A)</f>
        <v>44237</v>
      </c>
      <c r="L239" s="23">
        <f>COUNTIFS(Inventory!A:A,A239,Inventory!J:J,"Open")</f>
        <v>0</v>
      </c>
    </row>
    <row r="240">
      <c r="A240" s="237" t="s">
        <v>125</v>
      </c>
      <c r="B240" s="23" t="str">
        <f>Publishers!A217</f>
        <v>Scraping Bottom</v>
      </c>
      <c r="C240" s="78">
        <f>COUNTIF(Inventory!A:A, A240)</f>
        <v>1</v>
      </c>
      <c r="D240" s="89">
        <f>IFERROR(__xludf.DUMMYFUNCTION("IFERROR(AVERAGE(FILTER(Inventory!H:H,Inventory!J:J=""Closed"",Inventory!A:A=A240)),"""")"),1.0)</f>
        <v>1</v>
      </c>
      <c r="E240" s="234">
        <f>IFERROR(__xludf.DUMMYFUNCTION("IFERROR(AVERAGE(FILTER(Inventory!G:G,Inventory!J:J=""Closed"",Inventory!A:A=A240)),""0"")"),4.88)</f>
        <v>4.88</v>
      </c>
      <c r="F240" s="235">
        <f>IFERROR(__xludf.DUMMYFUNCTION("IFERROR(SUM(FILTER(Inventory!G:G,Inventory!J:J=""Closed"",Inventory!A:A=A240)),""0"")"),4.88)</f>
        <v>4.88</v>
      </c>
      <c r="G240" s="235">
        <f>IFERROR(__xludf.DUMMYFUNCTION("IFERROR(AVERAGE(FILTER(Inventory!K:K,Inventory!J:J=""Closed"",Inventory!A:A=A240)),"""")"),69.0)</f>
        <v>69</v>
      </c>
      <c r="H240" s="23" t="b">
        <v>0</v>
      </c>
      <c r="I240" s="236"/>
      <c r="J240" s="236">
        <f>MAXIFS(Inventory!D:D, Inventory!A:A, A:A)</f>
        <v>44035</v>
      </c>
      <c r="L240" s="23">
        <f>COUNTIFS(Inventory!A:A,A240,Inventory!J:J,"Open")</f>
        <v>0</v>
      </c>
    </row>
    <row r="241">
      <c r="A241" s="233" t="s">
        <v>3637</v>
      </c>
      <c r="B241" s="23" t="str">
        <f>Publishers!A31</f>
        <v>Bedtime Digital Games</v>
      </c>
      <c r="C241" s="78">
        <f>COUNTIF(Inventory!A:A, A241)</f>
        <v>2</v>
      </c>
      <c r="D241" s="89" t="str">
        <f>IFERROR(__xludf.DUMMYFUNCTION("IFERROR(AVERAGE(FILTER(Inventory!H:H,Inventory!J:J=""Closed"",Inventory!A:A=A241)),"""")"),"")</f>
        <v/>
      </c>
      <c r="E241" s="234" t="str">
        <f>IFERROR(__xludf.DUMMYFUNCTION("IFERROR(AVERAGE(FILTER(Inventory!G:G,Inventory!J:J=""Closed"",Inventory!A:A=A241)),""0"")"),"0")</f>
        <v>0</v>
      </c>
      <c r="F241" s="235" t="str">
        <f>IFERROR(__xludf.DUMMYFUNCTION("IFERROR(SUM(FILTER(Inventory!G:G,Inventory!J:J=""Closed"",Inventory!A:A=A241)),""0"")"),"0")</f>
        <v>0</v>
      </c>
      <c r="G241" s="235" t="str">
        <f>IFERROR(__xludf.DUMMYFUNCTION("IFERROR(AVERAGE(FILTER(Inventory!K:K,Inventory!J:J=""Closed"",Inventory!A:A=A241)),"""")"),"")</f>
        <v/>
      </c>
      <c r="H241" s="23" t="b">
        <v>0</v>
      </c>
      <c r="I241" s="236"/>
      <c r="J241" s="236">
        <f>MAXIFS(Inventory!D:D, Inventory!A:A, A:A)</f>
        <v>0</v>
      </c>
      <c r="L241" s="23">
        <f>COUNTIFS(Inventory!A:A,A241,Inventory!J:J,"Open")</f>
        <v>2</v>
      </c>
    </row>
    <row r="242">
      <c r="A242" s="233" t="s">
        <v>2350</v>
      </c>
      <c r="B242" s="23" t="str">
        <f>Publishers!A137</f>
        <v>Kasedo Games</v>
      </c>
      <c r="C242" s="78">
        <f>COUNTIF(Inventory!A:A, A242)</f>
        <v>1</v>
      </c>
      <c r="D242" s="89">
        <f>IFERROR(__xludf.DUMMYFUNCTION("IFERROR(AVERAGE(FILTER(Inventory!H:H,Inventory!J:J=""Closed"",Inventory!A:A=A242)),"""")"),0.12396694214876026)</f>
        <v>0.1239669421</v>
      </c>
      <c r="E242" s="234">
        <f>IFERROR(__xludf.DUMMYFUNCTION("IFERROR(AVERAGE(FILTER(Inventory!G:G,Inventory!J:J=""Closed"",Inventory!A:A=A242)),""0"")"),0.44999999999999973)</f>
        <v>0.45</v>
      </c>
      <c r="F242" s="235">
        <f>IFERROR(__xludf.DUMMYFUNCTION("IFERROR(SUM(FILTER(Inventory!G:G,Inventory!J:J=""Closed"",Inventory!A:A=A242)),""0"")"),0.44999999999999973)</f>
        <v>0.45</v>
      </c>
      <c r="G242" s="235">
        <f>IFERROR(__xludf.DUMMYFUNCTION("IFERROR(AVERAGE(FILTER(Inventory!K:K,Inventory!J:J=""Closed"",Inventory!A:A=A242)),"""")"),67.0)</f>
        <v>67</v>
      </c>
      <c r="H242" s="23" t="b">
        <v>0</v>
      </c>
      <c r="I242" s="236"/>
      <c r="J242" s="236">
        <f>MAXIFS(Inventory!D:D, Inventory!A:A, A:A)</f>
        <v>44726</v>
      </c>
      <c r="L242" s="23">
        <f>COUNTIFS(Inventory!A:A,A242,Inventory!J:J,"Open")</f>
        <v>0</v>
      </c>
    </row>
    <row r="243">
      <c r="A243" s="233" t="s">
        <v>2914</v>
      </c>
      <c r="B243" s="23" t="str">
        <f>Publishers!A237</f>
        <v>Square Enix</v>
      </c>
      <c r="C243" s="78">
        <f>COUNTIF(Inventory!A:A, A243)</f>
        <v>4</v>
      </c>
      <c r="D243" s="89">
        <f>IFERROR(__xludf.DUMMYFUNCTION("IFERROR(AVERAGE(FILTER(Inventory!H:H,Inventory!J:J=""Closed"",Inventory!A:A=A243)),"""")"),0.2007435821002094)</f>
        <v>0.2007435821</v>
      </c>
      <c r="E243" s="234">
        <f>IFERROR(__xludf.DUMMYFUNCTION("IFERROR(AVERAGE(FILTER(Inventory!G:G,Inventory!J:J=""Closed"",Inventory!A:A=A243)),""0"")"),3.68)</f>
        <v>3.68</v>
      </c>
      <c r="F243" s="235">
        <f>IFERROR(__xludf.DUMMYFUNCTION("IFERROR(SUM(FILTER(Inventory!G:G,Inventory!J:J=""Closed"",Inventory!A:A=A243)),""0"")"),11.040000000000001)</f>
        <v>11.04</v>
      </c>
      <c r="G243" s="235">
        <f>IFERROR(__xludf.DUMMYFUNCTION("IFERROR(AVERAGE(FILTER(Inventory!K:K,Inventory!J:J=""Closed"",Inventory!A:A=A243)),"""")"),12.333333333333334)</f>
        <v>12.33333333</v>
      </c>
      <c r="H243" s="23" t="b">
        <v>0</v>
      </c>
      <c r="I243" s="236"/>
      <c r="J243" s="236">
        <f>MAXIFS(Inventory!D:D, Inventory!A:A, A:A)</f>
        <v>45059</v>
      </c>
      <c r="L243" s="23">
        <f>COUNTIFS(Inventory!A:A,A243,Inventory!J:J,"Open")</f>
        <v>1</v>
      </c>
    </row>
    <row r="244">
      <c r="A244" s="233" t="s">
        <v>3979</v>
      </c>
      <c r="B244" s="23" t="str">
        <f>Publishers!A237</f>
        <v>Square Enix</v>
      </c>
      <c r="C244" s="78">
        <f>COUNTIF(Inventory!A:A, A244)</f>
        <v>50</v>
      </c>
      <c r="D244" s="89">
        <f>IFERROR(__xludf.DUMMYFUNCTION("IFERROR(AVERAGE(FILTER(Inventory!H:H,Inventory!J:J=""Closed"",Inventory!A:A=A244)),"""")"),0.14787382844124144)</f>
        <v>0.1478738284</v>
      </c>
      <c r="E244" s="234">
        <f>IFERROR(__xludf.DUMMYFUNCTION("IFERROR(AVERAGE(FILTER(Inventory!G:G,Inventory!J:J=""Closed"",Inventory!A:A=A244)),""0"")"),5.473617021276596)</f>
        <v>5.473617021</v>
      </c>
      <c r="F244" s="235">
        <f>IFERROR(__xludf.DUMMYFUNCTION("IFERROR(SUM(FILTER(Inventory!G:G,Inventory!J:J=""Closed"",Inventory!A:A=A244)),""0"")"),257.26000000000005)</f>
        <v>257.26</v>
      </c>
      <c r="G244" s="235">
        <f>IFERROR(__xludf.DUMMYFUNCTION("IFERROR(AVERAGE(FILTER(Inventory!K:K,Inventory!J:J=""Closed"",Inventory!A:A=A244)),"""")"),9.085106382978724)</f>
        <v>9.085106383</v>
      </c>
      <c r="H244" s="23" t="b">
        <v>0</v>
      </c>
      <c r="I244" s="236"/>
      <c r="J244" s="236">
        <f>MAXIFS(Inventory!D:D, Inventory!A:A, A:A)</f>
        <v>45726</v>
      </c>
      <c r="K244" s="23" t="str">
        <f>IMAGE("https://shared.akamai.steamstatic.com/store_item_assets/steam/apps/1462040/header.jpg?t=1725001967")</f>
        <v/>
      </c>
      <c r="L244" s="23">
        <f>COUNTIFS(Inventory!A:A,A244,Inventory!J:J,"Open")</f>
        <v>3</v>
      </c>
    </row>
    <row r="245">
      <c r="A245" s="237" t="s">
        <v>310</v>
      </c>
      <c r="B245" s="23" t="str">
        <f>Publishers!A78</f>
        <v>Dovetail Games</v>
      </c>
      <c r="C245" s="78">
        <f>COUNTIF(Inventory!A:A, A245)</f>
        <v>1</v>
      </c>
      <c r="D245" s="89">
        <f>IFERROR(__xludf.DUMMYFUNCTION("IFERROR(AVERAGE(FILTER(Inventory!H:H,Inventory!J:J=""Closed"",Inventory!A:A=A245)),"""")"),0.2526946107784431)</f>
        <v>0.2526946108</v>
      </c>
      <c r="E245" s="234">
        <f>IFERROR(__xludf.DUMMYFUNCTION("IFERROR(AVERAGE(FILTER(Inventory!G:G,Inventory!J:J=""Closed"",Inventory!A:A=A245)),""0"")"),2.1099999999999994)</f>
        <v>2.11</v>
      </c>
      <c r="F245" s="235">
        <f>IFERROR(__xludf.DUMMYFUNCTION("IFERROR(SUM(FILTER(Inventory!G:G,Inventory!J:J=""Closed"",Inventory!A:A=A245)),""0"")"),2.1099999999999994)</f>
        <v>2.11</v>
      </c>
      <c r="G245" s="235">
        <f>IFERROR(__xludf.DUMMYFUNCTION("IFERROR(AVERAGE(FILTER(Inventory!K:K,Inventory!J:J=""Closed"",Inventory!A:A=A245)),"""")"),15.0)</f>
        <v>15</v>
      </c>
      <c r="H245" s="23" t="b">
        <v>0</v>
      </c>
      <c r="I245" s="236"/>
      <c r="J245" s="236">
        <f>MAXIFS(Inventory!D:D, Inventory!A:A, A:A)</f>
        <v>44034</v>
      </c>
      <c r="L245" s="23">
        <f>COUNTIFS(Inventory!A:A,A245,Inventory!J:J,"Open")</f>
        <v>0</v>
      </c>
    </row>
    <row r="246">
      <c r="A246" s="237" t="s">
        <v>106</v>
      </c>
      <c r="B246" s="23" t="str">
        <f>Publishers!A91</f>
        <v>Excalibur Games</v>
      </c>
      <c r="C246" s="78">
        <f>COUNTIF(Inventory!A:A, A246)</f>
        <v>19</v>
      </c>
      <c r="D246" s="89">
        <f>IFERROR(__xludf.DUMMYFUNCTION("IFERROR(AVERAGE(FILTER(Inventory!H:H,Inventory!J:J=""Closed"",Inventory!A:A=A246)),"""")"),0.48086647337212485)</f>
        <v>0.4808664734</v>
      </c>
      <c r="E246" s="234">
        <f>IFERROR(__xludf.DUMMYFUNCTION("IFERROR(AVERAGE(FILTER(Inventory!G:G,Inventory!J:J=""Closed"",Inventory!A:A=A246)),""0"")"),2.85578947368421)</f>
        <v>2.855789474</v>
      </c>
      <c r="F246" s="235">
        <f>IFERROR(__xludf.DUMMYFUNCTION("IFERROR(SUM(FILTER(Inventory!G:G,Inventory!J:J=""Closed"",Inventory!A:A=A246)),""0"")"),54.25999999999999)</f>
        <v>54.26</v>
      </c>
      <c r="G246" s="235">
        <f>IFERROR(__xludf.DUMMYFUNCTION("IFERROR(AVERAGE(FILTER(Inventory!K:K,Inventory!J:J=""Closed"",Inventory!A:A=A246)),"""")"),0.9473684210526315)</f>
        <v>0.9473684211</v>
      </c>
      <c r="H246" s="78" t="b">
        <v>1</v>
      </c>
      <c r="I246" s="236"/>
      <c r="J246" s="236">
        <f>MAXIFS(Inventory!D:D, Inventory!A:A, A:A)</f>
        <v>44712</v>
      </c>
      <c r="L246" s="23">
        <f>COUNTIFS(Inventory!A:A,A246,Inventory!J:J,"Open")</f>
        <v>0</v>
      </c>
    </row>
    <row r="247">
      <c r="A247" s="237" t="s">
        <v>1920</v>
      </c>
      <c r="B247" s="23" t="str">
        <f>Publishers!A65</f>
        <v>Daedalic Entertainment</v>
      </c>
      <c r="C247" s="78">
        <f>COUNTIF(Inventory!A:A, A247)</f>
        <v>2</v>
      </c>
      <c r="D247" s="89">
        <f>IFERROR(__xludf.DUMMYFUNCTION("IFERROR(AVERAGE(FILTER(Inventory!H:H,Inventory!J:J=""Closed"",Inventory!A:A=A247)),"""")"),1.0)</f>
        <v>1</v>
      </c>
      <c r="E247" s="234">
        <f>IFERROR(__xludf.DUMMYFUNCTION("IFERROR(AVERAGE(FILTER(Inventory!G:G,Inventory!J:J=""Closed"",Inventory!A:A=A247)),""0"")"),0.53)</f>
        <v>0.53</v>
      </c>
      <c r="F247" s="235">
        <f>IFERROR(__xludf.DUMMYFUNCTION("IFERROR(SUM(FILTER(Inventory!G:G,Inventory!J:J=""Closed"",Inventory!A:A=A247)),""0"")"),1.06)</f>
        <v>1.06</v>
      </c>
      <c r="G247" s="235">
        <f>IFERROR(__xludf.DUMMYFUNCTION("IFERROR(AVERAGE(FILTER(Inventory!K:K,Inventory!J:J=""Closed"",Inventory!A:A=A247)),"""")"),0.5)</f>
        <v>0.5</v>
      </c>
      <c r="H247" s="23" t="b">
        <v>0</v>
      </c>
      <c r="I247" s="236"/>
      <c r="J247" s="236">
        <f>MAXIFS(Inventory!D:D, Inventory!A:A, A:A)</f>
        <v>44797</v>
      </c>
      <c r="L247" s="23">
        <f>COUNTIFS(Inventory!A:A,A247,Inventory!J:J,"Open")</f>
        <v>0</v>
      </c>
    </row>
    <row r="248">
      <c r="A248" s="237" t="s">
        <v>339</v>
      </c>
      <c r="B248" s="23" t="str">
        <f>Publishers!A47</f>
        <v>CAPCOM</v>
      </c>
      <c r="C248" s="78">
        <f>COUNTIF(Inventory!A:A, A248)</f>
        <v>1</v>
      </c>
      <c r="D248" s="89">
        <f>IFERROR(__xludf.DUMMYFUNCTION("IFERROR(AVERAGE(FILTER(Inventory!H:H,Inventory!J:J=""Closed"",Inventory!A:A=A248)),"""")"),0.3846153846153846)</f>
        <v>0.3846153846</v>
      </c>
      <c r="E248" s="234">
        <f>IFERROR(__xludf.DUMMYFUNCTION("IFERROR(AVERAGE(FILTER(Inventory!G:G,Inventory!J:J=""Closed"",Inventory!A:A=A248)),""0"")"),0.5)</f>
        <v>0.5</v>
      </c>
      <c r="F248" s="235">
        <f>IFERROR(__xludf.DUMMYFUNCTION("IFERROR(SUM(FILTER(Inventory!G:G,Inventory!J:J=""Closed"",Inventory!A:A=A248)),""0"")"),0.5)</f>
        <v>0.5</v>
      </c>
      <c r="G248" s="235">
        <f>IFERROR(__xludf.DUMMYFUNCTION("IFERROR(AVERAGE(FILTER(Inventory!K:K,Inventory!J:J=""Closed"",Inventory!A:A=A248)),"""")"),146.0)</f>
        <v>146</v>
      </c>
      <c r="H248" s="23" t="b">
        <v>0</v>
      </c>
      <c r="I248" s="236"/>
      <c r="J248" s="236">
        <f>MAXIFS(Inventory!D:D, Inventory!A:A, A:A)</f>
        <v>44173</v>
      </c>
      <c r="L248" s="23">
        <f>COUNTIFS(Inventory!A:A,A248,Inventory!J:J,"Open")</f>
        <v>0</v>
      </c>
    </row>
    <row r="249">
      <c r="A249" s="233" t="s">
        <v>3016</v>
      </c>
      <c r="B249" s="23" t="str">
        <f>Publishers!A222</f>
        <v>SEGA</v>
      </c>
      <c r="C249" s="78">
        <f>COUNTIF(Inventory!A:A, A249)</f>
        <v>3</v>
      </c>
      <c r="D249" s="89">
        <f>IFERROR(__xludf.DUMMYFUNCTION("IFERROR(AVERAGE(FILTER(Inventory!H:H,Inventory!J:J=""Closed"",Inventory!A:A=A249)),"""")"),0.16124516356176594)</f>
        <v>0.1612451636</v>
      </c>
      <c r="E249" s="234">
        <f>IFERROR(__xludf.DUMMYFUNCTION("IFERROR(AVERAGE(FILTER(Inventory!G:G,Inventory!J:J=""Closed"",Inventory!A:A=A249)),""0"")"),3.710000000000002)</f>
        <v>3.71</v>
      </c>
      <c r="F249" s="235">
        <f>IFERROR(__xludf.DUMMYFUNCTION("IFERROR(SUM(FILTER(Inventory!G:G,Inventory!J:J=""Closed"",Inventory!A:A=A249)),""0"")"),11.130000000000006)</f>
        <v>11.13</v>
      </c>
      <c r="G249" s="235">
        <f>IFERROR(__xludf.DUMMYFUNCTION("IFERROR(AVERAGE(FILTER(Inventory!K:K,Inventory!J:J=""Closed"",Inventory!A:A=A249)),"""")"),10.0)</f>
        <v>10</v>
      </c>
      <c r="H249" s="23" t="b">
        <v>0</v>
      </c>
      <c r="I249" s="236"/>
      <c r="J249" s="236">
        <f>MAXIFS(Inventory!D:D, Inventory!A:A, A:A)</f>
        <v>44838</v>
      </c>
      <c r="L249" s="23">
        <f>COUNTIFS(Inventory!A:A,A249,Inventory!J:J,"Open")</f>
        <v>0</v>
      </c>
    </row>
    <row r="250">
      <c r="A250" s="233" t="s">
        <v>2311</v>
      </c>
      <c r="B250" s="23" t="str">
        <f>Publishers!A222</f>
        <v>SEGA</v>
      </c>
      <c r="C250" s="78">
        <f>COUNTIF(Inventory!A:A, A250)</f>
        <v>2</v>
      </c>
      <c r="D250" s="89">
        <f>IFERROR(__xludf.DUMMYFUNCTION("IFERROR(AVERAGE(FILTER(Inventory!H:H,Inventory!J:J=""Closed"",Inventory!A:A=A250)),"""")"),0.14227576333420877)</f>
        <v>0.1422757633</v>
      </c>
      <c r="E250" s="234">
        <f>IFERROR(__xludf.DUMMYFUNCTION("IFERROR(AVERAGE(FILTER(Inventory!G:G,Inventory!J:J=""Closed"",Inventory!A:A=A250)),""0"")"),4.8199999999999985)</f>
        <v>4.82</v>
      </c>
      <c r="F250" s="235">
        <f>IFERROR(__xludf.DUMMYFUNCTION("IFERROR(SUM(FILTER(Inventory!G:G,Inventory!J:J=""Closed"",Inventory!A:A=A250)),""0"")"),9.639999999999997)</f>
        <v>9.64</v>
      </c>
      <c r="G250" s="235">
        <f>IFERROR(__xludf.DUMMYFUNCTION("IFERROR(AVERAGE(FILTER(Inventory!K:K,Inventory!J:J=""Closed"",Inventory!A:A=A250)),"""")"),1.5)</f>
        <v>1.5</v>
      </c>
      <c r="H250" s="23" t="b">
        <v>0</v>
      </c>
      <c r="I250" s="236"/>
      <c r="J250" s="236">
        <f>MAXIFS(Inventory!D:D, Inventory!A:A, A:A)</f>
        <v>44713</v>
      </c>
      <c r="L250" s="23">
        <f>COUNTIFS(Inventory!A:A,A250,Inventory!J:J,"Open")</f>
        <v>0</v>
      </c>
    </row>
    <row r="251">
      <c r="A251" s="233" t="s">
        <v>4718</v>
      </c>
      <c r="B251" s="23" t="str">
        <f>Publishers!A222</f>
        <v>SEGA</v>
      </c>
      <c r="C251" s="78">
        <f>COUNTIF(Inventory!A:A, A251)</f>
        <v>5</v>
      </c>
      <c r="D251" s="89">
        <f>IFERROR(__xludf.DUMMYFUNCTION("IFERROR(AVERAGE(FILTER(Inventory!H:H,Inventory!J:J=""Closed"",Inventory!A:A=A251)),"""")"),0.318329639862553)</f>
        <v>0.3183296399</v>
      </c>
      <c r="E251" s="234">
        <f>IFERROR(__xludf.DUMMYFUNCTION("IFERROR(AVERAGE(FILTER(Inventory!G:G,Inventory!J:J=""Closed"",Inventory!A:A=A251)),""0"")"),11.434000000000001)</f>
        <v>11.434</v>
      </c>
      <c r="F251" s="235">
        <f>IFERROR(__xludf.DUMMYFUNCTION("IFERROR(SUM(FILTER(Inventory!G:G,Inventory!J:J=""Closed"",Inventory!A:A=A251)),""0"")"),57.17)</f>
        <v>57.17</v>
      </c>
      <c r="G251" s="235">
        <f>IFERROR(__xludf.DUMMYFUNCTION("IFERROR(AVERAGE(FILTER(Inventory!K:K,Inventory!J:J=""Closed"",Inventory!A:A=A251)),"""")"),43.0)</f>
        <v>43</v>
      </c>
      <c r="H251" s="23" t="b">
        <v>0</v>
      </c>
      <c r="I251" s="236"/>
      <c r="J251" s="236">
        <f>MAXIFS(Inventory!D:D, Inventory!A:A, A:A)</f>
        <v>45215</v>
      </c>
      <c r="K251" s="23" t="str">
        <f>IMAGE("https://shared.akamai.steamstatic.com/store_item_assets/steam/apps/1904540/header.jpg?t=1700157303")</f>
        <v/>
      </c>
      <c r="L251" s="23">
        <f>COUNTIFS(Inventory!A:A,A251,Inventory!J:J,"Open")</f>
        <v>0</v>
      </c>
    </row>
    <row r="252">
      <c r="A252" s="233" t="s">
        <v>8529</v>
      </c>
      <c r="B252" s="23" t="str">
        <f>Publishers!A222</f>
        <v>SEGA</v>
      </c>
      <c r="C252" s="78">
        <f>COUNTIF(Inventory!A:A, A252)</f>
        <v>64</v>
      </c>
      <c r="D252" s="89">
        <f>IFERROR(__xludf.DUMMYFUNCTION("IFERROR(AVERAGE(FILTER(Inventory!H:H,Inventory!J:J=""Closed"",Inventory!A:A=A252)),"""")"),0.28321024496152797)</f>
        <v>0.283210245</v>
      </c>
      <c r="E252" s="234">
        <f>IFERROR(__xludf.DUMMYFUNCTION("IFERROR(AVERAGE(FILTER(Inventory!G:G,Inventory!J:J=""Closed"",Inventory!A:A=A252)),""0"")"),9.573437499999995)</f>
        <v>9.5734375</v>
      </c>
      <c r="F252" s="235">
        <f>IFERROR(__xludf.DUMMYFUNCTION("IFERROR(SUM(FILTER(Inventory!G:G,Inventory!J:J=""Closed"",Inventory!A:A=A252)),""0"")"),612.6999999999997)</f>
        <v>612.7</v>
      </c>
      <c r="G252" s="235">
        <f>IFERROR(__xludf.DUMMYFUNCTION("IFERROR(AVERAGE(FILTER(Inventory!K:K,Inventory!J:J=""Closed"",Inventory!A:A=A252)),"""")"),4.59375)</f>
        <v>4.59375</v>
      </c>
      <c r="H252" s="23" t="b">
        <v>0</v>
      </c>
      <c r="I252" s="236"/>
      <c r="J252" s="236">
        <f>MAXIFS(Inventory!D:D, Inventory!A:A, A:A)</f>
        <v>45966</v>
      </c>
      <c r="K252" s="23" t="str">
        <f>IMAGE("https://shared.fastly.steamstatic.com/store_item_assets/steam/apps/2252570/header.jpg?t=1702984758")</f>
        <v/>
      </c>
      <c r="L252" s="23">
        <f>COUNTIFS(Inventory!A:A,A252,Inventory!J:J,"Open")</f>
        <v>0</v>
      </c>
    </row>
    <row r="253">
      <c r="A253" s="233" t="s">
        <v>3738</v>
      </c>
      <c r="B253" s="23" t="str">
        <f>Publishers!A237</f>
        <v>Square Enix</v>
      </c>
      <c r="C253" s="78">
        <f>COUNTIF(Inventory!A:A, A253)</f>
        <v>8</v>
      </c>
      <c r="D253" s="89">
        <f>IFERROR(__xludf.DUMMYFUNCTION("IFERROR(AVERAGE(FILTER(Inventory!H:H,Inventory!J:J=""Closed"",Inventory!A:A=A253)),"""")"),0.10988620229778559)</f>
        <v>0.1098862023</v>
      </c>
      <c r="E253" s="234">
        <f>IFERROR(__xludf.DUMMYFUNCTION("IFERROR(AVERAGE(FILTER(Inventory!G:G,Inventory!J:J=""Closed"",Inventory!A:A=A253)),""0"")"),3.2275)</f>
        <v>3.2275</v>
      </c>
      <c r="F253" s="235">
        <f>IFERROR(__xludf.DUMMYFUNCTION("IFERROR(SUM(FILTER(Inventory!G:G,Inventory!J:J=""Closed"",Inventory!A:A=A253)),""0"")"),25.82)</f>
        <v>25.82</v>
      </c>
      <c r="G253" s="235">
        <f>IFERROR(__xludf.DUMMYFUNCTION("IFERROR(AVERAGE(FILTER(Inventory!K:K,Inventory!J:J=""Closed"",Inventory!A:A=A253)),"""")"),12.75)</f>
        <v>12.75</v>
      </c>
      <c r="H253" s="23" t="b">
        <v>0</v>
      </c>
      <c r="I253" s="78">
        <v>51.42</v>
      </c>
      <c r="J253" s="236">
        <f>MAXIFS(Inventory!D:D, Inventory!A:A, A:A)</f>
        <v>46089</v>
      </c>
      <c r="L253" s="23">
        <f>COUNTIFS(Inventory!A:A,A253,Inventory!J:J,"Open")</f>
        <v>0</v>
      </c>
      <c r="N253" s="239"/>
      <c r="O253" s="239"/>
    </row>
    <row r="254">
      <c r="A254" s="237" t="s">
        <v>1425</v>
      </c>
      <c r="B254" s="23" t="str">
        <f>Publishers!A80</f>
        <v>EarthWork Games</v>
      </c>
      <c r="C254" s="78">
        <f>COUNTIF(Inventory!A:A, A254)</f>
        <v>2</v>
      </c>
      <c r="D254" s="89">
        <f>IFERROR(__xludf.DUMMYFUNCTION("IFERROR(AVERAGE(FILTER(Inventory!H:H,Inventory!J:J=""Closed"",Inventory!A:A=A254)),"""")"),0.03983941316415544)</f>
        <v>0.03983941316</v>
      </c>
      <c r="E254" s="234">
        <f>IFERROR(__xludf.DUMMYFUNCTION("IFERROR(AVERAGE(FILTER(Inventory!G:G,Inventory!J:J=""Closed"",Inventory!A:A=A254)),""0"")"),0.31000000000000005)</f>
        <v>0.31</v>
      </c>
      <c r="F254" s="235">
        <f>IFERROR(__xludf.DUMMYFUNCTION("IFERROR(SUM(FILTER(Inventory!G:G,Inventory!J:J=""Closed"",Inventory!A:A=A254)),""0"")"),0.6200000000000001)</f>
        <v>0.62</v>
      </c>
      <c r="G254" s="235">
        <f>IFERROR(__xludf.DUMMYFUNCTION("IFERROR(AVERAGE(FILTER(Inventory!K:K,Inventory!J:J=""Closed"",Inventory!A:A=A254)),"""")"),76.0)</f>
        <v>76</v>
      </c>
      <c r="H254" s="23" t="b">
        <v>0</v>
      </c>
      <c r="I254" s="236"/>
      <c r="J254" s="236">
        <f>MAXIFS(Inventory!D:D, Inventory!A:A, A:A)</f>
        <v>44546</v>
      </c>
      <c r="L254" s="23">
        <f>COUNTIFS(Inventory!A:A,A254,Inventory!J:J,"Open")</f>
        <v>0</v>
      </c>
      <c r="N254" s="239"/>
      <c r="O254" s="239"/>
    </row>
    <row r="255">
      <c r="A255" s="233" t="s">
        <v>5444</v>
      </c>
      <c r="B255" s="23" t="str">
        <f>Publishers!A68</f>
        <v>Dear Villagers</v>
      </c>
      <c r="C255" s="78">
        <f>COUNTIF(Inventory!A:A, A255)</f>
        <v>2</v>
      </c>
      <c r="D255" s="89">
        <f>IFERROR(__xludf.DUMMYFUNCTION("IFERROR(AVERAGE(FILTER(Inventory!H:H,Inventory!J:J=""Closed"",Inventory!A:A=A255)),"""")"),0.02594193946880801)</f>
        <v>0.02594193947</v>
      </c>
      <c r="E255" s="234">
        <f>IFERROR(__xludf.DUMMYFUNCTION("IFERROR(AVERAGE(FILTER(Inventory!G:G,Inventory!J:J=""Closed"",Inventory!A:A=A255)),""0"")"),0.4200000000000017)</f>
        <v>0.42</v>
      </c>
      <c r="F255" s="235">
        <f>IFERROR(__xludf.DUMMYFUNCTION("IFERROR(SUM(FILTER(Inventory!G:G,Inventory!J:J=""Closed"",Inventory!A:A=A255)),""0"")"),0.4200000000000017)</f>
        <v>0.42</v>
      </c>
      <c r="G255" s="235">
        <f>IFERROR(__xludf.DUMMYFUNCTION("IFERROR(AVERAGE(FILTER(Inventory!K:K,Inventory!J:J=""Closed"",Inventory!A:A=A255)),"""")"),4.0)</f>
        <v>4</v>
      </c>
      <c r="H255" s="23" t="b">
        <v>0</v>
      </c>
      <c r="I255" s="236"/>
      <c r="J255" s="236">
        <f>MAXIFS(Inventory!D:D, Inventory!A:A, A:A)</f>
        <v>45237</v>
      </c>
      <c r="L255" s="23">
        <f>COUNTIFS(Inventory!A:A,A255,Inventory!J:J,"Open")</f>
        <v>1</v>
      </c>
      <c r="N255" s="239"/>
      <c r="O255" s="239"/>
    </row>
    <row r="256">
      <c r="A256" s="237" t="s">
        <v>84</v>
      </c>
      <c r="B256" s="23" t="str">
        <f>Publishers!A226</f>
        <v>Siege Camp</v>
      </c>
      <c r="C256" s="78">
        <f>COUNTIF(Inventory!A:A, A256)</f>
        <v>21</v>
      </c>
      <c r="D256" s="89">
        <f>IFERROR(__xludf.DUMMYFUNCTION("IFERROR(AVERAGE(FILTER(Inventory!H:H,Inventory!J:J=""Closed"",Inventory!A:A=A256)),"""")"),0.1673374244376317)</f>
        <v>0.1673374244</v>
      </c>
      <c r="E256" s="234">
        <f>IFERROR(__xludf.DUMMYFUNCTION("IFERROR(AVERAGE(FILTER(Inventory!G:G,Inventory!J:J=""Closed"",Inventory!A:A=A256)),""0"")"),3.6809523809523808)</f>
        <v>3.680952381</v>
      </c>
      <c r="F256" s="235">
        <f>IFERROR(__xludf.DUMMYFUNCTION("IFERROR(SUM(FILTER(Inventory!G:G,Inventory!J:J=""Closed"",Inventory!A:A=A256)),""0"")"),77.3)</f>
        <v>77.3</v>
      </c>
      <c r="G256" s="235">
        <f>IFERROR(__xludf.DUMMYFUNCTION("IFERROR(AVERAGE(FILTER(Inventory!K:K,Inventory!J:J=""Closed"",Inventory!A:A=A256)),"""")"),41.38095238095238)</f>
        <v>41.38095238</v>
      </c>
      <c r="H256" s="78" t="b">
        <v>1</v>
      </c>
      <c r="I256" s="236"/>
      <c r="J256" s="236">
        <f>MAXIFS(Inventory!D:D, Inventory!A:A, A:A)</f>
        <v>45541</v>
      </c>
      <c r="L256" s="23">
        <f>COUNTIFS(Inventory!A:A,A256,Inventory!J:J,"Open")</f>
        <v>0</v>
      </c>
      <c r="N256" s="239"/>
      <c r="O256" s="239"/>
    </row>
    <row r="257">
      <c r="A257" s="233" t="s">
        <v>7515</v>
      </c>
      <c r="B257" s="240" t="str">
        <f>Publishers!A127</f>
        <v>indie.io</v>
      </c>
      <c r="C257" s="78">
        <f>COUNTIF(Inventory!A:A, A257)</f>
        <v>16</v>
      </c>
      <c r="D257" s="89">
        <f>IFERROR(__xludf.DUMMYFUNCTION("IFERROR(AVERAGE(FILTER(Inventory!H:H,Inventory!J:J=""Closed"",Inventory!A:A=A257)),"""")"),0.19371658171486705)</f>
        <v>0.1937165817</v>
      </c>
      <c r="E257" s="234">
        <f>IFERROR(__xludf.DUMMYFUNCTION("IFERROR(AVERAGE(FILTER(Inventory!G:G,Inventory!J:J=""Closed"",Inventory!A:A=A257)),""0"")"),2.448125)</f>
        <v>2.448125</v>
      </c>
      <c r="F257" s="235">
        <f>IFERROR(__xludf.DUMMYFUNCTION("IFERROR(SUM(FILTER(Inventory!G:G,Inventory!J:J=""Closed"",Inventory!A:A=A257)),""0"")"),39.17)</f>
        <v>39.17</v>
      </c>
      <c r="G257" s="235">
        <f>IFERROR(__xludf.DUMMYFUNCTION("IFERROR(AVERAGE(FILTER(Inventory!K:K,Inventory!J:J=""Closed"",Inventory!A:A=A257)),"""")"),3.75)</f>
        <v>3.75</v>
      </c>
      <c r="H257" s="23" t="b">
        <v>0</v>
      </c>
      <c r="I257" s="236"/>
      <c r="J257" s="236">
        <f>MAXIFS(Inventory!D:D, Inventory!A:A, A:A)</f>
        <v>45636</v>
      </c>
      <c r="L257" s="23">
        <f>COUNTIFS(Inventory!A:A,A257,Inventory!J:J,"Open")</f>
        <v>0</v>
      </c>
    </row>
    <row r="258">
      <c r="A258" s="233" t="s">
        <v>5766</v>
      </c>
      <c r="B258" s="23" t="str">
        <f>Publishers!A167</f>
        <v>Nacon</v>
      </c>
      <c r="C258" s="78">
        <f>COUNTIF(Inventory!A:A, A258)</f>
        <v>1</v>
      </c>
      <c r="D258" s="89" t="str">
        <f>IFERROR(__xludf.DUMMYFUNCTION("IFERROR(AVERAGE(FILTER(Inventory!H:H,Inventory!J:J=""Closed"",Inventory!A:A=A258)),"""")"),"")</f>
        <v/>
      </c>
      <c r="E258" s="234" t="str">
        <f>IFERROR(__xludf.DUMMYFUNCTION("IFERROR(AVERAGE(FILTER(Inventory!G:G,Inventory!J:J=""Closed"",Inventory!A:A=A258)),""0"")"),"0")</f>
        <v>0</v>
      </c>
      <c r="F258" s="235" t="str">
        <f>IFERROR(__xludf.DUMMYFUNCTION("IFERROR(SUM(FILTER(Inventory!G:G,Inventory!J:J=""Closed"",Inventory!A:A=A258)),""0"")"),"0")</f>
        <v>0</v>
      </c>
      <c r="G258" s="235" t="str">
        <f>IFERROR(__xludf.DUMMYFUNCTION("IFERROR(AVERAGE(FILTER(Inventory!K:K,Inventory!J:J=""Closed"",Inventory!A:A=A258)),"""")"),"")</f>
        <v/>
      </c>
      <c r="H258" s="23" t="b">
        <v>0</v>
      </c>
      <c r="I258" s="236"/>
      <c r="J258" s="236">
        <f>MAXIFS(Inventory!D:D, Inventory!A:A, A:A)</f>
        <v>0</v>
      </c>
      <c r="L258" s="23">
        <f>COUNTIFS(Inventory!A:A,A258,Inventory!J:J,"Open")</f>
        <v>1</v>
      </c>
    </row>
    <row r="259">
      <c r="A259" s="237" t="s">
        <v>1349</v>
      </c>
      <c r="B259" s="23" t="str">
        <f>Publishers!A160</f>
        <v>Microids</v>
      </c>
      <c r="C259" s="78">
        <f>COUNTIF(Inventory!A:A, A259)</f>
        <v>2</v>
      </c>
      <c r="D259" s="89">
        <f>IFERROR(__xludf.DUMMYFUNCTION("IFERROR(AVERAGE(FILTER(Inventory!H:H,Inventory!J:J=""Closed"",Inventory!A:A=A259)),"""")"),0.6071428571428572)</f>
        <v>0.6071428571</v>
      </c>
      <c r="E259" s="234">
        <f>IFERROR(__xludf.DUMMYFUNCTION("IFERROR(AVERAGE(FILTER(Inventory!G:G,Inventory!J:J=""Closed"",Inventory!A:A=A259)),""0"")"),0.3400000000000001)</f>
        <v>0.34</v>
      </c>
      <c r="F259" s="235">
        <f>IFERROR(__xludf.DUMMYFUNCTION("IFERROR(SUM(FILTER(Inventory!G:G,Inventory!J:J=""Closed"",Inventory!A:A=A259)),""0"")"),0.6800000000000002)</f>
        <v>0.68</v>
      </c>
      <c r="G259" s="235">
        <f>IFERROR(__xludf.DUMMYFUNCTION("IFERROR(AVERAGE(FILTER(Inventory!K:K,Inventory!J:J=""Closed"",Inventory!A:A=A259)),"""")"),1.0)</f>
        <v>1</v>
      </c>
      <c r="H259" s="23" t="b">
        <v>0</v>
      </c>
      <c r="I259" s="236"/>
      <c r="J259" s="236">
        <f>MAXIFS(Inventory!D:D, Inventory!A:A, A:A)</f>
        <v>44448</v>
      </c>
      <c r="L259" s="23">
        <f>COUNTIFS(Inventory!A:A,A259,Inventory!J:J,"Open")</f>
        <v>0</v>
      </c>
    </row>
    <row r="260">
      <c r="A260" s="237" t="s">
        <v>136</v>
      </c>
      <c r="B260" s="23" t="str">
        <f>Publishers!A160</f>
        <v>Microids</v>
      </c>
      <c r="C260" s="78">
        <f>COUNTIF(Inventory!A:A, A260)</f>
        <v>7</v>
      </c>
      <c r="D260" s="89">
        <f>IFERROR(__xludf.DUMMYFUNCTION("IFERROR(AVERAGE(FILTER(Inventory!H:H,Inventory!J:J=""Closed"",Inventory!A:A=A260)),"""")"),0.3073582567747805)</f>
        <v>0.3073582568</v>
      </c>
      <c r="E260" s="234">
        <f>IFERROR(__xludf.DUMMYFUNCTION("IFERROR(AVERAGE(FILTER(Inventory!G:G,Inventory!J:J=""Closed"",Inventory!A:A=A260)),""0"")"),1.4000000000000001)</f>
        <v>1.4</v>
      </c>
      <c r="F260" s="235">
        <f>IFERROR(__xludf.DUMMYFUNCTION("IFERROR(SUM(FILTER(Inventory!G:G,Inventory!J:J=""Closed"",Inventory!A:A=A260)),""0"")"),9.8)</f>
        <v>9.8</v>
      </c>
      <c r="G260" s="235">
        <f>IFERROR(__xludf.DUMMYFUNCTION("IFERROR(AVERAGE(FILTER(Inventory!K:K,Inventory!J:J=""Closed"",Inventory!A:A=A260)),"""")"),29.142857142857142)</f>
        <v>29.14285714</v>
      </c>
      <c r="H260" s="23" t="b">
        <v>0</v>
      </c>
      <c r="I260" s="236"/>
      <c r="J260" s="236">
        <f>MAXIFS(Inventory!D:D, Inventory!A:A, A:A)</f>
        <v>44385</v>
      </c>
      <c r="L260" s="23">
        <f>COUNTIFS(Inventory!A:A,A260,Inventory!J:J,"Open")</f>
        <v>0</v>
      </c>
    </row>
    <row r="261">
      <c r="A261" s="237" t="s">
        <v>993</v>
      </c>
      <c r="B261" s="23" t="str">
        <f>Publishers!A106</f>
        <v>Gamepires</v>
      </c>
      <c r="C261" s="78">
        <f>COUNTIF(Inventory!A:A, A261)</f>
        <v>2</v>
      </c>
      <c r="D261" s="89">
        <f>IFERROR(__xludf.DUMMYFUNCTION("IFERROR(AVERAGE(FILTER(Inventory!H:H,Inventory!J:J=""Closed"",Inventory!A:A=A261)),"""")"),-0.19047619047619052)</f>
        <v>-0.1904761905</v>
      </c>
      <c r="E261" s="234">
        <f>IFERROR(__xludf.DUMMYFUNCTION("IFERROR(AVERAGE(FILTER(Inventory!G:G,Inventory!J:J=""Closed"",Inventory!A:A=A261)),""0"")"),-0.08000000000000002)</f>
        <v>-0.08</v>
      </c>
      <c r="F261" s="235">
        <f>IFERROR(__xludf.DUMMYFUNCTION("IFERROR(SUM(FILTER(Inventory!G:G,Inventory!J:J=""Closed"",Inventory!A:A=A261)),""0"")"),-0.16000000000000003)</f>
        <v>-0.16</v>
      </c>
      <c r="G261" s="235">
        <f>IFERROR(__xludf.DUMMYFUNCTION("IFERROR(AVERAGE(FILTER(Inventory!K:K,Inventory!J:J=""Closed"",Inventory!A:A=A261)),"""")"),377.0)</f>
        <v>377</v>
      </c>
      <c r="H261" s="23" t="b">
        <v>0</v>
      </c>
      <c r="I261" s="236"/>
      <c r="J261" s="236">
        <f>MAXIFS(Inventory!D:D, Inventory!A:A, A:A)</f>
        <v>44654</v>
      </c>
      <c r="L261" s="23">
        <f>COUNTIFS(Inventory!A:A,A261,Inventory!J:J,"Open")</f>
        <v>0</v>
      </c>
    </row>
    <row r="262">
      <c r="A262" s="237" t="s">
        <v>1304</v>
      </c>
      <c r="B262" s="23" t="str">
        <f>Publishers!A18</f>
        <v>Avalanche Studios</v>
      </c>
      <c r="C262" s="78">
        <f>COUNTIF(Inventory!A:A, A262)</f>
        <v>1</v>
      </c>
      <c r="D262" s="89">
        <f>IFERROR(__xludf.DUMMYFUNCTION("IFERROR(AVERAGE(FILTER(Inventory!H:H,Inventory!J:J=""Closed"",Inventory!A:A=A262)),"""")"),0.24111675126903548)</f>
        <v>0.2411167513</v>
      </c>
      <c r="E262" s="234">
        <f>IFERROR(__xludf.DUMMYFUNCTION("IFERROR(AVERAGE(FILTER(Inventory!G:G,Inventory!J:J=""Closed"",Inventory!A:A=A262)),""0"")"),1.8999999999999995)</f>
        <v>1.9</v>
      </c>
      <c r="F262" s="235">
        <f>IFERROR(__xludf.DUMMYFUNCTION("IFERROR(SUM(FILTER(Inventory!G:G,Inventory!J:J=""Closed"",Inventory!A:A=A262)),""0"")"),1.8999999999999995)</f>
        <v>1.9</v>
      </c>
      <c r="G262" s="235">
        <f>IFERROR(__xludf.DUMMYFUNCTION("IFERROR(AVERAGE(FILTER(Inventory!K:K,Inventory!J:J=""Closed"",Inventory!A:A=A262)),"""")"),54.0)</f>
        <v>54</v>
      </c>
      <c r="H262" s="23" t="b">
        <v>0</v>
      </c>
      <c r="I262" s="236"/>
      <c r="J262" s="236">
        <f>MAXIFS(Inventory!D:D, Inventory!A:A, A:A)</f>
        <v>44459</v>
      </c>
      <c r="L262" s="23">
        <f>COUNTIFS(Inventory!A:A,A262,Inventory!J:J,"Open")</f>
        <v>0</v>
      </c>
    </row>
    <row r="263">
      <c r="A263" s="237" t="s">
        <v>1619</v>
      </c>
      <c r="B263" s="23" t="str">
        <f>Publishers!A291</f>
        <v>YAW Studios</v>
      </c>
      <c r="C263" s="78">
        <f>COUNTIF(Inventory!A:A, A263)</f>
        <v>1</v>
      </c>
      <c r="D263" s="89">
        <f>IFERROR(__xludf.DUMMYFUNCTION("IFERROR(AVERAGE(FILTER(Inventory!H:H,Inventory!J:J=""Closed"",Inventory!A:A=A263)),"""")"),1.0)</f>
        <v>1</v>
      </c>
      <c r="E263" s="234">
        <f>IFERROR(__xludf.DUMMYFUNCTION("IFERROR(AVERAGE(FILTER(Inventory!G:G,Inventory!J:J=""Closed"",Inventory!A:A=A263)),""0"")"),0.09)</f>
        <v>0.09</v>
      </c>
      <c r="F263" s="235">
        <f>IFERROR(__xludf.DUMMYFUNCTION("IFERROR(SUM(FILTER(Inventory!G:G,Inventory!J:J=""Closed"",Inventory!A:A=A263)),""0"")"),0.09)</f>
        <v>0.09</v>
      </c>
      <c r="G263" s="235">
        <f>IFERROR(__xludf.DUMMYFUNCTION("IFERROR(AVERAGE(FILTER(Inventory!K:K,Inventory!J:J=""Closed"",Inventory!A:A=A263)),"""")"),319.0)</f>
        <v>319</v>
      </c>
      <c r="H263" s="23" t="b">
        <v>0</v>
      </c>
      <c r="I263" s="236"/>
      <c r="J263" s="236">
        <f>MAXIFS(Inventory!D:D, Inventory!A:A, A:A)</f>
        <v>44828</v>
      </c>
      <c r="L263" s="23">
        <f>COUNTIFS(Inventory!A:A,A263,Inventory!J:J,"Open")</f>
        <v>0</v>
      </c>
    </row>
    <row r="264">
      <c r="A264" s="237" t="s">
        <v>1031</v>
      </c>
      <c r="B264" s="23" t="str">
        <f>Publishers!A8</f>
        <v>505 Games</v>
      </c>
      <c r="C264" s="78">
        <f>COUNTIF(Inventory!A:A, A264)</f>
        <v>5</v>
      </c>
      <c r="D264" s="89">
        <f>IFERROR(__xludf.DUMMYFUNCTION("IFERROR(AVERAGE(FILTER(Inventory!H:H,Inventory!J:J=""Closed"",Inventory!A:A=A264)),"""")"),-0.09804769522796901)</f>
        <v>-0.09804769523</v>
      </c>
      <c r="E264" s="234">
        <f>IFERROR(__xludf.DUMMYFUNCTION("IFERROR(AVERAGE(FILTER(Inventory!G:G,Inventory!J:J=""Closed"",Inventory!A:A=A264)),""0"")"),2.0779999999999994)</f>
        <v>2.078</v>
      </c>
      <c r="F264" s="235">
        <f>IFERROR(__xludf.DUMMYFUNCTION("IFERROR(SUM(FILTER(Inventory!G:G,Inventory!J:J=""Closed"",Inventory!A:A=A264)),""0"")"),10.389999999999997)</f>
        <v>10.39</v>
      </c>
      <c r="G264" s="235">
        <f>IFERROR(__xludf.DUMMYFUNCTION("IFERROR(AVERAGE(FILTER(Inventory!K:K,Inventory!J:J=""Closed"",Inventory!A:A=A264)),"""")"),310.8)</f>
        <v>310.8</v>
      </c>
      <c r="H264" s="78" t="b">
        <v>1</v>
      </c>
      <c r="I264" s="236"/>
      <c r="J264" s="236">
        <f>MAXIFS(Inventory!D:D, Inventory!A:A, A:A)</f>
        <v>45213</v>
      </c>
      <c r="L264" s="23">
        <f>COUNTIFS(Inventory!A:A,A264,Inventory!J:J,"Open")</f>
        <v>0</v>
      </c>
    </row>
    <row r="265">
      <c r="A265" s="237" t="s">
        <v>1330</v>
      </c>
      <c r="B265" s="23" t="str">
        <f>Publishers!A8</f>
        <v>505 Games</v>
      </c>
      <c r="C265" s="78">
        <f>COUNTIF(Inventory!A:A, A265)</f>
        <v>2</v>
      </c>
      <c r="D265" s="89">
        <f>IFERROR(__xludf.DUMMYFUNCTION("IFERROR(AVERAGE(FILTER(Inventory!H:H,Inventory!J:J=""Closed"",Inventory!A:A=A265)),"""")"),0.09490470613058666)</f>
        <v>0.09490470613</v>
      </c>
      <c r="E265" s="234">
        <f>IFERROR(__xludf.DUMMYFUNCTION("IFERROR(AVERAGE(FILTER(Inventory!G:G,Inventory!J:J=""Closed"",Inventory!A:A=A265)),""0"")"),0.9850000000000003)</f>
        <v>0.985</v>
      </c>
      <c r="F265" s="235">
        <f>IFERROR(__xludf.DUMMYFUNCTION("IFERROR(SUM(FILTER(Inventory!G:G,Inventory!J:J=""Closed"",Inventory!A:A=A265)),""0"")"),1.9700000000000006)</f>
        <v>1.97</v>
      </c>
      <c r="G265" s="235">
        <f>IFERROR(__xludf.DUMMYFUNCTION("IFERROR(AVERAGE(FILTER(Inventory!K:K,Inventory!J:J=""Closed"",Inventory!A:A=A265)),"""")"),89.0)</f>
        <v>89</v>
      </c>
      <c r="H265" s="23" t="b">
        <v>0</v>
      </c>
      <c r="I265" s="236"/>
      <c r="J265" s="236">
        <f>MAXIFS(Inventory!D:D, Inventory!A:A, A:A)</f>
        <v>44615</v>
      </c>
      <c r="L265" s="23">
        <f>COUNTIFS(Inventory!A:A,A265,Inventory!J:J,"Open")</f>
        <v>0</v>
      </c>
    </row>
    <row r="266">
      <c r="A266" s="237" t="s">
        <v>1859</v>
      </c>
      <c r="B266" s="23" t="str">
        <f>Publishers!A47</f>
        <v>CAPCOM</v>
      </c>
      <c r="C266" s="78">
        <f>COUNTIF(Inventory!A:A, A266)</f>
        <v>2</v>
      </c>
      <c r="D266" s="89">
        <f>IFERROR(__xludf.DUMMYFUNCTION("IFERROR(AVERAGE(FILTER(Inventory!H:H,Inventory!J:J=""Closed"",Inventory!A:A=A266)),"""")"),0.015691868758915754)</f>
        <v>0.01569186876</v>
      </c>
      <c r="E266" s="234">
        <f>IFERROR(__xludf.DUMMYFUNCTION("IFERROR(AVERAGE(FILTER(Inventory!G:G,Inventory!J:J=""Closed"",Inventory!A:A=A266)),""0"")"),0.21999999999999886)</f>
        <v>0.22</v>
      </c>
      <c r="F266" s="235">
        <f>IFERROR(__xludf.DUMMYFUNCTION("IFERROR(SUM(FILTER(Inventory!G:G,Inventory!J:J=""Closed"",Inventory!A:A=A266)),""0"")"),0.21999999999999886)</f>
        <v>0.22</v>
      </c>
      <c r="G266" s="235">
        <f>IFERROR(__xludf.DUMMYFUNCTION("IFERROR(AVERAGE(FILTER(Inventory!K:K,Inventory!J:J=""Closed"",Inventory!A:A=A266)),"""")"),20.0)</f>
        <v>20</v>
      </c>
      <c r="H266" s="23" t="b">
        <v>0</v>
      </c>
      <c r="I266" s="236"/>
      <c r="J266" s="236">
        <f>MAXIFS(Inventory!D:D, Inventory!A:A, A:A)</f>
        <v>44601</v>
      </c>
      <c r="L266" s="23">
        <f>COUNTIFS(Inventory!A:A,A266,Inventory!J:J,"Open")</f>
        <v>1</v>
      </c>
    </row>
    <row r="267">
      <c r="A267" s="233" t="s">
        <v>7585</v>
      </c>
      <c r="B267" s="23" t="str">
        <f>Publishers!A194</f>
        <v>PlayStation</v>
      </c>
      <c r="C267" s="78">
        <f>COUNTIF(Inventory!A:A, A267)</f>
        <v>2</v>
      </c>
      <c r="D267" s="89">
        <f>IFERROR(__xludf.DUMMYFUNCTION("IFERROR(AVERAGE(FILTER(Inventory!H:H,Inventory!J:J=""Closed"",Inventory!A:A=A267)),"""")"),-0.03589338701001235)</f>
        <v>-0.03589338701</v>
      </c>
      <c r="E267" s="234">
        <f>IFERROR(__xludf.DUMMYFUNCTION("IFERROR(AVERAGE(FILTER(Inventory!G:G,Inventory!J:J=""Closed"",Inventory!A:A=A267)),""0"")"),1.3649999999999984)</f>
        <v>1.365</v>
      </c>
      <c r="F267" s="235">
        <f>IFERROR(__xludf.DUMMYFUNCTION("IFERROR(SUM(FILTER(Inventory!G:G,Inventory!J:J=""Closed"",Inventory!A:A=A267)),""0"")"),2.729999999999997)</f>
        <v>2.73</v>
      </c>
      <c r="G267" s="235">
        <f>IFERROR(__xludf.DUMMYFUNCTION("IFERROR(AVERAGE(FILTER(Inventory!K:K,Inventory!J:J=""Closed"",Inventory!A:A=A267)),"""")"),105.5)</f>
        <v>105.5</v>
      </c>
      <c r="H267" s="23" t="b">
        <v>0</v>
      </c>
      <c r="I267" s="236"/>
      <c r="J267" s="236">
        <f>MAXIFS(Inventory!D:D, Inventory!A:A, A:A)</f>
        <v>45781</v>
      </c>
      <c r="K267" s="23" t="str">
        <f>IMAGE("https://shared.akamai.steamstatic.com/store_item_assets/steam/apps/2215430/header.jpg?t=1717622497")</f>
        <v/>
      </c>
      <c r="L267" s="23">
        <f>COUNTIFS(Inventory!A:A,A267,Inventory!J:J,"Open")</f>
        <v>0</v>
      </c>
    </row>
    <row r="268">
      <c r="A268" s="233" t="s">
        <v>3144</v>
      </c>
      <c r="B268" s="23" t="str">
        <f>Publishers!A34</f>
        <v>Bethesda Softworks</v>
      </c>
      <c r="C268" s="78">
        <f>COUNTIF(Inventory!A:A, A268)</f>
        <v>13</v>
      </c>
      <c r="D268" s="89">
        <f>IFERROR(__xludf.DUMMYFUNCTION("IFERROR(AVERAGE(FILTER(Inventory!H:H,Inventory!J:J=""Closed"",Inventory!A:A=A268)),"""")"),0.16588678710203303)</f>
        <v>0.1658867871</v>
      </c>
      <c r="E268" s="234">
        <f>IFERROR(__xludf.DUMMYFUNCTION("IFERROR(AVERAGE(FILTER(Inventory!G:G,Inventory!J:J=""Closed"",Inventory!A:A=A268)),""0"")"),3.609230769230769)</f>
        <v>3.609230769</v>
      </c>
      <c r="F268" s="235">
        <f>IFERROR(__xludf.DUMMYFUNCTION("IFERROR(SUM(FILTER(Inventory!G:G,Inventory!J:J=""Closed"",Inventory!A:A=A268)),""0"")"),46.919999999999995)</f>
        <v>46.92</v>
      </c>
      <c r="G268" s="235">
        <f>IFERROR(__xludf.DUMMYFUNCTION("IFERROR(AVERAGE(FILTER(Inventory!K:K,Inventory!J:J=""Closed"",Inventory!A:A=A268)),"""")"),9.076923076923077)</f>
        <v>9.076923077</v>
      </c>
      <c r="H268" s="23" t="b">
        <v>0</v>
      </c>
      <c r="I268" s="236"/>
      <c r="J268" s="236">
        <f>MAXIFS(Inventory!D:D, Inventory!A:A, A:A)</f>
        <v>45077</v>
      </c>
      <c r="L268" s="23">
        <f>COUNTIFS(Inventory!A:A,A268,Inventory!J:J,"Open")</f>
        <v>0</v>
      </c>
    </row>
    <row r="269">
      <c r="A269" s="233" t="s">
        <v>3913</v>
      </c>
      <c r="B269" s="23" t="str">
        <f>Publishers!A120</f>
        <v>Humble Games</v>
      </c>
      <c r="C269" s="78">
        <f>COUNTIF(Inventory!A:A, A269)</f>
        <v>1</v>
      </c>
      <c r="D269" s="89" t="str">
        <f>IFERROR(__xludf.DUMMYFUNCTION("IFERROR(AVERAGE(FILTER(Inventory!H:H,Inventory!J:J=""Closed"",Inventory!A:A=A269)),"""")"),"")</f>
        <v/>
      </c>
      <c r="E269" s="234" t="str">
        <f>IFERROR(__xludf.DUMMYFUNCTION("IFERROR(AVERAGE(FILTER(Inventory!G:G,Inventory!J:J=""Closed"",Inventory!A:A=A269)),""0"")"),"0")</f>
        <v>0</v>
      </c>
      <c r="F269" s="235" t="str">
        <f>IFERROR(__xludf.DUMMYFUNCTION("IFERROR(SUM(FILTER(Inventory!G:G,Inventory!J:J=""Closed"",Inventory!A:A=A269)),""0"")"),"0")</f>
        <v>0</v>
      </c>
      <c r="G269" s="235" t="str">
        <f>IFERROR(__xludf.DUMMYFUNCTION("IFERROR(AVERAGE(FILTER(Inventory!K:K,Inventory!J:J=""Closed"",Inventory!A:A=A269)),"""")"),"")</f>
        <v/>
      </c>
      <c r="H269" s="23" t="b">
        <v>0</v>
      </c>
      <c r="I269" s="236"/>
      <c r="J269" s="236">
        <f>MAXIFS(Inventory!D:D, Inventory!A:A, A:A)</f>
        <v>0</v>
      </c>
      <c r="L269" s="23">
        <f>COUNTIFS(Inventory!A:A,A269,Inventory!J:J,"Open")</f>
        <v>1</v>
      </c>
    </row>
    <row r="270">
      <c r="A270" s="237" t="s">
        <v>1037</v>
      </c>
      <c r="B270" s="23" t="str">
        <f>Publishers!A36</f>
        <v>Black Eye Games</v>
      </c>
      <c r="C270" s="78">
        <f>COUNTIF(Inventory!A:A, A270)</f>
        <v>1</v>
      </c>
      <c r="D270" s="89">
        <f>IFERROR(__xludf.DUMMYFUNCTION("IFERROR(AVERAGE(FILTER(Inventory!H:H,Inventory!J:J=""Closed"",Inventory!A:A=A270)),"""")"),0.0420711974110032)</f>
        <v>0.04207119741</v>
      </c>
      <c r="E270" s="234">
        <f>IFERROR(__xludf.DUMMYFUNCTION("IFERROR(AVERAGE(FILTER(Inventory!G:G,Inventory!J:J=""Closed"",Inventory!A:A=A270)),""0"")"),0.2599999999999998)</f>
        <v>0.26</v>
      </c>
      <c r="F270" s="235">
        <f>IFERROR(__xludf.DUMMYFUNCTION("IFERROR(SUM(FILTER(Inventory!G:G,Inventory!J:J=""Closed"",Inventory!A:A=A270)),""0"")"),0.2599999999999998)</f>
        <v>0.26</v>
      </c>
      <c r="G270" s="235">
        <f>IFERROR(__xludf.DUMMYFUNCTION("IFERROR(AVERAGE(FILTER(Inventory!K:K,Inventory!J:J=""Closed"",Inventory!A:A=A270)),"""")"),14.0)</f>
        <v>14</v>
      </c>
      <c r="H270" s="23" t="b">
        <v>0</v>
      </c>
      <c r="I270" s="236"/>
      <c r="J270" s="236">
        <f>MAXIFS(Inventory!D:D, Inventory!A:A, A:A)</f>
        <v>44319</v>
      </c>
      <c r="L270" s="23">
        <f>COUNTIFS(Inventory!A:A,A270,Inventory!J:J,"Open")</f>
        <v>0</v>
      </c>
    </row>
    <row r="271">
      <c r="A271" s="237" t="s">
        <v>210</v>
      </c>
      <c r="B271" s="23" t="str">
        <f>Publishers!A29</f>
        <v>BANDAI NAMCO</v>
      </c>
      <c r="C271" s="78">
        <f>COUNTIF(Inventory!A:A, A271)</f>
        <v>2</v>
      </c>
      <c r="D271" s="89">
        <f>IFERROR(__xludf.DUMMYFUNCTION("IFERROR(AVERAGE(FILTER(Inventory!H:H,Inventory!J:J=""Closed"",Inventory!A:A=A271)),"""")"),-0.49067560546554084)</f>
        <v>-0.4906756055</v>
      </c>
      <c r="E271" s="234">
        <f>IFERROR(__xludf.DUMMYFUNCTION("IFERROR(AVERAGE(FILTER(Inventory!G:G,Inventory!J:J=""Closed"",Inventory!A:A=A271)),""0"")"),-2.2399999999999993)</f>
        <v>-2.24</v>
      </c>
      <c r="F271" s="235">
        <f>IFERROR(__xludf.DUMMYFUNCTION("IFERROR(SUM(FILTER(Inventory!G:G,Inventory!J:J=""Closed"",Inventory!A:A=A271)),""0"")"),-4.479999999999999)</f>
        <v>-4.48</v>
      </c>
      <c r="G271" s="235">
        <f>IFERROR(__xludf.DUMMYFUNCTION("IFERROR(AVERAGE(FILTER(Inventory!K:K,Inventory!J:J=""Closed"",Inventory!A:A=A271)),"""")"),272.5)</f>
        <v>272.5</v>
      </c>
      <c r="H271" s="23" t="b">
        <v>0</v>
      </c>
      <c r="I271" s="236"/>
      <c r="J271" s="236">
        <f>MAXIFS(Inventory!D:D, Inventory!A:A, A:A)</f>
        <v>44536</v>
      </c>
      <c r="L271" s="23">
        <f>COUNTIFS(Inventory!A:A,A271,Inventory!J:J,"Open")</f>
        <v>0</v>
      </c>
    </row>
    <row r="272">
      <c r="A272" s="233" t="s">
        <v>4814</v>
      </c>
      <c r="B272" s="23" t="str">
        <f>Publishers!A194</f>
        <v>PlayStation</v>
      </c>
      <c r="C272" s="78">
        <f>COUNTIF(Inventory!A:A, A272)</f>
        <v>30</v>
      </c>
      <c r="D272" s="89">
        <f>IFERROR(__xludf.DUMMYFUNCTION("IFERROR(AVERAGE(FILTER(Inventory!H:H,Inventory!J:J=""Closed"",Inventory!A:A=A272)),"""")"),0.13123216016759542)</f>
        <v>0.1312321602</v>
      </c>
      <c r="E272" s="234">
        <f>IFERROR(__xludf.DUMMYFUNCTION("IFERROR(AVERAGE(FILTER(Inventory!G:G,Inventory!J:J=""Closed"",Inventory!A:A=A272)),""0"")"),3.1966666666666677)</f>
        <v>3.196666667</v>
      </c>
      <c r="F272" s="235">
        <f>IFERROR(__xludf.DUMMYFUNCTION("IFERROR(SUM(FILTER(Inventory!G:G,Inventory!J:J=""Closed"",Inventory!A:A=A272)),""0"")"),95.90000000000003)</f>
        <v>95.9</v>
      </c>
      <c r="G272" s="235">
        <f>IFERROR(__xludf.DUMMYFUNCTION("IFERROR(AVERAGE(FILTER(Inventory!K:K,Inventory!J:J=""Closed"",Inventory!A:A=A272)),"""")"),20.233333333333334)</f>
        <v>20.23333333</v>
      </c>
      <c r="H272" s="23" t="b">
        <v>0</v>
      </c>
      <c r="I272" s="236"/>
      <c r="J272" s="236">
        <f>MAXIFS(Inventory!D:D, Inventory!A:A, A:A)</f>
        <v>45823</v>
      </c>
      <c r="L272" s="23">
        <f>COUNTIFS(Inventory!A:A,A272,Inventory!J:J,"Open")</f>
        <v>0</v>
      </c>
    </row>
    <row r="273">
      <c r="A273" s="233" t="s">
        <v>7776</v>
      </c>
      <c r="B273" s="23" t="str">
        <f>Publishers!A194</f>
        <v>PlayStation</v>
      </c>
      <c r="C273" s="78">
        <f>COUNTIF(Inventory!A:A, A273)</f>
        <v>12</v>
      </c>
      <c r="D273" s="89">
        <f>IFERROR(__xludf.DUMMYFUNCTION("IFERROR(AVERAGE(FILTER(Inventory!H:H,Inventory!J:J=""Closed"",Inventory!A:A=A273)),"""")"),0.104444041067488)</f>
        <v>0.1044440411</v>
      </c>
      <c r="E273" s="234">
        <f>IFERROR(__xludf.DUMMYFUNCTION("IFERROR(AVERAGE(FILTER(Inventory!G:G,Inventory!J:J=""Closed"",Inventory!A:A=A273)),""0"")"),4.714166666666666)</f>
        <v>4.714166667</v>
      </c>
      <c r="F273" s="235">
        <f>IFERROR(__xludf.DUMMYFUNCTION("IFERROR(SUM(FILTER(Inventory!G:G,Inventory!J:J=""Closed"",Inventory!A:A=A273)),""0"")"),56.56999999999999)</f>
        <v>56.57</v>
      </c>
      <c r="G273" s="235">
        <f>IFERROR(__xludf.DUMMYFUNCTION("IFERROR(AVERAGE(FILTER(Inventory!K:K,Inventory!J:J=""Closed"",Inventory!A:A=A273)),"""")"),18.416666666666668)</f>
        <v>18.41666667</v>
      </c>
      <c r="H273" s="23" t="b">
        <v>0</v>
      </c>
      <c r="I273" s="236"/>
      <c r="J273" s="236">
        <f>MAXIFS(Inventory!D:D, Inventory!A:A, A:A)</f>
        <v>45805</v>
      </c>
      <c r="L273" s="23">
        <f>COUNTIFS(Inventory!A:A,A273,Inventory!J:J,"Open")</f>
        <v>0</v>
      </c>
    </row>
    <row r="274">
      <c r="A274" s="237" t="s">
        <v>387</v>
      </c>
      <c r="B274" s="23" t="str">
        <f>Publishers!A50</f>
        <v>Cheesecake Dev</v>
      </c>
      <c r="C274" s="78">
        <f>COUNTIF(Inventory!A:A, A274)</f>
        <v>1</v>
      </c>
      <c r="D274" s="89">
        <f>IFERROR(__xludf.DUMMYFUNCTION("IFERROR(AVERAGE(FILTER(Inventory!H:H,Inventory!J:J=""Closed"",Inventory!A:A=A274)),"""")"),-0.06060606060606049)</f>
        <v>-0.06060606061</v>
      </c>
      <c r="E274" s="234">
        <f>IFERROR(__xludf.DUMMYFUNCTION("IFERROR(AVERAGE(FILTER(Inventory!G:G,Inventory!J:J=""Closed"",Inventory!A:A=A274)),""0"")"),-0.019999999999999962)</f>
        <v>-0.02</v>
      </c>
      <c r="F274" s="235">
        <f>IFERROR(__xludf.DUMMYFUNCTION("IFERROR(SUM(FILTER(Inventory!G:G,Inventory!J:J=""Closed"",Inventory!A:A=A274)),""0"")"),-0.019999999999999962)</f>
        <v>-0.02</v>
      </c>
      <c r="G274" s="235">
        <f>IFERROR(__xludf.DUMMYFUNCTION("IFERROR(AVERAGE(FILTER(Inventory!K:K,Inventory!J:J=""Closed"",Inventory!A:A=A274)),"""")"),9.0)</f>
        <v>9</v>
      </c>
      <c r="H274" s="23" t="b">
        <v>0</v>
      </c>
      <c r="I274" s="236"/>
      <c r="J274" s="236">
        <f>MAXIFS(Inventory!D:D, Inventory!A:A, A:A)</f>
        <v>44051</v>
      </c>
      <c r="L274" s="23">
        <f>COUNTIFS(Inventory!A:A,A274,Inventory!J:J,"Open")</f>
        <v>0</v>
      </c>
    </row>
    <row r="275">
      <c r="A275" s="237" t="s">
        <v>1461</v>
      </c>
      <c r="B275" s="23" t="str">
        <f>Publishers!A104</f>
        <v>Fullbright</v>
      </c>
      <c r="C275" s="78">
        <f>COUNTIF(Inventory!A:A, A275)</f>
        <v>3</v>
      </c>
      <c r="D275" s="89">
        <f>IFERROR(__xludf.DUMMYFUNCTION("IFERROR(AVERAGE(FILTER(Inventory!H:H,Inventory!J:J=""Closed"",Inventory!A:A=A275)),"""")"),1.0)</f>
        <v>1</v>
      </c>
      <c r="E275" s="234">
        <f>IFERROR(__xludf.DUMMYFUNCTION("IFERROR(AVERAGE(FILTER(Inventory!G:G,Inventory!J:J=""Closed"",Inventory!A:A=A275)),""0"")"),1.4799999999999998)</f>
        <v>1.48</v>
      </c>
      <c r="F275" s="235">
        <f>IFERROR(__xludf.DUMMYFUNCTION("IFERROR(SUM(FILTER(Inventory!G:G,Inventory!J:J=""Closed"",Inventory!A:A=A275)),""0"")"),4.4399999999999995)</f>
        <v>4.44</v>
      </c>
      <c r="G275" s="235">
        <f>IFERROR(__xludf.DUMMYFUNCTION("IFERROR(AVERAGE(FILTER(Inventory!K:K,Inventory!J:J=""Closed"",Inventory!A:A=A275)),"""")"),7.0)</f>
        <v>7</v>
      </c>
      <c r="H275" s="23" t="b">
        <v>0</v>
      </c>
      <c r="I275" s="236"/>
      <c r="J275" s="236">
        <f>MAXIFS(Inventory!D:D, Inventory!A:A, A:A)</f>
        <v>44642</v>
      </c>
      <c r="L275" s="23">
        <f>COUNTIFS(Inventory!A:A,A275,Inventory!J:J,"Open")</f>
        <v>0</v>
      </c>
    </row>
    <row r="276">
      <c r="A276" s="233" t="s">
        <v>2697</v>
      </c>
      <c r="B276" s="23" t="str">
        <f>Publishers!A16</f>
        <v>Annapurna Interactive</v>
      </c>
      <c r="C276" s="78">
        <f>COUNTIF(Inventory!A:A, A276)</f>
        <v>1</v>
      </c>
      <c r="D276" s="89">
        <f>IFERROR(__xludf.DUMMYFUNCTION("IFERROR(AVERAGE(FILTER(Inventory!H:H,Inventory!J:J=""Closed"",Inventory!A:A=A276)),"""")"),0.45930232558139533)</f>
        <v>0.4593023256</v>
      </c>
      <c r="E276" s="234">
        <f>IFERROR(__xludf.DUMMYFUNCTION("IFERROR(AVERAGE(FILTER(Inventory!G:G,Inventory!J:J=""Closed"",Inventory!A:A=A276)),""0"")"),2.37)</f>
        <v>2.37</v>
      </c>
      <c r="F276" s="235">
        <f>IFERROR(__xludf.DUMMYFUNCTION("IFERROR(SUM(FILTER(Inventory!G:G,Inventory!J:J=""Closed"",Inventory!A:A=A276)),""0"")"),2.37)</f>
        <v>2.37</v>
      </c>
      <c r="G276" s="235">
        <f>IFERROR(__xludf.DUMMYFUNCTION("IFERROR(AVERAGE(FILTER(Inventory!K:K,Inventory!J:J=""Closed"",Inventory!A:A=A276)),"""")"),171.0)</f>
        <v>171</v>
      </c>
      <c r="H276" s="23" t="b">
        <v>0</v>
      </c>
      <c r="I276" s="236"/>
      <c r="J276" s="236">
        <f>MAXIFS(Inventory!D:D, Inventory!A:A, A:A)</f>
        <v>44885</v>
      </c>
      <c r="L276" s="23">
        <f>COUNTIFS(Inventory!A:A,A276,Inventory!J:J,"Open")</f>
        <v>0</v>
      </c>
    </row>
    <row r="277">
      <c r="A277" s="233" t="s">
        <v>3358</v>
      </c>
      <c r="B277" s="23" t="str">
        <f>Publishers!A282</f>
        <v>Warner Bros</v>
      </c>
      <c r="C277" s="78">
        <f>COUNTIF(Inventory!A:A, A277)</f>
        <v>2</v>
      </c>
      <c r="D277" s="89">
        <f>IFERROR(__xludf.DUMMYFUNCTION("IFERROR(AVERAGE(FILTER(Inventory!H:H,Inventory!J:J=""Closed"",Inventory!A:A=A277)),"""")"),0.042203985932004626)</f>
        <v>0.04220398593</v>
      </c>
      <c r="E277" s="234">
        <f>IFERROR(__xludf.DUMMYFUNCTION("IFERROR(AVERAGE(FILTER(Inventory!G:G,Inventory!J:J=""Closed"",Inventory!A:A=A277)),""0"")"),1.4399999999999977)</f>
        <v>1.44</v>
      </c>
      <c r="F277" s="235">
        <f>IFERROR(__xludf.DUMMYFUNCTION("IFERROR(SUM(FILTER(Inventory!G:G,Inventory!J:J=""Closed"",Inventory!A:A=A277)),""0"")"),1.4399999999999977)</f>
        <v>1.44</v>
      </c>
      <c r="G277" s="235">
        <f>IFERROR(__xludf.DUMMYFUNCTION("IFERROR(AVERAGE(FILTER(Inventory!K:K,Inventory!J:J=""Closed"",Inventory!A:A=A277)),"""")"),2.0)</f>
        <v>2</v>
      </c>
      <c r="H277" s="23" t="b">
        <v>0</v>
      </c>
      <c r="I277" s="78">
        <v>24.2</v>
      </c>
      <c r="J277" s="236">
        <f>MAXIFS(Inventory!D:D, Inventory!A:A, A:A)</f>
        <v>44961</v>
      </c>
      <c r="L277" s="23">
        <f>COUNTIFS(Inventory!A:A,A277,Inventory!J:J,"Open")</f>
        <v>1</v>
      </c>
    </row>
    <row r="278">
      <c r="A278" s="233" t="s">
        <v>3368</v>
      </c>
      <c r="B278" s="23" t="str">
        <f>Publishers!A282</f>
        <v>Warner Bros</v>
      </c>
      <c r="C278" s="78">
        <f>COUNTIF(Inventory!A:A, A278)</f>
        <v>1</v>
      </c>
      <c r="D278" s="89" t="str">
        <f>IFERROR(__xludf.DUMMYFUNCTION("IFERROR(AVERAGE(FILTER(Inventory!H:H,Inventory!J:J=""Closed"",Inventory!A:A=A278)),"""")"),"")</f>
        <v/>
      </c>
      <c r="E278" s="234" t="str">
        <f>IFERROR(__xludf.DUMMYFUNCTION("IFERROR(AVERAGE(FILTER(Inventory!G:G,Inventory!J:J=""Closed"",Inventory!A:A=A278)),""0"")"),"0")</f>
        <v>0</v>
      </c>
      <c r="F278" s="235" t="str">
        <f>IFERROR(__xludf.DUMMYFUNCTION("IFERROR(SUM(FILTER(Inventory!G:G,Inventory!J:J=""Closed"",Inventory!A:A=A278)),""0"")"),"0")</f>
        <v>0</v>
      </c>
      <c r="G278" s="235" t="str">
        <f>IFERROR(__xludf.DUMMYFUNCTION("IFERROR(AVERAGE(FILTER(Inventory!K:K,Inventory!J:J=""Closed"",Inventory!A:A=A278)),"""")"),"")</f>
        <v/>
      </c>
      <c r="H278" s="23" t="b">
        <v>0</v>
      </c>
      <c r="I278" s="236"/>
      <c r="J278" s="236">
        <f>MAXIFS(Inventory!D:D, Inventory!A:A, A:A)</f>
        <v>0</v>
      </c>
      <c r="L278" s="23">
        <f>COUNTIFS(Inventory!A:A,A278,Inventory!J:J,"Open")</f>
        <v>1</v>
      </c>
    </row>
    <row r="279">
      <c r="A279" s="237" t="s">
        <v>1667</v>
      </c>
      <c r="B279" s="23" t="str">
        <f>Publishers!A99</f>
        <v>Focus Home Interactive</v>
      </c>
      <c r="C279" s="78">
        <f>COUNTIF(Inventory!A:A, A279)</f>
        <v>1</v>
      </c>
      <c r="D279" s="89">
        <f>IFERROR(__xludf.DUMMYFUNCTION("IFERROR(AVERAGE(FILTER(Inventory!H:H,Inventory!J:J=""Closed"",Inventory!A:A=A279)),"""")"),0.08003518029903241)</f>
        <v>0.0800351803</v>
      </c>
      <c r="E279" s="234">
        <f>IFERROR(__xludf.DUMMYFUNCTION("IFERROR(AVERAGE(FILTER(Inventory!G:G,Inventory!J:J=""Closed"",Inventory!A:A=A279)),""0"")"),0.9099999999999984)</f>
        <v>0.91</v>
      </c>
      <c r="F279" s="235">
        <f>IFERROR(__xludf.DUMMYFUNCTION("IFERROR(SUM(FILTER(Inventory!G:G,Inventory!J:J=""Closed"",Inventory!A:A=A279)),""0"")"),0.9099999999999984)</f>
        <v>0.91</v>
      </c>
      <c r="G279" s="235">
        <f>IFERROR(__xludf.DUMMYFUNCTION("IFERROR(AVERAGE(FILTER(Inventory!K:K,Inventory!J:J=""Closed"",Inventory!A:A=A279)),"""")"),147.0)</f>
        <v>147</v>
      </c>
      <c r="H279" s="23" t="b">
        <v>0</v>
      </c>
      <c r="I279" s="236"/>
      <c r="J279" s="236">
        <f>MAXIFS(Inventory!D:D, Inventory!A:A, A:A)</f>
        <v>44669</v>
      </c>
      <c r="L279" s="23">
        <f>COUNTIFS(Inventory!A:A,A279,Inventory!J:J,"Open")</f>
        <v>0</v>
      </c>
    </row>
    <row r="280">
      <c r="A280" s="233" t="s">
        <v>7517</v>
      </c>
      <c r="B280" s="23" t="str">
        <f>Publishers!A167</f>
        <v>Nacon</v>
      </c>
      <c r="C280" s="78">
        <f>COUNTIF(Inventory!A:A, A280)</f>
        <v>16</v>
      </c>
      <c r="D280" s="89">
        <f>IFERROR(__xludf.DUMMYFUNCTION("IFERROR(AVERAGE(FILTER(Inventory!H:H,Inventory!J:J=""Closed"",Inventory!A:A=A280)),"""")"),0.1312017860285077)</f>
        <v>0.131201786</v>
      </c>
      <c r="E280" s="234">
        <f>IFERROR(__xludf.DUMMYFUNCTION("IFERROR(AVERAGE(FILTER(Inventory!G:G,Inventory!J:J=""Closed"",Inventory!A:A=A280)),""0"")"),3.1143749999999994)</f>
        <v>3.114375</v>
      </c>
      <c r="F280" s="235">
        <f>IFERROR(__xludf.DUMMYFUNCTION("IFERROR(SUM(FILTER(Inventory!G:G,Inventory!J:J=""Closed"",Inventory!A:A=A280)),""0"")"),49.82999999999999)</f>
        <v>49.83</v>
      </c>
      <c r="G280" s="235">
        <f>IFERROR(__xludf.DUMMYFUNCTION("IFERROR(AVERAGE(FILTER(Inventory!K:K,Inventory!J:J=""Closed"",Inventory!A:A=A280)),"""")"),3.4375)</f>
        <v>3.4375</v>
      </c>
      <c r="H280" s="23" t="b">
        <v>0</v>
      </c>
      <c r="I280" s="236"/>
      <c r="J280" s="236">
        <f>MAXIFS(Inventory!D:D, Inventory!A:A, A:A)</f>
        <v>45614</v>
      </c>
      <c r="L280" s="23">
        <f>COUNTIFS(Inventory!A:A,A280,Inventory!J:J,"Open")</f>
        <v>0</v>
      </c>
    </row>
    <row r="281">
      <c r="A281" s="237" t="s">
        <v>867</v>
      </c>
      <c r="B281" s="23" t="str">
        <f>Publishers!A48</f>
        <v>Codemasters</v>
      </c>
      <c r="C281" s="78">
        <f>COUNTIF(Inventory!A:A, A281)</f>
        <v>1</v>
      </c>
      <c r="D281" s="89">
        <f>IFERROR(__xludf.DUMMYFUNCTION("IFERROR(AVERAGE(FILTER(Inventory!H:H,Inventory!J:J=""Closed"",Inventory!A:A=A281)),"""")"),0.41747572815533984)</f>
        <v>0.4174757282</v>
      </c>
      <c r="E281" s="234">
        <f>IFERROR(__xludf.DUMMYFUNCTION("IFERROR(AVERAGE(FILTER(Inventory!G:G,Inventory!J:J=""Closed"",Inventory!A:A=A281)),""0"")"),0.43000000000000005)</f>
        <v>0.43</v>
      </c>
      <c r="F281" s="235">
        <f>IFERROR(__xludf.DUMMYFUNCTION("IFERROR(SUM(FILTER(Inventory!G:G,Inventory!J:J=""Closed"",Inventory!A:A=A281)),""0"")"),0.43000000000000005)</f>
        <v>0.43</v>
      </c>
      <c r="G281" s="235">
        <f>IFERROR(__xludf.DUMMYFUNCTION("IFERROR(AVERAGE(FILTER(Inventory!K:K,Inventory!J:J=""Closed"",Inventory!A:A=A281)),"""")"),9.0)</f>
        <v>9</v>
      </c>
      <c r="H281" s="23" t="b">
        <v>0</v>
      </c>
      <c r="I281" s="236"/>
      <c r="J281" s="236">
        <f>MAXIFS(Inventory!D:D, Inventory!A:A, A:A)</f>
        <v>44192</v>
      </c>
      <c r="L281" s="23">
        <f>COUNTIFS(Inventory!A:A,A281,Inventory!J:J,"Open")</f>
        <v>0</v>
      </c>
    </row>
    <row r="282">
      <c r="A282" s="237" t="s">
        <v>756</v>
      </c>
      <c r="B282" s="23" t="str">
        <f>Publishers!A48</f>
        <v>Codemasters</v>
      </c>
      <c r="C282" s="78">
        <f>COUNTIF(Inventory!A:A, A282)</f>
        <v>2</v>
      </c>
      <c r="D282" s="89">
        <f>IFERROR(__xludf.DUMMYFUNCTION("IFERROR(AVERAGE(FILTER(Inventory!H:H,Inventory!J:J=""Closed"",Inventory!A:A=A282)),"""")"),0.11920677361853824)</f>
        <v>0.1192067736</v>
      </c>
      <c r="E282" s="234">
        <f>IFERROR(__xludf.DUMMYFUNCTION("IFERROR(AVERAGE(FILTER(Inventory!G:G,Inventory!J:J=""Closed"",Inventory!A:A=A282)),""0"")"),0.3999999999999997)</f>
        <v>0.4</v>
      </c>
      <c r="F282" s="235">
        <f>IFERROR(__xludf.DUMMYFUNCTION("IFERROR(SUM(FILTER(Inventory!G:G,Inventory!J:J=""Closed"",Inventory!A:A=A282)),""0"")"),0.7999999999999994)</f>
        <v>0.8</v>
      </c>
      <c r="G282" s="235">
        <f>IFERROR(__xludf.DUMMYFUNCTION("IFERROR(AVERAGE(FILTER(Inventory!K:K,Inventory!J:J=""Closed"",Inventory!A:A=A282)),"""")"),37.0)</f>
        <v>37</v>
      </c>
      <c r="H282" s="23" t="b">
        <v>0</v>
      </c>
      <c r="I282" s="236"/>
      <c r="J282" s="236">
        <f>MAXIFS(Inventory!D:D, Inventory!A:A, A:A)</f>
        <v>44187</v>
      </c>
      <c r="L282" s="23">
        <f>COUNTIFS(Inventory!A:A,A282,Inventory!J:J,"Open")</f>
        <v>0</v>
      </c>
    </row>
    <row r="283">
      <c r="A283" s="237" t="s">
        <v>383</v>
      </c>
      <c r="B283" s="23" t="str">
        <f>Publishers!A285</f>
        <v>Wired Productions</v>
      </c>
      <c r="C283" s="78">
        <f>COUNTIF(Inventory!A:A, A283)</f>
        <v>10</v>
      </c>
      <c r="D283" s="89">
        <f>IFERROR(__xludf.DUMMYFUNCTION("IFERROR(AVERAGE(FILTER(Inventory!H:H,Inventory!J:J=""Closed"",Inventory!A:A=A283)),"""")"),0.923611111111111)</f>
        <v>0.9236111111</v>
      </c>
      <c r="E283" s="234">
        <f>IFERROR(__xludf.DUMMYFUNCTION("IFERROR(AVERAGE(FILTER(Inventory!G:G,Inventory!J:J=""Closed"",Inventory!A:A=A283)),""0"")"),0.8190000000000002)</f>
        <v>0.819</v>
      </c>
      <c r="F283" s="235">
        <f>IFERROR(__xludf.DUMMYFUNCTION("IFERROR(SUM(FILTER(Inventory!G:G,Inventory!J:J=""Closed"",Inventory!A:A=A283)),""0"")"),8.190000000000001)</f>
        <v>8.19</v>
      </c>
      <c r="G283" s="235">
        <f>IFERROR(__xludf.DUMMYFUNCTION("IFERROR(AVERAGE(FILTER(Inventory!K:K,Inventory!J:J=""Closed"",Inventory!A:A=A283)),"""")"),4.6)</f>
        <v>4.6</v>
      </c>
      <c r="H283" s="23" t="b">
        <v>0</v>
      </c>
      <c r="I283" s="236"/>
      <c r="J283" s="236">
        <f>MAXIFS(Inventory!D:D, Inventory!A:A, A:A)</f>
        <v>45395</v>
      </c>
      <c r="L283" s="23">
        <f>COUNTIFS(Inventory!A:A,A283,Inventory!J:J,"Open")</f>
        <v>0</v>
      </c>
      <c r="N283" s="239"/>
      <c r="O283" s="239"/>
    </row>
    <row r="284">
      <c r="A284" s="237" t="s">
        <v>869</v>
      </c>
      <c r="B284" s="23" t="str">
        <f>Publishers!A285</f>
        <v>Wired Productions</v>
      </c>
      <c r="C284" s="78">
        <f>COUNTIF(Inventory!A:A, A284)</f>
        <v>1</v>
      </c>
      <c r="D284" s="89">
        <f>IFERROR(__xludf.DUMMYFUNCTION("IFERROR(AVERAGE(FILTER(Inventory!H:H,Inventory!J:J=""Closed"",Inventory!A:A=A284)),"""")"),0.3472222222222222)</f>
        <v>0.3472222222</v>
      </c>
      <c r="E284" s="234">
        <f>IFERROR(__xludf.DUMMYFUNCTION("IFERROR(AVERAGE(FILTER(Inventory!G:G,Inventory!J:J=""Closed"",Inventory!A:A=A284)),""0"")"),0.25)</f>
        <v>0.25</v>
      </c>
      <c r="F284" s="235">
        <f>IFERROR(__xludf.DUMMYFUNCTION("IFERROR(SUM(FILTER(Inventory!G:G,Inventory!J:J=""Closed"",Inventory!A:A=A284)),""0"")"),0.25)</f>
        <v>0.25</v>
      </c>
      <c r="G284" s="235">
        <f>IFERROR(__xludf.DUMMYFUNCTION("IFERROR(AVERAGE(FILTER(Inventory!K:K,Inventory!J:J=""Closed"",Inventory!A:A=A284)),"""")"),13.0)</f>
        <v>13</v>
      </c>
      <c r="H284" s="23" t="b">
        <v>0</v>
      </c>
      <c r="I284" s="236"/>
      <c r="J284" s="236">
        <f>MAXIFS(Inventory!D:D, Inventory!A:A, A:A)</f>
        <v>44197</v>
      </c>
      <c r="L284" s="23">
        <f>COUNTIFS(Inventory!A:A,A284,Inventory!J:J,"Open")</f>
        <v>0</v>
      </c>
      <c r="N284" s="239"/>
      <c r="O284" s="239"/>
    </row>
    <row r="285">
      <c r="A285" s="237" t="s">
        <v>1326</v>
      </c>
      <c r="B285" s="23" t="str">
        <f>Publishers!A71</f>
        <v>Devolver Digital</v>
      </c>
      <c r="C285" s="78">
        <f>COUNTIF(Inventory!A:A, A285)</f>
        <v>1</v>
      </c>
      <c r="D285" s="89">
        <f>IFERROR(__xludf.DUMMYFUNCTION("IFERROR(AVERAGE(FILTER(Inventory!H:H,Inventory!J:J=""Closed"",Inventory!A:A=A285)),"""")"),0.12880562060889916)</f>
        <v>0.1288056206</v>
      </c>
      <c r="E285" s="234">
        <f>IFERROR(__xludf.DUMMYFUNCTION("IFERROR(AVERAGE(FILTER(Inventory!G:G,Inventory!J:J=""Closed"",Inventory!A:A=A285)),""0"")"),0.5499999999999994)</f>
        <v>0.55</v>
      </c>
      <c r="F285" s="235">
        <f>IFERROR(__xludf.DUMMYFUNCTION("IFERROR(SUM(FILTER(Inventory!G:G,Inventory!J:J=""Closed"",Inventory!A:A=A285)),""0"")"),0.5499999999999994)</f>
        <v>0.55</v>
      </c>
      <c r="G285" s="235">
        <f>IFERROR(__xludf.DUMMYFUNCTION("IFERROR(AVERAGE(FILTER(Inventory!K:K,Inventory!J:J=""Closed"",Inventory!A:A=A285)),"""")"),1.0)</f>
        <v>1</v>
      </c>
      <c r="H285" s="23" t="b">
        <v>0</v>
      </c>
      <c r="I285" s="236"/>
      <c r="J285" s="236">
        <f>MAXIFS(Inventory!D:D, Inventory!A:A, A:A)</f>
        <v>44442</v>
      </c>
      <c r="L285" s="23">
        <f>COUNTIFS(Inventory!A:A,A285,Inventory!J:J,"Open")</f>
        <v>0</v>
      </c>
    </row>
    <row r="286">
      <c r="A286" s="233" t="s">
        <v>5768</v>
      </c>
      <c r="B286" s="23" t="str">
        <f>Publishers!A2</f>
        <v>10 Chambers</v>
      </c>
      <c r="C286" s="78">
        <f>COUNTIF(Inventory!A:A, A286)</f>
        <v>64</v>
      </c>
      <c r="D286" s="89">
        <f>IFERROR(__xludf.DUMMYFUNCTION("IFERROR(AVERAGE(FILTER(Inventory!H:H,Inventory!J:J=""Closed"",Inventory!A:A=A286)),"""")"),0.3686736969166741)</f>
        <v>0.3686736969</v>
      </c>
      <c r="E286" s="234">
        <f>IFERROR(__xludf.DUMMYFUNCTION("IFERROR(AVERAGE(FILTER(Inventory!G:G,Inventory!J:J=""Closed"",Inventory!A:A=A286)),""0"")"),5.7793650793650775)</f>
        <v>5.779365079</v>
      </c>
      <c r="F286" s="235">
        <f>IFERROR(__xludf.DUMMYFUNCTION("IFERROR(SUM(FILTER(Inventory!G:G,Inventory!J:J=""Closed"",Inventory!A:A=A286)),""0"")"),364.0999999999999)</f>
        <v>364.1</v>
      </c>
      <c r="G286" s="235">
        <f>IFERROR(__xludf.DUMMYFUNCTION("IFERROR(AVERAGE(FILTER(Inventory!K:K,Inventory!J:J=""Closed"",Inventory!A:A=A286)),"""")"),3.6666666666666665)</f>
        <v>3.666666667</v>
      </c>
      <c r="H286" s="23" t="b">
        <v>0</v>
      </c>
      <c r="I286" s="236"/>
      <c r="J286" s="236">
        <f>MAXIFS(Inventory!D:D, Inventory!A:A, A:A)</f>
        <v>46115</v>
      </c>
      <c r="K286" s="23" t="str">
        <f>IMAGE("https://shared.akamai.steamstatic.com/store_item_assets/steam/apps/493520/header.jpg?t=1726493515")</f>
        <v/>
      </c>
      <c r="L286" s="23">
        <f>COUNTIFS(Inventory!A:A,A286,Inventory!J:J,"Open")</f>
        <v>1</v>
      </c>
    </row>
    <row r="287">
      <c r="A287" s="237" t="s">
        <v>1754</v>
      </c>
      <c r="B287" s="23" t="str">
        <f>Publishers!A21</f>
        <v>Arc System Works</v>
      </c>
      <c r="C287" s="78">
        <f>COUNTIF(Inventory!A:A, A287)</f>
        <v>17</v>
      </c>
      <c r="D287" s="89">
        <f>IFERROR(__xludf.DUMMYFUNCTION("IFERROR(AVERAGE(FILTER(Inventory!H:H,Inventory!J:J=""Closed"",Inventory!A:A=A287)),"""")"),0.18944306377103654)</f>
        <v>0.1894430638</v>
      </c>
      <c r="E287" s="234">
        <f>IFERROR(__xludf.DUMMYFUNCTION("IFERROR(AVERAGE(FILTER(Inventory!G:G,Inventory!J:J=""Closed"",Inventory!A:A=A287)),""0"")"),6.1488235294117635)</f>
        <v>6.148823529</v>
      </c>
      <c r="F287" s="235">
        <f>IFERROR(__xludf.DUMMYFUNCTION("IFERROR(SUM(FILTER(Inventory!G:G,Inventory!J:J=""Closed"",Inventory!A:A=A287)),""0"")"),104.52999999999997)</f>
        <v>104.53</v>
      </c>
      <c r="G287" s="235">
        <f>IFERROR(__xludf.DUMMYFUNCTION("IFERROR(AVERAGE(FILTER(Inventory!K:K,Inventory!J:J=""Closed"",Inventory!A:A=A287)),"""")"),22.529411764705884)</f>
        <v>22.52941176</v>
      </c>
      <c r="H287" s="23" t="b">
        <v>0</v>
      </c>
      <c r="I287" s="78">
        <v>26.5</v>
      </c>
      <c r="J287" s="236">
        <f>MAXIFS(Inventory!D:D, Inventory!A:A, A:A)</f>
        <v>45415</v>
      </c>
      <c r="L287" s="23">
        <f>COUNTIFS(Inventory!A:A,A287,Inventory!J:J,"Open")</f>
        <v>0</v>
      </c>
    </row>
    <row r="288">
      <c r="A288" s="237" t="s">
        <v>343</v>
      </c>
      <c r="B288" s="23" t="str">
        <f>Publishers!A210</f>
        <v>Rogueside</v>
      </c>
      <c r="C288" s="78">
        <f>COUNTIF(Inventory!A:A, A288)</f>
        <v>2</v>
      </c>
      <c r="D288" s="89">
        <f>IFERROR(__xludf.DUMMYFUNCTION("IFERROR(AVERAGE(FILTER(Inventory!H:H,Inventory!J:J=""Closed"",Inventory!A:A=A288)),"""")"),0.7805236114509421)</f>
        <v>0.7805236115</v>
      </c>
      <c r="E288" s="234">
        <f>IFERROR(__xludf.DUMMYFUNCTION("IFERROR(AVERAGE(FILTER(Inventory!G:G,Inventory!J:J=""Closed"",Inventory!A:A=A288)),""0"")"),1.5)</f>
        <v>1.5</v>
      </c>
      <c r="F288" s="235">
        <f>IFERROR(__xludf.DUMMYFUNCTION("IFERROR(SUM(FILTER(Inventory!G:G,Inventory!J:J=""Closed"",Inventory!A:A=A288)),""0"")"),3.0)</f>
        <v>3</v>
      </c>
      <c r="G288" s="235">
        <f>IFERROR(__xludf.DUMMYFUNCTION("IFERROR(AVERAGE(FILTER(Inventory!K:K,Inventory!J:J=""Closed"",Inventory!A:A=A288)),"""")"),11.0)</f>
        <v>11</v>
      </c>
      <c r="H288" s="23" t="b">
        <v>0</v>
      </c>
      <c r="I288" s="236"/>
      <c r="J288" s="236">
        <f>MAXIFS(Inventory!D:D, Inventory!A:A, A:A)</f>
        <v>44052</v>
      </c>
      <c r="L288" s="23">
        <f>COUNTIFS(Inventory!A:A,A288,Inventory!J:J,"Open")</f>
        <v>0</v>
      </c>
    </row>
    <row r="289">
      <c r="A289" s="233" t="s">
        <v>3771</v>
      </c>
      <c r="B289" s="23" t="str">
        <f>Publishers!A112</f>
        <v>Good Shepherd Entertainment</v>
      </c>
      <c r="C289" s="78">
        <f>COUNTIF(Inventory!A:A, A289)</f>
        <v>32</v>
      </c>
      <c r="D289" s="89">
        <f>IFERROR(__xludf.DUMMYFUNCTION("IFERROR(AVERAGE(FILTER(Inventory!H:H,Inventory!J:J=""Closed"",Inventory!A:A=A289)),"""")"),0.17467923395579596)</f>
        <v>0.174679234</v>
      </c>
      <c r="E289" s="234">
        <f>IFERROR(__xludf.DUMMYFUNCTION("IFERROR(AVERAGE(FILTER(Inventory!G:G,Inventory!J:J=""Closed"",Inventory!A:A=A289)),""0"")"),1.970625)</f>
        <v>1.970625</v>
      </c>
      <c r="F289" s="235">
        <f>IFERROR(__xludf.DUMMYFUNCTION("IFERROR(SUM(FILTER(Inventory!G:G,Inventory!J:J=""Closed"",Inventory!A:A=A289)),""0"")"),63.06)</f>
        <v>63.06</v>
      </c>
      <c r="G289" s="235">
        <f>IFERROR(__xludf.DUMMYFUNCTION("IFERROR(AVERAGE(FILTER(Inventory!K:K,Inventory!J:J=""Closed"",Inventory!A:A=A289)),"""")"),11.625)</f>
        <v>11.625</v>
      </c>
      <c r="H289" s="23" t="b">
        <v>0</v>
      </c>
      <c r="I289" s="78">
        <v>12.79</v>
      </c>
      <c r="J289" s="236">
        <f>MAXIFS(Inventory!D:D, Inventory!A:A, A:A)</f>
        <v>45391</v>
      </c>
      <c r="L289" s="23">
        <f>COUNTIFS(Inventory!A:A,A289,Inventory!J:J,"Open")</f>
        <v>0</v>
      </c>
    </row>
    <row r="290">
      <c r="A290" s="233" t="s">
        <v>3707</v>
      </c>
      <c r="B290" s="23" t="str">
        <f>Publishers!A112</f>
        <v>Good Shepherd Entertainment</v>
      </c>
      <c r="C290" s="78">
        <f>COUNTIF(Inventory!A:A, A290)</f>
        <v>1</v>
      </c>
      <c r="D290" s="89">
        <f>IFERROR(__xludf.DUMMYFUNCTION("IFERROR(AVERAGE(FILTER(Inventory!H:H,Inventory!J:J=""Closed"",Inventory!A:A=A290)),"""")"),0.2620689655172414)</f>
        <v>0.2620689655</v>
      </c>
      <c r="E290" s="234">
        <f>IFERROR(__xludf.DUMMYFUNCTION("IFERROR(AVERAGE(FILTER(Inventory!G:G,Inventory!J:J=""Closed"",Inventory!A:A=A290)),""0"")"),3.8000000000000007)</f>
        <v>3.8</v>
      </c>
      <c r="F290" s="235">
        <f>IFERROR(__xludf.DUMMYFUNCTION("IFERROR(SUM(FILTER(Inventory!G:G,Inventory!J:J=""Closed"",Inventory!A:A=A290)),""0"")"),3.8000000000000007)</f>
        <v>3.8</v>
      </c>
      <c r="G290" s="235">
        <f>IFERROR(__xludf.DUMMYFUNCTION("IFERROR(AVERAGE(FILTER(Inventory!K:K,Inventory!J:J=""Closed"",Inventory!A:A=A290)),"""")"),11.0)</f>
        <v>11</v>
      </c>
      <c r="H290" s="23" t="b">
        <v>0</v>
      </c>
      <c r="I290" s="236"/>
      <c r="J290" s="236">
        <f>MAXIFS(Inventory!D:D, Inventory!A:A, A:A)</f>
        <v>45015</v>
      </c>
      <c r="L290" s="23">
        <f>COUNTIFS(Inventory!A:A,A290,Inventory!J:J,"Open")</f>
        <v>0</v>
      </c>
    </row>
    <row r="291">
      <c r="A291" s="233" t="s">
        <v>2886</v>
      </c>
      <c r="B291" s="23" t="str">
        <f>Publishers!A222</f>
        <v>SEGA</v>
      </c>
      <c r="C291" s="78">
        <f>COUNTIF(Inventory!A:A, A291)</f>
        <v>1</v>
      </c>
      <c r="D291" s="89">
        <f>IFERROR(__xludf.DUMMYFUNCTION("IFERROR(AVERAGE(FILTER(Inventory!H:H,Inventory!J:J=""Closed"",Inventory!A:A=A291)),"""")"),0.10600828729281768)</f>
        <v>0.1060082873</v>
      </c>
      <c r="E291" s="234">
        <f>IFERROR(__xludf.DUMMYFUNCTION("IFERROR(AVERAGE(FILTER(Inventory!G:G,Inventory!J:J=""Closed"",Inventory!A:A=A291)),""0"")"),3.0700000000000003)</f>
        <v>3.07</v>
      </c>
      <c r="F291" s="235">
        <f>IFERROR(__xludf.DUMMYFUNCTION("IFERROR(SUM(FILTER(Inventory!G:G,Inventory!J:J=""Closed"",Inventory!A:A=A291)),""0"")"),3.0700000000000003)</f>
        <v>3.07</v>
      </c>
      <c r="G291" s="235">
        <f>IFERROR(__xludf.DUMMYFUNCTION("IFERROR(AVERAGE(FILTER(Inventory!K:K,Inventory!J:J=""Closed"",Inventory!A:A=A291)),"""")"),18.0)</f>
        <v>18</v>
      </c>
      <c r="H291" s="23" t="b">
        <v>0</v>
      </c>
      <c r="I291" s="236"/>
      <c r="J291" s="236">
        <f>MAXIFS(Inventory!D:D, Inventory!A:A, A:A)</f>
        <v>44764</v>
      </c>
      <c r="L291" s="23">
        <f>COUNTIFS(Inventory!A:A,A291,Inventory!J:J,"Open")</f>
        <v>0</v>
      </c>
    </row>
    <row r="292">
      <c r="A292" s="233" t="s">
        <v>2199</v>
      </c>
      <c r="B292" s="23" t="str">
        <f>Publishers!A188</f>
        <v>Paradox Interactive</v>
      </c>
      <c r="C292" s="78">
        <f>COUNTIF(Inventory!A:A, A292)</f>
        <v>4</v>
      </c>
      <c r="D292" s="89">
        <f>IFERROR(__xludf.DUMMYFUNCTION("IFERROR(AVERAGE(FILTER(Inventory!H:H,Inventory!J:J=""Closed"",Inventory!A:A=A292)),"""")"),0.22878116066758192)</f>
        <v>0.2287811607</v>
      </c>
      <c r="E292" s="234">
        <f>IFERROR(__xludf.DUMMYFUNCTION("IFERROR(AVERAGE(FILTER(Inventory!G:G,Inventory!J:J=""Closed"",Inventory!A:A=A292)),""0"")"),1.2025000000000001)</f>
        <v>1.2025</v>
      </c>
      <c r="F292" s="235">
        <f>IFERROR(__xludf.DUMMYFUNCTION("IFERROR(SUM(FILTER(Inventory!G:G,Inventory!J:J=""Closed"",Inventory!A:A=A292)),""0"")"),4.8100000000000005)</f>
        <v>4.81</v>
      </c>
      <c r="G292" s="235">
        <f>IFERROR(__xludf.DUMMYFUNCTION("IFERROR(AVERAGE(FILTER(Inventory!K:K,Inventory!J:J=""Closed"",Inventory!A:A=A292)),"""")"),16.0)</f>
        <v>16</v>
      </c>
      <c r="H292" s="23" t="b">
        <v>0</v>
      </c>
      <c r="I292" s="236"/>
      <c r="J292" s="236">
        <f>MAXIFS(Inventory!D:D, Inventory!A:A, A:A)</f>
        <v>44809</v>
      </c>
      <c r="L292" s="23">
        <f>COUNTIFS(Inventory!A:A,A292,Inventory!J:J,"Open")</f>
        <v>0</v>
      </c>
    </row>
    <row r="293">
      <c r="A293" s="237" t="s">
        <v>906</v>
      </c>
      <c r="B293" s="23" t="str">
        <f>Publishers!A139</f>
        <v>Klabater</v>
      </c>
      <c r="C293" s="78">
        <f>COUNTIF(Inventory!A:A, A293)</f>
        <v>3</v>
      </c>
      <c r="D293" s="89">
        <f>IFERROR(__xludf.DUMMYFUNCTION("IFERROR(AVERAGE(FILTER(Inventory!H:H,Inventory!J:J=""Closed"",Inventory!A:A=A293)),"""")"),0.5455504385186979)</f>
        <v>0.5455504385</v>
      </c>
      <c r="E293" s="234">
        <f>IFERROR(__xludf.DUMMYFUNCTION("IFERROR(AVERAGE(FILTER(Inventory!G:G,Inventory!J:J=""Closed"",Inventory!A:A=A293)),""0"")"),3.3000000000000003)</f>
        <v>3.3</v>
      </c>
      <c r="F293" s="235">
        <f>IFERROR(__xludf.DUMMYFUNCTION("IFERROR(SUM(FILTER(Inventory!G:G,Inventory!J:J=""Closed"",Inventory!A:A=A293)),""0"")"),9.9)</f>
        <v>9.9</v>
      </c>
      <c r="G293" s="235">
        <f>IFERROR(__xludf.DUMMYFUNCTION("IFERROR(AVERAGE(FILTER(Inventory!K:K,Inventory!J:J=""Closed"",Inventory!A:A=A293)),"""")"),48.666666666666664)</f>
        <v>48.66666667</v>
      </c>
      <c r="H293" s="23" t="b">
        <v>0</v>
      </c>
      <c r="I293" s="236"/>
      <c r="J293" s="236">
        <f>MAXIFS(Inventory!D:D, Inventory!A:A, A:A)</f>
        <v>44312</v>
      </c>
      <c r="L293" s="23">
        <f>COUNTIFS(Inventory!A:A,A293,Inventory!J:J,"Open")</f>
        <v>0</v>
      </c>
    </row>
    <row r="294">
      <c r="A294" s="237" t="s">
        <v>727</v>
      </c>
      <c r="B294" s="23" t="str">
        <f>Publishers!A253</f>
        <v>Team17 Digital</v>
      </c>
      <c r="C294" s="78">
        <f>COUNTIF(Inventory!A:A, A294)</f>
        <v>2</v>
      </c>
      <c r="D294" s="89">
        <f>IFERROR(__xludf.DUMMYFUNCTION("IFERROR(AVERAGE(FILTER(Inventory!H:H,Inventory!J:J=""Closed"",Inventory!A:A=A294)),"""")"),0.17363402831710378)</f>
        <v>0.1736340283</v>
      </c>
      <c r="E294" s="234">
        <f>IFERROR(__xludf.DUMMYFUNCTION("IFERROR(AVERAGE(FILTER(Inventory!G:G,Inventory!J:J=""Closed"",Inventory!A:A=A294)),""0"")"),2.7650000000000006)</f>
        <v>2.765</v>
      </c>
      <c r="F294" s="235">
        <f>IFERROR(__xludf.DUMMYFUNCTION("IFERROR(SUM(FILTER(Inventory!G:G,Inventory!J:J=""Closed"",Inventory!A:A=A294)),""0"")"),5.530000000000001)</f>
        <v>5.53</v>
      </c>
      <c r="G294" s="235">
        <f>IFERROR(__xludf.DUMMYFUNCTION("IFERROR(AVERAGE(FILTER(Inventory!K:K,Inventory!J:J=""Closed"",Inventory!A:A=A294)),"""")"),0.5)</f>
        <v>0.5</v>
      </c>
      <c r="H294" s="23" t="b">
        <v>0</v>
      </c>
      <c r="I294" s="236"/>
      <c r="J294" s="236">
        <f>MAXIFS(Inventory!D:D, Inventory!A:A, A:A)</f>
        <v>45667</v>
      </c>
      <c r="L294" s="23">
        <f>COUNTIFS(Inventory!A:A,A294,Inventory!J:J,"Open")</f>
        <v>0</v>
      </c>
    </row>
    <row r="295">
      <c r="A295" s="233" t="s">
        <v>8329</v>
      </c>
      <c r="B295" s="23" t="str">
        <f>Publishers!A253</f>
        <v>Team17 Digital</v>
      </c>
      <c r="C295" s="78">
        <f>COUNTIF(Inventory!A:A, A295)</f>
        <v>1</v>
      </c>
      <c r="D295" s="89">
        <f>IFERROR(__xludf.DUMMYFUNCTION("IFERROR(AVERAGE(FILTER(Inventory!H:H,Inventory!J:J=""Closed"",Inventory!A:A=A295)),"""")"),0.48885276358569435)</f>
        <v>0.4888527636</v>
      </c>
      <c r="E295" s="234">
        <f>IFERROR(__xludf.DUMMYFUNCTION("IFERROR(AVERAGE(FILTER(Inventory!G:G,Inventory!J:J=""Closed"",Inventory!A:A=A295)),""0"")"),21.05)</f>
        <v>21.05</v>
      </c>
      <c r="F295" s="235">
        <f>IFERROR(__xludf.DUMMYFUNCTION("IFERROR(SUM(FILTER(Inventory!G:G,Inventory!J:J=""Closed"",Inventory!A:A=A295)),""0"")"),21.05)</f>
        <v>21.05</v>
      </c>
      <c r="G295" s="235">
        <f>IFERROR(__xludf.DUMMYFUNCTION("IFERROR(AVERAGE(FILTER(Inventory!K:K,Inventory!J:J=""Closed"",Inventory!A:A=A295)),"""")"),1.0)</f>
        <v>1</v>
      </c>
      <c r="H295" s="23" t="b">
        <v>0</v>
      </c>
      <c r="I295" s="236"/>
      <c r="J295" s="236">
        <f>MAXIFS(Inventory!D:D, Inventory!A:A, A:A)</f>
        <v>45676</v>
      </c>
      <c r="K295" s="23" t="str">
        <f>IMAGE("https://shared.fastly.steamstatic.com/store_item_assets/steam/apps/686810/header.jpg?t=1732705601")</f>
        <v/>
      </c>
      <c r="L295" s="23">
        <f>COUNTIFS(Inventory!A:A,A295,Inventory!J:J,"Open")</f>
        <v>0</v>
      </c>
    </row>
    <row r="296">
      <c r="A296" s="233" t="s">
        <v>4494</v>
      </c>
      <c r="B296" s="23" t="str">
        <f>Publishers!A229</f>
        <v>Skystone Games</v>
      </c>
      <c r="C296" s="78">
        <f>COUNTIF(Inventory!A:A, A296)</f>
        <v>25</v>
      </c>
      <c r="D296" s="89">
        <f>IFERROR(__xludf.DUMMYFUNCTION("IFERROR(AVERAGE(FILTER(Inventory!H:H,Inventory!J:J=""Closed"",Inventory!A:A=A296)),"""")"),0.19413727373757658)</f>
        <v>0.1941372737</v>
      </c>
      <c r="E296" s="234">
        <f>IFERROR(__xludf.DUMMYFUNCTION("IFERROR(AVERAGE(FILTER(Inventory!G:G,Inventory!J:J=""Closed"",Inventory!A:A=A296)),""0"")"),1.7291999999999996)</f>
        <v>1.7292</v>
      </c>
      <c r="F296" s="235">
        <f>IFERROR(__xludf.DUMMYFUNCTION("IFERROR(SUM(FILTER(Inventory!G:G,Inventory!J:J=""Closed"",Inventory!A:A=A296)),""0"")"),43.22999999999999)</f>
        <v>43.23</v>
      </c>
      <c r="G296" s="235">
        <f>IFERROR(__xludf.DUMMYFUNCTION("IFERROR(AVERAGE(FILTER(Inventory!K:K,Inventory!J:J=""Closed"",Inventory!A:A=A296)),"""")"),15.92)</f>
        <v>15.92</v>
      </c>
      <c r="H296" s="23" t="b">
        <v>0</v>
      </c>
      <c r="I296" s="236"/>
      <c r="J296" s="236">
        <f>MAXIFS(Inventory!D:D, Inventory!A:A, A:A)</f>
        <v>45612</v>
      </c>
      <c r="L296" s="23">
        <f>COUNTIFS(Inventory!A:A,A296,Inventory!J:J,"Open")</f>
        <v>0</v>
      </c>
    </row>
    <row r="297">
      <c r="A297" s="233" t="s">
        <v>7677</v>
      </c>
      <c r="B297" s="23" t="str">
        <f>Publishers!A194</f>
        <v>PlayStation</v>
      </c>
      <c r="C297" s="78">
        <f>COUNTIF(Inventory!A:A, A297)</f>
        <v>13</v>
      </c>
      <c r="D297" s="89">
        <f>IFERROR(__xludf.DUMMYFUNCTION("IFERROR(AVERAGE(FILTER(Inventory!H:H,Inventory!J:J=""Closed"",Inventory!A:A=A297)),"""")"),0.11654017464521098)</f>
        <v>0.1165401746</v>
      </c>
      <c r="E297" s="234">
        <f>IFERROR(__xludf.DUMMYFUNCTION("IFERROR(AVERAGE(FILTER(Inventory!G:G,Inventory!J:J=""Closed"",Inventory!A:A=A297)),""0"")"),3.3149999999999995)</f>
        <v>3.315</v>
      </c>
      <c r="F297" s="235">
        <f>IFERROR(__xludf.DUMMYFUNCTION("IFERROR(SUM(FILTER(Inventory!G:G,Inventory!J:J=""Closed"",Inventory!A:A=A297)),""0"")"),39.779999999999994)</f>
        <v>39.78</v>
      </c>
      <c r="G297" s="235">
        <f>IFERROR(__xludf.DUMMYFUNCTION("IFERROR(AVERAGE(FILTER(Inventory!K:K,Inventory!J:J=""Closed"",Inventory!A:A=A297)),"""")"),4.333333333333333)</f>
        <v>4.333333333</v>
      </c>
      <c r="H297" s="23" t="b">
        <v>0</v>
      </c>
      <c r="I297" s="236"/>
      <c r="J297" s="236">
        <f>MAXIFS(Inventory!D:D, Inventory!A:A, A:A)</f>
        <v>46197</v>
      </c>
      <c r="L297" s="23">
        <f>COUNTIFS(Inventory!A:A,A297,Inventory!J:J,"Open")</f>
        <v>1</v>
      </c>
    </row>
    <row r="298">
      <c r="A298" s="237" t="s">
        <v>1250</v>
      </c>
      <c r="B298" s="23" t="str">
        <f>Publishers!A139</f>
        <v>Klabater</v>
      </c>
      <c r="C298" s="78">
        <f>COUNTIF(Inventory!A:A, A298)</f>
        <v>1</v>
      </c>
      <c r="D298" s="89">
        <f>IFERROR(__xludf.DUMMYFUNCTION("IFERROR(AVERAGE(FILTER(Inventory!H:H,Inventory!J:J=""Closed"",Inventory!A:A=A298)),"""")"),-1.272727272727273)</f>
        <v>-1.272727273</v>
      </c>
      <c r="E298" s="234">
        <f>IFERROR(__xludf.DUMMYFUNCTION("IFERROR(AVERAGE(FILTER(Inventory!G:G,Inventory!J:J=""Closed"",Inventory!A:A=A298)),""0"")"),-0.56)</f>
        <v>-0.56</v>
      </c>
      <c r="F298" s="235">
        <f>IFERROR(__xludf.DUMMYFUNCTION("IFERROR(SUM(FILTER(Inventory!G:G,Inventory!J:J=""Closed"",Inventory!A:A=A298)),""0"")"),-0.56)</f>
        <v>-0.56</v>
      </c>
      <c r="G298" s="235">
        <f>IFERROR(__xludf.DUMMYFUNCTION("IFERROR(AVERAGE(FILTER(Inventory!K:K,Inventory!J:J=""Closed"",Inventory!A:A=A298)),"""")"),733.0)</f>
        <v>733</v>
      </c>
      <c r="H298" s="23" t="b">
        <v>0</v>
      </c>
      <c r="I298" s="236"/>
      <c r="J298" s="236">
        <f>MAXIFS(Inventory!D:D, Inventory!A:A, A:A)</f>
        <v>45109</v>
      </c>
      <c r="L298" s="23">
        <f>COUNTIFS(Inventory!A:A,A298,Inventory!J:J,"Open")</f>
        <v>0</v>
      </c>
    </row>
    <row r="299">
      <c r="A299" s="237" t="s">
        <v>506</v>
      </c>
      <c r="B299" s="23" t="str">
        <f>Publishers!A146</f>
        <v>Lonely Troops</v>
      </c>
      <c r="C299" s="78">
        <f>COUNTIF(Inventory!A:A, A299)</f>
        <v>6</v>
      </c>
      <c r="D299" s="89">
        <f>IFERROR(__xludf.DUMMYFUNCTION("IFERROR(AVERAGE(FILTER(Inventory!H:H,Inventory!J:J=""Closed"",Inventory!A:A=A299)),"""")"),-0.12454715219421097)</f>
        <v>-0.1245471522</v>
      </c>
      <c r="E299" s="234">
        <f>IFERROR(__xludf.DUMMYFUNCTION("IFERROR(AVERAGE(FILTER(Inventory!G:G,Inventory!J:J=""Closed"",Inventory!A:A=A299)),""0"")"),0.03666666666666668)</f>
        <v>0.03666666667</v>
      </c>
      <c r="F299" s="235">
        <f>IFERROR(__xludf.DUMMYFUNCTION("IFERROR(SUM(FILTER(Inventory!G:G,Inventory!J:J=""Closed"",Inventory!A:A=A299)),""0"")"),0.22000000000000008)</f>
        <v>0.22</v>
      </c>
      <c r="G299" s="235">
        <f>IFERROR(__xludf.DUMMYFUNCTION("IFERROR(AVERAGE(FILTER(Inventory!K:K,Inventory!J:J=""Closed"",Inventory!A:A=A299)),"""")"),100.0)</f>
        <v>100</v>
      </c>
      <c r="H299" s="23" t="b">
        <v>0</v>
      </c>
      <c r="I299" s="236"/>
      <c r="J299" s="236">
        <f>MAXIFS(Inventory!D:D, Inventory!A:A, A:A)</f>
        <v>45340</v>
      </c>
      <c r="L299" s="23">
        <f>COUNTIFS(Inventory!A:A,A299,Inventory!J:J,"Open")</f>
        <v>0</v>
      </c>
    </row>
    <row r="300">
      <c r="A300" s="233" t="s">
        <v>2240</v>
      </c>
      <c r="B300" s="23" t="str">
        <f>Publishers!A65</f>
        <v>Daedalic Entertainment</v>
      </c>
      <c r="C300" s="78">
        <f>COUNTIF(Inventory!A:A, A300)</f>
        <v>7</v>
      </c>
      <c r="D300" s="89">
        <f>IFERROR(__xludf.DUMMYFUNCTION("IFERROR(AVERAGE(FILTER(Inventory!H:H,Inventory!J:J=""Closed"",Inventory!A:A=A300)),"""")"),0.2686659541271554)</f>
        <v>0.2686659541</v>
      </c>
      <c r="E300" s="234">
        <f>IFERROR(__xludf.DUMMYFUNCTION("IFERROR(AVERAGE(FILTER(Inventory!G:G,Inventory!J:J=""Closed"",Inventory!A:A=A300)),""0"")"),2.3114285714285714)</f>
        <v>2.311428571</v>
      </c>
      <c r="F300" s="235">
        <f>IFERROR(__xludf.DUMMYFUNCTION("IFERROR(SUM(FILTER(Inventory!G:G,Inventory!J:J=""Closed"",Inventory!A:A=A300)),""0"")"),16.18)</f>
        <v>16.18</v>
      </c>
      <c r="G300" s="235">
        <f>IFERROR(__xludf.DUMMYFUNCTION("IFERROR(AVERAGE(FILTER(Inventory!K:K,Inventory!J:J=""Closed"",Inventory!A:A=A300)),"""")"),11.571428571428571)</f>
        <v>11.57142857</v>
      </c>
      <c r="H300" s="23" t="b">
        <v>0</v>
      </c>
      <c r="I300" s="78">
        <v>8.12</v>
      </c>
      <c r="J300" s="236">
        <f>MAXIFS(Inventory!D:D, Inventory!A:A, A:A)</f>
        <v>45098</v>
      </c>
      <c r="L300" s="23">
        <f>COUNTIFS(Inventory!A:A,A300,Inventory!J:J,"Open")</f>
        <v>0</v>
      </c>
    </row>
    <row r="301">
      <c r="A301" s="233" t="s">
        <v>4048</v>
      </c>
      <c r="B301" s="23" t="str">
        <f>Publishers!A34</f>
        <v>Bethesda Softworks</v>
      </c>
      <c r="C301" s="78">
        <f>COUNTIF(Inventory!A:A, A301)</f>
        <v>1</v>
      </c>
      <c r="D301" s="89">
        <f>IFERROR(__xludf.DUMMYFUNCTION("IFERROR(AVERAGE(FILTER(Inventory!H:H,Inventory!J:J=""Closed"",Inventory!A:A=A301)),"""")"),0.06971153846153842)</f>
        <v>0.06971153846</v>
      </c>
      <c r="E301" s="234">
        <f>IFERROR(__xludf.DUMMYFUNCTION("IFERROR(AVERAGE(FILTER(Inventory!G:G,Inventory!J:J=""Closed"",Inventory!A:A=A301)),""0"")"),1.4499999999999993)</f>
        <v>1.45</v>
      </c>
      <c r="F301" s="235">
        <f>IFERROR(__xludf.DUMMYFUNCTION("IFERROR(SUM(FILTER(Inventory!G:G,Inventory!J:J=""Closed"",Inventory!A:A=A301)),""0"")"),1.4499999999999993)</f>
        <v>1.45</v>
      </c>
      <c r="G301" s="235">
        <f>IFERROR(__xludf.DUMMYFUNCTION("IFERROR(AVERAGE(FILTER(Inventory!K:K,Inventory!J:J=""Closed"",Inventory!A:A=A301)),"""")"),53.0)</f>
        <v>53</v>
      </c>
      <c r="H301" s="23" t="b">
        <v>0</v>
      </c>
      <c r="I301" s="78"/>
      <c r="J301" s="236">
        <f>MAXIFS(Inventory!D:D, Inventory!A:A, A:A)</f>
        <v>45102</v>
      </c>
      <c r="L301" s="23">
        <f>COUNTIFS(Inventory!A:A,A301,Inventory!J:J,"Open")</f>
        <v>0</v>
      </c>
    </row>
    <row r="302">
      <c r="A302" s="233" t="s">
        <v>3267</v>
      </c>
      <c r="B302" s="23" t="str">
        <f>Publishers!A236</f>
        <v>Squanch Games</v>
      </c>
      <c r="C302" s="78">
        <f>COUNTIF(Inventory!A:A, A302)</f>
        <v>2</v>
      </c>
      <c r="D302" s="89">
        <f>IFERROR(__xludf.DUMMYFUNCTION("IFERROR(AVERAGE(FILTER(Inventory!H:H,Inventory!J:J=""Closed"",Inventory!A:A=A302)),"""")"),0.21972088956450422)</f>
        <v>0.2197208896</v>
      </c>
      <c r="E302" s="234">
        <f>IFERROR(__xludf.DUMMYFUNCTION("IFERROR(AVERAGE(FILTER(Inventory!G:G,Inventory!J:J=""Closed"",Inventory!A:A=A302)),""0"")"),6.484999999999998)</f>
        <v>6.485</v>
      </c>
      <c r="F302" s="235">
        <f>IFERROR(__xludf.DUMMYFUNCTION("IFERROR(SUM(FILTER(Inventory!G:G,Inventory!J:J=""Closed"",Inventory!A:A=A302)),""0"")"),12.969999999999995)</f>
        <v>12.97</v>
      </c>
      <c r="G302" s="235">
        <f>IFERROR(__xludf.DUMMYFUNCTION("IFERROR(AVERAGE(FILTER(Inventory!K:K,Inventory!J:J=""Closed"",Inventory!A:A=A302)),"""")"),1.5)</f>
        <v>1.5</v>
      </c>
      <c r="H302" s="23" t="b">
        <v>0</v>
      </c>
      <c r="I302" s="236"/>
      <c r="J302" s="236">
        <f>MAXIFS(Inventory!D:D, Inventory!A:A, A:A)</f>
        <v>45416</v>
      </c>
      <c r="L302" s="23">
        <f>COUNTIFS(Inventory!A:A,A302,Inventory!J:J,"Open")</f>
        <v>0</v>
      </c>
    </row>
    <row r="303">
      <c r="A303" s="233" t="s">
        <v>7092</v>
      </c>
      <c r="B303" s="23" t="str">
        <f>Publishers!A130</f>
        <v>IO Interactive</v>
      </c>
      <c r="C303" s="78">
        <f>COUNTIF(Inventory!A:A, A303)</f>
        <v>34</v>
      </c>
      <c r="D303" s="89">
        <f>IFERROR(__xludf.DUMMYFUNCTION("IFERROR(AVERAGE(FILTER(Inventory!H:H,Inventory!J:J=""Closed"",Inventory!A:A=A303)),"""")"),0.16819688121597193)</f>
        <v>0.1681968812</v>
      </c>
      <c r="E303" s="234">
        <f>IFERROR(__xludf.DUMMYFUNCTION("IFERROR(AVERAGE(FILTER(Inventory!G:G,Inventory!J:J=""Closed"",Inventory!A:A=A303)),""0"")"),1.7691176470588246)</f>
        <v>1.769117647</v>
      </c>
      <c r="F303" s="235">
        <f>IFERROR(__xludf.DUMMYFUNCTION("IFERROR(SUM(FILTER(Inventory!G:G,Inventory!J:J=""Closed"",Inventory!A:A=A303)),""0"")"),60.150000000000034)</f>
        <v>60.15</v>
      </c>
      <c r="G303" s="235">
        <f>IFERROR(__xludf.DUMMYFUNCTION("IFERROR(AVERAGE(FILTER(Inventory!K:K,Inventory!J:J=""Closed"",Inventory!A:A=A303)),"""")"),2.3823529411764706)</f>
        <v>2.382352941</v>
      </c>
      <c r="H303" s="23" t="b">
        <v>0</v>
      </c>
      <c r="I303" s="236"/>
      <c r="J303" s="236">
        <f>MAXIFS(Inventory!D:D, Inventory!A:A, A:A)</f>
        <v>45612</v>
      </c>
      <c r="L303" s="23">
        <f>COUNTIFS(Inventory!A:A,A303,Inventory!J:J,"Open")</f>
        <v>0</v>
      </c>
    </row>
    <row r="304">
      <c r="A304" s="233" t="s">
        <v>3296</v>
      </c>
      <c r="B304" s="23" t="str">
        <f>Publishers!A130</f>
        <v>IO Interactive</v>
      </c>
      <c r="C304" s="78">
        <f>COUNTIF(Inventory!A:A, A304)</f>
        <v>12</v>
      </c>
      <c r="D304" s="89">
        <f>IFERROR(__xludf.DUMMYFUNCTION("IFERROR(AVERAGE(FILTER(Inventory!H:H,Inventory!J:J=""Closed"",Inventory!A:A=A304)),"""")"),0.18307203771767708)</f>
        <v>0.1830720377</v>
      </c>
      <c r="E304" s="234">
        <f>IFERROR(__xludf.DUMMYFUNCTION("IFERROR(AVERAGE(FILTER(Inventory!G:G,Inventory!J:J=""Closed"",Inventory!A:A=A304)),""0"")"),5.128333333333333)</f>
        <v>5.128333333</v>
      </c>
      <c r="F304" s="235">
        <f>IFERROR(__xludf.DUMMYFUNCTION("IFERROR(SUM(FILTER(Inventory!G:G,Inventory!J:J=""Closed"",Inventory!A:A=A304)),""0"")"),61.53999999999999)</f>
        <v>61.54</v>
      </c>
      <c r="G304" s="235">
        <f>IFERROR(__xludf.DUMMYFUNCTION("IFERROR(AVERAGE(FILTER(Inventory!K:K,Inventory!J:J=""Closed"",Inventory!A:A=A304)),"""")"),1.0)</f>
        <v>1</v>
      </c>
      <c r="H304" s="23" t="b">
        <v>0</v>
      </c>
      <c r="I304" s="236"/>
      <c r="J304" s="236">
        <f>MAXIFS(Inventory!D:D, Inventory!A:A, A:A)</f>
        <v>44960</v>
      </c>
      <c r="L304" s="23">
        <f>COUNTIFS(Inventory!A:A,A304,Inventory!J:J,"Open")</f>
        <v>0</v>
      </c>
    </row>
    <row r="305">
      <c r="A305" s="233" t="s">
        <v>5159</v>
      </c>
      <c r="B305" s="23" t="str">
        <f>Publishers!A130</f>
        <v>IO Interactive</v>
      </c>
      <c r="C305" s="78">
        <f>COUNTIF(Inventory!A:A, A305)</f>
        <v>48</v>
      </c>
      <c r="D305" s="89">
        <f>IFERROR(__xludf.DUMMYFUNCTION("IFERROR(AVERAGE(FILTER(Inventory!H:H,Inventory!J:J=""Closed"",Inventory!A:A=A305)),"""")"),0.25951638019369627)</f>
        <v>0.2595163802</v>
      </c>
      <c r="E305" s="234">
        <f>IFERROR(__xludf.DUMMYFUNCTION("IFERROR(AVERAGE(FILTER(Inventory!G:G,Inventory!J:J=""Closed"",Inventory!A:A=A305)),""0"")"),8.568222222222225)</f>
        <v>8.568222222</v>
      </c>
      <c r="F305" s="235">
        <f>IFERROR(__xludf.DUMMYFUNCTION("IFERROR(SUM(FILTER(Inventory!G:G,Inventory!J:J=""Closed"",Inventory!A:A=A305)),""0"")"),385.57000000000016)</f>
        <v>385.57</v>
      </c>
      <c r="G305" s="235">
        <f>IFERROR(__xludf.DUMMYFUNCTION("IFERROR(AVERAGE(FILTER(Inventory!K:K,Inventory!J:J=""Closed"",Inventory!A:A=A305)),"""")"),13.777777777777779)</f>
        <v>13.77777778</v>
      </c>
      <c r="H305" s="23" t="b">
        <v>0</v>
      </c>
      <c r="I305" s="236"/>
      <c r="J305" s="236">
        <f>MAXIFS(Inventory!D:D, Inventory!A:A, A:A)</f>
        <v>46177</v>
      </c>
      <c r="K305" s="23" t="str">
        <f>IMAGE("https://shared.fastly.steamstatic.com/store_item_assets/steam/apps/1659040/c62446d5c95f583a296d7f1b99045a61e2f81dea/header.jpg?t=1777550698")</f>
        <v/>
      </c>
      <c r="L305" s="23">
        <f>COUNTIFS(Inventory!A:A,A305,Inventory!J:J,"Open")</f>
        <v>3</v>
      </c>
    </row>
    <row r="306">
      <c r="A306" s="233" t="s">
        <v>5817</v>
      </c>
      <c r="B306" s="23" t="str">
        <f>Publishers!A130</f>
        <v>IO Interactive</v>
      </c>
      <c r="C306" s="78">
        <f>COUNTIF(Inventory!A:A, A306)</f>
        <v>14</v>
      </c>
      <c r="D306" s="89">
        <f>IFERROR(__xludf.DUMMYFUNCTION("IFERROR(AVERAGE(FILTER(Inventory!H:H,Inventory!J:J=""Closed"",Inventory!A:A=A306)),"""")"),0.31070009471939913)</f>
        <v>0.3107000947</v>
      </c>
      <c r="E306" s="234">
        <f>IFERROR(__xludf.DUMMYFUNCTION("IFERROR(AVERAGE(FILTER(Inventory!G:G,Inventory!J:J=""Closed"",Inventory!A:A=A306)),""0"")"),6.362857142857144)</f>
        <v>6.362857143</v>
      </c>
      <c r="F306" s="235">
        <f>IFERROR(__xludf.DUMMYFUNCTION("IFERROR(SUM(FILTER(Inventory!G:G,Inventory!J:J=""Closed"",Inventory!A:A=A306)),""0"")"),89.08000000000001)</f>
        <v>89.08</v>
      </c>
      <c r="G306" s="235">
        <f>IFERROR(__xludf.DUMMYFUNCTION("IFERROR(AVERAGE(FILTER(Inventory!K:K,Inventory!J:J=""Closed"",Inventory!A:A=A306)),"""")"),59.07142857142857)</f>
        <v>59.07142857</v>
      </c>
      <c r="H306" s="23" t="b">
        <v>0</v>
      </c>
      <c r="I306" s="236"/>
      <c r="J306" s="236">
        <f>MAXIFS(Inventory!D:D, Inventory!A:A, A:A)</f>
        <v>46158</v>
      </c>
      <c r="L306" s="23">
        <f>COUNTIFS(Inventory!A:A,A306,Inventory!J:J,"Open")</f>
        <v>0</v>
      </c>
    </row>
    <row r="307">
      <c r="A307" s="233" t="s">
        <v>5211</v>
      </c>
      <c r="B307" s="23" t="str">
        <f>Publishers!A130</f>
        <v>IO Interactive</v>
      </c>
      <c r="C307" s="78">
        <f>COUNTIF(Inventory!A:A, A307)</f>
        <v>6</v>
      </c>
      <c r="D307" s="89">
        <f>IFERROR(__xludf.DUMMYFUNCTION("IFERROR(AVERAGE(FILTER(Inventory!H:H,Inventory!J:J=""Closed"",Inventory!A:A=A307)),"""")"),0.17257924450753384)</f>
        <v>0.1725792445</v>
      </c>
      <c r="E307" s="234">
        <f>IFERROR(__xludf.DUMMYFUNCTION("IFERROR(AVERAGE(FILTER(Inventory!G:G,Inventory!J:J=""Closed"",Inventory!A:A=A307)),""0"")"),3.563333333333332)</f>
        <v>3.563333333</v>
      </c>
      <c r="F307" s="235">
        <f>IFERROR(__xludf.DUMMYFUNCTION("IFERROR(SUM(FILTER(Inventory!G:G,Inventory!J:J=""Closed"",Inventory!A:A=A307)),""0"")"),21.379999999999992)</f>
        <v>21.38</v>
      </c>
      <c r="G307" s="235">
        <f>IFERROR(__xludf.DUMMYFUNCTION("IFERROR(AVERAGE(FILTER(Inventory!K:K,Inventory!J:J=""Closed"",Inventory!A:A=A307)),"""")"),21.166666666666668)</f>
        <v>21.16666667</v>
      </c>
      <c r="H307" s="23" t="b">
        <v>0</v>
      </c>
      <c r="I307" s="236"/>
      <c r="J307" s="236">
        <f>MAXIFS(Inventory!D:D, Inventory!A:A, A:A)</f>
        <v>45339</v>
      </c>
      <c r="L307" s="23">
        <f>COUNTIFS(Inventory!A:A,A307,Inventory!J:J,"Open")</f>
        <v>0</v>
      </c>
    </row>
    <row r="308">
      <c r="A308" s="237" t="s">
        <v>377</v>
      </c>
      <c r="B308" s="23" t="str">
        <f>Publishers!A211</f>
        <v>Runic Games</v>
      </c>
      <c r="C308" s="78">
        <f>COUNTIF(Inventory!A:A, A308)</f>
        <v>4</v>
      </c>
      <c r="D308" s="89">
        <f>IFERROR(__xludf.DUMMYFUNCTION("IFERROR(AVERAGE(FILTER(Inventory!H:H,Inventory!J:J=""Closed"",Inventory!A:A=A308)),"""")"),0.8660130718954249)</f>
        <v>0.8660130719</v>
      </c>
      <c r="E308" s="234">
        <f>IFERROR(__xludf.DUMMYFUNCTION("IFERROR(AVERAGE(FILTER(Inventory!G:G,Inventory!J:J=""Closed"",Inventory!A:A=A308)),""0"")"),0.6275)</f>
        <v>0.6275</v>
      </c>
      <c r="F308" s="235">
        <f>IFERROR(__xludf.DUMMYFUNCTION("IFERROR(SUM(FILTER(Inventory!G:G,Inventory!J:J=""Closed"",Inventory!A:A=A308)),""0"")"),2.51)</f>
        <v>2.51</v>
      </c>
      <c r="G308" s="235">
        <f>IFERROR(__xludf.DUMMYFUNCTION("IFERROR(AVERAGE(FILTER(Inventory!K:K,Inventory!J:J=""Closed"",Inventory!A:A=A308)),"""")"),54.0)</f>
        <v>54</v>
      </c>
      <c r="H308" s="23" t="b">
        <v>0</v>
      </c>
      <c r="I308" s="236"/>
      <c r="J308" s="236">
        <f>MAXIFS(Inventory!D:D, Inventory!A:A, A:A)</f>
        <v>44495</v>
      </c>
      <c r="L308" s="23">
        <f>COUNTIFS(Inventory!A:A,A308,Inventory!J:J,"Open")</f>
        <v>0</v>
      </c>
    </row>
    <row r="309">
      <c r="A309" s="233" t="s">
        <v>4604</v>
      </c>
      <c r="B309" s="23" t="str">
        <f>Publishers!A282</f>
        <v>Warner Bros</v>
      </c>
      <c r="C309" s="78">
        <f>COUNTIF(Inventory!A:A, A309)</f>
        <v>12</v>
      </c>
      <c r="D309" s="89">
        <f>IFERROR(__xludf.DUMMYFUNCTION("IFERROR(AVERAGE(FILTER(Inventory!H:H,Inventory!J:J=""Closed"",Inventory!A:A=A309)),"""")"),0.13373519636317008)</f>
        <v>0.1337351964</v>
      </c>
      <c r="E309" s="234">
        <f>IFERROR(__xludf.DUMMYFUNCTION("IFERROR(AVERAGE(FILTER(Inventory!G:G,Inventory!J:J=""Closed"",Inventory!A:A=A309)),""0"")"),2.0824999999999987)</f>
        <v>2.0825</v>
      </c>
      <c r="F309" s="235">
        <f>IFERROR(__xludf.DUMMYFUNCTION("IFERROR(SUM(FILTER(Inventory!G:G,Inventory!J:J=""Closed"",Inventory!A:A=A309)),""0"")"),24.989999999999984)</f>
        <v>24.99</v>
      </c>
      <c r="G309" s="235">
        <f>IFERROR(__xludf.DUMMYFUNCTION("IFERROR(AVERAGE(FILTER(Inventory!K:K,Inventory!J:J=""Closed"",Inventory!A:A=A309)),"""")"),0.8333333333333334)</f>
        <v>0.8333333333</v>
      </c>
      <c r="H309" s="23" t="b">
        <v>0</v>
      </c>
      <c r="I309" s="236"/>
      <c r="J309" s="236">
        <f>MAXIFS(Inventory!D:D, Inventory!A:A, A:A)</f>
        <v>45980</v>
      </c>
      <c r="L309" s="23">
        <f>COUNTIFS(Inventory!A:A,A309,Inventory!J:J,"Open")</f>
        <v>0</v>
      </c>
    </row>
    <row r="310">
      <c r="A310" s="237" t="s">
        <v>974</v>
      </c>
      <c r="B310" s="23" t="str">
        <f>Publishers!A17</f>
        <v>Anvil Game Studios</v>
      </c>
      <c r="C310" s="78">
        <f>COUNTIF(Inventory!A:A, A310)</f>
        <v>12</v>
      </c>
      <c r="D310" s="89">
        <f>IFERROR(__xludf.DUMMYFUNCTION("IFERROR(AVERAGE(FILTER(Inventory!H:H,Inventory!J:J=""Closed"",Inventory!A:A=A310)),"""")"),0.20322005547250374)</f>
        <v>0.2032200555</v>
      </c>
      <c r="E310" s="234">
        <f>IFERROR(__xludf.DUMMYFUNCTION("IFERROR(AVERAGE(FILTER(Inventory!G:G,Inventory!J:J=""Closed"",Inventory!A:A=A310)),""0"")"),2.2966666666666673)</f>
        <v>2.296666667</v>
      </c>
      <c r="F310" s="235">
        <f>IFERROR(__xludf.DUMMYFUNCTION("IFERROR(SUM(FILTER(Inventory!G:G,Inventory!J:J=""Closed"",Inventory!A:A=A310)),""0"")"),27.560000000000006)</f>
        <v>27.56</v>
      </c>
      <c r="G310" s="235">
        <f>IFERROR(__xludf.DUMMYFUNCTION("IFERROR(AVERAGE(FILTER(Inventory!K:K,Inventory!J:J=""Closed"",Inventory!A:A=A310)),"""")"),28.0)</f>
        <v>28</v>
      </c>
      <c r="H310" s="78" t="b">
        <v>1</v>
      </c>
      <c r="I310" s="236"/>
      <c r="J310" s="236">
        <f>MAXIFS(Inventory!D:D, Inventory!A:A, A:A)</f>
        <v>45155</v>
      </c>
      <c r="L310" s="23">
        <f>COUNTIFS(Inventory!A:A,A310,Inventory!J:J,"Open")</f>
        <v>0</v>
      </c>
    </row>
    <row r="311">
      <c r="A311" s="237" t="s">
        <v>303</v>
      </c>
      <c r="B311" s="23" t="str">
        <f>Publishers!A65</f>
        <v>Daedalic Entertainment</v>
      </c>
      <c r="C311" s="78">
        <f>COUNTIF(Inventory!A:A, A311)</f>
        <v>1</v>
      </c>
      <c r="D311" s="89">
        <f>IFERROR(__xludf.DUMMYFUNCTION("IFERROR(AVERAGE(FILTER(Inventory!H:H,Inventory!J:J=""Closed"",Inventory!A:A=A311)),"""")"),1.0)</f>
        <v>1</v>
      </c>
      <c r="E311" s="234">
        <f>IFERROR(__xludf.DUMMYFUNCTION("IFERROR(AVERAGE(FILTER(Inventory!G:G,Inventory!J:J=""Closed"",Inventory!A:A=A311)),""0"")"),0.17)</f>
        <v>0.17</v>
      </c>
      <c r="F311" s="235">
        <f>IFERROR(__xludf.DUMMYFUNCTION("IFERROR(SUM(FILTER(Inventory!G:G,Inventory!J:J=""Closed"",Inventory!A:A=A311)),""0"")"),0.17)</f>
        <v>0.17</v>
      </c>
      <c r="G311" s="235">
        <f>IFERROR(__xludf.DUMMYFUNCTION("IFERROR(AVERAGE(FILTER(Inventory!K:K,Inventory!J:J=""Closed"",Inventory!A:A=A311)),"""")"),10.0)</f>
        <v>10</v>
      </c>
      <c r="H311" s="23" t="b">
        <v>0</v>
      </c>
      <c r="I311" s="236"/>
      <c r="J311" s="236">
        <f>MAXIFS(Inventory!D:D, Inventory!A:A, A:A)</f>
        <v>44027</v>
      </c>
      <c r="L311" s="23">
        <f>COUNTIFS(Inventory!A:A,A311,Inventory!J:J,"Open")</f>
        <v>0</v>
      </c>
    </row>
    <row r="312">
      <c r="A312" s="237" t="s">
        <v>655</v>
      </c>
      <c r="B312" s="23" t="str">
        <f>Publishers!A292</f>
        <v>YGGDRAZIL GROUP</v>
      </c>
      <c r="C312" s="78">
        <f>COUNTIF(Inventory!A:A, A312)</f>
        <v>4</v>
      </c>
      <c r="D312" s="89">
        <f>IFERROR(__xludf.DUMMYFUNCTION("IFERROR(AVERAGE(FILTER(Inventory!H:H,Inventory!J:J=""Closed"",Inventory!A:A=A312)),"""")"),0.28450928198735415)</f>
        <v>0.284509282</v>
      </c>
      <c r="E312" s="234">
        <f>IFERROR(__xludf.DUMMYFUNCTION("IFERROR(AVERAGE(FILTER(Inventory!G:G,Inventory!J:J=""Closed"",Inventory!A:A=A312)),""0"")"),1.2075)</f>
        <v>1.2075</v>
      </c>
      <c r="F312" s="235">
        <f>IFERROR(__xludf.DUMMYFUNCTION("IFERROR(SUM(FILTER(Inventory!G:G,Inventory!J:J=""Closed"",Inventory!A:A=A312)),""0"")"),4.83)</f>
        <v>4.83</v>
      </c>
      <c r="G312" s="235">
        <f>IFERROR(__xludf.DUMMYFUNCTION("IFERROR(AVERAGE(FILTER(Inventory!K:K,Inventory!J:J=""Closed"",Inventory!A:A=A312)),"""")"),10.25)</f>
        <v>10.25</v>
      </c>
      <c r="H312" s="23" t="b">
        <v>0</v>
      </c>
      <c r="I312" s="236"/>
      <c r="J312" s="236">
        <f>MAXIFS(Inventory!D:D, Inventory!A:A, A:A)</f>
        <v>44140</v>
      </c>
      <c r="L312" s="23">
        <f>COUNTIFS(Inventory!A:A,A312,Inventory!J:J,"Open")</f>
        <v>0</v>
      </c>
    </row>
    <row r="313">
      <c r="A313" s="237" t="s">
        <v>996</v>
      </c>
      <c r="B313" s="23" t="str">
        <f>Publishers!A58</f>
        <v>Copybugpaste</v>
      </c>
      <c r="C313" s="78">
        <f>COUNTIF(Inventory!A:A, A313)</f>
        <v>2</v>
      </c>
      <c r="D313" s="89">
        <f>IFERROR(__xludf.DUMMYFUNCTION("IFERROR(AVERAGE(FILTER(Inventory!H:H,Inventory!J:J=""Closed"",Inventory!A:A=A313)),"""")"),-1.588235294117647)</f>
        <v>-1.588235294</v>
      </c>
      <c r="E313" s="234">
        <f>IFERROR(__xludf.DUMMYFUNCTION("IFERROR(AVERAGE(FILTER(Inventory!G:G,Inventory!J:J=""Closed"",Inventory!A:A=A313)),""0"")"),-0.27)</f>
        <v>-0.27</v>
      </c>
      <c r="F313" s="235">
        <f>IFERROR(__xludf.DUMMYFUNCTION("IFERROR(SUM(FILTER(Inventory!G:G,Inventory!J:J=""Closed"",Inventory!A:A=A313)),""0"")"),-0.54)</f>
        <v>-0.54</v>
      </c>
      <c r="G313" s="235">
        <f>IFERROR(__xludf.DUMMYFUNCTION("IFERROR(AVERAGE(FILTER(Inventory!K:K,Inventory!J:J=""Closed"",Inventory!A:A=A313)),"""")"),417.0)</f>
        <v>417</v>
      </c>
      <c r="H313" s="23" t="b">
        <v>0</v>
      </c>
      <c r="I313" s="236"/>
      <c r="J313" s="236">
        <f>MAXIFS(Inventory!D:D, Inventory!A:A, A:A)</f>
        <v>44695</v>
      </c>
      <c r="L313" s="23">
        <f>COUNTIFS(Inventory!A:A,A313,Inventory!J:J,"Open")</f>
        <v>0</v>
      </c>
    </row>
    <row r="314">
      <c r="A314" s="237" t="s">
        <v>1661</v>
      </c>
      <c r="B314" s="23" t="str">
        <f>Publishers!A253</f>
        <v>Team17 Digital</v>
      </c>
      <c r="C314" s="78">
        <f>COUNTIF(Inventory!A:A, A314)</f>
        <v>2</v>
      </c>
      <c r="D314" s="89">
        <f>IFERROR(__xludf.DUMMYFUNCTION("IFERROR(AVERAGE(FILTER(Inventory!H:H,Inventory!J:J=""Closed"",Inventory!A:A=A314)),"""")"),0.15351876379690949)</f>
        <v>0.1535187638</v>
      </c>
      <c r="E314" s="234">
        <f>IFERROR(__xludf.DUMMYFUNCTION("IFERROR(AVERAGE(FILTER(Inventory!G:G,Inventory!J:J=""Closed"",Inventory!A:A=A314)),""0"")"),2.0)</f>
        <v>2</v>
      </c>
      <c r="F314" s="235">
        <f>IFERROR(__xludf.DUMMYFUNCTION("IFERROR(SUM(FILTER(Inventory!G:G,Inventory!J:J=""Closed"",Inventory!A:A=A314)),""0"")"),4.0)</f>
        <v>4</v>
      </c>
      <c r="G314" s="235">
        <f>IFERROR(__xludf.DUMMYFUNCTION("IFERROR(AVERAGE(FILTER(Inventory!K:K,Inventory!J:J=""Closed"",Inventory!A:A=A314)),"""")"),19.5)</f>
        <v>19.5</v>
      </c>
      <c r="H314" s="23" t="b">
        <v>0</v>
      </c>
      <c r="I314" s="236"/>
      <c r="J314" s="236">
        <f>MAXIFS(Inventory!D:D, Inventory!A:A, A:A)</f>
        <v>44541</v>
      </c>
      <c r="L314" s="23">
        <f>COUNTIFS(Inventory!A:A,A314,Inventory!J:J,"Open")</f>
        <v>0</v>
      </c>
    </row>
    <row r="315">
      <c r="A315" s="233" t="s">
        <v>7647</v>
      </c>
      <c r="B315" s="23" t="str">
        <f>Publishers!A194</f>
        <v>PlayStation</v>
      </c>
      <c r="C315" s="78">
        <f>COUNTIF(Inventory!A:A, A315)</f>
        <v>15</v>
      </c>
      <c r="D315" s="89">
        <f>IFERROR(__xludf.DUMMYFUNCTION("IFERROR(AVERAGE(FILTER(Inventory!H:H,Inventory!J:J=""Closed"",Inventory!A:A=A315)),"""")"),0.19823346755339905)</f>
        <v>0.1982334676</v>
      </c>
      <c r="E315" s="234">
        <f>IFERROR(__xludf.DUMMYFUNCTION("IFERROR(AVERAGE(FILTER(Inventory!G:G,Inventory!J:J=""Closed"",Inventory!A:A=A315)),""0"")"),8.214615384615383)</f>
        <v>8.214615385</v>
      </c>
      <c r="F315" s="235">
        <f>IFERROR(__xludf.DUMMYFUNCTION("IFERROR(SUM(FILTER(Inventory!G:G,Inventory!J:J=""Closed"",Inventory!A:A=A315)),""0"")"),106.78999999999999)</f>
        <v>106.79</v>
      </c>
      <c r="G315" s="235">
        <f>IFERROR(__xludf.DUMMYFUNCTION("IFERROR(AVERAGE(FILTER(Inventory!K:K,Inventory!J:J=""Closed"",Inventory!A:A=A315)),"""")"),2.076923076923077)</f>
        <v>2.076923077</v>
      </c>
      <c r="H315" s="23" t="b">
        <v>0</v>
      </c>
      <c r="I315" s="236"/>
      <c r="J315" s="236">
        <f>MAXIFS(Inventory!D:D, Inventory!A:A, A:A)</f>
        <v>45808</v>
      </c>
      <c r="K315" s="23" t="str">
        <f t="shared" ref="K315:K316" si="2">IMAGE("https://shared.akamai.steamstatic.com/store_item_assets/steam/apps/2420110/header.jpg?t=1725653368")</f>
        <v/>
      </c>
      <c r="L315" s="23">
        <f>COUNTIFS(Inventory!A:A,A315,Inventory!J:J,"Open")</f>
        <v>2</v>
      </c>
    </row>
    <row r="316">
      <c r="A316" s="233" t="s">
        <v>7063</v>
      </c>
      <c r="B316" s="23" t="str">
        <f>Publishers!A194</f>
        <v>PlayStation</v>
      </c>
      <c r="C316" s="78">
        <f>COUNTIF(Inventory!A:A, A316)</f>
        <v>6</v>
      </c>
      <c r="D316" s="89">
        <f>IFERROR(__xludf.DUMMYFUNCTION("IFERROR(AVERAGE(FILTER(Inventory!H:H,Inventory!J:J=""Closed"",Inventory!A:A=A316)),"""")"),0.1423232992884542)</f>
        <v>0.1423232993</v>
      </c>
      <c r="E316" s="234">
        <f>IFERROR(__xludf.DUMMYFUNCTION("IFERROR(AVERAGE(FILTER(Inventory!G:G,Inventory!J:J=""Closed"",Inventory!A:A=A316)),""0"")"),6.108333333333333)</f>
        <v>6.108333333</v>
      </c>
      <c r="F316" s="235">
        <f>IFERROR(__xludf.DUMMYFUNCTION("IFERROR(SUM(FILTER(Inventory!G:G,Inventory!J:J=""Closed"",Inventory!A:A=A316)),""0"")"),36.65)</f>
        <v>36.65</v>
      </c>
      <c r="G316" s="235">
        <f>IFERROR(__xludf.DUMMYFUNCTION("IFERROR(AVERAGE(FILTER(Inventory!K:K,Inventory!J:J=""Closed"",Inventory!A:A=A316)),"""")"),1.1666666666666667)</f>
        <v>1.166666667</v>
      </c>
      <c r="H316" s="23" t="b">
        <v>0</v>
      </c>
      <c r="I316" s="236"/>
      <c r="J316" s="236">
        <f>MAXIFS(Inventory!D:D, Inventory!A:A, A:A)</f>
        <v>45602</v>
      </c>
      <c r="K316" s="23" t="str">
        <f t="shared" si="2"/>
        <v/>
      </c>
      <c r="L316" s="23">
        <f>COUNTIFS(Inventory!A:A,A316,Inventory!J:J,"Open")</f>
        <v>0</v>
      </c>
    </row>
    <row r="317">
      <c r="A317" s="237" t="s">
        <v>1248</v>
      </c>
      <c r="B317" s="23" t="str">
        <f>Publishers!A63</f>
        <v>Curve Digital</v>
      </c>
      <c r="C317" s="78">
        <f>COUNTIF(Inventory!A:A, A317)</f>
        <v>1</v>
      </c>
      <c r="D317" s="89">
        <f>IFERROR(__xludf.DUMMYFUNCTION("IFERROR(AVERAGE(FILTER(Inventory!H:H,Inventory!J:J=""Closed"",Inventory!A:A=A317)),"""")"),1.0)</f>
        <v>1</v>
      </c>
      <c r="E317" s="234">
        <f>IFERROR(__xludf.DUMMYFUNCTION("IFERROR(AVERAGE(FILTER(Inventory!G:G,Inventory!J:J=""Closed"",Inventory!A:A=A317)),""0"")"),0.1)</f>
        <v>0.1</v>
      </c>
      <c r="F317" s="235">
        <f>IFERROR(__xludf.DUMMYFUNCTION("IFERROR(SUM(FILTER(Inventory!G:G,Inventory!J:J=""Closed"",Inventory!A:A=A317)),""0"")"),0.1)</f>
        <v>0.1</v>
      </c>
      <c r="G317" s="235">
        <f>IFERROR(__xludf.DUMMYFUNCTION("IFERROR(AVERAGE(FILTER(Inventory!K:K,Inventory!J:J=""Closed"",Inventory!A:A=A317)),"""")"),205.0)</f>
        <v>205</v>
      </c>
      <c r="H317" s="23" t="b">
        <v>0</v>
      </c>
      <c r="I317" s="236"/>
      <c r="J317" s="236">
        <f>MAXIFS(Inventory!D:D, Inventory!A:A, A:A)</f>
        <v>44581</v>
      </c>
      <c r="L317" s="23">
        <f>COUNTIFS(Inventory!A:A,A317,Inventory!J:J,"Open")</f>
        <v>0</v>
      </c>
    </row>
    <row r="318">
      <c r="A318" s="233" t="s">
        <v>10262</v>
      </c>
      <c r="B318" s="23" t="str">
        <f>Publishers!A195</f>
        <v>PlayWay</v>
      </c>
      <c r="C318" s="78">
        <f>COUNTIF(Inventory!A:A, A318)</f>
        <v>0</v>
      </c>
      <c r="D318" s="89" t="str">
        <f>IFERROR(__xludf.DUMMYFUNCTION("IFERROR(AVERAGE(FILTER(Inventory!H:H,Inventory!J:J=""Closed"",Inventory!A:A=A318)),"""")"),"")</f>
        <v/>
      </c>
      <c r="E318" s="234" t="str">
        <f>IFERROR(__xludf.DUMMYFUNCTION("IFERROR(AVERAGE(FILTER(Inventory!G:G,Inventory!J:J=""Closed"",Inventory!A:A=A318)),""0"")"),"0")</f>
        <v>0</v>
      </c>
      <c r="F318" s="235" t="str">
        <f>IFERROR(__xludf.DUMMYFUNCTION("IFERROR(SUM(FILTER(Inventory!G:G,Inventory!J:J=""Closed"",Inventory!A:A=A318)),""0"")"),"0")</f>
        <v>0</v>
      </c>
      <c r="G318" s="235" t="str">
        <f>IFERROR(__xludf.DUMMYFUNCTION("IFERROR(AVERAGE(FILTER(Inventory!K:K,Inventory!J:J=""Closed"",Inventory!A:A=A318)),"""")"),"")</f>
        <v/>
      </c>
      <c r="H318" s="78" t="b">
        <v>0</v>
      </c>
      <c r="I318" s="236"/>
      <c r="J318" s="236">
        <f>MAXIFS(Inventory!D:D, Inventory!A:A, A:A)</f>
        <v>0</v>
      </c>
      <c r="L318" s="23">
        <f>COUNTIFS(Inventory!A:A,A318,Inventory!J:J,"Open")</f>
        <v>0</v>
      </c>
    </row>
    <row r="319">
      <c r="A319" s="237" t="s">
        <v>1909</v>
      </c>
      <c r="B319" s="23" t="str">
        <f>Publishers!A195</f>
        <v>PlayWay</v>
      </c>
      <c r="C319" s="78">
        <f>COUNTIF(Inventory!A:A, A319)</f>
        <v>35</v>
      </c>
      <c r="D319" s="89">
        <f>IFERROR(__xludf.DUMMYFUNCTION("IFERROR(AVERAGE(FILTER(Inventory!H:H,Inventory!J:J=""Closed"",Inventory!A:A=A319)),"""")"),0.32023725183922797)</f>
        <v>0.3202372518</v>
      </c>
      <c r="E319" s="234">
        <f>IFERROR(__xludf.DUMMYFUNCTION("IFERROR(AVERAGE(FILTER(Inventory!G:G,Inventory!J:J=""Closed"",Inventory!A:A=A319)),""0"")"),0.7882857142857143)</f>
        <v>0.7882857143</v>
      </c>
      <c r="F319" s="235">
        <f>IFERROR(__xludf.DUMMYFUNCTION("IFERROR(SUM(FILTER(Inventory!G:G,Inventory!J:J=""Closed"",Inventory!A:A=A319)),""0"")"),27.59)</f>
        <v>27.59</v>
      </c>
      <c r="G319" s="235">
        <f>IFERROR(__xludf.DUMMYFUNCTION("IFERROR(AVERAGE(FILTER(Inventory!K:K,Inventory!J:J=""Closed"",Inventory!A:A=A319)),"""")"),6.085714285714285)</f>
        <v>6.085714286</v>
      </c>
      <c r="H319" s="78" t="b">
        <v>1</v>
      </c>
      <c r="I319" s="236"/>
      <c r="J319" s="236">
        <f>MAXIFS(Inventory!D:D, Inventory!A:A, A:A)</f>
        <v>45384</v>
      </c>
      <c r="L319" s="23">
        <f>COUNTIFS(Inventory!A:A,A319,Inventory!J:J,"Open")</f>
        <v>0</v>
      </c>
    </row>
    <row r="320">
      <c r="A320" s="233" t="s">
        <v>2318</v>
      </c>
      <c r="B320" s="23" t="str">
        <f>Publishers!A81</f>
        <v>Eek! Games</v>
      </c>
      <c r="C320" s="78">
        <f>COUNTIF(Inventory!A:A, A320)</f>
        <v>3</v>
      </c>
      <c r="D320" s="89">
        <f>IFERROR(__xludf.DUMMYFUNCTION("IFERROR(AVERAGE(FILTER(Inventory!H:H,Inventory!J:J=""Closed"",Inventory!A:A=A320)),"""")"),0.08353953720462592)</f>
        <v>0.0835395372</v>
      </c>
      <c r="E320" s="234">
        <f>IFERROR(__xludf.DUMMYFUNCTION("IFERROR(AVERAGE(FILTER(Inventory!G:G,Inventory!J:J=""Closed"",Inventory!A:A=A320)),""0"")"),0.9799999999999999)</f>
        <v>0.98</v>
      </c>
      <c r="F320" s="235">
        <f>IFERROR(__xludf.DUMMYFUNCTION("IFERROR(SUM(FILTER(Inventory!G:G,Inventory!J:J=""Closed"",Inventory!A:A=A320)),""0"")"),2.9399999999999995)</f>
        <v>2.94</v>
      </c>
      <c r="G320" s="235">
        <f>IFERROR(__xludf.DUMMYFUNCTION("IFERROR(AVERAGE(FILTER(Inventory!K:K,Inventory!J:J=""Closed"",Inventory!A:A=A320)),"""")"),30.333333333333332)</f>
        <v>30.33333333</v>
      </c>
      <c r="H320" s="78" t="b">
        <v>0</v>
      </c>
      <c r="I320" s="236"/>
      <c r="J320" s="236">
        <f>MAXIFS(Inventory!D:D, Inventory!A:A, A:A)</f>
        <v>45297</v>
      </c>
      <c r="L320" s="23">
        <f>COUNTIFS(Inventory!A:A,A320,Inventory!J:J,"Open")</f>
        <v>0</v>
      </c>
    </row>
    <row r="321">
      <c r="A321" s="237" t="s">
        <v>1591</v>
      </c>
      <c r="B321" s="23" t="str">
        <f>Publishers!A68</f>
        <v>Dear Villagers</v>
      </c>
      <c r="C321" s="78">
        <f>COUNTIF(Inventory!A:A, A321)</f>
        <v>1</v>
      </c>
      <c r="D321" s="89">
        <f>IFERROR(__xludf.DUMMYFUNCTION("IFERROR(AVERAGE(FILTER(Inventory!H:H,Inventory!J:J=""Closed"",Inventory!A:A=A321)),"""")"),1.0)</f>
        <v>1</v>
      </c>
      <c r="E321" s="234">
        <f>IFERROR(__xludf.DUMMYFUNCTION("IFERROR(AVERAGE(FILTER(Inventory!G:G,Inventory!J:J=""Closed"",Inventory!A:A=A321)),""0"")"),0.51)</f>
        <v>0.51</v>
      </c>
      <c r="F321" s="235">
        <f>IFERROR(__xludf.DUMMYFUNCTION("IFERROR(SUM(FILTER(Inventory!G:G,Inventory!J:J=""Closed"",Inventory!A:A=A321)),""0"")"),0.51)</f>
        <v>0.51</v>
      </c>
      <c r="G321" s="235">
        <f>IFERROR(__xludf.DUMMYFUNCTION("IFERROR(AVERAGE(FILTER(Inventory!K:K,Inventory!J:J=""Closed"",Inventory!A:A=A321)),"""")"),1.0)</f>
        <v>1</v>
      </c>
      <c r="H321" s="23" t="b">
        <v>0</v>
      </c>
      <c r="I321" s="236"/>
      <c r="J321" s="236">
        <f>MAXIFS(Inventory!D:D, Inventory!A:A, A:A)</f>
        <v>44496</v>
      </c>
      <c r="L321" s="23">
        <f>COUNTIFS(Inventory!A:A,A321,Inventory!J:J,"Open")</f>
        <v>0</v>
      </c>
    </row>
    <row r="322">
      <c r="A322" s="233" t="s">
        <v>5033</v>
      </c>
      <c r="B322" s="23" t="str">
        <f>Publishers!A100</f>
        <v>Freedom Games</v>
      </c>
      <c r="C322" s="78">
        <f>COUNTIF(Inventory!A:A, A322)</f>
        <v>5</v>
      </c>
      <c r="D322" s="89">
        <f>IFERROR(__xludf.DUMMYFUNCTION("IFERROR(AVERAGE(FILTER(Inventory!H:H,Inventory!J:J=""Closed"",Inventory!A:A=A322)),"""")"),0.13573279219006307)</f>
        <v>0.1357327922</v>
      </c>
      <c r="E322" s="234">
        <f>IFERROR(__xludf.DUMMYFUNCTION("IFERROR(AVERAGE(FILTER(Inventory!G:G,Inventory!J:J=""Closed"",Inventory!A:A=A322)),""0"")"),1.5000000000000004)</f>
        <v>1.5</v>
      </c>
      <c r="F322" s="235">
        <f>IFERROR(__xludf.DUMMYFUNCTION("IFERROR(SUM(FILTER(Inventory!G:G,Inventory!J:J=""Closed"",Inventory!A:A=A322)),""0"")"),7.500000000000002)</f>
        <v>7.5</v>
      </c>
      <c r="G322" s="235">
        <f>IFERROR(__xludf.DUMMYFUNCTION("IFERROR(AVERAGE(FILTER(Inventory!K:K,Inventory!J:J=""Closed"",Inventory!A:A=A322)),"""")"),12.8)</f>
        <v>12.8</v>
      </c>
      <c r="H322" s="23" t="b">
        <v>0</v>
      </c>
      <c r="I322" s="236"/>
      <c r="J322" s="236">
        <f>MAXIFS(Inventory!D:D, Inventory!A:A, A:A)</f>
        <v>45253</v>
      </c>
      <c r="L322" s="23">
        <f>COUNTIFS(Inventory!A:A,A322,Inventory!J:J,"Open")</f>
        <v>0</v>
      </c>
    </row>
    <row r="323">
      <c r="A323" s="233" t="s">
        <v>4950</v>
      </c>
      <c r="B323" s="23" t="str">
        <f>Publishers!A222</f>
        <v>SEGA</v>
      </c>
      <c r="C323" s="78">
        <f>COUNTIF(Inventory!A:A, A323)</f>
        <v>1</v>
      </c>
      <c r="D323" s="89">
        <f>IFERROR(__xludf.DUMMYFUNCTION("IFERROR(AVERAGE(FILTER(Inventory!H:H,Inventory!J:J=""Closed"",Inventory!A:A=A323)),"""")"),0.057954545454545627)</f>
        <v>0.05795454545</v>
      </c>
      <c r="E323" s="234">
        <f>IFERROR(__xludf.DUMMYFUNCTION("IFERROR(AVERAGE(FILTER(Inventory!G:G,Inventory!J:J=""Closed"",Inventory!A:A=A323)),""0"")"),0.5100000000000016)</f>
        <v>0.51</v>
      </c>
      <c r="F323" s="235">
        <f>IFERROR(__xludf.DUMMYFUNCTION("IFERROR(SUM(FILTER(Inventory!G:G,Inventory!J:J=""Closed"",Inventory!A:A=A323)),""0"")"),0.5100000000000016)</f>
        <v>0.51</v>
      </c>
      <c r="G323" s="235">
        <f>IFERROR(__xludf.DUMMYFUNCTION("IFERROR(AVERAGE(FILTER(Inventory!K:K,Inventory!J:J=""Closed"",Inventory!A:A=A323)),"""")"),59.0)</f>
        <v>59</v>
      </c>
      <c r="H323" s="23" t="b">
        <v>0</v>
      </c>
      <c r="I323" s="236"/>
      <c r="J323" s="236">
        <f>MAXIFS(Inventory!D:D, Inventory!A:A, A:A)</f>
        <v>45239</v>
      </c>
      <c r="L323" s="23">
        <f>COUNTIFS(Inventory!A:A,A323,Inventory!J:J,"Open")</f>
        <v>0</v>
      </c>
    </row>
    <row r="324">
      <c r="A324" s="233" t="s">
        <v>5720</v>
      </c>
      <c r="C324" s="78">
        <f>COUNTIF(Inventory!A:A, A324)</f>
        <v>2</v>
      </c>
      <c r="D324" s="89">
        <f>IFERROR(__xludf.DUMMYFUNCTION("IFERROR(AVERAGE(FILTER(Inventory!H:H,Inventory!J:J=""Closed"",Inventory!A:A=A324)),"""")"),0.3491372529323873)</f>
        <v>0.3491372529</v>
      </c>
      <c r="E324" s="234">
        <f>IFERROR(__xludf.DUMMYFUNCTION("IFERROR(AVERAGE(FILTER(Inventory!G:G,Inventory!J:J=""Closed"",Inventory!A:A=A324)),""0"")"),8.205000000000002)</f>
        <v>8.205</v>
      </c>
      <c r="F324" s="235">
        <f>IFERROR(__xludf.DUMMYFUNCTION("IFERROR(SUM(FILTER(Inventory!G:G,Inventory!J:J=""Closed"",Inventory!A:A=A324)),""0"")"),16.410000000000004)</f>
        <v>16.41</v>
      </c>
      <c r="G324" s="235">
        <f>IFERROR(__xludf.DUMMYFUNCTION("IFERROR(AVERAGE(FILTER(Inventory!K:K,Inventory!J:J=""Closed"",Inventory!A:A=A324)),"""")"),192.5)</f>
        <v>192.5</v>
      </c>
      <c r="H324" s="23" t="b">
        <v>0</v>
      </c>
      <c r="I324" s="236"/>
      <c r="J324" s="236">
        <f>MAXIFS(Inventory!D:D, Inventory!A:A, A:A)</f>
        <v>45457</v>
      </c>
      <c r="L324" s="23">
        <f>COUNTIFS(Inventory!A:A,A324,Inventory!J:J,"Open")</f>
        <v>0</v>
      </c>
    </row>
    <row r="325">
      <c r="A325" s="233" t="s">
        <v>2280</v>
      </c>
      <c r="B325" s="23" t="str">
        <f>Publishers!A237</f>
        <v>Square Enix</v>
      </c>
      <c r="C325" s="78">
        <f>COUNTIF(Inventory!A:A, A325)</f>
        <v>2</v>
      </c>
      <c r="D325" s="89">
        <f>IFERROR(__xludf.DUMMYFUNCTION("IFERROR(AVERAGE(FILTER(Inventory!H:H,Inventory!J:J=""Closed"",Inventory!A:A=A325)),"""")"),0.08149965837461666)</f>
        <v>0.08149965837</v>
      </c>
      <c r="E325" s="234">
        <f>IFERROR(__xludf.DUMMYFUNCTION("IFERROR(AVERAGE(FILTER(Inventory!G:G,Inventory!J:J=""Closed"",Inventory!A:A=A325)),""0"")"),1.5200000000000005)</f>
        <v>1.52</v>
      </c>
      <c r="F325" s="235">
        <f>IFERROR(__xludf.DUMMYFUNCTION("IFERROR(SUM(FILTER(Inventory!G:G,Inventory!J:J=""Closed"",Inventory!A:A=A325)),""0"")"),3.040000000000001)</f>
        <v>3.04</v>
      </c>
      <c r="G325" s="235">
        <f>IFERROR(__xludf.DUMMYFUNCTION("IFERROR(AVERAGE(FILTER(Inventory!K:K,Inventory!J:J=""Closed"",Inventory!A:A=A325)),"""")"),248.0)</f>
        <v>248</v>
      </c>
      <c r="H325" s="78" t="b">
        <v>0</v>
      </c>
      <c r="I325" s="236"/>
      <c r="J325" s="236">
        <f>MAXIFS(Inventory!D:D, Inventory!A:A, A:A)</f>
        <v>45169</v>
      </c>
      <c r="L325" s="23">
        <f>COUNTIFS(Inventory!A:A,A325,Inventory!J:J,"Open")</f>
        <v>0</v>
      </c>
    </row>
    <row r="326">
      <c r="A326" s="237" t="s">
        <v>1316</v>
      </c>
      <c r="B326" s="23" t="str">
        <f>Publishers!A215</f>
        <v>Schell Games</v>
      </c>
      <c r="C326" s="78">
        <f>COUNTIF(Inventory!A:A, A326)</f>
        <v>7</v>
      </c>
      <c r="D326" s="89">
        <f>IFERROR(__xludf.DUMMYFUNCTION("IFERROR(AVERAGE(FILTER(Inventory!H:H,Inventory!J:J=""Closed"",Inventory!A:A=A326)),"""")"),0.22652981819483733)</f>
        <v>0.2265298182</v>
      </c>
      <c r="E326" s="234">
        <f>IFERROR(__xludf.DUMMYFUNCTION("IFERROR(AVERAGE(FILTER(Inventory!G:G,Inventory!J:J=""Closed"",Inventory!A:A=A326)),""0"")"),2.654285714285714)</f>
        <v>2.654285714</v>
      </c>
      <c r="F326" s="235">
        <f>IFERROR(__xludf.DUMMYFUNCTION("IFERROR(SUM(FILTER(Inventory!G:G,Inventory!J:J=""Closed"",Inventory!A:A=A326)),""0"")"),18.58)</f>
        <v>18.58</v>
      </c>
      <c r="G326" s="235">
        <f>IFERROR(__xludf.DUMMYFUNCTION("IFERROR(AVERAGE(FILTER(Inventory!K:K,Inventory!J:J=""Closed"",Inventory!A:A=A326)),"""")"),2.7142857142857144)</f>
        <v>2.714285714</v>
      </c>
      <c r="H326" s="78" t="b">
        <v>1</v>
      </c>
      <c r="I326" s="236"/>
      <c r="J326" s="236">
        <f>MAXIFS(Inventory!D:D, Inventory!A:A, A:A)</f>
        <v>44662</v>
      </c>
      <c r="L326" s="23">
        <f>COUNTIFS(Inventory!A:A,A326,Inventory!J:J,"Open")</f>
        <v>0</v>
      </c>
    </row>
    <row r="327">
      <c r="A327" s="237" t="s">
        <v>709</v>
      </c>
      <c r="B327" s="23" t="str">
        <f>Publishers!A30</f>
        <v>Beamdog</v>
      </c>
      <c r="C327" s="78">
        <f>COUNTIF(Inventory!A:A, A327)</f>
        <v>5</v>
      </c>
      <c r="D327" s="89">
        <f>IFERROR(__xludf.DUMMYFUNCTION("IFERROR(AVERAGE(FILTER(Inventory!H:H,Inventory!J:J=""Closed"",Inventory!A:A=A327)),"""")"),0.13510848647721838)</f>
        <v>0.1351084865</v>
      </c>
      <c r="E327" s="234">
        <f>IFERROR(__xludf.DUMMYFUNCTION("IFERROR(AVERAGE(FILTER(Inventory!G:G,Inventory!J:J=""Closed"",Inventory!A:A=A327)),""0"")"),1.9899999999999998)</f>
        <v>1.99</v>
      </c>
      <c r="F327" s="235">
        <f>IFERROR(__xludf.DUMMYFUNCTION("IFERROR(SUM(FILTER(Inventory!G:G,Inventory!J:J=""Closed"",Inventory!A:A=A327)),""0"")"),9.95)</f>
        <v>9.95</v>
      </c>
      <c r="G327" s="235">
        <f>IFERROR(__xludf.DUMMYFUNCTION("IFERROR(AVERAGE(FILTER(Inventory!K:K,Inventory!J:J=""Closed"",Inventory!A:A=A327)),"""")"),290.0)</f>
        <v>290</v>
      </c>
      <c r="H327" s="23" t="b">
        <v>0</v>
      </c>
      <c r="I327" s="236"/>
      <c r="J327" s="236">
        <f>MAXIFS(Inventory!D:D, Inventory!A:A, A:A)</f>
        <v>44981</v>
      </c>
      <c r="L327" s="23">
        <f>COUNTIFS(Inventory!A:A,A327,Inventory!J:J,"Open")</f>
        <v>0</v>
      </c>
    </row>
    <row r="328">
      <c r="A328" s="237" t="s">
        <v>456</v>
      </c>
      <c r="B328" s="23" t="str">
        <f>Publishers!A66</f>
        <v>DANGEN Entertainment</v>
      </c>
      <c r="C328" s="78">
        <f>COUNTIF(Inventory!A:A, A328)</f>
        <v>1</v>
      </c>
      <c r="D328" s="89">
        <f>IFERROR(__xludf.DUMMYFUNCTION("IFERROR(AVERAGE(FILTER(Inventory!H:H,Inventory!J:J=""Closed"",Inventory!A:A=A328)),"""")"),0.3572984749455337)</f>
        <v>0.3572984749</v>
      </c>
      <c r="E328" s="234">
        <f>IFERROR(__xludf.DUMMYFUNCTION("IFERROR(AVERAGE(FILTER(Inventory!G:G,Inventory!J:J=""Closed"",Inventory!A:A=A328)),""0"")"),1.6399999999999997)</f>
        <v>1.64</v>
      </c>
      <c r="F328" s="235">
        <f>IFERROR(__xludf.DUMMYFUNCTION("IFERROR(SUM(FILTER(Inventory!G:G,Inventory!J:J=""Closed"",Inventory!A:A=A328)),""0"")"),1.6399999999999997)</f>
        <v>1.64</v>
      </c>
      <c r="G328" s="235">
        <f>IFERROR(__xludf.DUMMYFUNCTION("IFERROR(AVERAGE(FILTER(Inventory!K:K,Inventory!J:J=""Closed"",Inventory!A:A=A328)),"""")"),27.0)</f>
        <v>27</v>
      </c>
      <c r="H328" s="23" t="b">
        <v>0</v>
      </c>
      <c r="I328" s="236"/>
      <c r="J328" s="236">
        <f>MAXIFS(Inventory!D:D, Inventory!A:A, A:A)</f>
        <v>44079</v>
      </c>
      <c r="L328" s="23">
        <f>COUNTIFS(Inventory!A:A,A328,Inventory!J:J,"Open")</f>
        <v>0</v>
      </c>
    </row>
    <row r="329">
      <c r="A329" s="237" t="s">
        <v>1063</v>
      </c>
      <c r="B329" s="23" t="str">
        <f>Publishers!A5</f>
        <v>1C Entertainment</v>
      </c>
      <c r="C329" s="78">
        <f>COUNTIF(Inventory!A:A, A329)</f>
        <v>1</v>
      </c>
      <c r="D329" s="89">
        <f>IFERROR(__xludf.DUMMYFUNCTION("IFERROR(AVERAGE(FILTER(Inventory!H:H,Inventory!J:J=""Closed"",Inventory!A:A=A329)),"""")"),1.0)</f>
        <v>1</v>
      </c>
      <c r="E329" s="234">
        <f>IFERROR(__xludf.DUMMYFUNCTION("IFERROR(AVERAGE(FILTER(Inventory!G:G,Inventory!J:J=""Closed"",Inventory!A:A=A329)),""0"")"),0.98)</f>
        <v>0.98</v>
      </c>
      <c r="F329" s="235">
        <f>IFERROR(__xludf.DUMMYFUNCTION("IFERROR(SUM(FILTER(Inventory!G:G,Inventory!J:J=""Closed"",Inventory!A:A=A329)),""0"")"),0.98)</f>
        <v>0.98</v>
      </c>
      <c r="G329" s="235">
        <f>IFERROR(__xludf.DUMMYFUNCTION("IFERROR(AVERAGE(FILTER(Inventory!K:K,Inventory!J:J=""Closed"",Inventory!A:A=A329)),"""")"),1.0)</f>
        <v>1</v>
      </c>
      <c r="H329" s="23" t="b">
        <v>0</v>
      </c>
      <c r="I329" s="236"/>
      <c r="J329" s="236">
        <f>MAXIFS(Inventory!D:D, Inventory!A:A, A:A)</f>
        <v>44309</v>
      </c>
      <c r="L329" s="23">
        <f>COUNTIFS(Inventory!A:A,A329,Inventory!J:J,"Open")</f>
        <v>0</v>
      </c>
    </row>
    <row r="330">
      <c r="A330" s="233" t="s">
        <v>7051</v>
      </c>
      <c r="B330" s="23" t="str">
        <f>Publishers!A188</f>
        <v>Paradox Interactive</v>
      </c>
      <c r="C330" s="78">
        <f>COUNTIF(Inventory!A:A, A330)</f>
        <v>7</v>
      </c>
      <c r="D330" s="89">
        <f>IFERROR(__xludf.DUMMYFUNCTION("IFERROR(AVERAGE(FILTER(Inventory!H:H,Inventory!J:J=""Closed"",Inventory!A:A=A330)),"""")"),0.16839122680303611)</f>
        <v>0.1683912268</v>
      </c>
      <c r="E330" s="234">
        <f>IFERROR(__xludf.DUMMYFUNCTION("IFERROR(AVERAGE(FILTER(Inventory!G:G,Inventory!J:J=""Closed"",Inventory!A:A=A330)),""0"")"),2.8357142857142854)</f>
        <v>2.835714286</v>
      </c>
      <c r="F330" s="235">
        <f>IFERROR(__xludf.DUMMYFUNCTION("IFERROR(SUM(FILTER(Inventory!G:G,Inventory!J:J=""Closed"",Inventory!A:A=A330)),""0"")"),19.849999999999998)</f>
        <v>19.85</v>
      </c>
      <c r="G330" s="235">
        <f>IFERROR(__xludf.DUMMYFUNCTION("IFERROR(AVERAGE(FILTER(Inventory!K:K,Inventory!J:J=""Closed"",Inventory!A:A=A330)),"""")"),48.857142857142854)</f>
        <v>48.85714286</v>
      </c>
      <c r="H330" s="23" t="b">
        <v>0</v>
      </c>
      <c r="I330" s="236"/>
      <c r="J330" s="236">
        <f>MAXIFS(Inventory!D:D, Inventory!A:A, A:A)</f>
        <v>45746</v>
      </c>
      <c r="L330" s="23">
        <f>COUNTIFS(Inventory!A:A,A330,Inventory!J:J,"Open")</f>
        <v>0</v>
      </c>
    </row>
    <row r="331">
      <c r="A331" s="233" t="s">
        <v>8696</v>
      </c>
      <c r="C331" s="78">
        <f>COUNTIF(Inventory!A:A, A331)</f>
        <v>35</v>
      </c>
      <c r="D331" s="89">
        <f>IFERROR(__xludf.DUMMYFUNCTION("IFERROR(AVERAGE(FILTER(Inventory!H:H,Inventory!J:J=""Closed"",Inventory!A:A=A331)),"""")"),0.1634038192115956)</f>
        <v>0.1634038192</v>
      </c>
      <c r="E331" s="234">
        <f>IFERROR(__xludf.DUMMYFUNCTION("IFERROR(AVERAGE(FILTER(Inventory!G:G,Inventory!J:J=""Closed"",Inventory!A:A=A331)),""0"")"),8.172647058823527)</f>
        <v>8.172647059</v>
      </c>
      <c r="F331" s="235">
        <f>IFERROR(__xludf.DUMMYFUNCTION("IFERROR(SUM(FILTER(Inventory!G:G,Inventory!J:J=""Closed"",Inventory!A:A=A331)),""0"")"),277.8699999999999)</f>
        <v>277.87</v>
      </c>
      <c r="G331" s="235">
        <f>IFERROR(__xludf.DUMMYFUNCTION("IFERROR(AVERAGE(FILTER(Inventory!K:K,Inventory!J:J=""Closed"",Inventory!A:A=A331)),"""")"),4.588235294117647)</f>
        <v>4.588235294</v>
      </c>
      <c r="H331" s="23" t="b">
        <v>0</v>
      </c>
      <c r="I331" s="236"/>
      <c r="J331" s="236">
        <f>MAXIFS(Inventory!D:D, Inventory!A:A, A:A)</f>
        <v>46067</v>
      </c>
      <c r="K331" s="23" t="str">
        <f>IMAGE("https://shared.fastly.steamstatic.com/store_item_assets/steam/apps/2677660/header.jpg?t=1749668888")</f>
        <v/>
      </c>
      <c r="L331" s="23">
        <f>COUNTIFS(Inventory!A:A,A331,Inventory!J:J,"Open")</f>
        <v>1</v>
      </c>
    </row>
    <row r="332">
      <c r="A332" s="233" t="s">
        <v>6979</v>
      </c>
      <c r="B332" s="23" t="str">
        <f>Publishers!A4</f>
        <v>11 bit studios</v>
      </c>
      <c r="C332" s="78">
        <f>COUNTIF(Inventory!A:A, A332)</f>
        <v>1</v>
      </c>
      <c r="D332" s="89">
        <f>IFERROR(__xludf.DUMMYFUNCTION("IFERROR(AVERAGE(FILTER(Inventory!H:H,Inventory!J:J=""Closed"",Inventory!A:A=A332)),"""")"),0.175535590877678)</f>
        <v>0.1755355909</v>
      </c>
      <c r="E332" s="234">
        <f>IFERROR(__xludf.DUMMYFUNCTION("IFERROR(AVERAGE(FILTER(Inventory!G:G,Inventory!J:J=""Closed"",Inventory!A:A=A332)),""0"")"),2.540000000000001)</f>
        <v>2.54</v>
      </c>
      <c r="F332" s="235">
        <f>IFERROR(__xludf.DUMMYFUNCTION("IFERROR(SUM(FILTER(Inventory!G:G,Inventory!J:J=""Closed"",Inventory!A:A=A332)),""0"")"),2.540000000000001)</f>
        <v>2.54</v>
      </c>
      <c r="G332" s="235">
        <f>IFERROR(__xludf.DUMMYFUNCTION("IFERROR(AVERAGE(FILTER(Inventory!K:K,Inventory!J:J=""Closed"",Inventory!A:A=A332)),"""")"),0.0)</f>
        <v>0</v>
      </c>
      <c r="H332" s="23" t="b">
        <v>0</v>
      </c>
      <c r="I332" s="236"/>
      <c r="J332" s="236">
        <f>MAXIFS(Inventory!D:D, Inventory!A:A, A:A)</f>
        <v>45430</v>
      </c>
      <c r="L332" s="23">
        <f>COUNTIFS(Inventory!A:A,A332,Inventory!J:J,"Open")</f>
        <v>0</v>
      </c>
    </row>
    <row r="333">
      <c r="A333" s="237" t="s">
        <v>214</v>
      </c>
      <c r="B333" s="23" t="str">
        <f>Publishers!A282</f>
        <v>Warner Bros</v>
      </c>
      <c r="C333" s="78">
        <f>COUNTIF(Inventory!A:A, A333)</f>
        <v>7</v>
      </c>
      <c r="D333" s="89">
        <f>IFERROR(__xludf.DUMMYFUNCTION("IFERROR(AVERAGE(FILTER(Inventory!H:H,Inventory!J:J=""Closed"",Inventory!A:A=A333)),"""")"),0.054600115643930504)</f>
        <v>0.05460011564</v>
      </c>
      <c r="E333" s="234">
        <f>IFERROR(__xludf.DUMMYFUNCTION("IFERROR(AVERAGE(FILTER(Inventory!G:G,Inventory!J:J=""Closed"",Inventory!A:A=A333)),""0"")"),0.23428571428571413)</f>
        <v>0.2342857143</v>
      </c>
      <c r="F333" s="235">
        <f>IFERROR(__xludf.DUMMYFUNCTION("IFERROR(SUM(FILTER(Inventory!G:G,Inventory!J:J=""Closed"",Inventory!A:A=A333)),""0"")"),1.6399999999999988)</f>
        <v>1.64</v>
      </c>
      <c r="G333" s="235">
        <f>IFERROR(__xludf.DUMMYFUNCTION("IFERROR(AVERAGE(FILTER(Inventory!K:K,Inventory!J:J=""Closed"",Inventory!A:A=A333)),"""")"),152.57142857142858)</f>
        <v>152.5714286</v>
      </c>
      <c r="H333" s="23" t="b">
        <v>0</v>
      </c>
      <c r="I333" s="236"/>
      <c r="J333" s="236">
        <f>MAXIFS(Inventory!D:D, Inventory!A:A, A:A)</f>
        <v>45791</v>
      </c>
      <c r="L333" s="23">
        <f>COUNTIFS(Inventory!A:A,A333,Inventory!J:J,"Open")</f>
        <v>0</v>
      </c>
    </row>
    <row r="334">
      <c r="A334" s="233" t="s">
        <v>2075</v>
      </c>
      <c r="B334" s="23" t="str">
        <f>Publishers!A282</f>
        <v>Warner Bros</v>
      </c>
      <c r="C334" s="78">
        <f>COUNTIF(Inventory!A:A, A334)</f>
        <v>4</v>
      </c>
      <c r="D334" s="89">
        <f>IFERROR(__xludf.DUMMYFUNCTION("IFERROR(AVERAGE(FILTER(Inventory!H:H,Inventory!J:J=""Closed"",Inventory!A:A=A334)),"""")"),0.55350851434726)</f>
        <v>0.5535085143</v>
      </c>
      <c r="E334" s="234">
        <f>IFERROR(__xludf.DUMMYFUNCTION("IFERROR(AVERAGE(FILTER(Inventory!G:G,Inventory!J:J=""Closed"",Inventory!A:A=A334)),""0"")"),7.8500000000000005)</f>
        <v>7.85</v>
      </c>
      <c r="F334" s="235">
        <f>IFERROR(__xludf.DUMMYFUNCTION("IFERROR(SUM(FILTER(Inventory!G:G,Inventory!J:J=""Closed"",Inventory!A:A=A334)),""0"")"),15.700000000000001)</f>
        <v>15.7</v>
      </c>
      <c r="G334" s="235">
        <f>IFERROR(__xludf.DUMMYFUNCTION("IFERROR(AVERAGE(FILTER(Inventory!K:K,Inventory!J:J=""Closed"",Inventory!A:A=A334)),"""")"),24.5)</f>
        <v>24.5</v>
      </c>
      <c r="H334" s="23" t="b">
        <v>0</v>
      </c>
      <c r="I334" s="236"/>
      <c r="J334" s="236">
        <f>MAXIFS(Inventory!D:D, Inventory!A:A, A:A)</f>
        <v>44662</v>
      </c>
      <c r="L334" s="23">
        <f>COUNTIFS(Inventory!A:A,A334,Inventory!J:J,"Open")</f>
        <v>2</v>
      </c>
    </row>
    <row r="335">
      <c r="A335" s="237" t="s">
        <v>1676</v>
      </c>
      <c r="B335" s="23" t="str">
        <f>Publishers!A99</f>
        <v>Focus Home Interactive</v>
      </c>
      <c r="C335" s="78">
        <f>COUNTIF(Inventory!A:A, A335)</f>
        <v>12</v>
      </c>
      <c r="D335" s="89">
        <f>IFERROR(__xludf.DUMMYFUNCTION("IFERROR(AVERAGE(FILTER(Inventory!H:H,Inventory!J:J=""Closed"",Inventory!A:A=A335)),"""")"),0.17073917390847604)</f>
        <v>0.1707391739</v>
      </c>
      <c r="E335" s="234">
        <f>IFERROR(__xludf.DUMMYFUNCTION("IFERROR(AVERAGE(FILTER(Inventory!G:G,Inventory!J:J=""Closed"",Inventory!A:A=A335)),""0"")"),2.7516666666666665)</f>
        <v>2.751666667</v>
      </c>
      <c r="F335" s="235">
        <f>IFERROR(__xludf.DUMMYFUNCTION("IFERROR(SUM(FILTER(Inventory!G:G,Inventory!J:J=""Closed"",Inventory!A:A=A335)),""0"")"),33.019999999999996)</f>
        <v>33.02</v>
      </c>
      <c r="G335" s="235">
        <f>IFERROR(__xludf.DUMMYFUNCTION("IFERROR(AVERAGE(FILTER(Inventory!K:K,Inventory!J:J=""Closed"",Inventory!A:A=A335)),"""")"),19.833333333333332)</f>
        <v>19.83333333</v>
      </c>
      <c r="H335" s="23" t="b">
        <v>0</v>
      </c>
      <c r="I335" s="236"/>
      <c r="J335" s="236">
        <f>MAXIFS(Inventory!D:D, Inventory!A:A, A:A)</f>
        <v>44873</v>
      </c>
      <c r="L335" s="23">
        <f>COUNTIFS(Inventory!A:A,A335,Inventory!J:J,"Open")</f>
        <v>0</v>
      </c>
    </row>
    <row r="336">
      <c r="A336" s="233" t="s">
        <v>2108</v>
      </c>
      <c r="B336" s="23" t="str">
        <f>Publishers!A99</f>
        <v>Focus Home Interactive</v>
      </c>
      <c r="C336" s="78">
        <f>COUNTIF(Inventory!A:A, A336)</f>
        <v>1</v>
      </c>
      <c r="D336" s="89">
        <f>IFERROR(__xludf.DUMMYFUNCTION("IFERROR(AVERAGE(FILTER(Inventory!H:H,Inventory!J:J=""Closed"",Inventory!A:A=A336)),"""")"),0.06943396226415094)</f>
        <v>0.06943396226</v>
      </c>
      <c r="E336" s="234">
        <f>IFERROR(__xludf.DUMMYFUNCTION("IFERROR(AVERAGE(FILTER(Inventory!G:G,Inventory!J:J=""Closed"",Inventory!A:A=A336)),""0"")"),1.8399999999999999)</f>
        <v>1.84</v>
      </c>
      <c r="F336" s="235">
        <f>IFERROR(__xludf.DUMMYFUNCTION("IFERROR(SUM(FILTER(Inventory!G:G,Inventory!J:J=""Closed"",Inventory!A:A=A336)),""0"")"),1.8399999999999999)</f>
        <v>1.84</v>
      </c>
      <c r="G336" s="235">
        <f>IFERROR(__xludf.DUMMYFUNCTION("IFERROR(AVERAGE(FILTER(Inventory!K:K,Inventory!J:J=""Closed"",Inventory!A:A=A336)),"""")"),49.0)</f>
        <v>49</v>
      </c>
      <c r="H336" s="78" t="b">
        <v>0</v>
      </c>
      <c r="I336" s="236"/>
      <c r="J336" s="236">
        <f>MAXIFS(Inventory!D:D, Inventory!A:A, A:A)</f>
        <v>44662</v>
      </c>
      <c r="L336" s="23">
        <f>COUNTIFS(Inventory!A:A,A336,Inventory!J:J,"Open")</f>
        <v>0</v>
      </c>
    </row>
    <row r="337">
      <c r="A337" s="237" t="s">
        <v>385</v>
      </c>
      <c r="B337" s="23" t="str">
        <f>Publishers!A50</f>
        <v>Cheesecake Dev</v>
      </c>
      <c r="C337" s="78">
        <f>COUNTIF(Inventory!A:A, A337)</f>
        <v>22</v>
      </c>
      <c r="D337" s="89">
        <f>IFERROR(__xludf.DUMMYFUNCTION("IFERROR(AVERAGE(FILTER(Inventory!H:H,Inventory!J:J=""Closed"",Inventory!A:A=A337)),"""")"),0.5199765712521417)</f>
        <v>0.5199765713</v>
      </c>
      <c r="E337" s="234">
        <f>IFERROR(__xludf.DUMMYFUNCTION("IFERROR(AVERAGE(FILTER(Inventory!G:G,Inventory!J:J=""Closed"",Inventory!A:A=A337)),""0"")"),1.0218181818181817)</f>
        <v>1.021818182</v>
      </c>
      <c r="F337" s="235">
        <f>IFERROR(__xludf.DUMMYFUNCTION("IFERROR(SUM(FILTER(Inventory!G:G,Inventory!J:J=""Closed"",Inventory!A:A=A337)),""0"")"),22.48)</f>
        <v>22.48</v>
      </c>
      <c r="G337" s="235">
        <f>IFERROR(__xludf.DUMMYFUNCTION("IFERROR(AVERAGE(FILTER(Inventory!K:K,Inventory!J:J=""Closed"",Inventory!A:A=A337)),"""")"),7.636363636363637)</f>
        <v>7.636363636</v>
      </c>
      <c r="H337" s="78" t="b">
        <v>1</v>
      </c>
      <c r="I337" s="236"/>
      <c r="J337" s="236">
        <f>MAXIFS(Inventory!D:D, Inventory!A:A, A:A)</f>
        <v>44810</v>
      </c>
      <c r="L337" s="23">
        <f>COUNTIFS(Inventory!A:A,A337,Inventory!J:J,"Open")</f>
        <v>0</v>
      </c>
    </row>
    <row r="338">
      <c r="A338" s="233" t="s">
        <v>3325</v>
      </c>
      <c r="B338" s="23" t="str">
        <f>Publishers!A50</f>
        <v>Cheesecake Dev</v>
      </c>
      <c r="C338" s="78">
        <f>COUNTIF(Inventory!A:A, A338)</f>
        <v>8</v>
      </c>
      <c r="D338" s="89">
        <f>IFERROR(__xludf.DUMMYFUNCTION("IFERROR(AVERAGE(FILTER(Inventory!H:H,Inventory!J:J=""Closed"",Inventory!A:A=A338)),"""")"),0.2486904259282964)</f>
        <v>0.2486904259</v>
      </c>
      <c r="E338" s="234">
        <f>IFERROR(__xludf.DUMMYFUNCTION("IFERROR(AVERAGE(FILTER(Inventory!G:G,Inventory!J:J=""Closed"",Inventory!A:A=A338)),""0"")"),3.221666666666667)</f>
        <v>3.221666667</v>
      </c>
      <c r="F338" s="235">
        <f>IFERROR(__xludf.DUMMYFUNCTION("IFERROR(SUM(FILTER(Inventory!G:G,Inventory!J:J=""Closed"",Inventory!A:A=A338)),""0"")"),19.330000000000002)</f>
        <v>19.33</v>
      </c>
      <c r="G338" s="235">
        <f>IFERROR(__xludf.DUMMYFUNCTION("IFERROR(AVERAGE(FILTER(Inventory!K:K,Inventory!J:J=""Closed"",Inventory!A:A=A338)),"""")"),3.5)</f>
        <v>3.5</v>
      </c>
      <c r="H338" s="78" t="b">
        <v>1</v>
      </c>
      <c r="I338" s="78">
        <v>14.64</v>
      </c>
      <c r="J338" s="236">
        <f>MAXIFS(Inventory!D:D, Inventory!A:A, A:A)</f>
        <v>44983</v>
      </c>
      <c r="L338" s="23">
        <f>COUNTIFS(Inventory!A:A,A338,Inventory!J:J,"Open")</f>
        <v>2</v>
      </c>
    </row>
    <row r="339">
      <c r="A339" s="233" t="s">
        <v>2096</v>
      </c>
      <c r="B339" s="23" t="str">
        <f>Publishers!A246</f>
        <v>Subset Games</v>
      </c>
      <c r="C339" s="78">
        <f>COUNTIF(Inventory!A:A, A339)</f>
        <v>6</v>
      </c>
      <c r="D339" s="89">
        <f>IFERROR(__xludf.DUMMYFUNCTION("IFERROR(AVERAGE(FILTER(Inventory!H:H,Inventory!J:J=""Closed"",Inventory!A:A=A339)),"""")"),-0.23616228419269605)</f>
        <v>-0.2361622842</v>
      </c>
      <c r="E339" s="234">
        <f>IFERROR(__xludf.DUMMYFUNCTION("IFERROR(AVERAGE(FILTER(Inventory!G:G,Inventory!J:J=""Closed"",Inventory!A:A=A339)),""0"")"),0.35833333333333356)</f>
        <v>0.3583333333</v>
      </c>
      <c r="F339" s="235">
        <f>IFERROR(__xludf.DUMMYFUNCTION("IFERROR(SUM(FILTER(Inventory!G:G,Inventory!J:J=""Closed"",Inventory!A:A=A339)),""0"")"),2.1500000000000012)</f>
        <v>2.15</v>
      </c>
      <c r="G339" s="235">
        <f>IFERROR(__xludf.DUMMYFUNCTION("IFERROR(AVERAGE(FILTER(Inventory!K:K,Inventory!J:J=""Closed"",Inventory!A:A=A339)),"""")"),167.0)</f>
        <v>167</v>
      </c>
      <c r="H339" s="78" t="b">
        <v>0</v>
      </c>
      <c r="I339" s="236"/>
      <c r="J339" s="236">
        <f>MAXIFS(Inventory!D:D, Inventory!A:A, A:A)</f>
        <v>45979</v>
      </c>
      <c r="L339" s="23">
        <f>COUNTIFS(Inventory!A:A,A339,Inventory!J:J,"Open")</f>
        <v>0</v>
      </c>
    </row>
    <row r="340">
      <c r="A340" s="237" t="s">
        <v>1639</v>
      </c>
      <c r="B340" s="23" t="str">
        <f>Publishers!A198</f>
        <v>Prime Matter</v>
      </c>
      <c r="C340" s="78">
        <f>COUNTIF(Inventory!A:A, A340)</f>
        <v>1</v>
      </c>
      <c r="D340" s="89">
        <f>IFERROR(__xludf.DUMMYFUNCTION("IFERROR(AVERAGE(FILTER(Inventory!H:H,Inventory!J:J=""Closed"",Inventory!A:A=A340)),"""")"),-5.2751322751322745)</f>
        <v>-5.275132275</v>
      </c>
      <c r="E340" s="234">
        <f>IFERROR(__xludf.DUMMYFUNCTION("IFERROR(AVERAGE(FILTER(Inventory!G:G,Inventory!J:J=""Closed"",Inventory!A:A=A340)),""0"")"),-9.969999999999999)</f>
        <v>-9.97</v>
      </c>
      <c r="F340" s="235">
        <f>IFERROR(__xludf.DUMMYFUNCTION("IFERROR(SUM(FILTER(Inventory!G:G,Inventory!J:J=""Closed"",Inventory!A:A=A340)),""0"")"),-9.969999999999999)</f>
        <v>-9.97</v>
      </c>
      <c r="G340" s="235">
        <f>IFERROR(__xludf.DUMMYFUNCTION("IFERROR(AVERAGE(FILTER(Inventory!K:K,Inventory!J:J=""Closed"",Inventory!A:A=A340)),"""")"),1002.0)</f>
        <v>1002</v>
      </c>
      <c r="H340" s="23" t="b">
        <v>0</v>
      </c>
      <c r="I340" s="236"/>
      <c r="J340" s="236">
        <f>MAXIFS(Inventory!D:D, Inventory!A:A, A:A)</f>
        <v>45520</v>
      </c>
      <c r="L340" s="23">
        <f>COUNTIFS(Inventory!A:A,A340,Inventory!J:J,"Open")</f>
        <v>0</v>
      </c>
    </row>
    <row r="341">
      <c r="A341" s="233" t="s">
        <v>3930</v>
      </c>
      <c r="B341" s="23" t="str">
        <f>Publishers!A54</f>
        <v>Coatsink</v>
      </c>
      <c r="C341" s="78">
        <f>COUNTIF(Inventory!A:A, A341)</f>
        <v>4</v>
      </c>
      <c r="D341" s="89">
        <f>IFERROR(__xludf.DUMMYFUNCTION("IFERROR(AVERAGE(FILTER(Inventory!H:H,Inventory!J:J=""Closed"",Inventory!A:A=A341)),"""")"),0.030462184873949513)</f>
        <v>0.03046218487</v>
      </c>
      <c r="E341" s="234">
        <f>IFERROR(__xludf.DUMMYFUNCTION("IFERROR(AVERAGE(FILTER(Inventory!G:G,Inventory!J:J=""Closed"",Inventory!A:A=A341)),""0"")"),0.08499999999999985)</f>
        <v>0.085</v>
      </c>
      <c r="F341" s="235">
        <f>IFERROR(__xludf.DUMMYFUNCTION("IFERROR(SUM(FILTER(Inventory!G:G,Inventory!J:J=""Closed"",Inventory!A:A=A341)),""0"")"),0.3399999999999994)</f>
        <v>0.34</v>
      </c>
      <c r="G341" s="235">
        <f>IFERROR(__xludf.DUMMYFUNCTION("IFERROR(AVERAGE(FILTER(Inventory!K:K,Inventory!J:J=""Closed"",Inventory!A:A=A341)),"""")"),40.75)</f>
        <v>40.75</v>
      </c>
      <c r="H341" s="23" t="b">
        <v>0</v>
      </c>
      <c r="I341" s="236"/>
      <c r="J341" s="236">
        <f>MAXIFS(Inventory!D:D, Inventory!A:A, A:A)</f>
        <v>45330</v>
      </c>
      <c r="L341" s="23">
        <f>COUNTIFS(Inventory!A:A,A341,Inventory!J:J,"Open")</f>
        <v>0</v>
      </c>
    </row>
    <row r="342">
      <c r="A342" s="237" t="s">
        <v>1442</v>
      </c>
      <c r="B342" s="23" t="str">
        <f>Publishers!A148</f>
        <v>Ludosity</v>
      </c>
      <c r="C342" s="78">
        <f>COUNTIF(Inventory!A:A, A342)</f>
        <v>2</v>
      </c>
      <c r="D342" s="89">
        <f>IFERROR(__xludf.DUMMYFUNCTION("IFERROR(AVERAGE(FILTER(Inventory!H:H,Inventory!J:J=""Closed"",Inventory!A:A=A342)),"""")"),0.663640644128449)</f>
        <v>0.6636406441</v>
      </c>
      <c r="E342" s="234">
        <f>IFERROR(__xludf.DUMMYFUNCTION("IFERROR(AVERAGE(FILTER(Inventory!G:G,Inventory!J:J=""Closed"",Inventory!A:A=A342)),""0"")"),1.6400000000000001)</f>
        <v>1.64</v>
      </c>
      <c r="F342" s="235">
        <f>IFERROR(__xludf.DUMMYFUNCTION("IFERROR(SUM(FILTER(Inventory!G:G,Inventory!J:J=""Closed"",Inventory!A:A=A342)),""0"")"),3.2800000000000002)</f>
        <v>3.28</v>
      </c>
      <c r="G342" s="235">
        <f>IFERROR(__xludf.DUMMYFUNCTION("IFERROR(AVERAGE(FILTER(Inventory!K:K,Inventory!J:J=""Closed"",Inventory!A:A=A342)),"""")"),10.5)</f>
        <v>10.5</v>
      </c>
      <c r="H342" s="23" t="b">
        <v>0</v>
      </c>
      <c r="I342" s="236"/>
      <c r="J342" s="236">
        <f>MAXIFS(Inventory!D:D, Inventory!A:A, A:A)</f>
        <v>44495</v>
      </c>
      <c r="L342" s="23">
        <f>COUNTIFS(Inventory!A:A,A342,Inventory!J:J,"Open")</f>
        <v>0</v>
      </c>
    </row>
    <row r="343">
      <c r="A343" s="233" t="s">
        <v>2563</v>
      </c>
      <c r="B343" s="23" t="str">
        <f>Publishers!A16</f>
        <v>Annapurna Interactive</v>
      </c>
      <c r="C343" s="78">
        <f>COUNTIF(Inventory!A:A, A343)</f>
        <v>2</v>
      </c>
      <c r="D343" s="89">
        <f>IFERROR(__xludf.DUMMYFUNCTION("IFERROR(AVERAGE(FILTER(Inventory!H:H,Inventory!J:J=""Closed"",Inventory!A:A=A343)),"""")"),0.15208817332108704)</f>
        <v>0.1520881733</v>
      </c>
      <c r="E343" s="234">
        <f>IFERROR(__xludf.DUMMYFUNCTION("IFERROR(AVERAGE(FILTER(Inventory!G:G,Inventory!J:J=""Closed"",Inventory!A:A=A343)),""0"")"),0.73)</f>
        <v>0.73</v>
      </c>
      <c r="F343" s="235">
        <f>IFERROR(__xludf.DUMMYFUNCTION("IFERROR(SUM(FILTER(Inventory!G:G,Inventory!J:J=""Closed"",Inventory!A:A=A343)),""0"")"),1.46)</f>
        <v>1.46</v>
      </c>
      <c r="G343" s="235">
        <f>IFERROR(__xludf.DUMMYFUNCTION("IFERROR(AVERAGE(FILTER(Inventory!K:K,Inventory!J:J=""Closed"",Inventory!A:A=A343)),"""")"),43.5)</f>
        <v>43.5</v>
      </c>
      <c r="H343" s="78" t="b">
        <v>0</v>
      </c>
      <c r="I343" s="236"/>
      <c r="J343" s="236">
        <f>MAXIFS(Inventory!D:D, Inventory!A:A, A:A)</f>
        <v>44781</v>
      </c>
      <c r="L343" s="23">
        <f>COUNTIFS(Inventory!A:A,A343,Inventory!J:J,"Open")</f>
        <v>0</v>
      </c>
    </row>
    <row r="344">
      <c r="A344" s="237" t="s">
        <v>731</v>
      </c>
      <c r="B344" s="23" t="str">
        <f>Publishers!A237</f>
        <v>Square Enix</v>
      </c>
      <c r="C344" s="78">
        <f>COUNTIF(Inventory!A:A, A344)</f>
        <v>45</v>
      </c>
      <c r="D344" s="89">
        <f>IFERROR(__xludf.DUMMYFUNCTION("IFERROR(AVERAGE(FILTER(Inventory!H:H,Inventory!J:J=""Closed"",Inventory!A:A=A344)),"""")"),0.30527872474548023)</f>
        <v>0.3052787247</v>
      </c>
      <c r="E344" s="234">
        <f>IFERROR(__xludf.DUMMYFUNCTION("IFERROR(AVERAGE(FILTER(Inventory!G:G,Inventory!J:J=""Closed"",Inventory!A:A=A344)),""0"")"),2.043181818181818)</f>
        <v>2.043181818</v>
      </c>
      <c r="F344" s="235">
        <f>IFERROR(__xludf.DUMMYFUNCTION("IFERROR(SUM(FILTER(Inventory!G:G,Inventory!J:J=""Closed"",Inventory!A:A=A344)),""0"")"),89.89999999999999)</f>
        <v>89.9</v>
      </c>
      <c r="G344" s="235">
        <f>IFERROR(__xludf.DUMMYFUNCTION("IFERROR(AVERAGE(FILTER(Inventory!K:K,Inventory!J:J=""Closed"",Inventory!A:A=A344)),"""")"),31.431818181818183)</f>
        <v>31.43181818</v>
      </c>
      <c r="H344" s="78" t="b">
        <v>1</v>
      </c>
      <c r="I344" s="236"/>
      <c r="J344" s="236">
        <f>MAXIFS(Inventory!D:D, Inventory!A:A, A:A)</f>
        <v>45234</v>
      </c>
      <c r="K344" s="23" t="str">
        <f>IMAGE("https://shared.fastly.steamstatic.com/store_item_assets/steam/bundles/7598/qgol10m1sn6f6pyr/header_586x192.jpg?t=1542038958")</f>
        <v/>
      </c>
      <c r="L344" s="23">
        <f>COUNTIFS(Inventory!A:A,A344,Inventory!J:J,"Open")</f>
        <v>1</v>
      </c>
    </row>
    <row r="345">
      <c r="A345" s="233" t="s">
        <v>2083</v>
      </c>
      <c r="B345" s="23" t="str">
        <f>Publishers!A237</f>
        <v>Square Enix</v>
      </c>
      <c r="C345" s="78">
        <f>COUNTIF(Inventory!A:A, A345)</f>
        <v>1</v>
      </c>
      <c r="D345" s="89">
        <f>IFERROR(__xludf.DUMMYFUNCTION("IFERROR(AVERAGE(FILTER(Inventory!H:H,Inventory!J:J=""Closed"",Inventory!A:A=A345)),"""")"),-0.20821917808219184)</f>
        <v>-0.2082191781</v>
      </c>
      <c r="E345" s="234">
        <f>IFERROR(__xludf.DUMMYFUNCTION("IFERROR(AVERAGE(FILTER(Inventory!G:G,Inventory!J:J=""Closed"",Inventory!A:A=A345)),""0"")"),-1.5200000000000005)</f>
        <v>-1.52</v>
      </c>
      <c r="F345" s="235">
        <f>IFERROR(__xludf.DUMMYFUNCTION("IFERROR(SUM(FILTER(Inventory!G:G,Inventory!J:J=""Closed"",Inventory!A:A=A345)),""0"")"),-1.5200000000000005)</f>
        <v>-1.52</v>
      </c>
      <c r="G345" s="235">
        <f>IFERROR(__xludf.DUMMYFUNCTION("IFERROR(AVERAGE(FILTER(Inventory!K:K,Inventory!J:J=""Closed"",Inventory!A:A=A345)),"""")"),977.0)</f>
        <v>977</v>
      </c>
      <c r="H345" s="78" t="b">
        <v>0</v>
      </c>
      <c r="I345" s="236"/>
      <c r="J345" s="236">
        <f>MAXIFS(Inventory!D:D, Inventory!A:A, A:A)</f>
        <v>45587</v>
      </c>
      <c r="L345" s="23">
        <f>COUNTIFS(Inventory!A:A,A345,Inventory!J:J,"Open")</f>
        <v>0</v>
      </c>
    </row>
    <row r="346">
      <c r="A346" s="237" t="s">
        <v>274</v>
      </c>
      <c r="B346" s="23" t="str">
        <f>Publishers!A3</f>
        <v>10tons Ltd</v>
      </c>
      <c r="C346" s="78">
        <f>COUNTIF(Inventory!A:A, A346)</f>
        <v>2</v>
      </c>
      <c r="D346" s="89">
        <f>IFERROR(__xludf.DUMMYFUNCTION("IFERROR(AVERAGE(FILTER(Inventory!H:H,Inventory!J:J=""Closed"",Inventory!A:A=A346)),"""")"),1.0)</f>
        <v>1</v>
      </c>
      <c r="E346" s="234">
        <f>IFERROR(__xludf.DUMMYFUNCTION("IFERROR(AVERAGE(FILTER(Inventory!G:G,Inventory!J:J=""Closed"",Inventory!A:A=A346)),""0"")"),0.69)</f>
        <v>0.69</v>
      </c>
      <c r="F346" s="235">
        <f>IFERROR(__xludf.DUMMYFUNCTION("IFERROR(SUM(FILTER(Inventory!G:G,Inventory!J:J=""Closed"",Inventory!A:A=A346)),""0"")"),1.38)</f>
        <v>1.38</v>
      </c>
      <c r="G346" s="235">
        <f>IFERROR(__xludf.DUMMYFUNCTION("IFERROR(AVERAGE(FILTER(Inventory!K:K,Inventory!J:J=""Closed"",Inventory!A:A=A346)),"""")"),4.0)</f>
        <v>4</v>
      </c>
      <c r="H346" s="23" t="b">
        <v>0</v>
      </c>
      <c r="I346" s="236"/>
      <c r="J346" s="236">
        <f>MAXIFS(Inventory!D:D, Inventory!A:A, A:A)</f>
        <v>44022</v>
      </c>
      <c r="L346" s="23">
        <f>COUNTIFS(Inventory!A:A,A346,Inventory!J:J,"Open")</f>
        <v>0</v>
      </c>
    </row>
    <row r="347">
      <c r="A347" s="233" t="s">
        <v>2039</v>
      </c>
      <c r="B347" s="23" t="str">
        <f>Publishers!A14</f>
        <v>Akupara Games</v>
      </c>
      <c r="C347" s="78">
        <f>COUNTIF(Inventory!A:A, A347)</f>
        <v>2</v>
      </c>
      <c r="D347" s="89">
        <f>IFERROR(__xludf.DUMMYFUNCTION("IFERROR(AVERAGE(FILTER(Inventory!H:H,Inventory!J:J=""Closed"",Inventory!A:A=A347)),"""")"),-7.630369544714053)</f>
        <v>-7.630369545</v>
      </c>
      <c r="E347" s="234">
        <f>IFERROR(__xludf.DUMMYFUNCTION("IFERROR(AVERAGE(FILTER(Inventory!G:G,Inventory!J:J=""Closed"",Inventory!A:A=A347)),""0"")"),-8.24)</f>
        <v>-8.24</v>
      </c>
      <c r="F347" s="235">
        <f>IFERROR(__xludf.DUMMYFUNCTION("IFERROR(SUM(FILTER(Inventory!G:G,Inventory!J:J=""Closed"",Inventory!A:A=A347)),""0"")"),-16.48)</f>
        <v>-16.48</v>
      </c>
      <c r="G347" s="235">
        <f>IFERROR(__xludf.DUMMYFUNCTION("IFERROR(AVERAGE(FILTER(Inventory!K:K,Inventory!J:J=""Closed"",Inventory!A:A=A347)),"""")"),1223.5)</f>
        <v>1223.5</v>
      </c>
      <c r="H347" s="23" t="b">
        <v>0</v>
      </c>
      <c r="I347" s="236"/>
      <c r="J347" s="236">
        <f>MAXIFS(Inventory!D:D, Inventory!A:A, A:A)</f>
        <v>45833</v>
      </c>
      <c r="L347" s="23">
        <f>COUNTIFS(Inventory!A:A,A347,Inventory!J:J,"Open")</f>
        <v>0</v>
      </c>
    </row>
    <row r="348">
      <c r="A348" s="233" t="s">
        <v>3844</v>
      </c>
      <c r="B348" s="23" t="str">
        <f>Publishers!A145</f>
        <v>Lo-Fi Games</v>
      </c>
      <c r="C348" s="78">
        <f>COUNTIF(Inventory!A:A, A348)</f>
        <v>2</v>
      </c>
      <c r="D348" s="89">
        <f>IFERROR(__xludf.DUMMYFUNCTION("IFERROR(AVERAGE(FILTER(Inventory!H:H,Inventory!J:J=""Closed"",Inventory!A:A=A348)),"""")"),0.15688367129135528)</f>
        <v>0.1568836713</v>
      </c>
      <c r="E348" s="234">
        <f>IFERROR(__xludf.DUMMYFUNCTION("IFERROR(AVERAGE(FILTER(Inventory!G:G,Inventory!J:J=""Closed"",Inventory!A:A=A348)),""0"")"),1.4699999999999989)</f>
        <v>1.47</v>
      </c>
      <c r="F348" s="235">
        <f>IFERROR(__xludf.DUMMYFUNCTION("IFERROR(SUM(FILTER(Inventory!G:G,Inventory!J:J=""Closed"",Inventory!A:A=A348)),""0"")"),2.9399999999999977)</f>
        <v>2.94</v>
      </c>
      <c r="G348" s="235">
        <f>IFERROR(__xludf.DUMMYFUNCTION("IFERROR(AVERAGE(FILTER(Inventory!K:K,Inventory!J:J=""Closed"",Inventory!A:A=A348)),"""")"),1.0)</f>
        <v>1</v>
      </c>
      <c r="H348" s="23" t="b">
        <v>0</v>
      </c>
      <c r="I348" s="78">
        <v>8.72</v>
      </c>
      <c r="J348" s="236">
        <f>MAXIFS(Inventory!D:D, Inventory!A:A, A:A)</f>
        <v>45028</v>
      </c>
      <c r="L348" s="23">
        <f>COUNTIFS(Inventory!A:A,A348,Inventory!J:J,"Open")</f>
        <v>0</v>
      </c>
    </row>
    <row r="349">
      <c r="A349" s="237" t="s">
        <v>2018</v>
      </c>
      <c r="B349" s="23" t="str">
        <f>Publishers!A234</f>
        <v>Sold Out</v>
      </c>
      <c r="C349" s="78">
        <f>COUNTIF(Inventory!A:A, A349)</f>
        <v>3</v>
      </c>
      <c r="D349" s="89">
        <f>IFERROR(__xludf.DUMMYFUNCTION("IFERROR(AVERAGE(FILTER(Inventory!H:H,Inventory!J:J=""Closed"",Inventory!A:A=A349)),"""")"),0.1104955986278538)</f>
        <v>0.1104955986</v>
      </c>
      <c r="E349" s="234">
        <f>IFERROR(__xludf.DUMMYFUNCTION("IFERROR(AVERAGE(FILTER(Inventory!G:G,Inventory!J:J=""Closed"",Inventory!A:A=A349)),""0"")"),1.4899999999999995)</f>
        <v>1.49</v>
      </c>
      <c r="F349" s="235">
        <f>IFERROR(__xludf.DUMMYFUNCTION("IFERROR(SUM(FILTER(Inventory!G:G,Inventory!J:J=""Closed"",Inventory!A:A=A349)),""0"")"),4.469999999999999)</f>
        <v>4.47</v>
      </c>
      <c r="G349" s="235">
        <f>IFERROR(__xludf.DUMMYFUNCTION("IFERROR(AVERAGE(FILTER(Inventory!K:K,Inventory!J:J=""Closed"",Inventory!A:A=A349)),"""")"),15.333333333333334)</f>
        <v>15.33333333</v>
      </c>
      <c r="H349" s="23" t="b">
        <v>0</v>
      </c>
      <c r="I349" s="236"/>
      <c r="J349" s="236">
        <f>MAXIFS(Inventory!D:D, Inventory!A:A, A:A)</f>
        <v>44670</v>
      </c>
      <c r="L349" s="23">
        <f>COUNTIFS(Inventory!A:A,A349,Inventory!J:J,"Open")</f>
        <v>0</v>
      </c>
    </row>
    <row r="350">
      <c r="A350" s="237" t="s">
        <v>1817</v>
      </c>
      <c r="B350" s="23" t="str">
        <f>Publishers!A234</f>
        <v>Sold Out</v>
      </c>
      <c r="C350" s="78">
        <f>COUNTIF(Inventory!A:A, A350)</f>
        <v>2</v>
      </c>
      <c r="D350" s="89">
        <f>IFERROR(__xludf.DUMMYFUNCTION("IFERROR(AVERAGE(FILTER(Inventory!H:H,Inventory!J:J=""Closed"",Inventory!A:A=A350)),"""")"),0.16646803153249345)</f>
        <v>0.1664680315</v>
      </c>
      <c r="E350" s="234">
        <f>IFERROR(__xludf.DUMMYFUNCTION("IFERROR(AVERAGE(FILTER(Inventory!G:G,Inventory!J:J=""Closed"",Inventory!A:A=A350)),""0"")"),2.5200000000000005)</f>
        <v>2.52</v>
      </c>
      <c r="F350" s="235">
        <f>IFERROR(__xludf.DUMMYFUNCTION("IFERROR(SUM(FILTER(Inventory!G:G,Inventory!J:J=""Closed"",Inventory!A:A=A350)),""0"")"),5.040000000000001)</f>
        <v>5.04</v>
      </c>
      <c r="G350" s="235">
        <f>IFERROR(__xludf.DUMMYFUNCTION("IFERROR(AVERAGE(FILTER(Inventory!K:K,Inventory!J:J=""Closed"",Inventory!A:A=A350)),"""")"),117.0)</f>
        <v>117</v>
      </c>
      <c r="H350" s="23" t="b">
        <v>0</v>
      </c>
      <c r="I350" s="236"/>
      <c r="J350" s="236">
        <f>MAXIFS(Inventory!D:D, Inventory!A:A, A:A)</f>
        <v>44857</v>
      </c>
      <c r="L350" s="23">
        <f>COUNTIFS(Inventory!A:A,A350,Inventory!J:J,"Open")</f>
        <v>0</v>
      </c>
    </row>
    <row r="351">
      <c r="A351" s="237" t="s">
        <v>1353</v>
      </c>
      <c r="B351" s="23" t="str">
        <f>Publishers!A176</f>
        <v>NIS America</v>
      </c>
      <c r="C351" s="78">
        <f>COUNTIF(Inventory!A:A, A351)</f>
        <v>2</v>
      </c>
      <c r="D351" s="89">
        <f>IFERROR(__xludf.DUMMYFUNCTION("IFERROR(AVERAGE(FILTER(Inventory!H:H,Inventory!J:J=""Closed"",Inventory!A:A=A351)),"""")"),0.2174268820610285)</f>
        <v>0.2174268821</v>
      </c>
      <c r="E351" s="234">
        <f>IFERROR(__xludf.DUMMYFUNCTION("IFERROR(AVERAGE(FILTER(Inventory!G:G,Inventory!J:J=""Closed"",Inventory!A:A=A351)),""0"")"),2.5950000000000006)</f>
        <v>2.595</v>
      </c>
      <c r="F351" s="235">
        <f>IFERROR(__xludf.DUMMYFUNCTION("IFERROR(SUM(FILTER(Inventory!G:G,Inventory!J:J=""Closed"",Inventory!A:A=A351)),""0"")"),5.190000000000001)</f>
        <v>5.19</v>
      </c>
      <c r="G351" s="235">
        <f>IFERROR(__xludf.DUMMYFUNCTION("IFERROR(AVERAGE(FILTER(Inventory!K:K,Inventory!J:J=""Closed"",Inventory!A:A=A351)),"""")"),105.5)</f>
        <v>105.5</v>
      </c>
      <c r="H351" s="23" t="b">
        <v>0</v>
      </c>
      <c r="I351" s="236"/>
      <c r="J351" s="236">
        <f>MAXIFS(Inventory!D:D, Inventory!A:A, A:A)</f>
        <v>44699</v>
      </c>
      <c r="L351" s="23">
        <f>COUNTIFS(Inventory!A:A,A351,Inventory!J:J,"Open")</f>
        <v>0</v>
      </c>
    </row>
    <row r="352">
      <c r="A352" s="233" t="s">
        <v>3857</v>
      </c>
      <c r="B352" s="23" t="str">
        <f>Publishers!A253</f>
        <v>Team17 Digital</v>
      </c>
      <c r="C352" s="78">
        <f>COUNTIF(Inventory!A:A, A352)</f>
        <v>1</v>
      </c>
      <c r="D352" s="89">
        <f>IFERROR(__xludf.DUMMYFUNCTION("IFERROR(AVERAGE(FILTER(Inventory!H:H,Inventory!J:J=""Closed"",Inventory!A:A=A352)),"""")"),0.23151125401929254)</f>
        <v>0.231511254</v>
      </c>
      <c r="E352" s="234">
        <f>IFERROR(__xludf.DUMMYFUNCTION("IFERROR(AVERAGE(FILTER(Inventory!G:G,Inventory!J:J=""Closed"",Inventory!A:A=A352)),""0"")"),0.7199999999999998)</f>
        <v>0.72</v>
      </c>
      <c r="F352" s="235">
        <f>IFERROR(__xludf.DUMMYFUNCTION("IFERROR(SUM(FILTER(Inventory!G:G,Inventory!J:J=""Closed"",Inventory!A:A=A352)),""0"")"),0.7199999999999998)</f>
        <v>0.72</v>
      </c>
      <c r="G352" s="235">
        <f>IFERROR(__xludf.DUMMYFUNCTION("IFERROR(AVERAGE(FILTER(Inventory!K:K,Inventory!J:J=""Closed"",Inventory!A:A=A352)),"""")"),4.0)</f>
        <v>4</v>
      </c>
      <c r="H352" s="23" t="b">
        <v>0</v>
      </c>
      <c r="I352" s="236"/>
      <c r="J352" s="236">
        <f>MAXIFS(Inventory!D:D, Inventory!A:A, A:A)</f>
        <v>45032</v>
      </c>
      <c r="L352" s="23">
        <f>COUNTIFS(Inventory!A:A,A352,Inventory!J:J,"Open")</f>
        <v>0</v>
      </c>
    </row>
    <row r="353">
      <c r="A353" s="237" t="s">
        <v>1242</v>
      </c>
      <c r="B353" s="23" t="str">
        <f>Publishers!A278</f>
        <v>Warhorse Studios</v>
      </c>
      <c r="C353" s="78">
        <f>COUNTIF(Inventory!A:A, A353)</f>
        <v>1</v>
      </c>
      <c r="D353" s="89">
        <f>IFERROR(__xludf.DUMMYFUNCTION("IFERROR(AVERAGE(FILTER(Inventory!H:H,Inventory!J:J=""Closed"",Inventory!A:A=A353)),"""")"),0.36253041362530414)</f>
        <v>0.3625304136</v>
      </c>
      <c r="E353" s="234">
        <f>IFERROR(__xludf.DUMMYFUNCTION("IFERROR(AVERAGE(FILTER(Inventory!G:G,Inventory!J:J=""Closed"",Inventory!A:A=A353)),""0"")"),1.4900000000000002)</f>
        <v>1.49</v>
      </c>
      <c r="F353" s="235">
        <f>IFERROR(__xludf.DUMMYFUNCTION("IFERROR(SUM(FILTER(Inventory!G:G,Inventory!J:J=""Closed"",Inventory!A:A=A353)),""0"")"),1.4900000000000002)</f>
        <v>1.49</v>
      </c>
      <c r="G353" s="235">
        <f>IFERROR(__xludf.DUMMYFUNCTION("IFERROR(AVERAGE(FILTER(Inventory!K:K,Inventory!J:J=""Closed"",Inventory!A:A=A353)),"""")"),1.0)</f>
        <v>1</v>
      </c>
      <c r="H353" s="23" t="b">
        <v>0</v>
      </c>
      <c r="I353" s="236"/>
      <c r="J353" s="236">
        <f>MAXIFS(Inventory!D:D, Inventory!A:A, A:A)</f>
        <v>44377</v>
      </c>
      <c r="L353" s="23">
        <f>COUNTIFS(Inventory!A:A,A353,Inventory!J:J,"Open")</f>
        <v>0</v>
      </c>
    </row>
    <row r="354">
      <c r="A354" s="237" t="s">
        <v>1246</v>
      </c>
      <c r="B354" s="23" t="str">
        <f>Publishers!A278</f>
        <v>Warhorse Studios</v>
      </c>
      <c r="C354" s="78">
        <f>COUNTIF(Inventory!A:A, A354)</f>
        <v>1</v>
      </c>
      <c r="D354" s="89">
        <f>IFERROR(__xludf.DUMMYFUNCTION("IFERROR(AVERAGE(FILTER(Inventory!H:H,Inventory!J:J=""Closed"",Inventory!A:A=A354)),"""")"),1.0)</f>
        <v>1</v>
      </c>
      <c r="E354" s="234">
        <f>IFERROR(__xludf.DUMMYFUNCTION("IFERROR(AVERAGE(FILTER(Inventory!G:G,Inventory!J:J=""Closed"",Inventory!A:A=A354)),""0"")"),0.46)</f>
        <v>0.46</v>
      </c>
      <c r="F354" s="235">
        <f>IFERROR(__xludf.DUMMYFUNCTION("IFERROR(SUM(FILTER(Inventory!G:G,Inventory!J:J=""Closed"",Inventory!A:A=A354)),""0"")"),0.46)</f>
        <v>0.46</v>
      </c>
      <c r="G354" s="235">
        <f>IFERROR(__xludf.DUMMYFUNCTION("IFERROR(AVERAGE(FILTER(Inventory!K:K,Inventory!J:J=""Closed"",Inventory!A:A=A354)),"""")"),0.0)</f>
        <v>0</v>
      </c>
      <c r="H354" s="23" t="b">
        <v>0</v>
      </c>
      <c r="I354" s="236"/>
      <c r="J354" s="236">
        <f>MAXIFS(Inventory!D:D, Inventory!A:A, A:A)</f>
        <v>44376</v>
      </c>
      <c r="L354" s="23">
        <f>COUNTIFS(Inventory!A:A,A354,Inventory!J:J,"Open")</f>
        <v>0</v>
      </c>
    </row>
    <row r="355">
      <c r="A355" s="237" t="s">
        <v>1244</v>
      </c>
      <c r="B355" s="23" t="str">
        <f>Publishers!A278</f>
        <v>Warhorse Studios</v>
      </c>
      <c r="C355" s="78">
        <f>COUNTIF(Inventory!A:A, A355)</f>
        <v>1</v>
      </c>
      <c r="D355" s="89">
        <f>IFERROR(__xludf.DUMMYFUNCTION("IFERROR(AVERAGE(FILTER(Inventory!H:H,Inventory!J:J=""Closed"",Inventory!A:A=A355)),"""")"),1.0)</f>
        <v>1</v>
      </c>
      <c r="E355" s="234">
        <f>IFERROR(__xludf.DUMMYFUNCTION("IFERROR(AVERAGE(FILTER(Inventory!G:G,Inventory!J:J=""Closed"",Inventory!A:A=A355)),""0"")"),0.46)</f>
        <v>0.46</v>
      </c>
      <c r="F355" s="235">
        <f>IFERROR(__xludf.DUMMYFUNCTION("IFERROR(SUM(FILTER(Inventory!G:G,Inventory!J:J=""Closed"",Inventory!A:A=A355)),""0"")"),0.46)</f>
        <v>0.46</v>
      </c>
      <c r="G355" s="235">
        <f>IFERROR(__xludf.DUMMYFUNCTION("IFERROR(AVERAGE(FILTER(Inventory!K:K,Inventory!J:J=""Closed"",Inventory!A:A=A355)),"""")"),0.0)</f>
        <v>0</v>
      </c>
      <c r="H355" s="23" t="b">
        <v>0</v>
      </c>
      <c r="I355" s="236"/>
      <c r="J355" s="236">
        <f>MAXIFS(Inventory!D:D, Inventory!A:A, A:A)</f>
        <v>44376</v>
      </c>
      <c r="L355" s="23">
        <f>COUNTIFS(Inventory!A:A,A355,Inventory!J:J,"Open")</f>
        <v>0</v>
      </c>
    </row>
    <row r="356">
      <c r="A356" s="237" t="s">
        <v>1770</v>
      </c>
      <c r="B356" s="23" t="str">
        <f>Publishers!A278</f>
        <v>Warhorse Studios</v>
      </c>
      <c r="C356" s="78">
        <f>COUNTIF(Inventory!A:A, A356)</f>
        <v>13</v>
      </c>
      <c r="D356" s="89">
        <f>IFERROR(__xludf.DUMMYFUNCTION("IFERROR(AVERAGE(FILTER(Inventory!H:H,Inventory!J:J=""Closed"",Inventory!A:A=A356)),"""")"),0.16301900731969116)</f>
        <v>0.1630190073</v>
      </c>
      <c r="E356" s="234">
        <f>IFERROR(__xludf.DUMMYFUNCTION("IFERROR(AVERAGE(FILTER(Inventory!G:G,Inventory!J:J=""Closed"",Inventory!A:A=A356)),""0"")"),1.5592307692307683)</f>
        <v>1.559230769</v>
      </c>
      <c r="F356" s="235">
        <f>IFERROR(__xludf.DUMMYFUNCTION("IFERROR(SUM(FILTER(Inventory!G:G,Inventory!J:J=""Closed"",Inventory!A:A=A356)),""0"")"),20.26999999999999)</f>
        <v>20.27</v>
      </c>
      <c r="G356" s="235">
        <f>IFERROR(__xludf.DUMMYFUNCTION("IFERROR(AVERAGE(FILTER(Inventory!K:K,Inventory!J:J=""Closed"",Inventory!A:A=A356)),"""")"),45.0)</f>
        <v>45</v>
      </c>
      <c r="H356" s="78" t="b">
        <v>1</v>
      </c>
      <c r="I356" s="236"/>
      <c r="J356" s="236">
        <f>MAXIFS(Inventory!D:D, Inventory!A:A, A:A)</f>
        <v>45473</v>
      </c>
      <c r="L356" s="23">
        <f>COUNTIFS(Inventory!A:A,A356,Inventory!J:J,"Open")</f>
        <v>0</v>
      </c>
    </row>
    <row r="357">
      <c r="A357" s="233" t="s">
        <v>4628</v>
      </c>
      <c r="B357" s="23" t="str">
        <f>Publishers!A131</f>
        <v>Ironhide Game Studio</v>
      </c>
      <c r="C357" s="78">
        <f>COUNTIF(Inventory!A:A, A357)</f>
        <v>2</v>
      </c>
      <c r="D357" s="89">
        <f>IFERROR(__xludf.DUMMYFUNCTION("IFERROR(AVERAGE(FILTER(Inventory!H:H,Inventory!J:J=""Closed"",Inventory!A:A=A357)),"""")"),0.5927835051546392)</f>
        <v>0.5927835052</v>
      </c>
      <c r="E357" s="234">
        <f>IFERROR(__xludf.DUMMYFUNCTION("IFERROR(AVERAGE(FILTER(Inventory!G:G,Inventory!J:J=""Closed"",Inventory!A:A=A357)),""0"")"),1.705)</f>
        <v>1.705</v>
      </c>
      <c r="F357" s="235">
        <f>IFERROR(__xludf.DUMMYFUNCTION("IFERROR(SUM(FILTER(Inventory!G:G,Inventory!J:J=""Closed"",Inventory!A:A=A357)),""0"")"),3.41)</f>
        <v>3.41</v>
      </c>
      <c r="G357" s="235">
        <f>IFERROR(__xludf.DUMMYFUNCTION("IFERROR(AVERAGE(FILTER(Inventory!K:K,Inventory!J:J=""Closed"",Inventory!A:A=A357)),"""")"),11.5)</f>
        <v>11.5</v>
      </c>
      <c r="H357" s="78" t="b">
        <v>0</v>
      </c>
      <c r="I357" s="78"/>
      <c r="J357" s="236">
        <f>MAXIFS(Inventory!D:D, Inventory!A:A, A:A)</f>
        <v>45156</v>
      </c>
      <c r="L357" s="23">
        <f>COUNTIFS(Inventory!A:A,A357,Inventory!J:J,"Open")</f>
        <v>0</v>
      </c>
    </row>
    <row r="358">
      <c r="A358" s="237" t="s">
        <v>2016</v>
      </c>
      <c r="B358" s="23" t="str">
        <f>Publishers!A131</f>
        <v>Ironhide Game Studio</v>
      </c>
      <c r="C358" s="78">
        <f>COUNTIF(Inventory!A:A, A358)</f>
        <v>28</v>
      </c>
      <c r="D358" s="89">
        <f>IFERROR(__xludf.DUMMYFUNCTION("IFERROR(AVERAGE(FILTER(Inventory!H:H,Inventory!J:J=""Closed"",Inventory!A:A=A358)),"""")"),0.2634426291162818)</f>
        <v>0.2634426291</v>
      </c>
      <c r="E358" s="234">
        <f>IFERROR(__xludf.DUMMYFUNCTION("IFERROR(AVERAGE(FILTER(Inventory!G:G,Inventory!J:J=""Closed"",Inventory!A:A=A358)),""0"")"),1.2675)</f>
        <v>1.2675</v>
      </c>
      <c r="F358" s="235">
        <f>IFERROR(__xludf.DUMMYFUNCTION("IFERROR(SUM(FILTER(Inventory!G:G,Inventory!J:J=""Closed"",Inventory!A:A=A358)),""0"")"),35.49)</f>
        <v>35.49</v>
      </c>
      <c r="G358" s="235">
        <f>IFERROR(__xludf.DUMMYFUNCTION("IFERROR(AVERAGE(FILTER(Inventory!K:K,Inventory!J:J=""Closed"",Inventory!A:A=A358)),"""")"),9.714285714285714)</f>
        <v>9.714285714</v>
      </c>
      <c r="H358" s="78" t="b">
        <v>1</v>
      </c>
      <c r="I358" s="78">
        <v>6.99</v>
      </c>
      <c r="J358" s="236">
        <f>MAXIFS(Inventory!D:D, Inventory!A:A, A:A)</f>
        <v>45633</v>
      </c>
      <c r="L358" s="23">
        <f>COUNTIFS(Inventory!A:A,A358,Inventory!J:J,"Open")</f>
        <v>0</v>
      </c>
    </row>
    <row r="359">
      <c r="A359" s="233" t="s">
        <v>2749</v>
      </c>
      <c r="B359" s="23" t="str">
        <f>Publishers!A131</f>
        <v>Ironhide Game Studio</v>
      </c>
      <c r="C359" s="78">
        <f>COUNTIF(Inventory!A:A, A359)</f>
        <v>2</v>
      </c>
      <c r="D359" s="89">
        <f>IFERROR(__xludf.DUMMYFUNCTION("IFERROR(AVERAGE(FILTER(Inventory!H:H,Inventory!J:J=""Closed"",Inventory!A:A=A359)),"""")"),0.13176792587192948)</f>
        <v>0.1317679259</v>
      </c>
      <c r="E359" s="234">
        <f>IFERROR(__xludf.DUMMYFUNCTION("IFERROR(AVERAGE(FILTER(Inventory!G:G,Inventory!J:J=""Closed"",Inventory!A:A=A359)),""0"")"),1.8500000000000005)</f>
        <v>1.85</v>
      </c>
      <c r="F359" s="235">
        <f>IFERROR(__xludf.DUMMYFUNCTION("IFERROR(SUM(FILTER(Inventory!G:G,Inventory!J:J=""Closed"",Inventory!A:A=A359)),""0"")"),3.700000000000001)</f>
        <v>3.7</v>
      </c>
      <c r="G359" s="235">
        <f>IFERROR(__xludf.DUMMYFUNCTION("IFERROR(AVERAGE(FILTER(Inventory!K:K,Inventory!J:J=""Closed"",Inventory!A:A=A359)),"""")"),330.0)</f>
        <v>330</v>
      </c>
      <c r="H359" s="78" t="b">
        <v>0</v>
      </c>
      <c r="I359" s="236"/>
      <c r="J359" s="236">
        <f>MAXIFS(Inventory!D:D, Inventory!A:A, A:A)</f>
        <v>45347</v>
      </c>
      <c r="L359" s="23">
        <f>COUNTIFS(Inventory!A:A,A359,Inventory!J:J,"Open")</f>
        <v>0</v>
      </c>
    </row>
    <row r="360">
      <c r="A360" s="237" t="s">
        <v>347</v>
      </c>
      <c r="B360" s="23" t="str">
        <f>Publishers!A40</f>
        <v>Blueside</v>
      </c>
      <c r="C360" s="78">
        <f>COUNTIF(Inventory!A:A, A360)</f>
        <v>2</v>
      </c>
      <c r="D360" s="89">
        <f>IFERROR(__xludf.DUMMYFUNCTION("IFERROR(AVERAGE(FILTER(Inventory!H:H,Inventory!J:J=""Closed"",Inventory!A:A=A360)),"""")"),0.7390380313199105)</f>
        <v>0.7390380313</v>
      </c>
      <c r="E360" s="234">
        <f>IFERROR(__xludf.DUMMYFUNCTION("IFERROR(AVERAGE(FILTER(Inventory!G:G,Inventory!J:J=""Closed"",Inventory!A:A=A360)),""0"")"),1.2200000000000002)</f>
        <v>1.22</v>
      </c>
      <c r="F360" s="235">
        <f>IFERROR(__xludf.DUMMYFUNCTION("IFERROR(SUM(FILTER(Inventory!G:G,Inventory!J:J=""Closed"",Inventory!A:A=A360)),""0"")"),2.4400000000000004)</f>
        <v>2.44</v>
      </c>
      <c r="G360" s="235">
        <f>IFERROR(__xludf.DUMMYFUNCTION("IFERROR(AVERAGE(FILTER(Inventory!K:K,Inventory!J:J=""Closed"",Inventory!A:A=A360)),"""")"),10.5)</f>
        <v>10.5</v>
      </c>
      <c r="H360" s="23" t="b">
        <v>0</v>
      </c>
      <c r="I360" s="236"/>
      <c r="J360" s="236">
        <f>MAXIFS(Inventory!D:D, Inventory!A:A, A:A)</f>
        <v>44052</v>
      </c>
      <c r="L360" s="23">
        <f>COUNTIFS(Inventory!A:A,A360,Inventory!J:J,"Open")</f>
        <v>0</v>
      </c>
    </row>
    <row r="361">
      <c r="A361" s="237" t="s">
        <v>1431</v>
      </c>
      <c r="B361" s="23" t="str">
        <f>Publishers!A205</f>
        <v>Reverie World Studios</v>
      </c>
      <c r="C361" s="78">
        <f>COUNTIF(Inventory!A:A, A361)</f>
        <v>1</v>
      </c>
      <c r="D361" s="89">
        <f>IFERROR(__xludf.DUMMYFUNCTION("IFERROR(AVERAGE(FILTER(Inventory!H:H,Inventory!J:J=""Closed"",Inventory!A:A=A361)),"""")"),1.0)</f>
        <v>1</v>
      </c>
      <c r="E361" s="234">
        <f>IFERROR(__xludf.DUMMYFUNCTION("IFERROR(AVERAGE(FILTER(Inventory!G:G,Inventory!J:J=""Closed"",Inventory!A:A=A361)),""0"")"),0.41)</f>
        <v>0.41</v>
      </c>
      <c r="F361" s="235">
        <f>IFERROR(__xludf.DUMMYFUNCTION("IFERROR(SUM(FILTER(Inventory!G:G,Inventory!J:J=""Closed"",Inventory!A:A=A361)),""0"")"),0.41)</f>
        <v>0.41</v>
      </c>
      <c r="G361" s="235">
        <f>IFERROR(__xludf.DUMMYFUNCTION("IFERROR(AVERAGE(FILTER(Inventory!K:K,Inventory!J:J=""Closed"",Inventory!A:A=A361)),"""")"),5.0)</f>
        <v>5</v>
      </c>
      <c r="H361" s="23" t="b">
        <v>0</v>
      </c>
      <c r="I361" s="236"/>
      <c r="J361" s="236">
        <f>MAXIFS(Inventory!D:D, Inventory!A:A, A:A)</f>
        <v>44472</v>
      </c>
      <c r="L361" s="23">
        <f>COUNTIFS(Inventory!A:A,A361,Inventory!J:J,"Open")</f>
        <v>0</v>
      </c>
    </row>
    <row r="362">
      <c r="A362" s="233" t="s">
        <v>3782</v>
      </c>
      <c r="B362" s="23" t="str">
        <f>Publishers!A264</f>
        <v>THQ Nordic</v>
      </c>
      <c r="C362" s="78">
        <f>COUNTIF(Inventory!A:A, A362)</f>
        <v>2</v>
      </c>
      <c r="D362" s="89">
        <f>IFERROR(__xludf.DUMMYFUNCTION("IFERROR(AVERAGE(FILTER(Inventory!H:H,Inventory!J:J=""Closed"",Inventory!A:A=A362)),"""")"),0.14525939177101962)</f>
        <v>0.1452593918</v>
      </c>
      <c r="E362" s="234">
        <f>IFERROR(__xludf.DUMMYFUNCTION("IFERROR(AVERAGE(FILTER(Inventory!G:G,Inventory!J:J=""Closed"",Inventory!A:A=A362)),""0"")"),4.059999999999999)</f>
        <v>4.06</v>
      </c>
      <c r="F362" s="235">
        <f>IFERROR(__xludf.DUMMYFUNCTION("IFERROR(SUM(FILTER(Inventory!G:G,Inventory!J:J=""Closed"",Inventory!A:A=A362)),""0"")"),4.059999999999999)</f>
        <v>4.06</v>
      </c>
      <c r="G362" s="235">
        <f>IFERROR(__xludf.DUMMYFUNCTION("IFERROR(AVERAGE(FILTER(Inventory!K:K,Inventory!J:J=""Closed"",Inventory!A:A=A362)),"""")"),0.0)</f>
        <v>0</v>
      </c>
      <c r="H362" s="23" t="b">
        <v>0</v>
      </c>
      <c r="I362" s="236"/>
      <c r="J362" s="236">
        <f>MAXIFS(Inventory!D:D, Inventory!A:A, A:A)</f>
        <v>45018</v>
      </c>
      <c r="L362" s="23">
        <f>COUNTIFS(Inventory!A:A,A362,Inventory!J:J,"Open")</f>
        <v>1</v>
      </c>
    </row>
    <row r="363">
      <c r="A363" s="237" t="s">
        <v>508</v>
      </c>
      <c r="B363" s="23" t="str">
        <f>Publishers!A122</f>
        <v>Ice-Pick Lodge</v>
      </c>
      <c r="C363" s="78">
        <f>COUNTIF(Inventory!A:A, A363)</f>
        <v>3</v>
      </c>
      <c r="D363" s="89">
        <f>IFERROR(__xludf.DUMMYFUNCTION("IFERROR(AVERAGE(FILTER(Inventory!H:H,Inventory!J:J=""Closed"",Inventory!A:A=A363)),"""")"),0.3209935897435898)</f>
        <v>0.3209935897</v>
      </c>
      <c r="E363" s="234">
        <f>IFERROR(__xludf.DUMMYFUNCTION("IFERROR(AVERAGE(FILTER(Inventory!G:G,Inventory!J:J=""Closed"",Inventory!A:A=A363)),""0"")"),0.20000000000000004)</f>
        <v>0.2</v>
      </c>
      <c r="F363" s="235">
        <f>IFERROR(__xludf.DUMMYFUNCTION("IFERROR(SUM(FILTER(Inventory!G:G,Inventory!J:J=""Closed"",Inventory!A:A=A363)),""0"")"),0.6000000000000001)</f>
        <v>0.6</v>
      </c>
      <c r="G363" s="235">
        <f>IFERROR(__xludf.DUMMYFUNCTION("IFERROR(AVERAGE(FILTER(Inventory!K:K,Inventory!J:J=""Closed"",Inventory!A:A=A363)),"""")"),243.66666666666666)</f>
        <v>243.6666667</v>
      </c>
      <c r="H363" s="23" t="b">
        <v>0</v>
      </c>
      <c r="I363" s="236"/>
      <c r="J363" s="236">
        <f>MAXIFS(Inventory!D:D, Inventory!A:A, A:A)</f>
        <v>44453</v>
      </c>
      <c r="L363" s="23">
        <f>COUNTIFS(Inventory!A:A,A363,Inventory!J:J,"Open")</f>
        <v>0</v>
      </c>
    </row>
    <row r="364">
      <c r="A364" s="237" t="s">
        <v>1756</v>
      </c>
      <c r="B364" s="23" t="str">
        <f>Publishers!A5</f>
        <v>1C Entertainment</v>
      </c>
      <c r="C364" s="78">
        <f>COUNTIF(Inventory!A:A, A364)</f>
        <v>1</v>
      </c>
      <c r="D364" s="89">
        <f>IFERROR(__xludf.DUMMYFUNCTION("IFERROR(AVERAGE(FILTER(Inventory!H:H,Inventory!J:J=""Closed"",Inventory!A:A=A364)),"""")"),1.0)</f>
        <v>1</v>
      </c>
      <c r="E364" s="234">
        <f>IFERROR(__xludf.DUMMYFUNCTION("IFERROR(AVERAGE(FILTER(Inventory!G:G,Inventory!J:J=""Closed"",Inventory!A:A=A364)),""0"")"),0.45)</f>
        <v>0.45</v>
      </c>
      <c r="F364" s="235">
        <f>IFERROR(__xludf.DUMMYFUNCTION("IFERROR(SUM(FILTER(Inventory!G:G,Inventory!J:J=""Closed"",Inventory!A:A=A364)),""0"")"),0.45)</f>
        <v>0.45</v>
      </c>
      <c r="G364" s="235">
        <f>IFERROR(__xludf.DUMMYFUNCTION("IFERROR(AVERAGE(FILTER(Inventory!K:K,Inventory!J:J=""Closed"",Inventory!A:A=A364)),"""")"),21.0)</f>
        <v>21</v>
      </c>
      <c r="H364" s="23" t="b">
        <v>0</v>
      </c>
      <c r="I364" s="236"/>
      <c r="J364" s="236">
        <f>MAXIFS(Inventory!D:D, Inventory!A:A, A:A)</f>
        <v>44567</v>
      </c>
      <c r="L364" s="23">
        <f>COUNTIFS(Inventory!A:A,A364,Inventory!J:J,"Open")</f>
        <v>0</v>
      </c>
    </row>
    <row r="365">
      <c r="A365" s="233" t="s">
        <v>4928</v>
      </c>
      <c r="B365" s="23" t="str">
        <f>Publishers!A85</f>
        <v>Eleventh Hour Games</v>
      </c>
      <c r="C365" s="78">
        <f>COUNTIF(Inventory!A:A, A365)</f>
        <v>51</v>
      </c>
      <c r="D365" s="89">
        <f>IFERROR(__xludf.DUMMYFUNCTION("IFERROR(AVERAGE(FILTER(Inventory!H:H,Inventory!J:J=""Closed"",Inventory!A:A=A365)),"""")"),0.1609347904685323)</f>
        <v>0.1609347905</v>
      </c>
      <c r="E365" s="234">
        <f>IFERROR(__xludf.DUMMYFUNCTION("IFERROR(AVERAGE(FILTER(Inventory!G:G,Inventory!J:J=""Closed"",Inventory!A:A=A365)),""0"")"),4.829019607843137)</f>
        <v>4.829019608</v>
      </c>
      <c r="F365" s="235">
        <f>IFERROR(__xludf.DUMMYFUNCTION("IFERROR(SUM(FILTER(Inventory!G:G,Inventory!J:J=""Closed"",Inventory!A:A=A365)),""0"")"),246.28)</f>
        <v>246.28</v>
      </c>
      <c r="G365" s="235">
        <f>IFERROR(__xludf.DUMMYFUNCTION("IFERROR(AVERAGE(FILTER(Inventory!K:K,Inventory!J:J=""Closed"",Inventory!A:A=A365)),"""")"),6.2745098039215685)</f>
        <v>6.274509804</v>
      </c>
      <c r="H365" s="23" t="b">
        <v>0</v>
      </c>
      <c r="I365" s="236"/>
      <c r="J365" s="236">
        <f>MAXIFS(Inventory!D:D, Inventory!A:A, A:A)</f>
        <v>45606</v>
      </c>
      <c r="K365" s="23" t="str">
        <f>IMAGE("https://shared.akamai.steamstatic.com/store_item_assets/steam/apps/899770/header.jpg?t=1726791244")</f>
        <v/>
      </c>
      <c r="L365" s="23">
        <f>COUNTIFS(Inventory!A:A,A365,Inventory!J:J,"Open")</f>
        <v>0</v>
      </c>
    </row>
    <row r="366">
      <c r="A366" s="237" t="s">
        <v>1837</v>
      </c>
      <c r="B366" s="23" t="str">
        <f>Publishers!A268</f>
        <v>Toco Games</v>
      </c>
      <c r="C366" s="78">
        <f>COUNTIF(Inventory!A:A, A366)</f>
        <v>1</v>
      </c>
      <c r="D366" s="89">
        <f>IFERROR(__xludf.DUMMYFUNCTION("IFERROR(AVERAGE(FILTER(Inventory!H:H,Inventory!J:J=""Closed"",Inventory!A:A=A366)),"""")"),1.0)</f>
        <v>1</v>
      </c>
      <c r="E366" s="234">
        <f>IFERROR(__xludf.DUMMYFUNCTION("IFERROR(AVERAGE(FILTER(Inventory!G:G,Inventory!J:J=""Closed"",Inventory!A:A=A366)),""0"")"),0.36)</f>
        <v>0.36</v>
      </c>
      <c r="F366" s="235">
        <f>IFERROR(__xludf.DUMMYFUNCTION("IFERROR(SUM(FILTER(Inventory!G:G,Inventory!J:J=""Closed"",Inventory!A:A=A366)),""0"")"),0.36)</f>
        <v>0.36</v>
      </c>
      <c r="G366" s="235">
        <f>IFERROR(__xludf.DUMMYFUNCTION("IFERROR(AVERAGE(FILTER(Inventory!K:K,Inventory!J:J=""Closed"",Inventory!A:A=A366)),"""")"),249.0)</f>
        <v>249</v>
      </c>
      <c r="H366" s="23" t="b">
        <v>0</v>
      </c>
      <c r="I366" s="236"/>
      <c r="J366" s="236">
        <f>MAXIFS(Inventory!D:D, Inventory!A:A, A:A)</f>
        <v>44814</v>
      </c>
      <c r="L366" s="23">
        <f>COUNTIFS(Inventory!A:A,A366,Inventory!J:J,"Open")</f>
        <v>0</v>
      </c>
    </row>
    <row r="367">
      <c r="A367" s="233" t="s">
        <v>5712</v>
      </c>
      <c r="B367" s="23" t="str">
        <f>Publishers!A264</f>
        <v>THQ Nordic</v>
      </c>
      <c r="C367" s="78">
        <f>COUNTIF(Inventory!A:A, A367)</f>
        <v>1</v>
      </c>
      <c r="D367" s="89">
        <f>IFERROR(__xludf.DUMMYFUNCTION("IFERROR(AVERAGE(FILTER(Inventory!H:H,Inventory!J:J=""Closed"",Inventory!A:A=A367)),"""")"),0.09381158849034302)</f>
        <v>0.09381158849</v>
      </c>
      <c r="E367" s="234">
        <f>IFERROR(__xludf.DUMMYFUNCTION("IFERROR(AVERAGE(FILTER(Inventory!G:G,Inventory!J:J=""Closed"",Inventory!A:A=A367)),""0"")"),2.3800000000000026)</f>
        <v>2.38</v>
      </c>
      <c r="F367" s="235">
        <f>IFERROR(__xludf.DUMMYFUNCTION("IFERROR(SUM(FILTER(Inventory!G:G,Inventory!J:J=""Closed"",Inventory!A:A=A367)),""0"")"),2.3800000000000026)</f>
        <v>2.38</v>
      </c>
      <c r="G367" s="235">
        <f>IFERROR(__xludf.DUMMYFUNCTION("IFERROR(AVERAGE(FILTER(Inventory!K:K,Inventory!J:J=""Closed"",Inventory!A:A=A367)),"""")"),0.0)</f>
        <v>0</v>
      </c>
      <c r="H367" s="23" t="b">
        <v>0</v>
      </c>
      <c r="I367" s="236"/>
      <c r="J367" s="236">
        <f>MAXIFS(Inventory!D:D, Inventory!A:A, A:A)</f>
        <v>45258</v>
      </c>
      <c r="L367" s="23">
        <f>COUNTIFS(Inventory!A:A,A367,Inventory!J:J,"Open")</f>
        <v>0</v>
      </c>
    </row>
    <row r="368">
      <c r="A368" s="233" t="s">
        <v>5080</v>
      </c>
      <c r="B368" s="23" t="str">
        <f>Publishers!A38</f>
        <v>Bloober Team</v>
      </c>
      <c r="C368" s="78">
        <f>COUNTIF(Inventory!A:A, A368)</f>
        <v>1</v>
      </c>
      <c r="D368" s="89">
        <f>IFERROR(__xludf.DUMMYFUNCTION("IFERROR(AVERAGE(FILTER(Inventory!H:H,Inventory!J:J=""Closed"",Inventory!A:A=A368)),"""")"),0.07707910750507092)</f>
        <v>0.07707910751</v>
      </c>
      <c r="E368" s="234">
        <f>IFERROR(__xludf.DUMMYFUNCTION("IFERROR(AVERAGE(FILTER(Inventory!G:G,Inventory!J:J=""Closed"",Inventory!A:A=A368)),""0"")"),1.1399999999999988)</f>
        <v>1.14</v>
      </c>
      <c r="F368" s="235">
        <f>IFERROR(__xludf.DUMMYFUNCTION("IFERROR(SUM(FILTER(Inventory!G:G,Inventory!J:J=""Closed"",Inventory!A:A=A368)),""0"")"),1.1399999999999988)</f>
        <v>1.14</v>
      </c>
      <c r="G368" s="235">
        <f>IFERROR(__xludf.DUMMYFUNCTION("IFERROR(AVERAGE(FILTER(Inventory!K:K,Inventory!J:J=""Closed"",Inventory!A:A=A368)),"""")"),43.0)</f>
        <v>43</v>
      </c>
      <c r="H368" s="23" t="b">
        <v>0</v>
      </c>
      <c r="I368" s="236"/>
      <c r="J368" s="236">
        <f>MAXIFS(Inventory!D:D, Inventory!A:A, A:A)</f>
        <v>45238</v>
      </c>
      <c r="L368" s="23">
        <f>COUNTIFS(Inventory!A:A,A368,Inventory!J:J,"Open")</f>
        <v>0</v>
      </c>
    </row>
    <row r="369">
      <c r="A369" s="237" t="s">
        <v>1412</v>
      </c>
      <c r="B369" s="23" t="str">
        <f>Publishers!A208</f>
        <v>RIVER CROW STUDIO</v>
      </c>
      <c r="C369" s="78">
        <f>COUNTIF(Inventory!A:A, A369)</f>
        <v>3</v>
      </c>
      <c r="D369" s="89">
        <f>IFERROR(__xludf.DUMMYFUNCTION("IFERROR(AVERAGE(FILTER(Inventory!H:H,Inventory!J:J=""Closed"",Inventory!A:A=A369)),"""")"),0.6120009126569983)</f>
        <v>0.6120009127</v>
      </c>
      <c r="E369" s="234">
        <f>IFERROR(__xludf.DUMMYFUNCTION("IFERROR(AVERAGE(FILTER(Inventory!G:G,Inventory!J:J=""Closed"",Inventory!A:A=A369)),""0"")"),1.8333333333333333)</f>
        <v>1.833333333</v>
      </c>
      <c r="F369" s="235">
        <f>IFERROR(__xludf.DUMMYFUNCTION("IFERROR(SUM(FILTER(Inventory!G:G,Inventory!J:J=""Closed"",Inventory!A:A=A369)),""0"")"),5.5)</f>
        <v>5.5</v>
      </c>
      <c r="G369" s="235">
        <f>IFERROR(__xludf.DUMMYFUNCTION("IFERROR(AVERAGE(FILTER(Inventory!K:K,Inventory!J:J=""Closed"",Inventory!A:A=A369)),"""")"),104.33333333333333)</f>
        <v>104.3333333</v>
      </c>
      <c r="H369" s="23" t="b">
        <v>0</v>
      </c>
      <c r="I369" s="236"/>
      <c r="J369" s="236">
        <f>MAXIFS(Inventory!D:D, Inventory!A:A, A:A)</f>
        <v>44712</v>
      </c>
      <c r="L369" s="23">
        <f>COUNTIFS(Inventory!A:A,A369,Inventory!J:J,"Open")</f>
        <v>0</v>
      </c>
    </row>
    <row r="370">
      <c r="A370" s="237" t="s">
        <v>1199</v>
      </c>
      <c r="B370" s="23" t="str">
        <f>Publishers!A208</f>
        <v>RIVER CROW STUDIO</v>
      </c>
      <c r="C370" s="78">
        <f>COUNTIF(Inventory!A:A, A370)</f>
        <v>2</v>
      </c>
      <c r="D370" s="89">
        <f>IFERROR(__xludf.DUMMYFUNCTION("IFERROR(AVERAGE(FILTER(Inventory!H:H,Inventory!J:J=""Closed"",Inventory!A:A=A370)),"""")"),0.8992653699686224)</f>
        <v>0.89926537</v>
      </c>
      <c r="E370" s="234">
        <f>IFERROR(__xludf.DUMMYFUNCTION("IFERROR(AVERAGE(FILTER(Inventory!G:G,Inventory!J:J=""Closed"",Inventory!A:A=A370)),""0"")"),3.1800000000000006)</f>
        <v>3.18</v>
      </c>
      <c r="F370" s="235">
        <f>IFERROR(__xludf.DUMMYFUNCTION("IFERROR(SUM(FILTER(Inventory!G:G,Inventory!J:J=""Closed"",Inventory!A:A=A370)),""0"")"),6.360000000000001)</f>
        <v>6.36</v>
      </c>
      <c r="G370" s="235">
        <f>IFERROR(__xludf.DUMMYFUNCTION("IFERROR(AVERAGE(FILTER(Inventory!K:K,Inventory!J:J=""Closed"",Inventory!A:A=A370)),"""")"),44.5)</f>
        <v>44.5</v>
      </c>
      <c r="H370" s="23" t="b">
        <v>0</v>
      </c>
      <c r="I370" s="236"/>
      <c r="J370" s="236">
        <f>MAXIFS(Inventory!D:D, Inventory!A:A, A:A)</f>
        <v>44432</v>
      </c>
      <c r="L370" s="23">
        <f>COUNTIFS(Inventory!A:A,A370,Inventory!J:J,"Open")</f>
        <v>0</v>
      </c>
    </row>
    <row r="371">
      <c r="A371" s="233" t="s">
        <v>5994</v>
      </c>
      <c r="B371" s="23" t="str">
        <f>Publishers!A282</f>
        <v>Warner Bros</v>
      </c>
      <c r="C371" s="78">
        <f>COUNTIF(Inventory!A:A, A371)</f>
        <v>1</v>
      </c>
      <c r="D371" s="89">
        <f>IFERROR(__xludf.DUMMYFUNCTION("IFERROR(AVERAGE(FILTER(Inventory!H:H,Inventory!J:J=""Closed"",Inventory!A:A=A371)),"""")"),1.0)</f>
        <v>1</v>
      </c>
      <c r="E371" s="234">
        <f>IFERROR(__xludf.DUMMYFUNCTION("IFERROR(AVERAGE(FILTER(Inventory!G:G,Inventory!J:J=""Closed"",Inventory!A:A=A371)),""0"")"),1.28)</f>
        <v>1.28</v>
      </c>
      <c r="F371" s="235">
        <f>IFERROR(__xludf.DUMMYFUNCTION("IFERROR(SUM(FILTER(Inventory!G:G,Inventory!J:J=""Closed"",Inventory!A:A=A371)),""0"")"),1.28)</f>
        <v>1.28</v>
      </c>
      <c r="G371" s="235">
        <f>IFERROR(__xludf.DUMMYFUNCTION("IFERROR(AVERAGE(FILTER(Inventory!K:K,Inventory!J:J=""Closed"",Inventory!A:A=A371)),"""")"),0.0)</f>
        <v>0</v>
      </c>
      <c r="H371" s="23" t="b">
        <v>0</v>
      </c>
      <c r="I371" s="236"/>
      <c r="J371" s="236">
        <f>MAXIFS(Inventory!D:D, Inventory!A:A, A:A)</f>
        <v>45338</v>
      </c>
      <c r="L371" s="23">
        <f>COUNTIFS(Inventory!A:A,A371,Inventory!J:J,"Open")</f>
        <v>0</v>
      </c>
    </row>
    <row r="372">
      <c r="A372" s="237" t="s">
        <v>1800</v>
      </c>
      <c r="B372" s="23" t="str">
        <f>Publishers!A282</f>
        <v>Warner Bros</v>
      </c>
      <c r="C372" s="78">
        <f>COUNTIF(Inventory!A:A, A372)</f>
        <v>2</v>
      </c>
      <c r="D372" s="89">
        <f>IFERROR(__xludf.DUMMYFUNCTION("IFERROR(AVERAGE(FILTER(Inventory!H:H,Inventory!J:J=""Closed"",Inventory!A:A=A372)),"""")"),0.24202127659574463)</f>
        <v>0.2420212766</v>
      </c>
      <c r="E372" s="234">
        <f>IFERROR(__xludf.DUMMYFUNCTION("IFERROR(AVERAGE(FILTER(Inventory!G:G,Inventory!J:J=""Closed"",Inventory!A:A=A372)),""0"")"),0.9099999999999997)</f>
        <v>0.91</v>
      </c>
      <c r="F372" s="235">
        <f>IFERROR(__xludf.DUMMYFUNCTION("IFERROR(SUM(FILTER(Inventory!G:G,Inventory!J:J=""Closed"",Inventory!A:A=A372)),""0"")"),1.8199999999999994)</f>
        <v>1.82</v>
      </c>
      <c r="G372" s="235">
        <f>IFERROR(__xludf.DUMMYFUNCTION("IFERROR(AVERAGE(FILTER(Inventory!K:K,Inventory!J:J=""Closed"",Inventory!A:A=A372)),"""")"),1.0)</f>
        <v>1</v>
      </c>
      <c r="H372" s="23" t="b">
        <v>0</v>
      </c>
      <c r="I372" s="236"/>
      <c r="J372" s="236">
        <f>MAXIFS(Inventory!D:D, Inventory!A:A, A:A)</f>
        <v>44558</v>
      </c>
      <c r="L372" s="23">
        <f>COUNTIFS(Inventory!A:A,A372,Inventory!J:J,"Open")</f>
        <v>0</v>
      </c>
    </row>
    <row r="373">
      <c r="A373" s="237" t="s">
        <v>73</v>
      </c>
      <c r="B373" s="23" t="str">
        <f>Publishers!A282</f>
        <v>Warner Bros</v>
      </c>
      <c r="C373" s="78">
        <f>COUNTIF(Inventory!A:A, A373)</f>
        <v>1</v>
      </c>
      <c r="D373" s="89">
        <f>IFERROR(__xludf.DUMMYFUNCTION("IFERROR(AVERAGE(FILTER(Inventory!H:H,Inventory!J:J=""Closed"",Inventory!A:A=A373)),"""")"),0.14148681055155873)</f>
        <v>0.1414868106</v>
      </c>
      <c r="E373" s="234">
        <f>IFERROR(__xludf.DUMMYFUNCTION("IFERROR(AVERAGE(FILTER(Inventory!G:G,Inventory!J:J=""Closed"",Inventory!A:A=A373)),""0"")"),1.1799999999999997)</f>
        <v>1.18</v>
      </c>
      <c r="F373" s="235">
        <f>IFERROR(__xludf.DUMMYFUNCTION("IFERROR(SUM(FILTER(Inventory!G:G,Inventory!J:J=""Closed"",Inventory!A:A=A373)),""0"")"),1.1799999999999997)</f>
        <v>1.18</v>
      </c>
      <c r="G373" s="235">
        <f>IFERROR(__xludf.DUMMYFUNCTION("IFERROR(AVERAGE(FILTER(Inventory!K:K,Inventory!J:J=""Closed"",Inventory!A:A=A373)),"""")"),3.0)</f>
        <v>3</v>
      </c>
      <c r="H373" s="23" t="b">
        <v>0</v>
      </c>
      <c r="I373" s="236"/>
      <c r="J373" s="236">
        <f>MAXIFS(Inventory!D:D, Inventory!A:A, A:A)</f>
        <v>43952</v>
      </c>
      <c r="L373" s="23">
        <f>COUNTIFS(Inventory!A:A,A373,Inventory!J:J,"Open")</f>
        <v>0</v>
      </c>
    </row>
    <row r="374">
      <c r="A374" s="233" t="s">
        <v>3035</v>
      </c>
      <c r="B374" s="23" t="str">
        <f>Publishers!A282</f>
        <v>Warner Bros</v>
      </c>
      <c r="C374" s="78">
        <f>COUNTIF(Inventory!A:A, A374)</f>
        <v>1</v>
      </c>
      <c r="D374" s="89">
        <f>IFERROR(__xludf.DUMMYFUNCTION("IFERROR(AVERAGE(FILTER(Inventory!H:H,Inventory!J:J=""Closed"",Inventory!A:A=A374)),"""")"),0.14571621317742292)</f>
        <v>0.1457162132</v>
      </c>
      <c r="E374" s="234">
        <f>IFERROR(__xludf.DUMMYFUNCTION("IFERROR(AVERAGE(FILTER(Inventory!G:G,Inventory!J:J=""Closed"",Inventory!A:A=A374)),""0"")"),6.479999999999997)</f>
        <v>6.48</v>
      </c>
      <c r="F374" s="235">
        <f>IFERROR(__xludf.DUMMYFUNCTION("IFERROR(SUM(FILTER(Inventory!G:G,Inventory!J:J=""Closed"",Inventory!A:A=A374)),""0"")"),6.479999999999997)</f>
        <v>6.48</v>
      </c>
      <c r="G374" s="235">
        <f>IFERROR(__xludf.DUMMYFUNCTION("IFERROR(AVERAGE(FILTER(Inventory!K:K,Inventory!J:J=""Closed"",Inventory!A:A=A374)),"""")"),33.0)</f>
        <v>33</v>
      </c>
      <c r="H374" s="23" t="b">
        <v>0</v>
      </c>
      <c r="I374" s="236"/>
      <c r="J374" s="236">
        <f>MAXIFS(Inventory!D:D, Inventory!A:A, A:A)</f>
        <v>44848</v>
      </c>
      <c r="L374" s="23">
        <f>COUNTIFS(Inventory!A:A,A374,Inventory!J:J,"Open")</f>
        <v>0</v>
      </c>
    </row>
    <row r="375">
      <c r="A375" s="233" t="s">
        <v>5485</v>
      </c>
      <c r="B375" s="23" t="str">
        <f>Publishers!A282</f>
        <v>Warner Bros</v>
      </c>
      <c r="C375" s="78">
        <f>COUNTIF(Inventory!A:A, A375)</f>
        <v>5</v>
      </c>
      <c r="D375" s="89">
        <f>IFERROR(__xludf.DUMMYFUNCTION("IFERROR(AVERAGE(FILTER(Inventory!H:H,Inventory!J:J=""Closed"",Inventory!A:A=A375)),"""")"),0.37239132489132487)</f>
        <v>0.3723913249</v>
      </c>
      <c r="E375" s="234">
        <f>IFERROR(__xludf.DUMMYFUNCTION("IFERROR(AVERAGE(FILTER(Inventory!G:G,Inventory!J:J=""Closed"",Inventory!A:A=A375)),""0"")"),2.4219999999999997)</f>
        <v>2.422</v>
      </c>
      <c r="F375" s="235">
        <f>IFERROR(__xludf.DUMMYFUNCTION("IFERROR(SUM(FILTER(Inventory!G:G,Inventory!J:J=""Closed"",Inventory!A:A=A375)),""0"")"),12.11)</f>
        <v>12.11</v>
      </c>
      <c r="G375" s="235">
        <f>IFERROR(__xludf.DUMMYFUNCTION("IFERROR(AVERAGE(FILTER(Inventory!K:K,Inventory!J:J=""Closed"",Inventory!A:A=A375)),"""")"),12.4)</f>
        <v>12.4</v>
      </c>
      <c r="H375" s="23" t="b">
        <v>0</v>
      </c>
      <c r="I375" s="78">
        <v>6.72</v>
      </c>
      <c r="J375" s="236">
        <f>MAXIFS(Inventory!D:D, Inventory!A:A, A:A)</f>
        <v>45269</v>
      </c>
      <c r="L375" s="23">
        <f>COUNTIFS(Inventory!A:A,A375,Inventory!J:J,"Open")</f>
        <v>0</v>
      </c>
    </row>
    <row r="376">
      <c r="A376" s="237" t="s">
        <v>911</v>
      </c>
      <c r="B376" s="23" t="str">
        <f>Publishers!A24</f>
        <v>Assemble Entertainment</v>
      </c>
      <c r="C376" s="78">
        <f>COUNTIF(Inventory!A:A, A376)</f>
        <v>5</v>
      </c>
      <c r="D376" s="89">
        <f>IFERROR(__xludf.DUMMYFUNCTION("IFERROR(AVERAGE(FILTER(Inventory!H:H,Inventory!J:J=""Closed"",Inventory!A:A=A376)),"""")"),0.30281427753027745)</f>
        <v>0.3028142775</v>
      </c>
      <c r="E376" s="234">
        <f>IFERROR(__xludf.DUMMYFUNCTION("IFERROR(AVERAGE(FILTER(Inventory!G:G,Inventory!J:J=""Closed"",Inventory!A:A=A376)),""0"")"),1.214)</f>
        <v>1.214</v>
      </c>
      <c r="F376" s="235">
        <f>IFERROR(__xludf.DUMMYFUNCTION("IFERROR(SUM(FILTER(Inventory!G:G,Inventory!J:J=""Closed"",Inventory!A:A=A376)),""0"")"),6.069999999999999)</f>
        <v>6.07</v>
      </c>
      <c r="G376" s="235">
        <f>IFERROR(__xludf.DUMMYFUNCTION("IFERROR(AVERAGE(FILTER(Inventory!K:K,Inventory!J:J=""Closed"",Inventory!A:A=A376)),"""")"),99.4)</f>
        <v>99.4</v>
      </c>
      <c r="H376" s="23" t="b">
        <v>0</v>
      </c>
      <c r="I376" s="236"/>
      <c r="J376" s="236">
        <f>MAXIFS(Inventory!D:D, Inventory!A:A, A:A)</f>
        <v>44791</v>
      </c>
      <c r="L376" s="23">
        <f>COUNTIFS(Inventory!A:A,A376,Inventory!J:J,"Open")</f>
        <v>0</v>
      </c>
    </row>
    <row r="377">
      <c r="A377" s="237" t="s">
        <v>1319</v>
      </c>
      <c r="B377" s="23" t="str">
        <f>Publishers!A24</f>
        <v>Assemble Entertainment</v>
      </c>
      <c r="C377" s="78">
        <f>COUNTIF(Inventory!A:A, A377)</f>
        <v>11</v>
      </c>
      <c r="D377" s="89">
        <f>IFERROR(__xludf.DUMMYFUNCTION("IFERROR(AVERAGE(FILTER(Inventory!H:H,Inventory!J:J=""Closed"",Inventory!A:A=A377)),"""")"),0.005060109615797392)</f>
        <v>0.005060109616</v>
      </c>
      <c r="E377" s="234">
        <f>IFERROR(__xludf.DUMMYFUNCTION("IFERROR(AVERAGE(FILTER(Inventory!G:G,Inventory!J:J=""Closed"",Inventory!A:A=A377)),""0"")"),1.9218181818181812)</f>
        <v>1.921818182</v>
      </c>
      <c r="F377" s="235">
        <f>IFERROR(__xludf.DUMMYFUNCTION("IFERROR(SUM(FILTER(Inventory!G:G,Inventory!J:J=""Closed"",Inventory!A:A=A377)),""0"")"),21.139999999999993)</f>
        <v>21.14</v>
      </c>
      <c r="G377" s="235">
        <f>IFERROR(__xludf.DUMMYFUNCTION("IFERROR(AVERAGE(FILTER(Inventory!K:K,Inventory!J:J=""Closed"",Inventory!A:A=A377)),"""")"),196.45454545454547)</f>
        <v>196.4545455</v>
      </c>
      <c r="H377" s="78" t="b">
        <v>1</v>
      </c>
      <c r="I377" s="78">
        <v>8.55</v>
      </c>
      <c r="J377" s="236">
        <f>MAXIFS(Inventory!D:D, Inventory!A:A, A:A)</f>
        <v>45160</v>
      </c>
      <c r="L377" s="23">
        <f>COUNTIFS(Inventory!A:A,A377,Inventory!J:J,"Open")</f>
        <v>0</v>
      </c>
    </row>
    <row r="378">
      <c r="A378" s="233" t="s">
        <v>2925</v>
      </c>
      <c r="B378" s="23" t="str">
        <f>Publishers!A252</f>
        <v>Team Reptile</v>
      </c>
      <c r="C378" s="78">
        <f>COUNTIF(Inventory!A:A, A378)</f>
        <v>4</v>
      </c>
      <c r="D378" s="89">
        <f>IFERROR(__xludf.DUMMYFUNCTION("IFERROR(AVERAGE(FILTER(Inventory!H:H,Inventory!J:J=""Closed"",Inventory!A:A=A378)),"""")"),0.3612318515170299)</f>
        <v>0.3612318515</v>
      </c>
      <c r="E378" s="234">
        <f>IFERROR(__xludf.DUMMYFUNCTION("IFERROR(AVERAGE(FILTER(Inventory!G:G,Inventory!J:J=""Closed"",Inventory!A:A=A378)),""0"")"),1.7875)</f>
        <v>1.7875</v>
      </c>
      <c r="F378" s="235">
        <f>IFERROR(__xludf.DUMMYFUNCTION("IFERROR(SUM(FILTER(Inventory!G:G,Inventory!J:J=""Closed"",Inventory!A:A=A378)),""0"")"),7.15)</f>
        <v>7.15</v>
      </c>
      <c r="G378" s="235">
        <f>IFERROR(__xludf.DUMMYFUNCTION("IFERROR(AVERAGE(FILTER(Inventory!K:K,Inventory!J:J=""Closed"",Inventory!A:A=A378)),"""")"),32.25)</f>
        <v>32.25</v>
      </c>
      <c r="H378" s="78" t="b">
        <v>0</v>
      </c>
      <c r="I378" s="236"/>
      <c r="J378" s="236">
        <f>MAXIFS(Inventory!D:D, Inventory!A:A, A:A)</f>
        <v>44893</v>
      </c>
      <c r="L378" s="23">
        <f>COUNTIFS(Inventory!A:A,A378,Inventory!J:J,"Open")</f>
        <v>0</v>
      </c>
    </row>
    <row r="379">
      <c r="A379" s="233" t="s">
        <v>5029</v>
      </c>
      <c r="B379" s="23" t="str">
        <f>Publishers!A170</f>
        <v>NEOWIZ</v>
      </c>
      <c r="C379" s="78">
        <f>COUNTIF(Inventory!A:A, A379)</f>
        <v>2</v>
      </c>
      <c r="D379" s="89">
        <f>IFERROR(__xludf.DUMMYFUNCTION("IFERROR(AVERAGE(FILTER(Inventory!H:H,Inventory!J:J=""Closed"",Inventory!A:A=A379)),"""")"),-0.4137417502566201)</f>
        <v>-0.4137417503</v>
      </c>
      <c r="E379" s="234">
        <f>IFERROR(__xludf.DUMMYFUNCTION("IFERROR(AVERAGE(FILTER(Inventory!G:G,Inventory!J:J=""Closed"",Inventory!A:A=A379)),""0"")"),-6.154999999999999)</f>
        <v>-6.155</v>
      </c>
      <c r="F379" s="235">
        <f>IFERROR(__xludf.DUMMYFUNCTION("IFERROR(SUM(FILTER(Inventory!G:G,Inventory!J:J=""Closed"",Inventory!A:A=A379)),""0"")"),-12.309999999999999)</f>
        <v>-12.31</v>
      </c>
      <c r="G379" s="235">
        <f>IFERROR(__xludf.DUMMYFUNCTION("IFERROR(AVERAGE(FILTER(Inventory!K:K,Inventory!J:J=""Closed"",Inventory!A:A=A379)),"""")"),264.0)</f>
        <v>264</v>
      </c>
      <c r="H379" s="23" t="b">
        <v>0</v>
      </c>
      <c r="I379" s="236"/>
      <c r="J379" s="236">
        <f>MAXIFS(Inventory!D:D, Inventory!A:A, A:A)</f>
        <v>45819</v>
      </c>
      <c r="L379" s="23">
        <f>COUNTIFS(Inventory!A:A,A379,Inventory!J:J,"Open")</f>
        <v>0</v>
      </c>
    </row>
    <row r="380">
      <c r="A380" s="237" t="s">
        <v>499</v>
      </c>
      <c r="B380" s="23" t="str">
        <f>Publishers!A237</f>
        <v>Square Enix</v>
      </c>
      <c r="C380" s="78">
        <f>COUNTIF(Inventory!A:A, A380)</f>
        <v>1</v>
      </c>
      <c r="D380" s="89">
        <f>IFERROR(__xludf.DUMMYFUNCTION("IFERROR(AVERAGE(FILTER(Inventory!H:H,Inventory!J:J=""Closed"",Inventory!A:A=A380)),"""")"),-3.862068965517241)</f>
        <v>-3.862068966</v>
      </c>
      <c r="E380" s="234">
        <f>IFERROR(__xludf.DUMMYFUNCTION("IFERROR(AVERAGE(FILTER(Inventory!G:G,Inventory!J:J=""Closed"",Inventory!A:A=A380)),""0"")"),-1.1199999999999999)</f>
        <v>-1.12</v>
      </c>
      <c r="F380" s="235">
        <f>IFERROR(__xludf.DUMMYFUNCTION("IFERROR(SUM(FILTER(Inventory!G:G,Inventory!J:J=""Closed"",Inventory!A:A=A380)),""0"")"),-1.1199999999999999)</f>
        <v>-1.12</v>
      </c>
      <c r="G380" s="235">
        <f>IFERROR(__xludf.DUMMYFUNCTION("IFERROR(AVERAGE(FILTER(Inventory!K:K,Inventory!J:J=""Closed"",Inventory!A:A=A380)),"""")"),331.0)</f>
        <v>331</v>
      </c>
      <c r="H380" s="23" t="b">
        <v>0</v>
      </c>
      <c r="I380" s="236"/>
      <c r="J380" s="236">
        <f>MAXIFS(Inventory!D:D, Inventory!A:A, A:A)</f>
        <v>44393</v>
      </c>
      <c r="L380" s="23">
        <f>COUNTIFS(Inventory!A:A,A380,Inventory!J:J,"Open")</f>
        <v>0</v>
      </c>
    </row>
    <row r="381">
      <c r="A381" s="237" t="s">
        <v>1683</v>
      </c>
      <c r="B381" s="23" t="str">
        <f>Publishers!A237</f>
        <v>Square Enix</v>
      </c>
      <c r="C381" s="78">
        <f>COUNTIF(Inventory!A:A, A381)</f>
        <v>1</v>
      </c>
      <c r="D381" s="89">
        <f>IFERROR(__xludf.DUMMYFUNCTION("IFERROR(AVERAGE(FILTER(Inventory!H:H,Inventory!J:J=""Closed"",Inventory!A:A=A381)),"""")"),-2.47985347985348)</f>
        <v>-2.47985348</v>
      </c>
      <c r="E381" s="234">
        <f>IFERROR(__xludf.DUMMYFUNCTION("IFERROR(AVERAGE(FILTER(Inventory!G:G,Inventory!J:J=""Closed"",Inventory!A:A=A381)),""0"")"),-6.77)</f>
        <v>-6.77</v>
      </c>
      <c r="F381" s="235">
        <f>IFERROR(__xludf.DUMMYFUNCTION("IFERROR(SUM(FILTER(Inventory!G:G,Inventory!J:J=""Closed"",Inventory!A:A=A381)),""0"")"),-6.77)</f>
        <v>-6.77</v>
      </c>
      <c r="G381" s="235">
        <f>IFERROR(__xludf.DUMMYFUNCTION("IFERROR(AVERAGE(FILTER(Inventory!K:K,Inventory!J:J=""Closed"",Inventory!A:A=A381)),"""")"),675.0)</f>
        <v>675</v>
      </c>
      <c r="H381" s="23" t="b">
        <v>0</v>
      </c>
      <c r="I381" s="236"/>
      <c r="J381" s="236">
        <f>MAXIFS(Inventory!D:D, Inventory!A:A, A:A)</f>
        <v>45198</v>
      </c>
      <c r="L381" s="23">
        <f>COUNTIFS(Inventory!A:A,A381,Inventory!J:J,"Open")</f>
        <v>0</v>
      </c>
    </row>
    <row r="382">
      <c r="A382" s="237" t="s">
        <v>1930</v>
      </c>
      <c r="B382" s="23" t="str">
        <f>Publishers!A237</f>
        <v>Square Enix</v>
      </c>
      <c r="C382" s="78">
        <f>COUNTIF(Inventory!A:A, A382)</f>
        <v>4</v>
      </c>
      <c r="D382" s="89">
        <f>IFERROR(__xludf.DUMMYFUNCTION("IFERROR(AVERAGE(FILTER(Inventory!H:H,Inventory!J:J=""Closed"",Inventory!A:A=A382)),"""")"),0.23755053369422366)</f>
        <v>0.2375505337</v>
      </c>
      <c r="E382" s="234">
        <f>IFERROR(__xludf.DUMMYFUNCTION("IFERROR(AVERAGE(FILTER(Inventory!G:G,Inventory!J:J=""Closed"",Inventory!A:A=A382)),""0"")"),1.6500000000000001)</f>
        <v>1.65</v>
      </c>
      <c r="F382" s="235">
        <f>IFERROR(__xludf.DUMMYFUNCTION("IFERROR(SUM(FILTER(Inventory!G:G,Inventory!J:J=""Closed"",Inventory!A:A=A382)),""0"")"),6.6000000000000005)</f>
        <v>6.6</v>
      </c>
      <c r="G382" s="235">
        <f>IFERROR(__xludf.DUMMYFUNCTION("IFERROR(AVERAGE(FILTER(Inventory!K:K,Inventory!J:J=""Closed"",Inventory!A:A=A382)),"""")"),21.5)</f>
        <v>21.5</v>
      </c>
      <c r="H382" s="23" t="b">
        <v>0</v>
      </c>
      <c r="I382" s="236"/>
      <c r="J382" s="236">
        <f>MAXIFS(Inventory!D:D, Inventory!A:A, A:A)</f>
        <v>44787</v>
      </c>
      <c r="L382" s="23">
        <f>COUNTIFS(Inventory!A:A,A382,Inventory!J:J,"Open")</f>
        <v>0</v>
      </c>
    </row>
    <row r="383">
      <c r="A383" s="233" t="s">
        <v>5834</v>
      </c>
      <c r="B383" s="23" t="str">
        <f>Publishers!A222</f>
        <v>SEGA</v>
      </c>
      <c r="C383" s="78">
        <f>COUNTIF(Inventory!A:A, A383)</f>
        <v>1</v>
      </c>
      <c r="D383" s="89">
        <f>IFERROR(__xludf.DUMMYFUNCTION("IFERROR(AVERAGE(FILTER(Inventory!H:H,Inventory!J:J=""Closed"",Inventory!A:A=A383)),"""")"),0.15470852017937214)</f>
        <v>0.1547085202</v>
      </c>
      <c r="E383" s="234">
        <f>IFERROR(__xludf.DUMMYFUNCTION("IFERROR(AVERAGE(FILTER(Inventory!G:G,Inventory!J:J=""Closed"",Inventory!A:A=A383)),""0"")"),4.829999999999998)</f>
        <v>4.83</v>
      </c>
      <c r="F383" s="235">
        <f>IFERROR(__xludf.DUMMYFUNCTION("IFERROR(SUM(FILTER(Inventory!G:G,Inventory!J:J=""Closed"",Inventory!A:A=A383)),""0"")"),4.829999999999998)</f>
        <v>4.83</v>
      </c>
      <c r="G383" s="235">
        <f>IFERROR(__xludf.DUMMYFUNCTION("IFERROR(AVERAGE(FILTER(Inventory!K:K,Inventory!J:J=""Closed"",Inventory!A:A=A383)),"""")"),48.0)</f>
        <v>48</v>
      </c>
      <c r="H383" s="23" t="b">
        <v>0</v>
      </c>
      <c r="I383" s="236"/>
      <c r="J383" s="236">
        <f>MAXIFS(Inventory!D:D, Inventory!A:A, A:A)</f>
        <v>45333</v>
      </c>
      <c r="L383" s="23">
        <f>COUNTIFS(Inventory!A:A,A383,Inventory!J:J,"Open")</f>
        <v>0</v>
      </c>
    </row>
    <row r="384">
      <c r="A384" s="237" t="s">
        <v>100</v>
      </c>
      <c r="B384" s="23" t="str">
        <f>Publishers!A115</f>
        <v>HandyGames</v>
      </c>
      <c r="C384" s="78">
        <f>COUNTIF(Inventory!A:A, A384)</f>
        <v>1</v>
      </c>
      <c r="D384" s="89">
        <f>IFERROR(__xludf.DUMMYFUNCTION("IFERROR(AVERAGE(FILTER(Inventory!H:H,Inventory!J:J=""Closed"",Inventory!A:A=A384)),"""")"),0.20720151610865442)</f>
        <v>0.2072015161</v>
      </c>
      <c r="E384" s="234">
        <f>IFERROR(__xludf.DUMMYFUNCTION("IFERROR(AVERAGE(FILTER(Inventory!G:G,Inventory!J:J=""Closed"",Inventory!A:A=A384)),""0"")"),3.2799999999999994)</f>
        <v>3.28</v>
      </c>
      <c r="F384" s="235">
        <f>IFERROR(__xludf.DUMMYFUNCTION("IFERROR(SUM(FILTER(Inventory!G:G,Inventory!J:J=""Closed"",Inventory!A:A=A384)),""0"")"),3.2799999999999994)</f>
        <v>3.28</v>
      </c>
      <c r="G384" s="235">
        <f>IFERROR(__xludf.DUMMYFUNCTION("IFERROR(AVERAGE(FILTER(Inventory!K:K,Inventory!J:J=""Closed"",Inventory!A:A=A384)),"""")"),19.0)</f>
        <v>19</v>
      </c>
      <c r="H384" s="23" t="b">
        <v>0</v>
      </c>
      <c r="I384" s="236"/>
      <c r="J384" s="236">
        <f>MAXIFS(Inventory!D:D, Inventory!A:A, A:A)</f>
        <v>43977</v>
      </c>
      <c r="L384" s="23">
        <f>COUNTIFS(Inventory!A:A,A384,Inventory!J:J,"Open")</f>
        <v>0</v>
      </c>
    </row>
    <row r="385">
      <c r="A385" s="237" t="s">
        <v>1947</v>
      </c>
      <c r="B385" s="23" t="str">
        <f>Publishers!A29</f>
        <v>BANDAI NAMCO</v>
      </c>
      <c r="C385" s="78">
        <f>COUNTIF(Inventory!A:A, A385)</f>
        <v>1</v>
      </c>
      <c r="D385" s="89">
        <f>IFERROR(__xludf.DUMMYFUNCTION("IFERROR(AVERAGE(FILTER(Inventory!H:H,Inventory!J:J=""Closed"",Inventory!A:A=A385)),"""")"),-1.4871016691957513)</f>
        <v>-1.487101669</v>
      </c>
      <c r="E385" s="234">
        <f>IFERROR(__xludf.DUMMYFUNCTION("IFERROR(AVERAGE(FILTER(Inventory!G:G,Inventory!J:J=""Closed"",Inventory!A:A=A385)),""0"")"),-9.8)</f>
        <v>-9.8</v>
      </c>
      <c r="F385" s="235">
        <f>IFERROR(__xludf.DUMMYFUNCTION("IFERROR(SUM(FILTER(Inventory!G:G,Inventory!J:J=""Closed"",Inventory!A:A=A385)),""0"")"),-9.8)</f>
        <v>-9.8</v>
      </c>
      <c r="G385" s="235">
        <f>IFERROR(__xludf.DUMMYFUNCTION("IFERROR(AVERAGE(FILTER(Inventory!K:K,Inventory!J:J=""Closed"",Inventory!A:A=A385)),"""")"),871.0)</f>
        <v>871</v>
      </c>
      <c r="H385" s="23" t="b">
        <v>0</v>
      </c>
      <c r="I385" s="236"/>
      <c r="J385" s="236">
        <f>MAXIFS(Inventory!D:D, Inventory!A:A, A:A)</f>
        <v>45463</v>
      </c>
      <c r="L385" s="23">
        <f>COUNTIFS(Inventory!A:A,A385,Inventory!J:J,"Open")</f>
        <v>0</v>
      </c>
    </row>
    <row r="386">
      <c r="A386" s="237" t="s">
        <v>510</v>
      </c>
      <c r="B386" s="23" t="str">
        <f>Publishers!A190</f>
        <v>Perfect World Entertainment</v>
      </c>
      <c r="C386" s="78">
        <f>COUNTIF(Inventory!A:A, A386)</f>
        <v>4</v>
      </c>
      <c r="D386" s="89">
        <f>IFERROR(__xludf.DUMMYFUNCTION("IFERROR(AVERAGE(FILTER(Inventory!H:H,Inventory!J:J=""Closed"",Inventory!A:A=A386)),"""")"),0.7970059601415533)</f>
        <v>0.7970059601</v>
      </c>
      <c r="E386" s="234">
        <f>IFERROR(__xludf.DUMMYFUNCTION("IFERROR(AVERAGE(FILTER(Inventory!G:G,Inventory!J:J=""Closed"",Inventory!A:A=A386)),""0"")"),1.245)</f>
        <v>1.245</v>
      </c>
      <c r="F386" s="235">
        <f>IFERROR(__xludf.DUMMYFUNCTION("IFERROR(SUM(FILTER(Inventory!G:G,Inventory!J:J=""Closed"",Inventory!A:A=A386)),""0"")"),4.98)</f>
        <v>4.98</v>
      </c>
      <c r="G386" s="235">
        <f>IFERROR(__xludf.DUMMYFUNCTION("IFERROR(AVERAGE(FILTER(Inventory!K:K,Inventory!J:J=""Closed"",Inventory!A:A=A386)),"""")"),17.0)</f>
        <v>17</v>
      </c>
      <c r="H386" s="23" t="b">
        <v>0</v>
      </c>
      <c r="I386" s="236"/>
      <c r="J386" s="236">
        <f>MAXIFS(Inventory!D:D, Inventory!A:A, A:A)</f>
        <v>44496</v>
      </c>
      <c r="L386" s="23">
        <f>COUNTIFS(Inventory!A:A,A386,Inventory!J:J,"Open")</f>
        <v>0</v>
      </c>
    </row>
    <row r="387">
      <c r="A387" s="237" t="s">
        <v>1206</v>
      </c>
      <c r="B387" s="23" t="str">
        <f>Publishers!A71</f>
        <v>Devolver Digital</v>
      </c>
      <c r="C387" s="78">
        <f>COUNTIF(Inventory!A:A, A387)</f>
        <v>2</v>
      </c>
      <c r="D387" s="89">
        <f>IFERROR(__xludf.DUMMYFUNCTION("IFERROR(AVERAGE(FILTER(Inventory!H:H,Inventory!J:J=""Closed"",Inventory!A:A=A387)),"""")"),0.1741423406792047)</f>
        <v>0.1741423407</v>
      </c>
      <c r="E387" s="234">
        <f>IFERROR(__xludf.DUMMYFUNCTION("IFERROR(AVERAGE(FILTER(Inventory!G:G,Inventory!J:J=""Closed"",Inventory!A:A=A387)),""0"")"),1.6850000000000005)</f>
        <v>1.685</v>
      </c>
      <c r="F387" s="235">
        <f>IFERROR(__xludf.DUMMYFUNCTION("IFERROR(SUM(FILTER(Inventory!G:G,Inventory!J:J=""Closed"",Inventory!A:A=A387)),""0"")"),3.370000000000001)</f>
        <v>3.37</v>
      </c>
      <c r="G387" s="235">
        <f>IFERROR(__xludf.DUMMYFUNCTION("IFERROR(AVERAGE(FILTER(Inventory!K:K,Inventory!J:J=""Closed"",Inventory!A:A=A387)),"""")"),33.0)</f>
        <v>33</v>
      </c>
      <c r="H387" s="23" t="b">
        <v>0</v>
      </c>
      <c r="I387" s="236"/>
      <c r="J387" s="236">
        <f>MAXIFS(Inventory!D:D, Inventory!A:A, A:A)</f>
        <v>44404</v>
      </c>
      <c r="L387" s="23">
        <f>COUNTIFS(Inventory!A:A,A387,Inventory!J:J,"Open")</f>
        <v>0</v>
      </c>
    </row>
    <row r="388">
      <c r="A388" s="237" t="s">
        <v>1026</v>
      </c>
      <c r="B388" s="23" t="str">
        <f>Publishers!A52</f>
        <v>CI Games</v>
      </c>
      <c r="C388" s="78">
        <f>COUNTIF(Inventory!A:A, A388)</f>
        <v>1</v>
      </c>
      <c r="D388" s="89">
        <f>IFERROR(__xludf.DUMMYFUNCTION("IFERROR(AVERAGE(FILTER(Inventory!H:H,Inventory!J:J=""Closed"",Inventory!A:A=A388)),"""")"),0.24482758620689654)</f>
        <v>0.2448275862</v>
      </c>
      <c r="E388" s="234">
        <f>IFERROR(__xludf.DUMMYFUNCTION("IFERROR(AVERAGE(FILTER(Inventory!G:G,Inventory!J:J=""Closed"",Inventory!A:A=A388)),""0"")"),0.71)</f>
        <v>0.71</v>
      </c>
      <c r="F388" s="235">
        <f>IFERROR(__xludf.DUMMYFUNCTION("IFERROR(SUM(FILTER(Inventory!G:G,Inventory!J:J=""Closed"",Inventory!A:A=A388)),""0"")"),0.71)</f>
        <v>0.71</v>
      </c>
      <c r="G388" s="235">
        <f>IFERROR(__xludf.DUMMYFUNCTION("IFERROR(AVERAGE(FILTER(Inventory!K:K,Inventory!J:J=""Closed"",Inventory!A:A=A388)),"""")"),3.0)</f>
        <v>3</v>
      </c>
      <c r="H388" s="23" t="b">
        <v>0</v>
      </c>
      <c r="I388" s="236"/>
      <c r="J388" s="236">
        <f>MAXIFS(Inventory!D:D, Inventory!A:A, A:A)</f>
        <v>44303</v>
      </c>
      <c r="L388" s="23">
        <f>COUNTIFS(Inventory!A:A,A388,Inventory!J:J,"Open")</f>
        <v>0</v>
      </c>
    </row>
    <row r="389">
      <c r="A389" s="237" t="s">
        <v>1613</v>
      </c>
      <c r="B389" s="23" t="str">
        <f>Publishers!A218</f>
        <v>Screen 7</v>
      </c>
      <c r="C389" s="78">
        <f>COUNTIF(Inventory!A:A, A389)</f>
        <v>1</v>
      </c>
      <c r="D389" s="89">
        <f>IFERROR(__xludf.DUMMYFUNCTION("IFERROR(AVERAGE(FILTER(Inventory!H:H,Inventory!J:J=""Closed"",Inventory!A:A=A389)),"""")"),1.0)</f>
        <v>1</v>
      </c>
      <c r="E389" s="234">
        <f>IFERROR(__xludf.DUMMYFUNCTION("IFERROR(AVERAGE(FILTER(Inventory!G:G,Inventory!J:J=""Closed"",Inventory!A:A=A389)),""0"")"),0.1)</f>
        <v>0.1</v>
      </c>
      <c r="F389" s="235">
        <f>IFERROR(__xludf.DUMMYFUNCTION("IFERROR(SUM(FILTER(Inventory!G:G,Inventory!J:J=""Closed"",Inventory!A:A=A389)),""0"")"),0.1)</f>
        <v>0.1</v>
      </c>
      <c r="G389" s="235">
        <f>IFERROR(__xludf.DUMMYFUNCTION("IFERROR(AVERAGE(FILTER(Inventory!K:K,Inventory!J:J=""Closed"",Inventory!A:A=A389)),"""")"),4.0)</f>
        <v>4</v>
      </c>
      <c r="H389" s="23" t="b">
        <v>0</v>
      </c>
      <c r="I389" s="236"/>
      <c r="J389" s="236">
        <f>MAXIFS(Inventory!D:D, Inventory!A:A, A:A)</f>
        <v>44505</v>
      </c>
      <c r="L389" s="23">
        <f>COUNTIFS(Inventory!A:A,A389,Inventory!J:J,"Open")</f>
        <v>0</v>
      </c>
    </row>
    <row r="390">
      <c r="A390" s="237" t="s">
        <v>1470</v>
      </c>
      <c r="B390" s="23" t="str">
        <f>Publishers!A169</f>
        <v>Neon Doctrine</v>
      </c>
      <c r="C390" s="78">
        <f>COUNTIF(Inventory!A:A, A390)</f>
        <v>1</v>
      </c>
      <c r="D390" s="89">
        <f>IFERROR(__xludf.DUMMYFUNCTION("IFERROR(AVERAGE(FILTER(Inventory!H:H,Inventory!J:J=""Closed"",Inventory!A:A=A390)),"""")"),0.12290502793296088)</f>
        <v>0.1229050279</v>
      </c>
      <c r="E390" s="234">
        <f>IFERROR(__xludf.DUMMYFUNCTION("IFERROR(AVERAGE(FILTER(Inventory!G:G,Inventory!J:J=""Closed"",Inventory!A:A=A390)),""0"")"),0.43999999999999995)</f>
        <v>0.44</v>
      </c>
      <c r="F390" s="235">
        <f>IFERROR(__xludf.DUMMYFUNCTION("IFERROR(SUM(FILTER(Inventory!G:G,Inventory!J:J=""Closed"",Inventory!A:A=A390)),""0"")"),0.43999999999999995)</f>
        <v>0.44</v>
      </c>
      <c r="G390" s="235">
        <f>IFERROR(__xludf.DUMMYFUNCTION("IFERROR(AVERAGE(FILTER(Inventory!K:K,Inventory!J:J=""Closed"",Inventory!A:A=A390)),"""")"),13.0)</f>
        <v>13</v>
      </c>
      <c r="H390" s="23" t="b">
        <v>0</v>
      </c>
      <c r="I390" s="236"/>
      <c r="J390" s="236">
        <f>MAXIFS(Inventory!D:D, Inventory!A:A, A:A)</f>
        <v>44483</v>
      </c>
      <c r="L390" s="23">
        <f>COUNTIFS(Inventory!A:A,A390,Inventory!J:J,"Open")</f>
        <v>0</v>
      </c>
    </row>
    <row r="391">
      <c r="A391" s="233" t="s">
        <v>3804</v>
      </c>
      <c r="B391" s="23" t="str">
        <f>Publishers!A179</f>
        <v>Ocean Drive Studio</v>
      </c>
      <c r="C391" s="78">
        <f>COUNTIF(Inventory!A:A, A391)</f>
        <v>18</v>
      </c>
      <c r="D391" s="89">
        <f>IFERROR(__xludf.DUMMYFUNCTION("IFERROR(AVERAGE(FILTER(Inventory!H:H,Inventory!J:J=""Closed"",Inventory!A:A=A391)),"""")"),0.3255366413860555)</f>
        <v>0.3255366414</v>
      </c>
      <c r="E391" s="234">
        <f>IFERROR(__xludf.DUMMYFUNCTION("IFERROR(AVERAGE(FILTER(Inventory!G:G,Inventory!J:J=""Closed"",Inventory!A:A=A391)),""0"")"),3.322777777777778)</f>
        <v>3.322777778</v>
      </c>
      <c r="F391" s="235">
        <f>IFERROR(__xludf.DUMMYFUNCTION("IFERROR(SUM(FILTER(Inventory!G:G,Inventory!J:J=""Closed"",Inventory!A:A=A391)),""0"")"),59.81)</f>
        <v>59.81</v>
      </c>
      <c r="G391" s="235">
        <f>IFERROR(__xludf.DUMMYFUNCTION("IFERROR(AVERAGE(FILTER(Inventory!K:K,Inventory!J:J=""Closed"",Inventory!A:A=A391)),"""")"),19.88888888888889)</f>
        <v>19.88888889</v>
      </c>
      <c r="H391" s="23" t="b">
        <v>0</v>
      </c>
      <c r="I391" s="236"/>
      <c r="J391" s="236">
        <f>MAXIFS(Inventory!D:D, Inventory!A:A, A:A)</f>
        <v>45368</v>
      </c>
      <c r="L391" s="23">
        <f>COUNTIFS(Inventory!A:A,A391,Inventory!J:J,"Open")</f>
        <v>0</v>
      </c>
    </row>
    <row r="392">
      <c r="A392" s="233" t="s">
        <v>6172</v>
      </c>
      <c r="B392" s="23" t="str">
        <f>Publishers!A222</f>
        <v>SEGA</v>
      </c>
      <c r="C392" s="78">
        <f>COUNTIF(Inventory!A:A, A392)</f>
        <v>1</v>
      </c>
      <c r="D392" s="89">
        <f>IFERROR(__xludf.DUMMYFUNCTION("IFERROR(AVERAGE(FILTER(Inventory!H:H,Inventory!J:J=""Closed"",Inventory!A:A=A392)),"""")"),0.1303056027164686)</f>
        <v>0.1303056027</v>
      </c>
      <c r="E392" s="234">
        <f>IFERROR(__xludf.DUMMYFUNCTION("IFERROR(AVERAGE(FILTER(Inventory!G:G,Inventory!J:J=""Closed"",Inventory!A:A=A392)),""0"")"),3.0700000000000003)</f>
        <v>3.07</v>
      </c>
      <c r="F392" s="235">
        <f>IFERROR(__xludf.DUMMYFUNCTION("IFERROR(SUM(FILTER(Inventory!G:G,Inventory!J:J=""Closed"",Inventory!A:A=A392)),""0"")"),3.0700000000000003)</f>
        <v>3.07</v>
      </c>
      <c r="G392" s="235">
        <f>IFERROR(__xludf.DUMMYFUNCTION("IFERROR(AVERAGE(FILTER(Inventory!K:K,Inventory!J:J=""Closed"",Inventory!A:A=A392)),"""")"),118.0)</f>
        <v>118</v>
      </c>
      <c r="H392" s="23" t="b">
        <v>0</v>
      </c>
      <c r="I392" s="236"/>
      <c r="J392" s="236">
        <f>MAXIFS(Inventory!D:D, Inventory!A:A, A:A)</f>
        <v>45485</v>
      </c>
      <c r="L392" s="23">
        <f>COUNTIFS(Inventory!A:A,A392,Inventory!J:J,"Open")</f>
        <v>0</v>
      </c>
    </row>
    <row r="393">
      <c r="A393" s="233" t="s">
        <v>5514</v>
      </c>
      <c r="B393" s="23" t="str">
        <f>Publishers!A222</f>
        <v>SEGA</v>
      </c>
      <c r="C393" s="78">
        <f>COUNTIF(Inventory!A:A, A393)</f>
        <v>1</v>
      </c>
      <c r="D393" s="89" t="str">
        <f>IFERROR(__xludf.DUMMYFUNCTION("IFERROR(AVERAGE(FILTER(Inventory!H:H,Inventory!J:J=""Closed"",Inventory!A:A=A393)),"""")"),"")</f>
        <v/>
      </c>
      <c r="E393" s="234" t="str">
        <f>IFERROR(__xludf.DUMMYFUNCTION("IFERROR(AVERAGE(FILTER(Inventory!G:G,Inventory!J:J=""Closed"",Inventory!A:A=A393)),""0"")"),"0")</f>
        <v>0</v>
      </c>
      <c r="F393" s="235" t="str">
        <f>IFERROR(__xludf.DUMMYFUNCTION("IFERROR(SUM(FILTER(Inventory!G:G,Inventory!J:J=""Closed"",Inventory!A:A=A393)),""0"")"),"0")</f>
        <v>0</v>
      </c>
      <c r="G393" s="235" t="str">
        <f>IFERROR(__xludf.DUMMYFUNCTION("IFERROR(AVERAGE(FILTER(Inventory!K:K,Inventory!J:J=""Closed"",Inventory!A:A=A393)),"""")"),"")</f>
        <v/>
      </c>
      <c r="H393" s="23" t="b">
        <v>0</v>
      </c>
      <c r="I393" s="236"/>
      <c r="J393" s="236">
        <f>MAXIFS(Inventory!D:D, Inventory!A:A, A:A)</f>
        <v>0</v>
      </c>
      <c r="L393" s="23">
        <f>COUNTIFS(Inventory!A:A,A393,Inventory!J:J,"Open")</f>
        <v>1</v>
      </c>
    </row>
    <row r="394">
      <c r="A394" s="237" t="s">
        <v>512</v>
      </c>
      <c r="B394" s="23" t="str">
        <f>Publishers!A267</f>
        <v>tinyBuild</v>
      </c>
      <c r="C394" s="78">
        <f>COUNTIF(Inventory!A:A, A394)</f>
        <v>3</v>
      </c>
      <c r="D394" s="89">
        <f>IFERROR(__xludf.DUMMYFUNCTION("IFERROR(AVERAGE(FILTER(Inventory!H:H,Inventory!J:J=""Closed"",Inventory!A:A=A394)),"""")"),0.3907501780919503)</f>
        <v>0.3907501781</v>
      </c>
      <c r="E394" s="234">
        <f>IFERROR(__xludf.DUMMYFUNCTION("IFERROR(AVERAGE(FILTER(Inventory!G:G,Inventory!J:J=""Closed"",Inventory!A:A=A394)),""0"")"),0.2866666666666667)</f>
        <v>0.2866666667</v>
      </c>
      <c r="F394" s="235">
        <f>IFERROR(__xludf.DUMMYFUNCTION("IFERROR(SUM(FILTER(Inventory!G:G,Inventory!J:J=""Closed"",Inventory!A:A=A394)),""0"")"),0.8600000000000001)</f>
        <v>0.86</v>
      </c>
      <c r="G394" s="235">
        <f>IFERROR(__xludf.DUMMYFUNCTION("IFERROR(AVERAGE(FILTER(Inventory!K:K,Inventory!J:J=""Closed"",Inventory!A:A=A394)),"""")"),112.33333333333333)</f>
        <v>112.3333333</v>
      </c>
      <c r="H394" s="23" t="b">
        <v>0</v>
      </c>
      <c r="I394" s="236"/>
      <c r="J394" s="236">
        <f>MAXIFS(Inventory!D:D, Inventory!A:A, A:A)</f>
        <v>44196</v>
      </c>
      <c r="L394" s="23">
        <f>COUNTIFS(Inventory!A:A,A394,Inventory!J:J,"Open")</f>
        <v>0</v>
      </c>
    </row>
    <row r="395">
      <c r="A395" s="233" t="s">
        <v>3828</v>
      </c>
      <c r="B395" s="23" t="str">
        <f>Publishers!A123</f>
        <v>Iceberg Interactive</v>
      </c>
      <c r="C395" s="78">
        <f>COUNTIF(Inventory!A:A, A395)</f>
        <v>2</v>
      </c>
      <c r="D395" s="89">
        <f>IFERROR(__xludf.DUMMYFUNCTION("IFERROR(AVERAGE(FILTER(Inventory!H:H,Inventory!J:J=""Closed"",Inventory!A:A=A395)),"""")"),0.3387596899224807)</f>
        <v>0.3387596899</v>
      </c>
      <c r="E395" s="234">
        <f>IFERROR(__xludf.DUMMYFUNCTION("IFERROR(AVERAGE(FILTER(Inventory!G:G,Inventory!J:J=""Closed"",Inventory!A:A=A395)),""0"")"),4.370000000000001)</f>
        <v>4.37</v>
      </c>
      <c r="F395" s="235">
        <f>IFERROR(__xludf.DUMMYFUNCTION("IFERROR(SUM(FILTER(Inventory!G:G,Inventory!J:J=""Closed"",Inventory!A:A=A395)),""0"")"),4.370000000000001)</f>
        <v>4.37</v>
      </c>
      <c r="G395" s="235">
        <f>IFERROR(__xludf.DUMMYFUNCTION("IFERROR(AVERAGE(FILTER(Inventory!K:K,Inventory!J:J=""Closed"",Inventory!A:A=A395)),"""")"),1.0)</f>
        <v>1</v>
      </c>
      <c r="H395" s="23" t="b">
        <v>0</v>
      </c>
      <c r="I395" s="236"/>
      <c r="J395" s="236">
        <f>MAXIFS(Inventory!D:D, Inventory!A:A, A:A)</f>
        <v>45026</v>
      </c>
      <c r="L395" s="23">
        <f>COUNTIFS(Inventory!A:A,A395,Inventory!J:J,"Open")</f>
        <v>1</v>
      </c>
    </row>
    <row r="396">
      <c r="A396" s="233" t="s">
        <v>4089</v>
      </c>
      <c r="B396" s="23" t="str">
        <f>Publishers!A100</f>
        <v>Freedom Games</v>
      </c>
      <c r="C396" s="78">
        <f>COUNTIF(Inventory!A:A, A396)</f>
        <v>1</v>
      </c>
      <c r="D396" s="89">
        <f>IFERROR(__xludf.DUMMYFUNCTION("IFERROR(AVERAGE(FILTER(Inventory!H:H,Inventory!J:J=""Closed"",Inventory!A:A=A396)),"""")"),0.21507064364207223)</f>
        <v>0.2150706436</v>
      </c>
      <c r="E396" s="234">
        <f>IFERROR(__xludf.DUMMYFUNCTION("IFERROR(AVERAGE(FILTER(Inventory!G:G,Inventory!J:J=""Closed"",Inventory!A:A=A396)),""0"")"),1.37)</f>
        <v>1.37</v>
      </c>
      <c r="F396" s="235">
        <f>IFERROR(__xludf.DUMMYFUNCTION("IFERROR(SUM(FILTER(Inventory!G:G,Inventory!J:J=""Closed"",Inventory!A:A=A396)),""0"")"),1.37)</f>
        <v>1.37</v>
      </c>
      <c r="G396" s="235">
        <f>IFERROR(__xludf.DUMMYFUNCTION("IFERROR(AVERAGE(FILTER(Inventory!K:K,Inventory!J:J=""Closed"",Inventory!A:A=A396)),"""")"),15.0)</f>
        <v>15</v>
      </c>
      <c r="H396" s="23" t="b">
        <v>0</v>
      </c>
      <c r="I396" s="236"/>
      <c r="J396" s="236">
        <f>MAXIFS(Inventory!D:D, Inventory!A:A, A:A)</f>
        <v>45077</v>
      </c>
      <c r="L396" s="23">
        <f>COUNTIFS(Inventory!A:A,A396,Inventory!J:J,"Open")</f>
        <v>0</v>
      </c>
    </row>
    <row r="397">
      <c r="A397" s="233" t="s">
        <v>2174</v>
      </c>
      <c r="B397" s="23" t="str">
        <f>Publishers!A253</f>
        <v>Team17 Digital</v>
      </c>
      <c r="C397" s="78">
        <f>COUNTIF(Inventory!A:A, A397)</f>
        <v>2</v>
      </c>
      <c r="D397" s="89">
        <f>IFERROR(__xludf.DUMMYFUNCTION("IFERROR(AVERAGE(FILTER(Inventory!H:H,Inventory!J:J=""Closed"",Inventory!A:A=A397)),"""")"),1.0)</f>
        <v>1</v>
      </c>
      <c r="E397" s="234">
        <f>IFERROR(__xludf.DUMMYFUNCTION("IFERROR(AVERAGE(FILTER(Inventory!G:G,Inventory!J:J=""Closed"",Inventory!A:A=A397)),""0"")"),0.09)</f>
        <v>0.09</v>
      </c>
      <c r="F397" s="235">
        <f>IFERROR(__xludf.DUMMYFUNCTION("IFERROR(SUM(FILTER(Inventory!G:G,Inventory!J:J=""Closed"",Inventory!A:A=A397)),""0"")"),0.18)</f>
        <v>0.18</v>
      </c>
      <c r="G397" s="235">
        <f>IFERROR(__xludf.DUMMYFUNCTION("IFERROR(AVERAGE(FILTER(Inventory!K:K,Inventory!J:J=""Closed"",Inventory!A:A=A397)),"""")"),1.0)</f>
        <v>1</v>
      </c>
      <c r="H397" s="23" t="b">
        <v>0</v>
      </c>
      <c r="I397" s="236"/>
      <c r="J397" s="236">
        <f>MAXIFS(Inventory!D:D, Inventory!A:A, A:A)</f>
        <v>44632</v>
      </c>
      <c r="L397" s="23">
        <f>COUNTIFS(Inventory!A:A,A397,Inventory!J:J,"Open")</f>
        <v>0</v>
      </c>
    </row>
    <row r="398">
      <c r="A398" s="237" t="s">
        <v>902</v>
      </c>
      <c r="B398" s="23" t="str">
        <f>Publishers!A90</f>
        <v>Evil Twin Artworks</v>
      </c>
      <c r="C398" s="78">
        <f>COUNTIF(Inventory!A:A, A398)</f>
        <v>1</v>
      </c>
      <c r="D398" s="89">
        <f>IFERROR(__xludf.DUMMYFUNCTION("IFERROR(AVERAGE(FILTER(Inventory!H:H,Inventory!J:J=""Closed"",Inventory!A:A=A398)),"""")"),0.24853801169590647)</f>
        <v>0.2485380117</v>
      </c>
      <c r="E398" s="234">
        <f>IFERROR(__xludf.DUMMYFUNCTION("IFERROR(AVERAGE(FILTER(Inventory!G:G,Inventory!J:J=""Closed"",Inventory!A:A=A398)),""0"")"),0.8500000000000001)</f>
        <v>0.85</v>
      </c>
      <c r="F398" s="235">
        <f>IFERROR(__xludf.DUMMYFUNCTION("IFERROR(SUM(FILTER(Inventory!G:G,Inventory!J:J=""Closed"",Inventory!A:A=A398)),""0"")"),0.8500000000000001)</f>
        <v>0.85</v>
      </c>
      <c r="G398" s="235">
        <f>IFERROR(__xludf.DUMMYFUNCTION("IFERROR(AVERAGE(FILTER(Inventory!K:K,Inventory!J:J=""Closed"",Inventory!A:A=A398)),"""")"),9.0)</f>
        <v>9</v>
      </c>
      <c r="H398" s="23" t="b">
        <v>0</v>
      </c>
      <c r="I398" s="236"/>
      <c r="J398" s="236">
        <f>MAXIFS(Inventory!D:D, Inventory!A:A, A:A)</f>
        <v>44217</v>
      </c>
      <c r="L398" s="23">
        <f>COUNTIFS(Inventory!A:A,A398,Inventory!J:J,"Open")</f>
        <v>0</v>
      </c>
    </row>
    <row r="399">
      <c r="A399" s="237" t="s">
        <v>836</v>
      </c>
      <c r="B399" s="23" t="str">
        <f>Publishers!A259</f>
        <v>The Irregular Corporation</v>
      </c>
      <c r="C399" s="78">
        <f>COUNTIF(Inventory!A:A, A399)</f>
        <v>2</v>
      </c>
      <c r="D399" s="89">
        <f>IFERROR(__xludf.DUMMYFUNCTION("IFERROR(AVERAGE(FILTER(Inventory!H:H,Inventory!J:J=""Closed"",Inventory!A:A=A399)),"""")"),0.058712841434620924)</f>
        <v>0.05871284143</v>
      </c>
      <c r="E399" s="234">
        <f>IFERROR(__xludf.DUMMYFUNCTION("IFERROR(AVERAGE(FILTER(Inventory!G:G,Inventory!J:J=""Closed"",Inventory!A:A=A399)),""0"")"),0.714999999999999)</f>
        <v>0.715</v>
      </c>
      <c r="F399" s="235">
        <f>IFERROR(__xludf.DUMMYFUNCTION("IFERROR(SUM(FILTER(Inventory!G:G,Inventory!J:J=""Closed"",Inventory!A:A=A399)),""0"")"),1.429999999999998)</f>
        <v>1.43</v>
      </c>
      <c r="G399" s="235">
        <f>IFERROR(__xludf.DUMMYFUNCTION("IFERROR(AVERAGE(FILTER(Inventory!K:K,Inventory!J:J=""Closed"",Inventory!A:A=A399)),"""")"),94.5)</f>
        <v>94.5</v>
      </c>
      <c r="H399" s="23" t="b">
        <v>0</v>
      </c>
      <c r="I399" s="236"/>
      <c r="J399" s="236">
        <f>MAXIFS(Inventory!D:D, Inventory!A:A, A:A)</f>
        <v>44495</v>
      </c>
      <c r="L399" s="23">
        <f>COUNTIFS(Inventory!A:A,A399,Inventory!J:J,"Open")</f>
        <v>0</v>
      </c>
    </row>
    <row r="400">
      <c r="A400" s="233" t="s">
        <v>2148</v>
      </c>
      <c r="B400" s="23" t="str">
        <f>Publishers!A285</f>
        <v>Wired Productions</v>
      </c>
      <c r="C400" s="78">
        <f>COUNTIF(Inventory!A:A, A400)</f>
        <v>15</v>
      </c>
      <c r="D400" s="89">
        <f>IFERROR(__xludf.DUMMYFUNCTION("IFERROR(AVERAGE(FILTER(Inventory!H:H,Inventory!J:J=""Closed"",Inventory!A:A=A400)),"""")"),0.2827860049518829)</f>
        <v>0.282786005</v>
      </c>
      <c r="E400" s="234">
        <f>IFERROR(__xludf.DUMMYFUNCTION("IFERROR(AVERAGE(FILTER(Inventory!G:G,Inventory!J:J=""Closed"",Inventory!A:A=A400)),""0"")"),5.553333333333333)</f>
        <v>5.553333333</v>
      </c>
      <c r="F400" s="235">
        <f>IFERROR(__xludf.DUMMYFUNCTION("IFERROR(SUM(FILTER(Inventory!G:G,Inventory!J:J=""Closed"",Inventory!A:A=A400)),""0"")"),83.3)</f>
        <v>83.3</v>
      </c>
      <c r="G400" s="235">
        <f>IFERROR(__xludf.DUMMYFUNCTION("IFERROR(AVERAGE(FILTER(Inventory!K:K,Inventory!J:J=""Closed"",Inventory!A:A=A400)),"""")"),16.266666666666666)</f>
        <v>16.26666667</v>
      </c>
      <c r="H400" s="78" t="b">
        <v>1</v>
      </c>
      <c r="I400" s="236"/>
      <c r="J400" s="236">
        <f>MAXIFS(Inventory!D:D, Inventory!A:A, A:A)</f>
        <v>45206</v>
      </c>
      <c r="L400" s="23">
        <f>COUNTIFS(Inventory!A:A,A400,Inventory!J:J,"Open")</f>
        <v>0</v>
      </c>
    </row>
    <row r="401">
      <c r="A401" s="237" t="s">
        <v>1857</v>
      </c>
      <c r="B401" s="23" t="str">
        <f>Publishers!A47</f>
        <v>CAPCOM</v>
      </c>
      <c r="C401" s="78">
        <f>COUNTIF(Inventory!A:A, A401)</f>
        <v>1</v>
      </c>
      <c r="D401" s="89">
        <f>IFERROR(__xludf.DUMMYFUNCTION("IFERROR(AVERAGE(FILTER(Inventory!H:H,Inventory!J:J=""Closed"",Inventory!A:A=A401)),"""")"),0.06122448979591835)</f>
        <v>0.0612244898</v>
      </c>
      <c r="E401" s="234">
        <f>IFERROR(__xludf.DUMMYFUNCTION("IFERROR(AVERAGE(FILTER(Inventory!G:G,Inventory!J:J=""Closed"",Inventory!A:A=A401)),""0"")"),0.8399999999999999)</f>
        <v>0.84</v>
      </c>
      <c r="F401" s="235">
        <f>IFERROR(__xludf.DUMMYFUNCTION("IFERROR(SUM(FILTER(Inventory!G:G,Inventory!J:J=""Closed"",Inventory!A:A=A401)),""0"")"),0.8399999999999999)</f>
        <v>0.84</v>
      </c>
      <c r="G401" s="235">
        <f>IFERROR(__xludf.DUMMYFUNCTION("IFERROR(AVERAGE(FILTER(Inventory!K:K,Inventory!J:J=""Closed"",Inventory!A:A=A401)),"""")"),15.0)</f>
        <v>15</v>
      </c>
      <c r="H401" s="23" t="b">
        <v>0</v>
      </c>
      <c r="I401" s="236"/>
      <c r="J401" s="236">
        <f>MAXIFS(Inventory!D:D, Inventory!A:A, A:A)</f>
        <v>44596</v>
      </c>
      <c r="L401" s="23">
        <f>COUNTIFS(Inventory!A:A,A401,Inventory!J:J,"Open")</f>
        <v>0</v>
      </c>
    </row>
    <row r="402">
      <c r="A402" s="233" t="s">
        <v>4119</v>
      </c>
      <c r="B402" s="23" t="str">
        <f>Publishers!A61</f>
        <v>Crystal Dynamics</v>
      </c>
      <c r="C402" s="78">
        <f>COUNTIF(Inventory!A:A, A402)</f>
        <v>13</v>
      </c>
      <c r="D402" s="89">
        <f>IFERROR(__xludf.DUMMYFUNCTION("IFERROR(AVERAGE(FILTER(Inventory!H:H,Inventory!J:J=""Closed"",Inventory!A:A=A402)),"""")"),0.29068343295112054)</f>
        <v>0.290683433</v>
      </c>
      <c r="E402" s="234">
        <f>IFERROR(__xludf.DUMMYFUNCTION("IFERROR(AVERAGE(FILTER(Inventory!G:G,Inventory!J:J=""Closed"",Inventory!A:A=A402)),""0"")"),3.303076923076924)</f>
        <v>3.303076923</v>
      </c>
      <c r="F402" s="235">
        <f>IFERROR(__xludf.DUMMYFUNCTION("IFERROR(SUM(FILTER(Inventory!G:G,Inventory!J:J=""Closed"",Inventory!A:A=A402)),""0"")"),42.94000000000001)</f>
        <v>42.94</v>
      </c>
      <c r="G402" s="235">
        <f>IFERROR(__xludf.DUMMYFUNCTION("IFERROR(AVERAGE(FILTER(Inventory!K:K,Inventory!J:J=""Closed"",Inventory!A:A=A402)),"""")"),164.3846153846154)</f>
        <v>164.3846154</v>
      </c>
      <c r="H402" s="23" t="b">
        <v>0</v>
      </c>
      <c r="I402" s="236"/>
      <c r="J402" s="236">
        <f>MAXIFS(Inventory!D:D, Inventory!A:A, A:A)</f>
        <v>46145</v>
      </c>
      <c r="L402" s="23">
        <f>COUNTIFS(Inventory!A:A,A402,Inventory!J:J,"Open")</f>
        <v>0</v>
      </c>
    </row>
    <row r="403">
      <c r="A403" s="233" t="s">
        <v>3925</v>
      </c>
      <c r="B403" s="23" t="str">
        <f>Publishers!A61</f>
        <v>Crystal Dynamics</v>
      </c>
      <c r="C403" s="78">
        <f>COUNTIF(Inventory!A:A, A403)</f>
        <v>4</v>
      </c>
      <c r="D403" s="89">
        <f>IFERROR(__xludf.DUMMYFUNCTION("IFERROR(AVERAGE(FILTER(Inventory!H:H,Inventory!J:J=""Closed"",Inventory!A:A=A403)),"""")"),0.16665217822112552)</f>
        <v>0.1666521782</v>
      </c>
      <c r="E403" s="234">
        <f>IFERROR(__xludf.DUMMYFUNCTION("IFERROR(AVERAGE(FILTER(Inventory!G:G,Inventory!J:J=""Closed"",Inventory!A:A=A403)),""0"")"),2.0575)</f>
        <v>2.0575</v>
      </c>
      <c r="F403" s="235">
        <f>IFERROR(__xludf.DUMMYFUNCTION("IFERROR(SUM(FILTER(Inventory!G:G,Inventory!J:J=""Closed"",Inventory!A:A=A403)),""0"")"),8.23)</f>
        <v>8.23</v>
      </c>
      <c r="G403" s="235">
        <f>IFERROR(__xludf.DUMMYFUNCTION("IFERROR(AVERAGE(FILTER(Inventory!K:K,Inventory!J:J=""Closed"",Inventory!A:A=A403)),"""")"),68.75)</f>
        <v>68.75</v>
      </c>
      <c r="H403" s="23" t="b">
        <v>0</v>
      </c>
      <c r="I403" s="236"/>
      <c r="J403" s="236">
        <f>MAXIFS(Inventory!D:D, Inventory!A:A, A:A)</f>
        <v>45629</v>
      </c>
      <c r="L403" s="23">
        <f>COUNTIFS(Inventory!A:A,A403,Inventory!J:J,"Open")</f>
        <v>0</v>
      </c>
    </row>
    <row r="404">
      <c r="A404" s="233" t="s">
        <v>4375</v>
      </c>
      <c r="B404" s="23" t="str">
        <f>Publishers!A61</f>
        <v>Crystal Dynamics</v>
      </c>
      <c r="C404" s="78">
        <f>COUNTIF(Inventory!A:A, A404)</f>
        <v>6</v>
      </c>
      <c r="D404" s="89">
        <f>IFERROR(__xludf.DUMMYFUNCTION("IFERROR(AVERAGE(FILTER(Inventory!H:H,Inventory!J:J=""Closed"",Inventory!A:A=A404)),"""")"),0.05639658330289505)</f>
        <v>0.0563965833</v>
      </c>
      <c r="E404" s="234">
        <f>IFERROR(__xludf.DUMMYFUNCTION("IFERROR(AVERAGE(FILTER(Inventory!G:G,Inventory!J:J=""Closed"",Inventory!A:A=A404)),""0"")"),0.3266666666666664)</f>
        <v>0.3266666667</v>
      </c>
      <c r="F404" s="235">
        <f>IFERROR(__xludf.DUMMYFUNCTION("IFERROR(SUM(FILTER(Inventory!G:G,Inventory!J:J=""Closed"",Inventory!A:A=A404)),""0"")"),1.9599999999999982)</f>
        <v>1.96</v>
      </c>
      <c r="G404" s="235">
        <f>IFERROR(__xludf.DUMMYFUNCTION("IFERROR(AVERAGE(FILTER(Inventory!K:K,Inventory!J:J=""Closed"",Inventory!A:A=A404)),"""")"),5.166666666666667)</f>
        <v>5.166666667</v>
      </c>
      <c r="H404" s="23" t="b">
        <v>0</v>
      </c>
      <c r="I404" s="236"/>
      <c r="J404" s="236">
        <f>MAXIFS(Inventory!D:D, Inventory!A:A, A:A)</f>
        <v>45165</v>
      </c>
      <c r="L404" s="23">
        <f>COUNTIFS(Inventory!A:A,A404,Inventory!J:J,"Open")</f>
        <v>0</v>
      </c>
    </row>
    <row r="405">
      <c r="A405" s="233" t="s">
        <v>4517</v>
      </c>
      <c r="B405" s="23" t="str">
        <f>Publishers!A61</f>
        <v>Crystal Dynamics</v>
      </c>
      <c r="C405" s="78">
        <f>COUNTIF(Inventory!A:A, A405)</f>
        <v>3</v>
      </c>
      <c r="D405" s="89">
        <f>IFERROR(__xludf.DUMMYFUNCTION("IFERROR(AVERAGE(FILTER(Inventory!H:H,Inventory!J:J=""Closed"",Inventory!A:A=A405)),"""")"),0.20040298194527742)</f>
        <v>0.2004029819</v>
      </c>
      <c r="E405" s="234">
        <f>IFERROR(__xludf.DUMMYFUNCTION("IFERROR(AVERAGE(FILTER(Inventory!G:G,Inventory!J:J=""Closed"",Inventory!A:A=A405)),""0"")"),1.1866666666666665)</f>
        <v>1.186666667</v>
      </c>
      <c r="F405" s="235">
        <f>IFERROR(__xludf.DUMMYFUNCTION("IFERROR(SUM(FILTER(Inventory!G:G,Inventory!J:J=""Closed"",Inventory!A:A=A405)),""0"")"),3.5599999999999996)</f>
        <v>3.56</v>
      </c>
      <c r="G405" s="235">
        <f>IFERROR(__xludf.DUMMYFUNCTION("IFERROR(AVERAGE(FILTER(Inventory!K:K,Inventory!J:J=""Closed"",Inventory!A:A=A405)),"""")"),3.6666666666666665)</f>
        <v>3.666666667</v>
      </c>
      <c r="H405" s="23" t="b">
        <v>0</v>
      </c>
      <c r="I405" s="236"/>
      <c r="J405" s="236">
        <f>MAXIFS(Inventory!D:D, Inventory!A:A, A:A)</f>
        <v>45172</v>
      </c>
      <c r="L405" s="23">
        <f>COUNTIFS(Inventory!A:A,A405,Inventory!J:J,"Open")</f>
        <v>0</v>
      </c>
    </row>
    <row r="406">
      <c r="A406" s="233" t="s">
        <v>3245</v>
      </c>
      <c r="B406" s="23" t="str">
        <f>Publishers!A6</f>
        <v>2K</v>
      </c>
      <c r="C406" s="78">
        <f>COUNTIF(Inventory!A:A, A406)</f>
        <v>5</v>
      </c>
      <c r="D406" s="89">
        <f>IFERROR(__xludf.DUMMYFUNCTION("IFERROR(AVERAGE(FILTER(Inventory!H:H,Inventory!J:J=""Closed"",Inventory!A:A=A406)),"""")"),0.1920294243823656)</f>
        <v>0.1920294244</v>
      </c>
      <c r="E406" s="234">
        <f>IFERROR(__xludf.DUMMYFUNCTION("IFERROR(AVERAGE(FILTER(Inventory!G:G,Inventory!J:J=""Closed"",Inventory!A:A=A406)),""0"")"),8.285)</f>
        <v>8.285</v>
      </c>
      <c r="F406" s="235">
        <f>IFERROR(__xludf.DUMMYFUNCTION("IFERROR(SUM(FILTER(Inventory!G:G,Inventory!J:J=""Closed"",Inventory!A:A=A406)),""0"")"),16.57)</f>
        <v>16.57</v>
      </c>
      <c r="G406" s="235">
        <f>IFERROR(__xludf.DUMMYFUNCTION("IFERROR(AVERAGE(FILTER(Inventory!K:K,Inventory!J:J=""Closed"",Inventory!A:A=A406)),"""")"),2.0)</f>
        <v>2</v>
      </c>
      <c r="H406" s="23" t="b">
        <v>0</v>
      </c>
      <c r="I406" s="236"/>
      <c r="J406" s="236">
        <f>MAXIFS(Inventory!D:D, Inventory!A:A, A:A)</f>
        <v>44937</v>
      </c>
      <c r="K406" s="23" t="str">
        <f>IMAGE("https://shared.akamai.steamstatic.com/store_item_assets/steam/apps/368260/header.jpg?t=1702946042")</f>
        <v/>
      </c>
      <c r="L406" s="23">
        <f>COUNTIFS(Inventory!A:A,A406,Inventory!J:J,"Open")</f>
        <v>3</v>
      </c>
    </row>
    <row r="407">
      <c r="A407" s="233" t="s">
        <v>3250</v>
      </c>
      <c r="B407" s="23" t="str">
        <f>Publishers!A6</f>
        <v>2K</v>
      </c>
      <c r="C407" s="78">
        <f>COUNTIF(Inventory!A:A, A407)</f>
        <v>2</v>
      </c>
      <c r="D407" s="89">
        <f>IFERROR(__xludf.DUMMYFUNCTION("IFERROR(AVERAGE(FILTER(Inventory!H:H,Inventory!J:J=""Closed"",Inventory!A:A=A407)),"""")"),-0.18154594938580998)</f>
        <v>-0.1815459494</v>
      </c>
      <c r="E407" s="234">
        <f>IFERROR(__xludf.DUMMYFUNCTION("IFERROR(AVERAGE(FILTER(Inventory!G:G,Inventory!J:J=""Closed"",Inventory!A:A=A407)),""0"")"),-2.5599999999999987)</f>
        <v>-2.56</v>
      </c>
      <c r="F407" s="235">
        <f>IFERROR(__xludf.DUMMYFUNCTION("IFERROR(SUM(FILTER(Inventory!G:G,Inventory!J:J=""Closed"",Inventory!A:A=A407)),""0"")"),-5.119999999999997)</f>
        <v>-5.12</v>
      </c>
      <c r="G407" s="235">
        <f>IFERROR(__xludf.DUMMYFUNCTION("IFERROR(AVERAGE(FILTER(Inventory!K:K,Inventory!J:J=""Closed"",Inventory!A:A=A407)),"""")"),266.5)</f>
        <v>266.5</v>
      </c>
      <c r="H407" s="23" t="b">
        <v>0</v>
      </c>
      <c r="I407" s="236"/>
      <c r="J407" s="236">
        <f>MAXIFS(Inventory!D:D, Inventory!A:A, A:A)</f>
        <v>45461</v>
      </c>
      <c r="L407" s="23">
        <f>COUNTIFS(Inventory!A:A,A407,Inventory!J:J,"Open")</f>
        <v>0</v>
      </c>
    </row>
    <row r="408">
      <c r="A408" s="233" t="s">
        <v>4188</v>
      </c>
      <c r="B408" s="23" t="str">
        <f>Publishers!A194</f>
        <v>PlayStation</v>
      </c>
      <c r="C408" s="78">
        <f>COUNTIF(Inventory!A:A, A408)</f>
        <v>29</v>
      </c>
      <c r="D408" s="89">
        <f>IFERROR(__xludf.DUMMYFUNCTION("IFERROR(AVERAGE(FILTER(Inventory!H:H,Inventory!J:J=""Closed"",Inventory!A:A=A408)),"""")"),0.15647100115158216)</f>
        <v>0.1564710012</v>
      </c>
      <c r="E408" s="234">
        <f>IFERROR(__xludf.DUMMYFUNCTION("IFERROR(AVERAGE(FILTER(Inventory!G:G,Inventory!J:J=""Closed"",Inventory!A:A=A408)),""0"")"),4.809310344827585)</f>
        <v>4.809310345</v>
      </c>
      <c r="F408" s="235">
        <f>IFERROR(__xludf.DUMMYFUNCTION("IFERROR(SUM(FILTER(Inventory!G:G,Inventory!J:J=""Closed"",Inventory!A:A=A408)),""0"")"),139.46999999999997)</f>
        <v>139.47</v>
      </c>
      <c r="G408" s="235">
        <f>IFERROR(__xludf.DUMMYFUNCTION("IFERROR(AVERAGE(FILTER(Inventory!K:K,Inventory!J:J=""Closed"",Inventory!A:A=A408)),"""")"),34.41379310344828)</f>
        <v>34.4137931</v>
      </c>
      <c r="H408" s="23" t="b">
        <v>0</v>
      </c>
      <c r="I408" s="236"/>
      <c r="J408" s="236">
        <f>MAXIFS(Inventory!D:D, Inventory!A:A, A:A)</f>
        <v>45906</v>
      </c>
      <c r="L408" s="23">
        <f>COUNTIFS(Inventory!A:A,A408,Inventory!J:J,"Open")</f>
        <v>0</v>
      </c>
    </row>
    <row r="409">
      <c r="A409" s="233" t="s">
        <v>5603</v>
      </c>
      <c r="B409" s="23" t="str">
        <f>Publishers!A194</f>
        <v>PlayStation</v>
      </c>
      <c r="C409" s="78">
        <f>COUNTIF(Inventory!A:A, A409)</f>
        <v>12</v>
      </c>
      <c r="D409" s="89">
        <f>IFERROR(__xludf.DUMMYFUNCTION("IFERROR(AVERAGE(FILTER(Inventory!H:H,Inventory!J:J=""Closed"",Inventory!A:A=A409)),"""")"),0.17462547268531545)</f>
        <v>0.1746254727</v>
      </c>
      <c r="E409" s="234">
        <f>IFERROR(__xludf.DUMMYFUNCTION("IFERROR(AVERAGE(FILTER(Inventory!G:G,Inventory!J:J=""Closed"",Inventory!A:A=A409)),""0"")"),4.534166666666667)</f>
        <v>4.534166667</v>
      </c>
      <c r="F409" s="235">
        <f>IFERROR(__xludf.DUMMYFUNCTION("IFERROR(SUM(FILTER(Inventory!G:G,Inventory!J:J=""Closed"",Inventory!A:A=A409)),""0"")"),54.41)</f>
        <v>54.41</v>
      </c>
      <c r="G409" s="235">
        <f>IFERROR(__xludf.DUMMYFUNCTION("IFERROR(AVERAGE(FILTER(Inventory!K:K,Inventory!J:J=""Closed"",Inventory!A:A=A409)),"""")"),1.5)</f>
        <v>1.5</v>
      </c>
      <c r="H409" s="23" t="b">
        <v>0</v>
      </c>
      <c r="I409" s="236"/>
      <c r="J409" s="236">
        <f>MAXIFS(Inventory!D:D, Inventory!A:A, A:A)</f>
        <v>46193</v>
      </c>
      <c r="L409" s="23">
        <f>COUNTIFS(Inventory!A:A,A409,Inventory!J:J,"Open")</f>
        <v>0</v>
      </c>
    </row>
    <row r="410">
      <c r="A410" s="233" t="s">
        <v>7649</v>
      </c>
      <c r="B410" s="23" t="str">
        <f>Publishers!A194</f>
        <v>PlayStation</v>
      </c>
      <c r="C410" s="78">
        <f>COUNTIF(Inventory!A:A, A410)</f>
        <v>17</v>
      </c>
      <c r="D410" s="89">
        <f>IFERROR(__xludf.DUMMYFUNCTION("IFERROR(AVERAGE(FILTER(Inventory!H:H,Inventory!J:J=""Closed"",Inventory!A:A=A410)),"""")"),0.14772585882096026)</f>
        <v>0.1477258588</v>
      </c>
      <c r="E410" s="234">
        <f>IFERROR(__xludf.DUMMYFUNCTION("IFERROR(AVERAGE(FILTER(Inventory!G:G,Inventory!J:J=""Closed"",Inventory!A:A=A410)),""0"")"),4.640000000000001)</f>
        <v>4.64</v>
      </c>
      <c r="F410" s="235">
        <f>IFERROR(__xludf.DUMMYFUNCTION("IFERROR(SUM(FILTER(Inventory!G:G,Inventory!J:J=""Closed"",Inventory!A:A=A410)),""0"")"),78.88000000000001)</f>
        <v>78.88</v>
      </c>
      <c r="G410" s="235">
        <f>IFERROR(__xludf.DUMMYFUNCTION("IFERROR(AVERAGE(FILTER(Inventory!K:K,Inventory!J:J=""Closed"",Inventory!A:A=A410)),"""")"),13.470588235294118)</f>
        <v>13.47058824</v>
      </c>
      <c r="H410" s="23" t="b">
        <v>0</v>
      </c>
      <c r="I410" s="236"/>
      <c r="J410" s="236">
        <f>MAXIFS(Inventory!D:D, Inventory!A:A, A:A)</f>
        <v>45905</v>
      </c>
      <c r="K410" s="23" t="str">
        <f>IMAGE("https://shared.fastly.steamstatic.com/store_item_assets/steam/apps/1817070/header.jpg?t=1725652915")</f>
        <v/>
      </c>
      <c r="L410" s="23">
        <f>COUNTIFS(Inventory!A:A,A410,Inventory!J:J,"Open")</f>
        <v>0</v>
      </c>
    </row>
    <row r="411">
      <c r="A411" s="233" t="s">
        <v>2903</v>
      </c>
      <c r="B411" s="23" t="str">
        <f>Publishers!A136</f>
        <v>Kalypso Media</v>
      </c>
      <c r="C411" s="78">
        <f>COUNTIF(Inventory!A:A, A411)</f>
        <v>1</v>
      </c>
      <c r="D411" s="89">
        <f>IFERROR(__xludf.DUMMYFUNCTION("IFERROR(AVERAGE(FILTER(Inventory!H:H,Inventory!J:J=""Closed"",Inventory!A:A=A411)),"""")"),0.057879377431906506)</f>
        <v>0.05787937743</v>
      </c>
      <c r="E411" s="234">
        <f>IFERROR(__xludf.DUMMYFUNCTION("IFERROR(AVERAGE(FILTER(Inventory!G:G,Inventory!J:J=""Closed"",Inventory!A:A=A411)),""0"")"),1.1899999999999977)</f>
        <v>1.19</v>
      </c>
      <c r="F411" s="235">
        <f>IFERROR(__xludf.DUMMYFUNCTION("IFERROR(SUM(FILTER(Inventory!G:G,Inventory!J:J=""Closed"",Inventory!A:A=A411)),""0"")"),1.1899999999999977)</f>
        <v>1.19</v>
      </c>
      <c r="G411" s="235">
        <f>IFERROR(__xludf.DUMMYFUNCTION("IFERROR(AVERAGE(FILTER(Inventory!K:K,Inventory!J:J=""Closed"",Inventory!A:A=A411)),"""")"),177.0)</f>
        <v>177</v>
      </c>
      <c r="H411" s="23" t="b">
        <v>0</v>
      </c>
      <c r="I411" s="236"/>
      <c r="J411" s="236">
        <f>MAXIFS(Inventory!D:D, Inventory!A:A, A:A)</f>
        <v>44930</v>
      </c>
      <c r="L411" s="23">
        <f>COUNTIFS(Inventory!A:A,A411,Inventory!J:J,"Open")</f>
        <v>0</v>
      </c>
    </row>
    <row r="412">
      <c r="A412" s="237" t="s">
        <v>204</v>
      </c>
      <c r="B412" s="23" t="str">
        <f>Publishers!A205</f>
        <v>Reverie World Studios</v>
      </c>
      <c r="C412" s="78">
        <f>COUNTIF(Inventory!A:A, A412)</f>
        <v>1</v>
      </c>
      <c r="D412" s="89">
        <f>IFERROR(__xludf.DUMMYFUNCTION("IFERROR(AVERAGE(FILTER(Inventory!H:H,Inventory!J:J=""Closed"",Inventory!A:A=A412)),"""")"),-0.36666666666666664)</f>
        <v>-0.3666666667</v>
      </c>
      <c r="E412" s="234">
        <f>IFERROR(__xludf.DUMMYFUNCTION("IFERROR(AVERAGE(FILTER(Inventory!G:G,Inventory!J:J=""Closed"",Inventory!A:A=A412)),""0"")"),-0.10999999999999999)</f>
        <v>-0.11</v>
      </c>
      <c r="F412" s="235">
        <f>IFERROR(__xludf.DUMMYFUNCTION("IFERROR(SUM(FILTER(Inventory!G:G,Inventory!J:J=""Closed"",Inventory!A:A=A412)),""0"")"),-0.10999999999999999)</f>
        <v>-0.11</v>
      </c>
      <c r="G412" s="235">
        <f>IFERROR(__xludf.DUMMYFUNCTION("IFERROR(AVERAGE(FILTER(Inventory!K:K,Inventory!J:J=""Closed"",Inventory!A:A=A412)),"""")"),464.0)</f>
        <v>464</v>
      </c>
      <c r="H412" s="23" t="b">
        <v>0</v>
      </c>
      <c r="I412" s="236"/>
      <c r="J412" s="236">
        <f>MAXIFS(Inventory!D:D, Inventory!A:A, A:A)</f>
        <v>44451</v>
      </c>
      <c r="L412" s="23">
        <f>COUNTIFS(Inventory!A:A,A412,Inventory!J:J,"Open")</f>
        <v>0</v>
      </c>
    </row>
    <row r="413">
      <c r="A413" s="237" t="s">
        <v>202</v>
      </c>
      <c r="B413" s="23" t="str">
        <f>Publishers!A205</f>
        <v>Reverie World Studios</v>
      </c>
      <c r="C413" s="78">
        <f>COUNTIF(Inventory!A:A, A413)</f>
        <v>1</v>
      </c>
      <c r="D413" s="89">
        <f>IFERROR(__xludf.DUMMYFUNCTION("IFERROR(AVERAGE(FILTER(Inventory!H:H,Inventory!J:J=""Closed"",Inventory!A:A=A413)),"""")"),-0.36666666666666664)</f>
        <v>-0.3666666667</v>
      </c>
      <c r="E413" s="234">
        <f>IFERROR(__xludf.DUMMYFUNCTION("IFERROR(AVERAGE(FILTER(Inventory!G:G,Inventory!J:J=""Closed"",Inventory!A:A=A413)),""0"")"),-0.10999999999999999)</f>
        <v>-0.11</v>
      </c>
      <c r="F413" s="235">
        <f>IFERROR(__xludf.DUMMYFUNCTION("IFERROR(SUM(FILTER(Inventory!G:G,Inventory!J:J=""Closed"",Inventory!A:A=A413)),""0"")"),-0.10999999999999999)</f>
        <v>-0.11</v>
      </c>
      <c r="G413" s="235">
        <f>IFERROR(__xludf.DUMMYFUNCTION("IFERROR(AVERAGE(FILTER(Inventory!K:K,Inventory!J:J=""Closed"",Inventory!A:A=A413)),"""")"),463.0)</f>
        <v>463</v>
      </c>
      <c r="H413" s="23" t="b">
        <v>0</v>
      </c>
      <c r="I413" s="236"/>
      <c r="J413" s="236">
        <f>MAXIFS(Inventory!D:D, Inventory!A:A, A:A)</f>
        <v>44450</v>
      </c>
      <c r="L413" s="23">
        <f>COUNTIFS(Inventory!A:A,A413,Inventory!J:J,"Open")</f>
        <v>0</v>
      </c>
    </row>
    <row r="414">
      <c r="A414" s="237" t="s">
        <v>921</v>
      </c>
      <c r="B414" s="23" t="str">
        <f>Publishers!A47</f>
        <v>CAPCOM</v>
      </c>
      <c r="C414" s="78">
        <f>COUNTIF(Inventory!A:A, A414)</f>
        <v>1</v>
      </c>
      <c r="D414" s="89">
        <f>IFERROR(__xludf.DUMMYFUNCTION("IFERROR(AVERAGE(FILTER(Inventory!H:H,Inventory!J:J=""Closed"",Inventory!A:A=A414)),"""")"),0.1660231660231659)</f>
        <v>0.166023166</v>
      </c>
      <c r="E414" s="234">
        <f>IFERROR(__xludf.DUMMYFUNCTION("IFERROR(AVERAGE(FILTER(Inventory!G:G,Inventory!J:J=""Closed"",Inventory!A:A=A414)),""0"")"),2.5799999999999983)</f>
        <v>2.58</v>
      </c>
      <c r="F414" s="235">
        <f>IFERROR(__xludf.DUMMYFUNCTION("IFERROR(SUM(FILTER(Inventory!G:G,Inventory!J:J=""Closed"",Inventory!A:A=A414)),""0"")"),2.5799999999999983)</f>
        <v>2.58</v>
      </c>
      <c r="G414" s="235">
        <f>IFERROR(__xludf.DUMMYFUNCTION("IFERROR(AVERAGE(FILTER(Inventory!K:K,Inventory!J:J=""Closed"",Inventory!A:A=A414)),"""")"),4.0)</f>
        <v>4</v>
      </c>
      <c r="H414" s="23" t="b">
        <v>0</v>
      </c>
      <c r="I414" s="236"/>
      <c r="J414" s="236">
        <f>MAXIFS(Inventory!D:D, Inventory!A:A, A:A)</f>
        <v>44219</v>
      </c>
      <c r="L414" s="23">
        <f>COUNTIFS(Inventory!A:A,A414,Inventory!J:J,"Open")</f>
        <v>0</v>
      </c>
    </row>
    <row r="415">
      <c r="A415" s="233" t="s">
        <v>2180</v>
      </c>
      <c r="B415" s="23" t="str">
        <f>Publishers!A142</f>
        <v>Konami</v>
      </c>
      <c r="C415" s="78">
        <f>COUNTIF(Inventory!A:A, A415)</f>
        <v>90</v>
      </c>
      <c r="D415" s="89">
        <f>IFERROR(__xludf.DUMMYFUNCTION("IFERROR(AVERAGE(FILTER(Inventory!H:H,Inventory!J:J=""Closed"",Inventory!A:A=A415)),"""")"),0.1878285544206391)</f>
        <v>0.1878285544</v>
      </c>
      <c r="E415" s="234">
        <f>IFERROR(__xludf.DUMMYFUNCTION("IFERROR(AVERAGE(FILTER(Inventory!G:G,Inventory!J:J=""Closed"",Inventory!A:A=A415)),""0"")"),1.296333333333332)</f>
        <v>1.296333333</v>
      </c>
      <c r="F415" s="235">
        <f>IFERROR(__xludf.DUMMYFUNCTION("IFERROR(SUM(FILTER(Inventory!G:G,Inventory!J:J=""Closed"",Inventory!A:A=A415)),""0"")"),116.66999999999989)</f>
        <v>116.67</v>
      </c>
      <c r="G415" s="235">
        <f>IFERROR(__xludf.DUMMYFUNCTION("IFERROR(AVERAGE(FILTER(Inventory!K:K,Inventory!J:J=""Closed"",Inventory!A:A=A415)),"""")"),9.233333333333333)</f>
        <v>9.233333333</v>
      </c>
      <c r="H415" s="78" t="b">
        <v>1</v>
      </c>
      <c r="I415" s="236"/>
      <c r="J415" s="236">
        <f>MAXIFS(Inventory!D:D, Inventory!A:A, A:A)</f>
        <v>45315</v>
      </c>
      <c r="K415" s="23" t="str">
        <f>IMAGE("https://shared.akamai.steamstatic.com/store_item_assets/steam/apps/235460/header.jpg?t=1718869136")</f>
        <v/>
      </c>
      <c r="L415" s="23">
        <f>COUNTIFS(Inventory!A:A,A415,Inventory!J:J,"Open")</f>
        <v>0</v>
      </c>
    </row>
    <row r="416">
      <c r="A416" s="233" t="s">
        <v>2320</v>
      </c>
      <c r="B416" s="23" t="str">
        <f>Publishers!A142</f>
        <v>Konami</v>
      </c>
      <c r="C416" s="78">
        <f>COUNTIF(Inventory!A:A, A416)</f>
        <v>5</v>
      </c>
      <c r="D416" s="89">
        <f>IFERROR(__xludf.DUMMYFUNCTION("IFERROR(AVERAGE(FILTER(Inventory!H:H,Inventory!J:J=""Closed"",Inventory!A:A=A416)),"""")"),0.1572395473528692)</f>
        <v>0.1572395474</v>
      </c>
      <c r="E416" s="234">
        <f>IFERROR(__xludf.DUMMYFUNCTION("IFERROR(AVERAGE(FILTER(Inventory!G:G,Inventory!J:J=""Closed"",Inventory!A:A=A416)),""0"")"),2.798)</f>
        <v>2.798</v>
      </c>
      <c r="F416" s="235">
        <f>IFERROR(__xludf.DUMMYFUNCTION("IFERROR(SUM(FILTER(Inventory!G:G,Inventory!J:J=""Closed"",Inventory!A:A=A416)),""0"")"),13.99)</f>
        <v>13.99</v>
      </c>
      <c r="G416" s="235">
        <f>IFERROR(__xludf.DUMMYFUNCTION("IFERROR(AVERAGE(FILTER(Inventory!K:K,Inventory!J:J=""Closed"",Inventory!A:A=A416)),"""")"),1.4)</f>
        <v>1.4</v>
      </c>
      <c r="H416" s="23" t="b">
        <v>0</v>
      </c>
      <c r="I416" s="236"/>
      <c r="J416" s="236">
        <f>MAXIFS(Inventory!D:D, Inventory!A:A, A:A)</f>
        <v>44663</v>
      </c>
      <c r="L416" s="23">
        <f>COUNTIFS(Inventory!A:A,A416,Inventory!J:J,"Open")</f>
        <v>0</v>
      </c>
    </row>
    <row r="417">
      <c r="A417" s="237" t="s">
        <v>1275</v>
      </c>
      <c r="B417" s="23" t="str">
        <f>Publishers!A142</f>
        <v>Konami</v>
      </c>
      <c r="C417" s="78">
        <f>COUNTIF(Inventory!A:A, A417)</f>
        <v>1</v>
      </c>
      <c r="D417" s="89">
        <f>IFERROR(__xludf.DUMMYFUNCTION("IFERROR(AVERAGE(FILTER(Inventory!H:H,Inventory!J:J=""Closed"",Inventory!A:A=A417)),"""")"),0.17647058823529416)</f>
        <v>0.1764705882</v>
      </c>
      <c r="E417" s="234">
        <f>IFERROR(__xludf.DUMMYFUNCTION("IFERROR(AVERAGE(FILTER(Inventory!G:G,Inventory!J:J=""Closed"",Inventory!A:A=A417)),""0"")"),0.6000000000000001)</f>
        <v>0.6</v>
      </c>
      <c r="F417" s="235">
        <f>IFERROR(__xludf.DUMMYFUNCTION("IFERROR(SUM(FILTER(Inventory!G:G,Inventory!J:J=""Closed"",Inventory!A:A=A417)),""0"")"),0.6000000000000001)</f>
        <v>0.6</v>
      </c>
      <c r="G417" s="235">
        <f>IFERROR(__xludf.DUMMYFUNCTION("IFERROR(AVERAGE(FILTER(Inventory!K:K,Inventory!J:J=""Closed"",Inventory!A:A=A417)),"""")"),3.0)</f>
        <v>3</v>
      </c>
      <c r="H417" s="23" t="b">
        <v>0</v>
      </c>
      <c r="I417" s="236"/>
      <c r="J417" s="236">
        <f>MAXIFS(Inventory!D:D, Inventory!A:A, A:A)</f>
        <v>44382</v>
      </c>
      <c r="L417" s="23">
        <f>COUNTIFS(Inventory!A:A,A417,Inventory!J:J,"Open")</f>
        <v>0</v>
      </c>
    </row>
    <row r="418">
      <c r="A418" s="233" t="s">
        <v>4349</v>
      </c>
      <c r="B418" s="23" t="str">
        <f>Publishers!A142</f>
        <v>Konami</v>
      </c>
      <c r="C418" s="78">
        <f>COUNTIF(Inventory!A:A, A418)</f>
        <v>2</v>
      </c>
      <c r="D418" s="89">
        <f>IFERROR(__xludf.DUMMYFUNCTION("IFERROR(AVERAGE(FILTER(Inventory!H:H,Inventory!J:J=""Closed"",Inventory!A:A=A418)),"""")"),0.1169370745509719)</f>
        <v>0.1169370746</v>
      </c>
      <c r="E418" s="234">
        <f>IFERROR(__xludf.DUMMYFUNCTION("IFERROR(AVERAGE(FILTER(Inventory!G:G,Inventory!J:J=""Closed"",Inventory!A:A=A418)),""0"")"),2.5950000000000006)</f>
        <v>2.595</v>
      </c>
      <c r="F418" s="235">
        <f>IFERROR(__xludf.DUMMYFUNCTION("IFERROR(SUM(FILTER(Inventory!G:G,Inventory!J:J=""Closed"",Inventory!A:A=A418)),""0"")"),5.190000000000001)</f>
        <v>5.19</v>
      </c>
      <c r="G418" s="235">
        <f>IFERROR(__xludf.DUMMYFUNCTION("IFERROR(AVERAGE(FILTER(Inventory!K:K,Inventory!J:J=""Closed"",Inventory!A:A=A418)),"""")"),475.0)</f>
        <v>475</v>
      </c>
      <c r="H418" s="78" t="b">
        <v>0</v>
      </c>
      <c r="I418" s="236"/>
      <c r="J418" s="236">
        <f>MAXIFS(Inventory!D:D, Inventory!A:A, A:A)</f>
        <v>46197</v>
      </c>
      <c r="L418" s="23">
        <f>COUNTIFS(Inventory!A:A,A418,Inventory!J:J,"Open")</f>
        <v>0</v>
      </c>
    </row>
    <row r="419">
      <c r="A419" s="237" t="s">
        <v>1273</v>
      </c>
      <c r="B419" s="23" t="str">
        <f>Publishers!A142</f>
        <v>Konami</v>
      </c>
      <c r="C419" s="78">
        <f>COUNTIF(Inventory!A:A, A419)</f>
        <v>6</v>
      </c>
      <c r="D419" s="89">
        <f>IFERROR(__xludf.DUMMYFUNCTION("IFERROR(AVERAGE(FILTER(Inventory!H:H,Inventory!J:J=""Closed"",Inventory!A:A=A419)),"""")"),0.19480247172853263)</f>
        <v>0.1948024717</v>
      </c>
      <c r="E419" s="234">
        <f>IFERROR(__xludf.DUMMYFUNCTION("IFERROR(AVERAGE(FILTER(Inventory!G:G,Inventory!J:J=""Closed"",Inventory!A:A=A419)),""0"")"),1.7249999999999999)</f>
        <v>1.725</v>
      </c>
      <c r="F419" s="235">
        <f>IFERROR(__xludf.DUMMYFUNCTION("IFERROR(SUM(FILTER(Inventory!G:G,Inventory!J:J=""Closed"",Inventory!A:A=A419)),""0"")"),10.35)</f>
        <v>10.35</v>
      </c>
      <c r="G419" s="235">
        <f>IFERROR(__xludf.DUMMYFUNCTION("IFERROR(AVERAGE(FILTER(Inventory!K:K,Inventory!J:J=""Closed"",Inventory!A:A=A419)),"""")"),200.66666666666666)</f>
        <v>200.6666667</v>
      </c>
      <c r="H419" s="78" t="b">
        <v>1</v>
      </c>
      <c r="I419" s="236"/>
      <c r="J419" s="236">
        <f>MAXIFS(Inventory!D:D, Inventory!A:A, A:A)</f>
        <v>46046</v>
      </c>
      <c r="L419" s="23">
        <f>COUNTIFS(Inventory!A:A,A419,Inventory!J:J,"Open")</f>
        <v>0</v>
      </c>
    </row>
    <row r="420">
      <c r="A420" s="233" t="s">
        <v>7798</v>
      </c>
      <c r="B420" s="23" t="str">
        <f>Publishers!A142</f>
        <v>Konami</v>
      </c>
      <c r="C420" s="78">
        <f>COUNTIF(Inventory!A:A, A420)</f>
        <v>40</v>
      </c>
      <c r="D420" s="89">
        <f>IFERROR(__xludf.DUMMYFUNCTION("IFERROR(AVERAGE(FILTER(Inventory!H:H,Inventory!J:J=""Closed"",Inventory!A:A=A420)),"""")"),0.29232233781517214)</f>
        <v>0.2923223378</v>
      </c>
      <c r="E420" s="234">
        <f>IFERROR(__xludf.DUMMYFUNCTION("IFERROR(AVERAGE(FILTER(Inventory!G:G,Inventory!J:J=""Closed"",Inventory!A:A=A420)),""0"")"),4.572631578947369)</f>
        <v>4.572631579</v>
      </c>
      <c r="F420" s="235">
        <f>IFERROR(__xludf.DUMMYFUNCTION("IFERROR(SUM(FILTER(Inventory!G:G,Inventory!J:J=""Closed"",Inventory!A:A=A420)),""0"")"),173.76000000000002)</f>
        <v>173.76</v>
      </c>
      <c r="G420" s="235">
        <f>IFERROR(__xludf.DUMMYFUNCTION("IFERROR(AVERAGE(FILTER(Inventory!K:K,Inventory!J:J=""Closed"",Inventory!A:A=A420)),"""")"),2.6315789473684212)</f>
        <v>2.631578947</v>
      </c>
      <c r="H420" s="78" t="b">
        <v>0</v>
      </c>
      <c r="I420" s="236"/>
      <c r="J420" s="236">
        <f>MAXIFS(Inventory!D:D, Inventory!A:A, A:A)</f>
        <v>45748</v>
      </c>
      <c r="L420" s="23">
        <f>COUNTIFS(Inventory!A:A,A420,Inventory!J:J,"Open")</f>
        <v>2</v>
      </c>
    </row>
    <row r="421">
      <c r="A421" s="233" t="s">
        <v>3812</v>
      </c>
      <c r="B421" s="23" t="str">
        <f>Publishers!A86</f>
        <v>Enigma Dragons</v>
      </c>
      <c r="C421" s="78">
        <f>COUNTIF(Inventory!A:A, A421)</f>
        <v>2</v>
      </c>
      <c r="D421" s="89">
        <f>IFERROR(__xludf.DUMMYFUNCTION("IFERROR(AVERAGE(FILTER(Inventory!H:H,Inventory!J:J=""Closed"",Inventory!A:A=A421)),"""")"),0.15674115194528382)</f>
        <v>0.1567411519</v>
      </c>
      <c r="E421" s="234">
        <f>IFERROR(__xludf.DUMMYFUNCTION("IFERROR(AVERAGE(FILTER(Inventory!G:G,Inventory!J:J=""Closed"",Inventory!A:A=A421)),""0"")"),1.3050000000000006)</f>
        <v>1.305</v>
      </c>
      <c r="F421" s="235">
        <f>IFERROR(__xludf.DUMMYFUNCTION("IFERROR(SUM(FILTER(Inventory!G:G,Inventory!J:J=""Closed"",Inventory!A:A=A421)),""0"")"),2.610000000000001)</f>
        <v>2.61</v>
      </c>
      <c r="G421" s="235">
        <f>IFERROR(__xludf.DUMMYFUNCTION("IFERROR(AVERAGE(FILTER(Inventory!K:K,Inventory!J:J=""Closed"",Inventory!A:A=A421)),"""")"),114.5)</f>
        <v>114.5</v>
      </c>
      <c r="H421" s="78" t="b">
        <v>0</v>
      </c>
      <c r="I421" s="236"/>
      <c r="J421" s="236">
        <f>MAXIFS(Inventory!D:D, Inventory!A:A, A:A)</f>
        <v>45166</v>
      </c>
      <c r="L421" s="23">
        <f>COUNTIFS(Inventory!A:A,A421,Inventory!J:J,"Open")</f>
        <v>0</v>
      </c>
    </row>
    <row r="422">
      <c r="A422" s="233" t="s">
        <v>4115</v>
      </c>
      <c r="B422" s="23" t="str">
        <f>Publishers!A8</f>
        <v>505 Games</v>
      </c>
      <c r="C422" s="78">
        <f>COUNTIF(Inventory!A:A, A422)</f>
        <v>1</v>
      </c>
      <c r="D422" s="89" t="str">
        <f>IFERROR(__xludf.DUMMYFUNCTION("IFERROR(AVERAGE(FILTER(Inventory!H:H,Inventory!J:J=""Closed"",Inventory!A:A=A422)),"""")"),"")</f>
        <v/>
      </c>
      <c r="E422" s="234" t="str">
        <f>IFERROR(__xludf.DUMMYFUNCTION("IFERROR(AVERAGE(FILTER(Inventory!G:G,Inventory!J:J=""Closed"",Inventory!A:A=A422)),""0"")"),"0")</f>
        <v>0</v>
      </c>
      <c r="F422" s="235" t="str">
        <f>IFERROR(__xludf.DUMMYFUNCTION("IFERROR(SUM(FILTER(Inventory!G:G,Inventory!J:J=""Closed"",Inventory!A:A=A422)),""0"")"),"0")</f>
        <v>0</v>
      </c>
      <c r="G422" s="235" t="str">
        <f>IFERROR(__xludf.DUMMYFUNCTION("IFERROR(AVERAGE(FILTER(Inventory!K:K,Inventory!J:J=""Closed"",Inventory!A:A=A422)),"""")"),"")</f>
        <v/>
      </c>
      <c r="H422" s="78" t="b">
        <v>0</v>
      </c>
      <c r="I422" s="236"/>
      <c r="J422" s="236">
        <f>MAXIFS(Inventory!D:D, Inventory!A:A, A:A)</f>
        <v>0</v>
      </c>
      <c r="L422" s="23">
        <f>COUNTIFS(Inventory!A:A,A422,Inventory!J:J,"Open")</f>
        <v>1</v>
      </c>
    </row>
    <row r="423">
      <c r="A423" s="237" t="s">
        <v>102</v>
      </c>
      <c r="B423" s="23" t="str">
        <f>Publishers!A74</f>
        <v>Dimension 32</v>
      </c>
      <c r="C423" s="78">
        <f>COUNTIF(Inventory!A:A, A423)</f>
        <v>5</v>
      </c>
      <c r="D423" s="89">
        <f>IFERROR(__xludf.DUMMYFUNCTION("IFERROR(AVERAGE(FILTER(Inventory!H:H,Inventory!J:J=""Closed"",Inventory!A:A=A423)),"""")"),0.41220204296347296)</f>
        <v>0.412202043</v>
      </c>
      <c r="E423" s="234">
        <f>IFERROR(__xludf.DUMMYFUNCTION("IFERROR(AVERAGE(FILTER(Inventory!G:G,Inventory!J:J=""Closed"",Inventory!A:A=A423)),""0"")"),2.1940000000000004)</f>
        <v>2.194</v>
      </c>
      <c r="F423" s="235">
        <f>IFERROR(__xludf.DUMMYFUNCTION("IFERROR(SUM(FILTER(Inventory!G:G,Inventory!J:J=""Closed"",Inventory!A:A=A423)),""0"")"),10.970000000000002)</f>
        <v>10.97</v>
      </c>
      <c r="G423" s="235">
        <f>IFERROR(__xludf.DUMMYFUNCTION("IFERROR(AVERAGE(FILTER(Inventory!K:K,Inventory!J:J=""Closed"",Inventory!A:A=A423)),"""")"),11.6)</f>
        <v>11.6</v>
      </c>
      <c r="H423" s="78" t="b">
        <v>1</v>
      </c>
      <c r="I423" s="236"/>
      <c r="J423" s="236">
        <f>MAXIFS(Inventory!D:D, Inventory!A:A, A:A)</f>
        <v>43988</v>
      </c>
      <c r="L423" s="23">
        <f>COUNTIFS(Inventory!A:A,A423,Inventory!J:J,"Open")</f>
        <v>0</v>
      </c>
    </row>
    <row r="424">
      <c r="A424" s="237" t="s">
        <v>1084</v>
      </c>
      <c r="B424" s="23" t="str">
        <f>Publishers!A161</f>
        <v>Milestone</v>
      </c>
      <c r="C424" s="78">
        <f>COUNTIF(Inventory!A:A, A424)</f>
        <v>2</v>
      </c>
      <c r="D424" s="89">
        <f>IFERROR(__xludf.DUMMYFUNCTION("IFERROR(AVERAGE(FILTER(Inventory!H:H,Inventory!J:J=""Closed"",Inventory!A:A=A424)),"""")"),0.3278599553225197)</f>
        <v>0.3278599553</v>
      </c>
      <c r="E424" s="234">
        <f>IFERROR(__xludf.DUMMYFUNCTION("IFERROR(AVERAGE(FILTER(Inventory!G:G,Inventory!J:J=""Closed"",Inventory!A:A=A424)),""0"")"),3.5700000000000003)</f>
        <v>3.57</v>
      </c>
      <c r="F424" s="235">
        <f>IFERROR(__xludf.DUMMYFUNCTION("IFERROR(SUM(FILTER(Inventory!G:G,Inventory!J:J=""Closed"",Inventory!A:A=A424)),""0"")"),7.140000000000001)</f>
        <v>7.14</v>
      </c>
      <c r="G424" s="235">
        <f>IFERROR(__xludf.DUMMYFUNCTION("IFERROR(AVERAGE(FILTER(Inventory!K:K,Inventory!J:J=""Closed"",Inventory!A:A=A424)),"""")"),35.5)</f>
        <v>35.5</v>
      </c>
      <c r="H424" s="23" t="b">
        <v>0</v>
      </c>
      <c r="I424" s="236"/>
      <c r="J424" s="236">
        <f>MAXIFS(Inventory!D:D, Inventory!A:A, A:A)</f>
        <v>44409</v>
      </c>
      <c r="L424" s="23">
        <f>COUNTIFS(Inventory!A:A,A424,Inventory!J:J,"Open")</f>
        <v>0</v>
      </c>
    </row>
    <row r="425">
      <c r="A425" s="237" t="s">
        <v>489</v>
      </c>
      <c r="B425" s="23" t="str">
        <f>Publishers!A264</f>
        <v>THQ Nordic</v>
      </c>
      <c r="C425" s="78">
        <f>COUNTIF(Inventory!A:A, A425)</f>
        <v>1</v>
      </c>
      <c r="D425" s="89">
        <f>IFERROR(__xludf.DUMMYFUNCTION("IFERROR(AVERAGE(FILTER(Inventory!H:H,Inventory!J:J=""Closed"",Inventory!A:A=A425)),"""")"),-3.8053435114503813)</f>
        <v>-3.805343511</v>
      </c>
      <c r="E425" s="234">
        <f>IFERROR(__xludf.DUMMYFUNCTION("IFERROR(AVERAGE(FILTER(Inventory!G:G,Inventory!J:J=""Closed"",Inventory!A:A=A425)),""0"")"),-9.969999999999999)</f>
        <v>-9.97</v>
      </c>
      <c r="F425" s="235">
        <f>IFERROR(__xludf.DUMMYFUNCTION("IFERROR(SUM(FILTER(Inventory!G:G,Inventory!J:J=""Closed"",Inventory!A:A=A425)),""0"")"),-9.969999999999999)</f>
        <v>-9.97</v>
      </c>
      <c r="G425" s="235">
        <f>IFERROR(__xludf.DUMMYFUNCTION("IFERROR(AVERAGE(FILTER(Inventory!K:K,Inventory!J:J=""Closed"",Inventory!A:A=A425)),"""")"),650.0)</f>
        <v>650</v>
      </c>
      <c r="H425" s="23" t="b">
        <v>0</v>
      </c>
      <c r="I425" s="236"/>
      <c r="J425" s="236">
        <f>MAXIFS(Inventory!D:D, Inventory!A:A, A:A)</f>
        <v>44710</v>
      </c>
      <c r="L425" s="23">
        <f>COUNTIFS(Inventory!A:A,A425,Inventory!J:J,"Open")</f>
        <v>0</v>
      </c>
    </row>
    <row r="426">
      <c r="A426" s="237" t="s">
        <v>1440</v>
      </c>
      <c r="B426" s="23" t="str">
        <f>Publishers!A135</f>
        <v>Junkfish Limited</v>
      </c>
      <c r="C426" s="78">
        <f>COUNTIF(Inventory!A:A, A426)</f>
        <v>2</v>
      </c>
      <c r="D426" s="89">
        <f>IFERROR(__xludf.DUMMYFUNCTION("IFERROR(AVERAGE(FILTER(Inventory!H:H,Inventory!J:J=""Closed"",Inventory!A:A=A426)),"""")"),0.7427184466019418)</f>
        <v>0.7427184466</v>
      </c>
      <c r="E426" s="234">
        <f>IFERROR(__xludf.DUMMYFUNCTION("IFERROR(AVERAGE(FILTER(Inventory!G:G,Inventory!J:J=""Closed"",Inventory!A:A=A426)),""0"")"),1.525)</f>
        <v>1.525</v>
      </c>
      <c r="F426" s="235">
        <f>IFERROR(__xludf.DUMMYFUNCTION("IFERROR(SUM(FILTER(Inventory!G:G,Inventory!J:J=""Closed"",Inventory!A:A=A426)),""0"")"),3.05)</f>
        <v>3.05</v>
      </c>
      <c r="G426" s="235">
        <f>IFERROR(__xludf.DUMMYFUNCTION("IFERROR(AVERAGE(FILTER(Inventory!K:K,Inventory!J:J=""Closed"",Inventory!A:A=A426)),"""")"),2.0)</f>
        <v>2</v>
      </c>
      <c r="H426" s="23" t="b">
        <v>0</v>
      </c>
      <c r="I426" s="236"/>
      <c r="J426" s="236">
        <f>MAXIFS(Inventory!D:D, Inventory!A:A, A:A)</f>
        <v>45252</v>
      </c>
      <c r="L426" s="23">
        <f>COUNTIFS(Inventory!A:A,A426,Inventory!J:J,"Open")</f>
        <v>0</v>
      </c>
    </row>
    <row r="427">
      <c r="A427" s="233" t="s">
        <v>5106</v>
      </c>
      <c r="B427" s="23" t="str">
        <f>Publishers!A274</f>
        <v>Triternion</v>
      </c>
      <c r="C427" s="78">
        <f>COUNTIF(Inventory!A:A, A427)</f>
        <v>5</v>
      </c>
      <c r="D427" s="89">
        <f>IFERROR(__xludf.DUMMYFUNCTION("IFERROR(AVERAGE(FILTER(Inventory!H:H,Inventory!J:J=""Closed"",Inventory!A:A=A427)),"""")"),0.15905994788115504)</f>
        <v>0.1590599479</v>
      </c>
      <c r="E427" s="234">
        <f>IFERROR(__xludf.DUMMYFUNCTION("IFERROR(AVERAGE(FILTER(Inventory!G:G,Inventory!J:J=""Closed"",Inventory!A:A=A427)),""0"")"),0.7379999999999998)</f>
        <v>0.738</v>
      </c>
      <c r="F427" s="235">
        <f>IFERROR(__xludf.DUMMYFUNCTION("IFERROR(SUM(FILTER(Inventory!G:G,Inventory!J:J=""Closed"",Inventory!A:A=A427)),""0"")"),3.6899999999999986)</f>
        <v>3.69</v>
      </c>
      <c r="G427" s="235">
        <f>IFERROR(__xludf.DUMMYFUNCTION("IFERROR(AVERAGE(FILTER(Inventory!K:K,Inventory!J:J=""Closed"",Inventory!A:A=A427)),"""")"),2.2)</f>
        <v>2.2</v>
      </c>
      <c r="H427" s="78" t="b">
        <v>0</v>
      </c>
      <c r="I427" s="236"/>
      <c r="J427" s="236">
        <f>MAXIFS(Inventory!D:D, Inventory!A:A, A:A)</f>
        <v>45960</v>
      </c>
      <c r="L427" s="23">
        <f>COUNTIFS(Inventory!A:A,A427,Inventory!J:J,"Open")</f>
        <v>0</v>
      </c>
    </row>
    <row r="428">
      <c r="A428" s="237" t="s">
        <v>1291</v>
      </c>
      <c r="B428" s="23" t="str">
        <f>Publishers!A274</f>
        <v>Triternion</v>
      </c>
      <c r="C428" s="78">
        <f>COUNTIF(Inventory!A:A, A428)</f>
        <v>12</v>
      </c>
      <c r="D428" s="89">
        <f>IFERROR(__xludf.DUMMYFUNCTION("IFERROR(AVERAGE(FILTER(Inventory!H:H,Inventory!J:J=""Closed"",Inventory!A:A=A428)),"""")"),0.23237766917317168)</f>
        <v>0.2323776692</v>
      </c>
      <c r="E428" s="234">
        <f>IFERROR(__xludf.DUMMYFUNCTION("IFERROR(AVERAGE(FILTER(Inventory!G:G,Inventory!J:J=""Closed"",Inventory!A:A=A428)),""0"")"),2.636666666666667)</f>
        <v>2.636666667</v>
      </c>
      <c r="F428" s="235">
        <f>IFERROR(__xludf.DUMMYFUNCTION("IFERROR(SUM(FILTER(Inventory!G:G,Inventory!J:J=""Closed"",Inventory!A:A=A428)),""0"")"),31.640000000000008)</f>
        <v>31.64</v>
      </c>
      <c r="G428" s="235">
        <f>IFERROR(__xludf.DUMMYFUNCTION("IFERROR(AVERAGE(FILTER(Inventory!K:K,Inventory!J:J=""Closed"",Inventory!A:A=A428)),"""")"),1.4166666666666667)</f>
        <v>1.416666667</v>
      </c>
      <c r="H428" s="78" t="b">
        <v>1</v>
      </c>
      <c r="I428" s="236"/>
      <c r="J428" s="236">
        <f>MAXIFS(Inventory!D:D, Inventory!A:A, A:A)</f>
        <v>44765</v>
      </c>
      <c r="L428" s="23">
        <f>COUNTIFS(Inventory!A:A,A428,Inventory!J:J,"Open")</f>
        <v>0</v>
      </c>
    </row>
    <row r="429">
      <c r="A429" s="237" t="s">
        <v>803</v>
      </c>
      <c r="B429" s="23" t="str">
        <f>Publishers!A167</f>
        <v>Nacon</v>
      </c>
      <c r="C429" s="78">
        <f>COUNTIF(Inventory!A:A, A429)</f>
        <v>4</v>
      </c>
      <c r="D429" s="89">
        <f>IFERROR(__xludf.DUMMYFUNCTION("IFERROR(AVERAGE(FILTER(Inventory!H:H,Inventory!J:J=""Closed"",Inventory!A:A=A429)),"""")"),0.8040540540540541)</f>
        <v>0.8040540541</v>
      </c>
      <c r="E429" s="234">
        <f>IFERROR(__xludf.DUMMYFUNCTION("IFERROR(AVERAGE(FILTER(Inventory!G:G,Inventory!J:J=""Closed"",Inventory!A:A=A429)),""0"")"),0.4650000000000001)</f>
        <v>0.465</v>
      </c>
      <c r="F429" s="235">
        <f>IFERROR(__xludf.DUMMYFUNCTION("IFERROR(SUM(FILTER(Inventory!G:G,Inventory!J:J=""Closed"",Inventory!A:A=A429)),""0"")"),1.8600000000000003)</f>
        <v>1.86</v>
      </c>
      <c r="G429" s="235">
        <f>IFERROR(__xludf.DUMMYFUNCTION("IFERROR(AVERAGE(FILTER(Inventory!K:K,Inventory!J:J=""Closed"",Inventory!A:A=A429)),"""")"),15.5)</f>
        <v>15.5</v>
      </c>
      <c r="H429" s="23" t="b">
        <v>0</v>
      </c>
      <c r="I429" s="236"/>
      <c r="J429" s="236">
        <f>MAXIFS(Inventory!D:D, Inventory!A:A, A:A)</f>
        <v>45737</v>
      </c>
      <c r="L429" s="23">
        <f>COUNTIFS(Inventory!A:A,A429,Inventory!J:J,"Open")</f>
        <v>0</v>
      </c>
    </row>
    <row r="430">
      <c r="A430" s="233" t="s">
        <v>2029</v>
      </c>
      <c r="B430" s="23" t="str">
        <f>Publishers!A193</f>
        <v>Playstack</v>
      </c>
      <c r="C430" s="78">
        <f>COUNTIF(Inventory!A:A, A430)</f>
        <v>6</v>
      </c>
      <c r="D430" s="89">
        <f>IFERROR(__xludf.DUMMYFUNCTION("IFERROR(AVERAGE(FILTER(Inventory!H:H,Inventory!J:J=""Closed"",Inventory!A:A=A430)),"""")"),0.15370535609399746)</f>
        <v>0.1537053561</v>
      </c>
      <c r="E430" s="234">
        <f>IFERROR(__xludf.DUMMYFUNCTION("IFERROR(AVERAGE(FILTER(Inventory!G:G,Inventory!J:J=""Closed"",Inventory!A:A=A430)),""0"")"),2.4666666666666672)</f>
        <v>2.466666667</v>
      </c>
      <c r="F430" s="235">
        <f>IFERROR(__xludf.DUMMYFUNCTION("IFERROR(SUM(FILTER(Inventory!G:G,Inventory!J:J=""Closed"",Inventory!A:A=A430)),""0"")"),14.800000000000004)</f>
        <v>14.8</v>
      </c>
      <c r="G430" s="235">
        <f>IFERROR(__xludf.DUMMYFUNCTION("IFERROR(AVERAGE(FILTER(Inventory!K:K,Inventory!J:J=""Closed"",Inventory!A:A=A430)),"""")"),388.6666666666667)</f>
        <v>388.6666667</v>
      </c>
      <c r="H430" s="23" t="b">
        <v>0</v>
      </c>
      <c r="I430" s="236"/>
      <c r="J430" s="236">
        <f>MAXIFS(Inventory!D:D, Inventory!A:A, A:A)</f>
        <v>45980</v>
      </c>
      <c r="L430" s="23">
        <f>COUNTIFS(Inventory!A:A,A430,Inventory!J:J,"Open")</f>
        <v>0</v>
      </c>
    </row>
    <row r="431">
      <c r="A431" s="237" t="s">
        <v>283</v>
      </c>
      <c r="B431" s="23" t="str">
        <f>Publishers!A263</f>
        <v>Those Awesome Guys</v>
      </c>
      <c r="C431" s="78">
        <f>COUNTIF(Inventory!A:A, A431)</f>
        <v>2</v>
      </c>
      <c r="D431" s="89">
        <f>IFERROR(__xludf.DUMMYFUNCTION("IFERROR(AVERAGE(FILTER(Inventory!H:H,Inventory!J:J=""Closed"",Inventory!A:A=A431)),"""")"),0.3110225271159729)</f>
        <v>0.3110225271</v>
      </c>
      <c r="E431" s="234">
        <f>IFERROR(__xludf.DUMMYFUNCTION("IFERROR(AVERAGE(FILTER(Inventory!G:G,Inventory!J:J=""Closed"",Inventory!A:A=A431)),""0"")"),1.4449999999999998)</f>
        <v>1.445</v>
      </c>
      <c r="F431" s="235">
        <f>IFERROR(__xludf.DUMMYFUNCTION("IFERROR(SUM(FILTER(Inventory!G:G,Inventory!J:J=""Closed"",Inventory!A:A=A431)),""0"")"),2.8899999999999997)</f>
        <v>2.89</v>
      </c>
      <c r="G431" s="235">
        <f>IFERROR(__xludf.DUMMYFUNCTION("IFERROR(AVERAGE(FILTER(Inventory!K:K,Inventory!J:J=""Closed"",Inventory!A:A=A431)),"""")"),10.5)</f>
        <v>10.5</v>
      </c>
      <c r="H431" s="23" t="b">
        <v>0</v>
      </c>
      <c r="I431" s="236"/>
      <c r="J431" s="236">
        <f>MAXIFS(Inventory!D:D, Inventory!A:A, A:A)</f>
        <v>44026</v>
      </c>
      <c r="L431" s="23">
        <f>COUNTIFS(Inventory!A:A,A431,Inventory!J:J,"Open")</f>
        <v>0</v>
      </c>
    </row>
    <row r="432">
      <c r="A432" s="237" t="s">
        <v>1543</v>
      </c>
      <c r="B432" s="23" t="str">
        <f>Publishers!A259</f>
        <v>The Irregular Corporation</v>
      </c>
      <c r="C432" s="78">
        <f>COUNTIF(Inventory!A:A, A432)</f>
        <v>1</v>
      </c>
      <c r="D432" s="89">
        <f>IFERROR(__xludf.DUMMYFUNCTION("IFERROR(AVERAGE(FILTER(Inventory!H:H,Inventory!J:J=""Closed"",Inventory!A:A=A432)),"""")"),0.1287425149700598)</f>
        <v>0.128742515</v>
      </c>
      <c r="E432" s="234">
        <f>IFERROR(__xludf.DUMMYFUNCTION("IFERROR(AVERAGE(FILTER(Inventory!G:G,Inventory!J:J=""Closed"",Inventory!A:A=A432)),""0"")"),0.4299999999999997)</f>
        <v>0.43</v>
      </c>
      <c r="F432" s="235">
        <f>IFERROR(__xludf.DUMMYFUNCTION("IFERROR(SUM(FILTER(Inventory!G:G,Inventory!J:J=""Closed"",Inventory!A:A=A432)),""0"")"),0.4299999999999997)</f>
        <v>0.43</v>
      </c>
      <c r="G432" s="235">
        <f>IFERROR(__xludf.DUMMYFUNCTION("IFERROR(AVERAGE(FILTER(Inventory!K:K,Inventory!J:J=""Closed"",Inventory!A:A=A432)),"""")"),25.0)</f>
        <v>25</v>
      </c>
      <c r="H432" s="23" t="b">
        <v>0</v>
      </c>
      <c r="I432" s="236"/>
      <c r="J432" s="236">
        <f>MAXIFS(Inventory!D:D, Inventory!A:A, A:A)</f>
        <v>44514</v>
      </c>
      <c r="L432" s="23">
        <f>COUNTIFS(Inventory!A:A,A432,Inventory!J:J,"Open")</f>
        <v>0</v>
      </c>
    </row>
    <row r="433">
      <c r="A433" s="237" t="s">
        <v>1759</v>
      </c>
      <c r="B433" s="23" t="str">
        <f>Publishers!A264</f>
        <v>THQ Nordic</v>
      </c>
      <c r="C433" s="78">
        <f>COUNTIF(Inventory!A:A, A433)</f>
        <v>1</v>
      </c>
      <c r="D433" s="89">
        <f>IFERROR(__xludf.DUMMYFUNCTION("IFERROR(AVERAGE(FILTER(Inventory!H:H,Inventory!J:J=""Closed"",Inventory!A:A=A433)),"""")"),0.08459869848156194)</f>
        <v>0.08459869848</v>
      </c>
      <c r="E433" s="234">
        <f>IFERROR(__xludf.DUMMYFUNCTION("IFERROR(AVERAGE(FILTER(Inventory!G:G,Inventory!J:J=""Closed"",Inventory!A:A=A433)),""0"")"),0.7800000000000011)</f>
        <v>0.78</v>
      </c>
      <c r="F433" s="235">
        <f>IFERROR(__xludf.DUMMYFUNCTION("IFERROR(SUM(FILTER(Inventory!G:G,Inventory!J:J=""Closed"",Inventory!A:A=A433)),""0"")"),0.7800000000000011)</f>
        <v>0.78</v>
      </c>
      <c r="G433" s="235">
        <f>IFERROR(__xludf.DUMMYFUNCTION("IFERROR(AVERAGE(FILTER(Inventory!K:K,Inventory!J:J=""Closed"",Inventory!A:A=A433)),"""")"),5.0)</f>
        <v>5</v>
      </c>
      <c r="H433" s="23" t="b">
        <v>0</v>
      </c>
      <c r="I433" s="236"/>
      <c r="J433" s="236">
        <f>MAXIFS(Inventory!D:D, Inventory!A:A, A:A)</f>
        <v>44551</v>
      </c>
      <c r="L433" s="23">
        <f>COUNTIFS(Inventory!A:A,A433,Inventory!J:J,"Open")</f>
        <v>0</v>
      </c>
    </row>
    <row r="434">
      <c r="A434" s="233" t="s">
        <v>2703</v>
      </c>
      <c r="B434" s="23" t="str">
        <f>Publishers!A189</f>
        <v>Pathea Games</v>
      </c>
      <c r="C434" s="78">
        <f>COUNTIF(Inventory!A:A, A434)</f>
        <v>2</v>
      </c>
      <c r="D434" s="89">
        <f>IFERROR(__xludf.DUMMYFUNCTION("IFERROR(AVERAGE(FILTER(Inventory!H:H,Inventory!J:J=""Closed"",Inventory!A:A=A434)),"""")"),0.07662436041155637)</f>
        <v>0.07662436041</v>
      </c>
      <c r="E434" s="234">
        <f>IFERROR(__xludf.DUMMYFUNCTION("IFERROR(AVERAGE(FILTER(Inventory!G:G,Inventory!J:J=""Closed"",Inventory!A:A=A434)),""0"")"),1.7199999999999989)</f>
        <v>1.72</v>
      </c>
      <c r="F434" s="235">
        <f>IFERROR(__xludf.DUMMYFUNCTION("IFERROR(SUM(FILTER(Inventory!G:G,Inventory!J:J=""Closed"",Inventory!A:A=A434)),""0"")"),3.4399999999999977)</f>
        <v>3.44</v>
      </c>
      <c r="G434" s="235">
        <f>IFERROR(__xludf.DUMMYFUNCTION("IFERROR(AVERAGE(FILTER(Inventory!K:K,Inventory!J:J=""Closed"",Inventory!A:A=A434)),"""")"),186.0)</f>
        <v>186</v>
      </c>
      <c r="H434" s="23" t="b">
        <v>0</v>
      </c>
      <c r="I434" s="236"/>
      <c r="J434" s="236">
        <f>MAXIFS(Inventory!D:D, Inventory!A:A, A:A)</f>
        <v>45241</v>
      </c>
      <c r="L434" s="23">
        <f>COUNTIFS(Inventory!A:A,A434,Inventory!J:J,"Open")</f>
        <v>0</v>
      </c>
    </row>
    <row r="435">
      <c r="A435" s="233" t="s">
        <v>4403</v>
      </c>
      <c r="B435" s="23" t="str">
        <f>Publishers!A189</f>
        <v>Pathea Games</v>
      </c>
      <c r="C435" s="78">
        <f>COUNTIF(Inventory!A:A, A435)</f>
        <v>1</v>
      </c>
      <c r="D435" s="89">
        <f>IFERROR(__xludf.DUMMYFUNCTION("IFERROR(AVERAGE(FILTER(Inventory!H:H,Inventory!J:J=""Closed"",Inventory!A:A=A435)),"""")"),0.2014549524342474)</f>
        <v>0.2014549524</v>
      </c>
      <c r="E435" s="234">
        <f>IFERROR(__xludf.DUMMYFUNCTION("IFERROR(AVERAGE(FILTER(Inventory!G:G,Inventory!J:J=""Closed"",Inventory!A:A=A435)),""0"")"),3.6000000000000014)</f>
        <v>3.6</v>
      </c>
      <c r="F435" s="235">
        <f>IFERROR(__xludf.DUMMYFUNCTION("IFERROR(SUM(FILTER(Inventory!G:G,Inventory!J:J=""Closed"",Inventory!A:A=A435)),""0"")"),3.6000000000000014)</f>
        <v>3.6</v>
      </c>
      <c r="G435" s="235">
        <f>IFERROR(__xludf.DUMMYFUNCTION("IFERROR(AVERAGE(FILTER(Inventory!K:K,Inventory!J:J=""Closed"",Inventory!A:A=A435)),"""")"),19.0)</f>
        <v>19</v>
      </c>
      <c r="H435" s="23" t="b">
        <v>0</v>
      </c>
      <c r="I435" s="236"/>
      <c r="J435" s="236">
        <f>MAXIFS(Inventory!D:D, Inventory!A:A, A:A)</f>
        <v>45140</v>
      </c>
      <c r="L435" s="23">
        <f>COUNTIFS(Inventory!A:A,A435,Inventory!J:J,"Open")</f>
        <v>0</v>
      </c>
    </row>
    <row r="436">
      <c r="A436" s="237" t="s">
        <v>688</v>
      </c>
      <c r="B436" s="23" t="str">
        <f>Publishers!A223</f>
        <v>Serenity Forge</v>
      </c>
      <c r="C436" s="78">
        <f>COUNTIF(Inventory!A:A, A436)</f>
        <v>1</v>
      </c>
      <c r="D436" s="89">
        <f>IFERROR(__xludf.DUMMYFUNCTION("IFERROR(AVERAGE(FILTER(Inventory!H:H,Inventory!J:J=""Closed"",Inventory!A:A=A436)),"""")"),0.26027397260273966)</f>
        <v>0.2602739726</v>
      </c>
      <c r="E436" s="234">
        <f>IFERROR(__xludf.DUMMYFUNCTION("IFERROR(AVERAGE(FILTER(Inventory!G:G,Inventory!J:J=""Closed"",Inventory!A:A=A436)),""0"")"),0.18999999999999995)</f>
        <v>0.19</v>
      </c>
      <c r="F436" s="235">
        <f>IFERROR(__xludf.DUMMYFUNCTION("IFERROR(SUM(FILTER(Inventory!G:G,Inventory!J:J=""Closed"",Inventory!A:A=A436)),""0"")"),0.18999999999999995)</f>
        <v>0.19</v>
      </c>
      <c r="G436" s="235">
        <f>IFERROR(__xludf.DUMMYFUNCTION("IFERROR(AVERAGE(FILTER(Inventory!K:K,Inventory!J:J=""Closed"",Inventory!A:A=A436)),"""")"),227.0)</f>
        <v>227</v>
      </c>
      <c r="H436" s="23" t="b">
        <v>0</v>
      </c>
      <c r="I436" s="236"/>
      <c r="J436" s="236">
        <f>MAXIFS(Inventory!D:D, Inventory!A:A, A:A)</f>
        <v>44339</v>
      </c>
      <c r="L436" s="23">
        <f>COUNTIFS(Inventory!A:A,A436,Inventory!J:J,"Open")</f>
        <v>0</v>
      </c>
    </row>
    <row r="437">
      <c r="A437" s="237" t="s">
        <v>691</v>
      </c>
      <c r="B437" s="23" t="str">
        <f>Publishers!A63</f>
        <v>Curve Digital</v>
      </c>
      <c r="C437" s="78">
        <f>COUNTIF(Inventory!A:A, A437)</f>
        <v>3</v>
      </c>
      <c r="D437" s="89">
        <f>IFERROR(__xludf.DUMMYFUNCTION("IFERROR(AVERAGE(FILTER(Inventory!H:H,Inventory!J:J=""Closed"",Inventory!A:A=A437)),"""")"),-0.0787878787878787)</f>
        <v>-0.07878787879</v>
      </c>
      <c r="E437" s="234">
        <f>IFERROR(__xludf.DUMMYFUNCTION("IFERROR(AVERAGE(FILTER(Inventory!G:G,Inventory!J:J=""Closed"",Inventory!A:A=A437)),""0"")"),-0.0433333333333333)</f>
        <v>-0.04333333333</v>
      </c>
      <c r="F437" s="235">
        <f>IFERROR(__xludf.DUMMYFUNCTION("IFERROR(SUM(FILTER(Inventory!G:G,Inventory!J:J=""Closed"",Inventory!A:A=A437)),""0"")"),-0.1299999999999999)</f>
        <v>-0.13</v>
      </c>
      <c r="G437" s="235">
        <f>IFERROR(__xludf.DUMMYFUNCTION("IFERROR(AVERAGE(FILTER(Inventory!K:K,Inventory!J:J=""Closed"",Inventory!A:A=A437)),"""")"),551.6666666666666)</f>
        <v>551.6666667</v>
      </c>
      <c r="H437" s="23" t="b">
        <v>0</v>
      </c>
      <c r="I437" s="236"/>
      <c r="J437" s="236">
        <f>MAXIFS(Inventory!D:D, Inventory!A:A, A:A)</f>
        <v>44681</v>
      </c>
      <c r="L437" s="23">
        <f>COUNTIFS(Inventory!A:A,A437,Inventory!J:J,"Open")</f>
        <v>0</v>
      </c>
    </row>
    <row r="438">
      <c r="A438" s="237" t="s">
        <v>239</v>
      </c>
      <c r="B438" s="23" t="str">
        <f>Publishers!A63</f>
        <v>Curve Digital</v>
      </c>
      <c r="C438" s="78">
        <f>COUNTIF(Inventory!A:A, A438)</f>
        <v>3</v>
      </c>
      <c r="D438" s="89">
        <f>IFERROR(__xludf.DUMMYFUNCTION("IFERROR(AVERAGE(FILTER(Inventory!H:H,Inventory!J:J=""Closed"",Inventory!A:A=A438)),"""")"),0.09093642823555718)</f>
        <v>0.09093642824</v>
      </c>
      <c r="E438" s="234">
        <f>IFERROR(__xludf.DUMMYFUNCTION("IFERROR(AVERAGE(FILTER(Inventory!G:G,Inventory!J:J=""Closed"",Inventory!A:A=A438)),""0"")"),0.3133333333333333)</f>
        <v>0.3133333333</v>
      </c>
      <c r="F438" s="235">
        <f>IFERROR(__xludf.DUMMYFUNCTION("IFERROR(SUM(FILTER(Inventory!G:G,Inventory!J:J=""Closed"",Inventory!A:A=A438)),""0"")"),0.94)</f>
        <v>0.94</v>
      </c>
      <c r="G438" s="235">
        <f>IFERROR(__xludf.DUMMYFUNCTION("IFERROR(AVERAGE(FILTER(Inventory!K:K,Inventory!J:J=""Closed"",Inventory!A:A=A438)),"""")"),46.0)</f>
        <v>46</v>
      </c>
      <c r="H438" s="23" t="b">
        <v>0</v>
      </c>
      <c r="I438" s="236"/>
      <c r="J438" s="236">
        <f>MAXIFS(Inventory!D:D, Inventory!A:A, A:A)</f>
        <v>44054</v>
      </c>
      <c r="L438" s="23">
        <f>COUNTIFS(Inventory!A:A,A438,Inventory!J:J,"Open")</f>
        <v>0</v>
      </c>
    </row>
    <row r="439">
      <c r="A439" s="237" t="s">
        <v>923</v>
      </c>
      <c r="B439" s="23" t="str">
        <f>Publishers!A29</f>
        <v>BANDAI NAMCO</v>
      </c>
      <c r="C439" s="78">
        <f>COUNTIF(Inventory!A:A, A439)</f>
        <v>1</v>
      </c>
      <c r="D439" s="89">
        <f>IFERROR(__xludf.DUMMYFUNCTION("IFERROR(AVERAGE(FILTER(Inventory!H:H,Inventory!J:J=""Closed"",Inventory!A:A=A439)),"""")"),0.026887280248190256)</f>
        <v>0.02688728025</v>
      </c>
      <c r="E439" s="234">
        <f>IFERROR(__xludf.DUMMYFUNCTION("IFERROR(AVERAGE(FILTER(Inventory!G:G,Inventory!J:J=""Closed"",Inventory!A:A=A439)),""0"")"),0.2599999999999998)</f>
        <v>0.26</v>
      </c>
      <c r="F439" s="235">
        <f>IFERROR(__xludf.DUMMYFUNCTION("IFERROR(SUM(FILTER(Inventory!G:G,Inventory!J:J=""Closed"",Inventory!A:A=A439)),""0"")"),0.2599999999999998)</f>
        <v>0.26</v>
      </c>
      <c r="G439" s="235">
        <f>IFERROR(__xludf.DUMMYFUNCTION("IFERROR(AVERAGE(FILTER(Inventory!K:K,Inventory!J:J=""Closed"",Inventory!A:A=A439)),"""")"),17.0)</f>
        <v>17</v>
      </c>
      <c r="H439" s="23" t="b">
        <v>0</v>
      </c>
      <c r="I439" s="236"/>
      <c r="J439" s="236">
        <f>MAXIFS(Inventory!D:D, Inventory!A:A, A:A)</f>
        <v>44233</v>
      </c>
      <c r="L439" s="23">
        <f>COUNTIFS(Inventory!A:A,A439,Inventory!J:J,"Open")</f>
        <v>0</v>
      </c>
    </row>
    <row r="440">
      <c r="A440" s="237" t="s">
        <v>968</v>
      </c>
      <c r="B440" s="23" t="str">
        <f>Publishers!A165</f>
        <v>Motorsport Games</v>
      </c>
      <c r="C440" s="78">
        <f>COUNTIF(Inventory!A:A, A440)</f>
        <v>1</v>
      </c>
      <c r="D440" s="89">
        <f>IFERROR(__xludf.DUMMYFUNCTION("IFERROR(AVERAGE(FILTER(Inventory!H:H,Inventory!J:J=""Closed"",Inventory!A:A=A440)),"""")"),0.10478359908883816)</f>
        <v>0.1047835991</v>
      </c>
      <c r="E440" s="234">
        <f>IFERROR(__xludf.DUMMYFUNCTION("IFERROR(AVERAGE(FILTER(Inventory!G:G,Inventory!J:J=""Closed"",Inventory!A:A=A440)),""0"")"),0.919999999999999)</f>
        <v>0.92</v>
      </c>
      <c r="F440" s="235">
        <f>IFERROR(__xludf.DUMMYFUNCTION("IFERROR(SUM(FILTER(Inventory!G:G,Inventory!J:J=""Closed"",Inventory!A:A=A440)),""0"")"),0.919999999999999)</f>
        <v>0.92</v>
      </c>
      <c r="G440" s="235">
        <f>IFERROR(__xludf.DUMMYFUNCTION("IFERROR(AVERAGE(FILTER(Inventory!K:K,Inventory!J:J=""Closed"",Inventory!A:A=A440)),"""")"),49.0)</f>
        <v>49</v>
      </c>
      <c r="H440" s="23" t="b">
        <v>0</v>
      </c>
      <c r="I440" s="236"/>
      <c r="J440" s="236">
        <f>MAXIFS(Inventory!D:D, Inventory!A:A, A:A)</f>
        <v>44320</v>
      </c>
      <c r="L440" s="23">
        <f>COUNTIFS(Inventory!A:A,A440,Inventory!J:J,"Open")</f>
        <v>0</v>
      </c>
    </row>
    <row r="441">
      <c r="A441" s="233" t="s">
        <v>78</v>
      </c>
      <c r="B441" s="23" t="str">
        <f>Publishers!A6</f>
        <v>2K</v>
      </c>
      <c r="C441" s="78">
        <f>COUNTIF(Inventory!A:A, A441)</f>
        <v>5</v>
      </c>
      <c r="D441" s="89">
        <f>IFERROR(__xludf.DUMMYFUNCTION("IFERROR(AVERAGE(FILTER(Inventory!H:H,Inventory!J:J=""Closed"",Inventory!A:A=A441)),"""")"),0.1196702101470444)</f>
        <v>0.1196702101</v>
      </c>
      <c r="E441" s="234">
        <f>IFERROR(__xludf.DUMMYFUNCTION("IFERROR(AVERAGE(FILTER(Inventory!G:G,Inventory!J:J=""Closed"",Inventory!A:A=A441)),""0"")"),1.8460000000000005)</f>
        <v>1.846</v>
      </c>
      <c r="F441" s="235">
        <f>IFERROR(__xludf.DUMMYFUNCTION("IFERROR(SUM(FILTER(Inventory!G:G,Inventory!J:J=""Closed"",Inventory!A:A=A441)),""0"")"),9.230000000000002)</f>
        <v>9.23</v>
      </c>
      <c r="G441" s="235">
        <f>IFERROR(__xludf.DUMMYFUNCTION("IFERROR(AVERAGE(FILTER(Inventory!K:K,Inventory!J:J=""Closed"",Inventory!A:A=A441)),"""")"),22.0)</f>
        <v>22</v>
      </c>
      <c r="H441" s="23" t="b">
        <v>0</v>
      </c>
      <c r="I441" s="236"/>
      <c r="J441" s="236">
        <f>MAXIFS(Inventory!D:D, Inventory!A:A, A:A)</f>
        <v>43982</v>
      </c>
      <c r="L441" s="23">
        <f>COUNTIFS(Inventory!A:A,A441,Inventory!J:J,"Open")</f>
        <v>0</v>
      </c>
    </row>
    <row r="442">
      <c r="A442" s="233" t="s">
        <v>1879</v>
      </c>
      <c r="B442" s="23" t="str">
        <f>Publishers!A6</f>
        <v>2K</v>
      </c>
      <c r="C442" s="78">
        <f>COUNTIF(Inventory!A:A, A442)</f>
        <v>3</v>
      </c>
      <c r="D442" s="89">
        <f>IFERROR(__xludf.DUMMYFUNCTION("IFERROR(AVERAGE(FILTER(Inventory!H:H,Inventory!J:J=""Closed"",Inventory!A:A=A442)),"""")"),-0.5671297410684003)</f>
        <v>-0.5671297411</v>
      </c>
      <c r="E442" s="234">
        <f>IFERROR(__xludf.DUMMYFUNCTION("IFERROR(AVERAGE(FILTER(Inventory!G:G,Inventory!J:J=""Closed"",Inventory!A:A=A442)),""0"")"),-4.076666666666667)</f>
        <v>-4.076666667</v>
      </c>
      <c r="F442" s="235">
        <f>IFERROR(__xludf.DUMMYFUNCTION("IFERROR(SUM(FILTER(Inventory!G:G,Inventory!J:J=""Closed"",Inventory!A:A=A442)),""0"")"),-12.23)</f>
        <v>-12.23</v>
      </c>
      <c r="G442" s="235">
        <f>IFERROR(__xludf.DUMMYFUNCTION("IFERROR(AVERAGE(FILTER(Inventory!K:K,Inventory!J:J=""Closed"",Inventory!A:A=A442)),"""")"),152.66666666666666)</f>
        <v>152.6666667</v>
      </c>
      <c r="H442" s="23" t="b">
        <v>0</v>
      </c>
      <c r="I442" s="236"/>
      <c r="J442" s="236">
        <f>MAXIFS(Inventory!D:D, Inventory!A:A, A:A)</f>
        <v>44814</v>
      </c>
      <c r="L442" s="23">
        <f>COUNTIFS(Inventory!A:A,A442,Inventory!J:J,"Open")</f>
        <v>0</v>
      </c>
    </row>
    <row r="443">
      <c r="A443" s="233" t="s">
        <v>3815</v>
      </c>
      <c r="B443" s="23" t="str">
        <f>Publishers!A6</f>
        <v>2K</v>
      </c>
      <c r="C443" s="78">
        <f>COUNTIF(Inventory!A:A, A443)</f>
        <v>1</v>
      </c>
      <c r="D443" s="89">
        <f>IFERROR(__xludf.DUMMYFUNCTION("IFERROR(AVERAGE(FILTER(Inventory!H:H,Inventory!J:J=""Closed"",Inventory!A:A=A443)),"""")"),0.05846153846153849)</f>
        <v>0.05846153846</v>
      </c>
      <c r="E443" s="234">
        <f>IFERROR(__xludf.DUMMYFUNCTION("IFERROR(AVERAGE(FILTER(Inventory!G:G,Inventory!J:J=""Closed"",Inventory!A:A=A443)),""0"")"),0.5700000000000003)</f>
        <v>0.57</v>
      </c>
      <c r="F443" s="235">
        <f>IFERROR(__xludf.DUMMYFUNCTION("IFERROR(SUM(FILTER(Inventory!G:G,Inventory!J:J=""Closed"",Inventory!A:A=A443)),""0"")"),0.5700000000000003)</f>
        <v>0.57</v>
      </c>
      <c r="G443" s="235">
        <f>IFERROR(__xludf.DUMMYFUNCTION("IFERROR(AVERAGE(FILTER(Inventory!K:K,Inventory!J:J=""Closed"",Inventory!A:A=A443)),"""")"),8.0)</f>
        <v>8</v>
      </c>
      <c r="H443" s="23" t="b">
        <v>0</v>
      </c>
      <c r="I443" s="236"/>
      <c r="J443" s="236">
        <f>MAXIFS(Inventory!D:D, Inventory!A:A, A:A)</f>
        <v>45030</v>
      </c>
      <c r="L443" s="23">
        <f>COUNTIFS(Inventory!A:A,A443,Inventory!J:J,"Open")</f>
        <v>0</v>
      </c>
    </row>
    <row r="444">
      <c r="A444" s="237" t="s">
        <v>1553</v>
      </c>
      <c r="B444" s="23" t="str">
        <f>Publishers!A99</f>
        <v>Focus Home Interactive</v>
      </c>
      <c r="C444" s="78">
        <f>COUNTIF(Inventory!A:A, A444)</f>
        <v>8</v>
      </c>
      <c r="D444" s="89">
        <f>IFERROR(__xludf.DUMMYFUNCTION("IFERROR(AVERAGE(FILTER(Inventory!H:H,Inventory!J:J=""Closed"",Inventory!A:A=A444)),"""")"),-0.34116970203926633)</f>
        <v>-0.341169702</v>
      </c>
      <c r="E444" s="234">
        <f>IFERROR(__xludf.DUMMYFUNCTION("IFERROR(AVERAGE(FILTER(Inventory!G:G,Inventory!J:J=""Closed"",Inventory!A:A=A444)),""0"")"),2.2825000000000015)</f>
        <v>2.2825</v>
      </c>
      <c r="F444" s="235">
        <f>IFERROR(__xludf.DUMMYFUNCTION("IFERROR(SUM(FILTER(Inventory!G:G,Inventory!J:J=""Closed"",Inventory!A:A=A444)),""0"")"),18.260000000000012)</f>
        <v>18.26</v>
      </c>
      <c r="G444" s="235">
        <f>IFERROR(__xludf.DUMMYFUNCTION("IFERROR(AVERAGE(FILTER(Inventory!K:K,Inventory!J:J=""Closed"",Inventory!A:A=A444)),"""")"),176.5)</f>
        <v>176.5</v>
      </c>
      <c r="H444" s="78" t="b">
        <v>1</v>
      </c>
      <c r="I444" s="236"/>
      <c r="J444" s="236">
        <f>MAXIFS(Inventory!D:D, Inventory!A:A, A:A)</f>
        <v>46088</v>
      </c>
      <c r="L444" s="23">
        <f>COUNTIFS(Inventory!A:A,A444,Inventory!J:J,"Open")</f>
        <v>0</v>
      </c>
    </row>
    <row r="445">
      <c r="A445" s="233" t="s">
        <v>2164</v>
      </c>
      <c r="B445" s="23" t="str">
        <f>Publishers!A188</f>
        <v>Paradox Interactive</v>
      </c>
      <c r="C445" s="78">
        <f>COUNTIF(Inventory!A:A, A445)</f>
        <v>4</v>
      </c>
      <c r="D445" s="89">
        <f>IFERROR(__xludf.DUMMYFUNCTION("IFERROR(AVERAGE(FILTER(Inventory!H:H,Inventory!J:J=""Closed"",Inventory!A:A=A445)),"""")"),0.19155656958239636)</f>
        <v>0.1915565696</v>
      </c>
      <c r="E445" s="234">
        <f>IFERROR(__xludf.DUMMYFUNCTION("IFERROR(AVERAGE(FILTER(Inventory!G:G,Inventory!J:J=""Closed"",Inventory!A:A=A445)),""0"")"),0.43)</f>
        <v>0.43</v>
      </c>
      <c r="F445" s="235">
        <f>IFERROR(__xludf.DUMMYFUNCTION("IFERROR(SUM(FILTER(Inventory!G:G,Inventory!J:J=""Closed"",Inventory!A:A=A445)),""0"")"),1.72)</f>
        <v>1.72</v>
      </c>
      <c r="G445" s="235">
        <f>IFERROR(__xludf.DUMMYFUNCTION("IFERROR(AVERAGE(FILTER(Inventory!K:K,Inventory!J:J=""Closed"",Inventory!A:A=A445)),"""")"),11.5)</f>
        <v>11.5</v>
      </c>
      <c r="H445" s="23" t="b">
        <v>0</v>
      </c>
      <c r="I445" s="236"/>
      <c r="J445" s="236">
        <f>MAXIFS(Inventory!D:D, Inventory!A:A, A:A)</f>
        <v>44686</v>
      </c>
      <c r="L445" s="23">
        <f>COUNTIFS(Inventory!A:A,A445,Inventory!J:J,"Open")</f>
        <v>0</v>
      </c>
    </row>
    <row r="446">
      <c r="A446" s="237" t="s">
        <v>1693</v>
      </c>
      <c r="B446" s="23" t="str">
        <f>Publishers!A5</f>
        <v>1C Entertainment</v>
      </c>
      <c r="C446" s="78">
        <f>COUNTIF(Inventory!A:A, A446)</f>
        <v>1</v>
      </c>
      <c r="D446" s="89">
        <f>IFERROR(__xludf.DUMMYFUNCTION("IFERROR(AVERAGE(FILTER(Inventory!H:H,Inventory!J:J=""Closed"",Inventory!A:A=A446)),"""")"),1.0)</f>
        <v>1</v>
      </c>
      <c r="E446" s="234">
        <f>IFERROR(__xludf.DUMMYFUNCTION("IFERROR(AVERAGE(FILTER(Inventory!G:G,Inventory!J:J=""Closed"",Inventory!A:A=A446)),""0"")"),0.03)</f>
        <v>0.03</v>
      </c>
      <c r="F446" s="235">
        <f>IFERROR(__xludf.DUMMYFUNCTION("IFERROR(SUM(FILTER(Inventory!G:G,Inventory!J:J=""Closed"",Inventory!A:A=A446)),""0"")"),0.03)</f>
        <v>0.03</v>
      </c>
      <c r="G446" s="235">
        <f>IFERROR(__xludf.DUMMYFUNCTION("IFERROR(AVERAGE(FILTER(Inventory!K:K,Inventory!J:J=""Closed"",Inventory!A:A=A446)),"""")"),303.0)</f>
        <v>303</v>
      </c>
      <c r="H446" s="23" t="b">
        <v>0</v>
      </c>
      <c r="I446" s="236"/>
      <c r="J446" s="236">
        <f>MAXIFS(Inventory!D:D, Inventory!A:A, A:A)</f>
        <v>44828</v>
      </c>
      <c r="L446" s="23">
        <f>COUNTIFS(Inventory!A:A,A446,Inventory!J:J,"Open")</f>
        <v>0</v>
      </c>
    </row>
    <row r="447">
      <c r="A447" s="233" t="s">
        <v>2363</v>
      </c>
      <c r="B447" s="23" t="str">
        <f>Publishers!A115</f>
        <v>HandyGames</v>
      </c>
      <c r="C447" s="78">
        <f>COUNTIF(Inventory!A:A, A447)</f>
        <v>7</v>
      </c>
      <c r="D447" s="89">
        <f>IFERROR(__xludf.DUMMYFUNCTION("IFERROR(AVERAGE(FILTER(Inventory!H:H,Inventory!J:J=""Closed"",Inventory!A:A=A447)),"""")"),0.2916663285391778)</f>
        <v>0.2916663285</v>
      </c>
      <c r="E447" s="234">
        <f>IFERROR(__xludf.DUMMYFUNCTION("IFERROR(AVERAGE(FILTER(Inventory!G:G,Inventory!J:J=""Closed"",Inventory!A:A=A447)),""0"")"),1.3214285714285714)</f>
        <v>1.321428571</v>
      </c>
      <c r="F447" s="235">
        <f>IFERROR(__xludf.DUMMYFUNCTION("IFERROR(SUM(FILTER(Inventory!G:G,Inventory!J:J=""Closed"",Inventory!A:A=A447)),""0"")"),9.25)</f>
        <v>9.25</v>
      </c>
      <c r="G447" s="235">
        <f>IFERROR(__xludf.DUMMYFUNCTION("IFERROR(AVERAGE(FILTER(Inventory!K:K,Inventory!J:J=""Closed"",Inventory!A:A=A447)),"""")"),4.142857142857143)</f>
        <v>4.142857143</v>
      </c>
      <c r="H447" s="78" t="b">
        <v>0</v>
      </c>
      <c r="I447" s="236"/>
      <c r="J447" s="236">
        <f>MAXIFS(Inventory!D:D, Inventory!A:A, A:A)</f>
        <v>44669</v>
      </c>
      <c r="L447" s="23">
        <f>COUNTIFS(Inventory!A:A,A447,Inventory!J:J,"Open")</f>
        <v>0</v>
      </c>
    </row>
    <row r="448">
      <c r="A448" s="237" t="s">
        <v>373</v>
      </c>
      <c r="B448" s="23" t="str">
        <f>Publishers!A30</f>
        <v>Beamdog</v>
      </c>
      <c r="C448" s="78">
        <f>COUNTIF(Inventory!A:A, A448)</f>
        <v>7</v>
      </c>
      <c r="D448" s="89">
        <f>IFERROR(__xludf.DUMMYFUNCTION("IFERROR(AVERAGE(FILTER(Inventory!H:H,Inventory!J:J=""Closed"",Inventory!A:A=A448)),"""")"),0.42433641563452695)</f>
        <v>0.4243364156</v>
      </c>
      <c r="E448" s="234">
        <f>IFERROR(__xludf.DUMMYFUNCTION("IFERROR(AVERAGE(FILTER(Inventory!G:G,Inventory!J:J=""Closed"",Inventory!A:A=A448)),""0"")"),3.735714285714286)</f>
        <v>3.735714286</v>
      </c>
      <c r="F448" s="235">
        <f>IFERROR(__xludf.DUMMYFUNCTION("IFERROR(SUM(FILTER(Inventory!G:G,Inventory!J:J=""Closed"",Inventory!A:A=A448)),""0"")"),26.150000000000002)</f>
        <v>26.15</v>
      </c>
      <c r="G448" s="235">
        <f>IFERROR(__xludf.DUMMYFUNCTION("IFERROR(AVERAGE(FILTER(Inventory!K:K,Inventory!J:J=""Closed"",Inventory!A:A=A448)),"""")"),9.714285714285714)</f>
        <v>9.714285714</v>
      </c>
      <c r="H448" s="78" t="b">
        <v>1</v>
      </c>
      <c r="I448" s="236"/>
      <c r="J448" s="236">
        <f>MAXIFS(Inventory!D:D, Inventory!A:A, A:A)</f>
        <v>44368</v>
      </c>
      <c r="L448" s="23">
        <f>COUNTIFS(Inventory!A:A,A448,Inventory!J:J,"Open")</f>
        <v>0</v>
      </c>
    </row>
    <row r="449">
      <c r="A449" s="237" t="s">
        <v>279</v>
      </c>
      <c r="B449" s="23" t="str">
        <f>Publishers!A30</f>
        <v>Beamdog</v>
      </c>
      <c r="C449" s="78">
        <f>COUNTIF(Inventory!A:A, A449)</f>
        <v>4</v>
      </c>
      <c r="D449" s="89">
        <f>IFERROR(__xludf.DUMMYFUNCTION("IFERROR(AVERAGE(FILTER(Inventory!H:H,Inventory!J:J=""Closed"",Inventory!A:A=A449)),"""")"),0.3739141945132636)</f>
        <v>0.3739141945</v>
      </c>
      <c r="E449" s="234">
        <f>IFERROR(__xludf.DUMMYFUNCTION("IFERROR(AVERAGE(FILTER(Inventory!G:G,Inventory!J:J=""Closed"",Inventory!A:A=A449)),""0"")"),2.5675)</f>
        <v>2.5675</v>
      </c>
      <c r="F449" s="235">
        <f>IFERROR(__xludf.DUMMYFUNCTION("IFERROR(SUM(FILTER(Inventory!G:G,Inventory!J:J=""Closed"",Inventory!A:A=A449)),""0"")"),10.27)</f>
        <v>10.27</v>
      </c>
      <c r="G449" s="235">
        <f>IFERROR(__xludf.DUMMYFUNCTION("IFERROR(AVERAGE(FILTER(Inventory!K:K,Inventory!J:J=""Closed"",Inventory!A:A=A449)),"""")"),15.0)</f>
        <v>15</v>
      </c>
      <c r="H449" s="23" t="b">
        <v>0</v>
      </c>
      <c r="I449" s="236"/>
      <c r="J449" s="236">
        <f>MAXIFS(Inventory!D:D, Inventory!A:A, A:A)</f>
        <v>44184</v>
      </c>
      <c r="L449" s="23">
        <f>COUNTIFS(Inventory!A:A,A449,Inventory!J:J,"Open")</f>
        <v>0</v>
      </c>
    </row>
    <row r="450">
      <c r="A450" s="237" t="s">
        <v>1773</v>
      </c>
      <c r="B450" s="23" t="str">
        <f>Publishers!A30</f>
        <v>Beamdog</v>
      </c>
      <c r="C450" s="78">
        <f>COUNTIF(Inventory!A:A, A450)</f>
        <v>2</v>
      </c>
      <c r="D450" s="89">
        <f>IFERROR(__xludf.DUMMYFUNCTION("IFERROR(AVERAGE(FILTER(Inventory!H:H,Inventory!J:J=""Closed"",Inventory!A:A=A450)),"""")"),0.40669799076105617)</f>
        <v>0.4066979908</v>
      </c>
      <c r="E450" s="234">
        <f>IFERROR(__xludf.DUMMYFUNCTION("IFERROR(AVERAGE(FILTER(Inventory!G:G,Inventory!J:J=""Closed"",Inventory!A:A=A450)),""0"")"),8.855)</f>
        <v>8.855</v>
      </c>
      <c r="F450" s="235">
        <f>IFERROR(__xludf.DUMMYFUNCTION("IFERROR(SUM(FILTER(Inventory!G:G,Inventory!J:J=""Closed"",Inventory!A:A=A450)),""0"")"),17.71)</f>
        <v>17.71</v>
      </c>
      <c r="G450" s="235">
        <f>IFERROR(__xludf.DUMMYFUNCTION("IFERROR(AVERAGE(FILTER(Inventory!K:K,Inventory!J:J=""Closed"",Inventory!A:A=A450)),"""")"),44.5)</f>
        <v>44.5</v>
      </c>
      <c r="H450" s="23" t="b">
        <v>0</v>
      </c>
      <c r="I450" s="236"/>
      <c r="J450" s="236">
        <f>MAXIFS(Inventory!D:D, Inventory!A:A, A:A)</f>
        <v>44671</v>
      </c>
      <c r="K450" s="23" t="str">
        <f>IMAGE("https://shared.akamai.steamstatic.com/store_item_assets/steam/apps/704450/header.jpg?t=1713550476")</f>
        <v/>
      </c>
      <c r="L450" s="23">
        <f>COUNTIFS(Inventory!A:A,A450,Inventory!J:J,"Open")</f>
        <v>0</v>
      </c>
    </row>
    <row r="451">
      <c r="A451" s="237" t="s">
        <v>962</v>
      </c>
      <c r="B451" s="23" t="str">
        <f>Publishers!A23</f>
        <v>Aspyr</v>
      </c>
      <c r="C451" s="78">
        <f>COUNTIF(Inventory!A:A, A451)</f>
        <v>2</v>
      </c>
      <c r="D451" s="89">
        <f>IFERROR(__xludf.DUMMYFUNCTION("IFERROR(AVERAGE(FILTER(Inventory!H:H,Inventory!J:J=""Closed"",Inventory!A:A=A451)),"""")"),1.0)</f>
        <v>1</v>
      </c>
      <c r="E451" s="234">
        <f>IFERROR(__xludf.DUMMYFUNCTION("IFERROR(AVERAGE(FILTER(Inventory!G:G,Inventory!J:J=""Closed"",Inventory!A:A=A451)),""0"")"),0.45)</f>
        <v>0.45</v>
      </c>
      <c r="F451" s="235">
        <f>IFERROR(__xludf.DUMMYFUNCTION("IFERROR(SUM(FILTER(Inventory!G:G,Inventory!J:J=""Closed"",Inventory!A:A=A451)),""0"")"),0.9)</f>
        <v>0.9</v>
      </c>
      <c r="G451" s="235">
        <f>IFERROR(__xludf.DUMMYFUNCTION("IFERROR(AVERAGE(FILTER(Inventory!K:K,Inventory!J:J=""Closed"",Inventory!A:A=A451)),"""")"),64.0)</f>
        <v>64</v>
      </c>
      <c r="H451" s="23" t="b">
        <v>0</v>
      </c>
      <c r="I451" s="236"/>
      <c r="J451" s="236">
        <f>MAXIFS(Inventory!D:D, Inventory!A:A, A:A)</f>
        <v>44334</v>
      </c>
      <c r="L451" s="23">
        <f>COUNTIFS(Inventory!A:A,A451,Inventory!J:J,"Open")</f>
        <v>0</v>
      </c>
    </row>
    <row r="452">
      <c r="A452" s="233" t="s">
        <v>2829</v>
      </c>
      <c r="B452" s="23" t="str">
        <f>Publishers!A29</f>
        <v>BANDAI NAMCO</v>
      </c>
      <c r="C452" s="78">
        <f>COUNTIF(Inventory!A:A, A452)</f>
        <v>5</v>
      </c>
      <c r="D452" s="89">
        <f>IFERROR(__xludf.DUMMYFUNCTION("IFERROR(AVERAGE(FILTER(Inventory!H:H,Inventory!J:J=""Closed"",Inventory!A:A=A452)),"""")"),0.16102648350005966)</f>
        <v>0.1610264835</v>
      </c>
      <c r="E452" s="234">
        <f>IFERROR(__xludf.DUMMYFUNCTION("IFERROR(AVERAGE(FILTER(Inventory!G:G,Inventory!J:J=""Closed"",Inventory!A:A=A452)),""0"")"),1.8100000000000005)</f>
        <v>1.81</v>
      </c>
      <c r="F452" s="235">
        <f>IFERROR(__xludf.DUMMYFUNCTION("IFERROR(SUM(FILTER(Inventory!G:G,Inventory!J:J=""Closed"",Inventory!A:A=A452)),""0"")"),9.050000000000002)</f>
        <v>9.05</v>
      </c>
      <c r="G452" s="235">
        <f>IFERROR(__xludf.DUMMYFUNCTION("IFERROR(AVERAGE(FILTER(Inventory!K:K,Inventory!J:J=""Closed"",Inventory!A:A=A452)),"""")"),211.0)</f>
        <v>211</v>
      </c>
      <c r="H452" s="78" t="b">
        <v>0</v>
      </c>
      <c r="I452" s="236"/>
      <c r="J452" s="236">
        <f>MAXIFS(Inventory!D:D, Inventory!A:A, A:A)</f>
        <v>45284</v>
      </c>
      <c r="L452" s="23">
        <f>COUNTIFS(Inventory!A:A,A452,Inventory!J:J,"Open")</f>
        <v>0</v>
      </c>
    </row>
    <row r="453">
      <c r="A453" s="237" t="s">
        <v>319</v>
      </c>
      <c r="B453" s="23" t="str">
        <f>Publishers!A29</f>
        <v>BANDAI NAMCO</v>
      </c>
      <c r="C453" s="78">
        <f>COUNTIF(Inventory!A:A, A453)</f>
        <v>5</v>
      </c>
      <c r="D453" s="89">
        <f>IFERROR(__xludf.DUMMYFUNCTION("IFERROR(AVERAGE(FILTER(Inventory!H:H,Inventory!J:J=""Closed"",Inventory!A:A=A453)),"""")"),0.43797706947672943)</f>
        <v>0.4379770695</v>
      </c>
      <c r="E453" s="234">
        <f>IFERROR(__xludf.DUMMYFUNCTION("IFERROR(AVERAGE(FILTER(Inventory!G:G,Inventory!J:J=""Closed"",Inventory!A:A=A453)),""0"")"),8.506)</f>
        <v>8.506</v>
      </c>
      <c r="F453" s="235">
        <f>IFERROR(__xludf.DUMMYFUNCTION("IFERROR(SUM(FILTER(Inventory!G:G,Inventory!J:J=""Closed"",Inventory!A:A=A453)),""0"")"),42.53)</f>
        <v>42.53</v>
      </c>
      <c r="G453" s="235">
        <f>IFERROR(__xludf.DUMMYFUNCTION("IFERROR(AVERAGE(FILTER(Inventory!K:K,Inventory!J:J=""Closed"",Inventory!A:A=A453)),"""")"),89.8)</f>
        <v>89.8</v>
      </c>
      <c r="H453" s="78" t="b">
        <v>1</v>
      </c>
      <c r="I453" s="236"/>
      <c r="J453" s="236">
        <f>MAXIFS(Inventory!D:D, Inventory!A:A, A:A)</f>
        <v>45163</v>
      </c>
      <c r="K453" s="23" t="str">
        <f>IMAGE("https://shared.akamai.steamstatic.com/store_item_assets/steam/apps/798460/header.jpg?t=1719503515")</f>
        <v/>
      </c>
      <c r="L453" s="23">
        <f>COUNTIFS(Inventory!A:A,A453,Inventory!J:J,"Open")</f>
        <v>0</v>
      </c>
    </row>
    <row r="454">
      <c r="A454" s="237" t="s">
        <v>610</v>
      </c>
      <c r="B454" s="23" t="str">
        <f>Publishers!A237</f>
        <v>Square Enix</v>
      </c>
      <c r="C454" s="78">
        <f>COUNTIF(Inventory!A:A, A454)</f>
        <v>12</v>
      </c>
      <c r="D454" s="89">
        <f>IFERROR(__xludf.DUMMYFUNCTION("IFERROR(AVERAGE(FILTER(Inventory!H:H,Inventory!J:J=""Closed"",Inventory!A:A=A454)),"""")"),0.21612664165305007)</f>
        <v>0.2161266417</v>
      </c>
      <c r="E454" s="234">
        <f>IFERROR(__xludf.DUMMYFUNCTION("IFERROR(AVERAGE(FILTER(Inventory!G:G,Inventory!J:J=""Closed"",Inventory!A:A=A454)),""0"")"),2.2283333333333335)</f>
        <v>2.228333333</v>
      </c>
      <c r="F454" s="235">
        <f>IFERROR(__xludf.DUMMYFUNCTION("IFERROR(SUM(FILTER(Inventory!G:G,Inventory!J:J=""Closed"",Inventory!A:A=A454)),""0"")"),26.740000000000002)</f>
        <v>26.74</v>
      </c>
      <c r="G454" s="235">
        <f>IFERROR(__xludf.DUMMYFUNCTION("IFERROR(AVERAGE(FILTER(Inventory!K:K,Inventory!J:J=""Closed"",Inventory!A:A=A454)),"""")"),14.75)</f>
        <v>14.75</v>
      </c>
      <c r="H454" s="78" t="b">
        <v>0</v>
      </c>
      <c r="I454" s="236"/>
      <c r="J454" s="236">
        <f>MAXIFS(Inventory!D:D, Inventory!A:A, A:A)</f>
        <v>44742</v>
      </c>
      <c r="L454" s="23">
        <f>COUNTIFS(Inventory!A:A,A454,Inventory!J:J,"Open")</f>
        <v>0</v>
      </c>
    </row>
    <row r="455">
      <c r="A455" s="237" t="s">
        <v>892</v>
      </c>
      <c r="B455" s="23" t="str">
        <f>Publishers!A237</f>
        <v>Square Enix</v>
      </c>
      <c r="C455" s="78">
        <f>COUNTIF(Inventory!A:A, A455)</f>
        <v>11</v>
      </c>
      <c r="D455" s="89">
        <f>IFERROR(__xludf.DUMMYFUNCTION("IFERROR(AVERAGE(FILTER(Inventory!H:H,Inventory!J:J=""Closed"",Inventory!A:A=A455)),"""")"),0.284690206450433)</f>
        <v>0.2846902065</v>
      </c>
      <c r="E455" s="234">
        <f>IFERROR(__xludf.DUMMYFUNCTION("IFERROR(AVERAGE(FILTER(Inventory!G:G,Inventory!J:J=""Closed"",Inventory!A:A=A455)),""0"")"),10.375454545454545)</f>
        <v>10.37545455</v>
      </c>
      <c r="F455" s="235">
        <f>IFERROR(__xludf.DUMMYFUNCTION("IFERROR(SUM(FILTER(Inventory!G:G,Inventory!J:J=""Closed"",Inventory!A:A=A455)),""0"")"),114.13)</f>
        <v>114.13</v>
      </c>
      <c r="G455" s="235">
        <f>IFERROR(__xludf.DUMMYFUNCTION("IFERROR(AVERAGE(FILTER(Inventory!K:K,Inventory!J:J=""Closed"",Inventory!A:A=A455)),"""")"),105.0)</f>
        <v>105</v>
      </c>
      <c r="H455" s="78" t="b">
        <v>1</v>
      </c>
      <c r="I455" s="236"/>
      <c r="J455" s="236">
        <f>MAXIFS(Inventory!D:D, Inventory!A:A, A:A)</f>
        <v>45987</v>
      </c>
      <c r="K455" s="23" t="str">
        <f>IMAGE("https://shared.akamai.steamstatic.com/store_item_assets/steam/apps/524220/header.jpg?t=1727790045")</f>
        <v/>
      </c>
      <c r="L455" s="23">
        <f>COUNTIFS(Inventory!A:A,A455,Inventory!J:J,"Open")</f>
        <v>0</v>
      </c>
    </row>
    <row r="456">
      <c r="A456" s="233" t="s">
        <v>3687</v>
      </c>
      <c r="B456" s="23" t="str">
        <f>Publishers!A141</f>
        <v>KOEI TECMO GAMES</v>
      </c>
      <c r="C456" s="78">
        <f>COUNTIF(Inventory!A:A, A456)</f>
        <v>2</v>
      </c>
      <c r="D456" s="89">
        <f>IFERROR(__xludf.DUMMYFUNCTION("IFERROR(AVERAGE(FILTER(Inventory!H:H,Inventory!J:J=""Closed"",Inventory!A:A=A456)),"""")"),0.12736365993006593)</f>
        <v>0.1273636599</v>
      </c>
      <c r="E456" s="234">
        <f>IFERROR(__xludf.DUMMYFUNCTION("IFERROR(AVERAGE(FILTER(Inventory!G:G,Inventory!J:J=""Closed"",Inventory!A:A=A456)),""0"")"),3.6549999999999994)</f>
        <v>3.655</v>
      </c>
      <c r="F456" s="235">
        <f>IFERROR(__xludf.DUMMYFUNCTION("IFERROR(SUM(FILTER(Inventory!G:G,Inventory!J:J=""Closed"",Inventory!A:A=A456)),""0"")"),7.309999999999999)</f>
        <v>7.31</v>
      </c>
      <c r="G456" s="235">
        <f>IFERROR(__xludf.DUMMYFUNCTION("IFERROR(AVERAGE(FILTER(Inventory!K:K,Inventory!J:J=""Closed"",Inventory!A:A=A456)),"""")"),88.5)</f>
        <v>88.5</v>
      </c>
      <c r="H456" s="78" t="b">
        <v>0</v>
      </c>
      <c r="I456" s="78">
        <v>29.5</v>
      </c>
      <c r="J456" s="236">
        <f>MAXIFS(Inventory!D:D, Inventory!A:A, A:A)</f>
        <v>45179</v>
      </c>
      <c r="L456" s="23">
        <f>COUNTIFS(Inventory!A:A,A456,Inventory!J:J,"Open")</f>
        <v>0</v>
      </c>
    </row>
    <row r="457">
      <c r="A457" s="233" t="s">
        <v>4966</v>
      </c>
      <c r="B457" s="23" t="str">
        <f>Publishers!A118</f>
        <v>Hello Games</v>
      </c>
      <c r="C457" s="78">
        <f>COUNTIF(Inventory!A:A, A457)</f>
        <v>13</v>
      </c>
      <c r="D457" s="89">
        <f>IFERROR(__xludf.DUMMYFUNCTION("IFERROR(AVERAGE(FILTER(Inventory!H:H,Inventory!J:J=""Closed"",Inventory!A:A=A457)),"""")"),0.15567511923492827)</f>
        <v>0.1556751192</v>
      </c>
      <c r="E457" s="234">
        <f>IFERROR(__xludf.DUMMYFUNCTION("IFERROR(AVERAGE(FILTER(Inventory!G:G,Inventory!J:J=""Closed"",Inventory!A:A=A457)),""0"")"),4.005384615384616)</f>
        <v>4.005384615</v>
      </c>
      <c r="F457" s="235">
        <f>IFERROR(__xludf.DUMMYFUNCTION("IFERROR(SUM(FILTER(Inventory!G:G,Inventory!J:J=""Closed"",Inventory!A:A=A457)),""0"")"),52.070000000000014)</f>
        <v>52.07</v>
      </c>
      <c r="G457" s="235">
        <f>IFERROR(__xludf.DUMMYFUNCTION("IFERROR(AVERAGE(FILTER(Inventory!K:K,Inventory!J:J=""Closed"",Inventory!A:A=A457)),"""")"),1.8461538461538463)</f>
        <v>1.846153846</v>
      </c>
      <c r="H457" s="78" t="b">
        <v>0</v>
      </c>
      <c r="I457" s="236"/>
      <c r="J457" s="236">
        <f>MAXIFS(Inventory!D:D, Inventory!A:A, A:A)</f>
        <v>46091</v>
      </c>
      <c r="L457" s="23">
        <f>COUNTIFS(Inventory!A:A,A457,Inventory!J:J,"Open")</f>
        <v>0</v>
      </c>
    </row>
    <row r="458">
      <c r="A458" s="233" t="s">
        <v>4970</v>
      </c>
      <c r="B458" s="23" t="str">
        <f>Publishers!A118</f>
        <v>Hello Games</v>
      </c>
      <c r="C458" s="78">
        <f>COUNTIF(Inventory!A:A, A458)</f>
        <v>10</v>
      </c>
      <c r="D458" s="89">
        <f>IFERROR(__xludf.DUMMYFUNCTION("IFERROR(AVERAGE(FILTER(Inventory!H:H,Inventory!J:J=""Closed"",Inventory!A:A=A458)),"""")"),0.16317332905385618)</f>
        <v>0.1631733291</v>
      </c>
      <c r="E458" s="234">
        <f>IFERROR(__xludf.DUMMYFUNCTION("IFERROR(AVERAGE(FILTER(Inventory!G:G,Inventory!J:J=""Closed"",Inventory!A:A=A458)),""0"")"),4.590000000000001)</f>
        <v>4.59</v>
      </c>
      <c r="F458" s="235">
        <f>IFERROR(__xludf.DUMMYFUNCTION("IFERROR(SUM(FILTER(Inventory!G:G,Inventory!J:J=""Closed"",Inventory!A:A=A458)),""0"")"),45.900000000000006)</f>
        <v>45.9</v>
      </c>
      <c r="G458" s="235">
        <f>IFERROR(__xludf.DUMMYFUNCTION("IFERROR(AVERAGE(FILTER(Inventory!K:K,Inventory!J:J=""Closed"",Inventory!A:A=A458)),"""")"),1.2)</f>
        <v>1.2</v>
      </c>
      <c r="H458" s="78" t="b">
        <v>0</v>
      </c>
      <c r="I458" s="236"/>
      <c r="J458" s="236">
        <f>MAXIFS(Inventory!D:D, Inventory!A:A, A:A)</f>
        <v>45920</v>
      </c>
      <c r="L458" s="23">
        <f>COUNTIFS(Inventory!A:A,A458,Inventory!J:J,"Open")</f>
        <v>0</v>
      </c>
    </row>
    <row r="459">
      <c r="A459" s="233" t="s">
        <v>7715</v>
      </c>
      <c r="B459" s="23" t="str">
        <f>Publishers!A270</f>
        <v>Torn Banner Studios</v>
      </c>
      <c r="C459" s="78">
        <f>COUNTIF(Inventory!A:A, A459)</f>
        <v>4</v>
      </c>
      <c r="D459" s="89">
        <f>IFERROR(__xludf.DUMMYFUNCTION("IFERROR(AVERAGE(FILTER(Inventory!H:H,Inventory!J:J=""Closed"",Inventory!A:A=A459)),"""")"),0.30000606823766374)</f>
        <v>0.3000060682</v>
      </c>
      <c r="E459" s="234">
        <f>IFERROR(__xludf.DUMMYFUNCTION("IFERROR(AVERAGE(FILTER(Inventory!G:G,Inventory!J:J=""Closed"",Inventory!A:A=A459)),""0"")"),6.6325)</f>
        <v>6.6325</v>
      </c>
      <c r="F459" s="235">
        <f>IFERROR(__xludf.DUMMYFUNCTION("IFERROR(SUM(FILTER(Inventory!G:G,Inventory!J:J=""Closed"",Inventory!A:A=A459)),""0"")"),26.53)</f>
        <v>26.53</v>
      </c>
      <c r="G459" s="235">
        <f>IFERROR(__xludf.DUMMYFUNCTION("IFERROR(AVERAGE(FILTER(Inventory!K:K,Inventory!J:J=""Closed"",Inventory!A:A=A459)),"""")"),40.75)</f>
        <v>40.75</v>
      </c>
      <c r="H459" s="78" t="b">
        <v>0</v>
      </c>
      <c r="I459" s="236"/>
      <c r="J459" s="236">
        <f>MAXIFS(Inventory!D:D, Inventory!A:A, A:A)</f>
        <v>45751</v>
      </c>
      <c r="K459" s="23" t="str">
        <f>IMAGE("https://shared.cloudflare.steamstatic.com/store_item_assets/steam/apps/292000/header.jpg?t=1729612285")</f>
        <v/>
      </c>
      <c r="L459" s="23">
        <f>COUNTIFS(Inventory!A:A,A459,Inventory!J:J,"Open")</f>
        <v>0</v>
      </c>
    </row>
    <row r="460">
      <c r="A460" s="233" t="s">
        <v>2437</v>
      </c>
      <c r="B460" s="23" t="str">
        <f>Publishers!A225</f>
        <v>Shiro Games</v>
      </c>
      <c r="C460" s="78">
        <f>COUNTIF(Inventory!A:A, A460)</f>
        <v>20</v>
      </c>
      <c r="D460" s="89">
        <f>IFERROR(__xludf.DUMMYFUNCTION("IFERROR(AVERAGE(FILTER(Inventory!H:H,Inventory!J:J=""Closed"",Inventory!A:A=A460)),"""")"),0.271221306156469)</f>
        <v>0.2712213062</v>
      </c>
      <c r="E460" s="234">
        <f>IFERROR(__xludf.DUMMYFUNCTION("IFERROR(AVERAGE(FILTER(Inventory!G:G,Inventory!J:J=""Closed"",Inventory!A:A=A460)),""0"")"),3.1525000000000003)</f>
        <v>3.1525</v>
      </c>
      <c r="F460" s="235">
        <f>IFERROR(__xludf.DUMMYFUNCTION("IFERROR(SUM(FILTER(Inventory!G:G,Inventory!J:J=""Closed"",Inventory!A:A=A460)),""0"")"),63.050000000000004)</f>
        <v>63.05</v>
      </c>
      <c r="G460" s="235">
        <f>IFERROR(__xludf.DUMMYFUNCTION("IFERROR(AVERAGE(FILTER(Inventory!K:K,Inventory!J:J=""Closed"",Inventory!A:A=A460)),"""")"),5.5)</f>
        <v>5.5</v>
      </c>
      <c r="H460" s="78" t="b">
        <v>1</v>
      </c>
      <c r="I460" s="236"/>
      <c r="J460" s="236">
        <f>MAXIFS(Inventory!D:D, Inventory!A:A, A:A)</f>
        <v>45052</v>
      </c>
      <c r="L460" s="23">
        <f>COUNTIFS(Inventory!A:A,A460,Inventory!J:J,"Open")</f>
        <v>0</v>
      </c>
    </row>
    <row r="461">
      <c r="A461" s="233" t="s">
        <v>2916</v>
      </c>
      <c r="B461" s="23" t="str">
        <f>Publishers!A237</f>
        <v>Square Enix</v>
      </c>
      <c r="C461" s="78">
        <f>COUNTIF(Inventory!A:A, A461)</f>
        <v>1</v>
      </c>
      <c r="D461" s="89">
        <f>IFERROR(__xludf.DUMMYFUNCTION("IFERROR(AVERAGE(FILTER(Inventory!H:H,Inventory!J:J=""Closed"",Inventory!A:A=A461)),"""")"),0.09943714821763597)</f>
        <v>0.09943714822</v>
      </c>
      <c r="E461" s="234">
        <f>IFERROR(__xludf.DUMMYFUNCTION("IFERROR(AVERAGE(FILTER(Inventory!G:G,Inventory!J:J=""Closed"",Inventory!A:A=A461)),""0"")"),2.6499999999999986)</f>
        <v>2.65</v>
      </c>
      <c r="F461" s="235">
        <f>IFERROR(__xludf.DUMMYFUNCTION("IFERROR(SUM(FILTER(Inventory!G:G,Inventory!J:J=""Closed"",Inventory!A:A=A461)),""0"")"),2.6499999999999986)</f>
        <v>2.65</v>
      </c>
      <c r="G461" s="235">
        <f>IFERROR(__xludf.DUMMYFUNCTION("IFERROR(AVERAGE(FILTER(Inventory!K:K,Inventory!J:J=""Closed"",Inventory!A:A=A461)),"""")"),126.0)</f>
        <v>126</v>
      </c>
      <c r="H461" s="23" t="b">
        <v>0</v>
      </c>
      <c r="I461" s="78">
        <v>32.0</v>
      </c>
      <c r="J461" s="236">
        <f>MAXIFS(Inventory!D:D, Inventory!A:A, A:A)</f>
        <v>44882</v>
      </c>
      <c r="L461" s="23">
        <f>COUNTIFS(Inventory!A:A,A461,Inventory!J:J,"Open")</f>
        <v>0</v>
      </c>
    </row>
    <row r="462">
      <c r="A462" s="233" t="s">
        <v>5922</v>
      </c>
      <c r="B462" s="23" t="str">
        <f>Publishers!A237</f>
        <v>Square Enix</v>
      </c>
      <c r="C462" s="78">
        <f>COUNTIF(Inventory!A:A, A462)</f>
        <v>5</v>
      </c>
      <c r="D462" s="89">
        <f>IFERROR(__xludf.DUMMYFUNCTION("IFERROR(AVERAGE(FILTER(Inventory!H:H,Inventory!J:J=""Closed"",Inventory!A:A=A462)),"""")"),0.13292431609426975)</f>
        <v>0.1329243161</v>
      </c>
      <c r="E462" s="234">
        <f>IFERROR(__xludf.DUMMYFUNCTION("IFERROR(AVERAGE(FILTER(Inventory!G:G,Inventory!J:J=""Closed"",Inventory!A:A=A462)),""0"")"),5.427500000000004)</f>
        <v>5.4275</v>
      </c>
      <c r="F462" s="235">
        <f>IFERROR(__xludf.DUMMYFUNCTION("IFERROR(SUM(FILTER(Inventory!G:G,Inventory!J:J=""Closed"",Inventory!A:A=A462)),""0"")"),21.710000000000015)</f>
        <v>21.71</v>
      </c>
      <c r="G462" s="235">
        <f>IFERROR(__xludf.DUMMYFUNCTION("IFERROR(AVERAGE(FILTER(Inventory!K:K,Inventory!J:J=""Closed"",Inventory!A:A=A462)),"""")"),14.5)</f>
        <v>14.5</v>
      </c>
      <c r="H462" s="23" t="b">
        <v>0</v>
      </c>
      <c r="I462" s="78"/>
      <c r="J462" s="236">
        <f>MAXIFS(Inventory!D:D, Inventory!A:A, A:A)</f>
        <v>45371</v>
      </c>
      <c r="L462" s="23">
        <f>COUNTIFS(Inventory!A:A,A462,Inventory!J:J,"Open")</f>
        <v>1</v>
      </c>
    </row>
    <row r="463">
      <c r="A463" s="233" t="s">
        <v>5733</v>
      </c>
      <c r="B463" s="23" t="str">
        <f>Publishers!A237</f>
        <v>Square Enix</v>
      </c>
      <c r="C463" s="78">
        <f>COUNTIF(Inventory!A:A, A463)</f>
        <v>2</v>
      </c>
      <c r="D463" s="89">
        <f>IFERROR(__xludf.DUMMYFUNCTION("IFERROR(AVERAGE(FILTER(Inventory!H:H,Inventory!J:J=""Closed"",Inventory!A:A=A463)),"""")"),0.10761606415606864)</f>
        <v>0.1076160642</v>
      </c>
      <c r="E463" s="234">
        <f>IFERROR(__xludf.DUMMYFUNCTION("IFERROR(AVERAGE(FILTER(Inventory!G:G,Inventory!J:J=""Closed"",Inventory!A:A=A463)),""0"")"),4.344999999999999)</f>
        <v>4.345</v>
      </c>
      <c r="F463" s="235">
        <f>IFERROR(__xludf.DUMMYFUNCTION("IFERROR(SUM(FILTER(Inventory!G:G,Inventory!J:J=""Closed"",Inventory!A:A=A463)),""0"")"),8.689999999999998)</f>
        <v>8.69</v>
      </c>
      <c r="G463" s="235">
        <f>IFERROR(__xludf.DUMMYFUNCTION("IFERROR(AVERAGE(FILTER(Inventory!K:K,Inventory!J:J=""Closed"",Inventory!A:A=A463)),"""")"),18.0)</f>
        <v>18</v>
      </c>
      <c r="H463" s="23" t="b">
        <v>0</v>
      </c>
      <c r="I463" s="78"/>
      <c r="J463" s="236">
        <f>MAXIFS(Inventory!D:D, Inventory!A:A, A:A)</f>
        <v>45297</v>
      </c>
      <c r="L463" s="23">
        <f>COUNTIFS(Inventory!A:A,A463,Inventory!J:J,"Open")</f>
        <v>0</v>
      </c>
    </row>
    <row r="464">
      <c r="A464" s="237" t="s">
        <v>1464</v>
      </c>
      <c r="B464" s="23" t="str">
        <f>Publishers!A180</f>
        <v>Oddworld Inhabitants</v>
      </c>
      <c r="C464" s="78">
        <f>COUNTIF(Inventory!A:A, A464)</f>
        <v>12</v>
      </c>
      <c r="D464" s="89">
        <f>IFERROR(__xludf.DUMMYFUNCTION("IFERROR(AVERAGE(FILTER(Inventory!H:H,Inventory!J:J=""Closed"",Inventory!A:A=A464)),"""")"),0.2707512472197186)</f>
        <v>0.2707512472</v>
      </c>
      <c r="E464" s="234">
        <f>IFERROR(__xludf.DUMMYFUNCTION("IFERROR(AVERAGE(FILTER(Inventory!G:G,Inventory!J:J=""Closed"",Inventory!A:A=A464)),""0"")"),0.43916666666666665)</f>
        <v>0.4391666667</v>
      </c>
      <c r="F464" s="235">
        <f>IFERROR(__xludf.DUMMYFUNCTION("IFERROR(SUM(FILTER(Inventory!G:G,Inventory!J:J=""Closed"",Inventory!A:A=A464)),""0"")"),5.27)</f>
        <v>5.27</v>
      </c>
      <c r="G464" s="235">
        <f>IFERROR(__xludf.DUMMYFUNCTION("IFERROR(AVERAGE(FILTER(Inventory!K:K,Inventory!J:J=""Closed"",Inventory!A:A=A464)),"""")"),2.5833333333333335)</f>
        <v>2.583333333</v>
      </c>
      <c r="H464" s="23" t="b">
        <v>0</v>
      </c>
      <c r="I464" s="236"/>
      <c r="J464" s="236">
        <f>MAXIFS(Inventory!D:D, Inventory!A:A, A:A)</f>
        <v>44660</v>
      </c>
      <c r="L464" s="23">
        <f>COUNTIFS(Inventory!A:A,A464,Inventory!J:J,"Open")</f>
        <v>0</v>
      </c>
    </row>
    <row r="465">
      <c r="A465" s="237" t="s">
        <v>185</v>
      </c>
      <c r="B465" s="23" t="str">
        <f>Publishers!A64</f>
        <v>Cyanide Studio</v>
      </c>
      <c r="C465" s="78">
        <f>COUNTIF(Inventory!A:A, A465)</f>
        <v>1</v>
      </c>
      <c r="D465" s="89">
        <f>IFERROR(__xludf.DUMMYFUNCTION("IFERROR(AVERAGE(FILTER(Inventory!H:H,Inventory!J:J=""Closed"",Inventory!A:A=A465)),"""")"),1.0)</f>
        <v>1</v>
      </c>
      <c r="E465" s="234">
        <f>IFERROR(__xludf.DUMMYFUNCTION("IFERROR(AVERAGE(FILTER(Inventory!G:G,Inventory!J:J=""Closed"",Inventory!A:A=A465)),""0"")"),0.09)</f>
        <v>0.09</v>
      </c>
      <c r="F465" s="235">
        <f>IFERROR(__xludf.DUMMYFUNCTION("IFERROR(SUM(FILTER(Inventory!G:G,Inventory!J:J=""Closed"",Inventory!A:A=A465)),""0"")"),0.09)</f>
        <v>0.09</v>
      </c>
      <c r="G465" s="235">
        <f>IFERROR(__xludf.DUMMYFUNCTION("IFERROR(AVERAGE(FILTER(Inventory!K:K,Inventory!J:J=""Closed"",Inventory!A:A=A465)),"""")"),508.0)</f>
        <v>508</v>
      </c>
      <c r="H465" s="23" t="b">
        <v>0</v>
      </c>
      <c r="I465" s="236"/>
      <c r="J465" s="236">
        <f>MAXIFS(Inventory!D:D, Inventory!A:A, A:A)</f>
        <v>44495</v>
      </c>
      <c r="L465" s="23">
        <f>COUNTIFS(Inventory!A:A,A465,Inventory!J:J,"Open")</f>
        <v>0</v>
      </c>
    </row>
    <row r="466">
      <c r="A466" s="233" t="s">
        <v>2027</v>
      </c>
      <c r="B466" s="78" t="str">
        <f>Publishers!A199</f>
        <v>Private Division</v>
      </c>
      <c r="C466" s="78">
        <f>COUNTIF(Inventory!A:A, A466)</f>
        <v>3</v>
      </c>
      <c r="D466" s="89">
        <f>IFERROR(__xludf.DUMMYFUNCTION("IFERROR(AVERAGE(FILTER(Inventory!H:H,Inventory!J:J=""Closed"",Inventory!A:A=A466)),"""")"),0.1313586941429327)</f>
        <v>0.1313586941</v>
      </c>
      <c r="E466" s="234">
        <f>IFERROR(__xludf.DUMMYFUNCTION("IFERROR(AVERAGE(FILTER(Inventory!G:G,Inventory!J:J=""Closed"",Inventory!A:A=A466)),""0"")"),2.4200000000000013)</f>
        <v>2.42</v>
      </c>
      <c r="F466" s="235">
        <f>IFERROR(__xludf.DUMMYFUNCTION("IFERROR(SUM(FILTER(Inventory!G:G,Inventory!J:J=""Closed"",Inventory!A:A=A466)),""0"")"),7.260000000000003)</f>
        <v>7.26</v>
      </c>
      <c r="G466" s="235">
        <f>IFERROR(__xludf.DUMMYFUNCTION("IFERROR(AVERAGE(FILTER(Inventory!K:K,Inventory!J:J=""Closed"",Inventory!A:A=A466)),"""")"),22.333333333333332)</f>
        <v>22.33333333</v>
      </c>
      <c r="H466" s="23" t="b">
        <v>0</v>
      </c>
      <c r="I466" s="236"/>
      <c r="J466" s="236">
        <f>MAXIFS(Inventory!D:D, Inventory!A:A, A:A)</f>
        <v>44789</v>
      </c>
      <c r="L466" s="23">
        <f>COUNTIFS(Inventory!A:A,A466,Inventory!J:J,"Open")</f>
        <v>0</v>
      </c>
    </row>
    <row r="467">
      <c r="A467" s="233" t="s">
        <v>2718</v>
      </c>
      <c r="B467" s="78" t="str">
        <f>Publishers!A199</f>
        <v>Private Division</v>
      </c>
      <c r="C467" s="78">
        <f>COUNTIF(Inventory!A:A, A467)</f>
        <v>1</v>
      </c>
      <c r="D467" s="89">
        <f>IFERROR(__xludf.DUMMYFUNCTION("IFERROR(AVERAGE(FILTER(Inventory!H:H,Inventory!J:J=""Closed"",Inventory!A:A=A467)),"""")"),0.19606598984771573)</f>
        <v>0.1960659898</v>
      </c>
      <c r="E467" s="234">
        <f>IFERROR(__xludf.DUMMYFUNCTION("IFERROR(AVERAGE(FILTER(Inventory!G:G,Inventory!J:J=""Closed"",Inventory!A:A=A467)),""0"")"),3.09)</f>
        <v>3.09</v>
      </c>
      <c r="F467" s="235">
        <f>IFERROR(__xludf.DUMMYFUNCTION("IFERROR(SUM(FILTER(Inventory!G:G,Inventory!J:J=""Closed"",Inventory!A:A=A467)),""0"")"),3.09)</f>
        <v>3.09</v>
      </c>
      <c r="G467" s="235">
        <f>IFERROR(__xludf.DUMMYFUNCTION("IFERROR(AVERAGE(FILTER(Inventory!K:K,Inventory!J:J=""Closed"",Inventory!A:A=A467)),"""")"),4.0)</f>
        <v>4</v>
      </c>
      <c r="H467" s="23" t="b">
        <v>0</v>
      </c>
      <c r="I467" s="236"/>
      <c r="J467" s="236">
        <f>MAXIFS(Inventory!D:D, Inventory!A:A, A:A)</f>
        <v>44724</v>
      </c>
      <c r="L467" s="23">
        <f>COUNTIFS(Inventory!A:A,A467,Inventory!J:J,"Open")</f>
        <v>0</v>
      </c>
    </row>
    <row r="468">
      <c r="A468" s="237" t="s">
        <v>581</v>
      </c>
      <c r="B468" s="23" t="str">
        <f>Publishers!A227</f>
        <v>Silver Dollar Games</v>
      </c>
      <c r="C468" s="78">
        <f>COUNTIF(Inventory!A:A, A468)</f>
        <v>4</v>
      </c>
      <c r="D468" s="89">
        <f>IFERROR(__xludf.DUMMYFUNCTION("IFERROR(AVERAGE(FILTER(Inventory!H:H,Inventory!J:J=""Closed"",Inventory!A:A=A468)),"""")"),-17.5)</f>
        <v>-17.5</v>
      </c>
      <c r="E468" s="234">
        <f>IFERROR(__xludf.DUMMYFUNCTION("IFERROR(AVERAGE(FILTER(Inventory!G:G,Inventory!J:J=""Closed"",Inventory!A:A=A468)),""0"")"),-0.525)</f>
        <v>-0.525</v>
      </c>
      <c r="F468" s="235">
        <f>IFERROR(__xludf.DUMMYFUNCTION("IFERROR(SUM(FILTER(Inventory!G:G,Inventory!J:J=""Closed"",Inventory!A:A=A468)),""0"")"),-2.1)</f>
        <v>-2.1</v>
      </c>
      <c r="G468" s="235">
        <f>IFERROR(__xludf.DUMMYFUNCTION("IFERROR(AVERAGE(FILTER(Inventory!K:K,Inventory!J:J=""Closed"",Inventory!A:A=A468)),"""")"),539.0)</f>
        <v>539</v>
      </c>
      <c r="H468" s="23" t="b">
        <v>0</v>
      </c>
      <c r="I468" s="236"/>
      <c r="J468" s="236">
        <f>MAXIFS(Inventory!D:D, Inventory!A:A, A:A)</f>
        <v>44632</v>
      </c>
      <c r="L468" s="23">
        <f>COUNTIFS(Inventory!A:A,A468,Inventory!J:J,"Open")</f>
        <v>0</v>
      </c>
    </row>
    <row r="469">
      <c r="A469" s="233" t="s">
        <v>4466</v>
      </c>
      <c r="B469" s="23" t="str">
        <f>Publishers!A216</f>
        <v>SCKR Games</v>
      </c>
      <c r="C469" s="78">
        <f>COUNTIF(Inventory!A:A, A469)</f>
        <v>57</v>
      </c>
      <c r="D469" s="89">
        <f>IFERROR(__xludf.DUMMYFUNCTION("IFERROR(AVERAGE(FILTER(Inventory!H:H,Inventory!J:J=""Closed"",Inventory!A:A=A469)),"""")"),0.16213166428791656)</f>
        <v>0.1621316643</v>
      </c>
      <c r="E469" s="234">
        <f>IFERROR(__xludf.DUMMYFUNCTION("IFERROR(AVERAGE(FILTER(Inventory!G:G,Inventory!J:J=""Closed"",Inventory!A:A=A469)),""0"")"),0.8673684210526316)</f>
        <v>0.8673684211</v>
      </c>
      <c r="F469" s="235">
        <f>IFERROR(__xludf.DUMMYFUNCTION("IFERROR(SUM(FILTER(Inventory!G:G,Inventory!J:J=""Closed"",Inventory!A:A=A469)),""0"")"),49.44)</f>
        <v>49.44</v>
      </c>
      <c r="G469" s="235">
        <f>IFERROR(__xludf.DUMMYFUNCTION("IFERROR(AVERAGE(FILTER(Inventory!K:K,Inventory!J:J=""Closed"",Inventory!A:A=A469)),"""")"),3.2280701754385963)</f>
        <v>3.228070175</v>
      </c>
      <c r="H469" s="23" t="b">
        <v>0</v>
      </c>
      <c r="I469" s="236"/>
      <c r="J469" s="236">
        <f>MAXIFS(Inventory!D:D, Inventory!A:A, A:A)</f>
        <v>45177</v>
      </c>
      <c r="K469" s="23" t="str">
        <f>IMAGE("https://shared.akamai.steamstatic.com/store_item_assets/steam/apps/2562240/header.jpg?t=1696335776")</f>
        <v/>
      </c>
      <c r="L469" s="23">
        <f>COUNTIFS(Inventory!A:A,A469,Inventory!J:J,"Open")</f>
        <v>0</v>
      </c>
    </row>
    <row r="470">
      <c r="A470" s="233" t="s">
        <v>2693</v>
      </c>
      <c r="B470" s="23" t="str">
        <f>Publishers!A53</f>
        <v>Clever Plays</v>
      </c>
      <c r="C470" s="78">
        <f>COUNTIF(Inventory!A:A, A470)</f>
        <v>5</v>
      </c>
      <c r="D470" s="89">
        <f>IFERROR(__xludf.DUMMYFUNCTION("IFERROR(AVERAGE(FILTER(Inventory!H:H,Inventory!J:J=""Closed"",Inventory!A:A=A470)),"""")"),-0.006225074682849408)</f>
        <v>-0.006225074683</v>
      </c>
      <c r="E470" s="234">
        <f>IFERROR(__xludf.DUMMYFUNCTION("IFERROR(AVERAGE(FILTER(Inventory!G:G,Inventory!J:J=""Closed"",Inventory!A:A=A470)),""0"")"),1.148)</f>
        <v>1.148</v>
      </c>
      <c r="F470" s="235">
        <f>IFERROR(__xludf.DUMMYFUNCTION("IFERROR(SUM(FILTER(Inventory!G:G,Inventory!J:J=""Closed"",Inventory!A:A=A470)),""0"")"),5.739999999999999)</f>
        <v>5.74</v>
      </c>
      <c r="G470" s="235">
        <f>IFERROR(__xludf.DUMMYFUNCTION("IFERROR(AVERAGE(FILTER(Inventory!K:K,Inventory!J:J=""Closed"",Inventory!A:A=A470)),"""")"),143.4)</f>
        <v>143.4</v>
      </c>
      <c r="H470" s="23" t="b">
        <v>0</v>
      </c>
      <c r="I470" s="236"/>
      <c r="J470" s="236">
        <f>MAXIFS(Inventory!D:D, Inventory!A:A, A:A)</f>
        <v>45633</v>
      </c>
      <c r="L470" s="23">
        <f>COUNTIFS(Inventory!A:A,A470,Inventory!J:J,"Open")</f>
        <v>0</v>
      </c>
    </row>
    <row r="471">
      <c r="A471" s="237" t="s">
        <v>750</v>
      </c>
      <c r="B471" s="23" t="str">
        <f>Publishers!A99</f>
        <v>Focus Home Interactive</v>
      </c>
      <c r="C471" s="78">
        <f>COUNTIF(Inventory!A:A, A471)</f>
        <v>3</v>
      </c>
      <c r="D471" s="89">
        <f>IFERROR(__xludf.DUMMYFUNCTION("IFERROR(AVERAGE(FILTER(Inventory!H:H,Inventory!J:J=""Closed"",Inventory!A:A=A471)),"""")"),0.1403880109286155)</f>
        <v>0.1403880109</v>
      </c>
      <c r="E471" s="234">
        <f>IFERROR(__xludf.DUMMYFUNCTION("IFERROR(AVERAGE(FILTER(Inventory!G:G,Inventory!J:J=""Closed"",Inventory!A:A=A471)),""0"")"),3.306666666666668)</f>
        <v>3.306666667</v>
      </c>
      <c r="F471" s="235">
        <f>IFERROR(__xludf.DUMMYFUNCTION("IFERROR(SUM(FILTER(Inventory!G:G,Inventory!J:J=""Closed"",Inventory!A:A=A471)),""0"")"),9.920000000000003)</f>
        <v>9.92</v>
      </c>
      <c r="G471" s="235">
        <f>IFERROR(__xludf.DUMMYFUNCTION("IFERROR(AVERAGE(FILTER(Inventory!K:K,Inventory!J:J=""Closed"",Inventory!A:A=A471)),"""")"),64.33333333333333)</f>
        <v>64.33333333</v>
      </c>
      <c r="H471" s="23" t="b">
        <v>0</v>
      </c>
      <c r="I471" s="236"/>
      <c r="J471" s="236">
        <f>MAXIFS(Inventory!D:D, Inventory!A:A, A:A)</f>
        <v>44554</v>
      </c>
      <c r="L471" s="23">
        <f>COUNTIFS(Inventory!A:A,A471,Inventory!J:J,"Open")</f>
        <v>0</v>
      </c>
    </row>
    <row r="472">
      <c r="A472" s="237" t="s">
        <v>686</v>
      </c>
      <c r="B472" s="23" t="str">
        <f>Publishers!A201</f>
        <v>Raiser Games</v>
      </c>
      <c r="C472" s="78">
        <f>COUNTIF(Inventory!A:A, A472)</f>
        <v>1</v>
      </c>
      <c r="D472" s="89">
        <f>IFERROR(__xludf.DUMMYFUNCTION("IFERROR(AVERAGE(FILTER(Inventory!H:H,Inventory!J:J=""Closed"",Inventory!A:A=A472)),"""")"),0.5891472868217054)</f>
        <v>0.5891472868</v>
      </c>
      <c r="E472" s="234">
        <f>IFERROR(__xludf.DUMMYFUNCTION("IFERROR(AVERAGE(FILTER(Inventory!G:G,Inventory!J:J=""Closed"",Inventory!A:A=A472)),""0"")"),0.76)</f>
        <v>0.76</v>
      </c>
      <c r="F472" s="235">
        <f>IFERROR(__xludf.DUMMYFUNCTION("IFERROR(SUM(FILTER(Inventory!G:G,Inventory!J:J=""Closed"",Inventory!A:A=A472)),""0"")"),0.76)</f>
        <v>0.76</v>
      </c>
      <c r="G472" s="235">
        <f>IFERROR(__xludf.DUMMYFUNCTION("IFERROR(AVERAGE(FILTER(Inventory!K:K,Inventory!J:J=""Closed"",Inventory!A:A=A472)),"""")"),76.0)</f>
        <v>76</v>
      </c>
      <c r="H472" s="23" t="b">
        <v>0</v>
      </c>
      <c r="I472" s="236"/>
      <c r="J472" s="236">
        <f>MAXIFS(Inventory!D:D, Inventory!A:A, A:A)</f>
        <v>44188</v>
      </c>
      <c r="L472" s="23">
        <f>COUNTIFS(Inventory!A:A,A472,Inventory!J:J,"Open")</f>
        <v>0</v>
      </c>
    </row>
    <row r="473">
      <c r="A473" s="237" t="s">
        <v>281</v>
      </c>
      <c r="B473" s="23" t="str">
        <f>Publishers!A204</f>
        <v>Red Barrels</v>
      </c>
      <c r="C473" s="78">
        <f>COUNTIF(Inventory!A:A, A473)</f>
        <v>5</v>
      </c>
      <c r="D473" s="89">
        <f>IFERROR(__xludf.DUMMYFUNCTION("IFERROR(AVERAGE(FILTER(Inventory!H:H,Inventory!J:J=""Closed"",Inventory!A:A=A473)),"""")"),0.10257242528453892)</f>
        <v>0.1025724253</v>
      </c>
      <c r="E473" s="234">
        <f>IFERROR(__xludf.DUMMYFUNCTION("IFERROR(AVERAGE(FILTER(Inventory!G:G,Inventory!J:J=""Closed"",Inventory!A:A=A473)),""0"")"),0.37399999999999994)</f>
        <v>0.374</v>
      </c>
      <c r="F473" s="235">
        <f>IFERROR(__xludf.DUMMYFUNCTION("IFERROR(SUM(FILTER(Inventory!G:G,Inventory!J:J=""Closed"",Inventory!A:A=A473)),""0"")"),1.8699999999999997)</f>
        <v>1.87</v>
      </c>
      <c r="G473" s="235">
        <f>IFERROR(__xludf.DUMMYFUNCTION("IFERROR(AVERAGE(FILTER(Inventory!K:K,Inventory!J:J=""Closed"",Inventory!A:A=A473)),"""")"),0.4)</f>
        <v>0.4</v>
      </c>
      <c r="H473" s="23" t="b">
        <v>0</v>
      </c>
      <c r="I473" s="236"/>
      <c r="J473" s="236">
        <f>MAXIFS(Inventory!D:D, Inventory!A:A, A:A)</f>
        <v>44606</v>
      </c>
      <c r="L473" s="23">
        <f>COUNTIFS(Inventory!A:A,A473,Inventory!J:J,"Open")</f>
        <v>0</v>
      </c>
    </row>
    <row r="474">
      <c r="A474" s="233" t="s">
        <v>2747</v>
      </c>
      <c r="B474" s="23" t="str">
        <f>Publishers!A204</f>
        <v>Red Barrels</v>
      </c>
      <c r="C474" s="78">
        <f>COUNTIF(Inventory!A:A, A474)</f>
        <v>1</v>
      </c>
      <c r="D474" s="89">
        <f>IFERROR(__xludf.DUMMYFUNCTION("IFERROR(AVERAGE(FILTER(Inventory!H:H,Inventory!J:J=""Closed"",Inventory!A:A=A474)),"""")"),0.1375921375921377)</f>
        <v>0.1375921376</v>
      </c>
      <c r="E474" s="234">
        <f>IFERROR(__xludf.DUMMYFUNCTION("IFERROR(AVERAGE(FILTER(Inventory!G:G,Inventory!J:J=""Closed"",Inventory!A:A=A474)),""0"")"),1.120000000000001)</f>
        <v>1.12</v>
      </c>
      <c r="F474" s="235">
        <f>IFERROR(__xludf.DUMMYFUNCTION("IFERROR(SUM(FILTER(Inventory!G:G,Inventory!J:J=""Closed"",Inventory!A:A=A474)),""0"")"),1.120000000000001)</f>
        <v>1.12</v>
      </c>
      <c r="G474" s="235">
        <f>IFERROR(__xludf.DUMMYFUNCTION("IFERROR(AVERAGE(FILTER(Inventory!K:K,Inventory!J:J=""Closed"",Inventory!A:A=A474)),"""")"),99.0)</f>
        <v>99</v>
      </c>
      <c r="H474" s="23" t="b">
        <v>0</v>
      </c>
      <c r="I474" s="236"/>
      <c r="J474" s="236">
        <f>MAXIFS(Inventory!D:D, Inventory!A:A, A:A)</f>
        <v>44822</v>
      </c>
      <c r="L474" s="23">
        <f>COUNTIFS(Inventory!A:A,A474,Inventory!J:J,"Open")</f>
        <v>0</v>
      </c>
    </row>
    <row r="475">
      <c r="A475" s="233" t="s">
        <v>2550</v>
      </c>
      <c r="B475" s="23" t="str">
        <f>Publishers!A237</f>
        <v>Square Enix</v>
      </c>
      <c r="C475" s="78">
        <f>COUNTIF(Inventory!A:A, A475)</f>
        <v>3</v>
      </c>
      <c r="D475" s="89">
        <f>IFERROR(__xludf.DUMMYFUNCTION("IFERROR(AVERAGE(FILTER(Inventory!H:H,Inventory!J:J=""Closed"",Inventory!A:A=A475)),"""")"),0.13405691495430833)</f>
        <v>0.134056915</v>
      </c>
      <c r="E475" s="234">
        <f>IFERROR(__xludf.DUMMYFUNCTION("IFERROR(AVERAGE(FILTER(Inventory!G:G,Inventory!J:J=""Closed"",Inventory!A:A=A475)),""0"")"),2.6850000000000005)</f>
        <v>2.685</v>
      </c>
      <c r="F475" s="235">
        <f>IFERROR(__xludf.DUMMYFUNCTION("IFERROR(SUM(FILTER(Inventory!G:G,Inventory!J:J=""Closed"",Inventory!A:A=A475)),""0"")"),5.370000000000001)</f>
        <v>5.37</v>
      </c>
      <c r="G475" s="235">
        <f>IFERROR(__xludf.DUMMYFUNCTION("IFERROR(AVERAGE(FILTER(Inventory!K:K,Inventory!J:J=""Closed"",Inventory!A:A=A475)),"""")"),14.5)</f>
        <v>14.5</v>
      </c>
      <c r="H475" s="23" t="b">
        <v>0</v>
      </c>
      <c r="I475" s="236"/>
      <c r="J475" s="236">
        <f>MAXIFS(Inventory!D:D, Inventory!A:A, A:A)</f>
        <v>44824</v>
      </c>
      <c r="L475" s="23">
        <f>COUNTIFS(Inventory!A:A,A475,Inventory!J:J,"Open")</f>
        <v>1</v>
      </c>
    </row>
    <row r="476">
      <c r="A476" s="237" t="s">
        <v>1507</v>
      </c>
      <c r="B476" s="23" t="str">
        <f>Publishers!A237</f>
        <v>Square Enix</v>
      </c>
      <c r="C476" s="78">
        <f>COUNTIF(Inventory!A:A, A476)</f>
        <v>5</v>
      </c>
      <c r="D476" s="89">
        <f>IFERROR(__xludf.DUMMYFUNCTION("IFERROR(AVERAGE(FILTER(Inventory!H:H,Inventory!J:J=""Closed"",Inventory!A:A=A476)),"""")"),0.12583264319307794)</f>
        <v>0.1258326432</v>
      </c>
      <c r="E476" s="234">
        <f>IFERROR(__xludf.DUMMYFUNCTION("IFERROR(AVERAGE(FILTER(Inventory!G:G,Inventory!J:J=""Closed"",Inventory!A:A=A476)),""0"")"),3.1180000000000008)</f>
        <v>3.118</v>
      </c>
      <c r="F476" s="235">
        <f>IFERROR(__xludf.DUMMYFUNCTION("IFERROR(SUM(FILTER(Inventory!G:G,Inventory!J:J=""Closed"",Inventory!A:A=A476)),""0"")"),15.590000000000003)</f>
        <v>15.59</v>
      </c>
      <c r="G476" s="235">
        <f>IFERROR(__xludf.DUMMYFUNCTION("IFERROR(AVERAGE(FILTER(Inventory!K:K,Inventory!J:J=""Closed"",Inventory!A:A=A476)),"""")"),0.2)</f>
        <v>0.2</v>
      </c>
      <c r="H476" s="23" t="b">
        <v>0</v>
      </c>
      <c r="I476" s="236"/>
      <c r="J476" s="236">
        <f>MAXIFS(Inventory!D:D, Inventory!A:A, A:A)</f>
        <v>44480</v>
      </c>
      <c r="L476" s="23">
        <f>COUNTIFS(Inventory!A:A,A476,Inventory!J:J,"Open")</f>
        <v>0</v>
      </c>
    </row>
    <row r="477">
      <c r="A477" s="237" t="s">
        <v>297</v>
      </c>
      <c r="B477" s="23" t="str">
        <f>Publishers!A198</f>
        <v>Prime Matter</v>
      </c>
      <c r="C477" s="78">
        <f>COUNTIF(Inventory!A:A, A477)</f>
        <v>2</v>
      </c>
      <c r="D477" s="89">
        <f>IFERROR(__xludf.DUMMYFUNCTION("IFERROR(AVERAGE(FILTER(Inventory!H:H,Inventory!J:J=""Closed"",Inventory!A:A=A477)),"""")"),0.31557377049180324)</f>
        <v>0.3155737705</v>
      </c>
      <c r="E477" s="234">
        <f>IFERROR(__xludf.DUMMYFUNCTION("IFERROR(AVERAGE(FILTER(Inventory!G:G,Inventory!J:J=""Closed"",Inventory!A:A=A477)),""0"")"),6.159999999999999)</f>
        <v>6.16</v>
      </c>
      <c r="F477" s="235">
        <f>IFERROR(__xludf.DUMMYFUNCTION("IFERROR(SUM(FILTER(Inventory!G:G,Inventory!J:J=""Closed"",Inventory!A:A=A477)),""0"")"),12.319999999999999)</f>
        <v>12.32</v>
      </c>
      <c r="G477" s="235">
        <f>IFERROR(__xludf.DUMMYFUNCTION("IFERROR(AVERAGE(FILTER(Inventory!K:K,Inventory!J:J=""Closed"",Inventory!A:A=A477)),"""")"),4.0)</f>
        <v>4</v>
      </c>
      <c r="H477" s="23" t="b">
        <v>0</v>
      </c>
      <c r="I477" s="236"/>
      <c r="J477" s="236">
        <f>MAXIFS(Inventory!D:D, Inventory!A:A, A:A)</f>
        <v>44023</v>
      </c>
      <c r="L477" s="23">
        <f>COUNTIFS(Inventory!A:A,A477,Inventory!J:J,"Open")</f>
        <v>0</v>
      </c>
    </row>
    <row r="478">
      <c r="A478" s="233" t="s">
        <v>2891</v>
      </c>
      <c r="B478" s="23" t="str">
        <f>Publishers!A198</f>
        <v>Prime Matter</v>
      </c>
      <c r="C478" s="78">
        <f>COUNTIF(Inventory!A:A, A478)</f>
        <v>19</v>
      </c>
      <c r="D478" s="89">
        <f>IFERROR(__xludf.DUMMYFUNCTION("IFERROR(AVERAGE(FILTER(Inventory!H:H,Inventory!J:J=""Closed"",Inventory!A:A=A478)),"""")"),0.2798995530350761)</f>
        <v>0.279899553</v>
      </c>
      <c r="E478" s="234">
        <f>IFERROR(__xludf.DUMMYFUNCTION("IFERROR(AVERAGE(FILTER(Inventory!G:G,Inventory!J:J=""Closed"",Inventory!A:A=A478)),""0"")"),4.679473684210527)</f>
        <v>4.679473684</v>
      </c>
      <c r="F478" s="235">
        <f>IFERROR(__xludf.DUMMYFUNCTION("IFERROR(SUM(FILTER(Inventory!G:G,Inventory!J:J=""Closed"",Inventory!A:A=A478)),""0"")"),88.91000000000001)</f>
        <v>88.91</v>
      </c>
      <c r="G478" s="235">
        <f>IFERROR(__xludf.DUMMYFUNCTION("IFERROR(AVERAGE(FILTER(Inventory!K:K,Inventory!J:J=""Closed"",Inventory!A:A=A478)),"""")"),23.31578947368421)</f>
        <v>23.31578947</v>
      </c>
      <c r="H478" s="23" t="b">
        <v>0</v>
      </c>
      <c r="I478" s="236"/>
      <c r="J478" s="236">
        <f>MAXIFS(Inventory!D:D, Inventory!A:A, A:A)</f>
        <v>45097</v>
      </c>
      <c r="L478" s="23">
        <f>COUNTIFS(Inventory!A:A,A478,Inventory!J:J,"Open")</f>
        <v>0</v>
      </c>
    </row>
    <row r="479">
      <c r="A479" s="237" t="s">
        <v>333</v>
      </c>
      <c r="B479" s="23" t="str">
        <f>Publishers!A198</f>
        <v>Prime Matter</v>
      </c>
      <c r="C479" s="78">
        <f>COUNTIF(Inventory!A:A, A479)</f>
        <v>6</v>
      </c>
      <c r="D479" s="89">
        <f>IFERROR(__xludf.DUMMYFUNCTION("IFERROR(AVERAGE(FILTER(Inventory!H:H,Inventory!J:J=""Closed"",Inventory!A:A=A479)),"""")"),0.22368461866689268)</f>
        <v>0.2236846187</v>
      </c>
      <c r="E479" s="234">
        <f>IFERROR(__xludf.DUMMYFUNCTION("IFERROR(AVERAGE(FILTER(Inventory!G:G,Inventory!J:J=""Closed"",Inventory!A:A=A479)),""0"")"),3.9683333333333337)</f>
        <v>3.968333333</v>
      </c>
      <c r="F479" s="235">
        <f>IFERROR(__xludf.DUMMYFUNCTION("IFERROR(SUM(FILTER(Inventory!G:G,Inventory!J:J=""Closed"",Inventory!A:A=A479)),""0"")"),23.810000000000002)</f>
        <v>23.81</v>
      </c>
      <c r="G479" s="235">
        <f>IFERROR(__xludf.DUMMYFUNCTION("IFERROR(AVERAGE(FILTER(Inventory!K:K,Inventory!J:J=""Closed"",Inventory!A:A=A479)),"""")"),49.666666666666664)</f>
        <v>49.66666667</v>
      </c>
      <c r="H479" s="23" t="b">
        <v>0</v>
      </c>
      <c r="I479" s="236"/>
      <c r="J479" s="236">
        <f>MAXIFS(Inventory!D:D, Inventory!A:A, A:A)</f>
        <v>44264</v>
      </c>
      <c r="L479" s="23">
        <f>COUNTIFS(Inventory!A:A,A479,Inventory!J:J,"Open")</f>
        <v>0</v>
      </c>
    </row>
    <row r="480">
      <c r="A480" s="237" t="s">
        <v>1336</v>
      </c>
      <c r="B480" s="23" t="str">
        <f>Publishers!A253</f>
        <v>Team17 Digital</v>
      </c>
      <c r="C480" s="78">
        <f>COUNTIF(Inventory!A:A, A480)</f>
        <v>25</v>
      </c>
      <c r="D480" s="89">
        <f>IFERROR(__xludf.DUMMYFUNCTION("IFERROR(AVERAGE(FILTER(Inventory!H:H,Inventory!J:J=""Closed"",Inventory!A:A=A480)),"""")"),0.20607939950453885)</f>
        <v>0.2060793995</v>
      </c>
      <c r="E480" s="234">
        <f>IFERROR(__xludf.DUMMYFUNCTION("IFERROR(AVERAGE(FILTER(Inventory!G:G,Inventory!J:J=""Closed"",Inventory!A:A=A480)),""0"")"),2.8503999999999996)</f>
        <v>2.8504</v>
      </c>
      <c r="F480" s="235">
        <f>IFERROR(__xludf.DUMMYFUNCTION("IFERROR(SUM(FILTER(Inventory!G:G,Inventory!J:J=""Closed"",Inventory!A:A=A480)),""0"")"),71.25999999999999)</f>
        <v>71.26</v>
      </c>
      <c r="G480" s="235">
        <f>IFERROR(__xludf.DUMMYFUNCTION("IFERROR(AVERAGE(FILTER(Inventory!K:K,Inventory!J:J=""Closed"",Inventory!A:A=A480)),"""")"),15.76)</f>
        <v>15.76</v>
      </c>
      <c r="H480" s="23" t="b">
        <v>0</v>
      </c>
      <c r="I480" s="236"/>
      <c r="J480" s="236">
        <f>MAXIFS(Inventory!D:D, Inventory!A:A, A:A)</f>
        <v>45309</v>
      </c>
      <c r="L480" s="23">
        <f>COUNTIFS(Inventory!A:A,A480,Inventory!J:J,"Open")</f>
        <v>0</v>
      </c>
    </row>
    <row r="481">
      <c r="A481" s="237" t="s">
        <v>166</v>
      </c>
      <c r="B481" s="23" t="str">
        <f>Publishers!A206</f>
        <v>Revival Productions</v>
      </c>
      <c r="C481" s="78">
        <f>COUNTIF(Inventory!A:A, A481)</f>
        <v>48</v>
      </c>
      <c r="D481" s="89">
        <f>IFERROR(__xludf.DUMMYFUNCTION("IFERROR(AVERAGE(FILTER(Inventory!H:H,Inventory!J:J=""Closed"",Inventory!A:A=A481)),"""")"),0.10111900460947594)</f>
        <v>0.1011190046</v>
      </c>
      <c r="E481" s="234">
        <f>IFERROR(__xludf.DUMMYFUNCTION("IFERROR(AVERAGE(FILTER(Inventory!G:G,Inventory!J:J=""Closed"",Inventory!A:A=A481)),""0"")"),0.26739130434782604)</f>
        <v>0.2673913043</v>
      </c>
      <c r="F481" s="235">
        <f>IFERROR(__xludf.DUMMYFUNCTION("IFERROR(SUM(FILTER(Inventory!G:G,Inventory!J:J=""Closed"",Inventory!A:A=A481)),""0"")"),12.299999999999999)</f>
        <v>12.3</v>
      </c>
      <c r="G481" s="235">
        <f>IFERROR(__xludf.DUMMYFUNCTION("IFERROR(AVERAGE(FILTER(Inventory!K:K,Inventory!J:J=""Closed"",Inventory!A:A=A481)),"""")"),67.6304347826087)</f>
        <v>67.63043478</v>
      </c>
      <c r="H481" s="23" t="b">
        <v>0</v>
      </c>
      <c r="I481" s="236"/>
      <c r="J481" s="236">
        <f>MAXIFS(Inventory!D:D, Inventory!A:A, A:A)</f>
        <v>44717</v>
      </c>
      <c r="K481" s="23" t="str">
        <f>IMAGE("https://shared.akamai.steamstatic.com/store_item_assets/steam/apps/448850/header.jpg?t=1668652989")</f>
        <v/>
      </c>
      <c r="L481" s="23">
        <f>COUNTIFS(Inventory!A:A,A481,Inventory!J:J,"Open")</f>
        <v>0</v>
      </c>
    </row>
    <row r="482">
      <c r="A482" s="237" t="s">
        <v>665</v>
      </c>
      <c r="B482" s="23" t="str">
        <f>Publishers!A48</f>
        <v>Codemasters</v>
      </c>
      <c r="C482" s="78">
        <f>COUNTIF(Inventory!A:A, A482)</f>
        <v>8</v>
      </c>
      <c r="D482" s="89">
        <f>IFERROR(__xludf.DUMMYFUNCTION("IFERROR(AVERAGE(FILTER(Inventory!H:H,Inventory!J:J=""Closed"",Inventory!A:A=A482)),"""")"),0.6864703594830134)</f>
        <v>0.6864703595</v>
      </c>
      <c r="E482" s="234">
        <f>IFERROR(__xludf.DUMMYFUNCTION("IFERROR(AVERAGE(FILTER(Inventory!G:G,Inventory!J:J=""Closed"",Inventory!A:A=A482)),""0"")"),2.025)</f>
        <v>2.025</v>
      </c>
      <c r="F482" s="235">
        <f>IFERROR(__xludf.DUMMYFUNCTION("IFERROR(SUM(FILTER(Inventory!G:G,Inventory!J:J=""Closed"",Inventory!A:A=A482)),""0"")"),16.2)</f>
        <v>16.2</v>
      </c>
      <c r="G482" s="235">
        <f>IFERROR(__xludf.DUMMYFUNCTION("IFERROR(AVERAGE(FILTER(Inventory!K:K,Inventory!J:J=""Closed"",Inventory!A:A=A482)),"""")"),171.25)</f>
        <v>171.25</v>
      </c>
      <c r="H482" s="23" t="b">
        <v>0</v>
      </c>
      <c r="I482" s="236"/>
      <c r="J482" s="236">
        <f>MAXIFS(Inventory!D:D, Inventory!A:A, A:A)</f>
        <v>44503</v>
      </c>
      <c r="L482" s="23">
        <f>COUNTIFS(Inventory!A:A,A482,Inventory!J:J,"Open")</f>
        <v>0</v>
      </c>
    </row>
    <row r="483">
      <c r="A483" s="237" t="s">
        <v>1258</v>
      </c>
      <c r="B483" s="23" t="str">
        <f>Publishers!A167</f>
        <v>Nacon</v>
      </c>
      <c r="C483" s="78">
        <f>COUNTIF(Inventory!A:A, A483)</f>
        <v>1</v>
      </c>
      <c r="D483" s="89">
        <f>IFERROR(__xludf.DUMMYFUNCTION("IFERROR(AVERAGE(FILTER(Inventory!H:H,Inventory!J:J=""Closed"",Inventory!A:A=A483)),"""")"),0.2957746478873239)</f>
        <v>0.2957746479</v>
      </c>
      <c r="E483" s="234">
        <f>IFERROR(__xludf.DUMMYFUNCTION("IFERROR(AVERAGE(FILTER(Inventory!G:G,Inventory!J:J=""Closed"",Inventory!A:A=A483)),""0"")"),0.41999999999999993)</f>
        <v>0.42</v>
      </c>
      <c r="F483" s="235">
        <f>IFERROR(__xludf.DUMMYFUNCTION("IFERROR(SUM(FILTER(Inventory!G:G,Inventory!J:J=""Closed"",Inventory!A:A=A483)),""0"")"),0.41999999999999993)</f>
        <v>0.42</v>
      </c>
      <c r="G483" s="235">
        <f>IFERROR(__xludf.DUMMYFUNCTION("IFERROR(AVERAGE(FILTER(Inventory!K:K,Inventory!J:J=""Closed"",Inventory!A:A=A483)),"""")"),4.0)</f>
        <v>4</v>
      </c>
      <c r="H483" s="23" t="b">
        <v>0</v>
      </c>
      <c r="I483" s="236"/>
      <c r="J483" s="236">
        <f>MAXIFS(Inventory!D:D, Inventory!A:A, A:A)</f>
        <v>44395</v>
      </c>
      <c r="L483" s="23">
        <f>COUNTIFS(Inventory!A:A,A483,Inventory!J:J,"Open")</f>
        <v>0</v>
      </c>
    </row>
    <row r="484">
      <c r="A484" s="233" t="s">
        <v>5933</v>
      </c>
      <c r="B484" s="23" t="str">
        <f>Publishers!A196</f>
        <v>Pocketpair</v>
      </c>
      <c r="C484" s="78">
        <f>COUNTIF(Inventory!A:A, A484)</f>
        <v>38</v>
      </c>
      <c r="D484" s="89">
        <f>IFERROR(__xludf.DUMMYFUNCTION("IFERROR(AVERAGE(FILTER(Inventory!H:H,Inventory!J:J=""Closed"",Inventory!A:A=A484)),"""")"),0.1815330803988185)</f>
        <v>0.1815330804</v>
      </c>
      <c r="E484" s="234">
        <f>IFERROR(__xludf.DUMMYFUNCTION("IFERROR(AVERAGE(FILTER(Inventory!G:G,Inventory!J:J=""Closed"",Inventory!A:A=A484)),""0"")"),7.254324324324323)</f>
        <v>7.254324324</v>
      </c>
      <c r="F484" s="235">
        <f>IFERROR(__xludf.DUMMYFUNCTION("IFERROR(SUM(FILTER(Inventory!G:G,Inventory!J:J=""Closed"",Inventory!A:A=A484)),""0"")"),268.40999999999997)</f>
        <v>268.41</v>
      </c>
      <c r="G484" s="235">
        <f>IFERROR(__xludf.DUMMYFUNCTION("IFERROR(AVERAGE(FILTER(Inventory!K:K,Inventory!J:J=""Closed"",Inventory!A:A=A484)),"""")"),34.67567567567568)</f>
        <v>34.67567568</v>
      </c>
      <c r="H484" s="23" t="b">
        <v>0</v>
      </c>
      <c r="I484" s="236"/>
      <c r="J484" s="236">
        <f>MAXIFS(Inventory!D:D, Inventory!A:A, A:A)</f>
        <v>46137</v>
      </c>
      <c r="K484" s="23" t="str">
        <f>IMAGE("https://shared.akamai.steamstatic.com/store_item_assets/steam/apps/1623730/header.jpg?t=1726541007")</f>
        <v/>
      </c>
      <c r="L484" s="23">
        <f>COUNTIFS(Inventory!A:A,A484,Inventory!J:J,"Open")</f>
        <v>1</v>
      </c>
    </row>
    <row r="485">
      <c r="A485" s="233" t="s">
        <v>2642</v>
      </c>
      <c r="B485" s="23" t="str">
        <f>Publishers!A77</f>
        <v>Dotemu</v>
      </c>
      <c r="C485" s="78">
        <f>COUNTIF(Inventory!A:A, A485)</f>
        <v>1</v>
      </c>
      <c r="D485" s="89">
        <f>IFERROR(__xludf.DUMMYFUNCTION("IFERROR(AVERAGE(FILTER(Inventory!H:H,Inventory!J:J=""Closed"",Inventory!A:A=A485)),"""")"),1.0)</f>
        <v>1</v>
      </c>
      <c r="E485" s="234">
        <f>IFERROR(__xludf.DUMMYFUNCTION("IFERROR(AVERAGE(FILTER(Inventory!G:G,Inventory!J:J=""Closed"",Inventory!A:A=A485)),""0"")"),0.54)</f>
        <v>0.54</v>
      </c>
      <c r="F485" s="235">
        <f>IFERROR(__xludf.DUMMYFUNCTION("IFERROR(SUM(FILTER(Inventory!G:G,Inventory!J:J=""Closed"",Inventory!A:A=A485)),""0"")"),0.54)</f>
        <v>0.54</v>
      </c>
      <c r="G485" s="235">
        <f>IFERROR(__xludf.DUMMYFUNCTION("IFERROR(AVERAGE(FILTER(Inventory!K:K,Inventory!J:J=""Closed"",Inventory!A:A=A485)),"""")"),6.0)</f>
        <v>6</v>
      </c>
      <c r="H485" s="23" t="b">
        <v>0</v>
      </c>
      <c r="I485" s="236"/>
      <c r="J485" s="236">
        <f>MAXIFS(Inventory!D:D, Inventory!A:A, A:A)</f>
        <v>44709</v>
      </c>
      <c r="L485" s="23">
        <f>COUNTIFS(Inventory!A:A,A485,Inventory!J:J,"Open")</f>
        <v>0</v>
      </c>
    </row>
    <row r="486">
      <c r="A486" s="233" t="s">
        <v>2431</v>
      </c>
      <c r="B486" s="23" t="str">
        <f>Publishers!A235</f>
        <v>South East Games</v>
      </c>
      <c r="C486" s="78">
        <f>COUNTIF(Inventory!A:A, A486)</f>
        <v>2</v>
      </c>
      <c r="D486" s="89">
        <f>IFERROR(__xludf.DUMMYFUNCTION("IFERROR(AVERAGE(FILTER(Inventory!H:H,Inventory!J:J=""Closed"",Inventory!A:A=A486)),"""")"),0.07898836552876108)</f>
        <v>0.07898836553</v>
      </c>
      <c r="E486" s="234">
        <f>IFERROR(__xludf.DUMMYFUNCTION("IFERROR(AVERAGE(FILTER(Inventory!G:G,Inventory!J:J=""Closed"",Inventory!A:A=A486)),""0"")"),0.9749999999999996)</f>
        <v>0.975</v>
      </c>
      <c r="F486" s="235">
        <f>IFERROR(__xludf.DUMMYFUNCTION("IFERROR(SUM(FILTER(Inventory!G:G,Inventory!J:J=""Closed"",Inventory!A:A=A486)),""0"")"),1.9499999999999993)</f>
        <v>1.95</v>
      </c>
      <c r="G486" s="235">
        <f>IFERROR(__xludf.DUMMYFUNCTION("IFERROR(AVERAGE(FILTER(Inventory!K:K,Inventory!J:J=""Closed"",Inventory!A:A=A486)),"""")"),197.5)</f>
        <v>197.5</v>
      </c>
      <c r="H486" s="23" t="b">
        <v>0</v>
      </c>
      <c r="I486" s="236"/>
      <c r="J486" s="236">
        <f>MAXIFS(Inventory!D:D, Inventory!A:A, A:A)</f>
        <v>45067</v>
      </c>
      <c r="L486" s="23">
        <f>COUNTIFS(Inventory!A:A,A486,Inventory!J:J,"Open")</f>
        <v>0</v>
      </c>
    </row>
    <row r="487">
      <c r="A487" s="233" t="s">
        <v>4285</v>
      </c>
      <c r="B487" s="23" t="str">
        <f>Publishers!A29</f>
        <v>BANDAI NAMCO</v>
      </c>
      <c r="C487" s="78">
        <f>COUNTIF(Inventory!A:A, A487)</f>
        <v>38</v>
      </c>
      <c r="D487" s="89">
        <f>IFERROR(__xludf.DUMMYFUNCTION("IFERROR(AVERAGE(FILTER(Inventory!H:H,Inventory!J:J=""Closed"",Inventory!A:A=A487)),"""")"),0.1550959827061968)</f>
        <v>0.1550959827</v>
      </c>
      <c r="E487" s="234">
        <f>IFERROR(__xludf.DUMMYFUNCTION("IFERROR(AVERAGE(FILTER(Inventory!G:G,Inventory!J:J=""Closed"",Inventory!A:A=A487)),""0"")"),4.8902702702702685)</f>
        <v>4.89027027</v>
      </c>
      <c r="F487" s="235">
        <f>IFERROR(__xludf.DUMMYFUNCTION("IFERROR(SUM(FILTER(Inventory!G:G,Inventory!J:J=""Closed"",Inventory!A:A=A487)),""0"")"),180.93999999999994)</f>
        <v>180.94</v>
      </c>
      <c r="G487" s="235">
        <f>IFERROR(__xludf.DUMMYFUNCTION("IFERROR(AVERAGE(FILTER(Inventory!K:K,Inventory!J:J=""Closed"",Inventory!A:A=A487)),"""")"),1.864864864864865)</f>
        <v>1.864864865</v>
      </c>
      <c r="H487" s="23" t="b">
        <v>0</v>
      </c>
      <c r="I487" s="236"/>
      <c r="J487" s="236">
        <f>MAXIFS(Inventory!D:D, Inventory!A:A, A:A)</f>
        <v>45177</v>
      </c>
      <c r="K487" s="23" t="str">
        <f>IMAGE("https://shared.akamai.steamstatic.com/store_item_assets/steam/apps/1368130/header.jpg?t=1727343145")</f>
        <v/>
      </c>
      <c r="L487" s="23">
        <f>COUNTIFS(Inventory!A:A,A487,Inventory!J:J,"Open")</f>
        <v>1</v>
      </c>
    </row>
    <row r="488">
      <c r="A488" s="237" t="s">
        <v>1355</v>
      </c>
      <c r="B488" s="23" t="str">
        <f>Publishers!A65</f>
        <v>Daedalic Entertainment</v>
      </c>
      <c r="C488" s="78">
        <f>COUNTIF(Inventory!A:A, A488)</f>
        <v>2</v>
      </c>
      <c r="D488" s="89">
        <f>IFERROR(__xludf.DUMMYFUNCTION("IFERROR(AVERAGE(FILTER(Inventory!H:H,Inventory!J:J=""Closed"",Inventory!A:A=A488)),"""")"),-1.7868696192267213)</f>
        <v>-1.786869619</v>
      </c>
      <c r="E488" s="234">
        <f>IFERROR(__xludf.DUMMYFUNCTION("IFERROR(AVERAGE(FILTER(Inventory!G:G,Inventory!J:J=""Closed"",Inventory!A:A=A488)),""0"")"),-2.3349999999999995)</f>
        <v>-2.335</v>
      </c>
      <c r="F488" s="235">
        <f>IFERROR(__xludf.DUMMYFUNCTION("IFERROR(SUM(FILTER(Inventory!G:G,Inventory!J:J=""Closed"",Inventory!A:A=A488)),""0"")"),-4.669999999999999)</f>
        <v>-4.67</v>
      </c>
      <c r="G488" s="235">
        <f>IFERROR(__xludf.DUMMYFUNCTION("IFERROR(AVERAGE(FILTER(Inventory!K:K,Inventory!J:J=""Closed"",Inventory!A:A=A488)),"""")"),381.0)</f>
        <v>381</v>
      </c>
      <c r="H488" s="23" t="b">
        <v>0</v>
      </c>
      <c r="I488" s="236"/>
      <c r="J488" s="236">
        <f>MAXIFS(Inventory!D:D, Inventory!A:A, A:A)</f>
        <v>45204</v>
      </c>
      <c r="L488" s="23">
        <f>COUNTIFS(Inventory!A:A,A488,Inventory!J:J,"Open")</f>
        <v>0</v>
      </c>
    </row>
    <row r="489">
      <c r="A489" s="237" t="s">
        <v>1370</v>
      </c>
      <c r="B489" s="23" t="str">
        <f>Publishers!A159</f>
        <v>META Publishing</v>
      </c>
      <c r="C489" s="78">
        <f>COUNTIF(Inventory!A:A, A489)</f>
        <v>4</v>
      </c>
      <c r="D489" s="89">
        <f>IFERROR(__xludf.DUMMYFUNCTION("IFERROR(AVERAGE(FILTER(Inventory!H:H,Inventory!J:J=""Closed"",Inventory!A:A=A489)),"""")"),-4.702760937208092)</f>
        <v>-4.702760937</v>
      </c>
      <c r="E489" s="234">
        <f>IFERROR(__xludf.DUMMYFUNCTION("IFERROR(AVERAGE(FILTER(Inventory!G:G,Inventory!J:J=""Closed"",Inventory!A:A=A489)),""0"")"),-4.852499999999999)</f>
        <v>-4.8525</v>
      </c>
      <c r="F489" s="235">
        <f>IFERROR(__xludf.DUMMYFUNCTION("IFERROR(SUM(FILTER(Inventory!G:G,Inventory!J:J=""Closed"",Inventory!A:A=A489)),""0"")"),-19.409999999999997)</f>
        <v>-19.41</v>
      </c>
      <c r="G489" s="235">
        <f>IFERROR(__xludf.DUMMYFUNCTION("IFERROR(AVERAGE(FILTER(Inventory!K:K,Inventory!J:J=""Closed"",Inventory!A:A=A489)),"""")"),391.75)</f>
        <v>391.75</v>
      </c>
      <c r="H489" s="78" t="b">
        <v>1</v>
      </c>
      <c r="I489" s="236"/>
      <c r="J489" s="236">
        <f>MAXIFS(Inventory!D:D, Inventory!A:A, A:A)</f>
        <v>46147</v>
      </c>
      <c r="L489" s="23">
        <f>COUNTIFS(Inventory!A:A,A489,Inventory!J:J,"Open")</f>
        <v>0</v>
      </c>
    </row>
    <row r="490">
      <c r="A490" s="233" t="s">
        <v>2461</v>
      </c>
      <c r="B490" s="23" t="str">
        <f>Publishers!A198</f>
        <v>Prime Matter</v>
      </c>
      <c r="C490" s="78">
        <f>COUNTIF(Inventory!A:A, A490)</f>
        <v>2</v>
      </c>
      <c r="D490" s="89">
        <f>IFERROR(__xludf.DUMMYFUNCTION("IFERROR(AVERAGE(FILTER(Inventory!H:H,Inventory!J:J=""Closed"",Inventory!A:A=A490)),"""")"),-2.366161616161616)</f>
        <v>-2.366161616</v>
      </c>
      <c r="E490" s="234">
        <f>IFERROR(__xludf.DUMMYFUNCTION("IFERROR(AVERAGE(FILTER(Inventory!G:G,Inventory!J:J=""Closed"",Inventory!A:A=A490)),""0"")"),-4.685)</f>
        <v>-4.685</v>
      </c>
      <c r="F490" s="235">
        <f>IFERROR(__xludf.DUMMYFUNCTION("IFERROR(SUM(FILTER(Inventory!G:G,Inventory!J:J=""Closed"",Inventory!A:A=A490)),""0"")"),-9.37)</f>
        <v>-9.37</v>
      </c>
      <c r="G490" s="235">
        <f>IFERROR(__xludf.DUMMYFUNCTION("IFERROR(AVERAGE(FILTER(Inventory!K:K,Inventory!J:J=""Closed"",Inventory!A:A=A490)),"""")"),1041.5)</f>
        <v>1041.5</v>
      </c>
      <c r="H490" s="78" t="b">
        <v>0</v>
      </c>
      <c r="I490" s="236"/>
      <c r="J490" s="236">
        <f>MAXIFS(Inventory!D:D, Inventory!A:A, A:A)</f>
        <v>45721</v>
      </c>
      <c r="L490" s="23">
        <f>COUNTIFS(Inventory!A:A,A490,Inventory!J:J,"Open")</f>
        <v>0</v>
      </c>
    </row>
    <row r="491">
      <c r="A491" s="237" t="s">
        <v>1720</v>
      </c>
      <c r="B491" s="23" t="str">
        <f>Publishers!A184</f>
        <v>Overseer Games</v>
      </c>
      <c r="C491" s="78">
        <f>COUNTIF(Inventory!A:A, A491)</f>
        <v>1</v>
      </c>
      <c r="D491" s="89">
        <f>IFERROR(__xludf.DUMMYFUNCTION("IFERROR(AVERAGE(FILTER(Inventory!H:H,Inventory!J:J=""Closed"",Inventory!A:A=A491)),"""")"),0.11672354948805466)</f>
        <v>0.1167235495</v>
      </c>
      <c r="E491" s="234">
        <f>IFERROR(__xludf.DUMMYFUNCTION("IFERROR(AVERAGE(FILTER(Inventory!G:G,Inventory!J:J=""Closed"",Inventory!A:A=A491)),""0"")"),1.7100000000000009)</f>
        <v>1.71</v>
      </c>
      <c r="F491" s="235">
        <f>IFERROR(__xludf.DUMMYFUNCTION("IFERROR(SUM(FILTER(Inventory!G:G,Inventory!J:J=""Closed"",Inventory!A:A=A491)),""0"")"),1.7100000000000009)</f>
        <v>1.71</v>
      </c>
      <c r="G491" s="235">
        <f>IFERROR(__xludf.DUMMYFUNCTION("IFERROR(AVERAGE(FILTER(Inventory!K:K,Inventory!J:J=""Closed"",Inventory!A:A=A491)),"""")"),180.0)</f>
        <v>180</v>
      </c>
      <c r="H491" s="23" t="b">
        <v>0</v>
      </c>
      <c r="I491" s="236"/>
      <c r="J491" s="236">
        <f>MAXIFS(Inventory!D:D, Inventory!A:A, A:A)</f>
        <v>44717</v>
      </c>
      <c r="L491" s="23">
        <f>COUNTIFS(Inventory!A:A,A491,Inventory!J:J,"Open")</f>
        <v>0</v>
      </c>
    </row>
    <row r="492">
      <c r="A492" s="237" t="s">
        <v>117</v>
      </c>
      <c r="B492" s="23" t="str">
        <f>Publishers!A239</f>
        <v>Starbreeze Publishing</v>
      </c>
      <c r="C492" s="78">
        <f>COUNTIF(Inventory!A:A, A492)</f>
        <v>201</v>
      </c>
      <c r="D492" s="89">
        <f>IFERROR(__xludf.DUMMYFUNCTION("IFERROR(AVERAGE(FILTER(Inventory!H:H,Inventory!J:J=""Closed"",Inventory!A:A=A492)),"""")"),0.28579988036573617)</f>
        <v>0.2857998804</v>
      </c>
      <c r="E492" s="234">
        <f>IFERROR(__xludf.DUMMYFUNCTION("IFERROR(AVERAGE(FILTER(Inventory!G:G,Inventory!J:J=""Closed"",Inventory!A:A=A492)),""0"")"),0.4305870646766166)</f>
        <v>0.4305870647</v>
      </c>
      <c r="F492" s="235">
        <f>IFERROR(__xludf.DUMMYFUNCTION("IFERROR(SUM(FILTER(Inventory!G:G,Inventory!J:J=""Closed"",Inventory!A:A=A492)),""0"")"),86.54799999999994)</f>
        <v>86.548</v>
      </c>
      <c r="G492" s="235">
        <f>IFERROR(__xludf.DUMMYFUNCTION("IFERROR(AVERAGE(FILTER(Inventory!K:K,Inventory!J:J=""Closed"",Inventory!A:A=A492)),"""")"),3.7611940298507465)</f>
        <v>3.76119403</v>
      </c>
      <c r="H492" s="78" t="b">
        <v>1</v>
      </c>
      <c r="I492" s="236"/>
      <c r="J492" s="236">
        <f>MAXIFS(Inventory!D:D, Inventory!A:A, A:A)</f>
        <v>45963</v>
      </c>
      <c r="K492" s="241" t="str">
        <f>IMAGE("https://shared.akamai.steamstatic.com/store_item_assets/steam/apps/218620/header.jpg?t=1721776778")</f>
        <v/>
      </c>
      <c r="L492" s="23">
        <f>COUNTIFS(Inventory!A:A,A492,Inventory!J:J,"Open")</f>
        <v>0</v>
      </c>
    </row>
    <row r="493">
      <c r="A493" s="237" t="s">
        <v>769</v>
      </c>
      <c r="B493" s="23" t="str">
        <f>Publishers!A239</f>
        <v>Starbreeze Publishing</v>
      </c>
      <c r="C493" s="78">
        <f>COUNTIF(Inventory!A:A, A493)</f>
        <v>5</v>
      </c>
      <c r="D493" s="89">
        <f>IFERROR(__xludf.DUMMYFUNCTION("IFERROR(AVERAGE(FILTER(Inventory!H:H,Inventory!J:J=""Closed"",Inventory!A:A=A493)),"""")"),0.3680834585943257)</f>
        <v>0.3680834586</v>
      </c>
      <c r="E493" s="234">
        <f>IFERROR(__xludf.DUMMYFUNCTION("IFERROR(AVERAGE(FILTER(Inventory!G:G,Inventory!J:J=""Closed"",Inventory!A:A=A493)),""0"")"),2.7220000000000004)</f>
        <v>2.722</v>
      </c>
      <c r="F493" s="235">
        <f>IFERROR(__xludf.DUMMYFUNCTION("IFERROR(SUM(FILTER(Inventory!G:G,Inventory!J:J=""Closed"",Inventory!A:A=A493)),""0"")"),13.610000000000001)</f>
        <v>13.61</v>
      </c>
      <c r="G493" s="235">
        <f>IFERROR(__xludf.DUMMYFUNCTION("IFERROR(AVERAGE(FILTER(Inventory!K:K,Inventory!J:J=""Closed"",Inventory!A:A=A493)),"""")"),144.6)</f>
        <v>144.6</v>
      </c>
      <c r="H493" s="23" t="b">
        <v>0</v>
      </c>
      <c r="I493" s="236"/>
      <c r="J493" s="236">
        <f>MAXIFS(Inventory!D:D, Inventory!A:A, A:A)</f>
        <v>45734</v>
      </c>
      <c r="L493" s="23">
        <f>COUNTIFS(Inventory!A:A,A493,Inventory!J:J,"Open")</f>
        <v>0</v>
      </c>
    </row>
    <row r="494">
      <c r="A494" s="237" t="s">
        <v>1681</v>
      </c>
      <c r="B494" s="23" t="str">
        <f>Publishers!A63</f>
        <v>Curve Digital</v>
      </c>
      <c r="C494" s="78">
        <f>COUNTIF(Inventory!A:A, A494)</f>
        <v>1</v>
      </c>
      <c r="D494" s="89">
        <f>IFERROR(__xludf.DUMMYFUNCTION("IFERROR(AVERAGE(FILTER(Inventory!H:H,Inventory!J:J=""Closed"",Inventory!A:A=A494)),"""")"),1.0)</f>
        <v>1</v>
      </c>
      <c r="E494" s="234">
        <f>IFERROR(__xludf.DUMMYFUNCTION("IFERROR(AVERAGE(FILTER(Inventory!G:G,Inventory!J:J=""Closed"",Inventory!A:A=A494)),""0"")"),0.24)</f>
        <v>0.24</v>
      </c>
      <c r="F494" s="235">
        <f>IFERROR(__xludf.DUMMYFUNCTION("IFERROR(SUM(FILTER(Inventory!G:G,Inventory!J:J=""Closed"",Inventory!A:A=A494)),""0"")"),0.24)</f>
        <v>0.24</v>
      </c>
      <c r="G494" s="235">
        <f>IFERROR(__xludf.DUMMYFUNCTION("IFERROR(AVERAGE(FILTER(Inventory!K:K,Inventory!J:J=""Closed"",Inventory!A:A=A494)),"""")"),4.0)</f>
        <v>4</v>
      </c>
      <c r="H494" s="23" t="b">
        <v>0</v>
      </c>
      <c r="I494" s="236"/>
      <c r="J494" s="236">
        <f>MAXIFS(Inventory!D:D, Inventory!A:A, A:A)</f>
        <v>44527</v>
      </c>
      <c r="L494" s="23">
        <f>COUNTIFS(Inventory!A:A,A494,Inventory!J:J,"Open")</f>
        <v>0</v>
      </c>
    </row>
    <row r="495">
      <c r="A495" s="233" t="s">
        <v>3430</v>
      </c>
      <c r="B495" s="23" t="str">
        <f>Publishers!A115</f>
        <v>HandyGames</v>
      </c>
      <c r="C495" s="78">
        <f>COUNTIF(Inventory!A:A, A495)</f>
        <v>10</v>
      </c>
      <c r="D495" s="89">
        <f>IFERROR(__xludf.DUMMYFUNCTION("IFERROR(AVERAGE(FILTER(Inventory!H:H,Inventory!J:J=""Closed"",Inventory!A:A=A495)),"""")"),0.3422259417278653)</f>
        <v>0.3422259417</v>
      </c>
      <c r="E495" s="234">
        <f>IFERROR(__xludf.DUMMYFUNCTION("IFERROR(AVERAGE(FILTER(Inventory!G:G,Inventory!J:J=""Closed"",Inventory!A:A=A495)),""0"")"),3.4211111111111108)</f>
        <v>3.421111111</v>
      </c>
      <c r="F495" s="235">
        <f>IFERROR(__xludf.DUMMYFUNCTION("IFERROR(SUM(FILTER(Inventory!G:G,Inventory!J:J=""Closed"",Inventory!A:A=A495)),""0"")"),30.789999999999996)</f>
        <v>30.79</v>
      </c>
      <c r="G495" s="235">
        <f>IFERROR(__xludf.DUMMYFUNCTION("IFERROR(AVERAGE(FILTER(Inventory!K:K,Inventory!J:J=""Closed"",Inventory!A:A=A495)),"""")"),30.444444444444443)</f>
        <v>30.44444444</v>
      </c>
      <c r="H495" s="23" t="b">
        <v>0</v>
      </c>
      <c r="I495" s="78">
        <v>11.51</v>
      </c>
      <c r="J495" s="236">
        <f>MAXIFS(Inventory!D:D, Inventory!A:A, A:A)</f>
        <v>45244</v>
      </c>
      <c r="L495" s="23">
        <f>COUNTIFS(Inventory!A:A,A495,Inventory!J:J,"Open")</f>
        <v>1</v>
      </c>
    </row>
    <row r="496">
      <c r="A496" s="233" t="s">
        <v>3352</v>
      </c>
      <c r="B496" s="23" t="str">
        <f>Publishers!A222</f>
        <v>SEGA</v>
      </c>
      <c r="C496" s="78">
        <f>COUNTIF(Inventory!A:A, A496)</f>
        <v>1</v>
      </c>
      <c r="D496" s="89">
        <f>IFERROR(__xludf.DUMMYFUNCTION("IFERROR(AVERAGE(FILTER(Inventory!H:H,Inventory!J:J=""Closed"",Inventory!A:A=A496)),"""")"),-0.01502403846153846)</f>
        <v>-0.01502403846</v>
      </c>
      <c r="E496" s="234">
        <f>IFERROR(__xludf.DUMMYFUNCTION("IFERROR(AVERAGE(FILTER(Inventory!G:G,Inventory!J:J=""Closed"",Inventory!A:A=A496)),""0"")"),-0.25)</f>
        <v>-0.25</v>
      </c>
      <c r="F496" s="235">
        <f>IFERROR(__xludf.DUMMYFUNCTION("IFERROR(SUM(FILTER(Inventory!G:G,Inventory!J:J=""Closed"",Inventory!A:A=A496)),""0"")"),-0.25)</f>
        <v>-0.25</v>
      </c>
      <c r="G496" s="235">
        <f>IFERROR(__xludf.DUMMYFUNCTION("IFERROR(AVERAGE(FILTER(Inventory!K:K,Inventory!J:J=""Closed"",Inventory!A:A=A496)),"""")"),195.0)</f>
        <v>195</v>
      </c>
      <c r="H496" s="23" t="b">
        <v>0</v>
      </c>
      <c r="I496" s="236"/>
      <c r="J496" s="236">
        <f>MAXIFS(Inventory!D:D, Inventory!A:A, A:A)</f>
        <v>45152</v>
      </c>
      <c r="L496" s="23">
        <f>COUNTIFS(Inventory!A:A,A496,Inventory!J:J,"Open")</f>
        <v>0</v>
      </c>
    </row>
    <row r="497">
      <c r="A497" s="233" t="s">
        <v>4368</v>
      </c>
      <c r="B497" s="23" t="str">
        <f>Publishers!A222</f>
        <v>SEGA</v>
      </c>
      <c r="C497" s="78">
        <f>COUNTIF(Inventory!A:A, A497)</f>
        <v>1</v>
      </c>
      <c r="D497" s="89">
        <f>IFERROR(__xludf.DUMMYFUNCTION("IFERROR(AVERAGE(FILTER(Inventory!H:H,Inventory!J:J=""Closed"",Inventory!A:A=A497)),"""")"),0.2632691404415218)</f>
        <v>0.2632691404</v>
      </c>
      <c r="E497" s="234">
        <f>IFERROR(__xludf.DUMMYFUNCTION("IFERROR(AVERAGE(FILTER(Inventory!G:G,Inventory!J:J=""Closed"",Inventory!A:A=A497)),""0"")"),11.209999999999997)</f>
        <v>11.21</v>
      </c>
      <c r="F497" s="235">
        <f>IFERROR(__xludf.DUMMYFUNCTION("IFERROR(SUM(FILTER(Inventory!G:G,Inventory!J:J=""Closed"",Inventory!A:A=A497)),""0"")"),11.209999999999997)</f>
        <v>11.21</v>
      </c>
      <c r="G497" s="235">
        <f>IFERROR(__xludf.DUMMYFUNCTION("IFERROR(AVERAGE(FILTER(Inventory!K:K,Inventory!J:J=""Closed"",Inventory!A:A=A497)),"""")"),6.0)</f>
        <v>6</v>
      </c>
      <c r="H497" s="23" t="b">
        <v>0</v>
      </c>
      <c r="I497" s="236"/>
      <c r="J497" s="236">
        <f>MAXIFS(Inventory!D:D, Inventory!A:A, A:A)</f>
        <v>45122</v>
      </c>
      <c r="K497" s="23" t="str">
        <f>image("https://shared.akamai.steamstatic.com/store_item_assets/steam/apps/1687950/header.jpg?t=1722428154")</f>
        <v/>
      </c>
      <c r="L497" s="23">
        <f>COUNTIFS(Inventory!A:A,A497,Inventory!J:J,"Open")</f>
        <v>0</v>
      </c>
    </row>
    <row r="498">
      <c r="A498" s="233" t="s">
        <v>3247</v>
      </c>
      <c r="B498" s="23" t="str">
        <f>Publishers!A222</f>
        <v>SEGA</v>
      </c>
      <c r="C498" s="78">
        <f>COUNTIF(Inventory!A:A, A498)</f>
        <v>3</v>
      </c>
      <c r="D498" s="89">
        <f>IFERROR(__xludf.DUMMYFUNCTION("IFERROR(AVERAGE(FILTER(Inventory!H:H,Inventory!J:J=""Closed"",Inventory!A:A=A498)),"""")"),0.09686075476342537)</f>
        <v>0.09686075476</v>
      </c>
      <c r="E498" s="234">
        <f>IFERROR(__xludf.DUMMYFUNCTION("IFERROR(AVERAGE(FILTER(Inventory!G:G,Inventory!J:J=""Closed"",Inventory!A:A=A498)),""0"")"),3.4400000000000026)</f>
        <v>3.44</v>
      </c>
      <c r="F498" s="235">
        <f>IFERROR(__xludf.DUMMYFUNCTION("IFERROR(SUM(FILTER(Inventory!G:G,Inventory!J:J=""Closed"",Inventory!A:A=A498)),""0"")"),10.320000000000007)</f>
        <v>10.32</v>
      </c>
      <c r="G498" s="235">
        <f>IFERROR(__xludf.DUMMYFUNCTION("IFERROR(AVERAGE(FILTER(Inventory!K:K,Inventory!J:J=""Closed"",Inventory!A:A=A498)),"""")"),23.333333333333332)</f>
        <v>23.33333333</v>
      </c>
      <c r="H498" s="23" t="b">
        <v>0</v>
      </c>
      <c r="I498" s="236"/>
      <c r="J498" s="236">
        <f>MAXIFS(Inventory!D:D, Inventory!A:A, A:A)</f>
        <v>45424</v>
      </c>
      <c r="L498" s="23">
        <f>COUNTIFS(Inventory!A:A,A498,Inventory!J:J,"Open")</f>
        <v>0</v>
      </c>
    </row>
    <row r="499">
      <c r="A499" s="233" t="s">
        <v>3122</v>
      </c>
      <c r="B499" s="23" t="str">
        <f>Publishers!A222</f>
        <v>SEGA</v>
      </c>
      <c r="C499" s="78">
        <f>COUNTIF(Inventory!A:A, A499)</f>
        <v>1</v>
      </c>
      <c r="D499" s="89">
        <f>IFERROR(__xludf.DUMMYFUNCTION("IFERROR(AVERAGE(FILTER(Inventory!H:H,Inventory!J:J=""Closed"",Inventory!A:A=A499)),"""")"),0.045609548167092936)</f>
        <v>0.04560954817</v>
      </c>
      <c r="E499" s="234">
        <f>IFERROR(__xludf.DUMMYFUNCTION("IFERROR(AVERAGE(FILTER(Inventory!G:G,Inventory!J:J=""Closed"",Inventory!A:A=A499)),""0"")"),1.0700000000000003)</f>
        <v>1.07</v>
      </c>
      <c r="F499" s="235">
        <f>IFERROR(__xludf.DUMMYFUNCTION("IFERROR(SUM(FILTER(Inventory!G:G,Inventory!J:J=""Closed"",Inventory!A:A=A499)),""0"")"),1.0700000000000003)</f>
        <v>1.07</v>
      </c>
      <c r="G499" s="235">
        <f>IFERROR(__xludf.DUMMYFUNCTION("IFERROR(AVERAGE(FILTER(Inventory!K:K,Inventory!J:J=""Closed"",Inventory!A:A=A499)),"""")"),3.0)</f>
        <v>3</v>
      </c>
      <c r="H499" s="23" t="b">
        <v>0</v>
      </c>
      <c r="I499" s="236"/>
      <c r="J499" s="236">
        <f>MAXIFS(Inventory!D:D, Inventory!A:A, A:A)</f>
        <v>44848</v>
      </c>
      <c r="L499" s="23">
        <f>COUNTIFS(Inventory!A:A,A499,Inventory!J:J,"Open")</f>
        <v>0</v>
      </c>
    </row>
    <row r="500">
      <c r="A500" s="233" t="s">
        <v>4566</v>
      </c>
      <c r="B500" s="23" t="str">
        <f>Publishers!A6</f>
        <v>2K</v>
      </c>
      <c r="C500" s="78">
        <f>COUNTIF(Inventory!A:A, A500)</f>
        <v>13</v>
      </c>
      <c r="D500" s="89">
        <f>IFERROR(__xludf.DUMMYFUNCTION("IFERROR(AVERAGE(FILTER(Inventory!H:H,Inventory!J:J=""Closed"",Inventory!A:A=A500)),"""")"),0.22698972586919114)</f>
        <v>0.2269897259</v>
      </c>
      <c r="E500" s="234">
        <f>IFERROR(__xludf.DUMMYFUNCTION("IFERROR(AVERAGE(FILTER(Inventory!G:G,Inventory!J:J=""Closed"",Inventory!A:A=A500)),""0"")"),5.313846153846155)</f>
        <v>5.313846154</v>
      </c>
      <c r="F500" s="235">
        <f>IFERROR(__xludf.DUMMYFUNCTION("IFERROR(SUM(FILTER(Inventory!G:G,Inventory!J:J=""Closed"",Inventory!A:A=A500)),""0"")"),69.08000000000001)</f>
        <v>69.08</v>
      </c>
      <c r="G500" s="235">
        <f>IFERROR(__xludf.DUMMYFUNCTION("IFERROR(AVERAGE(FILTER(Inventory!K:K,Inventory!J:J=""Closed"",Inventory!A:A=A500)),"""")"),19.384615384615383)</f>
        <v>19.38461538</v>
      </c>
      <c r="H500" s="23" t="b">
        <v>0</v>
      </c>
      <c r="I500" s="236"/>
      <c r="J500" s="236">
        <f>MAXIFS(Inventory!D:D, Inventory!A:A, A:A)</f>
        <v>45395</v>
      </c>
      <c r="L500" s="23">
        <f>COUNTIFS(Inventory!A:A,A500,Inventory!J:J,"Open")</f>
        <v>0</v>
      </c>
    </row>
    <row r="501">
      <c r="A501" s="233" t="s">
        <v>10263</v>
      </c>
      <c r="B501" s="23" t="str">
        <f>Publishers!A41</f>
        <v>Brace Yourself Games</v>
      </c>
      <c r="C501" s="78">
        <f>COUNTIF(Inventory!A:A, A501)</f>
        <v>0</v>
      </c>
      <c r="D501" s="89" t="str">
        <f>IFERROR(__xludf.DUMMYFUNCTION("IFERROR(AVERAGE(FILTER(Inventory!H:H,Inventory!J:J=""Closed"",Inventory!A:A=A501)),"""")"),"")</f>
        <v/>
      </c>
      <c r="E501" s="234" t="str">
        <f>IFERROR(__xludf.DUMMYFUNCTION("IFERROR(AVERAGE(FILTER(Inventory!G:G,Inventory!J:J=""Closed"",Inventory!A:A=A501)),""0"")"),"0")</f>
        <v>0</v>
      </c>
      <c r="F501" s="235" t="str">
        <f>IFERROR(__xludf.DUMMYFUNCTION("IFERROR(SUM(FILTER(Inventory!G:G,Inventory!J:J=""Closed"",Inventory!A:A=A501)),""0"")"),"0")</f>
        <v>0</v>
      </c>
      <c r="G501" s="235" t="str">
        <f>IFERROR(__xludf.DUMMYFUNCTION("IFERROR(AVERAGE(FILTER(Inventory!K:K,Inventory!J:J=""Closed"",Inventory!A:A=A501)),"""")"),"")</f>
        <v/>
      </c>
      <c r="H501" s="23" t="b">
        <v>0</v>
      </c>
      <c r="I501" s="236"/>
      <c r="J501" s="236">
        <f>MAXIFS(Inventory!D:D, Inventory!A:A, A:A)</f>
        <v>0</v>
      </c>
      <c r="L501" s="23">
        <f>COUNTIFS(Inventory!A:A,A501,Inventory!J:J,"Open")</f>
        <v>0</v>
      </c>
    </row>
    <row r="502">
      <c r="A502" s="237" t="s">
        <v>1659</v>
      </c>
      <c r="B502" s="23" t="str">
        <f>Publishers!A232</f>
        <v>Snapshot Games</v>
      </c>
      <c r="C502" s="78">
        <f>COUNTIF(Inventory!A:A, A502)</f>
        <v>5</v>
      </c>
      <c r="D502" s="89">
        <f>IFERROR(__xludf.DUMMYFUNCTION("IFERROR(AVERAGE(FILTER(Inventory!H:H,Inventory!J:J=""Closed"",Inventory!A:A=A502)),"""")"),-2.487107681766046)</f>
        <v>-2.487107682</v>
      </c>
      <c r="E502" s="234">
        <f>IFERROR(__xludf.DUMMYFUNCTION("IFERROR(AVERAGE(FILTER(Inventory!G:G,Inventory!J:J=""Closed"",Inventory!A:A=A502)),""0"")"),-3.1339999999999995)</f>
        <v>-3.134</v>
      </c>
      <c r="F502" s="235">
        <f>IFERROR(__xludf.DUMMYFUNCTION("IFERROR(SUM(FILTER(Inventory!G:G,Inventory!J:J=""Closed"",Inventory!A:A=A502)),""0"")"),-15.669999999999998)</f>
        <v>-15.67</v>
      </c>
      <c r="G502" s="235">
        <f>IFERROR(__xludf.DUMMYFUNCTION("IFERROR(AVERAGE(FILTER(Inventory!K:K,Inventory!J:J=""Closed"",Inventory!A:A=A502)),"""")"),599.0)</f>
        <v>599</v>
      </c>
      <c r="H502" s="23" t="b">
        <v>0</v>
      </c>
      <c r="I502" s="236"/>
      <c r="J502" s="236">
        <f>MAXIFS(Inventory!D:D, Inventory!A:A, A:A)</f>
        <v>45519</v>
      </c>
      <c r="L502" s="23">
        <f>COUNTIFS(Inventory!A:A,A502,Inventory!J:J,"Open")</f>
        <v>0</v>
      </c>
    </row>
    <row r="503">
      <c r="A503" s="237" t="s">
        <v>400</v>
      </c>
      <c r="B503" s="23" t="str">
        <f>Publishers!A47</f>
        <v>CAPCOM</v>
      </c>
      <c r="C503" s="78">
        <f>COUNTIF(Inventory!A:A, A503)</f>
        <v>6</v>
      </c>
      <c r="D503" s="89">
        <f>IFERROR(__xludf.DUMMYFUNCTION("IFERROR(AVERAGE(FILTER(Inventory!H:H,Inventory!J:J=""Closed"",Inventory!A:A=A503)),"""")"),-0.04764627048271678)</f>
        <v>-0.04764627048</v>
      </c>
      <c r="E503" s="234">
        <f>IFERROR(__xludf.DUMMYFUNCTION("IFERROR(AVERAGE(FILTER(Inventory!G:G,Inventory!J:J=""Closed"",Inventory!A:A=A503)),""0"")"),2.426666666666666)</f>
        <v>2.426666667</v>
      </c>
      <c r="F503" s="235">
        <f>IFERROR(__xludf.DUMMYFUNCTION("IFERROR(SUM(FILTER(Inventory!G:G,Inventory!J:J=""Closed"",Inventory!A:A=A503)),""0"")"),14.559999999999995)</f>
        <v>14.56</v>
      </c>
      <c r="G503" s="235">
        <f>IFERROR(__xludf.DUMMYFUNCTION("IFERROR(AVERAGE(FILTER(Inventory!K:K,Inventory!J:J=""Closed"",Inventory!A:A=A503)),"""")"),174.0)</f>
        <v>174</v>
      </c>
      <c r="H503" s="23" t="b">
        <v>0</v>
      </c>
      <c r="I503" s="236"/>
      <c r="J503" s="236">
        <f>MAXIFS(Inventory!D:D, Inventory!A:A, A:A)</f>
        <v>45373</v>
      </c>
      <c r="L503" s="23">
        <f>COUNTIFS(Inventory!A:A,A503,Inventory!J:J,"Open")</f>
        <v>0</v>
      </c>
    </row>
    <row r="504">
      <c r="A504" s="233" t="s">
        <v>5096</v>
      </c>
      <c r="B504" s="23" t="str">
        <f>Publishers!A171</f>
        <v>Next in Game</v>
      </c>
      <c r="C504" s="78">
        <f>COUNTIF(Inventory!A:A, A504)</f>
        <v>1</v>
      </c>
      <c r="D504" s="89">
        <f>IFERROR(__xludf.DUMMYFUNCTION("IFERROR(AVERAGE(FILTER(Inventory!H:H,Inventory!J:J=""Closed"",Inventory!A:A=A504)),"""")"),0.5324137931034483)</f>
        <v>0.5324137931</v>
      </c>
      <c r="E504" s="234">
        <f>IFERROR(__xludf.DUMMYFUNCTION("IFERROR(AVERAGE(FILTER(Inventory!G:G,Inventory!J:J=""Closed"",Inventory!A:A=A504)),""0"")"),3.86)</f>
        <v>3.86</v>
      </c>
      <c r="F504" s="235">
        <f>IFERROR(__xludf.DUMMYFUNCTION("IFERROR(SUM(FILTER(Inventory!G:G,Inventory!J:J=""Closed"",Inventory!A:A=A504)),""0"")"),3.86)</f>
        <v>3.86</v>
      </c>
      <c r="G504" s="235">
        <f>IFERROR(__xludf.DUMMYFUNCTION("IFERROR(AVERAGE(FILTER(Inventory!K:K,Inventory!J:J=""Closed"",Inventory!A:A=A504)),"""")"),12.0)</f>
        <v>12</v>
      </c>
      <c r="H504" s="23" t="b">
        <v>0</v>
      </c>
      <c r="I504" s="236"/>
      <c r="J504" s="236">
        <f>MAXIFS(Inventory!D:D, Inventory!A:A, A:A)</f>
        <v>45209</v>
      </c>
      <c r="L504" s="23">
        <f>COUNTIFS(Inventory!A:A,A504,Inventory!J:J,"Open")</f>
        <v>0</v>
      </c>
    </row>
    <row r="505">
      <c r="A505" s="237" t="s">
        <v>823</v>
      </c>
      <c r="B505" s="23" t="str">
        <f>Publishers!A30</f>
        <v>Beamdog</v>
      </c>
      <c r="C505" s="78">
        <f>COUNTIF(Inventory!A:A, A505)</f>
        <v>5</v>
      </c>
      <c r="D505" s="89">
        <f>IFERROR(__xludf.DUMMYFUNCTION("IFERROR(AVERAGE(FILTER(Inventory!H:H,Inventory!J:J=""Closed"",Inventory!A:A=A505)),"""")"),0.13477932086397434)</f>
        <v>0.1347793209</v>
      </c>
      <c r="E505" s="234">
        <f>IFERROR(__xludf.DUMMYFUNCTION("IFERROR(AVERAGE(FILTER(Inventory!G:G,Inventory!J:J=""Closed"",Inventory!A:A=A505)),""0"")"),0.7220000000000001)</f>
        <v>0.722</v>
      </c>
      <c r="F505" s="235">
        <f>IFERROR(__xludf.DUMMYFUNCTION("IFERROR(SUM(FILTER(Inventory!G:G,Inventory!J:J=""Closed"",Inventory!A:A=A505)),""0"")"),3.6100000000000003)</f>
        <v>3.61</v>
      </c>
      <c r="G505" s="235">
        <f>IFERROR(__xludf.DUMMYFUNCTION("IFERROR(AVERAGE(FILTER(Inventory!K:K,Inventory!J:J=""Closed"",Inventory!A:A=A505)),"""")"),40.8)</f>
        <v>40.8</v>
      </c>
      <c r="H505" s="23" t="b">
        <v>0</v>
      </c>
      <c r="I505" s="236"/>
      <c r="J505" s="236">
        <f>MAXIFS(Inventory!D:D, Inventory!A:A, A:A)</f>
        <v>44334</v>
      </c>
      <c r="L505" s="23">
        <f>COUNTIFS(Inventory!A:A,A505,Inventory!J:J,"Open")</f>
        <v>0</v>
      </c>
    </row>
    <row r="506">
      <c r="A506" s="237" t="s">
        <v>879</v>
      </c>
      <c r="B506" s="23" t="str">
        <f>Publishers!A23</f>
        <v>Aspyr</v>
      </c>
      <c r="C506" s="78">
        <f>COUNTIF(Inventory!A:A, A506)</f>
        <v>1</v>
      </c>
      <c r="D506" s="89">
        <f>IFERROR(__xludf.DUMMYFUNCTION("IFERROR(AVERAGE(FILTER(Inventory!H:H,Inventory!J:J=""Closed"",Inventory!A:A=A506)),"""")"),0.059107358262967355)</f>
        <v>0.05910735826</v>
      </c>
      <c r="E506" s="234">
        <f>IFERROR(__xludf.DUMMYFUNCTION("IFERROR(AVERAGE(FILTER(Inventory!G:G,Inventory!J:J=""Closed"",Inventory!A:A=A506)),""0"")"),0.4899999999999993)</f>
        <v>0.49</v>
      </c>
      <c r="F506" s="235">
        <f>IFERROR(__xludf.DUMMYFUNCTION("IFERROR(SUM(FILTER(Inventory!G:G,Inventory!J:J=""Closed"",Inventory!A:A=A506)),""0"")"),0.4899999999999993)</f>
        <v>0.49</v>
      </c>
      <c r="G506" s="235">
        <f>IFERROR(__xludf.DUMMYFUNCTION("IFERROR(AVERAGE(FILTER(Inventory!K:K,Inventory!J:J=""Closed"",Inventory!A:A=A506)),"""")"),15.0)</f>
        <v>15</v>
      </c>
      <c r="H506" s="23" t="b">
        <v>0</v>
      </c>
      <c r="I506" s="236"/>
      <c r="J506" s="236">
        <f>MAXIFS(Inventory!D:D, Inventory!A:A, A:A)</f>
        <v>44203</v>
      </c>
      <c r="L506" s="23">
        <f>COUNTIFS(Inventory!A:A,A506,Inventory!J:J,"Open")</f>
        <v>0</v>
      </c>
    </row>
    <row r="507">
      <c r="A507" s="233" t="s">
        <v>7865</v>
      </c>
      <c r="B507" s="23" t="str">
        <f>Publishers!A102</f>
        <v>Frontier Foundry</v>
      </c>
      <c r="C507" s="78">
        <f>COUNTIF(Inventory!A:A, A507)</f>
        <v>45</v>
      </c>
      <c r="D507" s="89">
        <f>IFERROR(__xludf.DUMMYFUNCTION("IFERROR(AVERAGE(FILTER(Inventory!H:H,Inventory!J:J=""Closed"",Inventory!A:A=A507)),"""")"),0.4425926622709958)</f>
        <v>0.4425926623</v>
      </c>
      <c r="E507" s="234">
        <f>IFERROR(__xludf.DUMMYFUNCTION("IFERROR(AVERAGE(FILTER(Inventory!G:G,Inventory!J:J=""Closed"",Inventory!A:A=A507)),""0"")"),8.376666666666667)</f>
        <v>8.376666667</v>
      </c>
      <c r="F507" s="235">
        <f>IFERROR(__xludf.DUMMYFUNCTION("IFERROR(SUM(FILTER(Inventory!G:G,Inventory!J:J=""Closed"",Inventory!A:A=A507)),""0"")"),351.82)</f>
        <v>351.82</v>
      </c>
      <c r="G507" s="235">
        <f>IFERROR(__xludf.DUMMYFUNCTION("IFERROR(AVERAGE(FILTER(Inventory!K:K,Inventory!J:J=""Closed"",Inventory!A:A=A507)),"""")"),0.5)</f>
        <v>0.5</v>
      </c>
      <c r="H507" s="23" t="b">
        <v>0</v>
      </c>
      <c r="I507" s="236"/>
      <c r="J507" s="236">
        <f>MAXIFS(Inventory!D:D, Inventory!A:A, A:A)</f>
        <v>45617</v>
      </c>
      <c r="K507" s="23" t="str">
        <f>IMAGE("https://shared.fastly.steamstatic.com/store_item_assets/steam/apps/703080/header.jpg?t=1728993033")</f>
        <v/>
      </c>
      <c r="L507" s="23">
        <f>COUNTIFS(Inventory!A:A,A507,Inventory!J:J,"Open")</f>
        <v>3</v>
      </c>
    </row>
    <row r="508">
      <c r="A508" s="233" t="s">
        <v>7202</v>
      </c>
      <c r="B508" s="23" t="str">
        <f>Publishers!A102</f>
        <v>Frontier Foundry</v>
      </c>
      <c r="C508" s="78">
        <f>COUNTIF(Inventory!A:A, A508)</f>
        <v>4</v>
      </c>
      <c r="D508" s="89">
        <f>IFERROR(__xludf.DUMMYFUNCTION("IFERROR(AVERAGE(FILTER(Inventory!H:H,Inventory!J:J=""Closed"",Inventory!A:A=A508)),"""")"),0.27611993777333343)</f>
        <v>0.2761199378</v>
      </c>
      <c r="E508" s="234">
        <f>IFERROR(__xludf.DUMMYFUNCTION("IFERROR(AVERAGE(FILTER(Inventory!G:G,Inventory!J:J=""Closed"",Inventory!A:A=A508)),""0"")"),2.875)</f>
        <v>2.875</v>
      </c>
      <c r="F508" s="235">
        <f>IFERROR(__xludf.DUMMYFUNCTION("IFERROR(SUM(FILTER(Inventory!G:G,Inventory!J:J=""Closed"",Inventory!A:A=A508)),""0"")"),11.5)</f>
        <v>11.5</v>
      </c>
      <c r="G508" s="235">
        <f>IFERROR(__xludf.DUMMYFUNCTION("IFERROR(AVERAGE(FILTER(Inventory!K:K,Inventory!J:J=""Closed"",Inventory!A:A=A508)),"""")"),2.5)</f>
        <v>2.5</v>
      </c>
      <c r="H508" s="23" t="b">
        <v>0</v>
      </c>
      <c r="I508" s="236"/>
      <c r="J508" s="236">
        <f>MAXIFS(Inventory!D:D, Inventory!A:A, A:A)</f>
        <v>45480</v>
      </c>
      <c r="L508" s="23">
        <f>COUNTIFS(Inventory!A:A,A508,Inventory!J:J,"Open")</f>
        <v>0</v>
      </c>
    </row>
    <row r="509">
      <c r="A509" s="237" t="s">
        <v>1901</v>
      </c>
      <c r="B509" s="23" t="str">
        <f>Publishers!A194</f>
        <v>PlayStation</v>
      </c>
      <c r="C509" s="78">
        <f>COUNTIF(Inventory!A:A, A509)</f>
        <v>4</v>
      </c>
      <c r="D509" s="89">
        <f>IFERROR(__xludf.DUMMYFUNCTION("IFERROR(AVERAGE(FILTER(Inventory!H:H,Inventory!J:J=""Closed"",Inventory!A:A=A509)),"""")"),0.44890849282296647)</f>
        <v>0.4489084928</v>
      </c>
      <c r="E509" s="234">
        <f>IFERROR(__xludf.DUMMYFUNCTION("IFERROR(AVERAGE(FILTER(Inventory!G:G,Inventory!J:J=""Closed"",Inventory!A:A=A509)),""0"")"),0.38999999999999985)</f>
        <v>0.39</v>
      </c>
      <c r="F509" s="235">
        <f>IFERROR(__xludf.DUMMYFUNCTION("IFERROR(SUM(FILTER(Inventory!G:G,Inventory!J:J=""Closed"",Inventory!A:A=A509)),""0"")"),1.1699999999999995)</f>
        <v>1.17</v>
      </c>
      <c r="G509" s="235">
        <f>IFERROR(__xludf.DUMMYFUNCTION("IFERROR(AVERAGE(FILTER(Inventory!K:K,Inventory!J:J=""Closed"",Inventory!A:A=A509)),"""")"),2.0)</f>
        <v>2</v>
      </c>
      <c r="H509" s="23" t="b">
        <v>0</v>
      </c>
      <c r="I509" s="236"/>
      <c r="J509" s="236">
        <f>MAXIFS(Inventory!D:D, Inventory!A:A, A:A)</f>
        <v>44592</v>
      </c>
      <c r="L509" s="23">
        <f>COUNTIFS(Inventory!A:A,A509,Inventory!J:J,"Open")</f>
        <v>0</v>
      </c>
    </row>
    <row r="510">
      <c r="A510" s="237" t="s">
        <v>1984</v>
      </c>
      <c r="B510" s="23" t="str">
        <f>Publishers!A181</f>
        <v>Offworld Industries</v>
      </c>
      <c r="C510" s="78">
        <f>COUNTIF(Inventory!A:A, A510)</f>
        <v>17</v>
      </c>
      <c r="D510" s="89">
        <f>IFERROR(__xludf.DUMMYFUNCTION("IFERROR(AVERAGE(FILTER(Inventory!H:H,Inventory!J:J=""Closed"",Inventory!A:A=A510)),"""")"),0.3133489401550651)</f>
        <v>0.3133489402</v>
      </c>
      <c r="E510" s="234">
        <f>IFERROR(__xludf.DUMMYFUNCTION("IFERROR(AVERAGE(FILTER(Inventory!G:G,Inventory!J:J=""Closed"",Inventory!A:A=A510)),""0"")"),3.3482352941176465)</f>
        <v>3.348235294</v>
      </c>
      <c r="F510" s="235">
        <f>IFERROR(__xludf.DUMMYFUNCTION("IFERROR(SUM(FILTER(Inventory!G:G,Inventory!J:J=""Closed"",Inventory!A:A=A510)),""0"")"),56.919999999999995)</f>
        <v>56.92</v>
      </c>
      <c r="G510" s="235">
        <f>IFERROR(__xludf.DUMMYFUNCTION("IFERROR(AVERAGE(FILTER(Inventory!K:K,Inventory!J:J=""Closed"",Inventory!A:A=A510)),"""")"),47.23529411764706)</f>
        <v>47.23529412</v>
      </c>
      <c r="H510" s="78" t="b">
        <v>1</v>
      </c>
      <c r="I510" s="236"/>
      <c r="J510" s="236">
        <f>MAXIFS(Inventory!D:D, Inventory!A:A, A:A)</f>
        <v>45256</v>
      </c>
      <c r="L510" s="23">
        <f>COUNTIFS(Inventory!A:A,A510,Inventory!J:J,"Open")</f>
        <v>0</v>
      </c>
    </row>
    <row r="511">
      <c r="A511" s="233" t="s">
        <v>2101</v>
      </c>
      <c r="B511" s="23" t="str">
        <f>Publishers!A181</f>
        <v>Offworld Industries</v>
      </c>
      <c r="C511" s="78">
        <f>COUNTIF(Inventory!A:A, A511)</f>
        <v>6</v>
      </c>
      <c r="D511" s="89">
        <f>IFERROR(__xludf.DUMMYFUNCTION("IFERROR(AVERAGE(FILTER(Inventory!H:H,Inventory!J:J=""Closed"",Inventory!A:A=A511)),"""")"),0.19107762027081343)</f>
        <v>0.1910776203</v>
      </c>
      <c r="E511" s="234">
        <f>IFERROR(__xludf.DUMMYFUNCTION("IFERROR(AVERAGE(FILTER(Inventory!G:G,Inventory!J:J=""Closed"",Inventory!A:A=A511)),""0"")"),2.5140000000000002)</f>
        <v>2.514</v>
      </c>
      <c r="F511" s="235">
        <f>IFERROR(__xludf.DUMMYFUNCTION("IFERROR(SUM(FILTER(Inventory!G:G,Inventory!J:J=""Closed"",Inventory!A:A=A511)),""0"")"),12.570000000000002)</f>
        <v>12.57</v>
      </c>
      <c r="G511" s="235">
        <f>IFERROR(__xludf.DUMMYFUNCTION("IFERROR(AVERAGE(FILTER(Inventory!K:K,Inventory!J:J=""Closed"",Inventory!A:A=A511)),"""")"),19.2)</f>
        <v>19.2</v>
      </c>
      <c r="H511" s="78" t="b">
        <v>0</v>
      </c>
      <c r="I511" s="236"/>
      <c r="J511" s="236">
        <f>MAXIFS(Inventory!D:D, Inventory!A:A, A:A)</f>
        <v>44707</v>
      </c>
      <c r="L511" s="23">
        <f>COUNTIFS(Inventory!A:A,A511,Inventory!J:J,"Open")</f>
        <v>1</v>
      </c>
    </row>
    <row r="512">
      <c r="A512" s="237" t="s">
        <v>1089</v>
      </c>
      <c r="B512" s="23" t="str">
        <f>Publishers!A136</f>
        <v>Kalypso Media</v>
      </c>
      <c r="C512" s="78">
        <f>COUNTIF(Inventory!A:A, A512)</f>
        <v>3</v>
      </c>
      <c r="D512" s="89">
        <f>IFERROR(__xludf.DUMMYFUNCTION("IFERROR(AVERAGE(FILTER(Inventory!H:H,Inventory!J:J=""Closed"",Inventory!A:A=A512)),"""")"),0.3022504770088035)</f>
        <v>0.302250477</v>
      </c>
      <c r="E512" s="234">
        <f>IFERROR(__xludf.DUMMYFUNCTION("IFERROR(AVERAGE(FILTER(Inventory!G:G,Inventory!J:J=""Closed"",Inventory!A:A=A512)),""0"")"),1.2799999999999998)</f>
        <v>1.28</v>
      </c>
      <c r="F512" s="235">
        <f>IFERROR(__xludf.DUMMYFUNCTION("IFERROR(SUM(FILTER(Inventory!G:G,Inventory!J:J=""Closed"",Inventory!A:A=A512)),""0"")"),3.8399999999999994)</f>
        <v>3.84</v>
      </c>
      <c r="G512" s="235">
        <f>IFERROR(__xludf.DUMMYFUNCTION("IFERROR(AVERAGE(FILTER(Inventory!K:K,Inventory!J:J=""Closed"",Inventory!A:A=A512)),"""")"),12.666666666666666)</f>
        <v>12.66666667</v>
      </c>
      <c r="H512" s="23" t="b">
        <v>0</v>
      </c>
      <c r="I512" s="236"/>
      <c r="J512" s="236">
        <f>MAXIFS(Inventory!D:D, Inventory!A:A, A:A)</f>
        <v>44359</v>
      </c>
      <c r="L512" s="23">
        <f>COUNTIFS(Inventory!A:A,A512,Inventory!J:J,"Open")</f>
        <v>0</v>
      </c>
    </row>
    <row r="513">
      <c r="A513" s="237" t="s">
        <v>254</v>
      </c>
      <c r="B513" s="23" t="str">
        <f>Publishers!A34</f>
        <v>Bethesda Softworks</v>
      </c>
      <c r="C513" s="78">
        <f>COUNTIF(Inventory!A:A, A513)</f>
        <v>1</v>
      </c>
      <c r="D513" s="89">
        <f>IFERROR(__xludf.DUMMYFUNCTION("IFERROR(AVERAGE(FILTER(Inventory!H:H,Inventory!J:J=""Closed"",Inventory!A:A=A513)),"""")"),0.29603399433427763)</f>
        <v>0.2960339943</v>
      </c>
      <c r="E513" s="234">
        <f>IFERROR(__xludf.DUMMYFUNCTION("IFERROR(AVERAGE(FILTER(Inventory!G:G,Inventory!J:J=""Closed"",Inventory!A:A=A513)),""0"")"),2.09)</f>
        <v>2.09</v>
      </c>
      <c r="F513" s="235">
        <f>IFERROR(__xludf.DUMMYFUNCTION("IFERROR(SUM(FILTER(Inventory!G:G,Inventory!J:J=""Closed"",Inventory!A:A=A513)),""0"")"),2.09)</f>
        <v>2.09</v>
      </c>
      <c r="G513" s="235">
        <f>IFERROR(__xludf.DUMMYFUNCTION("IFERROR(AVERAGE(FILTER(Inventory!K:K,Inventory!J:J=""Closed"",Inventory!A:A=A513)),"""")"),24.0)</f>
        <v>24</v>
      </c>
      <c r="H513" s="23" t="b">
        <v>0</v>
      </c>
      <c r="I513" s="236"/>
      <c r="J513" s="236">
        <f>MAXIFS(Inventory!D:D, Inventory!A:A, A:A)</f>
        <v>44029</v>
      </c>
      <c r="L513" s="23">
        <f>COUNTIFS(Inventory!A:A,A513,Inventory!J:J,"Open")</f>
        <v>0</v>
      </c>
    </row>
    <row r="514">
      <c r="A514" s="237" t="s">
        <v>1691</v>
      </c>
      <c r="B514" s="23" t="str">
        <f>Publishers!A34</f>
        <v>Bethesda Softworks</v>
      </c>
      <c r="C514" s="78">
        <f>COUNTIF(Inventory!A:A, A514)</f>
        <v>1</v>
      </c>
      <c r="D514" s="89">
        <f>IFERROR(__xludf.DUMMYFUNCTION("IFERROR(AVERAGE(FILTER(Inventory!H:H,Inventory!J:J=""Closed"",Inventory!A:A=A514)),"""")"),0.03795379537953788)</f>
        <v>0.03795379538</v>
      </c>
      <c r="E514" s="234">
        <f>IFERROR(__xludf.DUMMYFUNCTION("IFERROR(AVERAGE(FILTER(Inventory!G:G,Inventory!J:J=""Closed"",Inventory!A:A=A514)),""0"")"),0.22999999999999954)</f>
        <v>0.23</v>
      </c>
      <c r="F514" s="235">
        <f>IFERROR(__xludf.DUMMYFUNCTION("IFERROR(SUM(FILTER(Inventory!G:G,Inventory!J:J=""Closed"",Inventory!A:A=A514)),""0"")"),0.22999999999999954)</f>
        <v>0.23</v>
      </c>
      <c r="G514" s="235">
        <f>IFERROR(__xludf.DUMMYFUNCTION("IFERROR(AVERAGE(FILTER(Inventory!K:K,Inventory!J:J=""Closed"",Inventory!A:A=A514)),"""")"),499.0)</f>
        <v>499</v>
      </c>
      <c r="H514" s="23" t="b">
        <v>0</v>
      </c>
      <c r="I514" s="236"/>
      <c r="J514" s="236">
        <f>MAXIFS(Inventory!D:D, Inventory!A:A, A:A)</f>
        <v>45024</v>
      </c>
      <c r="L514" s="23">
        <f>COUNTIFS(Inventory!A:A,A514,Inventory!J:J,"Open")</f>
        <v>0</v>
      </c>
    </row>
    <row r="515">
      <c r="A515" s="237" t="s">
        <v>657</v>
      </c>
      <c r="B515" s="23" t="str">
        <f>Publishers!A167</f>
        <v>Nacon</v>
      </c>
      <c r="C515" s="78">
        <f>COUNTIF(Inventory!A:A, A515)</f>
        <v>5</v>
      </c>
      <c r="D515" s="89">
        <f>IFERROR(__xludf.DUMMYFUNCTION("IFERROR(AVERAGE(FILTER(Inventory!H:H,Inventory!J:J=""Closed"",Inventory!A:A=A515)),"""")"),0.25886262076192557)</f>
        <v>0.2588626208</v>
      </c>
      <c r="E515" s="234">
        <f>IFERROR(__xludf.DUMMYFUNCTION("IFERROR(AVERAGE(FILTER(Inventory!G:G,Inventory!J:J=""Closed"",Inventory!A:A=A515)),""0"")"),6.225999999999999)</f>
        <v>6.226</v>
      </c>
      <c r="F515" s="235">
        <f>IFERROR(__xludf.DUMMYFUNCTION("IFERROR(SUM(FILTER(Inventory!G:G,Inventory!J:J=""Closed"",Inventory!A:A=A515)),""0"")"),31.129999999999995)</f>
        <v>31.13</v>
      </c>
      <c r="G515" s="235">
        <f>IFERROR(__xludf.DUMMYFUNCTION("IFERROR(AVERAGE(FILTER(Inventory!K:K,Inventory!J:J=""Closed"",Inventory!A:A=A515)),"""")"),2.4)</f>
        <v>2.4</v>
      </c>
      <c r="H515" s="23" t="b">
        <v>0</v>
      </c>
      <c r="I515" s="236"/>
      <c r="J515" s="236">
        <f>MAXIFS(Inventory!D:D, Inventory!A:A, A:A)</f>
        <v>44267</v>
      </c>
      <c r="L515" s="23">
        <f>COUNTIFS(Inventory!A:A,A515,Inventory!J:J,"Open")</f>
        <v>0</v>
      </c>
    </row>
    <row r="516">
      <c r="A516" s="237" t="s">
        <v>966</v>
      </c>
      <c r="B516" s="23" t="str">
        <f>Publishers!A167</f>
        <v>Nacon</v>
      </c>
      <c r="C516" s="78">
        <f>COUNTIF(Inventory!A:A, A516)</f>
        <v>3</v>
      </c>
      <c r="D516" s="89">
        <f>IFERROR(__xludf.DUMMYFUNCTION("IFERROR(AVERAGE(FILTER(Inventory!H:H,Inventory!J:J=""Closed"",Inventory!A:A=A516)),"""")"),0.1257266786936298)</f>
        <v>0.1257266787</v>
      </c>
      <c r="E516" s="234">
        <f>IFERROR(__xludf.DUMMYFUNCTION("IFERROR(AVERAGE(FILTER(Inventory!G:G,Inventory!J:J=""Closed"",Inventory!A:A=A516)),""0"")"),1.946666666666666)</f>
        <v>1.946666667</v>
      </c>
      <c r="F516" s="235">
        <f>IFERROR(__xludf.DUMMYFUNCTION("IFERROR(SUM(FILTER(Inventory!G:G,Inventory!J:J=""Closed"",Inventory!A:A=A516)),""0"")"),5.839999999999998)</f>
        <v>5.84</v>
      </c>
      <c r="G516" s="235">
        <f>IFERROR(__xludf.DUMMYFUNCTION("IFERROR(AVERAGE(FILTER(Inventory!K:K,Inventory!J:J=""Closed"",Inventory!A:A=A516)),"""")"),10.0)</f>
        <v>10</v>
      </c>
      <c r="H516" s="23" t="b">
        <v>0</v>
      </c>
      <c r="I516" s="236"/>
      <c r="J516" s="236">
        <f>MAXIFS(Inventory!D:D, Inventory!A:A, A:A)</f>
        <v>44299</v>
      </c>
      <c r="L516" s="23">
        <f>COUNTIFS(Inventory!A:A,A516,Inventory!J:J,"Open")</f>
        <v>0</v>
      </c>
    </row>
    <row r="517">
      <c r="A517" s="233" t="s">
        <v>5067</v>
      </c>
      <c r="B517" s="23" t="str">
        <f>Publishers!A120</f>
        <v>Humble Games</v>
      </c>
      <c r="C517" s="78">
        <f>COUNTIF(Inventory!A:A, A517)</f>
        <v>5</v>
      </c>
      <c r="D517" s="89">
        <f>IFERROR(__xludf.DUMMYFUNCTION("IFERROR(AVERAGE(FILTER(Inventory!H:H,Inventory!J:J=""Closed"",Inventory!A:A=A517)),"""")"),0.10985711546354535)</f>
        <v>0.1098571155</v>
      </c>
      <c r="E517" s="234">
        <f>IFERROR(__xludf.DUMMYFUNCTION("IFERROR(AVERAGE(FILTER(Inventory!G:G,Inventory!J:J=""Closed"",Inventory!A:A=A517)),""0"")"),1.7875)</f>
        <v>1.7875</v>
      </c>
      <c r="F517" s="235">
        <f>IFERROR(__xludf.DUMMYFUNCTION("IFERROR(SUM(FILTER(Inventory!G:G,Inventory!J:J=""Closed"",Inventory!A:A=A517)),""0"")"),7.15)</f>
        <v>7.15</v>
      </c>
      <c r="G517" s="235">
        <f>IFERROR(__xludf.DUMMYFUNCTION("IFERROR(AVERAGE(FILTER(Inventory!K:K,Inventory!J:J=""Closed"",Inventory!A:A=A517)),"""")"),2.0)</f>
        <v>2</v>
      </c>
      <c r="H517" s="23" t="b">
        <v>0</v>
      </c>
      <c r="I517" s="236"/>
      <c r="J517" s="236">
        <f>MAXIFS(Inventory!D:D, Inventory!A:A, A:A)</f>
        <v>45205</v>
      </c>
      <c r="L517" s="23">
        <f>COUNTIFS(Inventory!A:A,A517,Inventory!J:J,"Open")</f>
        <v>1</v>
      </c>
    </row>
    <row r="518">
      <c r="A518" s="237" t="s">
        <v>863</v>
      </c>
      <c r="B518" s="23" t="str">
        <f>Publishers!A48</f>
        <v>Codemasters</v>
      </c>
      <c r="C518" s="78">
        <f>COUNTIF(Inventory!A:A, A518)</f>
        <v>5</v>
      </c>
      <c r="D518" s="89">
        <f>IFERROR(__xludf.DUMMYFUNCTION("IFERROR(AVERAGE(FILTER(Inventory!H:H,Inventory!J:J=""Closed"",Inventory!A:A=A518)),"""")"),0.5299406639311599)</f>
        <v>0.5299406639</v>
      </c>
      <c r="E518" s="234">
        <f>IFERROR(__xludf.DUMMYFUNCTION("IFERROR(AVERAGE(FILTER(Inventory!G:G,Inventory!J:J=""Closed"",Inventory!A:A=A518)),""0"")"),1.014)</f>
        <v>1.014</v>
      </c>
      <c r="F518" s="235">
        <f>IFERROR(__xludf.DUMMYFUNCTION("IFERROR(SUM(FILTER(Inventory!G:G,Inventory!J:J=""Closed"",Inventory!A:A=A518)),""0"")"),5.07)</f>
        <v>5.07</v>
      </c>
      <c r="G518" s="235">
        <f>IFERROR(__xludf.DUMMYFUNCTION("IFERROR(AVERAGE(FILTER(Inventory!K:K,Inventory!J:J=""Closed"",Inventory!A:A=A518)),"""")"),15.0)</f>
        <v>15</v>
      </c>
      <c r="H518" s="23" t="b">
        <v>0</v>
      </c>
      <c r="I518" s="236"/>
      <c r="J518" s="236">
        <f>MAXIFS(Inventory!D:D, Inventory!A:A, A:A)</f>
        <v>44437</v>
      </c>
      <c r="L518" s="23">
        <f>COUNTIFS(Inventory!A:A,A518,Inventory!J:J,"Open")</f>
        <v>0</v>
      </c>
    </row>
    <row r="519">
      <c r="A519" s="237" t="s">
        <v>1438</v>
      </c>
      <c r="B519" s="23" t="str">
        <f>Publishers!A137</f>
        <v>Kasedo Games</v>
      </c>
      <c r="C519" s="78">
        <f>COUNTIF(Inventory!A:A, A519)</f>
        <v>3</v>
      </c>
      <c r="D519" s="89">
        <f>IFERROR(__xludf.DUMMYFUNCTION("IFERROR(AVERAGE(FILTER(Inventory!H:H,Inventory!J:J=""Closed"",Inventory!A:A=A519)),"""")"),0.40052553739945007)</f>
        <v>0.4005255374</v>
      </c>
      <c r="E519" s="234">
        <f>IFERROR(__xludf.DUMMYFUNCTION("IFERROR(AVERAGE(FILTER(Inventory!G:G,Inventory!J:J=""Closed"",Inventory!A:A=A519)),""0"")"),0.5866666666666666)</f>
        <v>0.5866666667</v>
      </c>
      <c r="F519" s="235">
        <f>IFERROR(__xludf.DUMMYFUNCTION("IFERROR(SUM(FILTER(Inventory!G:G,Inventory!J:J=""Closed"",Inventory!A:A=A519)),""0"")"),1.7599999999999998)</f>
        <v>1.76</v>
      </c>
      <c r="G519" s="235">
        <f>IFERROR(__xludf.DUMMYFUNCTION("IFERROR(AVERAGE(FILTER(Inventory!K:K,Inventory!J:J=""Closed"",Inventory!A:A=A519)),"""")"),25.666666666666668)</f>
        <v>25.66666667</v>
      </c>
      <c r="H519" s="23" t="b">
        <v>0</v>
      </c>
      <c r="I519" s="236"/>
      <c r="J519" s="236">
        <f>MAXIFS(Inventory!D:D, Inventory!A:A, A:A)</f>
        <v>44566</v>
      </c>
      <c r="L519" s="23">
        <f>COUNTIFS(Inventory!A:A,A519,Inventory!J:J,"Open")</f>
        <v>0</v>
      </c>
    </row>
    <row r="520">
      <c r="A520" s="237" t="s">
        <v>826</v>
      </c>
      <c r="B520" s="23" t="str">
        <f>Publishers!A187</f>
        <v>Oxymoron Games</v>
      </c>
      <c r="C520" s="78">
        <f>COUNTIF(Inventory!A:A, A520)</f>
        <v>7</v>
      </c>
      <c r="D520" s="89">
        <f>IFERROR(__xludf.DUMMYFUNCTION("IFERROR(AVERAGE(FILTER(Inventory!H:H,Inventory!J:J=""Closed"",Inventory!A:A=A520)),"""")"),0.2255186450747759)</f>
        <v>0.2255186451</v>
      </c>
      <c r="E520" s="234">
        <f>IFERROR(__xludf.DUMMYFUNCTION("IFERROR(AVERAGE(FILTER(Inventory!G:G,Inventory!J:J=""Closed"",Inventory!A:A=A520)),""0"")"),3.2242857142857146)</f>
        <v>3.224285714</v>
      </c>
      <c r="F520" s="235">
        <f>IFERROR(__xludf.DUMMYFUNCTION("IFERROR(SUM(FILTER(Inventory!G:G,Inventory!J:J=""Closed"",Inventory!A:A=A520)),""0"")"),22.570000000000004)</f>
        <v>22.57</v>
      </c>
      <c r="G520" s="235">
        <f>IFERROR(__xludf.DUMMYFUNCTION("IFERROR(AVERAGE(FILTER(Inventory!K:K,Inventory!J:J=""Closed"",Inventory!A:A=A520)),"""")"),8.714285714285714)</f>
        <v>8.714285714</v>
      </c>
      <c r="H520" s="23" t="b">
        <v>0</v>
      </c>
      <c r="I520" s="236"/>
      <c r="J520" s="236">
        <f>MAXIFS(Inventory!D:D, Inventory!A:A, A:A)</f>
        <v>45487</v>
      </c>
      <c r="L520" s="23">
        <f>COUNTIFS(Inventory!A:A,A520,Inventory!J:J,"Open")</f>
        <v>0</v>
      </c>
    </row>
    <row r="521">
      <c r="A521" s="233" t="s">
        <v>3366</v>
      </c>
      <c r="B521" s="23" t="str">
        <f>Publishers!A221</f>
        <v>Sector D2</v>
      </c>
      <c r="C521" s="78">
        <f>COUNTIF(Inventory!A:A, A521)</f>
        <v>88</v>
      </c>
      <c r="D521" s="89">
        <f>IFERROR(__xludf.DUMMYFUNCTION("IFERROR(AVERAGE(FILTER(Inventory!H:H,Inventory!J:J=""Closed"",Inventory!A:A=A521)),"""")"),0.18618253987383948)</f>
        <v>0.1861825399</v>
      </c>
      <c r="E521" s="234">
        <f>IFERROR(__xludf.DUMMYFUNCTION("IFERROR(AVERAGE(FILTER(Inventory!G:G,Inventory!J:J=""Closed"",Inventory!A:A=A521)),""0"")"),1.0247727272727276)</f>
        <v>1.024772727</v>
      </c>
      <c r="F521" s="235">
        <f>IFERROR(__xludf.DUMMYFUNCTION("IFERROR(SUM(FILTER(Inventory!G:G,Inventory!J:J=""Closed"",Inventory!A:A=A521)),""0"")"),90.18000000000004)</f>
        <v>90.18</v>
      </c>
      <c r="G521" s="235">
        <f>IFERROR(__xludf.DUMMYFUNCTION("IFERROR(AVERAGE(FILTER(Inventory!K:K,Inventory!J:J=""Closed"",Inventory!A:A=A521)),"""")"),7.829545454545454)</f>
        <v>7.829545455</v>
      </c>
      <c r="H521" s="23" t="b">
        <v>0</v>
      </c>
      <c r="I521" s="78">
        <v>5.56</v>
      </c>
      <c r="J521" s="236">
        <f>MAXIFS(Inventory!D:D, Inventory!A:A, A:A)</f>
        <v>45582</v>
      </c>
      <c r="K521" s="23" t="str">
        <f>IMAGE("https://shared.akamai.steamstatic.com/store_item_assets/steam/apps/895870/header.jpg?t=1625008344")</f>
        <v/>
      </c>
      <c r="L521" s="23">
        <f>COUNTIFS(Inventory!A:A,A521,Inventory!J:J,"Open")</f>
        <v>0</v>
      </c>
    </row>
    <row r="522">
      <c r="A522" s="233" t="s">
        <v>10264</v>
      </c>
      <c r="B522" s="23" t="str">
        <f>Publishers!A166</f>
        <v>MYTONA</v>
      </c>
      <c r="C522" s="78">
        <f>COUNTIF(Inventory!A:A, A522)</f>
        <v>0</v>
      </c>
      <c r="D522" s="89" t="str">
        <f>IFERROR(__xludf.DUMMYFUNCTION("IFERROR(AVERAGE(FILTER(Inventory!H:H,Inventory!J:J=""Closed"",Inventory!A:A=A522)),"""")"),"")</f>
        <v/>
      </c>
      <c r="E522" s="234" t="str">
        <f>IFERROR(__xludf.DUMMYFUNCTION("IFERROR(AVERAGE(FILTER(Inventory!G:G,Inventory!J:J=""Closed"",Inventory!A:A=A522)),""0"")"),"0")</f>
        <v>0</v>
      </c>
      <c r="F522" s="235" t="str">
        <f>IFERROR(__xludf.DUMMYFUNCTION("IFERROR(SUM(FILTER(Inventory!G:G,Inventory!J:J=""Closed"",Inventory!A:A=A522)),""0"")"),"0")</f>
        <v>0</v>
      </c>
      <c r="G522" s="235" t="str">
        <f>IFERROR(__xludf.DUMMYFUNCTION("IFERROR(AVERAGE(FILTER(Inventory!K:K,Inventory!J:J=""Closed"",Inventory!A:A=A522)),"""")"),"")</f>
        <v/>
      </c>
      <c r="H522" s="23" t="b">
        <v>0</v>
      </c>
      <c r="I522" s="236"/>
      <c r="J522" s="236">
        <f>MAXIFS(Inventory!D:D, Inventory!A:A, A:A)</f>
        <v>0</v>
      </c>
      <c r="L522" s="23">
        <f>COUNTIFS(Inventory!A:A,A522,Inventory!J:J,"Open")</f>
        <v>0</v>
      </c>
    </row>
    <row r="523">
      <c r="A523" s="237" t="s">
        <v>1580</v>
      </c>
      <c r="B523" s="23" t="str">
        <f>Publishers!A63</f>
        <v>Curve Digital</v>
      </c>
      <c r="C523" s="78">
        <f>COUNTIF(Inventory!A:A, A523)</f>
        <v>3</v>
      </c>
      <c r="D523" s="89">
        <f>IFERROR(__xludf.DUMMYFUNCTION("IFERROR(AVERAGE(FILTER(Inventory!H:H,Inventory!J:J=""Closed"",Inventory!A:A=A523)),"""")"),1.0)</f>
        <v>1</v>
      </c>
      <c r="E523" s="234">
        <f>IFERROR(__xludf.DUMMYFUNCTION("IFERROR(AVERAGE(FILTER(Inventory!G:G,Inventory!J:J=""Closed"",Inventory!A:A=A523)),""0"")"),0.12333333333333331)</f>
        <v>0.1233333333</v>
      </c>
      <c r="F523" s="235">
        <f>IFERROR(__xludf.DUMMYFUNCTION("IFERROR(SUM(FILTER(Inventory!G:G,Inventory!J:J=""Closed"",Inventory!A:A=A523)),""0"")"),0.36999999999999994)</f>
        <v>0.37</v>
      </c>
      <c r="G523" s="235">
        <f>IFERROR(__xludf.DUMMYFUNCTION("IFERROR(AVERAGE(FILTER(Inventory!K:K,Inventory!J:J=""Closed"",Inventory!A:A=A523)),"""")"),6.666666666666667)</f>
        <v>6.666666667</v>
      </c>
      <c r="H523" s="23" t="b">
        <v>0</v>
      </c>
      <c r="I523" s="236"/>
      <c r="J523" s="236">
        <f>MAXIFS(Inventory!D:D, Inventory!A:A, A:A)</f>
        <v>45405</v>
      </c>
      <c r="L523" s="23">
        <f>COUNTIFS(Inventory!A:A,A523,Inventory!J:J,"Open")</f>
        <v>0</v>
      </c>
    </row>
    <row r="524">
      <c r="A524" s="233" t="s">
        <v>2025</v>
      </c>
      <c r="B524" s="23" t="str">
        <f>Publishers!A254</f>
        <v>Techland Publishing</v>
      </c>
      <c r="C524" s="78">
        <f>COUNTIF(Inventory!A:A, A524)</f>
        <v>1</v>
      </c>
      <c r="D524" s="89">
        <f>IFERROR(__xludf.DUMMYFUNCTION("IFERROR(AVERAGE(FILTER(Inventory!H:H,Inventory!J:J=""Closed"",Inventory!A:A=A524)),"""")"),-1.2662721893491125)</f>
        <v>-1.266272189</v>
      </c>
      <c r="E524" s="234">
        <f>IFERROR(__xludf.DUMMYFUNCTION("IFERROR(AVERAGE(FILTER(Inventory!G:G,Inventory!J:J=""Closed"",Inventory!A:A=A524)),""0"")"),-2.14)</f>
        <v>-2.14</v>
      </c>
      <c r="F524" s="235">
        <f>IFERROR(__xludf.DUMMYFUNCTION("IFERROR(SUM(FILTER(Inventory!G:G,Inventory!J:J=""Closed"",Inventory!A:A=A524)),""0"")"),-2.14)</f>
        <v>-2.14</v>
      </c>
      <c r="G524" s="235">
        <f>IFERROR(__xludf.DUMMYFUNCTION("IFERROR(AVERAGE(FILTER(Inventory!K:K,Inventory!J:J=""Closed"",Inventory!A:A=A524)),"""")"),641.0)</f>
        <v>641</v>
      </c>
      <c r="H524" s="23" t="b">
        <v>0</v>
      </c>
      <c r="I524" s="236"/>
      <c r="J524" s="236">
        <f>MAXIFS(Inventory!D:D, Inventory!A:A, A:A)</f>
        <v>45243</v>
      </c>
      <c r="L524" s="23">
        <f>COUNTIFS(Inventory!A:A,A524,Inventory!J:J,"Open")</f>
        <v>0</v>
      </c>
    </row>
    <row r="525">
      <c r="A525" s="233" t="s">
        <v>3033</v>
      </c>
      <c r="B525" s="23" t="str">
        <f>Publishers!A255</f>
        <v>Telltale</v>
      </c>
      <c r="C525" s="78">
        <f>COUNTIF(Inventory!A:A, A525)</f>
        <v>1</v>
      </c>
      <c r="D525" s="89">
        <f>IFERROR(__xludf.DUMMYFUNCTION("IFERROR(AVERAGE(FILTER(Inventory!H:H,Inventory!J:J=""Closed"",Inventory!A:A=A525)),"""")"),1.0)</f>
        <v>1</v>
      </c>
      <c r="E525" s="234">
        <f>IFERROR(__xludf.DUMMYFUNCTION("IFERROR(AVERAGE(FILTER(Inventory!G:G,Inventory!J:J=""Closed"",Inventory!A:A=A525)),""0"")"),0.13)</f>
        <v>0.13</v>
      </c>
      <c r="F525" s="235">
        <f>IFERROR(__xludf.DUMMYFUNCTION("IFERROR(SUM(FILTER(Inventory!G:G,Inventory!J:J=""Closed"",Inventory!A:A=A525)),""0"")"),0.13)</f>
        <v>0.13</v>
      </c>
      <c r="G525" s="235">
        <f>IFERROR(__xludf.DUMMYFUNCTION("IFERROR(AVERAGE(FILTER(Inventory!K:K,Inventory!J:J=""Closed"",Inventory!A:A=A525)),"""")"),6.0)</f>
        <v>6</v>
      </c>
      <c r="H525" s="23" t="b">
        <v>0</v>
      </c>
      <c r="I525" s="236"/>
      <c r="J525" s="236">
        <f>MAXIFS(Inventory!D:D, Inventory!A:A, A:A)</f>
        <v>44820</v>
      </c>
      <c r="L525" s="23">
        <f>COUNTIFS(Inventory!A:A,A525,Inventory!J:J,"Open")</f>
        <v>0</v>
      </c>
    </row>
    <row r="526">
      <c r="A526" s="233" t="s">
        <v>4064</v>
      </c>
      <c r="B526" s="23" t="str">
        <f>Publishers!A281</f>
        <v>WanadevStudio</v>
      </c>
      <c r="C526" s="78">
        <f>COUNTIF(Inventory!A:A, A526)</f>
        <v>9</v>
      </c>
      <c r="D526" s="89">
        <f>IFERROR(__xludf.DUMMYFUNCTION("IFERROR(AVERAGE(FILTER(Inventory!H:H,Inventory!J:J=""Closed"",Inventory!A:A=A526)),"""")"),0.1885604956097883)</f>
        <v>0.1885604956</v>
      </c>
      <c r="E526" s="234">
        <f>IFERROR(__xludf.DUMMYFUNCTION("IFERROR(AVERAGE(FILTER(Inventory!G:G,Inventory!J:J=""Closed"",Inventory!A:A=A526)),""0"")"),1.7974999999999997)</f>
        <v>1.7975</v>
      </c>
      <c r="F526" s="235">
        <f>IFERROR(__xludf.DUMMYFUNCTION("IFERROR(SUM(FILTER(Inventory!G:G,Inventory!J:J=""Closed"",Inventory!A:A=A526)),""0"")"),14.379999999999997)</f>
        <v>14.38</v>
      </c>
      <c r="G526" s="235">
        <f>IFERROR(__xludf.DUMMYFUNCTION("IFERROR(AVERAGE(FILTER(Inventory!K:K,Inventory!J:J=""Closed"",Inventory!A:A=A526)),"""")"),11.375)</f>
        <v>11.375</v>
      </c>
      <c r="H526" s="23" t="b">
        <v>0</v>
      </c>
      <c r="I526" s="236"/>
      <c r="J526" s="236">
        <f>MAXIFS(Inventory!D:D, Inventory!A:A, A:A)</f>
        <v>45542</v>
      </c>
      <c r="L526" s="23">
        <f>COUNTIFS(Inventory!A:A,A526,Inventory!J:J,"Open")</f>
        <v>1</v>
      </c>
    </row>
    <row r="527">
      <c r="A527" s="237" t="s">
        <v>759</v>
      </c>
      <c r="B527" s="23" t="str">
        <f>Publishers!A136</f>
        <v>Kalypso Media</v>
      </c>
      <c r="C527" s="78">
        <f>COUNTIF(Inventory!A:A, A527)</f>
        <v>4</v>
      </c>
      <c r="D527" s="89">
        <f>IFERROR(__xludf.DUMMYFUNCTION("IFERROR(AVERAGE(FILTER(Inventory!H:H,Inventory!J:J=""Closed"",Inventory!A:A=A527)),"""")"),0.4259344352128307)</f>
        <v>0.4259344352</v>
      </c>
      <c r="E527" s="234">
        <f>IFERROR(__xludf.DUMMYFUNCTION("IFERROR(AVERAGE(FILTER(Inventory!G:G,Inventory!J:J=""Closed"",Inventory!A:A=A527)),""0"")"),0.5624999999999998)</f>
        <v>0.5625</v>
      </c>
      <c r="F527" s="235">
        <f>IFERROR(__xludf.DUMMYFUNCTION("IFERROR(SUM(FILTER(Inventory!G:G,Inventory!J:J=""Closed"",Inventory!A:A=A527)),""0"")"),2.249999999999999)</f>
        <v>2.25</v>
      </c>
      <c r="G527" s="235">
        <f>IFERROR(__xludf.DUMMYFUNCTION("IFERROR(AVERAGE(FILTER(Inventory!K:K,Inventory!J:J=""Closed"",Inventory!A:A=A527)),"""")"),43.5)</f>
        <v>43.5</v>
      </c>
      <c r="H527" s="23" t="b">
        <v>0</v>
      </c>
      <c r="I527" s="236"/>
      <c r="J527" s="236">
        <f>MAXIFS(Inventory!D:D, Inventory!A:A, A:A)</f>
        <v>44629</v>
      </c>
      <c r="L527" s="23">
        <f>COUNTIFS(Inventory!A:A,A527,Inventory!J:J,"Open")</f>
        <v>0</v>
      </c>
    </row>
    <row r="528">
      <c r="A528" s="237" t="s">
        <v>1016</v>
      </c>
      <c r="B528" s="23" t="str">
        <f>Publishers!A136</f>
        <v>Kalypso Media</v>
      </c>
      <c r="C528" s="78">
        <f>COUNTIF(Inventory!A:A, A528)</f>
        <v>1</v>
      </c>
      <c r="D528" s="89">
        <f>IFERROR(__xludf.DUMMYFUNCTION("IFERROR(AVERAGE(FILTER(Inventory!H:H,Inventory!J:J=""Closed"",Inventory!A:A=A528)),"""")"),0.11163337250293774)</f>
        <v>0.1116333725</v>
      </c>
      <c r="E528" s="234">
        <f>IFERROR(__xludf.DUMMYFUNCTION("IFERROR(AVERAGE(FILTER(Inventory!G:G,Inventory!J:J=""Closed"",Inventory!A:A=A528)),""0"")"),1.9000000000000004)</f>
        <v>1.9</v>
      </c>
      <c r="F528" s="235">
        <f>IFERROR(__xludf.DUMMYFUNCTION("IFERROR(SUM(FILTER(Inventory!G:G,Inventory!J:J=""Closed"",Inventory!A:A=A528)),""0"")"),1.9000000000000004)</f>
        <v>1.9</v>
      </c>
      <c r="G528" s="235">
        <f>IFERROR(__xludf.DUMMYFUNCTION("IFERROR(AVERAGE(FILTER(Inventory!K:K,Inventory!J:J=""Closed"",Inventory!A:A=A528)),"""")"),35.0)</f>
        <v>35</v>
      </c>
      <c r="H528" s="23" t="b">
        <v>0</v>
      </c>
      <c r="I528" s="236"/>
      <c r="J528" s="236">
        <f>MAXIFS(Inventory!D:D, Inventory!A:A, A:A)</f>
        <v>44322</v>
      </c>
      <c r="L528" s="23">
        <f>COUNTIFS(Inventory!A:A,A528,Inventory!J:J,"Open")</f>
        <v>0</v>
      </c>
    </row>
    <row r="529">
      <c r="A529" s="237" t="s">
        <v>492</v>
      </c>
      <c r="B529" s="23" t="str">
        <f>Publishers!A136</f>
        <v>Kalypso Media</v>
      </c>
      <c r="C529" s="78">
        <f>COUNTIF(Inventory!A:A, A529)</f>
        <v>1</v>
      </c>
      <c r="D529" s="89">
        <f>IFERROR(__xludf.DUMMYFUNCTION("IFERROR(AVERAGE(FILTER(Inventory!H:H,Inventory!J:J=""Closed"",Inventory!A:A=A529)),"""")"),-0.005141388174807203)</f>
        <v>-0.005141388175</v>
      </c>
      <c r="E529" s="234">
        <f>IFERROR(__xludf.DUMMYFUNCTION("IFERROR(AVERAGE(FILTER(Inventory!G:G,Inventory!J:J=""Closed"",Inventory!A:A=A529)),""0"")"),-0.020000000000000018)</f>
        <v>-0.02</v>
      </c>
      <c r="F529" s="235">
        <f>IFERROR(__xludf.DUMMYFUNCTION("IFERROR(SUM(FILTER(Inventory!G:G,Inventory!J:J=""Closed"",Inventory!A:A=A529)),""0"")"),-0.020000000000000018)</f>
        <v>-0.02</v>
      </c>
      <c r="G529" s="235">
        <f>IFERROR(__xludf.DUMMYFUNCTION("IFERROR(AVERAGE(FILTER(Inventory!K:K,Inventory!J:J=""Closed"",Inventory!A:A=A529)),"""")"),9.0)</f>
        <v>9</v>
      </c>
      <c r="H529" s="23" t="b">
        <v>0</v>
      </c>
      <c r="I529" s="236"/>
      <c r="J529" s="236">
        <f>MAXIFS(Inventory!D:D, Inventory!A:A, A:A)</f>
        <v>44069</v>
      </c>
      <c r="L529" s="23">
        <f>COUNTIFS(Inventory!A:A,A529,Inventory!J:J,"Open")</f>
        <v>0</v>
      </c>
    </row>
    <row r="530">
      <c r="A530" s="237" t="s">
        <v>353</v>
      </c>
      <c r="B530" s="23" t="str">
        <f>Publishers!A14</f>
        <v>Akupara Games</v>
      </c>
      <c r="C530" s="78">
        <f>COUNTIF(Inventory!A:A, A530)</f>
        <v>3</v>
      </c>
      <c r="D530" s="89">
        <f>IFERROR(__xludf.DUMMYFUNCTION("IFERROR(AVERAGE(FILTER(Inventory!H:H,Inventory!J:J=""Closed"",Inventory!A:A=A530)),"""")"),-0.2840495722636159)</f>
        <v>-0.2840495723</v>
      </c>
      <c r="E530" s="234">
        <f>IFERROR(__xludf.DUMMYFUNCTION("IFERROR(AVERAGE(FILTER(Inventory!G:G,Inventory!J:J=""Closed"",Inventory!A:A=A530)),""0"")"),-1.1633333333333329)</f>
        <v>-1.163333333</v>
      </c>
      <c r="F530" s="235">
        <f>IFERROR(__xludf.DUMMYFUNCTION("IFERROR(SUM(FILTER(Inventory!G:G,Inventory!J:J=""Closed"",Inventory!A:A=A530)),""0"")"),-3.489999999999999)</f>
        <v>-3.49</v>
      </c>
      <c r="G530" s="235">
        <f>IFERROR(__xludf.DUMMYFUNCTION("IFERROR(AVERAGE(FILTER(Inventory!K:K,Inventory!J:J=""Closed"",Inventory!A:A=A530)),"""")"),284.6666666666667)</f>
        <v>284.6666667</v>
      </c>
      <c r="H530" s="23" t="b">
        <v>0</v>
      </c>
      <c r="I530" s="236"/>
      <c r="J530" s="236">
        <f>MAXIFS(Inventory!D:D, Inventory!A:A, A:A)</f>
        <v>45633</v>
      </c>
      <c r="L530" s="23">
        <f>COUNTIFS(Inventory!A:A,A530,Inventory!J:J,"Open")</f>
        <v>0</v>
      </c>
    </row>
    <row r="531">
      <c r="A531" s="233" t="s">
        <v>5419</v>
      </c>
      <c r="B531" s="23" t="str">
        <f>Publishers!A194</f>
        <v>PlayStation</v>
      </c>
      <c r="C531" s="78">
        <f>COUNTIF(Inventory!A:A, A531)</f>
        <v>3</v>
      </c>
      <c r="D531" s="89">
        <f>IFERROR(__xludf.DUMMYFUNCTION("IFERROR(AVERAGE(FILTER(Inventory!H:H,Inventory!J:J=""Closed"",Inventory!A:A=A531)),"""")"),0.10995107257188673)</f>
        <v>0.1099510726</v>
      </c>
      <c r="E531" s="234">
        <f>IFERROR(__xludf.DUMMYFUNCTION("IFERROR(AVERAGE(FILTER(Inventory!G:G,Inventory!J:J=""Closed"",Inventory!A:A=A531)),""0"")"),3.5799999999999996)</f>
        <v>3.58</v>
      </c>
      <c r="F531" s="235">
        <f>IFERROR(__xludf.DUMMYFUNCTION("IFERROR(SUM(FILTER(Inventory!G:G,Inventory!J:J=""Closed"",Inventory!A:A=A531)),""0"")"),10.739999999999998)</f>
        <v>10.74</v>
      </c>
      <c r="G531" s="235">
        <f>IFERROR(__xludf.DUMMYFUNCTION("IFERROR(AVERAGE(FILTER(Inventory!K:K,Inventory!J:J=""Closed"",Inventory!A:A=A531)),"""")"),28.666666666666668)</f>
        <v>28.66666667</v>
      </c>
      <c r="H531" s="78" t="b">
        <v>0</v>
      </c>
      <c r="I531" s="236"/>
      <c r="J531" s="236">
        <f>MAXIFS(Inventory!D:D, Inventory!A:A, A:A)</f>
        <v>45704</v>
      </c>
      <c r="L531" s="23">
        <f>COUNTIFS(Inventory!A:A,A531,Inventory!J:J,"Open")</f>
        <v>0</v>
      </c>
    </row>
    <row r="532">
      <c r="A532" s="233" t="s">
        <v>3920</v>
      </c>
      <c r="B532" s="23" t="str">
        <f>Publishers!A250</f>
        <v>Systemic Reaction</v>
      </c>
      <c r="C532" s="78">
        <f>COUNTIF(Inventory!A:A, A532)</f>
        <v>2</v>
      </c>
      <c r="D532" s="89">
        <f>IFERROR(__xludf.DUMMYFUNCTION("IFERROR(AVERAGE(FILTER(Inventory!H:H,Inventory!J:J=""Closed"",Inventory!A:A=A532)),"""")"),0.1838310473815461)</f>
        <v>0.1838310474</v>
      </c>
      <c r="E532" s="234">
        <f>IFERROR(__xludf.DUMMYFUNCTION("IFERROR(AVERAGE(FILTER(Inventory!G:G,Inventory!J:J=""Closed"",Inventory!A:A=A532)),""0"")"),2.9449999999999994)</f>
        <v>2.945</v>
      </c>
      <c r="F532" s="235">
        <f>IFERROR(__xludf.DUMMYFUNCTION("IFERROR(SUM(FILTER(Inventory!G:G,Inventory!J:J=""Closed"",Inventory!A:A=A532)),""0"")"),5.889999999999999)</f>
        <v>5.89</v>
      </c>
      <c r="G532" s="235">
        <f>IFERROR(__xludf.DUMMYFUNCTION("IFERROR(AVERAGE(FILTER(Inventory!K:K,Inventory!J:J=""Closed"",Inventory!A:A=A532)),"""")"),48.0)</f>
        <v>48</v>
      </c>
      <c r="H532" s="78" t="b">
        <v>0</v>
      </c>
      <c r="I532" s="236"/>
      <c r="J532" s="236">
        <f>MAXIFS(Inventory!D:D, Inventory!A:A, A:A)</f>
        <v>45092</v>
      </c>
      <c r="L532" s="23">
        <f>COUNTIFS(Inventory!A:A,A532,Inventory!J:J,"Open")</f>
        <v>0</v>
      </c>
    </row>
    <row r="533">
      <c r="A533" s="233" t="s">
        <v>7589</v>
      </c>
      <c r="B533" s="23" t="str">
        <f>Publishers!A167</f>
        <v>Nacon</v>
      </c>
      <c r="C533" s="78">
        <f>COUNTIF(Inventory!A:A, A533)</f>
        <v>3</v>
      </c>
      <c r="D533" s="89">
        <f>IFERROR(__xludf.DUMMYFUNCTION("IFERROR(AVERAGE(FILTER(Inventory!H:H,Inventory!J:J=""Closed"",Inventory!A:A=A533)),"""")"),0.12720458553791889)</f>
        <v>0.1272045855</v>
      </c>
      <c r="E533" s="234">
        <f>IFERROR(__xludf.DUMMYFUNCTION("IFERROR(AVERAGE(FILTER(Inventory!G:G,Inventory!J:J=""Closed"",Inventory!A:A=A533)),""0"")"),1.9233333333333331)</f>
        <v>1.923333333</v>
      </c>
      <c r="F533" s="235">
        <f>IFERROR(__xludf.DUMMYFUNCTION("IFERROR(SUM(FILTER(Inventory!G:G,Inventory!J:J=""Closed"",Inventory!A:A=A533)),""0"")"),5.77)</f>
        <v>5.77</v>
      </c>
      <c r="G533" s="235">
        <f>IFERROR(__xludf.DUMMYFUNCTION("IFERROR(AVERAGE(FILTER(Inventory!K:K,Inventory!J:J=""Closed"",Inventory!A:A=A533)),"""")"),0.0)</f>
        <v>0</v>
      </c>
      <c r="H533" s="78" t="b">
        <v>0</v>
      </c>
      <c r="I533" s="236"/>
      <c r="J533" s="236">
        <f>MAXIFS(Inventory!D:D, Inventory!A:A, A:A)</f>
        <v>45570</v>
      </c>
      <c r="L533" s="23">
        <f>COUNTIFS(Inventory!A:A,A533,Inventory!J:J,"Open")</f>
        <v>0</v>
      </c>
    </row>
    <row r="534">
      <c r="A534" s="237" t="s">
        <v>1917</v>
      </c>
      <c r="B534" s="23" t="str">
        <f>Publishers!A249</f>
        <v>Survios</v>
      </c>
      <c r="C534" s="78">
        <f>COUNTIF(Inventory!A:A, A534)</f>
        <v>12</v>
      </c>
      <c r="D534" s="89">
        <f>IFERROR(__xludf.DUMMYFUNCTION("IFERROR(AVERAGE(FILTER(Inventory!H:H,Inventory!J:J=""Closed"",Inventory!A:A=A534)),"""")"),0.34174868951348186)</f>
        <v>0.3417486895</v>
      </c>
      <c r="E534" s="234">
        <f>IFERROR(__xludf.DUMMYFUNCTION("IFERROR(AVERAGE(FILTER(Inventory!G:G,Inventory!J:J=""Closed"",Inventory!A:A=A534)),""0"")"),0.6524999999999999)</f>
        <v>0.6525</v>
      </c>
      <c r="F534" s="235">
        <f>IFERROR(__xludf.DUMMYFUNCTION("IFERROR(SUM(FILTER(Inventory!G:G,Inventory!J:J=""Closed"",Inventory!A:A=A534)),""0"")"),7.829999999999998)</f>
        <v>7.83</v>
      </c>
      <c r="G534" s="235">
        <f>IFERROR(__xludf.DUMMYFUNCTION("IFERROR(AVERAGE(FILTER(Inventory!K:K,Inventory!J:J=""Closed"",Inventory!A:A=A534)),"""")"),8.166666666666666)</f>
        <v>8.166666667</v>
      </c>
      <c r="H534" s="78" t="b">
        <v>1</v>
      </c>
      <c r="I534" s="236"/>
      <c r="J534" s="236">
        <f>MAXIFS(Inventory!D:D, Inventory!A:A, A:A)</f>
        <v>44629</v>
      </c>
      <c r="L534" s="23">
        <f>COUNTIFS(Inventory!A:A,A534,Inventory!J:J,"Open")</f>
        <v>0</v>
      </c>
    </row>
    <row r="535">
      <c r="A535" s="233" t="s">
        <v>2944</v>
      </c>
      <c r="B535" s="23" t="str">
        <f>Publishers!A280</f>
        <v>VOID Interactive</v>
      </c>
      <c r="C535" s="78">
        <f>COUNTIF(Inventory!A:A, A535)</f>
        <v>1</v>
      </c>
      <c r="D535" s="89">
        <f>IFERROR(__xludf.DUMMYFUNCTION("IFERROR(AVERAGE(FILTER(Inventory!H:H,Inventory!J:J=""Closed"",Inventory!A:A=A535)),"""")"),0.04051810029890398)</f>
        <v>0.0405181003</v>
      </c>
      <c r="E535" s="234">
        <f>IFERROR(__xludf.DUMMYFUNCTION("IFERROR(AVERAGE(FILTER(Inventory!G:G,Inventory!J:J=""Closed"",Inventory!A:A=A535)),""0"")"),1.2199999999999989)</f>
        <v>1.22</v>
      </c>
      <c r="F535" s="235">
        <f>IFERROR(__xludf.DUMMYFUNCTION("IFERROR(SUM(FILTER(Inventory!G:G,Inventory!J:J=""Closed"",Inventory!A:A=A535)),""0"")"),1.2199999999999989)</f>
        <v>1.22</v>
      </c>
      <c r="G535" s="235">
        <f>IFERROR(__xludf.DUMMYFUNCTION("IFERROR(AVERAGE(FILTER(Inventory!K:K,Inventory!J:J=""Closed"",Inventory!A:A=A535)),"""")"),1.0)</f>
        <v>1</v>
      </c>
      <c r="H535" s="23" t="b">
        <v>0</v>
      </c>
      <c r="I535" s="236"/>
      <c r="J535" s="236">
        <f>MAXIFS(Inventory!D:D, Inventory!A:A, A:A)</f>
        <v>44774</v>
      </c>
      <c r="L535" s="23">
        <f>COUNTIFS(Inventory!A:A,A535,Inventory!J:J,"Open")</f>
        <v>0</v>
      </c>
    </row>
    <row r="536">
      <c r="A536" s="233" t="s">
        <v>6533</v>
      </c>
      <c r="B536" s="23" t="str">
        <f>Publishers!A280</f>
        <v>VOID Interactive</v>
      </c>
      <c r="C536" s="78">
        <f>COUNTIF(Inventory!A:A, A536)</f>
        <v>18</v>
      </c>
      <c r="D536" s="89">
        <f>IFERROR(__xludf.DUMMYFUNCTION("IFERROR(AVERAGE(FILTER(Inventory!H:H,Inventory!J:J=""Closed"",Inventory!A:A=A536)),"""")"),0.21907837859828647)</f>
        <v>0.2190783786</v>
      </c>
      <c r="E536" s="234">
        <f>IFERROR(__xludf.DUMMYFUNCTION("IFERROR(AVERAGE(FILTER(Inventory!G:G,Inventory!J:J=""Closed"",Inventory!A:A=A536)),""0"")"),5.257222222222223)</f>
        <v>5.257222222</v>
      </c>
      <c r="F536" s="235">
        <f>IFERROR(__xludf.DUMMYFUNCTION("IFERROR(SUM(FILTER(Inventory!G:G,Inventory!J:J=""Closed"",Inventory!A:A=A536)),""0"")"),94.63000000000002)</f>
        <v>94.63</v>
      </c>
      <c r="G536" s="235">
        <f>IFERROR(__xludf.DUMMYFUNCTION("IFERROR(AVERAGE(FILTER(Inventory!K:K,Inventory!J:J=""Closed"",Inventory!A:A=A536)),"""")"),0.2777777777777778)</f>
        <v>0.2777777778</v>
      </c>
      <c r="H536" s="23" t="b">
        <v>0</v>
      </c>
      <c r="I536" s="236"/>
      <c r="J536" s="236">
        <f>MAXIFS(Inventory!D:D, Inventory!A:A, A:A)</f>
        <v>45982</v>
      </c>
      <c r="L536" s="23">
        <f>COUNTIFS(Inventory!A:A,A536,Inventory!J:J,"Open")</f>
        <v>0</v>
      </c>
    </row>
    <row r="537">
      <c r="A537" s="233" t="s">
        <v>8461</v>
      </c>
      <c r="B537" s="23" t="str">
        <f>Publishers!A84</f>
        <v>Element Games</v>
      </c>
      <c r="C537" s="78">
        <f>COUNTIF(Inventory!A:A, A537)</f>
        <v>16</v>
      </c>
      <c r="D537" s="89">
        <f>IFERROR(__xludf.DUMMYFUNCTION("IFERROR(AVERAGE(FILTER(Inventory!H:H,Inventory!J:J=""Closed"",Inventory!A:A=A537)),"""")"),0.1346515352593953)</f>
        <v>0.1346515353</v>
      </c>
      <c r="E537" s="234">
        <f>IFERROR(__xludf.DUMMYFUNCTION("IFERROR(AVERAGE(FILTER(Inventory!G:G,Inventory!J:J=""Closed"",Inventory!A:A=A537)),""0"")"),1.6725000000000003)</f>
        <v>1.6725</v>
      </c>
      <c r="F537" s="235">
        <f>IFERROR(__xludf.DUMMYFUNCTION("IFERROR(SUM(FILTER(Inventory!G:G,Inventory!J:J=""Closed"",Inventory!A:A=A537)),""0"")"),26.760000000000005)</f>
        <v>26.76</v>
      </c>
      <c r="G537" s="235">
        <f>IFERROR(__xludf.DUMMYFUNCTION("IFERROR(AVERAGE(FILTER(Inventory!K:K,Inventory!J:J=""Closed"",Inventory!A:A=A537)),"""")"),4.125)</f>
        <v>4.125</v>
      </c>
      <c r="H537" s="23" t="b">
        <v>0</v>
      </c>
      <c r="I537" s="236"/>
      <c r="J537" s="236">
        <f>MAXIFS(Inventory!D:D, Inventory!A:A, A:A)</f>
        <v>45764</v>
      </c>
      <c r="L537" s="23">
        <f>COUNTIFS(Inventory!A:A,A537,Inventory!J:J,"Open")</f>
        <v>0</v>
      </c>
    </row>
    <row r="538">
      <c r="A538" s="237" t="s">
        <v>1449</v>
      </c>
      <c r="B538" s="23" t="str">
        <f>Publishers!A76</f>
        <v>Double Damage Games</v>
      </c>
      <c r="C538" s="78">
        <f>COUNTIF(Inventory!A:A, A538)</f>
        <v>1</v>
      </c>
      <c r="D538" s="89">
        <f>IFERROR(__xludf.DUMMYFUNCTION("IFERROR(AVERAGE(FILTER(Inventory!H:H,Inventory!J:J=""Closed"",Inventory!A:A=A538)),"""")"),1.0)</f>
        <v>1</v>
      </c>
      <c r="E538" s="234">
        <f>IFERROR(__xludf.DUMMYFUNCTION("IFERROR(AVERAGE(FILTER(Inventory!G:G,Inventory!J:J=""Closed"",Inventory!A:A=A538)),""0"")"),0.14)</f>
        <v>0.14</v>
      </c>
      <c r="F538" s="235">
        <f>IFERROR(__xludf.DUMMYFUNCTION("IFERROR(SUM(FILTER(Inventory!G:G,Inventory!J:J=""Closed"",Inventory!A:A=A538)),""0"")"),0.14)</f>
        <v>0.14</v>
      </c>
      <c r="G538" s="235">
        <f>IFERROR(__xludf.DUMMYFUNCTION("IFERROR(AVERAGE(FILTER(Inventory!K:K,Inventory!J:J=""Closed"",Inventory!A:A=A538)),"""")"),5.0)</f>
        <v>5</v>
      </c>
      <c r="H538" s="23" t="b">
        <v>0</v>
      </c>
      <c r="I538" s="236"/>
      <c r="J538" s="236">
        <f>MAXIFS(Inventory!D:D, Inventory!A:A, A:A)</f>
        <v>44474</v>
      </c>
      <c r="L538" s="23">
        <f>COUNTIFS(Inventory!A:A,A538,Inventory!J:J,"Open")</f>
        <v>0</v>
      </c>
    </row>
    <row r="539">
      <c r="A539" s="233" t="s">
        <v>2607</v>
      </c>
      <c r="B539" s="23" t="str">
        <f>Publishers!A76</f>
        <v>Double Damage Games</v>
      </c>
      <c r="C539" s="78">
        <f>COUNTIF(Inventory!A:A, A539)</f>
        <v>1</v>
      </c>
      <c r="D539" s="89">
        <f>IFERROR(__xludf.DUMMYFUNCTION("IFERROR(AVERAGE(FILTER(Inventory!H:H,Inventory!J:J=""Closed"",Inventory!A:A=A539)),"""")"),1.0)</f>
        <v>1</v>
      </c>
      <c r="E539" s="234">
        <f>IFERROR(__xludf.DUMMYFUNCTION("IFERROR(AVERAGE(FILTER(Inventory!G:G,Inventory!J:J=""Closed"",Inventory!A:A=A539)),""0"")"),0.46)</f>
        <v>0.46</v>
      </c>
      <c r="F539" s="235">
        <f>IFERROR(__xludf.DUMMYFUNCTION("IFERROR(SUM(FILTER(Inventory!G:G,Inventory!J:J=""Closed"",Inventory!A:A=A539)),""0"")"),0.46)</f>
        <v>0.46</v>
      </c>
      <c r="G539" s="235">
        <f>IFERROR(__xludf.DUMMYFUNCTION("IFERROR(AVERAGE(FILTER(Inventory!K:K,Inventory!J:J=""Closed"",Inventory!A:A=A539)),"""")"),0.0)</f>
        <v>0</v>
      </c>
      <c r="H539" s="23" t="b">
        <v>0</v>
      </c>
      <c r="I539" s="236"/>
      <c r="J539" s="236">
        <f>MAXIFS(Inventory!D:D, Inventory!A:A, A:A)</f>
        <v>44699</v>
      </c>
      <c r="L539" s="23">
        <f>COUNTIFS(Inventory!A:A,A539,Inventory!J:J,"Open")</f>
        <v>0</v>
      </c>
    </row>
    <row r="540">
      <c r="A540" s="233" t="s">
        <v>4351</v>
      </c>
      <c r="B540" s="23" t="str">
        <f>Publishers!A34</f>
        <v>Bethesda Softworks</v>
      </c>
      <c r="C540" s="78">
        <f>COUNTIF(Inventory!A:A, A540)</f>
        <v>3</v>
      </c>
      <c r="D540" s="89">
        <f>IFERROR(__xludf.DUMMYFUNCTION("IFERROR(AVERAGE(FILTER(Inventory!H:H,Inventory!J:J=""Closed"",Inventory!A:A=A540)),"""")"),0.2896179401376815)</f>
        <v>0.2896179401</v>
      </c>
      <c r="E540" s="234">
        <f>IFERROR(__xludf.DUMMYFUNCTION("IFERROR(AVERAGE(FILTER(Inventory!G:G,Inventory!J:J=""Closed"",Inventory!A:A=A540)),""0"")"),6.399999999999999)</f>
        <v>6.4</v>
      </c>
      <c r="F540" s="235">
        <f>IFERROR(__xludf.DUMMYFUNCTION("IFERROR(SUM(FILTER(Inventory!G:G,Inventory!J:J=""Closed"",Inventory!A:A=A540)),""0"")"),19.199999999999996)</f>
        <v>19.2</v>
      </c>
      <c r="G540" s="235">
        <f>IFERROR(__xludf.DUMMYFUNCTION("IFERROR(AVERAGE(FILTER(Inventory!K:K,Inventory!J:J=""Closed"",Inventory!A:A=A540)),"""")"),8.0)</f>
        <v>8</v>
      </c>
      <c r="H540" s="23" t="b">
        <v>0</v>
      </c>
      <c r="I540" s="236"/>
      <c r="J540" s="236">
        <f>MAXIFS(Inventory!D:D, Inventory!A:A, A:A)</f>
        <v>45139</v>
      </c>
      <c r="L540" s="23">
        <f>COUNTIFS(Inventory!A:A,A540,Inventory!J:J,"Open")</f>
        <v>0</v>
      </c>
    </row>
    <row r="541">
      <c r="A541" s="237" t="s">
        <v>871</v>
      </c>
      <c r="B541" s="23" t="str">
        <f>Publishers!A7</f>
        <v>34BigThings</v>
      </c>
      <c r="C541" s="78">
        <f>COUNTIF(Inventory!A:A, A541)</f>
        <v>6</v>
      </c>
      <c r="D541" s="89">
        <f>IFERROR(__xludf.DUMMYFUNCTION("IFERROR(AVERAGE(FILTER(Inventory!H:H,Inventory!J:J=""Closed"",Inventory!A:A=A541)),"""")"),0.3680435765686674)</f>
        <v>0.3680435766</v>
      </c>
      <c r="E541" s="234">
        <f>IFERROR(__xludf.DUMMYFUNCTION("IFERROR(AVERAGE(FILTER(Inventory!G:G,Inventory!J:J=""Closed"",Inventory!A:A=A541)),""0"")"),1.7966666666666662)</f>
        <v>1.796666667</v>
      </c>
      <c r="F541" s="235">
        <f>IFERROR(__xludf.DUMMYFUNCTION("IFERROR(SUM(FILTER(Inventory!G:G,Inventory!J:J=""Closed"",Inventory!A:A=A541)),""0"")"),10.779999999999998)</f>
        <v>10.78</v>
      </c>
      <c r="G541" s="235">
        <f>IFERROR(__xludf.DUMMYFUNCTION("IFERROR(AVERAGE(FILTER(Inventory!K:K,Inventory!J:J=""Closed"",Inventory!A:A=A541)),"""")"),56.666666666666664)</f>
        <v>56.66666667</v>
      </c>
      <c r="H541" s="23" t="b">
        <v>0</v>
      </c>
      <c r="I541" s="236"/>
      <c r="J541" s="236">
        <f>MAXIFS(Inventory!D:D, Inventory!A:A, A:A)</f>
        <v>44689</v>
      </c>
      <c r="L541" s="23">
        <f>COUNTIFS(Inventory!A:A,A541,Inventory!J:J,"Open")</f>
        <v>0</v>
      </c>
    </row>
    <row r="542">
      <c r="A542" s="237" t="s">
        <v>351</v>
      </c>
      <c r="B542" s="23" t="str">
        <f>Publishers!A7</f>
        <v>34BigThings</v>
      </c>
      <c r="C542" s="78">
        <f>COUNTIF(Inventory!A:A, A542)</f>
        <v>2</v>
      </c>
      <c r="D542" s="89">
        <f>IFERROR(__xludf.DUMMYFUNCTION("IFERROR(AVERAGE(FILTER(Inventory!H:H,Inventory!J:J=""Closed"",Inventory!A:A=A542)),"""")"),0.5329670329670331)</f>
        <v>0.532967033</v>
      </c>
      <c r="E542" s="234">
        <f>IFERROR(__xludf.DUMMYFUNCTION("IFERROR(AVERAGE(FILTER(Inventory!G:G,Inventory!J:J=""Closed"",Inventory!A:A=A542)),""0"")"),0.48500000000000004)</f>
        <v>0.485</v>
      </c>
      <c r="F542" s="235">
        <f>IFERROR(__xludf.DUMMYFUNCTION("IFERROR(SUM(FILTER(Inventory!G:G,Inventory!J:J=""Closed"",Inventory!A:A=A542)),""0"")"),0.9700000000000001)</f>
        <v>0.97</v>
      </c>
      <c r="G542" s="235">
        <f>IFERROR(__xludf.DUMMYFUNCTION("IFERROR(AVERAGE(FILTER(Inventory!K:K,Inventory!J:J=""Closed"",Inventory!A:A=A542)),"""")"),8.0)</f>
        <v>8</v>
      </c>
      <c r="H542" s="23" t="b">
        <v>0</v>
      </c>
      <c r="I542" s="236"/>
      <c r="J542" s="236">
        <f>MAXIFS(Inventory!D:D, Inventory!A:A, A:A)</f>
        <v>44046</v>
      </c>
      <c r="L542" s="23">
        <f>COUNTIFS(Inventory!A:A,A542,Inventory!J:J,"Open")</f>
        <v>0</v>
      </c>
    </row>
    <row r="543">
      <c r="A543" s="237" t="s">
        <v>1488</v>
      </c>
      <c r="B543" s="23" t="str">
        <f>Publishers!A190</f>
        <v>Perfect World Entertainment</v>
      </c>
      <c r="C543" s="78">
        <f>COUNTIF(Inventory!A:A, A543)</f>
        <v>14</v>
      </c>
      <c r="D543" s="89">
        <f>IFERROR(__xludf.DUMMYFUNCTION("IFERROR(AVERAGE(FILTER(Inventory!H:H,Inventory!J:J=""Closed"",Inventory!A:A=A543)),"""")"),0.2566050042758936)</f>
        <v>0.2566050043</v>
      </c>
      <c r="E543" s="234">
        <f>IFERROR(__xludf.DUMMYFUNCTION("IFERROR(AVERAGE(FILTER(Inventory!G:G,Inventory!J:J=""Closed"",Inventory!A:A=A543)),""0"")"),4.403571428571428)</f>
        <v>4.403571429</v>
      </c>
      <c r="F543" s="235">
        <f>IFERROR(__xludf.DUMMYFUNCTION("IFERROR(SUM(FILTER(Inventory!G:G,Inventory!J:J=""Closed"",Inventory!A:A=A543)),""0"")"),61.64999999999999)</f>
        <v>61.65</v>
      </c>
      <c r="G543" s="235">
        <f>IFERROR(__xludf.DUMMYFUNCTION("IFERROR(AVERAGE(FILTER(Inventory!K:K,Inventory!J:J=""Closed"",Inventory!A:A=A543)),"""")"),37.57142857142857)</f>
        <v>37.57142857</v>
      </c>
      <c r="H543" s="78" t="b">
        <v>1</v>
      </c>
      <c r="I543" s="236"/>
      <c r="J543" s="236">
        <f>MAXIFS(Inventory!D:D, Inventory!A:A, A:A)</f>
        <v>45049</v>
      </c>
      <c r="L543" s="23">
        <f>COUNTIFS(Inventory!A:A,A543,Inventory!J:J,"Open")</f>
        <v>0</v>
      </c>
    </row>
    <row r="544">
      <c r="A544" s="233" t="s">
        <v>4883</v>
      </c>
      <c r="B544" s="23" t="str">
        <f>Publishers!A113</f>
        <v>Gearbox Publishing</v>
      </c>
      <c r="C544" s="78">
        <f>COUNTIF(Inventory!A:A, A544)</f>
        <v>5</v>
      </c>
      <c r="D544" s="89">
        <f>IFERROR(__xludf.DUMMYFUNCTION("IFERROR(AVERAGE(FILTER(Inventory!H:H,Inventory!J:J=""Closed"",Inventory!A:A=A544)),"""")"),0.0857422620305672)</f>
        <v>0.08574226203</v>
      </c>
      <c r="E544" s="234">
        <f>IFERROR(__xludf.DUMMYFUNCTION("IFERROR(AVERAGE(FILTER(Inventory!G:G,Inventory!J:J=""Closed"",Inventory!A:A=A544)),""0"")"),2.9225000000000003)</f>
        <v>2.9225</v>
      </c>
      <c r="F544" s="235">
        <f>IFERROR(__xludf.DUMMYFUNCTION("IFERROR(SUM(FILTER(Inventory!G:G,Inventory!J:J=""Closed"",Inventory!A:A=A544)),""0"")"),11.690000000000001)</f>
        <v>11.69</v>
      </c>
      <c r="G544" s="235">
        <f>IFERROR(__xludf.DUMMYFUNCTION("IFERROR(AVERAGE(FILTER(Inventory!K:K,Inventory!J:J=""Closed"",Inventory!A:A=A544)),"""")"),1.0)</f>
        <v>1</v>
      </c>
      <c r="H544" s="78" t="b">
        <v>0</v>
      </c>
      <c r="I544" s="236"/>
      <c r="J544" s="236">
        <f>MAXIFS(Inventory!D:D, Inventory!A:A, A:A)</f>
        <v>45180</v>
      </c>
      <c r="L544" s="23">
        <f>COUNTIFS(Inventory!A:A,A544,Inventory!J:J,"Open")</f>
        <v>1</v>
      </c>
    </row>
    <row r="545">
      <c r="A545" s="233" t="s">
        <v>5054</v>
      </c>
      <c r="B545" s="23" t="str">
        <f>Publishers!A113</f>
        <v>Gearbox Publishing</v>
      </c>
      <c r="C545" s="78">
        <f>COUNTIF(Inventory!A:A, A545)</f>
        <v>2</v>
      </c>
      <c r="D545" s="89" t="str">
        <f>IFERROR(__xludf.DUMMYFUNCTION("IFERROR(AVERAGE(FILTER(Inventory!H:H,Inventory!J:J=""Closed"",Inventory!A:A=A545)),"""")"),"")</f>
        <v/>
      </c>
      <c r="E545" s="234" t="str">
        <f>IFERROR(__xludf.DUMMYFUNCTION("IFERROR(AVERAGE(FILTER(Inventory!G:G,Inventory!J:J=""Closed"",Inventory!A:A=A545)),""0"")"),"0")</f>
        <v>0</v>
      </c>
      <c r="F545" s="235" t="str">
        <f>IFERROR(__xludf.DUMMYFUNCTION("IFERROR(SUM(FILTER(Inventory!G:G,Inventory!J:J=""Closed"",Inventory!A:A=A545)),""0"")"),"0")</f>
        <v>0</v>
      </c>
      <c r="G545" s="235" t="str">
        <f>IFERROR(__xludf.DUMMYFUNCTION("IFERROR(AVERAGE(FILTER(Inventory!K:K,Inventory!J:J=""Closed"",Inventory!A:A=A545)),"""")"),"")</f>
        <v/>
      </c>
      <c r="H545" s="78" t="b">
        <v>0</v>
      </c>
      <c r="I545" s="236"/>
      <c r="J545" s="236">
        <f>MAXIFS(Inventory!D:D, Inventory!A:A, A:A)</f>
        <v>0</v>
      </c>
      <c r="L545" s="23">
        <f>COUNTIFS(Inventory!A:A,A545,Inventory!J:J,"Open")</f>
        <v>2</v>
      </c>
    </row>
    <row r="546">
      <c r="A546" s="237" t="s">
        <v>809</v>
      </c>
      <c r="B546" s="23" t="str">
        <f>Publishers!A163</f>
        <v>Modus Games</v>
      </c>
      <c r="C546" s="78">
        <f>COUNTIF(Inventory!A:A, A546)</f>
        <v>7</v>
      </c>
      <c r="D546" s="89">
        <f>IFERROR(__xludf.DUMMYFUNCTION("IFERROR(AVERAGE(FILTER(Inventory!H:H,Inventory!J:J=""Closed"",Inventory!A:A=A546)),"""")"),0.14014371951834792)</f>
        <v>0.1401437195</v>
      </c>
      <c r="E546" s="234">
        <f>IFERROR(__xludf.DUMMYFUNCTION("IFERROR(AVERAGE(FILTER(Inventory!G:G,Inventory!J:J=""Closed"",Inventory!A:A=A546)),""0"")"),1.204285714285714)</f>
        <v>1.204285714</v>
      </c>
      <c r="F546" s="235">
        <f>IFERROR(__xludf.DUMMYFUNCTION("IFERROR(SUM(FILTER(Inventory!G:G,Inventory!J:J=""Closed"",Inventory!A:A=A546)),""0"")"),8.429999999999998)</f>
        <v>8.43</v>
      </c>
      <c r="G546" s="235">
        <f>IFERROR(__xludf.DUMMYFUNCTION("IFERROR(AVERAGE(FILTER(Inventory!K:K,Inventory!J:J=""Closed"",Inventory!A:A=A546)),"""")"),95.57142857142857)</f>
        <v>95.57142857</v>
      </c>
      <c r="H546" s="23" t="b">
        <v>0</v>
      </c>
      <c r="I546" s="236"/>
      <c r="J546" s="236">
        <f>MAXIFS(Inventory!D:D, Inventory!A:A, A:A)</f>
        <v>44784</v>
      </c>
      <c r="L546" s="23">
        <f>COUNTIFS(Inventory!A:A,A546,Inventory!J:J,"Open")</f>
        <v>0</v>
      </c>
    </row>
    <row r="547">
      <c r="A547" s="237" t="s">
        <v>408</v>
      </c>
      <c r="B547" s="23" t="str">
        <f>Publishers!A46</f>
        <v>Camouflaj</v>
      </c>
      <c r="C547" s="78">
        <f>COUNTIF(Inventory!A:A, A547)</f>
        <v>3</v>
      </c>
      <c r="D547" s="89">
        <f>IFERROR(__xludf.DUMMYFUNCTION("IFERROR(AVERAGE(FILTER(Inventory!H:H,Inventory!J:J=""Closed"",Inventory!A:A=A547)),"""")"),1.0)</f>
        <v>1</v>
      </c>
      <c r="E547" s="234">
        <f>IFERROR(__xludf.DUMMYFUNCTION("IFERROR(AVERAGE(FILTER(Inventory!G:G,Inventory!J:J=""Closed"",Inventory!A:A=A547)),""0"")"),0.7799999999999999)</f>
        <v>0.78</v>
      </c>
      <c r="F547" s="235">
        <f>IFERROR(__xludf.DUMMYFUNCTION("IFERROR(SUM(FILTER(Inventory!G:G,Inventory!J:J=""Closed"",Inventory!A:A=A547)),""0"")"),2.34)</f>
        <v>2.34</v>
      </c>
      <c r="G547" s="235">
        <f>IFERROR(__xludf.DUMMYFUNCTION("IFERROR(AVERAGE(FILTER(Inventory!K:K,Inventory!J:J=""Closed"",Inventory!A:A=A547)),"""")"),92.0)</f>
        <v>92</v>
      </c>
      <c r="H547" s="23" t="b">
        <v>0</v>
      </c>
      <c r="I547" s="236"/>
      <c r="J547" s="236">
        <f>MAXIFS(Inventory!D:D, Inventory!A:A, A:A)</f>
        <v>44163</v>
      </c>
      <c r="L547" s="23">
        <f>COUNTIFS(Inventory!A:A,A547,Inventory!J:J,"Open")</f>
        <v>0</v>
      </c>
    </row>
    <row r="548">
      <c r="A548" s="237" t="s">
        <v>326</v>
      </c>
      <c r="B548" s="23" t="str">
        <f>Publishers!A12</f>
        <v>Aerosoft</v>
      </c>
      <c r="C548" s="78">
        <f>COUNTIF(Inventory!A:A, A548)</f>
        <v>30</v>
      </c>
      <c r="D548" s="89">
        <f>IFERROR(__xludf.DUMMYFUNCTION("IFERROR(AVERAGE(FILTER(Inventory!H:H,Inventory!J:J=""Closed"",Inventory!A:A=A548)),"""")"),0.3706895128347529)</f>
        <v>0.3706895128</v>
      </c>
      <c r="E548" s="234">
        <f>IFERROR(__xludf.DUMMYFUNCTION("IFERROR(AVERAGE(FILTER(Inventory!G:G,Inventory!J:J=""Closed"",Inventory!A:A=A548)),""0"")"),2.385333333333334)</f>
        <v>2.385333333</v>
      </c>
      <c r="F548" s="235">
        <f>IFERROR(__xludf.DUMMYFUNCTION("IFERROR(SUM(FILTER(Inventory!G:G,Inventory!J:J=""Closed"",Inventory!A:A=A548)),""0"")"),71.56000000000002)</f>
        <v>71.56</v>
      </c>
      <c r="G548" s="235">
        <f>IFERROR(__xludf.DUMMYFUNCTION("IFERROR(AVERAGE(FILTER(Inventory!K:K,Inventory!J:J=""Closed"",Inventory!A:A=A548)),"""")"),54.5)</f>
        <v>54.5</v>
      </c>
      <c r="H548" s="78" t="b">
        <v>1</v>
      </c>
      <c r="I548" s="78">
        <v>10.99</v>
      </c>
      <c r="J548" s="236">
        <f>MAXIFS(Inventory!D:D, Inventory!A:A, A:A)</f>
        <v>45830</v>
      </c>
      <c r="L548" s="23">
        <f>COUNTIFS(Inventory!A:A,A548,Inventory!J:J,"Open")</f>
        <v>0</v>
      </c>
    </row>
    <row r="549">
      <c r="A549" s="237" t="s">
        <v>1762</v>
      </c>
      <c r="B549" s="23" t="str">
        <f>Publishers!A15</f>
        <v>Alawar Premium</v>
      </c>
      <c r="C549" s="78">
        <f>COUNTIF(Inventory!A:A, A549)</f>
        <v>1</v>
      </c>
      <c r="D549" s="89">
        <f>IFERROR(__xludf.DUMMYFUNCTION("IFERROR(AVERAGE(FILTER(Inventory!H:H,Inventory!J:J=""Closed"",Inventory!A:A=A549)),"""")"),1.0)</f>
        <v>1</v>
      </c>
      <c r="E549" s="234">
        <f>IFERROR(__xludf.DUMMYFUNCTION("IFERROR(AVERAGE(FILTER(Inventory!G:G,Inventory!J:J=""Closed"",Inventory!A:A=A549)),""0"")"),1.13)</f>
        <v>1.13</v>
      </c>
      <c r="F549" s="235">
        <f>IFERROR(__xludf.DUMMYFUNCTION("IFERROR(SUM(FILTER(Inventory!G:G,Inventory!J:J=""Closed"",Inventory!A:A=A549)),""0"")"),1.13)</f>
        <v>1.13</v>
      </c>
      <c r="G549" s="235">
        <f>IFERROR(__xludf.DUMMYFUNCTION("IFERROR(AVERAGE(FILTER(Inventory!K:K,Inventory!J:J=""Closed"",Inventory!A:A=A549)),"""")"),29.0)</f>
        <v>29</v>
      </c>
      <c r="H549" s="23" t="b">
        <v>0</v>
      </c>
      <c r="I549" s="236"/>
      <c r="J549" s="236">
        <f>MAXIFS(Inventory!D:D, Inventory!A:A, A:A)</f>
        <v>44584</v>
      </c>
      <c r="L549" s="23">
        <f>COUNTIFS(Inventory!A:A,A549,Inventory!J:J,"Open")</f>
        <v>0</v>
      </c>
    </row>
    <row r="550">
      <c r="A550" s="233" t="s">
        <v>2820</v>
      </c>
      <c r="B550" s="23" t="str">
        <f>Publishers!A47</f>
        <v>CAPCOM</v>
      </c>
      <c r="C550" s="78">
        <f>COUNTIF(Inventory!A:A, A550)</f>
        <v>1</v>
      </c>
      <c r="D550" s="89">
        <f>IFERROR(__xludf.DUMMYFUNCTION("IFERROR(AVERAGE(FILTER(Inventory!H:H,Inventory!J:J=""Closed"",Inventory!A:A=A550)),"""")"),0.07890625000000012)</f>
        <v>0.07890625</v>
      </c>
      <c r="E550" s="234">
        <f>IFERROR(__xludf.DUMMYFUNCTION("IFERROR(AVERAGE(FILTER(Inventory!G:G,Inventory!J:J=""Closed"",Inventory!A:A=A550)),""0"")"),1.0100000000000016)</f>
        <v>1.01</v>
      </c>
      <c r="F550" s="235">
        <f>IFERROR(__xludf.DUMMYFUNCTION("IFERROR(SUM(FILTER(Inventory!G:G,Inventory!J:J=""Closed"",Inventory!A:A=A550)),""0"")"),1.0100000000000016)</f>
        <v>1.01</v>
      </c>
      <c r="G550" s="235">
        <f>IFERROR(__xludf.DUMMYFUNCTION("IFERROR(AVERAGE(FILTER(Inventory!K:K,Inventory!J:J=""Closed"",Inventory!A:A=A550)),"""")"),1.0)</f>
        <v>1</v>
      </c>
      <c r="H550" s="23" t="b">
        <v>0</v>
      </c>
      <c r="I550" s="236"/>
      <c r="J550" s="236">
        <f>MAXIFS(Inventory!D:D, Inventory!A:A, A:A)</f>
        <v>44733</v>
      </c>
      <c r="L550" s="23">
        <f>COUNTIFS(Inventory!A:A,A550,Inventory!J:J,"Open")</f>
        <v>0</v>
      </c>
    </row>
    <row r="551">
      <c r="A551" s="233" t="s">
        <v>2071</v>
      </c>
      <c r="B551" s="23" t="str">
        <f>Publishers!A47</f>
        <v>CAPCOM</v>
      </c>
      <c r="C551" s="78">
        <f>COUNTIF(Inventory!A:A, A551)</f>
        <v>3</v>
      </c>
      <c r="D551" s="89">
        <f>IFERROR(__xludf.DUMMYFUNCTION("IFERROR(AVERAGE(FILTER(Inventory!H:H,Inventory!J:J=""Closed"",Inventory!A:A=A551)),"""")"),0.12846557657489358)</f>
        <v>0.1284655766</v>
      </c>
      <c r="E551" s="234">
        <f>IFERROR(__xludf.DUMMYFUNCTION("IFERROR(AVERAGE(FILTER(Inventory!G:G,Inventory!J:J=""Closed"",Inventory!A:A=A551)),""0"")"),1.36)</f>
        <v>1.36</v>
      </c>
      <c r="F551" s="235">
        <f>IFERROR(__xludf.DUMMYFUNCTION("IFERROR(SUM(FILTER(Inventory!G:G,Inventory!J:J=""Closed"",Inventory!A:A=A551)),""0"")"),4.08)</f>
        <v>4.08</v>
      </c>
      <c r="G551" s="235">
        <f>IFERROR(__xludf.DUMMYFUNCTION("IFERROR(AVERAGE(FILTER(Inventory!K:K,Inventory!J:J=""Closed"",Inventory!A:A=A551)),"""")"),2.6666666666666665)</f>
        <v>2.666666667</v>
      </c>
      <c r="H551" s="23" t="b">
        <v>0</v>
      </c>
      <c r="I551" s="236"/>
      <c r="J551" s="236">
        <f>MAXIFS(Inventory!D:D, Inventory!A:A, A:A)</f>
        <v>44614</v>
      </c>
      <c r="L551" s="23">
        <f>COUNTIFS(Inventory!A:A,A551,Inventory!J:J,"Open")</f>
        <v>0</v>
      </c>
    </row>
    <row r="552">
      <c r="A552" s="233" t="s">
        <v>4870</v>
      </c>
      <c r="B552" s="23" t="str">
        <f>Publishers!A47</f>
        <v>CAPCOM</v>
      </c>
      <c r="C552" s="78">
        <f>COUNTIF(Inventory!A:A, A552)</f>
        <v>2</v>
      </c>
      <c r="D552" s="89">
        <f>IFERROR(__xludf.DUMMYFUNCTION("IFERROR(AVERAGE(FILTER(Inventory!H:H,Inventory!J:J=""Closed"",Inventory!A:A=A552)),"""")"),0.06293578702539607)</f>
        <v>0.06293578703</v>
      </c>
      <c r="E552" s="234">
        <f>IFERROR(__xludf.DUMMYFUNCTION("IFERROR(AVERAGE(FILTER(Inventory!G:G,Inventory!J:J=""Closed"",Inventory!A:A=A552)),""0"")"),2.5100000000000016)</f>
        <v>2.51</v>
      </c>
      <c r="F552" s="235">
        <f>IFERROR(__xludf.DUMMYFUNCTION("IFERROR(SUM(FILTER(Inventory!G:G,Inventory!J:J=""Closed"",Inventory!A:A=A552)),""0"")"),5.020000000000003)</f>
        <v>5.02</v>
      </c>
      <c r="G552" s="235">
        <f>IFERROR(__xludf.DUMMYFUNCTION("IFERROR(AVERAGE(FILTER(Inventory!K:K,Inventory!J:J=""Closed"",Inventory!A:A=A552)),"""")"),18.5)</f>
        <v>18.5</v>
      </c>
      <c r="H552" s="23" t="b">
        <v>0</v>
      </c>
      <c r="I552" s="236"/>
      <c r="J552" s="236">
        <f>MAXIFS(Inventory!D:D, Inventory!A:A, A:A)</f>
        <v>45205</v>
      </c>
      <c r="L552" s="23">
        <f>COUNTIFS(Inventory!A:A,A552,Inventory!J:J,"Open")</f>
        <v>0</v>
      </c>
    </row>
    <row r="553">
      <c r="A553" s="233" t="s">
        <v>5943</v>
      </c>
      <c r="B553" s="23" t="str">
        <f>Publishers!A47</f>
        <v>CAPCOM</v>
      </c>
      <c r="C553" s="78">
        <f>COUNTIF(Inventory!A:A, A553)</f>
        <v>3</v>
      </c>
      <c r="D553" s="89">
        <f>IFERROR(__xludf.DUMMYFUNCTION("IFERROR(AVERAGE(FILTER(Inventory!H:H,Inventory!J:J=""Closed"",Inventory!A:A=A553)),"""")"),0.16064757160647575)</f>
        <v>0.1606475716</v>
      </c>
      <c r="E553" s="234">
        <f>IFERROR(__xludf.DUMMYFUNCTION("IFERROR(AVERAGE(FILTER(Inventory!G:G,Inventory!J:J=""Closed"",Inventory!A:A=A553)),""0"")"),3.870000000000001)</f>
        <v>3.87</v>
      </c>
      <c r="F553" s="235">
        <f>IFERROR(__xludf.DUMMYFUNCTION("IFERROR(SUM(FILTER(Inventory!G:G,Inventory!J:J=""Closed"",Inventory!A:A=A553)),""0"")"),7.740000000000002)</f>
        <v>7.74</v>
      </c>
      <c r="G553" s="235">
        <f>IFERROR(__xludf.DUMMYFUNCTION("IFERROR(AVERAGE(FILTER(Inventory!K:K,Inventory!J:J=""Closed"",Inventory!A:A=A553)),"""")"),2.0)</f>
        <v>2</v>
      </c>
      <c r="H553" s="23" t="b">
        <v>0</v>
      </c>
      <c r="I553" s="236"/>
      <c r="J553" s="236">
        <f>MAXIFS(Inventory!D:D, Inventory!A:A, A:A)</f>
        <v>45327</v>
      </c>
      <c r="L553" s="23">
        <f>COUNTIFS(Inventory!A:A,A553,Inventory!J:J,"Open")</f>
        <v>1</v>
      </c>
    </row>
    <row r="554">
      <c r="A554" s="237" t="s">
        <v>1158</v>
      </c>
      <c r="B554" s="23" t="str">
        <f>Publishers!A47</f>
        <v>CAPCOM</v>
      </c>
      <c r="C554" s="78">
        <f>COUNTIF(Inventory!A:A, A554)</f>
        <v>2</v>
      </c>
      <c r="D554" s="89">
        <f>IFERROR(__xludf.DUMMYFUNCTION("IFERROR(AVERAGE(FILTER(Inventory!H:H,Inventory!J:J=""Closed"",Inventory!A:A=A554)),"""")"),-0.786649214659686)</f>
        <v>-0.7866492147</v>
      </c>
      <c r="E554" s="234">
        <f>IFERROR(__xludf.DUMMYFUNCTION("IFERROR(AVERAGE(FILTER(Inventory!G:G,Inventory!J:J=""Closed"",Inventory!A:A=A554)),""0"")"),-3.0050000000000003)</f>
        <v>-3.005</v>
      </c>
      <c r="F554" s="235">
        <f>IFERROR(__xludf.DUMMYFUNCTION("IFERROR(SUM(FILTER(Inventory!G:G,Inventory!J:J=""Closed"",Inventory!A:A=A554)),""0"")"),-6.010000000000001)</f>
        <v>-6.01</v>
      </c>
      <c r="G554" s="235">
        <f>IFERROR(__xludf.DUMMYFUNCTION("IFERROR(AVERAGE(FILTER(Inventory!K:K,Inventory!J:J=""Closed"",Inventory!A:A=A554)),"""")"),872.5)</f>
        <v>872.5</v>
      </c>
      <c r="H554" s="23" t="b">
        <v>0</v>
      </c>
      <c r="I554" s="236"/>
      <c r="J554" s="236">
        <f>MAXIFS(Inventory!D:D, Inventory!A:A, A:A)</f>
        <v>45215</v>
      </c>
      <c r="L554" s="23">
        <f>COUNTIFS(Inventory!A:A,A554,Inventory!J:J,"Open")</f>
        <v>0</v>
      </c>
    </row>
    <row r="555">
      <c r="A555" s="237" t="s">
        <v>1104</v>
      </c>
      <c r="B555" s="23" t="str">
        <f>Publishers!A47</f>
        <v>CAPCOM</v>
      </c>
      <c r="C555" s="78">
        <f>COUNTIF(Inventory!A:A, A555)</f>
        <v>2</v>
      </c>
      <c r="D555" s="89">
        <f>IFERROR(__xludf.DUMMYFUNCTION("IFERROR(AVERAGE(FILTER(Inventory!H:H,Inventory!J:J=""Closed"",Inventory!A:A=A555)),"""")"),0.40170001498505437)</f>
        <v>0.401700015</v>
      </c>
      <c r="E555" s="234">
        <f>IFERROR(__xludf.DUMMYFUNCTION("IFERROR(AVERAGE(FILTER(Inventory!G:G,Inventory!J:J=""Closed"",Inventory!A:A=A555)),""0"")"),4.955)</f>
        <v>4.955</v>
      </c>
      <c r="F555" s="235">
        <f>IFERROR(__xludf.DUMMYFUNCTION("IFERROR(SUM(FILTER(Inventory!G:G,Inventory!J:J=""Closed"",Inventory!A:A=A555)),""0"")"),9.91)</f>
        <v>9.91</v>
      </c>
      <c r="G555" s="235">
        <f>IFERROR(__xludf.DUMMYFUNCTION("IFERROR(AVERAGE(FILTER(Inventory!K:K,Inventory!J:J=""Closed"",Inventory!A:A=A555)),"""")"),0.5)</f>
        <v>0.5</v>
      </c>
      <c r="H555" s="23" t="b">
        <v>0</v>
      </c>
      <c r="I555" s="236"/>
      <c r="J555" s="236">
        <f>MAXIFS(Inventory!D:D, Inventory!A:A, A:A)</f>
        <v>44327</v>
      </c>
      <c r="L555" s="23">
        <f>COUNTIFS(Inventory!A:A,A555,Inventory!J:J,"Open")</f>
        <v>0</v>
      </c>
    </row>
    <row r="556">
      <c r="A556" s="237" t="s">
        <v>1150</v>
      </c>
      <c r="B556" s="23" t="str">
        <f>Publishers!A47</f>
        <v>CAPCOM</v>
      </c>
      <c r="C556" s="78">
        <f>COUNTIF(Inventory!A:A, A556)</f>
        <v>2</v>
      </c>
      <c r="D556" s="89">
        <f>IFERROR(__xludf.DUMMYFUNCTION("IFERROR(AVERAGE(FILTER(Inventory!H:H,Inventory!J:J=""Closed"",Inventory!A:A=A556)),"""")"),0.3754303370113136)</f>
        <v>0.375430337</v>
      </c>
      <c r="E556" s="234">
        <f>IFERROR(__xludf.DUMMYFUNCTION("IFERROR(AVERAGE(FILTER(Inventory!G:G,Inventory!J:J=""Closed"",Inventory!A:A=A556)),""0"")"),2.065)</f>
        <v>2.065</v>
      </c>
      <c r="F556" s="235">
        <f>IFERROR(__xludf.DUMMYFUNCTION("IFERROR(SUM(FILTER(Inventory!G:G,Inventory!J:J=""Closed"",Inventory!A:A=A556)),""0"")"),4.13)</f>
        <v>4.13</v>
      </c>
      <c r="G556" s="235">
        <f>IFERROR(__xludf.DUMMYFUNCTION("IFERROR(AVERAGE(FILTER(Inventory!K:K,Inventory!J:J=""Closed"",Inventory!A:A=A556)),"""")"),2.0)</f>
        <v>2</v>
      </c>
      <c r="H556" s="23" t="b">
        <v>0</v>
      </c>
      <c r="I556" s="236"/>
      <c r="J556" s="236">
        <f>MAXIFS(Inventory!D:D, Inventory!A:A, A:A)</f>
        <v>44342</v>
      </c>
      <c r="L556" s="23">
        <f>COUNTIFS(Inventory!A:A,A556,Inventory!J:J,"Open")</f>
        <v>0</v>
      </c>
    </row>
    <row r="557">
      <c r="A557" s="233" t="s">
        <v>3242</v>
      </c>
      <c r="B557" s="23" t="str">
        <f>Publishers!A71</f>
        <v>Devolver Digital</v>
      </c>
      <c r="C557" s="78">
        <f>COUNTIF(Inventory!A:A, A557)</f>
        <v>9</v>
      </c>
      <c r="D557" s="89">
        <f>IFERROR(__xludf.DUMMYFUNCTION("IFERROR(AVERAGE(FILTER(Inventory!H:H,Inventory!J:J=""Closed"",Inventory!A:A=A557)),"""")"),0.20730625874705838)</f>
        <v>0.2073062587</v>
      </c>
      <c r="E557" s="234">
        <f>IFERROR(__xludf.DUMMYFUNCTION("IFERROR(AVERAGE(FILTER(Inventory!G:G,Inventory!J:J=""Closed"",Inventory!A:A=A557)),""0"")"),4.616666666666668)</f>
        <v>4.616666667</v>
      </c>
      <c r="F557" s="235">
        <f>IFERROR(__xludf.DUMMYFUNCTION("IFERROR(SUM(FILTER(Inventory!G:G,Inventory!J:J=""Closed"",Inventory!A:A=A557)),""0"")"),41.55000000000001)</f>
        <v>41.55</v>
      </c>
      <c r="G557" s="235">
        <f>IFERROR(__xludf.DUMMYFUNCTION("IFERROR(AVERAGE(FILTER(Inventory!K:K,Inventory!J:J=""Closed"",Inventory!A:A=A557)),"""")"),75.33333333333333)</f>
        <v>75.33333333</v>
      </c>
      <c r="H557" s="23" t="b">
        <v>0</v>
      </c>
      <c r="I557" s="236"/>
      <c r="J557" s="236">
        <f>MAXIFS(Inventory!D:D, Inventory!A:A, A:A)</f>
        <v>45674</v>
      </c>
      <c r="L557" s="23">
        <f>COUNTIFS(Inventory!A:A,A557,Inventory!J:J,"Open")</f>
        <v>0</v>
      </c>
    </row>
    <row r="558">
      <c r="A558" s="237" t="s">
        <v>114</v>
      </c>
      <c r="B558" s="23" t="str">
        <f>Publishers!A191</f>
        <v>Pixelatto</v>
      </c>
      <c r="C558" s="78">
        <f>COUNTIF(Inventory!A:A, A558)</f>
        <v>2</v>
      </c>
      <c r="D558" s="89">
        <f>IFERROR(__xludf.DUMMYFUNCTION("IFERROR(AVERAGE(FILTER(Inventory!H:H,Inventory!J:J=""Closed"",Inventory!A:A=A558)),"""")"),0.18018638720673028)</f>
        <v>0.1801863872</v>
      </c>
      <c r="E558" s="234">
        <f>IFERROR(__xludf.DUMMYFUNCTION("IFERROR(AVERAGE(FILTER(Inventory!G:G,Inventory!J:J=""Closed"",Inventory!A:A=A558)),""0"")"),0.43500000000000005)</f>
        <v>0.435</v>
      </c>
      <c r="F558" s="235">
        <f>IFERROR(__xludf.DUMMYFUNCTION("IFERROR(SUM(FILTER(Inventory!G:G,Inventory!J:J=""Closed"",Inventory!A:A=A558)),""0"")"),0.8700000000000001)</f>
        <v>0.87</v>
      </c>
      <c r="G558" s="235">
        <f>IFERROR(__xludf.DUMMYFUNCTION("IFERROR(AVERAGE(FILTER(Inventory!K:K,Inventory!J:J=""Closed"",Inventory!A:A=A558)),"""")"),33.5)</f>
        <v>33.5</v>
      </c>
      <c r="H558" s="23" t="b">
        <v>0</v>
      </c>
      <c r="I558" s="236"/>
      <c r="J558" s="236">
        <f>MAXIFS(Inventory!D:D, Inventory!A:A, A:A)</f>
        <v>44009</v>
      </c>
      <c r="L558" s="23">
        <f>COUNTIFS(Inventory!A:A,A558,Inventory!J:J,"Open")</f>
        <v>0</v>
      </c>
    </row>
    <row r="559">
      <c r="A559" s="237" t="s">
        <v>1484</v>
      </c>
      <c r="B559" s="23" t="str">
        <f>Publishers!A161</f>
        <v>Milestone</v>
      </c>
      <c r="C559" s="78">
        <f>COUNTIF(Inventory!A:A, A559)</f>
        <v>1</v>
      </c>
      <c r="D559" s="89">
        <f>IFERROR(__xludf.DUMMYFUNCTION("IFERROR(AVERAGE(FILTER(Inventory!H:H,Inventory!J:J=""Closed"",Inventory!A:A=A559)),"""")"),0.012694748990190357)</f>
        <v>0.01269474899</v>
      </c>
      <c r="E559" s="234">
        <f>IFERROR(__xludf.DUMMYFUNCTION("IFERROR(AVERAGE(FILTER(Inventory!G:G,Inventory!J:J=""Closed"",Inventory!A:A=A559)),""0"")"),0.21999999999999886)</f>
        <v>0.22</v>
      </c>
      <c r="F559" s="235">
        <f>IFERROR(__xludf.DUMMYFUNCTION("IFERROR(SUM(FILTER(Inventory!G:G,Inventory!J:J=""Closed"",Inventory!A:A=A559)),""0"")"),0.21999999999999886)</f>
        <v>0.22</v>
      </c>
      <c r="G559" s="235">
        <f>IFERROR(__xludf.DUMMYFUNCTION("IFERROR(AVERAGE(FILTER(Inventory!K:K,Inventory!J:J=""Closed"",Inventory!A:A=A559)),"""")"),131.0)</f>
        <v>131</v>
      </c>
      <c r="H559" s="23" t="b">
        <v>0</v>
      </c>
      <c r="I559" s="236"/>
      <c r="J559" s="236">
        <f>MAXIFS(Inventory!D:D, Inventory!A:A, A:A)</f>
        <v>44604</v>
      </c>
      <c r="L559" s="23">
        <f>COUNTIFS(Inventory!A:A,A559,Inventory!J:J,"Open")</f>
        <v>0</v>
      </c>
    </row>
    <row r="560">
      <c r="A560" s="233" t="s">
        <v>3183</v>
      </c>
      <c r="B560" s="23" t="str">
        <f>Publishers!A147</f>
        <v>Ludeon Studios</v>
      </c>
      <c r="C560" s="78">
        <f>COUNTIF(Inventory!A:A, A560)</f>
        <v>1</v>
      </c>
      <c r="D560" s="89">
        <f>IFERROR(__xludf.DUMMYFUNCTION("IFERROR(AVERAGE(FILTER(Inventory!H:H,Inventory!J:J=""Closed"",Inventory!A:A=A560)),"""")"),-0.6786344908769866)</f>
        <v>-0.6786344909</v>
      </c>
      <c r="E560" s="234">
        <f>IFERROR(__xludf.DUMMYFUNCTION("IFERROR(AVERAGE(FILTER(Inventory!G:G,Inventory!J:J=""Closed"",Inventory!A:A=A560)),""0"")"),-11.530000000000001)</f>
        <v>-11.53</v>
      </c>
      <c r="F560" s="235">
        <f>IFERROR(__xludf.DUMMYFUNCTION("IFERROR(SUM(FILTER(Inventory!G:G,Inventory!J:J=""Closed"",Inventory!A:A=A560)),""0"")"),-11.530000000000001)</f>
        <v>-11.53</v>
      </c>
      <c r="G560" s="235">
        <f>IFERROR(__xludf.DUMMYFUNCTION("IFERROR(AVERAGE(FILTER(Inventory!K:K,Inventory!J:J=""Closed"",Inventory!A:A=A560)),"""")"),1273.0)</f>
        <v>1273</v>
      </c>
      <c r="H560" s="23" t="b">
        <v>0</v>
      </c>
      <c r="I560" s="236"/>
      <c r="J560" s="236">
        <f>MAXIFS(Inventory!D:D, Inventory!A:A, A:A)</f>
        <v>46159</v>
      </c>
      <c r="L560" s="23">
        <f>COUNTIFS(Inventory!A:A,A560,Inventory!J:J,"Open")</f>
        <v>0</v>
      </c>
    </row>
    <row r="561">
      <c r="A561" s="233" t="s">
        <v>5685</v>
      </c>
      <c r="C561" s="78">
        <f>COUNTIF(Inventory!A:A, A561)</f>
        <v>1</v>
      </c>
      <c r="D561" s="89">
        <f>IFERROR(__xludf.DUMMYFUNCTION("IFERROR(AVERAGE(FILTER(Inventory!H:H,Inventory!J:J=""Closed"",Inventory!A:A=A561)),"""")"),0.3156989247311828)</f>
        <v>0.3156989247</v>
      </c>
      <c r="E561" s="234">
        <f>IFERROR(__xludf.DUMMYFUNCTION("IFERROR(AVERAGE(FILTER(Inventory!G:G,Inventory!J:J=""Closed"",Inventory!A:A=A561)),""0"")"),7.34)</f>
        <v>7.34</v>
      </c>
      <c r="F561" s="235">
        <f>IFERROR(__xludf.DUMMYFUNCTION("IFERROR(SUM(FILTER(Inventory!G:G,Inventory!J:J=""Closed"",Inventory!A:A=A561)),""0"")"),7.34)</f>
        <v>7.34</v>
      </c>
      <c r="G561" s="235">
        <f>IFERROR(__xludf.DUMMYFUNCTION("IFERROR(AVERAGE(FILTER(Inventory!K:K,Inventory!J:J=""Closed"",Inventory!A:A=A561)),"""")"),63.0)</f>
        <v>63</v>
      </c>
      <c r="H561" s="23" t="b">
        <v>0</v>
      </c>
      <c r="I561" s="236"/>
      <c r="J561" s="236">
        <f>MAXIFS(Inventory!D:D, Inventory!A:A, A:A)</f>
        <v>45317</v>
      </c>
      <c r="L561" s="23">
        <f>COUNTIFS(Inventory!A:A,A561,Inventory!J:J,"Open")</f>
        <v>0</v>
      </c>
    </row>
    <row r="562">
      <c r="A562" s="237" t="s">
        <v>1262</v>
      </c>
      <c r="B562" s="23" t="str">
        <f>Publishers!A137</f>
        <v>Kasedo Games</v>
      </c>
      <c r="C562" s="78">
        <f>COUNTIF(Inventory!A:A, A562)</f>
        <v>1</v>
      </c>
      <c r="D562" s="89">
        <f>IFERROR(__xludf.DUMMYFUNCTION("IFERROR(AVERAGE(FILTER(Inventory!H:H,Inventory!J:J=""Closed"",Inventory!A:A=A562)),"""")"),1.0)</f>
        <v>1</v>
      </c>
      <c r="E562" s="234">
        <f>IFERROR(__xludf.DUMMYFUNCTION("IFERROR(AVERAGE(FILTER(Inventory!G:G,Inventory!J:J=""Closed"",Inventory!A:A=A562)),""0"")"),0.1)</f>
        <v>0.1</v>
      </c>
      <c r="F562" s="235">
        <f>IFERROR(__xludf.DUMMYFUNCTION("IFERROR(SUM(FILTER(Inventory!G:G,Inventory!J:J=""Closed"",Inventory!A:A=A562)),""0"")"),0.1)</f>
        <v>0.1</v>
      </c>
      <c r="G562" s="235">
        <f>IFERROR(__xludf.DUMMYFUNCTION("IFERROR(AVERAGE(FILTER(Inventory!K:K,Inventory!J:J=""Closed"",Inventory!A:A=A562)),"""")"),266.0)</f>
        <v>266</v>
      </c>
      <c r="H562" s="23" t="b">
        <v>0</v>
      </c>
      <c r="I562" s="236"/>
      <c r="J562" s="236">
        <f>MAXIFS(Inventory!D:D, Inventory!A:A, A:A)</f>
        <v>44645</v>
      </c>
      <c r="L562" s="23">
        <f>COUNTIFS(Inventory!A:A,A562,Inventory!J:J,"Open")</f>
        <v>0</v>
      </c>
    </row>
    <row r="563">
      <c r="A563" s="237" t="s">
        <v>1260</v>
      </c>
      <c r="B563" s="23" t="str">
        <f>Publishers!A137</f>
        <v>Kasedo Games</v>
      </c>
      <c r="C563" s="78">
        <f>COUNTIF(Inventory!A:A, A563)</f>
        <v>1</v>
      </c>
      <c r="D563" s="89">
        <f>IFERROR(__xludf.DUMMYFUNCTION("IFERROR(AVERAGE(FILTER(Inventory!H:H,Inventory!J:J=""Closed"",Inventory!A:A=A563)),"""")"),0.21276595744680848)</f>
        <v>0.2127659574</v>
      </c>
      <c r="E563" s="234">
        <f>IFERROR(__xludf.DUMMYFUNCTION("IFERROR(AVERAGE(FILTER(Inventory!G:G,Inventory!J:J=""Closed"",Inventory!A:A=A563)),""0"")"),0.09999999999999998)</f>
        <v>0.1</v>
      </c>
      <c r="F563" s="235">
        <f>IFERROR(__xludf.DUMMYFUNCTION("IFERROR(SUM(FILTER(Inventory!G:G,Inventory!J:J=""Closed"",Inventory!A:A=A563)),""0"")"),0.09999999999999998)</f>
        <v>0.1</v>
      </c>
      <c r="G563" s="235">
        <f>IFERROR(__xludf.DUMMYFUNCTION("IFERROR(AVERAGE(FILTER(Inventory!K:K,Inventory!J:J=""Closed"",Inventory!A:A=A563)),"""")"),98.0)</f>
        <v>98</v>
      </c>
      <c r="H563" s="23" t="b">
        <v>0</v>
      </c>
      <c r="I563" s="236"/>
      <c r="J563" s="236">
        <f>MAXIFS(Inventory!D:D, Inventory!A:A, A:A)</f>
        <v>44477</v>
      </c>
      <c r="L563" s="23">
        <f>COUNTIFS(Inventory!A:A,A563,Inventory!J:J,"Open")</f>
        <v>0</v>
      </c>
    </row>
    <row r="564">
      <c r="A564" s="237" t="s">
        <v>613</v>
      </c>
      <c r="B564" s="23" t="str">
        <f>Publishers!A237</f>
        <v>Square Enix</v>
      </c>
      <c r="C564" s="78">
        <f>COUNTIF(Inventory!A:A, A564)</f>
        <v>1</v>
      </c>
      <c r="D564" s="89">
        <f>IFERROR(__xludf.DUMMYFUNCTION("IFERROR(AVERAGE(FILTER(Inventory!H:H,Inventory!J:J=""Closed"",Inventory!A:A=A564)),"""")"),0.09333333333333338)</f>
        <v>0.09333333333</v>
      </c>
      <c r="E564" s="234">
        <f>IFERROR(__xludf.DUMMYFUNCTION("IFERROR(AVERAGE(FILTER(Inventory!G:G,Inventory!J:J=""Closed"",Inventory!A:A=A564)),""0"")"),0.4900000000000002)</f>
        <v>0.49</v>
      </c>
      <c r="F564" s="235">
        <f>IFERROR(__xludf.DUMMYFUNCTION("IFERROR(SUM(FILTER(Inventory!G:G,Inventory!J:J=""Closed"",Inventory!A:A=A564)),""0"")"),0.4900000000000002)</f>
        <v>0.49</v>
      </c>
      <c r="G564" s="235">
        <f>IFERROR(__xludf.DUMMYFUNCTION("IFERROR(AVERAGE(FILTER(Inventory!K:K,Inventory!J:J=""Closed"",Inventory!A:A=A564)),"""")"),297.0)</f>
        <v>297</v>
      </c>
      <c r="H564" s="23" t="b">
        <v>0</v>
      </c>
      <c r="I564" s="236"/>
      <c r="J564" s="236">
        <f>MAXIFS(Inventory!D:D, Inventory!A:A, A:A)</f>
        <v>44396</v>
      </c>
      <c r="L564" s="23">
        <f>COUNTIFS(Inventory!A:A,A564,Inventory!J:J,"Open")</f>
        <v>0</v>
      </c>
    </row>
    <row r="565">
      <c r="A565" s="237" t="s">
        <v>1023</v>
      </c>
      <c r="B565" s="23" t="str">
        <f>Publishers!A237</f>
        <v>Square Enix</v>
      </c>
      <c r="C565" s="78">
        <f>COUNTIF(Inventory!A:A, A565)</f>
        <v>8</v>
      </c>
      <c r="D565" s="89">
        <f>IFERROR(__xludf.DUMMYFUNCTION("IFERROR(AVERAGE(FILTER(Inventory!H:H,Inventory!J:J=""Closed"",Inventory!A:A=A565)),"""")"),0.2606762327354647)</f>
        <v>0.2606762327</v>
      </c>
      <c r="E565" s="234">
        <f>IFERROR(__xludf.DUMMYFUNCTION("IFERROR(AVERAGE(FILTER(Inventory!G:G,Inventory!J:J=""Closed"",Inventory!A:A=A565)),""0"")"),1.7579999999999998)</f>
        <v>1.758</v>
      </c>
      <c r="F565" s="235">
        <f>IFERROR(__xludf.DUMMYFUNCTION("IFERROR(SUM(FILTER(Inventory!G:G,Inventory!J:J=""Closed"",Inventory!A:A=A565)),""0"")"),8.79)</f>
        <v>8.79</v>
      </c>
      <c r="G565" s="235">
        <f>IFERROR(__xludf.DUMMYFUNCTION("IFERROR(AVERAGE(FILTER(Inventory!K:K,Inventory!J:J=""Closed"",Inventory!A:A=A565)),"""")"),9.8)</f>
        <v>9.8</v>
      </c>
      <c r="H565" s="23" t="b">
        <v>0</v>
      </c>
      <c r="I565" s="236"/>
      <c r="J565" s="236">
        <f>MAXIFS(Inventory!D:D, Inventory!A:A, A:A)</f>
        <v>45032</v>
      </c>
      <c r="L565" s="23">
        <f>COUNTIFS(Inventory!A:A,A565,Inventory!J:J,"Open")</f>
        <v>3</v>
      </c>
    </row>
    <row r="566">
      <c r="A566" s="237" t="s">
        <v>1148</v>
      </c>
      <c r="B566" s="23" t="str">
        <f>Publishers!A237</f>
        <v>Square Enix</v>
      </c>
      <c r="C566" s="78">
        <f>COUNTIF(Inventory!A:A, A566)</f>
        <v>4</v>
      </c>
      <c r="D566" s="89">
        <f>IFERROR(__xludf.DUMMYFUNCTION("IFERROR(AVERAGE(FILTER(Inventory!H:H,Inventory!J:J=""Closed"",Inventory!A:A=A566)),"""")"),0.22002358113818535)</f>
        <v>0.2200235811</v>
      </c>
      <c r="E566" s="234">
        <f>IFERROR(__xludf.DUMMYFUNCTION("IFERROR(AVERAGE(FILTER(Inventory!G:G,Inventory!J:J=""Closed"",Inventory!A:A=A566)),""0"")"),1.5049999999999997)</f>
        <v>1.505</v>
      </c>
      <c r="F566" s="235">
        <f>IFERROR(__xludf.DUMMYFUNCTION("IFERROR(SUM(FILTER(Inventory!G:G,Inventory!J:J=""Closed"",Inventory!A:A=A566)),""0"")"),6.019999999999999)</f>
        <v>6.02</v>
      </c>
      <c r="G566" s="235">
        <f>IFERROR(__xludf.DUMMYFUNCTION("IFERROR(AVERAGE(FILTER(Inventory!K:K,Inventory!J:J=""Closed"",Inventory!A:A=A566)),"""")"),29.0)</f>
        <v>29</v>
      </c>
      <c r="H566" s="23" t="b">
        <v>0</v>
      </c>
      <c r="I566" s="236"/>
      <c r="J566" s="236">
        <f>MAXIFS(Inventory!D:D, Inventory!A:A, A:A)</f>
        <v>45125</v>
      </c>
      <c r="L566" s="23">
        <f>COUNTIFS(Inventory!A:A,A566,Inventory!J:J,"Open")</f>
        <v>0</v>
      </c>
    </row>
    <row r="567">
      <c r="A567" s="237" t="s">
        <v>1889</v>
      </c>
      <c r="B567" s="23" t="str">
        <f>Publishers!A57</f>
        <v>Conatus Creative</v>
      </c>
      <c r="C567" s="78">
        <f>COUNTIF(Inventory!A:A, A567)</f>
        <v>2</v>
      </c>
      <c r="D567" s="89">
        <f>IFERROR(__xludf.DUMMYFUNCTION("IFERROR(AVERAGE(FILTER(Inventory!H:H,Inventory!J:J=""Closed"",Inventory!A:A=A567)),"""")"),1.0)</f>
        <v>1</v>
      </c>
      <c r="E567" s="234">
        <f>IFERROR(__xludf.DUMMYFUNCTION("IFERROR(AVERAGE(FILTER(Inventory!G:G,Inventory!J:J=""Closed"",Inventory!A:A=A567)),""0"")"),0.915)</f>
        <v>0.915</v>
      </c>
      <c r="F567" s="235">
        <f>IFERROR(__xludf.DUMMYFUNCTION("IFERROR(SUM(FILTER(Inventory!G:G,Inventory!J:J=""Closed"",Inventory!A:A=A567)),""0"")"),1.83)</f>
        <v>1.83</v>
      </c>
      <c r="G567" s="235">
        <f>IFERROR(__xludf.DUMMYFUNCTION("IFERROR(AVERAGE(FILTER(Inventory!K:K,Inventory!J:J=""Closed"",Inventory!A:A=A567)),"""")"),2.0)</f>
        <v>2</v>
      </c>
      <c r="H567" s="23" t="b">
        <v>0</v>
      </c>
      <c r="I567" s="236"/>
      <c r="J567" s="236">
        <f>MAXIFS(Inventory!D:D, Inventory!A:A, A:A)</f>
        <v>44590</v>
      </c>
      <c r="L567" s="23">
        <f>COUNTIFS(Inventory!A:A,A567,Inventory!J:J,"Open")</f>
        <v>0</v>
      </c>
    </row>
    <row r="568">
      <c r="A568" s="233" t="s">
        <v>3309</v>
      </c>
      <c r="B568" s="23" t="str">
        <f>Publishers!A73</f>
        <v>Digixart</v>
      </c>
      <c r="C568" s="78">
        <f>COUNTIF(Inventory!A:A, A568)</f>
        <v>20</v>
      </c>
      <c r="D568" s="89">
        <f>IFERROR(__xludf.DUMMYFUNCTION("IFERROR(AVERAGE(FILTER(Inventory!H:H,Inventory!J:J=""Closed"",Inventory!A:A=A568)),"""")"),0.17845911377689466)</f>
        <v>0.1784591138</v>
      </c>
      <c r="E568" s="234">
        <f>IFERROR(__xludf.DUMMYFUNCTION("IFERROR(AVERAGE(FILTER(Inventory!G:G,Inventory!J:J=""Closed"",Inventory!A:A=A568)),""0"")"),0.8499999999999999)</f>
        <v>0.85</v>
      </c>
      <c r="F568" s="235">
        <f>IFERROR(__xludf.DUMMYFUNCTION("IFERROR(SUM(FILTER(Inventory!G:G,Inventory!J:J=""Closed"",Inventory!A:A=A568)),""0"")"),16.999999999999996)</f>
        <v>17</v>
      </c>
      <c r="G568" s="235">
        <f>IFERROR(__xludf.DUMMYFUNCTION("IFERROR(AVERAGE(FILTER(Inventory!K:K,Inventory!J:J=""Closed"",Inventory!A:A=A568)),"""")"),19.25)</f>
        <v>19.25</v>
      </c>
      <c r="H568" s="23" t="b">
        <v>0</v>
      </c>
      <c r="I568" s="236"/>
      <c r="J568" s="236">
        <f>MAXIFS(Inventory!D:D, Inventory!A:A, A:A)</f>
        <v>45469</v>
      </c>
      <c r="L568" s="23">
        <f>COUNTIFS(Inventory!A:A,A568,Inventory!J:J,"Open")</f>
        <v>0</v>
      </c>
    </row>
    <row r="569">
      <c r="A569" s="233" t="s">
        <v>2282</v>
      </c>
      <c r="B569" s="23" t="str">
        <f>Publishers!A212</f>
        <v>RyseUp Studios</v>
      </c>
      <c r="C569" s="78">
        <f>COUNTIF(Inventory!A:A, A569)</f>
        <v>1</v>
      </c>
      <c r="D569" s="89">
        <f>IFERROR(__xludf.DUMMYFUNCTION("IFERROR(AVERAGE(FILTER(Inventory!H:H,Inventory!J:J=""Closed"",Inventory!A:A=A569)),"""")"),0.11851278079008515)</f>
        <v>0.1185127808</v>
      </c>
      <c r="E569" s="234">
        <f>IFERROR(__xludf.DUMMYFUNCTION("IFERROR(AVERAGE(FILTER(Inventory!G:G,Inventory!J:J=""Closed"",Inventory!A:A=A569)),""0"")"),1.5299999999999994)</f>
        <v>1.53</v>
      </c>
      <c r="F569" s="235">
        <f>IFERROR(__xludf.DUMMYFUNCTION("IFERROR(SUM(FILTER(Inventory!G:G,Inventory!J:J=""Closed"",Inventory!A:A=A569)),""0"")"),1.5299999999999994)</f>
        <v>1.53</v>
      </c>
      <c r="G569" s="235">
        <f>IFERROR(__xludf.DUMMYFUNCTION("IFERROR(AVERAGE(FILTER(Inventory!K:K,Inventory!J:J=""Closed"",Inventory!A:A=A569)),"""")"),552.0)</f>
        <v>552</v>
      </c>
      <c r="H569" s="23" t="b">
        <v>0</v>
      </c>
      <c r="I569" s="236"/>
      <c r="J569" s="236">
        <f>MAXIFS(Inventory!D:D, Inventory!A:A, A:A)</f>
        <v>45202</v>
      </c>
      <c r="L569" s="23">
        <f>COUNTIFS(Inventory!A:A,A569,Inventory!J:J,"Open")</f>
        <v>0</v>
      </c>
    </row>
    <row r="570">
      <c r="A570" s="237" t="s">
        <v>160</v>
      </c>
      <c r="B570" s="23" t="str">
        <f>Publishers!A142</f>
        <v>Konami</v>
      </c>
      <c r="C570" s="78">
        <f>COUNTIF(Inventory!A:A, A570)</f>
        <v>2</v>
      </c>
      <c r="D570" s="89">
        <f>IFERROR(__xludf.DUMMYFUNCTION("IFERROR(AVERAGE(FILTER(Inventory!H:H,Inventory!J:J=""Closed"",Inventory!A:A=A570)),"""")"),1.0)</f>
        <v>1</v>
      </c>
      <c r="E570" s="234">
        <f>IFERROR(__xludf.DUMMYFUNCTION("IFERROR(AVERAGE(FILTER(Inventory!G:G,Inventory!J:J=""Closed"",Inventory!A:A=A570)),""0"")"),0.575)</f>
        <v>0.575</v>
      </c>
      <c r="F570" s="235">
        <f>IFERROR(__xludf.DUMMYFUNCTION("IFERROR(SUM(FILTER(Inventory!G:G,Inventory!J:J=""Closed"",Inventory!A:A=A570)),""0"")"),1.15)</f>
        <v>1.15</v>
      </c>
      <c r="G570" s="235">
        <f>IFERROR(__xludf.DUMMYFUNCTION("IFERROR(AVERAGE(FILTER(Inventory!K:K,Inventory!J:J=""Closed"",Inventory!A:A=A570)),"""")"),156.0)</f>
        <v>156</v>
      </c>
      <c r="H570" s="23" t="b">
        <v>0</v>
      </c>
      <c r="I570" s="236"/>
      <c r="J570" s="236">
        <f>MAXIFS(Inventory!D:D, Inventory!A:A, A:A)</f>
        <v>44201</v>
      </c>
      <c r="L570" s="23">
        <f>COUNTIFS(Inventory!A:A,A570,Inventory!J:J,"Open")</f>
        <v>0</v>
      </c>
    </row>
    <row r="571">
      <c r="A571" s="237" t="s">
        <v>1467</v>
      </c>
      <c r="B571" s="23" t="str">
        <f>Publishers!A253</f>
        <v>Team17 Digital</v>
      </c>
      <c r="C571" s="78">
        <f>COUNTIF(Inventory!A:A, A571)</f>
        <v>2</v>
      </c>
      <c r="D571" s="89">
        <f>IFERROR(__xludf.DUMMYFUNCTION("IFERROR(AVERAGE(FILTER(Inventory!H:H,Inventory!J:J=""Closed"",Inventory!A:A=A571)),"""")"),0.5474308300395256)</f>
        <v>0.54743083</v>
      </c>
      <c r="E571" s="234">
        <f>IFERROR(__xludf.DUMMYFUNCTION("IFERROR(AVERAGE(FILTER(Inventory!G:G,Inventory!J:J=""Closed"",Inventory!A:A=A571)),""0"")"),1.3849999999999998)</f>
        <v>1.385</v>
      </c>
      <c r="F571" s="235">
        <f>IFERROR(__xludf.DUMMYFUNCTION("IFERROR(SUM(FILTER(Inventory!G:G,Inventory!J:J=""Closed"",Inventory!A:A=A571)),""0"")"),2.7699999999999996)</f>
        <v>2.77</v>
      </c>
      <c r="G571" s="235">
        <f>IFERROR(__xludf.DUMMYFUNCTION("IFERROR(AVERAGE(FILTER(Inventory!K:K,Inventory!J:J=""Closed"",Inventory!A:A=A571)),"""")"),1.0)</f>
        <v>1</v>
      </c>
      <c r="H571" s="23" t="b">
        <v>0</v>
      </c>
      <c r="I571" s="236"/>
      <c r="J571" s="236">
        <f>MAXIFS(Inventory!D:D, Inventory!A:A, A:A)</f>
        <v>44471</v>
      </c>
      <c r="L571" s="23">
        <f>COUNTIFS(Inventory!A:A,A571,Inventory!J:J,"Open")</f>
        <v>0</v>
      </c>
    </row>
    <row r="572">
      <c r="A572" s="237" t="s">
        <v>1498</v>
      </c>
      <c r="B572" s="23" t="str">
        <f>Publishers!A167</f>
        <v>Nacon</v>
      </c>
      <c r="C572" s="78">
        <f>COUNTIF(Inventory!A:A, A572)</f>
        <v>1</v>
      </c>
      <c r="D572" s="89">
        <f>IFERROR(__xludf.DUMMYFUNCTION("IFERROR(AVERAGE(FILTER(Inventory!H:H,Inventory!J:J=""Closed"",Inventory!A:A=A572)),"""")"),1.0)</f>
        <v>1</v>
      </c>
      <c r="E572" s="234">
        <f>IFERROR(__xludf.DUMMYFUNCTION("IFERROR(AVERAGE(FILTER(Inventory!G:G,Inventory!J:J=""Closed"",Inventory!A:A=A572)),""0"")"),14.91)</f>
        <v>14.91</v>
      </c>
      <c r="F572" s="235">
        <f>IFERROR(__xludf.DUMMYFUNCTION("IFERROR(SUM(FILTER(Inventory!G:G,Inventory!J:J=""Closed"",Inventory!A:A=A572)),""0"")"),14.91)</f>
        <v>14.91</v>
      </c>
      <c r="G572" s="235">
        <f>IFERROR(__xludf.DUMMYFUNCTION("IFERROR(AVERAGE(FILTER(Inventory!K:K,Inventory!J:J=""Closed"",Inventory!A:A=A572)),"""")"),1.0)</f>
        <v>1</v>
      </c>
      <c r="H572" s="23" t="b">
        <v>0</v>
      </c>
      <c r="I572" s="236"/>
      <c r="J572" s="236">
        <f>MAXIFS(Inventory!D:D, Inventory!A:A, A:A)</f>
        <v>44478</v>
      </c>
      <c r="K572" s="23" t="str">
        <f>IMAGE("https://shared.akamai.steamstatic.com/store_item_assets/steam/apps/1069690/header.jpg?t=1726153812")</f>
        <v/>
      </c>
      <c r="L572" s="23">
        <f>COUNTIFS(Inventory!A:A,A572,Inventory!J:J,"Open")</f>
        <v>0</v>
      </c>
    </row>
    <row r="573">
      <c r="A573" s="233" t="s">
        <v>7571</v>
      </c>
      <c r="B573" s="23" t="str">
        <f>Publishers!A273</f>
        <v>Tripwire Presents</v>
      </c>
      <c r="C573" s="78">
        <f>COUNTIF(Inventory!A:A, A573)</f>
        <v>7</v>
      </c>
      <c r="D573" s="89">
        <f>IFERROR(__xludf.DUMMYFUNCTION("IFERROR(AVERAGE(FILTER(Inventory!H:H,Inventory!J:J=""Closed"",Inventory!A:A=A573)),"""")"),0.23624252014667874)</f>
        <v>0.2362425201</v>
      </c>
      <c r="E573" s="234">
        <f>IFERROR(__xludf.DUMMYFUNCTION("IFERROR(AVERAGE(FILTER(Inventory!G:G,Inventory!J:J=""Closed"",Inventory!A:A=A573)),""0"")"),3.4942857142857133)</f>
        <v>3.494285714</v>
      </c>
      <c r="F573" s="235">
        <f>IFERROR(__xludf.DUMMYFUNCTION("IFERROR(SUM(FILTER(Inventory!G:G,Inventory!J:J=""Closed"",Inventory!A:A=A573)),""0"")"),24.459999999999994)</f>
        <v>24.46</v>
      </c>
      <c r="G573" s="235">
        <f>IFERROR(__xludf.DUMMYFUNCTION("IFERROR(AVERAGE(FILTER(Inventory!K:K,Inventory!J:J=""Closed"",Inventory!A:A=A573)),"""")"),0.2857142857142857)</f>
        <v>0.2857142857</v>
      </c>
      <c r="H573" s="23" t="b">
        <v>0</v>
      </c>
      <c r="I573" s="236"/>
      <c r="J573" s="236">
        <f>MAXIFS(Inventory!D:D, Inventory!A:A, A:A)</f>
        <v>45566</v>
      </c>
      <c r="K573" s="23" t="str">
        <f>IMAGE("https://shared.akamai.steamstatic.com/store_item_assets/steam/apps/1691190/header.jpg?t=1727983726")</f>
        <v/>
      </c>
      <c r="L573" s="23">
        <f>COUNTIFS(Inventory!A:A,A573,Inventory!J:J,"Open")</f>
        <v>0</v>
      </c>
    </row>
    <row r="574">
      <c r="A574" s="237" t="s">
        <v>669</v>
      </c>
      <c r="B574" s="23" t="str">
        <f>Publishers!A26</f>
        <v>Atari</v>
      </c>
      <c r="C574" s="78">
        <f>COUNTIF(Inventory!A:A, A574)</f>
        <v>14</v>
      </c>
      <c r="D574" s="89">
        <f>IFERROR(__xludf.DUMMYFUNCTION("IFERROR(AVERAGE(FILTER(Inventory!H:H,Inventory!J:J=""Closed"",Inventory!A:A=A574)),"""")"),0.40725798336435115)</f>
        <v>0.4072579834</v>
      </c>
      <c r="E574" s="234">
        <f>IFERROR(__xludf.DUMMYFUNCTION("IFERROR(AVERAGE(FILTER(Inventory!G:G,Inventory!J:J=""Closed"",Inventory!A:A=A574)),""0"")"),1.2585714285714287)</f>
        <v>1.258571429</v>
      </c>
      <c r="F574" s="235">
        <f>IFERROR(__xludf.DUMMYFUNCTION("IFERROR(SUM(FILTER(Inventory!G:G,Inventory!J:J=""Closed"",Inventory!A:A=A574)),""0"")"),17.62)</f>
        <v>17.62</v>
      </c>
      <c r="G574" s="235">
        <f>IFERROR(__xludf.DUMMYFUNCTION("IFERROR(AVERAGE(FILTER(Inventory!K:K,Inventory!J:J=""Closed"",Inventory!A:A=A574)),"""")"),16.285714285714285)</f>
        <v>16.28571429</v>
      </c>
      <c r="H574" s="23" t="b">
        <v>0</v>
      </c>
      <c r="I574" s="236"/>
      <c r="J574" s="236">
        <f>MAXIFS(Inventory!D:D, Inventory!A:A, A:A)</f>
        <v>45122</v>
      </c>
      <c r="L574" s="23">
        <f>COUNTIFS(Inventory!A:A,A574,Inventory!J:J,"Open")</f>
        <v>0</v>
      </c>
    </row>
    <row r="575">
      <c r="A575" s="233" t="s">
        <v>4175</v>
      </c>
      <c r="B575" s="23" t="str">
        <f>Publishers!A109</f>
        <v>Gaugepunk Games</v>
      </c>
      <c r="C575" s="78">
        <f>COUNTIF(Inventory!A:A, A575)</f>
        <v>1</v>
      </c>
      <c r="D575" s="89">
        <f>IFERROR(__xludf.DUMMYFUNCTION("IFERROR(AVERAGE(FILTER(Inventory!H:H,Inventory!J:J=""Closed"",Inventory!A:A=A575)),"""")"),0.1899613899613899)</f>
        <v>0.18996139</v>
      </c>
      <c r="E575" s="234">
        <f>IFERROR(__xludf.DUMMYFUNCTION("IFERROR(AVERAGE(FILTER(Inventory!G:G,Inventory!J:J=""Closed"",Inventory!A:A=A575)),""0"")"),2.459999999999999)</f>
        <v>2.46</v>
      </c>
      <c r="F575" s="235">
        <f>IFERROR(__xludf.DUMMYFUNCTION("IFERROR(SUM(FILTER(Inventory!G:G,Inventory!J:J=""Closed"",Inventory!A:A=A575)),""0"")"),2.459999999999999)</f>
        <v>2.46</v>
      </c>
      <c r="G575" s="235">
        <f>IFERROR(__xludf.DUMMYFUNCTION("IFERROR(AVERAGE(FILTER(Inventory!K:K,Inventory!J:J=""Closed"",Inventory!A:A=A575)),"""")"),61.0)</f>
        <v>61</v>
      </c>
      <c r="H575" s="23" t="b">
        <v>0</v>
      </c>
      <c r="I575" s="236"/>
      <c r="J575" s="236">
        <f>MAXIFS(Inventory!D:D, Inventory!A:A, A:A)</f>
        <v>45139</v>
      </c>
      <c r="L575" s="23">
        <f>COUNTIFS(Inventory!A:A,A575,Inventory!J:J,"Open")</f>
        <v>0</v>
      </c>
    </row>
    <row r="576">
      <c r="A576" s="233" t="s">
        <v>4379</v>
      </c>
      <c r="B576" s="23" t="str">
        <f>Publishers!A267</f>
        <v>tinyBuild</v>
      </c>
      <c r="C576" s="78">
        <f>COUNTIF(Inventory!A:A, A576)</f>
        <v>1</v>
      </c>
      <c r="D576" s="89" t="str">
        <f>IFERROR(__xludf.DUMMYFUNCTION("IFERROR(AVERAGE(FILTER(Inventory!H:H,Inventory!J:J=""Closed"",Inventory!A:A=A576)),"""")"),"")</f>
        <v/>
      </c>
      <c r="E576" s="234" t="str">
        <f>IFERROR(__xludf.DUMMYFUNCTION("IFERROR(AVERAGE(FILTER(Inventory!G:G,Inventory!J:J=""Closed"",Inventory!A:A=A576)),""0"")"),"0")</f>
        <v>0</v>
      </c>
      <c r="F576" s="235" t="str">
        <f>IFERROR(__xludf.DUMMYFUNCTION("IFERROR(SUM(FILTER(Inventory!G:G,Inventory!J:J=""Closed"",Inventory!A:A=A576)),""0"")"),"0")</f>
        <v>0</v>
      </c>
      <c r="G576" s="235" t="str">
        <f>IFERROR(__xludf.DUMMYFUNCTION("IFERROR(AVERAGE(FILTER(Inventory!K:K,Inventory!J:J=""Closed"",Inventory!A:A=A576)),"""")"),"")</f>
        <v/>
      </c>
      <c r="H576" s="23" t="b">
        <v>0</v>
      </c>
      <c r="I576" s="236"/>
      <c r="J576" s="236">
        <f>MAXIFS(Inventory!D:D, Inventory!A:A, A:A)</f>
        <v>0</v>
      </c>
      <c r="L576" s="23">
        <f>COUNTIFS(Inventory!A:A,A576,Inventory!J:J,"Open")</f>
        <v>1</v>
      </c>
    </row>
    <row r="577">
      <c r="A577" s="237" t="s">
        <v>371</v>
      </c>
      <c r="B577" s="23" t="str">
        <f>Publishers!A24</f>
        <v>Assemble Entertainment</v>
      </c>
      <c r="C577" s="78">
        <f>COUNTIF(Inventory!A:A, A577)</f>
        <v>3</v>
      </c>
      <c r="D577" s="89">
        <f>IFERROR(__xludf.DUMMYFUNCTION("IFERROR(AVERAGE(FILTER(Inventory!H:H,Inventory!J:J=""Closed"",Inventory!A:A=A577)),"""")"),0.7298091042584435)</f>
        <v>0.7298091043</v>
      </c>
      <c r="E577" s="234">
        <f>IFERROR(__xludf.DUMMYFUNCTION("IFERROR(AVERAGE(FILTER(Inventory!G:G,Inventory!J:J=""Closed"",Inventory!A:A=A577)),""0"")"),0.32)</f>
        <v>0.32</v>
      </c>
      <c r="F577" s="235">
        <f>IFERROR(__xludf.DUMMYFUNCTION("IFERROR(SUM(FILTER(Inventory!G:G,Inventory!J:J=""Closed"",Inventory!A:A=A577)),""0"")"),0.96)</f>
        <v>0.96</v>
      </c>
      <c r="G577" s="235">
        <f>IFERROR(__xludf.DUMMYFUNCTION("IFERROR(AVERAGE(FILTER(Inventory!K:K,Inventory!J:J=""Closed"",Inventory!A:A=A577)),"""")"),7.666666666666667)</f>
        <v>7.666666667</v>
      </c>
      <c r="H577" s="23" t="b">
        <v>0</v>
      </c>
      <c r="I577" s="236"/>
      <c r="J577" s="236">
        <f>MAXIFS(Inventory!D:D, Inventory!A:A, A:A)</f>
        <v>44471</v>
      </c>
      <c r="L577" s="23">
        <f>COUNTIFS(Inventory!A:A,A577,Inventory!J:J,"Open")</f>
        <v>0</v>
      </c>
    </row>
    <row r="578">
      <c r="A578" s="237" t="s">
        <v>1718</v>
      </c>
      <c r="B578" s="23" t="str">
        <f>Publishers!A202</f>
        <v>Raw Fury</v>
      </c>
      <c r="C578" s="78">
        <f>COUNTIF(Inventory!A:A, A578)</f>
        <v>1</v>
      </c>
      <c r="D578" s="89">
        <f>IFERROR(__xludf.DUMMYFUNCTION("IFERROR(AVERAGE(FILTER(Inventory!H:H,Inventory!J:J=""Closed"",Inventory!A:A=A578)),"""")"),0.08211920529801327)</f>
        <v>0.0821192053</v>
      </c>
      <c r="E578" s="234">
        <f>IFERROR(__xludf.DUMMYFUNCTION("IFERROR(AVERAGE(FILTER(Inventory!G:G,Inventory!J:J=""Closed"",Inventory!A:A=A578)),""0"")"),1.2400000000000002)</f>
        <v>1.24</v>
      </c>
      <c r="F578" s="235">
        <f>IFERROR(__xludf.DUMMYFUNCTION("IFERROR(SUM(FILTER(Inventory!G:G,Inventory!J:J=""Closed"",Inventory!A:A=A578)),""0"")"),1.2400000000000002)</f>
        <v>1.24</v>
      </c>
      <c r="G578" s="235">
        <f>IFERROR(__xludf.DUMMYFUNCTION("IFERROR(AVERAGE(FILTER(Inventory!K:K,Inventory!J:J=""Closed"",Inventory!A:A=A578)),"""")"),11.0)</f>
        <v>11</v>
      </c>
      <c r="H578" s="23" t="b">
        <v>0</v>
      </c>
      <c r="I578" s="236"/>
      <c r="J578" s="236">
        <f>MAXIFS(Inventory!D:D, Inventory!A:A, A:A)</f>
        <v>44548</v>
      </c>
      <c r="L578" s="23">
        <f>COUNTIFS(Inventory!A:A,A578,Inventory!J:J,"Open")</f>
        <v>0</v>
      </c>
    </row>
    <row r="579">
      <c r="A579" s="233" t="s">
        <v>4252</v>
      </c>
      <c r="B579" s="23" t="str">
        <f>Publishers!A194</f>
        <v>PlayStation</v>
      </c>
      <c r="C579" s="78">
        <f>COUNTIF(Inventory!A:A, A579)</f>
        <v>23</v>
      </c>
      <c r="D579" s="89">
        <f>IFERROR(__xludf.DUMMYFUNCTION("IFERROR(AVERAGE(FILTER(Inventory!H:H,Inventory!J:J=""Closed"",Inventory!A:A=A579)),"""")"),0.16941736232565258)</f>
        <v>0.1694173623</v>
      </c>
      <c r="E579" s="234">
        <f>IFERROR(__xludf.DUMMYFUNCTION("IFERROR(AVERAGE(FILTER(Inventory!G:G,Inventory!J:J=""Closed"",Inventory!A:A=A579)),""0"")"),5.504347826086958)</f>
        <v>5.504347826</v>
      </c>
      <c r="F579" s="235">
        <f>IFERROR(__xludf.DUMMYFUNCTION("IFERROR(SUM(FILTER(Inventory!G:G,Inventory!J:J=""Closed"",Inventory!A:A=A579)),""0"")"),126.60000000000004)</f>
        <v>126.6</v>
      </c>
      <c r="G579" s="235">
        <f>IFERROR(__xludf.DUMMYFUNCTION("IFERROR(AVERAGE(FILTER(Inventory!K:K,Inventory!J:J=""Closed"",Inventory!A:A=A579)),"""")"),17.73913043478261)</f>
        <v>17.73913043</v>
      </c>
      <c r="H579" s="23" t="b">
        <v>0</v>
      </c>
      <c r="I579" s="236"/>
      <c r="J579" s="236">
        <f>MAXIFS(Inventory!D:D, Inventory!A:A, A:A)</f>
        <v>45584</v>
      </c>
      <c r="L579" s="23">
        <f>COUNTIFS(Inventory!A:A,A579,Inventory!J:J,"Open")</f>
        <v>0</v>
      </c>
    </row>
    <row r="580">
      <c r="A580" s="233" t="s">
        <v>4914</v>
      </c>
      <c r="B580" s="23" t="str">
        <f>Publishers!A69</f>
        <v>Deep Silver</v>
      </c>
      <c r="C580" s="78">
        <f>COUNTIF(Inventory!A:A, A580)</f>
        <v>30</v>
      </c>
      <c r="D580" s="89">
        <f>IFERROR(__xludf.DUMMYFUNCTION("IFERROR(AVERAGE(FILTER(Inventory!H:H,Inventory!J:J=""Closed"",Inventory!A:A=A580)),"""")"),0.11956190284323782)</f>
        <v>0.1195619028</v>
      </c>
      <c r="E580" s="234">
        <f>IFERROR(__xludf.DUMMYFUNCTION("IFERROR(AVERAGE(FILTER(Inventory!G:G,Inventory!J:J=""Closed"",Inventory!A:A=A580)),""0"")"),1.9941379310344842)</f>
        <v>1.994137931</v>
      </c>
      <c r="F580" s="235">
        <f>IFERROR(__xludf.DUMMYFUNCTION("IFERROR(SUM(FILTER(Inventory!G:G,Inventory!J:J=""Closed"",Inventory!A:A=A580)),""0"")"),57.83000000000004)</f>
        <v>57.83</v>
      </c>
      <c r="G580" s="235">
        <f>IFERROR(__xludf.DUMMYFUNCTION("IFERROR(AVERAGE(FILTER(Inventory!K:K,Inventory!J:J=""Closed"",Inventory!A:A=A580)),"""")"),1.896551724137931)</f>
        <v>1.896551724</v>
      </c>
      <c r="H580" s="78" t="b">
        <v>0</v>
      </c>
      <c r="I580" s="236"/>
      <c r="J580" s="236">
        <f>MAXIFS(Inventory!D:D, Inventory!A:A, A:A)</f>
        <v>45256</v>
      </c>
      <c r="L580" s="23">
        <f>COUNTIFS(Inventory!A:A,A580,Inventory!J:J,"Open")</f>
        <v>1</v>
      </c>
    </row>
    <row r="581">
      <c r="A581" s="237" t="s">
        <v>288</v>
      </c>
      <c r="B581" s="23" t="str">
        <f>Publishers!A69</f>
        <v>Deep Silver</v>
      </c>
      <c r="C581" s="78">
        <f>COUNTIF(Inventory!A:A, A581)</f>
        <v>11</v>
      </c>
      <c r="D581" s="89">
        <f>IFERROR(__xludf.DUMMYFUNCTION("IFERROR(AVERAGE(FILTER(Inventory!H:H,Inventory!J:J=""Closed"",Inventory!A:A=A581)),"""")"),0.14584364708411005)</f>
        <v>0.1458436471</v>
      </c>
      <c r="E581" s="234">
        <f>IFERROR(__xludf.DUMMYFUNCTION("IFERROR(AVERAGE(FILTER(Inventory!G:G,Inventory!J:J=""Closed"",Inventory!A:A=A581)),""0"")"),0.5763636363636365)</f>
        <v>0.5763636364</v>
      </c>
      <c r="F581" s="235">
        <f>IFERROR(__xludf.DUMMYFUNCTION("IFERROR(SUM(FILTER(Inventory!G:G,Inventory!J:J=""Closed"",Inventory!A:A=A581)),""0"")"),6.340000000000002)</f>
        <v>6.34</v>
      </c>
      <c r="G581" s="235">
        <f>IFERROR(__xludf.DUMMYFUNCTION("IFERROR(AVERAGE(FILTER(Inventory!K:K,Inventory!J:J=""Closed"",Inventory!A:A=A581)),"""")"),4.545454545454546)</f>
        <v>4.545454545</v>
      </c>
      <c r="H581" s="78" t="b">
        <v>1</v>
      </c>
      <c r="I581" s="236"/>
      <c r="J581" s="236">
        <f>MAXIFS(Inventory!D:D, Inventory!A:A, A:A)</f>
        <v>44587</v>
      </c>
      <c r="L581" s="23">
        <f>COUNTIFS(Inventory!A:A,A581,Inventory!J:J,"Open")</f>
        <v>0</v>
      </c>
    </row>
    <row r="582">
      <c r="A582" s="237" t="s">
        <v>464</v>
      </c>
      <c r="B582" s="23" t="str">
        <f>Publishers!A69</f>
        <v>Deep Silver</v>
      </c>
      <c r="C582" s="78">
        <f>COUNTIF(Inventory!A:A, A582)</f>
        <v>2</v>
      </c>
      <c r="D582" s="89">
        <f>IFERROR(__xludf.DUMMYFUNCTION("IFERROR(AVERAGE(FILTER(Inventory!H:H,Inventory!J:J=""Closed"",Inventory!A:A=A582)),"""")"),0.11821523015552868)</f>
        <v>0.1182152302</v>
      </c>
      <c r="E582" s="234">
        <f>IFERROR(__xludf.DUMMYFUNCTION("IFERROR(AVERAGE(FILTER(Inventory!G:G,Inventory!J:J=""Closed"",Inventory!A:A=A582)),""0"")"),0.395)</f>
        <v>0.395</v>
      </c>
      <c r="F582" s="235">
        <f>IFERROR(__xludf.DUMMYFUNCTION("IFERROR(SUM(FILTER(Inventory!G:G,Inventory!J:J=""Closed"",Inventory!A:A=A582)),""0"")"),0.79)</f>
        <v>0.79</v>
      </c>
      <c r="G582" s="235">
        <f>IFERROR(__xludf.DUMMYFUNCTION("IFERROR(AVERAGE(FILTER(Inventory!K:K,Inventory!J:J=""Closed"",Inventory!A:A=A582)),"""")"),16.0)</f>
        <v>16</v>
      </c>
      <c r="H582" s="23" t="b">
        <v>0</v>
      </c>
      <c r="I582" s="236"/>
      <c r="J582" s="236">
        <f>MAXIFS(Inventory!D:D, Inventory!A:A, A:A)</f>
        <v>44093</v>
      </c>
      <c r="L582" s="23">
        <f>COUNTIFS(Inventory!A:A,A582,Inventory!J:J,"Open")</f>
        <v>0</v>
      </c>
    </row>
    <row r="583">
      <c r="A583" s="233" t="s">
        <v>6695</v>
      </c>
      <c r="B583" s="23" t="str">
        <f>Publishers!A29</f>
        <v>BANDAI NAMCO</v>
      </c>
      <c r="C583" s="78">
        <f>COUNTIF(Inventory!A:A, A583)</f>
        <v>2</v>
      </c>
      <c r="D583" s="89">
        <f>IFERROR(__xludf.DUMMYFUNCTION("IFERROR(AVERAGE(FILTER(Inventory!H:H,Inventory!J:J=""Closed"",Inventory!A:A=A583)),"""")"),0.1050830889540568)</f>
        <v>0.105083089</v>
      </c>
      <c r="E583" s="234">
        <f>IFERROR(__xludf.DUMMYFUNCTION("IFERROR(AVERAGE(FILTER(Inventory!G:G,Inventory!J:J=""Closed"",Inventory!A:A=A583)),""0"")"),4.300000000000004)</f>
        <v>4.3</v>
      </c>
      <c r="F583" s="235">
        <f>IFERROR(__xludf.DUMMYFUNCTION("IFERROR(SUM(FILTER(Inventory!G:G,Inventory!J:J=""Closed"",Inventory!A:A=A583)),""0"")"),8.600000000000009)</f>
        <v>8.6</v>
      </c>
      <c r="G583" s="235">
        <f>IFERROR(__xludf.DUMMYFUNCTION("IFERROR(AVERAGE(FILTER(Inventory!K:K,Inventory!J:J=""Closed"",Inventory!A:A=A583)),"""")"),1.0)</f>
        <v>1</v>
      </c>
      <c r="H583" s="23" t="b">
        <v>0</v>
      </c>
      <c r="I583" s="236"/>
      <c r="J583" s="236">
        <f>MAXIFS(Inventory!D:D, Inventory!A:A, A:A)</f>
        <v>45413</v>
      </c>
      <c r="L583" s="23">
        <f>COUNTIFS(Inventory!A:A,A583,Inventory!J:J,"Open")</f>
        <v>0</v>
      </c>
    </row>
    <row r="584">
      <c r="A584" s="233" t="s">
        <v>7968</v>
      </c>
      <c r="B584" s="23" t="str">
        <f>Publishers!A55</f>
        <v>Coffee Stain</v>
      </c>
      <c r="C584" s="78">
        <f>COUNTIF(Inventory!A:A, A584)</f>
        <v>12</v>
      </c>
      <c r="D584" s="89">
        <f>IFERROR(__xludf.DUMMYFUNCTION("IFERROR(AVERAGE(FILTER(Inventory!H:H,Inventory!J:J=""Closed"",Inventory!A:A=A584)),"""")"),0.12683777029658563)</f>
        <v>0.1268377703</v>
      </c>
      <c r="E584" s="234">
        <f>IFERROR(__xludf.DUMMYFUNCTION("IFERROR(AVERAGE(FILTER(Inventory!G:G,Inventory!J:J=""Closed"",Inventory!A:A=A584)),""0"")"),4.324166666666668)</f>
        <v>4.324166667</v>
      </c>
      <c r="F584" s="235">
        <f>IFERROR(__xludf.DUMMYFUNCTION("IFERROR(SUM(FILTER(Inventory!G:G,Inventory!J:J=""Closed"",Inventory!A:A=A584)),""0"")"),51.890000000000015)</f>
        <v>51.89</v>
      </c>
      <c r="G584" s="235">
        <f>IFERROR(__xludf.DUMMYFUNCTION("IFERROR(AVERAGE(FILTER(Inventory!K:K,Inventory!J:J=""Closed"",Inventory!A:A=A584)),"""")"),18.083333333333332)</f>
        <v>18.08333333</v>
      </c>
      <c r="H584" s="23" t="b">
        <v>0</v>
      </c>
      <c r="I584" s="236"/>
      <c r="J584" s="236">
        <f>MAXIFS(Inventory!D:D, Inventory!A:A, A:A)</f>
        <v>45960</v>
      </c>
      <c r="L584" s="23">
        <f>COUNTIFS(Inventory!A:A,A584,Inventory!J:J,"Open")</f>
        <v>0</v>
      </c>
    </row>
    <row r="585">
      <c r="A585" s="237" t="s">
        <v>1971</v>
      </c>
      <c r="B585" s="23" t="str">
        <f>Publishers!A115</f>
        <v>HandyGames</v>
      </c>
      <c r="C585" s="78">
        <f>COUNTIF(Inventory!A:A, A585)</f>
        <v>5</v>
      </c>
      <c r="D585" s="89">
        <f>IFERROR(__xludf.DUMMYFUNCTION("IFERROR(AVERAGE(FILTER(Inventory!H:H,Inventory!J:J=""Closed"",Inventory!A:A=A585)),"""")"),0.20083744984224877)</f>
        <v>0.2008374498</v>
      </c>
      <c r="E585" s="234">
        <f>IFERROR(__xludf.DUMMYFUNCTION("IFERROR(AVERAGE(FILTER(Inventory!G:G,Inventory!J:J=""Closed"",Inventory!A:A=A585)),""0"")"),0.8880000000000002)</f>
        <v>0.888</v>
      </c>
      <c r="F585" s="235">
        <f>IFERROR(__xludf.DUMMYFUNCTION("IFERROR(SUM(FILTER(Inventory!G:G,Inventory!J:J=""Closed"",Inventory!A:A=A585)),""0"")"),4.440000000000001)</f>
        <v>4.44</v>
      </c>
      <c r="G585" s="235">
        <f>IFERROR(__xludf.DUMMYFUNCTION("IFERROR(AVERAGE(FILTER(Inventory!K:K,Inventory!J:J=""Closed"",Inventory!A:A=A585)),"""")"),35.2)</f>
        <v>35.2</v>
      </c>
      <c r="H585" s="23" t="b">
        <v>0</v>
      </c>
      <c r="I585" s="236"/>
      <c r="J585" s="236">
        <f>MAXIFS(Inventory!D:D, Inventory!A:A, A:A)</f>
        <v>44717</v>
      </c>
      <c r="L585" s="23">
        <f>COUNTIFS(Inventory!A:A,A585,Inventory!J:J,"Open")</f>
        <v>0</v>
      </c>
    </row>
    <row r="586">
      <c r="A586" s="237" t="s">
        <v>1842</v>
      </c>
      <c r="B586" s="23" t="str">
        <f>Publishers!A68</f>
        <v>Dear Villagers</v>
      </c>
      <c r="C586" s="78">
        <f>COUNTIF(Inventory!A:A, A586)</f>
        <v>1</v>
      </c>
      <c r="D586" s="89" t="str">
        <f>IFERROR(__xludf.DUMMYFUNCTION("IFERROR(AVERAGE(FILTER(Inventory!H:H,Inventory!J:J=""Closed"",Inventory!A:A=A586)),"""")"),"")</f>
        <v/>
      </c>
      <c r="E586" s="234" t="str">
        <f>IFERROR(__xludf.DUMMYFUNCTION("IFERROR(AVERAGE(FILTER(Inventory!G:G,Inventory!J:J=""Closed"",Inventory!A:A=A586)),""0"")"),"0")</f>
        <v>0</v>
      </c>
      <c r="F586" s="235" t="str">
        <f>IFERROR(__xludf.DUMMYFUNCTION("IFERROR(SUM(FILTER(Inventory!G:G,Inventory!J:J=""Closed"",Inventory!A:A=A586)),""0"")"),"0")</f>
        <v>0</v>
      </c>
      <c r="G586" s="235" t="str">
        <f>IFERROR(__xludf.DUMMYFUNCTION("IFERROR(AVERAGE(FILTER(Inventory!K:K,Inventory!J:J=""Closed"",Inventory!A:A=A586)),"""")"),"")</f>
        <v/>
      </c>
      <c r="H586" s="23" t="b">
        <v>0</v>
      </c>
      <c r="I586" s="236"/>
      <c r="J586" s="236">
        <f>MAXIFS(Inventory!D:D, Inventory!A:A, A:A)</f>
        <v>0</v>
      </c>
      <c r="L586" s="23">
        <f>COUNTIFS(Inventory!A:A,A586,Inventory!J:J,"Open")</f>
        <v>1</v>
      </c>
    </row>
    <row r="587">
      <c r="A587" s="233" t="s">
        <v>3876</v>
      </c>
      <c r="B587" s="23" t="str">
        <f>Publishers!A250</f>
        <v>Systemic Reaction</v>
      </c>
      <c r="C587" s="78">
        <f>COUNTIF(Inventory!A:A, A587)</f>
        <v>7</v>
      </c>
      <c r="D587" s="89">
        <f>IFERROR(__xludf.DUMMYFUNCTION("IFERROR(AVERAGE(FILTER(Inventory!H:H,Inventory!J:J=""Closed"",Inventory!A:A=A587)),"""")"),0.17357754127197528)</f>
        <v>0.1735775413</v>
      </c>
      <c r="E587" s="234">
        <f>IFERROR(__xludf.DUMMYFUNCTION("IFERROR(AVERAGE(FILTER(Inventory!G:G,Inventory!J:J=""Closed"",Inventory!A:A=A587)),""0"")"),2.1071428571428577)</f>
        <v>2.107142857</v>
      </c>
      <c r="F587" s="235">
        <f>IFERROR(__xludf.DUMMYFUNCTION("IFERROR(SUM(FILTER(Inventory!G:G,Inventory!J:J=""Closed"",Inventory!A:A=A587)),""0"")"),14.750000000000004)</f>
        <v>14.75</v>
      </c>
      <c r="G587" s="235">
        <f>IFERROR(__xludf.DUMMYFUNCTION("IFERROR(AVERAGE(FILTER(Inventory!K:K,Inventory!J:J=""Closed"",Inventory!A:A=A587)),"""")"),117.14285714285714)</f>
        <v>117.1428571</v>
      </c>
      <c r="H587" s="23" t="b">
        <v>0</v>
      </c>
      <c r="I587" s="236"/>
      <c r="J587" s="236">
        <f>MAXIFS(Inventory!D:D, Inventory!A:A, A:A)</f>
        <v>45964</v>
      </c>
      <c r="L587" s="23">
        <f>COUNTIFS(Inventory!A:A,A587,Inventory!J:J,"Open")</f>
        <v>0</v>
      </c>
    </row>
    <row r="588">
      <c r="A588" s="237" t="s">
        <v>1539</v>
      </c>
      <c r="B588" s="23" t="str">
        <f>Publishers!A250</f>
        <v>Systemic Reaction</v>
      </c>
      <c r="C588" s="78">
        <f>COUNTIF(Inventory!A:A, A588)</f>
        <v>1</v>
      </c>
      <c r="D588" s="89">
        <f>IFERROR(__xludf.DUMMYFUNCTION("IFERROR(AVERAGE(FILTER(Inventory!H:H,Inventory!J:J=""Closed"",Inventory!A:A=A588)),"""")"),1.0)</f>
        <v>1</v>
      </c>
      <c r="E588" s="234">
        <f>IFERROR(__xludf.DUMMYFUNCTION("IFERROR(AVERAGE(FILTER(Inventory!G:G,Inventory!J:J=""Closed"",Inventory!A:A=A588)),""0"")"),12.38)</f>
        <v>12.38</v>
      </c>
      <c r="F588" s="235">
        <f>IFERROR(__xludf.DUMMYFUNCTION("IFERROR(SUM(FILTER(Inventory!G:G,Inventory!J:J=""Closed"",Inventory!A:A=A588)),""0"")"),12.38)</f>
        <v>12.38</v>
      </c>
      <c r="G588" s="235">
        <f>IFERROR(__xludf.DUMMYFUNCTION("IFERROR(AVERAGE(FILTER(Inventory!K:K,Inventory!J:J=""Closed"",Inventory!A:A=A588)),"""")"),9.0)</f>
        <v>9</v>
      </c>
      <c r="H588" s="23" t="b">
        <v>0</v>
      </c>
      <c r="I588" s="236"/>
      <c r="J588" s="236">
        <f>MAXIFS(Inventory!D:D, Inventory!A:A, A:A)</f>
        <v>44504</v>
      </c>
      <c r="K588" s="23" t="str">
        <f>IMAGE("https://shared.akamai.steamstatic.com/store_item_assets/steam/apps/1024380/header.jpg?t=1726467707")</f>
        <v/>
      </c>
      <c r="L588" s="23">
        <f>COUNTIFS(Inventory!A:A,A588,Inventory!J:J,"Open")</f>
        <v>0</v>
      </c>
    </row>
    <row r="589">
      <c r="A589" s="237" t="s">
        <v>1887</v>
      </c>
      <c r="B589" s="23" t="str">
        <f>Publishers!A71</f>
        <v>Devolver Digital</v>
      </c>
      <c r="C589" s="78">
        <f>COUNTIF(Inventory!A:A, A589)</f>
        <v>4</v>
      </c>
      <c r="D589" s="89">
        <f>IFERROR(__xludf.DUMMYFUNCTION("IFERROR(AVERAGE(FILTER(Inventory!H:H,Inventory!J:J=""Closed"",Inventory!A:A=A589)),"""")"),0.2844192228571424)</f>
        <v>0.2844192229</v>
      </c>
      <c r="E589" s="234">
        <f>IFERROR(__xludf.DUMMYFUNCTION("IFERROR(AVERAGE(FILTER(Inventory!G:G,Inventory!J:J=""Closed"",Inventory!A:A=A589)),""0"")"),4.915000000000001)</f>
        <v>4.915</v>
      </c>
      <c r="F589" s="235">
        <f>IFERROR(__xludf.DUMMYFUNCTION("IFERROR(SUM(FILTER(Inventory!G:G,Inventory!J:J=""Closed"",Inventory!A:A=A589)),""0"")"),19.660000000000004)</f>
        <v>19.66</v>
      </c>
      <c r="G589" s="235">
        <f>IFERROR(__xludf.DUMMYFUNCTION("IFERROR(AVERAGE(FILTER(Inventory!K:K,Inventory!J:J=""Closed"",Inventory!A:A=A589)),"""")"),116.75)</f>
        <v>116.75</v>
      </c>
      <c r="H589" s="23" t="b">
        <v>0</v>
      </c>
      <c r="I589" s="236"/>
      <c r="J589" s="236">
        <f>MAXIFS(Inventory!D:D, Inventory!A:A, A:A)</f>
        <v>45574</v>
      </c>
      <c r="L589" s="23">
        <f>COUNTIFS(Inventory!A:A,A589,Inventory!J:J,"Open")</f>
        <v>0</v>
      </c>
    </row>
    <row r="590">
      <c r="A590" s="233" t="s">
        <v>4584</v>
      </c>
      <c r="B590" s="23" t="str">
        <f>Publishers!A71</f>
        <v>Devolver Digital</v>
      </c>
      <c r="C590" s="78">
        <f>COUNTIF(Inventory!A:A, A590)</f>
        <v>8</v>
      </c>
      <c r="D590" s="89">
        <f>IFERROR(__xludf.DUMMYFUNCTION("IFERROR(AVERAGE(FILTER(Inventory!H:H,Inventory!J:J=""Closed"",Inventory!A:A=A590)),"""")"),0.18769522837057284)</f>
        <v>0.1876952284</v>
      </c>
      <c r="E590" s="234">
        <f>IFERROR(__xludf.DUMMYFUNCTION("IFERROR(AVERAGE(FILTER(Inventory!G:G,Inventory!J:J=""Closed"",Inventory!A:A=A590)),""0"")"),2.1042857142857136)</f>
        <v>2.104285714</v>
      </c>
      <c r="F590" s="235">
        <f>IFERROR(__xludf.DUMMYFUNCTION("IFERROR(SUM(FILTER(Inventory!G:G,Inventory!J:J=""Closed"",Inventory!A:A=A590)),""0"")"),14.729999999999995)</f>
        <v>14.73</v>
      </c>
      <c r="G590" s="235">
        <f>IFERROR(__xludf.DUMMYFUNCTION("IFERROR(AVERAGE(FILTER(Inventory!K:K,Inventory!J:J=""Closed"",Inventory!A:A=A590)),"""")"),25.714285714285715)</f>
        <v>25.71428571</v>
      </c>
      <c r="H590" s="23" t="b">
        <v>0</v>
      </c>
      <c r="I590" s="236"/>
      <c r="J590" s="236">
        <f>MAXIFS(Inventory!D:D, Inventory!A:A, A:A)</f>
        <v>45273</v>
      </c>
      <c r="L590" s="23">
        <f>COUNTIFS(Inventory!A:A,A590,Inventory!J:J,"Open")</f>
        <v>1</v>
      </c>
    </row>
    <row r="591">
      <c r="A591" s="237" t="s">
        <v>909</v>
      </c>
      <c r="B591" s="240" t="str">
        <f>Publishers!A126</f>
        <v>IMGN.PRO</v>
      </c>
      <c r="C591" s="78">
        <f>COUNTIF(Inventory!A:A, A591)</f>
        <v>1</v>
      </c>
      <c r="D591" s="89">
        <f>IFERROR(__xludf.DUMMYFUNCTION("IFERROR(AVERAGE(FILTER(Inventory!H:H,Inventory!J:J=""Closed"",Inventory!A:A=A591)),"""")"),-0.161137440758294)</f>
        <v>-0.1611374408</v>
      </c>
      <c r="E591" s="234">
        <f>IFERROR(__xludf.DUMMYFUNCTION("IFERROR(AVERAGE(FILTER(Inventory!G:G,Inventory!J:J=""Closed"",Inventory!A:A=A591)),""0"")"),-0.3400000000000003)</f>
        <v>-0.34</v>
      </c>
      <c r="F591" s="235">
        <f>IFERROR(__xludf.DUMMYFUNCTION("IFERROR(SUM(FILTER(Inventory!G:G,Inventory!J:J=""Closed"",Inventory!A:A=A591)),""0"")"),-0.3400000000000003)</f>
        <v>-0.34</v>
      </c>
      <c r="G591" s="235">
        <f>IFERROR(__xludf.DUMMYFUNCTION("IFERROR(AVERAGE(FILTER(Inventory!K:K,Inventory!J:J=""Closed"",Inventory!A:A=A591)),"""")"),911.0)</f>
        <v>911</v>
      </c>
      <c r="H591" s="23" t="b">
        <v>0</v>
      </c>
      <c r="I591" s="236"/>
      <c r="J591" s="236">
        <f>MAXIFS(Inventory!D:D, Inventory!A:A, A:A)</f>
        <v>45121</v>
      </c>
      <c r="L591" s="23">
        <f>COUNTIFS(Inventory!A:A,A591,Inventory!J:J,"Open")</f>
        <v>0</v>
      </c>
    </row>
    <row r="592">
      <c r="A592" s="237" t="s">
        <v>75</v>
      </c>
      <c r="B592" s="23" t="str">
        <f>Publishers!A237</f>
        <v>Square Enix</v>
      </c>
      <c r="C592" s="78">
        <f>COUNTIF(Inventory!A:A, A592)</f>
        <v>23</v>
      </c>
      <c r="D592" s="89">
        <f>IFERROR(__xludf.DUMMYFUNCTION("IFERROR(AVERAGE(FILTER(Inventory!H:H,Inventory!J:J=""Closed"",Inventory!A:A=A592)),"""")"),0.22333866339550418)</f>
        <v>0.2233386634</v>
      </c>
      <c r="E592" s="234">
        <f>IFERROR(__xludf.DUMMYFUNCTION("IFERROR(AVERAGE(FILTER(Inventory!G:G,Inventory!J:J=""Closed"",Inventory!A:A=A592)),""0"")"),3.4565000000000006)</f>
        <v>3.4565</v>
      </c>
      <c r="F592" s="235">
        <f>IFERROR(__xludf.DUMMYFUNCTION("IFERROR(SUM(FILTER(Inventory!G:G,Inventory!J:J=""Closed"",Inventory!A:A=A592)),""0"")"),69.13000000000001)</f>
        <v>69.13</v>
      </c>
      <c r="G592" s="235">
        <f>IFERROR(__xludf.DUMMYFUNCTION("IFERROR(AVERAGE(FILTER(Inventory!K:K,Inventory!J:J=""Closed"",Inventory!A:A=A592)),"""")"),43.15)</f>
        <v>43.15</v>
      </c>
      <c r="H592" s="78" t="b">
        <v>1</v>
      </c>
      <c r="I592" s="236"/>
      <c r="J592" s="236">
        <f>MAXIFS(Inventory!D:D, Inventory!A:A, A:A)</f>
        <v>44874</v>
      </c>
      <c r="L592" s="23">
        <f>COUNTIFS(Inventory!A:A,A592,Inventory!J:J,"Open")</f>
        <v>3</v>
      </c>
    </row>
    <row r="593">
      <c r="A593" s="237" t="s">
        <v>1252</v>
      </c>
      <c r="B593" s="23" t="str">
        <f>Publishers!A65</f>
        <v>Daedalic Entertainment</v>
      </c>
      <c r="C593" s="78">
        <f>COUNTIF(Inventory!A:A, A593)</f>
        <v>1</v>
      </c>
      <c r="D593" s="89">
        <f>IFERROR(__xludf.DUMMYFUNCTION("IFERROR(AVERAGE(FILTER(Inventory!H:H,Inventory!J:J=""Closed"",Inventory!A:A=A593)),"""")"),0.37106918238993714)</f>
        <v>0.3710691824</v>
      </c>
      <c r="E593" s="234">
        <f>IFERROR(__xludf.DUMMYFUNCTION("IFERROR(AVERAGE(FILTER(Inventory!G:G,Inventory!J:J=""Closed"",Inventory!A:A=A593)),""0"")"),0.5900000000000001)</f>
        <v>0.59</v>
      </c>
      <c r="F593" s="235">
        <f>IFERROR(__xludf.DUMMYFUNCTION("IFERROR(SUM(FILTER(Inventory!G:G,Inventory!J:J=""Closed"",Inventory!A:A=A593)),""0"")"),0.5900000000000001)</f>
        <v>0.59</v>
      </c>
      <c r="G593" s="235">
        <f>IFERROR(__xludf.DUMMYFUNCTION("IFERROR(AVERAGE(FILTER(Inventory!K:K,Inventory!J:J=""Closed"",Inventory!A:A=A593)),"""")"),5.0)</f>
        <v>5</v>
      </c>
      <c r="H593" s="23" t="b">
        <v>0</v>
      </c>
      <c r="I593" s="236"/>
      <c r="J593" s="236">
        <f>MAXIFS(Inventory!D:D, Inventory!A:A, A:A)</f>
        <v>44381</v>
      </c>
      <c r="L593" s="23">
        <f>COUNTIFS(Inventory!A:A,A593,Inventory!J:J,"Open")</f>
        <v>0</v>
      </c>
    </row>
    <row r="594">
      <c r="A594" s="237" t="s">
        <v>1723</v>
      </c>
      <c r="B594" s="23" t="str">
        <f>Publishers!A65</f>
        <v>Daedalic Entertainment</v>
      </c>
      <c r="C594" s="78">
        <f>COUNTIF(Inventory!A:A, A594)</f>
        <v>2</v>
      </c>
      <c r="D594" s="89">
        <f>IFERROR(__xludf.DUMMYFUNCTION("IFERROR(AVERAGE(FILTER(Inventory!H:H,Inventory!J:J=""Closed"",Inventory!A:A=A594)),"""")"),-1.1994633838383835)</f>
        <v>-1.199463384</v>
      </c>
      <c r="E594" s="234">
        <f>IFERROR(__xludf.DUMMYFUNCTION("IFERROR(AVERAGE(FILTER(Inventory!G:G,Inventory!J:J=""Closed"",Inventory!A:A=A594)),""0"")"),-0.6249999999999991)</f>
        <v>-0.625</v>
      </c>
      <c r="F594" s="235">
        <f>IFERROR(__xludf.DUMMYFUNCTION("IFERROR(SUM(FILTER(Inventory!G:G,Inventory!J:J=""Closed"",Inventory!A:A=A594)),""0"")"),-1.2499999999999982)</f>
        <v>-1.25</v>
      </c>
      <c r="G594" s="235">
        <f>IFERROR(__xludf.DUMMYFUNCTION("IFERROR(AVERAGE(FILTER(Inventory!K:K,Inventory!J:J=""Closed"",Inventory!A:A=A594)),"""")"),538.0)</f>
        <v>538</v>
      </c>
      <c r="H594" s="23" t="b">
        <v>0</v>
      </c>
      <c r="I594" s="236"/>
      <c r="J594" s="236">
        <f>MAXIFS(Inventory!D:D, Inventory!A:A, A:A)</f>
        <v>45640</v>
      </c>
      <c r="L594" s="23">
        <f>COUNTIFS(Inventory!A:A,A594,Inventory!J:J,"Open")</f>
        <v>0</v>
      </c>
    </row>
    <row r="595">
      <c r="A595" s="237" t="s">
        <v>517</v>
      </c>
      <c r="B595" s="23" t="str">
        <f>Publishers!A71</f>
        <v>Devolver Digital</v>
      </c>
      <c r="C595" s="78">
        <f>COUNTIF(Inventory!A:A, A595)</f>
        <v>14</v>
      </c>
      <c r="D595" s="89">
        <f>IFERROR(__xludf.DUMMYFUNCTION("IFERROR(AVERAGE(FILTER(Inventory!H:H,Inventory!J:J=""Closed"",Inventory!A:A=A595)),"""")"),0.213271424935009)</f>
        <v>0.2132714249</v>
      </c>
      <c r="E595" s="234">
        <f>IFERROR(__xludf.DUMMYFUNCTION("IFERROR(AVERAGE(FILTER(Inventory!G:G,Inventory!J:J=""Closed"",Inventory!A:A=A595)),""0"")"),1.5957142857142854)</f>
        <v>1.595714286</v>
      </c>
      <c r="F595" s="235">
        <f>IFERROR(__xludf.DUMMYFUNCTION("IFERROR(SUM(FILTER(Inventory!G:G,Inventory!J:J=""Closed"",Inventory!A:A=A595)),""0"")"),22.339999999999996)</f>
        <v>22.34</v>
      </c>
      <c r="G595" s="235">
        <f>IFERROR(__xludf.DUMMYFUNCTION("IFERROR(AVERAGE(FILTER(Inventory!K:K,Inventory!J:J=""Closed"",Inventory!A:A=A595)),"""")"),27.357142857142858)</f>
        <v>27.35714286</v>
      </c>
      <c r="H595" s="23" t="b">
        <v>0</v>
      </c>
      <c r="I595" s="236"/>
      <c r="J595" s="236">
        <f>MAXIFS(Inventory!D:D, Inventory!A:A, A:A)</f>
        <v>44675</v>
      </c>
      <c r="L595" s="23">
        <f>COUNTIFS(Inventory!A:A,A595,Inventory!J:J,"Open")</f>
        <v>0</v>
      </c>
    </row>
    <row r="596">
      <c r="A596" s="233" t="s">
        <v>2256</v>
      </c>
      <c r="B596" s="23" t="str">
        <f>Publishers!A71</f>
        <v>Devolver Digital</v>
      </c>
      <c r="C596" s="78">
        <f>COUNTIF(Inventory!A:A, A596)</f>
        <v>1</v>
      </c>
      <c r="D596" s="89">
        <f>IFERROR(__xludf.DUMMYFUNCTION("IFERROR(AVERAGE(FILTER(Inventory!H:H,Inventory!J:J=""Closed"",Inventory!A:A=A596)),"""")"),-0.8246205733558181)</f>
        <v>-0.8246205734</v>
      </c>
      <c r="E596" s="234">
        <f>IFERROR(__xludf.DUMMYFUNCTION("IFERROR(AVERAGE(FILTER(Inventory!G:G,Inventory!J:J=""Closed"",Inventory!A:A=A596)),""0"")"),-4.890000000000001)</f>
        <v>-4.89</v>
      </c>
      <c r="F596" s="235">
        <f>IFERROR(__xludf.DUMMYFUNCTION("IFERROR(SUM(FILTER(Inventory!G:G,Inventory!J:J=""Closed"",Inventory!A:A=A596)),""0"")"),-4.890000000000001)</f>
        <v>-4.89</v>
      </c>
      <c r="G596" s="235">
        <f>IFERROR(__xludf.DUMMYFUNCTION("IFERROR(AVERAGE(FILTER(Inventory!K:K,Inventory!J:J=""Closed"",Inventory!A:A=A596)),"""")"),1540.0)</f>
        <v>1540</v>
      </c>
      <c r="H596" s="23" t="b">
        <v>0</v>
      </c>
      <c r="I596" s="236"/>
      <c r="J596" s="236">
        <f>MAXIFS(Inventory!D:D, Inventory!A:A, A:A)</f>
        <v>46186</v>
      </c>
      <c r="L596" s="23">
        <f>COUNTIFS(Inventory!A:A,A596,Inventory!J:J,"Open")</f>
        <v>0</v>
      </c>
    </row>
    <row r="597">
      <c r="A597" s="233" t="s">
        <v>2878</v>
      </c>
      <c r="B597" s="23" t="str">
        <f>Publishers!A71</f>
        <v>Devolver Digital</v>
      </c>
      <c r="C597" s="78">
        <f>COUNTIF(Inventory!A:A, A597)</f>
        <v>1</v>
      </c>
      <c r="D597" s="89" t="str">
        <f>IFERROR(__xludf.DUMMYFUNCTION("IFERROR(AVERAGE(FILTER(Inventory!H:H,Inventory!J:J=""Closed"",Inventory!A:A=A597)),"""")"),"")</f>
        <v/>
      </c>
      <c r="E597" s="234" t="str">
        <f>IFERROR(__xludf.DUMMYFUNCTION("IFERROR(AVERAGE(FILTER(Inventory!G:G,Inventory!J:J=""Closed"",Inventory!A:A=A597)),""0"")"),"0")</f>
        <v>0</v>
      </c>
      <c r="F597" s="235" t="str">
        <f>IFERROR(__xludf.DUMMYFUNCTION("IFERROR(SUM(FILTER(Inventory!G:G,Inventory!J:J=""Closed"",Inventory!A:A=A597)),""0"")"),"0")</f>
        <v>0</v>
      </c>
      <c r="G597" s="235" t="str">
        <f>IFERROR(__xludf.DUMMYFUNCTION("IFERROR(AVERAGE(FILTER(Inventory!K:K,Inventory!J:J=""Closed"",Inventory!A:A=A597)),"""")"),"")</f>
        <v/>
      </c>
      <c r="H597" s="23" t="b">
        <v>0</v>
      </c>
      <c r="I597" s="236"/>
      <c r="J597" s="236">
        <f>MAXIFS(Inventory!D:D, Inventory!A:A, A:A)</f>
        <v>0</v>
      </c>
      <c r="L597" s="23">
        <f>COUNTIFS(Inventory!A:A,A597,Inventory!J:J,"Open")</f>
        <v>1</v>
      </c>
    </row>
    <row r="598">
      <c r="A598" s="237" t="s">
        <v>925</v>
      </c>
      <c r="B598" s="23" t="str">
        <f>Publishers!A103</f>
        <v>Frozenbyte</v>
      </c>
      <c r="C598" s="78">
        <f>COUNTIF(Inventory!A:A, A598)</f>
        <v>1</v>
      </c>
      <c r="D598" s="89">
        <f>IFERROR(__xludf.DUMMYFUNCTION("IFERROR(AVERAGE(FILTER(Inventory!H:H,Inventory!J:J=""Closed"",Inventory!A:A=A598)),"""")"),1.0)</f>
        <v>1</v>
      </c>
      <c r="E598" s="234">
        <f>IFERROR(__xludf.DUMMYFUNCTION("IFERROR(AVERAGE(FILTER(Inventory!G:G,Inventory!J:J=""Closed"",Inventory!A:A=A598)),""0"")"),0.08)</f>
        <v>0.08</v>
      </c>
      <c r="F598" s="235">
        <f>IFERROR(__xludf.DUMMYFUNCTION("IFERROR(SUM(FILTER(Inventory!G:G,Inventory!J:J=""Closed"",Inventory!A:A=A598)),""0"")"),0.08)</f>
        <v>0.08</v>
      </c>
      <c r="G598" s="235">
        <f>IFERROR(__xludf.DUMMYFUNCTION("IFERROR(AVERAGE(FILTER(Inventory!K:K,Inventory!J:J=""Closed"",Inventory!A:A=A598)),"""")"),277.0)</f>
        <v>277</v>
      </c>
      <c r="H598" s="23" t="b">
        <v>0</v>
      </c>
      <c r="I598" s="236"/>
      <c r="J598" s="236">
        <f>MAXIFS(Inventory!D:D, Inventory!A:A, A:A)</f>
        <v>44493</v>
      </c>
      <c r="L598" s="23">
        <f>COUNTIFS(Inventory!A:A,A598,Inventory!J:J,"Open")</f>
        <v>0</v>
      </c>
    </row>
    <row r="599">
      <c r="A599" s="237" t="s">
        <v>578</v>
      </c>
      <c r="B599" s="23" t="str">
        <f>Publishers!A136</f>
        <v>Kalypso Media</v>
      </c>
      <c r="C599" s="78">
        <f>COUNTIF(Inventory!A:A, A599)</f>
        <v>4</v>
      </c>
      <c r="D599" s="89">
        <f>IFERROR(__xludf.DUMMYFUNCTION("IFERROR(AVERAGE(FILTER(Inventory!H:H,Inventory!J:J=""Closed"",Inventory!A:A=A599)),"""")"),0.1461538461538461)</f>
        <v>0.1461538462</v>
      </c>
      <c r="E599" s="234">
        <f>IFERROR(__xludf.DUMMYFUNCTION("IFERROR(AVERAGE(FILTER(Inventory!G:G,Inventory!J:J=""Closed"",Inventory!A:A=A599)),""0"")"),0.09499999999999997)</f>
        <v>0.095</v>
      </c>
      <c r="F599" s="235">
        <f>IFERROR(__xludf.DUMMYFUNCTION("IFERROR(SUM(FILTER(Inventory!G:G,Inventory!J:J=""Closed"",Inventory!A:A=A599)),""0"")"),0.3799999999999999)</f>
        <v>0.38</v>
      </c>
      <c r="G599" s="235">
        <f>IFERROR(__xludf.DUMMYFUNCTION("IFERROR(AVERAGE(FILTER(Inventory!K:K,Inventory!J:J=""Closed"",Inventory!A:A=A599)),"""")"),270.5)</f>
        <v>270.5</v>
      </c>
      <c r="H599" s="23" t="b">
        <v>0</v>
      </c>
      <c r="I599" s="236"/>
      <c r="J599" s="236">
        <f>MAXIFS(Inventory!D:D, Inventory!A:A, A:A)</f>
        <v>44378</v>
      </c>
      <c r="L599" s="23">
        <f>COUNTIFS(Inventory!A:A,A599,Inventory!J:J,"Open")</f>
        <v>0</v>
      </c>
    </row>
    <row r="600">
      <c r="A600" s="233" t="s">
        <v>4042</v>
      </c>
      <c r="B600" s="23" t="str">
        <f>Publishers!A97</f>
        <v>Fireshine Games</v>
      </c>
      <c r="C600" s="78">
        <f>COUNTIF(Inventory!A:A, A600)</f>
        <v>2</v>
      </c>
      <c r="D600" s="89">
        <f>IFERROR(__xludf.DUMMYFUNCTION("IFERROR(AVERAGE(FILTER(Inventory!H:H,Inventory!J:J=""Closed"",Inventory!A:A=A600)),"""")"),0.24247031142551406)</f>
        <v>0.2424703114</v>
      </c>
      <c r="E600" s="234">
        <f>IFERROR(__xludf.DUMMYFUNCTION("IFERROR(AVERAGE(FILTER(Inventory!G:G,Inventory!J:J=""Closed"",Inventory!A:A=A600)),""0"")"),4.349999999999999)</f>
        <v>4.35</v>
      </c>
      <c r="F600" s="235">
        <f>IFERROR(__xludf.DUMMYFUNCTION("IFERROR(SUM(FILTER(Inventory!G:G,Inventory!J:J=""Closed"",Inventory!A:A=A600)),""0"")"),8.699999999999998)</f>
        <v>8.7</v>
      </c>
      <c r="G600" s="235">
        <f>IFERROR(__xludf.DUMMYFUNCTION("IFERROR(AVERAGE(FILTER(Inventory!K:K,Inventory!J:J=""Closed"",Inventory!A:A=A600)),"""")"),7.0)</f>
        <v>7</v>
      </c>
      <c r="H600" s="23" t="b">
        <v>0</v>
      </c>
      <c r="I600" s="236"/>
      <c r="J600" s="236">
        <f>MAXIFS(Inventory!D:D, Inventory!A:A, A:A)</f>
        <v>45082</v>
      </c>
      <c r="L600" s="23">
        <f>COUNTIFS(Inventory!A:A,A600,Inventory!J:J,"Open")</f>
        <v>0</v>
      </c>
    </row>
    <row r="601">
      <c r="A601" s="233" t="s">
        <v>4534</v>
      </c>
      <c r="B601" s="23" t="str">
        <f>Publishers!A97</f>
        <v>Fireshine Games</v>
      </c>
      <c r="C601" s="78">
        <f>COUNTIF(Inventory!A:A, A601)</f>
        <v>5</v>
      </c>
      <c r="D601" s="89">
        <f>IFERROR(__xludf.DUMMYFUNCTION("IFERROR(AVERAGE(FILTER(Inventory!H:H,Inventory!J:J=""Closed"",Inventory!A:A=A601)),"""")"),0.08759738268883596)</f>
        <v>0.08759738269</v>
      </c>
      <c r="E601" s="234">
        <f>IFERROR(__xludf.DUMMYFUNCTION("IFERROR(AVERAGE(FILTER(Inventory!G:G,Inventory!J:J=""Closed"",Inventory!A:A=A601)),""0"")"),0.9599999999999991)</f>
        <v>0.96</v>
      </c>
      <c r="F601" s="235">
        <f>IFERROR(__xludf.DUMMYFUNCTION("IFERROR(SUM(FILTER(Inventory!G:G,Inventory!J:J=""Closed"",Inventory!A:A=A601)),""0"")"),4.799999999999995)</f>
        <v>4.8</v>
      </c>
      <c r="G601" s="235">
        <f>IFERROR(__xludf.DUMMYFUNCTION("IFERROR(AVERAGE(FILTER(Inventory!K:K,Inventory!J:J=""Closed"",Inventory!A:A=A601)),"""")"),0.2)</f>
        <v>0.2</v>
      </c>
      <c r="H601" s="23" t="b">
        <v>0</v>
      </c>
      <c r="I601" s="236"/>
      <c r="J601" s="236">
        <f>MAXIFS(Inventory!D:D, Inventory!A:A, A:A)</f>
        <v>45137</v>
      </c>
      <c r="L601" s="23">
        <f>COUNTIFS(Inventory!A:A,A601,Inventory!J:J,"Open")</f>
        <v>0</v>
      </c>
    </row>
    <row r="602">
      <c r="A602" s="237" t="s">
        <v>357</v>
      </c>
      <c r="B602" s="23" t="str">
        <f>Publishers!A103</f>
        <v>Frozenbyte</v>
      </c>
      <c r="C602" s="78">
        <f>COUNTIF(Inventory!A:A, A602)</f>
        <v>2</v>
      </c>
      <c r="D602" s="89">
        <f>IFERROR(__xludf.DUMMYFUNCTION("IFERROR(AVERAGE(FILTER(Inventory!H:H,Inventory!J:J=""Closed"",Inventory!A:A=A602)),"""")"),0.3787393162393163)</f>
        <v>0.3787393162</v>
      </c>
      <c r="E602" s="234">
        <f>IFERROR(__xludf.DUMMYFUNCTION("IFERROR(AVERAGE(FILTER(Inventory!G:G,Inventory!J:J=""Closed"",Inventory!A:A=A602)),""0"")"),0.4)</f>
        <v>0.4</v>
      </c>
      <c r="F602" s="235">
        <f>IFERROR(__xludf.DUMMYFUNCTION("IFERROR(SUM(FILTER(Inventory!G:G,Inventory!J:J=""Closed"",Inventory!A:A=A602)),""0"")"),0.8)</f>
        <v>0.8</v>
      </c>
      <c r="G602" s="235">
        <f>IFERROR(__xludf.DUMMYFUNCTION("IFERROR(AVERAGE(FILTER(Inventory!K:K,Inventory!J:J=""Closed"",Inventory!A:A=A602)),"""")"),19.0)</f>
        <v>19</v>
      </c>
      <c r="H602" s="23" t="b">
        <v>0</v>
      </c>
      <c r="I602" s="236"/>
      <c r="J602" s="236">
        <f>MAXIFS(Inventory!D:D, Inventory!A:A, A:A)</f>
        <v>44083</v>
      </c>
      <c r="L602" s="23">
        <f>COUNTIFS(Inventory!A:A,A602,Inventory!J:J,"Open")</f>
        <v>0</v>
      </c>
    </row>
    <row r="603">
      <c r="A603" s="233" t="s">
        <v>4317</v>
      </c>
      <c r="B603" s="23" t="str">
        <f>Publishers!A99</f>
        <v>Focus Home Interactive</v>
      </c>
      <c r="C603" s="78">
        <f>COUNTIF(Inventory!A:A, A603)</f>
        <v>1</v>
      </c>
      <c r="D603" s="89">
        <f>IFERROR(__xludf.DUMMYFUNCTION("IFERROR(AVERAGE(FILTER(Inventory!H:H,Inventory!J:J=""Closed"",Inventory!A:A=A603)),"""")"),1.0)</f>
        <v>1</v>
      </c>
      <c r="E603" s="234">
        <f>IFERROR(__xludf.DUMMYFUNCTION("IFERROR(AVERAGE(FILTER(Inventory!G:G,Inventory!J:J=""Closed"",Inventory!A:A=A603)),""0"")"),0.35)</f>
        <v>0.35</v>
      </c>
      <c r="F603" s="235">
        <f>IFERROR(__xludf.DUMMYFUNCTION("IFERROR(SUM(FILTER(Inventory!G:G,Inventory!J:J=""Closed"",Inventory!A:A=A603)),""0"")"),0.35)</f>
        <v>0.35</v>
      </c>
      <c r="G603" s="235">
        <f>IFERROR(__xludf.DUMMYFUNCTION("IFERROR(AVERAGE(FILTER(Inventory!K:K,Inventory!J:J=""Closed"",Inventory!A:A=A603)),"""")"),2.0)</f>
        <v>2</v>
      </c>
      <c r="H603" s="23" t="b">
        <v>0</v>
      </c>
      <c r="I603" s="236"/>
      <c r="J603" s="236">
        <f>MAXIFS(Inventory!D:D, Inventory!A:A, A:A)</f>
        <v>45102</v>
      </c>
      <c r="L603" s="23">
        <f>COUNTIFS(Inventory!A:A,A603,Inventory!J:J,"Open")</f>
        <v>0</v>
      </c>
    </row>
    <row r="604">
      <c r="A604" s="237" t="s">
        <v>87</v>
      </c>
      <c r="B604" s="23" t="str">
        <f>Publishers!A162</f>
        <v>Mixed Realms</v>
      </c>
      <c r="C604" s="78">
        <f>COUNTIF(Inventory!A:A, A604)</f>
        <v>1</v>
      </c>
      <c r="D604" s="89">
        <f>IFERROR(__xludf.DUMMYFUNCTION("IFERROR(AVERAGE(FILTER(Inventory!H:H,Inventory!J:J=""Closed"",Inventory!A:A=A604)),"""")"),0.16338672768878718)</f>
        <v>0.1633867277</v>
      </c>
      <c r="E604" s="234">
        <f>IFERROR(__xludf.DUMMYFUNCTION("IFERROR(AVERAGE(FILTER(Inventory!G:G,Inventory!J:J=""Closed"",Inventory!A:A=A604)),""0"")"),3.5700000000000003)</f>
        <v>3.57</v>
      </c>
      <c r="F604" s="235">
        <f>IFERROR(__xludf.DUMMYFUNCTION("IFERROR(SUM(FILTER(Inventory!G:G,Inventory!J:J=""Closed"",Inventory!A:A=A604)),""0"")"),3.5700000000000003)</f>
        <v>3.57</v>
      </c>
      <c r="G604" s="235">
        <f>IFERROR(__xludf.DUMMYFUNCTION("IFERROR(AVERAGE(FILTER(Inventory!K:K,Inventory!J:J=""Closed"",Inventory!A:A=A604)),"""")"),13.0)</f>
        <v>13</v>
      </c>
      <c r="H604" s="23" t="b">
        <v>0</v>
      </c>
      <c r="I604" s="236"/>
      <c r="J604" s="236">
        <f>MAXIFS(Inventory!D:D, Inventory!A:A, A:A)</f>
        <v>43966</v>
      </c>
      <c r="L604" s="23">
        <f>COUNTIFS(Inventory!A:A,A604,Inventory!J:J,"Open")</f>
        <v>0</v>
      </c>
    </row>
    <row r="605">
      <c r="A605" s="237" t="s">
        <v>227</v>
      </c>
      <c r="B605" s="23" t="str">
        <f>Publishers!A101</f>
        <v>Frogwares</v>
      </c>
      <c r="C605" s="78">
        <f>COUNTIF(Inventory!A:A, A605)</f>
        <v>12</v>
      </c>
      <c r="D605" s="89">
        <f>IFERROR(__xludf.DUMMYFUNCTION("IFERROR(AVERAGE(FILTER(Inventory!H:H,Inventory!J:J=""Closed"",Inventory!A:A=A605)),"""")"),0.3773149567653413)</f>
        <v>0.3773149568</v>
      </c>
      <c r="E605" s="234">
        <f>IFERROR(__xludf.DUMMYFUNCTION("IFERROR(AVERAGE(FILTER(Inventory!G:G,Inventory!J:J=""Closed"",Inventory!A:A=A605)),""0"")"),1.7458333333333333)</f>
        <v>1.745833333</v>
      </c>
      <c r="F605" s="235">
        <f>IFERROR(__xludf.DUMMYFUNCTION("IFERROR(SUM(FILTER(Inventory!G:G,Inventory!J:J=""Closed"",Inventory!A:A=A605)),""0"")"),20.95)</f>
        <v>20.95</v>
      </c>
      <c r="G605" s="235">
        <f>IFERROR(__xludf.DUMMYFUNCTION("IFERROR(AVERAGE(FILTER(Inventory!K:K,Inventory!J:J=""Closed"",Inventory!A:A=A605)),"""")"),12.583333333333334)</f>
        <v>12.58333333</v>
      </c>
      <c r="H605" s="23" t="b">
        <v>0</v>
      </c>
      <c r="I605" s="236"/>
      <c r="J605" s="236">
        <f>MAXIFS(Inventory!D:D, Inventory!A:A, A:A)</f>
        <v>44311</v>
      </c>
      <c r="L605" s="23">
        <f>COUNTIFS(Inventory!A:A,A605,Inventory!J:J,"Open")</f>
        <v>0</v>
      </c>
    </row>
    <row r="606">
      <c r="A606" s="233" t="s">
        <v>5473</v>
      </c>
      <c r="B606" s="23" t="str">
        <f>Publishers!A253</f>
        <v>Team17 Digital</v>
      </c>
      <c r="C606" s="78">
        <f>COUNTIF(Inventory!A:A, A606)</f>
        <v>1</v>
      </c>
      <c r="D606" s="89">
        <f>IFERROR(__xludf.DUMMYFUNCTION("IFERROR(AVERAGE(FILTER(Inventory!H:H,Inventory!J:J=""Closed"",Inventory!A:A=A606)),"""")"),0.18162393162393156)</f>
        <v>0.1816239316</v>
      </c>
      <c r="E606" s="234">
        <f>IFERROR(__xludf.DUMMYFUNCTION("IFERROR(AVERAGE(FILTER(Inventory!G:G,Inventory!J:J=""Closed"",Inventory!A:A=A606)),""0"")"),2.549999999999999)</f>
        <v>2.55</v>
      </c>
      <c r="F606" s="235">
        <f>IFERROR(__xludf.DUMMYFUNCTION("IFERROR(SUM(FILTER(Inventory!G:G,Inventory!J:J=""Closed"",Inventory!A:A=A606)),""0"")"),2.549999999999999)</f>
        <v>2.55</v>
      </c>
      <c r="G606" s="235">
        <f>IFERROR(__xludf.DUMMYFUNCTION("IFERROR(AVERAGE(FILTER(Inventory!K:K,Inventory!J:J=""Closed"",Inventory!A:A=A606)),"""")"),171.0)</f>
        <v>171</v>
      </c>
      <c r="H606" s="23" t="b">
        <v>0</v>
      </c>
      <c r="I606" s="236"/>
      <c r="J606" s="236"/>
      <c r="L606" s="23">
        <f>COUNTIFS(Inventory!A:A,A606,Inventory!J:J,"Open")</f>
        <v>0</v>
      </c>
    </row>
    <row r="607">
      <c r="A607" s="233" t="s">
        <v>4570</v>
      </c>
      <c r="B607" s="23" t="str">
        <f>Publishers!A112</f>
        <v>Good Shepherd Entertainment</v>
      </c>
      <c r="C607" s="78">
        <f>COUNTIF(Inventory!A:A, A607)</f>
        <v>1</v>
      </c>
      <c r="D607" s="89">
        <f>IFERROR(__xludf.DUMMYFUNCTION("IFERROR(AVERAGE(FILTER(Inventory!H:H,Inventory!J:J=""Closed"",Inventory!A:A=A607)),"""")"),0.1314377682403433)</f>
        <v>0.1314377682</v>
      </c>
      <c r="E607" s="234">
        <f>IFERROR(__xludf.DUMMYFUNCTION("IFERROR(AVERAGE(FILTER(Inventory!G:G,Inventory!J:J=""Closed"",Inventory!A:A=A607)),""0"")"),2.4499999999999993)</f>
        <v>2.45</v>
      </c>
      <c r="F607" s="235">
        <f>IFERROR(__xludf.DUMMYFUNCTION("IFERROR(SUM(FILTER(Inventory!G:G,Inventory!J:J=""Closed"",Inventory!A:A=A607)),""0"")"),2.4499999999999993)</f>
        <v>2.45</v>
      </c>
      <c r="G607" s="235">
        <f>IFERROR(__xludf.DUMMYFUNCTION("IFERROR(AVERAGE(FILTER(Inventory!K:K,Inventory!J:J=""Closed"",Inventory!A:A=A607)),"""")"),53.0)</f>
        <v>53</v>
      </c>
      <c r="H607" s="23" t="b">
        <v>0</v>
      </c>
      <c r="I607" s="236"/>
      <c r="J607" s="236">
        <f>MAXIFS(Inventory!D:D, Inventory!A:A, A:A)</f>
        <v>45192</v>
      </c>
      <c r="L607" s="23">
        <f>COUNTIFS(Inventory!A:A,A607,Inventory!J:J,"Open")</f>
        <v>0</v>
      </c>
    </row>
    <row r="608">
      <c r="A608" s="237" t="s">
        <v>1823</v>
      </c>
      <c r="B608" s="23" t="str">
        <f>Publishers!A6</f>
        <v>2K</v>
      </c>
      <c r="C608" s="78">
        <f>COUNTIF(Inventory!A:A, A608)</f>
        <v>4</v>
      </c>
      <c r="D608" s="89">
        <f>IFERROR(__xludf.DUMMYFUNCTION("IFERROR(AVERAGE(FILTER(Inventory!H:H,Inventory!J:J=""Closed"",Inventory!A:A=A608)),"""")"),0.15305192833282727)</f>
        <v>0.1530519283</v>
      </c>
      <c r="E608" s="234">
        <f>IFERROR(__xludf.DUMMYFUNCTION("IFERROR(AVERAGE(FILTER(Inventory!G:G,Inventory!J:J=""Closed"",Inventory!A:A=A608)),""0"")"),0.6750000000000003)</f>
        <v>0.675</v>
      </c>
      <c r="F608" s="235">
        <f>IFERROR(__xludf.DUMMYFUNCTION("IFERROR(SUM(FILTER(Inventory!G:G,Inventory!J:J=""Closed"",Inventory!A:A=A608)),""0"")"),2.700000000000001)</f>
        <v>2.7</v>
      </c>
      <c r="G608" s="235">
        <f>IFERROR(__xludf.DUMMYFUNCTION("IFERROR(AVERAGE(FILTER(Inventory!K:K,Inventory!J:J=""Closed"",Inventory!A:A=A608)),"""")"),9.0)</f>
        <v>9</v>
      </c>
      <c r="H608" s="23" t="b">
        <v>0</v>
      </c>
      <c r="I608" s="236"/>
      <c r="J608" s="236">
        <f>MAXIFS(Inventory!D:D, Inventory!A:A, A:A)</f>
        <v>44574</v>
      </c>
      <c r="L608" s="23">
        <f>COUNTIFS(Inventory!A:A,A608,Inventory!J:J,"Open")</f>
        <v>0</v>
      </c>
    </row>
    <row r="609">
      <c r="A609" s="233" t="s">
        <v>3264</v>
      </c>
      <c r="B609" s="23" t="str">
        <f>Publishers!A6</f>
        <v>2K</v>
      </c>
      <c r="C609" s="78">
        <f>COUNTIF(Inventory!A:A, A609)</f>
        <v>3</v>
      </c>
      <c r="D609" s="89">
        <f>IFERROR(__xludf.DUMMYFUNCTION("IFERROR(AVERAGE(FILTER(Inventory!H:H,Inventory!J:J=""Closed"",Inventory!A:A=A609)),"""")"),0.1658935847294399)</f>
        <v>0.1658935847</v>
      </c>
      <c r="E609" s="234">
        <f>IFERROR(__xludf.DUMMYFUNCTION("IFERROR(AVERAGE(FILTER(Inventory!G:G,Inventory!J:J=""Closed"",Inventory!A:A=A609)),""0"")"),3.226666666666668)</f>
        <v>3.226666667</v>
      </c>
      <c r="F609" s="235">
        <f>IFERROR(__xludf.DUMMYFUNCTION("IFERROR(SUM(FILTER(Inventory!G:G,Inventory!J:J=""Closed"",Inventory!A:A=A609)),""0"")"),9.680000000000003)</f>
        <v>9.68</v>
      </c>
      <c r="G609" s="235">
        <f>IFERROR(__xludf.DUMMYFUNCTION("IFERROR(AVERAGE(FILTER(Inventory!K:K,Inventory!J:J=""Closed"",Inventory!A:A=A609)),"""")"),21.333333333333332)</f>
        <v>21.33333333</v>
      </c>
      <c r="H609" s="23" t="b">
        <v>0</v>
      </c>
      <c r="I609" s="236"/>
      <c r="J609" s="236">
        <f>MAXIFS(Inventory!D:D, Inventory!A:A, A:A)</f>
        <v>44997</v>
      </c>
      <c r="L609" s="23">
        <f>COUNTIFS(Inventory!A:A,A609,Inventory!J:J,"Open")</f>
        <v>0</v>
      </c>
    </row>
    <row r="610">
      <c r="A610" s="233" t="s">
        <v>4387</v>
      </c>
      <c r="B610" s="23" t="str">
        <f>Publishers!A6</f>
        <v>2K</v>
      </c>
      <c r="C610" s="78">
        <f>COUNTIF(Inventory!A:A, A610)</f>
        <v>1</v>
      </c>
      <c r="D610" s="89">
        <f>IFERROR(__xludf.DUMMYFUNCTION("IFERROR(AVERAGE(FILTER(Inventory!H:H,Inventory!J:J=""Closed"",Inventory!A:A=A610)),"""")"),0.08135593220338982)</f>
        <v>0.0813559322</v>
      </c>
      <c r="E610" s="234">
        <f>IFERROR(__xludf.DUMMYFUNCTION("IFERROR(AVERAGE(FILTER(Inventory!G:G,Inventory!J:J=""Closed"",Inventory!A:A=A610)),""0"")"),1.6799999999999997)</f>
        <v>1.68</v>
      </c>
      <c r="F610" s="235">
        <f>IFERROR(__xludf.DUMMYFUNCTION("IFERROR(SUM(FILTER(Inventory!G:G,Inventory!J:J=""Closed"",Inventory!A:A=A610)),""0"")"),1.6799999999999997)</f>
        <v>1.68</v>
      </c>
      <c r="G610" s="235">
        <f>IFERROR(__xludf.DUMMYFUNCTION("IFERROR(AVERAGE(FILTER(Inventory!K:K,Inventory!J:J=""Closed"",Inventory!A:A=A610)),"""")"),1.0)</f>
        <v>1</v>
      </c>
      <c r="H610" s="23" t="b">
        <v>0</v>
      </c>
      <c r="I610" s="236"/>
      <c r="J610" s="236">
        <f>MAXIFS(Inventory!D:D, Inventory!A:A, A:A)</f>
        <v>45120</v>
      </c>
      <c r="L610" s="23">
        <f>COUNTIFS(Inventory!A:A,A610,Inventory!J:J,"Open")</f>
        <v>0</v>
      </c>
    </row>
    <row r="611">
      <c r="A611" s="233" t="s">
        <v>2204</v>
      </c>
      <c r="B611" s="23" t="str">
        <f>Publishers!A6</f>
        <v>2K</v>
      </c>
      <c r="C611" s="78">
        <f>COUNTIF(Inventory!A:A, A611)</f>
        <v>2</v>
      </c>
      <c r="D611" s="89">
        <f>IFERROR(__xludf.DUMMYFUNCTION("IFERROR(AVERAGE(FILTER(Inventory!H:H,Inventory!J:J=""Closed"",Inventory!A:A=A611)),"""")"),0.12484743760442771)</f>
        <v>0.1248474376</v>
      </c>
      <c r="E611" s="234">
        <f>IFERROR(__xludf.DUMMYFUNCTION("IFERROR(AVERAGE(FILTER(Inventory!G:G,Inventory!J:J=""Closed"",Inventory!A:A=A611)),""0"")"),1.8949999999999996)</f>
        <v>1.895</v>
      </c>
      <c r="F611" s="235">
        <f>IFERROR(__xludf.DUMMYFUNCTION("IFERROR(SUM(FILTER(Inventory!G:G,Inventory!J:J=""Closed"",Inventory!A:A=A611)),""0"")"),3.789999999999999)</f>
        <v>3.79</v>
      </c>
      <c r="G611" s="235">
        <f>IFERROR(__xludf.DUMMYFUNCTION("IFERROR(AVERAGE(FILTER(Inventory!K:K,Inventory!J:J=""Closed"",Inventory!A:A=A611)),"""")"),467.0)</f>
        <v>467</v>
      </c>
      <c r="H611" s="23" t="b">
        <v>0</v>
      </c>
      <c r="I611" s="236"/>
      <c r="J611" s="236">
        <f>MAXIFS(Inventory!D:D, Inventory!A:A, A:A)</f>
        <v>45576</v>
      </c>
      <c r="L611" s="23">
        <f>COUNTIFS(Inventory!A:A,A611,Inventory!J:J,"Open")</f>
        <v>0</v>
      </c>
    </row>
    <row r="612">
      <c r="A612" s="237" t="s">
        <v>2013</v>
      </c>
      <c r="B612" s="23" t="str">
        <f>Publishers!A6</f>
        <v>2K</v>
      </c>
      <c r="C612" s="78">
        <f>COUNTIF(Inventory!A:A, A612)</f>
        <v>7</v>
      </c>
      <c r="D612" s="89">
        <f>IFERROR(__xludf.DUMMYFUNCTION("IFERROR(AVERAGE(FILTER(Inventory!H:H,Inventory!J:J=""Closed"",Inventory!A:A=A612)),"""")"),0.14521399556798736)</f>
        <v>0.1452139956</v>
      </c>
      <c r="E612" s="234">
        <f>IFERROR(__xludf.DUMMYFUNCTION("IFERROR(AVERAGE(FILTER(Inventory!G:G,Inventory!J:J=""Closed"",Inventory!A:A=A612)),""0"")"),1.284285714285714)</f>
        <v>1.284285714</v>
      </c>
      <c r="F612" s="235">
        <f>IFERROR(__xludf.DUMMYFUNCTION("IFERROR(SUM(FILTER(Inventory!G:G,Inventory!J:J=""Closed"",Inventory!A:A=A612)),""0"")"),8.989999999999998)</f>
        <v>8.99</v>
      </c>
      <c r="G612" s="235">
        <f>IFERROR(__xludf.DUMMYFUNCTION("IFERROR(AVERAGE(FILTER(Inventory!K:K,Inventory!J:J=""Closed"",Inventory!A:A=A612)),"""")"),0.5714285714285714)</f>
        <v>0.5714285714</v>
      </c>
      <c r="H612" s="23" t="b">
        <v>0</v>
      </c>
      <c r="I612" s="236"/>
      <c r="J612" s="236">
        <f>MAXIFS(Inventory!D:D, Inventory!A:A, A:A)</f>
        <v>45122</v>
      </c>
      <c r="L612" s="23">
        <f>COUNTIFS(Inventory!A:A,A612,Inventory!J:J,"Open")</f>
        <v>0</v>
      </c>
    </row>
    <row r="613">
      <c r="A613" s="237" t="s">
        <v>1361</v>
      </c>
      <c r="B613" s="23" t="str">
        <f>Publishers!A6</f>
        <v>2K</v>
      </c>
      <c r="C613" s="78">
        <f>COUNTIF(Inventory!A:A, A613)</f>
        <v>2</v>
      </c>
      <c r="D613" s="89">
        <f>IFERROR(__xludf.DUMMYFUNCTION("IFERROR(AVERAGE(FILTER(Inventory!H:H,Inventory!J:J=""Closed"",Inventory!A:A=A613)),"""")"),0.1945178608214535)</f>
        <v>0.1945178608</v>
      </c>
      <c r="E613" s="234">
        <f>IFERROR(__xludf.DUMMYFUNCTION("IFERROR(AVERAGE(FILTER(Inventory!G:G,Inventory!J:J=""Closed"",Inventory!A:A=A613)),""0"")"),2.13)</f>
        <v>2.13</v>
      </c>
      <c r="F613" s="235">
        <f>IFERROR(__xludf.DUMMYFUNCTION("IFERROR(SUM(FILTER(Inventory!G:G,Inventory!J:J=""Closed"",Inventory!A:A=A613)),""0"")"),4.26)</f>
        <v>4.26</v>
      </c>
      <c r="G613" s="235">
        <f>IFERROR(__xludf.DUMMYFUNCTION("IFERROR(AVERAGE(FILTER(Inventory!K:K,Inventory!J:J=""Closed"",Inventory!A:A=A613)),"""")"),15.0)</f>
        <v>15</v>
      </c>
      <c r="H613" s="23" t="b">
        <v>0</v>
      </c>
      <c r="I613" s="236"/>
      <c r="J613" s="236">
        <f>MAXIFS(Inventory!D:D, Inventory!A:A, A:A)</f>
        <v>44478</v>
      </c>
      <c r="L613" s="23">
        <f>COUNTIFS(Inventory!A:A,A613,Inventory!J:J,"Open")</f>
        <v>0</v>
      </c>
    </row>
    <row r="614">
      <c r="A614" s="233" t="s">
        <v>8515</v>
      </c>
      <c r="B614" s="23" t="str">
        <f>Publishers!A6</f>
        <v>2K</v>
      </c>
      <c r="C614" s="78">
        <f>COUNTIF(Inventory!A:A, A614)</f>
        <v>3</v>
      </c>
      <c r="D614" s="89">
        <f>IFERROR(__xludf.DUMMYFUNCTION("IFERROR(AVERAGE(FILTER(Inventory!H:H,Inventory!J:J=""Closed"",Inventory!A:A=A614)),"""")"),0.3125843124091703)</f>
        <v>0.3125843124</v>
      </c>
      <c r="E614" s="234">
        <f>IFERROR(__xludf.DUMMYFUNCTION("IFERROR(AVERAGE(FILTER(Inventory!G:G,Inventory!J:J=""Closed"",Inventory!A:A=A614)),""0"")"),20.169999999999998)</f>
        <v>20.17</v>
      </c>
      <c r="F614" s="235">
        <f>IFERROR(__xludf.DUMMYFUNCTION("IFERROR(SUM(FILTER(Inventory!G:G,Inventory!J:J=""Closed"",Inventory!A:A=A614)),""0"")"),60.51)</f>
        <v>60.51</v>
      </c>
      <c r="G614" s="235">
        <f>IFERROR(__xludf.DUMMYFUNCTION("IFERROR(AVERAGE(FILTER(Inventory!K:K,Inventory!J:J=""Closed"",Inventory!A:A=A614)),"""")"),0.3333333333333333)</f>
        <v>0.3333333333</v>
      </c>
      <c r="H614" s="23" t="b">
        <v>0</v>
      </c>
      <c r="I614" s="236"/>
      <c r="J614" s="236">
        <f>MAXIFS(Inventory!D:D, Inventory!A:A, A:A)</f>
        <v>45709</v>
      </c>
      <c r="K614" s="23" t="str">
        <f>IMAGE("https://cdn1.epicgames.com/offer/eb9cdf6dbe4b47fc8ba474017023476a/DELUXE-METADATA-DESKTOP-HORIZONTAL-STATIC-ENUS-NO_RATING-EPIC-1920x1080-QA_1920x1080-d7cc2bf58c0f8645950e3fb42751c1fa?resize=1&amp;w=480&amp;h=270&amp;quality=medium")</f>
        <v/>
      </c>
      <c r="L614" s="23">
        <f>COUNTIFS(Inventory!A:A,A614,Inventory!J:J,"Open")</f>
        <v>0</v>
      </c>
    </row>
    <row r="615">
      <c r="A615" s="233" t="s">
        <v>4716</v>
      </c>
      <c r="B615" s="23" t="str">
        <f>Publishers!A138</f>
        <v>Kepler Interactive</v>
      </c>
      <c r="C615" s="78">
        <f>COUNTIF(Inventory!A:A, A615)</f>
        <v>2</v>
      </c>
      <c r="D615" s="89">
        <f>IFERROR(__xludf.DUMMYFUNCTION("IFERROR(AVERAGE(FILTER(Inventory!H:H,Inventory!J:J=""Closed"",Inventory!A:A=A615)),"""")"),0.14792857990108046)</f>
        <v>0.1479285799</v>
      </c>
      <c r="E615" s="234">
        <f>IFERROR(__xludf.DUMMYFUNCTION("IFERROR(AVERAGE(FILTER(Inventory!G:G,Inventory!J:J=""Closed"",Inventory!A:A=A615)),""0"")"),2.4499999999999993)</f>
        <v>2.45</v>
      </c>
      <c r="F615" s="235">
        <f>IFERROR(__xludf.DUMMYFUNCTION("IFERROR(SUM(FILTER(Inventory!G:G,Inventory!J:J=""Closed"",Inventory!A:A=A615)),""0"")"),4.899999999999999)</f>
        <v>4.9</v>
      </c>
      <c r="G615" s="235">
        <f>IFERROR(__xludf.DUMMYFUNCTION("IFERROR(AVERAGE(FILTER(Inventory!K:K,Inventory!J:J=""Closed"",Inventory!A:A=A615)),"""")"),91.5)</f>
        <v>91.5</v>
      </c>
      <c r="H615" s="23" t="b">
        <v>0</v>
      </c>
      <c r="I615" s="236"/>
      <c r="J615" s="236">
        <f>MAXIFS(Inventory!D:D, Inventory!A:A, A:A)</f>
        <v>45371</v>
      </c>
      <c r="L615" s="23">
        <f>COUNTIFS(Inventory!A:A,A615,Inventory!J:J,"Open")</f>
        <v>0</v>
      </c>
    </row>
    <row r="616">
      <c r="A616" s="237" t="s">
        <v>224</v>
      </c>
      <c r="B616" s="23" t="str">
        <f>Publishers!A111</f>
        <v>Goblinz Publishing</v>
      </c>
      <c r="C616" s="78">
        <f>COUNTIF(Inventory!A:A, A616)</f>
        <v>2</v>
      </c>
      <c r="D616" s="89">
        <f>IFERROR(__xludf.DUMMYFUNCTION("IFERROR(AVERAGE(FILTER(Inventory!H:H,Inventory!J:J=""Closed"",Inventory!A:A=A616)),"""")"),-22.846153846153847)</f>
        <v>-22.84615385</v>
      </c>
      <c r="E616" s="234">
        <f>IFERROR(__xludf.DUMMYFUNCTION("IFERROR(AVERAGE(FILTER(Inventory!G:G,Inventory!J:J=""Closed"",Inventory!A:A=A616)),""0"")"),-2.97)</f>
        <v>-2.97</v>
      </c>
      <c r="F616" s="235">
        <f>IFERROR(__xludf.DUMMYFUNCTION("IFERROR(SUM(FILTER(Inventory!G:G,Inventory!J:J=""Closed"",Inventory!A:A=A616)),""0"")"),-5.94)</f>
        <v>-5.94</v>
      </c>
      <c r="G616" s="235">
        <f>IFERROR(__xludf.DUMMYFUNCTION("IFERROR(AVERAGE(FILTER(Inventory!K:K,Inventory!J:J=""Closed"",Inventory!A:A=A616)),"""")"),751.0)</f>
        <v>751</v>
      </c>
      <c r="H616" s="23" t="b">
        <v>0</v>
      </c>
      <c r="I616" s="236"/>
      <c r="J616" s="236">
        <f>MAXIFS(Inventory!D:D, Inventory!A:A, A:A)</f>
        <v>44748</v>
      </c>
      <c r="L616" s="23">
        <f>COUNTIFS(Inventory!A:A,A616,Inventory!J:J,"Open")</f>
        <v>0</v>
      </c>
    </row>
    <row r="617">
      <c r="A617" s="237" t="s">
        <v>270</v>
      </c>
      <c r="B617" s="23" t="str">
        <f>Publishers!A117</f>
        <v>Headup</v>
      </c>
      <c r="C617" s="78">
        <f>COUNTIF(Inventory!A:A, A617)</f>
        <v>4</v>
      </c>
      <c r="D617" s="89">
        <f>IFERROR(__xludf.DUMMYFUNCTION("IFERROR(AVERAGE(FILTER(Inventory!H:H,Inventory!J:J=""Closed"",Inventory!A:A=A617)),"""")"),0.4018921541112444)</f>
        <v>0.4018921541</v>
      </c>
      <c r="E617" s="234">
        <f>IFERROR(__xludf.DUMMYFUNCTION("IFERROR(AVERAGE(FILTER(Inventory!G:G,Inventory!J:J=""Closed"",Inventory!A:A=A617)),""0"")"),1.8325000000000002)</f>
        <v>1.8325</v>
      </c>
      <c r="F617" s="235">
        <f>IFERROR(__xludf.DUMMYFUNCTION("IFERROR(SUM(FILTER(Inventory!G:G,Inventory!J:J=""Closed"",Inventory!A:A=A617)),""0"")"),7.330000000000001)</f>
        <v>7.33</v>
      </c>
      <c r="G617" s="235">
        <f>IFERROR(__xludf.DUMMYFUNCTION("IFERROR(AVERAGE(FILTER(Inventory!K:K,Inventory!J:J=""Closed"",Inventory!A:A=A617)),"""")"),4.5)</f>
        <v>4.5</v>
      </c>
      <c r="H617" s="23" t="b">
        <v>0</v>
      </c>
      <c r="I617" s="236"/>
      <c r="J617" s="236">
        <f>MAXIFS(Inventory!D:D, Inventory!A:A, A:A)</f>
        <v>44497</v>
      </c>
      <c r="L617" s="23">
        <f>COUNTIFS(Inventory!A:A,A617,Inventory!J:J,"Open")</f>
        <v>0</v>
      </c>
    </row>
    <row r="618">
      <c r="A618" s="237" t="s">
        <v>368</v>
      </c>
      <c r="B618" s="23" t="str">
        <f>Publishers!A27</f>
        <v>Autumn Games</v>
      </c>
      <c r="C618" s="78">
        <f>COUNTIF(Inventory!A:A, A618)</f>
        <v>18</v>
      </c>
      <c r="D618" s="89">
        <f>IFERROR(__xludf.DUMMYFUNCTION("IFERROR(AVERAGE(FILTER(Inventory!H:H,Inventory!J:J=""Closed"",Inventory!A:A=A618)),"""")"),0.18878012717023698)</f>
        <v>0.1887801272</v>
      </c>
      <c r="E618" s="234">
        <f>IFERROR(__xludf.DUMMYFUNCTION("IFERROR(AVERAGE(FILTER(Inventory!G:G,Inventory!J:J=""Closed"",Inventory!A:A=A618)),""0"")"),0.6105555555555555)</f>
        <v>0.6105555556</v>
      </c>
      <c r="F618" s="235">
        <f>IFERROR(__xludf.DUMMYFUNCTION("IFERROR(SUM(FILTER(Inventory!G:G,Inventory!J:J=""Closed"",Inventory!A:A=A618)),""0"")"),10.989999999999998)</f>
        <v>10.99</v>
      </c>
      <c r="G618" s="235">
        <f>IFERROR(__xludf.DUMMYFUNCTION("IFERROR(AVERAGE(FILTER(Inventory!K:K,Inventory!J:J=""Closed"",Inventory!A:A=A618)),"""")"),9.444444444444445)</f>
        <v>9.444444444</v>
      </c>
      <c r="H618" s="23" t="b">
        <v>0</v>
      </c>
      <c r="I618" s="236"/>
      <c r="J618" s="236">
        <f>MAXIFS(Inventory!D:D, Inventory!A:A, A:A)</f>
        <v>44629</v>
      </c>
      <c r="L618" s="23">
        <f>COUNTIFS(Inventory!A:A,A618,Inventory!J:J,"Open")</f>
        <v>0</v>
      </c>
    </row>
    <row r="619">
      <c r="A619" s="237" t="s">
        <v>260</v>
      </c>
      <c r="B619" s="23" t="str">
        <f>Publishers!A65</f>
        <v>Daedalic Entertainment</v>
      </c>
      <c r="C619" s="78">
        <f>COUNTIF(Inventory!A:A, A619)</f>
        <v>1</v>
      </c>
      <c r="D619" s="89">
        <f>IFERROR(__xludf.DUMMYFUNCTION("IFERROR(AVERAGE(FILTER(Inventory!H:H,Inventory!J:J=""Closed"",Inventory!A:A=A619)),"""")"),1.0)</f>
        <v>1</v>
      </c>
      <c r="E619" s="234">
        <f>IFERROR(__xludf.DUMMYFUNCTION("IFERROR(AVERAGE(FILTER(Inventory!G:G,Inventory!J:J=""Closed"",Inventory!A:A=A619)),""0"")"),0.46)</f>
        <v>0.46</v>
      </c>
      <c r="F619" s="235">
        <f>IFERROR(__xludf.DUMMYFUNCTION("IFERROR(SUM(FILTER(Inventory!G:G,Inventory!J:J=""Closed"",Inventory!A:A=A619)),""0"")"),0.46)</f>
        <v>0.46</v>
      </c>
      <c r="G619" s="235">
        <f>IFERROR(__xludf.DUMMYFUNCTION("IFERROR(AVERAGE(FILTER(Inventory!K:K,Inventory!J:J=""Closed"",Inventory!A:A=A619)),"""")"),38.0)</f>
        <v>38</v>
      </c>
      <c r="H619" s="23" t="b">
        <v>0</v>
      </c>
      <c r="I619" s="236"/>
      <c r="J619" s="236">
        <f>MAXIFS(Inventory!D:D, Inventory!A:A, A:A)</f>
        <v>44044</v>
      </c>
      <c r="L619" s="23">
        <f>COUNTIFS(Inventory!A:A,A619,Inventory!J:J,"Open")</f>
        <v>0</v>
      </c>
    </row>
    <row r="620">
      <c r="A620" s="233" t="s">
        <v>3682</v>
      </c>
      <c r="B620" s="23" t="str">
        <f>Publishers!A72</f>
        <v>Digerati</v>
      </c>
      <c r="C620" s="78">
        <f>COUNTIF(Inventory!A:A, A620)</f>
        <v>1</v>
      </c>
      <c r="D620" s="89">
        <f>IFERROR(__xludf.DUMMYFUNCTION("IFERROR(AVERAGE(FILTER(Inventory!H:H,Inventory!J:J=""Closed"",Inventory!A:A=A620)),"""")"),1.0)</f>
        <v>1</v>
      </c>
      <c r="E620" s="234">
        <f>IFERROR(__xludf.DUMMYFUNCTION("IFERROR(AVERAGE(FILTER(Inventory!G:G,Inventory!J:J=""Closed"",Inventory!A:A=A620)),""0"")"),0.38)</f>
        <v>0.38</v>
      </c>
      <c r="F620" s="235">
        <f>IFERROR(__xludf.DUMMYFUNCTION("IFERROR(SUM(FILTER(Inventory!G:G,Inventory!J:J=""Closed"",Inventory!A:A=A620)),""0"")"),0.38)</f>
        <v>0.38</v>
      </c>
      <c r="G620" s="235">
        <f>IFERROR(__xludf.DUMMYFUNCTION("IFERROR(AVERAGE(FILTER(Inventory!K:K,Inventory!J:J=""Closed"",Inventory!A:A=A620)),"""")"),2.0)</f>
        <v>2</v>
      </c>
      <c r="H620" s="78" t="b">
        <v>0</v>
      </c>
      <c r="I620" s="236"/>
      <c r="J620" s="236">
        <f>MAXIFS(Inventory!D:D, Inventory!A:A, A:A)</f>
        <v>45003</v>
      </c>
      <c r="L620" s="23">
        <f>COUNTIFS(Inventory!A:A,A620,Inventory!J:J,"Open")</f>
        <v>0</v>
      </c>
    </row>
    <row r="621">
      <c r="A621" s="233" t="s">
        <v>3432</v>
      </c>
      <c r="B621" s="23" t="str">
        <f>Publishers!A156</f>
        <v>Mega Crit Games</v>
      </c>
      <c r="C621" s="78">
        <f>COUNTIF(Inventory!A:A, A621)</f>
        <v>1</v>
      </c>
      <c r="D621" s="89">
        <f>IFERROR(__xludf.DUMMYFUNCTION("IFERROR(AVERAGE(FILTER(Inventory!H:H,Inventory!J:J=""Closed"",Inventory!A:A=A621)),"""")"),0.43028229255774164)</f>
        <v>0.4302822926</v>
      </c>
      <c r="E621" s="234">
        <f>IFERROR(__xludf.DUMMYFUNCTION("IFERROR(AVERAGE(FILTER(Inventory!G:G,Inventory!J:J=""Closed"",Inventory!A:A=A621)),""0"")"),5.029999999999999)</f>
        <v>5.03</v>
      </c>
      <c r="F621" s="235">
        <f>IFERROR(__xludf.DUMMYFUNCTION("IFERROR(SUM(FILTER(Inventory!G:G,Inventory!J:J=""Closed"",Inventory!A:A=A621)),""0"")"),5.029999999999999)</f>
        <v>5.03</v>
      </c>
      <c r="G621" s="235">
        <f>IFERROR(__xludf.DUMMYFUNCTION("IFERROR(AVERAGE(FILTER(Inventory!K:K,Inventory!J:J=""Closed"",Inventory!A:A=A621)),"""")"),4.0)</f>
        <v>4</v>
      </c>
      <c r="H621" s="78" t="b">
        <v>0</v>
      </c>
      <c r="I621" s="236"/>
      <c r="J621" s="236">
        <f>MAXIFS(Inventory!D:D, Inventory!A:A, A:A)</f>
        <v>44971</v>
      </c>
      <c r="L621" s="23">
        <f>COUNTIFS(Inventory!A:A,A621,Inventory!J:J,"Open")</f>
        <v>0</v>
      </c>
    </row>
    <row r="622">
      <c r="A622" s="237" t="s">
        <v>218</v>
      </c>
      <c r="B622" s="23" t="str">
        <f>Publishers!A237</f>
        <v>Square Enix</v>
      </c>
      <c r="C622" s="78">
        <f>COUNTIF(Inventory!A:A, A622)</f>
        <v>35</v>
      </c>
      <c r="D622" s="89">
        <f>IFERROR(__xludf.DUMMYFUNCTION("IFERROR(AVERAGE(FILTER(Inventory!H:H,Inventory!J:J=""Closed"",Inventory!A:A=A622)),"""")"),0.258828979568592)</f>
        <v>0.2588289796</v>
      </c>
      <c r="E622" s="234">
        <f>IFERROR(__xludf.DUMMYFUNCTION("IFERROR(AVERAGE(FILTER(Inventory!G:G,Inventory!J:J=""Closed"",Inventory!A:A=A622)),""0"")"),0.9437142857142857)</f>
        <v>0.9437142857</v>
      </c>
      <c r="F622" s="235">
        <f>IFERROR(__xludf.DUMMYFUNCTION("IFERROR(SUM(FILTER(Inventory!G:G,Inventory!J:J=""Closed"",Inventory!A:A=A622)),""0"")"),33.03)</f>
        <v>33.03</v>
      </c>
      <c r="G622" s="235">
        <f>IFERROR(__xludf.DUMMYFUNCTION("IFERROR(AVERAGE(FILTER(Inventory!K:K,Inventory!J:J=""Closed"",Inventory!A:A=A622)),"""")"),54.77142857142857)</f>
        <v>54.77142857</v>
      </c>
      <c r="H622" s="78" t="b">
        <v>1</v>
      </c>
      <c r="I622" s="236"/>
      <c r="J622" s="236">
        <f>MAXIFS(Inventory!D:D, Inventory!A:A, A:A)</f>
        <v>45198</v>
      </c>
      <c r="L622" s="23">
        <f>COUNTIFS(Inventory!A:A,A622,Inventory!J:J,"Open")</f>
        <v>0</v>
      </c>
    </row>
    <row r="623">
      <c r="A623" s="237" t="s">
        <v>163</v>
      </c>
      <c r="B623" s="23" t="str">
        <f>Publishers!A237</f>
        <v>Square Enix</v>
      </c>
      <c r="C623" s="78">
        <f>COUNTIF(Inventory!A:A, A623)</f>
        <v>16</v>
      </c>
      <c r="D623" s="89">
        <f>IFERROR(__xludf.DUMMYFUNCTION("IFERROR(AVERAGE(FILTER(Inventory!H:H,Inventory!J:J=""Closed"",Inventory!A:A=A623)),"""")"),0.393158062082262)</f>
        <v>0.3931580621</v>
      </c>
      <c r="E623" s="234">
        <f>IFERROR(__xludf.DUMMYFUNCTION("IFERROR(AVERAGE(FILTER(Inventory!G:G,Inventory!J:J=""Closed"",Inventory!A:A=A623)),""0"")"),1.8262500000000002)</f>
        <v>1.82625</v>
      </c>
      <c r="F623" s="235">
        <f>IFERROR(__xludf.DUMMYFUNCTION("IFERROR(SUM(FILTER(Inventory!G:G,Inventory!J:J=""Closed"",Inventory!A:A=A623)),""0"")"),29.220000000000002)</f>
        <v>29.22</v>
      </c>
      <c r="G623" s="235">
        <f>IFERROR(__xludf.DUMMYFUNCTION("IFERROR(AVERAGE(FILTER(Inventory!K:K,Inventory!J:J=""Closed"",Inventory!A:A=A623)),"""")"),6.6875)</f>
        <v>6.6875</v>
      </c>
      <c r="H623" s="23" t="b">
        <v>0</v>
      </c>
      <c r="I623" s="236"/>
      <c r="J623" s="236">
        <f>MAXIFS(Inventory!D:D, Inventory!A:A, A:A)</f>
        <v>45511</v>
      </c>
      <c r="L623" s="23">
        <f>COUNTIFS(Inventory!A:A,A623,Inventory!J:J,"Open")</f>
        <v>0</v>
      </c>
    </row>
    <row r="624">
      <c r="A624" s="233" t="s">
        <v>4550</v>
      </c>
      <c r="B624" s="23" t="str">
        <f>Publishers!A158</f>
        <v>Merge Games</v>
      </c>
      <c r="C624" s="78">
        <f>COUNTIF(Inventory!A:A, A624)</f>
        <v>6</v>
      </c>
      <c r="D624" s="89">
        <f>IFERROR(__xludf.DUMMYFUNCTION("IFERROR(AVERAGE(FILTER(Inventory!H:H,Inventory!J:J=""Closed"",Inventory!A:A=A624)),"""")"),0.10251273779299191)</f>
        <v>0.1025127378</v>
      </c>
      <c r="E624" s="234">
        <f>IFERROR(__xludf.DUMMYFUNCTION("IFERROR(AVERAGE(FILTER(Inventory!G:G,Inventory!J:J=""Closed"",Inventory!A:A=A624)),""0"")"),1.7066666666666663)</f>
        <v>1.706666667</v>
      </c>
      <c r="F624" s="235">
        <f>IFERROR(__xludf.DUMMYFUNCTION("IFERROR(SUM(FILTER(Inventory!G:G,Inventory!J:J=""Closed"",Inventory!A:A=A624)),""0"")"),10.239999999999998)</f>
        <v>10.24</v>
      </c>
      <c r="G624" s="235">
        <f>IFERROR(__xludf.DUMMYFUNCTION("IFERROR(AVERAGE(FILTER(Inventory!K:K,Inventory!J:J=""Closed"",Inventory!A:A=A624)),"""")"),13.5)</f>
        <v>13.5</v>
      </c>
      <c r="H624" s="23" t="b">
        <v>0</v>
      </c>
      <c r="I624" s="236"/>
      <c r="J624" s="236">
        <f>MAXIFS(Inventory!D:D, Inventory!A:A, A:A)</f>
        <v>45305</v>
      </c>
      <c r="L624" s="23">
        <f>COUNTIFS(Inventory!A:A,A624,Inventory!J:J,"Open")</f>
        <v>0</v>
      </c>
    </row>
    <row r="625">
      <c r="A625" s="233" t="s">
        <v>2569</v>
      </c>
      <c r="B625" s="23" t="str">
        <f>Publishers!A144</f>
        <v>LimboLane</v>
      </c>
      <c r="C625" s="78">
        <f>COUNTIF(Inventory!A:A, A625)</f>
        <v>1</v>
      </c>
      <c r="D625" s="89">
        <f>IFERROR(__xludf.DUMMYFUNCTION("IFERROR(AVERAGE(FILTER(Inventory!H:H,Inventory!J:J=""Closed"",Inventory!A:A=A625)),"""")"),1.0)</f>
        <v>1</v>
      </c>
      <c r="E625" s="234">
        <f>IFERROR(__xludf.DUMMYFUNCTION("IFERROR(AVERAGE(FILTER(Inventory!G:G,Inventory!J:J=""Closed"",Inventory!A:A=A625)),""0"")"),0.04)</f>
        <v>0.04</v>
      </c>
      <c r="F625" s="235">
        <f>IFERROR(__xludf.DUMMYFUNCTION("IFERROR(SUM(FILTER(Inventory!G:G,Inventory!J:J=""Closed"",Inventory!A:A=A625)),""0"")"),0.04)</f>
        <v>0.04</v>
      </c>
      <c r="G625" s="235">
        <f>IFERROR(__xludf.DUMMYFUNCTION("IFERROR(AVERAGE(FILTER(Inventory!K:K,Inventory!J:J=""Closed"",Inventory!A:A=A625)),"""")"),231.0)</f>
        <v>231</v>
      </c>
      <c r="H625" s="23" t="b">
        <v>0</v>
      </c>
      <c r="I625" s="236"/>
      <c r="J625" s="236">
        <f>MAXIFS(Inventory!D:D, Inventory!A:A, A:A)</f>
        <v>44925</v>
      </c>
      <c r="L625" s="23">
        <f>COUNTIFS(Inventory!A:A,A625,Inventory!J:J,"Open")</f>
        <v>0</v>
      </c>
    </row>
    <row r="626">
      <c r="A626" s="233" t="s">
        <v>10265</v>
      </c>
      <c r="B626" s="23" t="str">
        <f>Publishers!A63</f>
        <v>Curve Digital</v>
      </c>
      <c r="C626" s="78">
        <f>COUNTIF(Inventory!A:A, A626)</f>
        <v>0</v>
      </c>
      <c r="D626" s="89" t="str">
        <f>IFERROR(__xludf.DUMMYFUNCTION("IFERROR(AVERAGE(FILTER(Inventory!H:H,Inventory!J:J=""Closed"",Inventory!A:A=A626)),"""")"),"")</f>
        <v/>
      </c>
      <c r="E626" s="234" t="str">
        <f>IFERROR(__xludf.DUMMYFUNCTION("IFERROR(AVERAGE(FILTER(Inventory!G:G,Inventory!J:J=""Closed"",Inventory!A:A=A626)),""0"")"),"0")</f>
        <v>0</v>
      </c>
      <c r="F626" s="235" t="str">
        <f>IFERROR(__xludf.DUMMYFUNCTION("IFERROR(SUM(FILTER(Inventory!G:G,Inventory!J:J=""Closed"",Inventory!A:A=A626)),""0"")"),"0")</f>
        <v>0</v>
      </c>
      <c r="G626" s="235" t="str">
        <f>IFERROR(__xludf.DUMMYFUNCTION("IFERROR(AVERAGE(FILTER(Inventory!K:K,Inventory!J:J=""Closed"",Inventory!A:A=A626)),"""")"),"")</f>
        <v/>
      </c>
      <c r="H626" s="23" t="b">
        <v>0</v>
      </c>
      <c r="I626" s="236"/>
      <c r="J626" s="236">
        <f>MAXIFS(Inventory!D:D, Inventory!A:A, A:A)</f>
        <v>0</v>
      </c>
      <c r="L626" s="23">
        <f>COUNTIFS(Inventory!A:A,A626,Inventory!J:J,"Open")</f>
        <v>0</v>
      </c>
    </row>
    <row r="627">
      <c r="A627" s="237" t="s">
        <v>1989</v>
      </c>
      <c r="B627" s="23" t="str">
        <f>Publishers!A203</f>
        <v>Rebellion</v>
      </c>
      <c r="C627" s="78">
        <f>COUNTIF(Inventory!A:A, A627)</f>
        <v>27</v>
      </c>
      <c r="D627" s="89">
        <f>IFERROR(__xludf.DUMMYFUNCTION("IFERROR(AVERAGE(FILTER(Inventory!H:H,Inventory!J:J=""Closed"",Inventory!A:A=A627)),"""")"),0.22238858178412124)</f>
        <v>0.2223885818</v>
      </c>
      <c r="E627" s="234">
        <f>IFERROR(__xludf.DUMMYFUNCTION("IFERROR(AVERAGE(FILTER(Inventory!G:G,Inventory!J:J=""Closed"",Inventory!A:A=A627)),""0"")"),2.637777777777779)</f>
        <v>2.637777778</v>
      </c>
      <c r="F627" s="235">
        <f>IFERROR(__xludf.DUMMYFUNCTION("IFERROR(SUM(FILTER(Inventory!G:G,Inventory!J:J=""Closed"",Inventory!A:A=A627)),""0"")"),71.22000000000003)</f>
        <v>71.22</v>
      </c>
      <c r="G627" s="235">
        <f>IFERROR(__xludf.DUMMYFUNCTION("IFERROR(AVERAGE(FILTER(Inventory!K:K,Inventory!J:J=""Closed"",Inventory!A:A=A627)),"""")"),1.5925925925925926)</f>
        <v>1.592592593</v>
      </c>
      <c r="H627" s="78" t="b">
        <v>1</v>
      </c>
      <c r="I627" s="236"/>
      <c r="J627" s="236">
        <f>MAXIFS(Inventory!D:D, Inventory!A:A, A:A)</f>
        <v>44717</v>
      </c>
      <c r="L627" s="23">
        <f>COUNTIFS(Inventory!A:A,A627,Inventory!J:J,"Open")</f>
        <v>0</v>
      </c>
    </row>
    <row r="628">
      <c r="A628" s="233" t="s">
        <v>3832</v>
      </c>
      <c r="B628" s="23" t="str">
        <f>Publishers!A203</f>
        <v>Rebellion</v>
      </c>
      <c r="C628" s="78">
        <f>COUNTIF(Inventory!A:A, A628)</f>
        <v>17</v>
      </c>
      <c r="D628" s="89">
        <f>IFERROR(__xludf.DUMMYFUNCTION("IFERROR(AVERAGE(FILTER(Inventory!H:H,Inventory!J:J=""Closed"",Inventory!A:A=A628)),"""")"),0.27957569415957606)</f>
        <v>0.2795756942</v>
      </c>
      <c r="E628" s="234">
        <f>IFERROR(__xludf.DUMMYFUNCTION("IFERROR(AVERAGE(FILTER(Inventory!G:G,Inventory!J:J=""Closed"",Inventory!A:A=A628)),""0"")"),6.485882352941178)</f>
        <v>6.485882353</v>
      </c>
      <c r="F628" s="235">
        <f>IFERROR(__xludf.DUMMYFUNCTION("IFERROR(SUM(FILTER(Inventory!G:G,Inventory!J:J=""Closed"",Inventory!A:A=A628)),""0"")"),110.26000000000002)</f>
        <v>110.26</v>
      </c>
      <c r="G628" s="235">
        <f>IFERROR(__xludf.DUMMYFUNCTION("IFERROR(AVERAGE(FILTER(Inventory!K:K,Inventory!J:J=""Closed"",Inventory!A:A=A628)),"""")"),39.8235294117647)</f>
        <v>39.82352941</v>
      </c>
      <c r="H628" s="78" t="b">
        <v>0</v>
      </c>
      <c r="I628" s="236"/>
      <c r="J628" s="236">
        <f>MAXIFS(Inventory!D:D, Inventory!A:A, A:A)</f>
        <v>45826</v>
      </c>
      <c r="L628" s="23">
        <f>COUNTIFS(Inventory!A:A,A628,Inventory!J:J,"Open")</f>
        <v>0</v>
      </c>
    </row>
    <row r="629">
      <c r="A629" s="233" t="s">
        <v>3850</v>
      </c>
      <c r="B629" s="23" t="str">
        <f>Publishers!A203</f>
        <v>Rebellion</v>
      </c>
      <c r="C629" s="78">
        <f>COUNTIF(Inventory!A:A, A629)</f>
        <v>3</v>
      </c>
      <c r="D629" s="89">
        <f>IFERROR(__xludf.DUMMYFUNCTION("IFERROR(AVERAGE(FILTER(Inventory!H:H,Inventory!J:J=""Closed"",Inventory!A:A=A629)),"""")"),0.11807594834956764)</f>
        <v>0.1180759483</v>
      </c>
      <c r="E629" s="234">
        <f>IFERROR(__xludf.DUMMYFUNCTION("IFERROR(AVERAGE(FILTER(Inventory!G:G,Inventory!J:J=""Closed"",Inventory!A:A=A629)),""0"")"),4.510000000000002)</f>
        <v>4.51</v>
      </c>
      <c r="F629" s="235">
        <f>IFERROR(__xludf.DUMMYFUNCTION("IFERROR(SUM(FILTER(Inventory!G:G,Inventory!J:J=""Closed"",Inventory!A:A=A629)),""0"")"),13.530000000000005)</f>
        <v>13.53</v>
      </c>
      <c r="G629" s="235">
        <f>IFERROR(__xludf.DUMMYFUNCTION("IFERROR(AVERAGE(FILTER(Inventory!K:K,Inventory!J:J=""Closed"",Inventory!A:A=A629)),"""")"),202.0)</f>
        <v>202</v>
      </c>
      <c r="H629" s="78" t="b">
        <v>0</v>
      </c>
      <c r="I629" s="236"/>
      <c r="J629" s="236">
        <f>MAXIFS(Inventory!D:D, Inventory!A:A, A:A)</f>
        <v>45703</v>
      </c>
      <c r="L629" s="23">
        <f>COUNTIFS(Inventory!A:A,A629,Inventory!J:J,"Open")</f>
        <v>0</v>
      </c>
    </row>
    <row r="630">
      <c r="A630" s="233" t="s">
        <v>2814</v>
      </c>
      <c r="B630" s="23" t="str">
        <f>Publishers!A52</f>
        <v>CI Games</v>
      </c>
      <c r="C630" s="78">
        <f>COUNTIF(Inventory!A:A, A630)</f>
        <v>1</v>
      </c>
      <c r="D630" s="89" t="str">
        <f>IFERROR(__xludf.DUMMYFUNCTION("IFERROR(AVERAGE(FILTER(Inventory!H:H,Inventory!J:J=""Closed"",Inventory!A:A=A630)),"""")"),"")</f>
        <v/>
      </c>
      <c r="E630" s="234" t="str">
        <f>IFERROR(__xludf.DUMMYFUNCTION("IFERROR(AVERAGE(FILTER(Inventory!G:G,Inventory!J:J=""Closed"",Inventory!A:A=A630)),""0"")"),"0")</f>
        <v>0</v>
      </c>
      <c r="F630" s="235" t="str">
        <f>IFERROR(__xludf.DUMMYFUNCTION("IFERROR(SUM(FILTER(Inventory!G:G,Inventory!J:J=""Closed"",Inventory!A:A=A630)),""0"")"),"0")</f>
        <v>0</v>
      </c>
      <c r="G630" s="235" t="str">
        <f>IFERROR(__xludf.DUMMYFUNCTION("IFERROR(AVERAGE(FILTER(Inventory!K:K,Inventory!J:J=""Closed"",Inventory!A:A=A630)),"""")"),"")</f>
        <v/>
      </c>
      <c r="H630" s="78" t="b">
        <v>0</v>
      </c>
      <c r="I630" s="236"/>
      <c r="J630" s="236">
        <f>MAXIFS(Inventory!D:D, Inventory!A:A, A:A)</f>
        <v>0</v>
      </c>
      <c r="L630" s="23">
        <f>COUNTIFS(Inventory!A:A,A630,Inventory!J:J,"Open")</f>
        <v>1</v>
      </c>
    </row>
    <row r="631">
      <c r="A631" s="237" t="s">
        <v>1119</v>
      </c>
      <c r="B631" s="23" t="str">
        <f>Publishers!A52</f>
        <v>CI Games</v>
      </c>
      <c r="C631" s="78">
        <f>COUNTIF(Inventory!A:A, A631)</f>
        <v>1</v>
      </c>
      <c r="D631" s="89">
        <f>IFERROR(__xludf.DUMMYFUNCTION("IFERROR(AVERAGE(FILTER(Inventory!H:H,Inventory!J:J=""Closed"",Inventory!A:A=A631)),"""")"),1.0)</f>
        <v>1</v>
      </c>
      <c r="E631" s="234">
        <f>IFERROR(__xludf.DUMMYFUNCTION("IFERROR(AVERAGE(FILTER(Inventory!G:G,Inventory!J:J=""Closed"",Inventory!A:A=A631)),""0"")"),0.7)</f>
        <v>0.7</v>
      </c>
      <c r="F631" s="235">
        <f>IFERROR(__xludf.DUMMYFUNCTION("IFERROR(SUM(FILTER(Inventory!G:G,Inventory!J:J=""Closed"",Inventory!A:A=A631)),""0"")"),0.7)</f>
        <v>0.7</v>
      </c>
      <c r="G631" s="235">
        <f>IFERROR(__xludf.DUMMYFUNCTION("IFERROR(AVERAGE(FILTER(Inventory!K:K,Inventory!J:J=""Closed"",Inventory!A:A=A631)),"""")"),21.0)</f>
        <v>21</v>
      </c>
      <c r="H631" s="23" t="b">
        <v>0</v>
      </c>
      <c r="I631" s="236"/>
      <c r="J631" s="236">
        <f>MAXIFS(Inventory!D:D, Inventory!A:A, A:A)</f>
        <v>44349</v>
      </c>
      <c r="L631" s="23">
        <f>COUNTIFS(Inventory!A:A,A631,Inventory!J:J,"Open")</f>
        <v>0</v>
      </c>
    </row>
    <row r="632">
      <c r="A632" s="233" t="s">
        <v>4266</v>
      </c>
      <c r="B632" s="23" t="str">
        <f>Publishers!A264</f>
        <v>THQ Nordic</v>
      </c>
      <c r="C632" s="78">
        <f>COUNTIF(Inventory!A:A, A632)</f>
        <v>2</v>
      </c>
      <c r="D632" s="89" t="str">
        <f>IFERROR(__xludf.DUMMYFUNCTION("IFERROR(AVERAGE(FILTER(Inventory!H:H,Inventory!J:J=""Closed"",Inventory!A:A=A632)),"""")"),"")</f>
        <v/>
      </c>
      <c r="E632" s="234" t="str">
        <f>IFERROR(__xludf.DUMMYFUNCTION("IFERROR(AVERAGE(FILTER(Inventory!G:G,Inventory!J:J=""Closed"",Inventory!A:A=A632)),""0"")"),"0")</f>
        <v>0</v>
      </c>
      <c r="F632" s="235" t="str">
        <f>IFERROR(__xludf.DUMMYFUNCTION("IFERROR(SUM(FILTER(Inventory!G:G,Inventory!J:J=""Closed"",Inventory!A:A=A632)),""0"")"),"0")</f>
        <v>0</v>
      </c>
      <c r="G632" s="235" t="str">
        <f>IFERROR(__xludf.DUMMYFUNCTION("IFERROR(AVERAGE(FILTER(Inventory!K:K,Inventory!J:J=""Closed"",Inventory!A:A=A632)),"""")"),"")</f>
        <v/>
      </c>
      <c r="H632" s="23" t="b">
        <v>0</v>
      </c>
      <c r="I632" s="236"/>
      <c r="J632" s="236">
        <f>MAXIFS(Inventory!D:D, Inventory!A:A, A:A)</f>
        <v>0</v>
      </c>
      <c r="L632" s="23">
        <f>COUNTIFS(Inventory!A:A,A632,Inventory!J:J,"Open")</f>
        <v>2</v>
      </c>
    </row>
    <row r="633">
      <c r="A633" s="233" t="s">
        <v>2650</v>
      </c>
      <c r="B633" s="23" t="str">
        <f>Publishers!A251</f>
        <v>Tactical Adventures</v>
      </c>
      <c r="C633" s="78">
        <f>COUNTIF(Inventory!A:A, A633)</f>
        <v>2</v>
      </c>
      <c r="D633" s="89">
        <f>IFERROR(__xludf.DUMMYFUNCTION("IFERROR(AVERAGE(FILTER(Inventory!H:H,Inventory!J:J=""Closed"",Inventory!A:A=A633)),"""")"),0.10484891962704271)</f>
        <v>0.1048489196</v>
      </c>
      <c r="E633" s="234">
        <f>IFERROR(__xludf.DUMMYFUNCTION("IFERROR(AVERAGE(FILTER(Inventory!G:G,Inventory!J:J=""Closed"",Inventory!A:A=A633)),""0"")"),1.5749999999999984)</f>
        <v>1.575</v>
      </c>
      <c r="F633" s="235">
        <f>IFERROR(__xludf.DUMMYFUNCTION("IFERROR(SUM(FILTER(Inventory!G:G,Inventory!J:J=""Closed"",Inventory!A:A=A633)),""0"")"),3.149999999999997)</f>
        <v>3.15</v>
      </c>
      <c r="G633" s="235">
        <f>IFERROR(__xludf.DUMMYFUNCTION("IFERROR(AVERAGE(FILTER(Inventory!K:K,Inventory!J:J=""Closed"",Inventory!A:A=A633)),"""")"),398.0)</f>
        <v>398</v>
      </c>
      <c r="H633" s="23" t="b">
        <v>0</v>
      </c>
      <c r="I633" s="236"/>
      <c r="J633" s="236">
        <f>MAXIFS(Inventory!D:D, Inventory!A:A, A:A)</f>
        <v>45714</v>
      </c>
      <c r="L633" s="23">
        <f>COUNTIFS(Inventory!A:A,A633,Inventory!J:J,"Open")</f>
        <v>0</v>
      </c>
    </row>
    <row r="634">
      <c r="A634" s="233" t="s">
        <v>3933</v>
      </c>
      <c r="B634" s="23" t="str">
        <f>Publishers!A49</f>
        <v>Coffee Stain</v>
      </c>
      <c r="C634" s="78">
        <f>COUNTIF(Inventory!A:A, A634)</f>
        <v>1</v>
      </c>
      <c r="D634" s="89">
        <f>IFERROR(__xludf.DUMMYFUNCTION("IFERROR(AVERAGE(FILTER(Inventory!H:H,Inventory!J:J=""Closed"",Inventory!A:A=A634)),"""")"),0.09948834565093803)</f>
        <v>0.09948834565</v>
      </c>
      <c r="E634" s="234">
        <f>IFERROR(__xludf.DUMMYFUNCTION("IFERROR(AVERAGE(FILTER(Inventory!G:G,Inventory!J:J=""Closed"",Inventory!A:A=A634)),""0"")"),1.75)</f>
        <v>1.75</v>
      </c>
      <c r="F634" s="235">
        <f>IFERROR(__xludf.DUMMYFUNCTION("IFERROR(SUM(FILTER(Inventory!G:G,Inventory!J:J=""Closed"",Inventory!A:A=A634)),""0"")"),1.75)</f>
        <v>1.75</v>
      </c>
      <c r="G634" s="235">
        <f>IFERROR(__xludf.DUMMYFUNCTION("IFERROR(AVERAGE(FILTER(Inventory!K:K,Inventory!J:J=""Closed"",Inventory!A:A=A634)),"""")"),8.0)</f>
        <v>8</v>
      </c>
      <c r="H634" s="23" t="b">
        <v>0</v>
      </c>
      <c r="I634" s="78">
        <v>21.83</v>
      </c>
      <c r="J634" s="236">
        <f>MAXIFS(Inventory!D:D, Inventory!A:A, A:A)</f>
        <v>45045</v>
      </c>
      <c r="L634" s="23">
        <f>COUNTIFS(Inventory!A:A,A634,Inventory!J:J,"Open")</f>
        <v>0</v>
      </c>
    </row>
    <row r="635">
      <c r="A635" s="233" t="s">
        <v>4382</v>
      </c>
      <c r="B635" s="23" t="str">
        <f>Publishers!A222</f>
        <v>SEGA</v>
      </c>
      <c r="C635" s="78">
        <f>COUNTIF(Inventory!A:A, A635)</f>
        <v>1</v>
      </c>
      <c r="D635" s="89">
        <f>IFERROR(__xludf.DUMMYFUNCTION("IFERROR(AVERAGE(FILTER(Inventory!H:H,Inventory!J:J=""Closed"",Inventory!A:A=A635)),"""")"),-0.02309782608695651)</f>
        <v>-0.02309782609</v>
      </c>
      <c r="E635" s="234">
        <f>IFERROR(__xludf.DUMMYFUNCTION("IFERROR(AVERAGE(FILTER(Inventory!G:G,Inventory!J:J=""Closed"",Inventory!A:A=A635)),""0"")"),-0.33999999999999986)</f>
        <v>-0.34</v>
      </c>
      <c r="F635" s="235">
        <f>IFERROR(__xludf.DUMMYFUNCTION("IFERROR(SUM(FILTER(Inventory!G:G,Inventory!J:J=""Closed"",Inventory!A:A=A635)),""0"")"),-0.33999999999999986)</f>
        <v>-0.34</v>
      </c>
      <c r="G635" s="235">
        <f>IFERROR(__xludf.DUMMYFUNCTION("IFERROR(AVERAGE(FILTER(Inventory!K:K,Inventory!J:J=""Closed"",Inventory!A:A=A635)),"""")"),544.0)</f>
        <v>544</v>
      </c>
      <c r="H635" s="23" t="b">
        <v>0</v>
      </c>
      <c r="I635" s="236"/>
      <c r="J635" s="236">
        <f>MAXIFS(Inventory!D:D, Inventory!A:A, A:A)</f>
        <v>45662</v>
      </c>
      <c r="L635" s="23">
        <f>COUNTIFS(Inventory!A:A,A635,Inventory!J:J,"Open")</f>
        <v>0</v>
      </c>
    </row>
    <row r="636">
      <c r="A636" s="233" t="s">
        <v>3409</v>
      </c>
      <c r="B636" s="23" t="str">
        <f>Publishers!A222</f>
        <v>SEGA</v>
      </c>
      <c r="C636" s="78">
        <f>COUNTIF(Inventory!A:A, A636)</f>
        <v>1</v>
      </c>
      <c r="D636" s="89">
        <f>IFERROR(__xludf.DUMMYFUNCTION("IFERROR(AVERAGE(FILTER(Inventory!H:H,Inventory!J:J=""Closed"",Inventory!A:A=A636)),"""")"),0.11591836734693872)</f>
        <v>0.1159183673</v>
      </c>
      <c r="E636" s="234">
        <f>IFERROR(__xludf.DUMMYFUNCTION("IFERROR(AVERAGE(FILTER(Inventory!G:G,Inventory!J:J=""Closed"",Inventory!A:A=A636)),""0"")"),4.259999999999998)</f>
        <v>4.26</v>
      </c>
      <c r="F636" s="235">
        <f>IFERROR(__xludf.DUMMYFUNCTION("IFERROR(SUM(FILTER(Inventory!G:G,Inventory!J:J=""Closed"",Inventory!A:A=A636)),""0"")"),4.259999999999998)</f>
        <v>4.26</v>
      </c>
      <c r="G636" s="235">
        <f>IFERROR(__xludf.DUMMYFUNCTION("IFERROR(AVERAGE(FILTER(Inventory!K:K,Inventory!J:J=""Closed"",Inventory!A:A=A636)),"""")"),390.0)</f>
        <v>390</v>
      </c>
      <c r="H636" s="23" t="b">
        <v>0</v>
      </c>
      <c r="I636" s="236"/>
      <c r="J636" s="236">
        <f>MAXIFS(Inventory!D:D, Inventory!A:A, A:A)</f>
        <v>45354</v>
      </c>
      <c r="L636" s="23">
        <f>COUNTIFS(Inventory!A:A,A636,Inventory!J:J,"Open")</f>
        <v>0</v>
      </c>
    </row>
    <row r="637">
      <c r="A637" s="237" t="s">
        <v>1338</v>
      </c>
      <c r="B637" s="23" t="str">
        <f>Publishers!A222</f>
        <v>SEGA</v>
      </c>
      <c r="C637" s="78">
        <f>COUNTIF(Inventory!A:A, A637)</f>
        <v>35</v>
      </c>
      <c r="D637" s="89">
        <f>IFERROR(__xludf.DUMMYFUNCTION("IFERROR(AVERAGE(FILTER(Inventory!H:H,Inventory!J:J=""Closed"",Inventory!A:A=A637)),"""")"),0.18392267254976163)</f>
        <v>0.1839226725</v>
      </c>
      <c r="E637" s="234">
        <f>IFERROR(__xludf.DUMMYFUNCTION("IFERROR(AVERAGE(FILTER(Inventory!G:G,Inventory!J:J=""Closed"",Inventory!A:A=A637)),""0"")"),1.245142857142857)</f>
        <v>1.245142857</v>
      </c>
      <c r="F637" s="235">
        <f>IFERROR(__xludf.DUMMYFUNCTION("IFERROR(SUM(FILTER(Inventory!G:G,Inventory!J:J=""Closed"",Inventory!A:A=A637)),""0"")"),43.58)</f>
        <v>43.58</v>
      </c>
      <c r="G637" s="235">
        <f>IFERROR(__xludf.DUMMYFUNCTION("IFERROR(AVERAGE(FILTER(Inventory!K:K,Inventory!J:J=""Closed"",Inventory!A:A=A637)),"""")"),12.8)</f>
        <v>12.8</v>
      </c>
      <c r="H637" s="23" t="b">
        <v>0</v>
      </c>
      <c r="I637" s="236"/>
      <c r="J637" s="236">
        <f>MAXIFS(Inventory!D:D, Inventory!A:A, A:A)</f>
        <v>45421</v>
      </c>
      <c r="L637" s="23">
        <f>COUNTIFS(Inventory!A:A,A637,Inventory!J:J,"Open")</f>
        <v>0</v>
      </c>
    </row>
    <row r="638">
      <c r="A638" s="237" t="s">
        <v>773</v>
      </c>
      <c r="B638" s="23" t="str">
        <f>Publishers!A99</f>
        <v>Focus Home Interactive</v>
      </c>
      <c r="C638" s="78">
        <f>COUNTIF(Inventory!A:A, A638)</f>
        <v>12</v>
      </c>
      <c r="D638" s="89">
        <f>IFERROR(__xludf.DUMMYFUNCTION("IFERROR(AVERAGE(FILTER(Inventory!H:H,Inventory!J:J=""Closed"",Inventory!A:A=A638)),"""")"),0.20909010361183092)</f>
        <v>0.2090901036</v>
      </c>
      <c r="E638" s="234">
        <f>IFERROR(__xludf.DUMMYFUNCTION("IFERROR(AVERAGE(FILTER(Inventory!G:G,Inventory!J:J=""Closed"",Inventory!A:A=A638)),""0"")"),1.5766666666666664)</f>
        <v>1.576666667</v>
      </c>
      <c r="F638" s="235">
        <f>IFERROR(__xludf.DUMMYFUNCTION("IFERROR(SUM(FILTER(Inventory!G:G,Inventory!J:J=""Closed"",Inventory!A:A=A638)),""0"")"),18.919999999999998)</f>
        <v>18.92</v>
      </c>
      <c r="G638" s="235">
        <f>IFERROR(__xludf.DUMMYFUNCTION("IFERROR(AVERAGE(FILTER(Inventory!K:K,Inventory!J:J=""Closed"",Inventory!A:A=A638)),"""")"),8.916666666666666)</f>
        <v>8.916666667</v>
      </c>
      <c r="H638" s="23" t="b">
        <v>0</v>
      </c>
      <c r="I638" s="236"/>
      <c r="J638" s="236">
        <f>MAXIFS(Inventory!D:D, Inventory!A:A, A:A)</f>
        <v>44684</v>
      </c>
      <c r="L638" s="23">
        <f>COUNTIFS(Inventory!A:A,A638,Inventory!J:J,"Open")</f>
        <v>0</v>
      </c>
    </row>
    <row r="639">
      <c r="A639" s="237" t="s">
        <v>848</v>
      </c>
      <c r="B639" s="23" t="str">
        <f>Publishers!A5</f>
        <v>1C Entertainment</v>
      </c>
      <c r="C639" s="78">
        <f>COUNTIF(Inventory!A:A, A639)</f>
        <v>1</v>
      </c>
      <c r="D639" s="89">
        <f>IFERROR(__xludf.DUMMYFUNCTION("IFERROR(AVERAGE(FILTER(Inventory!H:H,Inventory!J:J=""Closed"",Inventory!A:A=A639)),"""")"),1.0)</f>
        <v>1</v>
      </c>
      <c r="E639" s="234">
        <f>IFERROR(__xludf.DUMMYFUNCTION("IFERROR(AVERAGE(FILTER(Inventory!G:G,Inventory!J:J=""Closed"",Inventory!A:A=A639)),""0"")"),0.76)</f>
        <v>0.76</v>
      </c>
      <c r="F639" s="235">
        <f>IFERROR(__xludf.DUMMYFUNCTION("IFERROR(SUM(FILTER(Inventory!G:G,Inventory!J:J=""Closed"",Inventory!A:A=A639)),""0"")"),0.76)</f>
        <v>0.76</v>
      </c>
      <c r="G639" s="235">
        <f>IFERROR(__xludf.DUMMYFUNCTION("IFERROR(AVERAGE(FILTER(Inventory!K:K,Inventory!J:J=""Closed"",Inventory!A:A=A639)),"""")"),51.0)</f>
        <v>51</v>
      </c>
      <c r="H639" s="23" t="b">
        <v>0</v>
      </c>
      <c r="I639" s="236"/>
      <c r="J639" s="236">
        <f>MAXIFS(Inventory!D:D, Inventory!A:A, A:A)</f>
        <v>44231</v>
      </c>
      <c r="L639" s="23">
        <f>COUNTIFS(Inventory!A:A,A639,Inventory!J:J,"Open")</f>
        <v>0</v>
      </c>
    </row>
    <row r="640">
      <c r="A640" s="233" t="s">
        <v>3370</v>
      </c>
      <c r="B640" s="23" t="str">
        <f>Publishers!A264</f>
        <v>THQ Nordic</v>
      </c>
      <c r="C640" s="78">
        <f>COUNTIF(Inventory!A:A, A640)</f>
        <v>6</v>
      </c>
      <c r="D640" s="89">
        <f>IFERROR(__xludf.DUMMYFUNCTION("IFERROR(AVERAGE(FILTER(Inventory!H:H,Inventory!J:J=""Closed"",Inventory!A:A=A640)),"""")"),0.1056617020837473)</f>
        <v>0.1056617021</v>
      </c>
      <c r="E640" s="234">
        <f>IFERROR(__xludf.DUMMYFUNCTION("IFERROR(AVERAGE(FILTER(Inventory!G:G,Inventory!J:J=""Closed"",Inventory!A:A=A640)),""0"")"),1.8250000000000004)</f>
        <v>1.825</v>
      </c>
      <c r="F640" s="235">
        <f>IFERROR(__xludf.DUMMYFUNCTION("IFERROR(SUM(FILTER(Inventory!G:G,Inventory!J:J=""Closed"",Inventory!A:A=A640)),""0"")"),10.950000000000003)</f>
        <v>10.95</v>
      </c>
      <c r="G640" s="235">
        <f>IFERROR(__xludf.DUMMYFUNCTION("IFERROR(AVERAGE(FILTER(Inventory!K:K,Inventory!J:J=""Closed"",Inventory!A:A=A640)),"""")"),32.833333333333336)</f>
        <v>32.83333333</v>
      </c>
      <c r="H640" s="23" t="b">
        <v>0</v>
      </c>
      <c r="I640" s="236"/>
      <c r="J640" s="236">
        <f>MAXIFS(Inventory!D:D, Inventory!A:A, A:A)</f>
        <v>45471</v>
      </c>
      <c r="L640" s="23">
        <f>COUNTIFS(Inventory!A:A,A640,Inventory!J:J,"Open")</f>
        <v>0</v>
      </c>
    </row>
    <row r="641">
      <c r="A641" s="237" t="s">
        <v>1193</v>
      </c>
      <c r="B641" s="23" t="str">
        <f>Publishers!A13</f>
        <v>Aksys Games</v>
      </c>
      <c r="C641" s="78">
        <f>COUNTIF(Inventory!A:A, A641)</f>
        <v>2</v>
      </c>
      <c r="D641" s="89">
        <f>IFERROR(__xludf.DUMMYFUNCTION("IFERROR(AVERAGE(FILTER(Inventory!H:H,Inventory!J:J=""Closed"",Inventory!A:A=A641)),"""")"),0.7461928934010152)</f>
        <v>0.7461928934</v>
      </c>
      <c r="E641" s="234">
        <f>IFERROR(__xludf.DUMMYFUNCTION("IFERROR(AVERAGE(FILTER(Inventory!G:G,Inventory!J:J=""Closed"",Inventory!A:A=A641)),""0"")"),1.47)</f>
        <v>1.47</v>
      </c>
      <c r="F641" s="235">
        <f>IFERROR(__xludf.DUMMYFUNCTION("IFERROR(SUM(FILTER(Inventory!G:G,Inventory!J:J=""Closed"",Inventory!A:A=A641)),""0"")"),2.94)</f>
        <v>2.94</v>
      </c>
      <c r="G641" s="235">
        <f>IFERROR(__xludf.DUMMYFUNCTION("IFERROR(AVERAGE(FILTER(Inventory!K:K,Inventory!J:J=""Closed"",Inventory!A:A=A641)),"""")"),17.0)</f>
        <v>17</v>
      </c>
      <c r="H641" s="23" t="b">
        <v>0</v>
      </c>
      <c r="I641" s="236"/>
      <c r="J641" s="236">
        <f>MAXIFS(Inventory!D:D, Inventory!A:A, A:A)</f>
        <v>44382</v>
      </c>
      <c r="L641" s="23">
        <f>COUNTIFS(Inventory!A:A,A641,Inventory!J:J,"Open")</f>
        <v>0</v>
      </c>
    </row>
    <row r="642">
      <c r="A642" s="233" t="s">
        <v>2472</v>
      </c>
      <c r="B642" s="23" t="str">
        <f>Publishers!A158</f>
        <v>Merge Games</v>
      </c>
      <c r="C642" s="78">
        <f>COUNTIF(Inventory!A:A, A642)</f>
        <v>5</v>
      </c>
      <c r="D642" s="89">
        <f>IFERROR(__xludf.DUMMYFUNCTION("IFERROR(AVERAGE(FILTER(Inventory!H:H,Inventory!J:J=""Closed"",Inventory!A:A=A642)),"""")"),-0.4310474668365168)</f>
        <v>-0.4310474668</v>
      </c>
      <c r="E642" s="234">
        <f>IFERROR(__xludf.DUMMYFUNCTION("IFERROR(AVERAGE(FILTER(Inventory!G:G,Inventory!J:J=""Closed"",Inventory!A:A=A642)),""0"")"),1.0260000000000002)</f>
        <v>1.026</v>
      </c>
      <c r="F642" s="235">
        <f>IFERROR(__xludf.DUMMYFUNCTION("IFERROR(SUM(FILTER(Inventory!G:G,Inventory!J:J=""Closed"",Inventory!A:A=A642)),""0"")"),5.130000000000001)</f>
        <v>5.13</v>
      </c>
      <c r="G642" s="235">
        <f>IFERROR(__xludf.DUMMYFUNCTION("IFERROR(AVERAGE(FILTER(Inventory!K:K,Inventory!J:J=""Closed"",Inventory!A:A=A642)),"""")"),223.8)</f>
        <v>223.8</v>
      </c>
      <c r="H642" s="78" t="b">
        <v>1</v>
      </c>
      <c r="I642" s="236"/>
      <c r="J642" s="236">
        <f>MAXIFS(Inventory!D:D, Inventory!A:A, A:A)</f>
        <v>45831</v>
      </c>
      <c r="L642" s="23">
        <f>COUNTIFS(Inventory!A:A,A642,Inventory!J:J,"Open")</f>
        <v>0</v>
      </c>
    </row>
    <row r="643">
      <c r="A643" s="233" t="s">
        <v>5100</v>
      </c>
      <c r="B643" s="23" t="str">
        <f>Publishers!A10</f>
        <v>Activision</v>
      </c>
      <c r="C643" s="78">
        <f>COUNTIF(Inventory!A:A, A643)</f>
        <v>8</v>
      </c>
      <c r="D643" s="89">
        <f>IFERROR(__xludf.DUMMYFUNCTION("IFERROR(AVERAGE(FILTER(Inventory!H:H,Inventory!J:J=""Closed"",Inventory!A:A=A643)),"""")"),0.13402467973840454)</f>
        <v>0.1340246797</v>
      </c>
      <c r="E643" s="234">
        <f>IFERROR(__xludf.DUMMYFUNCTION("IFERROR(AVERAGE(FILTER(Inventory!G:G,Inventory!J:J=""Closed"",Inventory!A:A=A643)),""0"")"),3.222500000000001)</f>
        <v>3.2225</v>
      </c>
      <c r="F643" s="235">
        <f>IFERROR(__xludf.DUMMYFUNCTION("IFERROR(SUM(FILTER(Inventory!G:G,Inventory!J:J=""Closed"",Inventory!A:A=A643)),""0"")"),25.78000000000001)</f>
        <v>25.78</v>
      </c>
      <c r="G643" s="235">
        <f>IFERROR(__xludf.DUMMYFUNCTION("IFERROR(AVERAGE(FILTER(Inventory!K:K,Inventory!J:J=""Closed"",Inventory!A:A=A643)),"""")"),30.25)</f>
        <v>30.25</v>
      </c>
      <c r="H643" s="78" t="b">
        <v>0</v>
      </c>
      <c r="I643" s="236"/>
      <c r="J643" s="236">
        <f>MAXIFS(Inventory!D:D, Inventory!A:A, A:A)</f>
        <v>46007</v>
      </c>
      <c r="L643" s="23">
        <f>COUNTIFS(Inventory!A:A,A643,Inventory!J:J,"Open")</f>
        <v>0</v>
      </c>
    </row>
    <row r="644">
      <c r="A644" s="233" t="s">
        <v>5084</v>
      </c>
      <c r="B644" s="23" t="str">
        <f>Publishers!A181</f>
        <v>Offworld Industries</v>
      </c>
      <c r="C644" s="78">
        <f>COUNTIF(Inventory!A:A, A644)</f>
        <v>2</v>
      </c>
      <c r="D644" s="89">
        <f>IFERROR(__xludf.DUMMYFUNCTION("IFERROR(AVERAGE(FILTER(Inventory!H:H,Inventory!J:J=""Closed"",Inventory!A:A=A644)),"""")"),0.05552501374381537)</f>
        <v>0.05552501374</v>
      </c>
      <c r="E644" s="234">
        <f>IFERROR(__xludf.DUMMYFUNCTION("IFERROR(AVERAGE(FILTER(Inventory!G:G,Inventory!J:J=""Closed"",Inventory!A:A=A644)),""0"")"),1.0100000000000016)</f>
        <v>1.01</v>
      </c>
      <c r="F644" s="235">
        <f>IFERROR(__xludf.DUMMYFUNCTION("IFERROR(SUM(FILTER(Inventory!G:G,Inventory!J:J=""Closed"",Inventory!A:A=A644)),""0"")"),2.020000000000003)</f>
        <v>2.02</v>
      </c>
      <c r="G644" s="235">
        <f>IFERROR(__xludf.DUMMYFUNCTION("IFERROR(AVERAGE(FILTER(Inventory!K:K,Inventory!J:J=""Closed"",Inventory!A:A=A644)),"""")"),7.5)</f>
        <v>7.5</v>
      </c>
      <c r="H644" s="23" t="b">
        <v>0</v>
      </c>
      <c r="I644" s="236"/>
      <c r="J644" s="236">
        <f>MAXIFS(Inventory!D:D, Inventory!A:A, A:A)</f>
        <v>45203</v>
      </c>
      <c r="L644" s="23">
        <f>COUNTIFS(Inventory!A:A,A644,Inventory!J:J,"Open")</f>
        <v>0</v>
      </c>
    </row>
    <row r="645">
      <c r="A645" s="233" t="s">
        <v>6501</v>
      </c>
      <c r="B645" s="78" t="str">
        <f>Publishers!A181</f>
        <v>Offworld Industries</v>
      </c>
      <c r="C645" s="78">
        <f>COUNTIF(Inventory!A:A, A645)</f>
        <v>5</v>
      </c>
      <c r="D645" s="89">
        <f>IFERROR(__xludf.DUMMYFUNCTION("IFERROR(AVERAGE(FILTER(Inventory!H:H,Inventory!J:J=""Closed"",Inventory!A:A=A645)),"""")"),0.2178216690710834)</f>
        <v>0.2178216691</v>
      </c>
      <c r="E645" s="234">
        <f>IFERROR(__xludf.DUMMYFUNCTION("IFERROR(AVERAGE(FILTER(Inventory!G:G,Inventory!J:J=""Closed"",Inventory!A:A=A645)),""0"")"),2.2475000000000005)</f>
        <v>2.2475</v>
      </c>
      <c r="F645" s="235">
        <f>IFERROR(__xludf.DUMMYFUNCTION("IFERROR(SUM(FILTER(Inventory!G:G,Inventory!J:J=""Closed"",Inventory!A:A=A645)),""0"")"),8.990000000000002)</f>
        <v>8.99</v>
      </c>
      <c r="G645" s="235">
        <f>IFERROR(__xludf.DUMMYFUNCTION("IFERROR(AVERAGE(FILTER(Inventory!K:K,Inventory!J:J=""Closed"",Inventory!A:A=A645)),"""")"),5.75)</f>
        <v>5.75</v>
      </c>
      <c r="H645" s="23" t="b">
        <v>0</v>
      </c>
      <c r="I645" s="236"/>
      <c r="J645" s="236">
        <f>MAXIFS(Inventory!D:D, Inventory!A:A, A:A)</f>
        <v>45627</v>
      </c>
      <c r="L645" s="23">
        <f>COUNTIFS(Inventory!A:A,A645,Inventory!J:J,"Open")</f>
        <v>1</v>
      </c>
    </row>
    <row r="646">
      <c r="A646" s="233" t="s">
        <v>7290</v>
      </c>
      <c r="B646" s="23" t="str">
        <f>Publishers!A157</f>
        <v>Maximum Entertainment</v>
      </c>
      <c r="C646" s="78">
        <f>COUNTIF(Inventory!A:A, A646)</f>
        <v>21</v>
      </c>
      <c r="D646" s="89">
        <f>IFERROR(__xludf.DUMMYFUNCTION("IFERROR(AVERAGE(FILTER(Inventory!H:H,Inventory!J:J=""Closed"",Inventory!A:A=A646)),"""")"),0.1905859206945371)</f>
        <v>0.1905859207</v>
      </c>
      <c r="E646" s="234">
        <f>IFERROR(__xludf.DUMMYFUNCTION("IFERROR(AVERAGE(FILTER(Inventory!G:G,Inventory!J:J=""Closed"",Inventory!A:A=A646)),""0"")"),2.6276470588235306)</f>
        <v>2.627647059</v>
      </c>
      <c r="F646" s="235">
        <f>IFERROR(__xludf.DUMMYFUNCTION("IFERROR(SUM(FILTER(Inventory!G:G,Inventory!J:J=""Closed"",Inventory!A:A=A646)),""0"")"),44.670000000000016)</f>
        <v>44.67</v>
      </c>
      <c r="G646" s="235">
        <f>IFERROR(__xludf.DUMMYFUNCTION("IFERROR(AVERAGE(FILTER(Inventory!K:K,Inventory!J:J=""Closed"",Inventory!A:A=A646)),"""")"),2.2941176470588234)</f>
        <v>2.294117647</v>
      </c>
      <c r="H646" s="23" t="b">
        <v>0</v>
      </c>
      <c r="I646" s="236"/>
      <c r="J646" s="236">
        <f>MAXIFS(Inventory!D:D, Inventory!A:A, A:A)</f>
        <v>45543</v>
      </c>
      <c r="L646" s="23">
        <f>COUNTIFS(Inventory!A:A,A646,Inventory!J:J,"Open")</f>
        <v>4</v>
      </c>
    </row>
    <row r="647">
      <c r="A647" s="237" t="s">
        <v>976</v>
      </c>
      <c r="B647" s="23" t="str">
        <f>Publishers!A56</f>
        <v>Codalyn</v>
      </c>
      <c r="C647" s="78">
        <f>COUNTIF(Inventory!A:A, A647)</f>
        <v>1</v>
      </c>
      <c r="D647" s="89">
        <f>IFERROR(__xludf.DUMMYFUNCTION("IFERROR(AVERAGE(FILTER(Inventory!H:H,Inventory!J:J=""Closed"",Inventory!A:A=A647)),"""")"),1.0)</f>
        <v>1</v>
      </c>
      <c r="E647" s="234">
        <f>IFERROR(__xludf.DUMMYFUNCTION("IFERROR(AVERAGE(FILTER(Inventory!G:G,Inventory!J:J=""Closed"",Inventory!A:A=A647)),""0"")"),0.44)</f>
        <v>0.44</v>
      </c>
      <c r="F647" s="235">
        <f>IFERROR(__xludf.DUMMYFUNCTION("IFERROR(SUM(FILTER(Inventory!G:G,Inventory!J:J=""Closed"",Inventory!A:A=A647)),""0"")"),0.44)</f>
        <v>0.44</v>
      </c>
      <c r="G647" s="235">
        <f>IFERROR(__xludf.DUMMYFUNCTION("IFERROR(AVERAGE(FILTER(Inventory!K:K,Inventory!J:J=""Closed"",Inventory!A:A=A647)),"""")"),125.0)</f>
        <v>125</v>
      </c>
      <c r="H647" s="23" t="b">
        <v>0</v>
      </c>
      <c r="I647" s="236"/>
      <c r="J647" s="236">
        <f>MAXIFS(Inventory!D:D, Inventory!A:A, A:A)</f>
        <v>44399</v>
      </c>
      <c r="L647" s="23">
        <f>COUNTIFS(Inventory!A:A,A647,Inventory!J:J,"Open")</f>
        <v>0</v>
      </c>
    </row>
    <row r="648">
      <c r="A648" s="237" t="s">
        <v>1828</v>
      </c>
      <c r="B648" s="23" t="str">
        <f>Publishers!A202</f>
        <v>Raw Fury</v>
      </c>
      <c r="C648" s="78">
        <f>COUNTIF(Inventory!A:A, A648)</f>
        <v>1</v>
      </c>
      <c r="D648" s="89">
        <f>IFERROR(__xludf.DUMMYFUNCTION("IFERROR(AVERAGE(FILTER(Inventory!H:H,Inventory!J:J=""Closed"",Inventory!A:A=A648)),"""")"),0.04315886134067958)</f>
        <v>0.04315886134</v>
      </c>
      <c r="E648" s="234">
        <f>IFERROR(__xludf.DUMMYFUNCTION("IFERROR(AVERAGE(FILTER(Inventory!G:G,Inventory!J:J=""Closed"",Inventory!A:A=A648)),""0"")"),0.47000000000000064)</f>
        <v>0.47</v>
      </c>
      <c r="F648" s="235">
        <f>IFERROR(__xludf.DUMMYFUNCTION("IFERROR(SUM(FILTER(Inventory!G:G,Inventory!J:J=""Closed"",Inventory!A:A=A648)),""0"")"),0.47000000000000064)</f>
        <v>0.47</v>
      </c>
      <c r="G648" s="235">
        <f>IFERROR(__xludf.DUMMYFUNCTION("IFERROR(AVERAGE(FILTER(Inventory!K:K,Inventory!J:J=""Closed"",Inventory!A:A=A648)),"""")"),135.0)</f>
        <v>135</v>
      </c>
      <c r="H648" s="23" t="b">
        <v>0</v>
      </c>
      <c r="I648" s="236"/>
      <c r="J648" s="236">
        <f>MAXIFS(Inventory!D:D, Inventory!A:A, A:A)</f>
        <v>44697</v>
      </c>
      <c r="L648" s="23">
        <f>COUNTIFS(Inventory!A:A,A648,Inventory!J:J,"Open")</f>
        <v>0</v>
      </c>
    </row>
    <row r="649">
      <c r="A649" s="237" t="s">
        <v>797</v>
      </c>
      <c r="B649" s="23" t="str">
        <f>Publishers!A150</f>
        <v>LucasArts</v>
      </c>
      <c r="C649" s="78">
        <f>COUNTIF(Inventory!A:A, A649)</f>
        <v>1</v>
      </c>
      <c r="D649" s="89">
        <f>IFERROR(__xludf.DUMMYFUNCTION("IFERROR(AVERAGE(FILTER(Inventory!H:H,Inventory!J:J=""Closed"",Inventory!A:A=A649)),"""")"),1.0)</f>
        <v>1</v>
      </c>
      <c r="E649" s="234">
        <f>IFERROR(__xludf.DUMMYFUNCTION("IFERROR(AVERAGE(FILTER(Inventory!G:G,Inventory!J:J=""Closed"",Inventory!A:A=A649)),""0"")"),0.8)</f>
        <v>0.8</v>
      </c>
      <c r="F649" s="235">
        <f>IFERROR(__xludf.DUMMYFUNCTION("IFERROR(SUM(FILTER(Inventory!G:G,Inventory!J:J=""Closed"",Inventory!A:A=A649)),""0"")"),0.8)</f>
        <v>0.8</v>
      </c>
      <c r="G649" s="235">
        <f>IFERROR(__xludf.DUMMYFUNCTION("IFERROR(AVERAGE(FILTER(Inventory!K:K,Inventory!J:J=""Closed"",Inventory!A:A=A649)),"""")"),13.0)</f>
        <v>13</v>
      </c>
      <c r="H649" s="23" t="b">
        <v>0</v>
      </c>
      <c r="I649" s="236"/>
      <c r="J649" s="236">
        <f>MAXIFS(Inventory!D:D, Inventory!A:A, A:A)</f>
        <v>44175</v>
      </c>
      <c r="L649" s="23">
        <f>COUNTIFS(Inventory!A:A,A649,Inventory!J:J,"Open")</f>
        <v>0</v>
      </c>
    </row>
    <row r="650">
      <c r="A650" s="237" t="s">
        <v>775</v>
      </c>
      <c r="B650" s="23" t="str">
        <f>Publishers!A150</f>
        <v>LucasArts</v>
      </c>
      <c r="C650" s="78">
        <f>COUNTIF(Inventory!A:A, A650)</f>
        <v>1</v>
      </c>
      <c r="D650" s="89">
        <f>IFERROR(__xludf.DUMMYFUNCTION("IFERROR(AVERAGE(FILTER(Inventory!H:H,Inventory!J:J=""Closed"",Inventory!A:A=A650)),"""")"),1.0)</f>
        <v>1</v>
      </c>
      <c r="E650" s="234">
        <f>IFERROR(__xludf.DUMMYFUNCTION("IFERROR(AVERAGE(FILTER(Inventory!G:G,Inventory!J:J=""Closed"",Inventory!A:A=A650)),""0"")"),0.92)</f>
        <v>0.92</v>
      </c>
      <c r="F650" s="235">
        <f>IFERROR(__xludf.DUMMYFUNCTION("IFERROR(SUM(FILTER(Inventory!G:G,Inventory!J:J=""Closed"",Inventory!A:A=A650)),""0"")"),0.92)</f>
        <v>0.92</v>
      </c>
      <c r="G650" s="235">
        <f>IFERROR(__xludf.DUMMYFUNCTION("IFERROR(AVERAGE(FILTER(Inventory!K:K,Inventory!J:J=""Closed"",Inventory!A:A=A650)),"""")"),7.0)</f>
        <v>7</v>
      </c>
      <c r="H650" s="23" t="b">
        <v>0</v>
      </c>
      <c r="I650" s="236"/>
      <c r="J650" s="236">
        <f>MAXIFS(Inventory!D:D, Inventory!A:A, A:A)</f>
        <v>44164</v>
      </c>
      <c r="L650" s="23">
        <f>COUNTIFS(Inventory!A:A,A650,Inventory!J:J,"Open")</f>
        <v>0</v>
      </c>
    </row>
    <row r="651">
      <c r="A651" s="233" t="s">
        <v>5676</v>
      </c>
      <c r="B651" s="23" t="str">
        <f>Publishers!A34</f>
        <v>Bethesda Softworks</v>
      </c>
      <c r="C651" s="78">
        <f>COUNTIF(Inventory!A:A, A651)</f>
        <v>125</v>
      </c>
      <c r="D651" s="89">
        <f>IFERROR(__xludf.DUMMYFUNCTION("IFERROR(AVERAGE(FILTER(Inventory!H:H,Inventory!J:J=""Closed"",Inventory!A:A=A651)),"""")"),0.14408572191211613)</f>
        <v>0.1440857219</v>
      </c>
      <c r="E651" s="234">
        <f>IFERROR(__xludf.DUMMYFUNCTION("IFERROR(AVERAGE(FILTER(Inventory!G:G,Inventory!J:J=""Closed"",Inventory!A:A=A651)),""0"")"),6.277580645161289)</f>
        <v>6.277580645</v>
      </c>
      <c r="F651" s="235">
        <f>IFERROR(__xludf.DUMMYFUNCTION("IFERROR(SUM(FILTER(Inventory!G:G,Inventory!J:J=""Closed"",Inventory!A:A=A651)),""0"")"),778.4199999999998)</f>
        <v>778.42</v>
      </c>
      <c r="G651" s="235">
        <f>IFERROR(__xludf.DUMMYFUNCTION("IFERROR(AVERAGE(FILTER(Inventory!K:K,Inventory!J:J=""Closed"",Inventory!A:A=A651)),"""")"),4.5)</f>
        <v>4.5</v>
      </c>
      <c r="H651" s="23" t="b">
        <v>0</v>
      </c>
      <c r="I651" s="78">
        <v>46.77</v>
      </c>
      <c r="J651" s="236">
        <f>MAXIFS(Inventory!D:D, Inventory!A:A, A:A)</f>
        <v>46120</v>
      </c>
      <c r="K651" s="23" t="str">
        <f t="shared" ref="K651:K652" si="3">IMAGE("https://shared.akamai.steamstatic.com/store_item_assets/steam/apps/1716740/header.jpg?t=1727384525")</f>
        <v/>
      </c>
      <c r="L651" s="23">
        <f>COUNTIFS(Inventory!A:A,A651,Inventory!J:J,"Open")</f>
        <v>1</v>
      </c>
    </row>
    <row r="652">
      <c r="A652" s="233" t="s">
        <v>6006</v>
      </c>
      <c r="B652" s="23" t="str">
        <f>Publishers!A34</f>
        <v>Bethesda Softworks</v>
      </c>
      <c r="C652" s="78">
        <f>COUNTIF(Inventory!A:A, A652)</f>
        <v>20</v>
      </c>
      <c r="D652" s="89">
        <f>IFERROR(__xludf.DUMMYFUNCTION("IFERROR(AVERAGE(FILTER(Inventory!H:H,Inventory!J:J=""Closed"",Inventory!A:A=A652)),"""")"),0.12150637742943657)</f>
        <v>0.1215063774</v>
      </c>
      <c r="E652" s="234">
        <f>IFERROR(__xludf.DUMMYFUNCTION("IFERROR(AVERAGE(FILTER(Inventory!G:G,Inventory!J:J=""Closed"",Inventory!A:A=A652)),""0"")"),5.0175)</f>
        <v>5.0175</v>
      </c>
      <c r="F652" s="235">
        <f>IFERROR(__xludf.DUMMYFUNCTION("IFERROR(SUM(FILTER(Inventory!G:G,Inventory!J:J=""Closed"",Inventory!A:A=A652)),""0"")"),100.35)</f>
        <v>100.35</v>
      </c>
      <c r="G652" s="235">
        <f>IFERROR(__xludf.DUMMYFUNCTION("IFERROR(AVERAGE(FILTER(Inventory!K:K,Inventory!J:J=""Closed"",Inventory!A:A=A652)),"""")"),1.65)</f>
        <v>1.65</v>
      </c>
      <c r="H652" s="23" t="b">
        <v>0</v>
      </c>
      <c r="I652" s="78"/>
      <c r="J652" s="236">
        <f>MAXIFS(Inventory!D:D, Inventory!A:A, A:A)</f>
        <v>45782</v>
      </c>
      <c r="K652" s="23" t="str">
        <f t="shared" si="3"/>
        <v/>
      </c>
      <c r="L652" s="23">
        <f>COUNTIFS(Inventory!A:A,A652,Inventory!J:J,"Open")</f>
        <v>0</v>
      </c>
    </row>
    <row r="653">
      <c r="A653" s="237" t="s">
        <v>133</v>
      </c>
      <c r="B653" s="23" t="str">
        <f>Publishers!A205</f>
        <v>Reverie World Studios</v>
      </c>
      <c r="C653" s="78">
        <f>COUNTIF(Inventory!A:A, A653)</f>
        <v>2</v>
      </c>
      <c r="D653" s="89">
        <f>IFERROR(__xludf.DUMMYFUNCTION("IFERROR(AVERAGE(FILTER(Inventory!H:H,Inventory!J:J=""Closed"",Inventory!A:A=A653)),"""")"),0.22711121365943707)</f>
        <v>0.2271112137</v>
      </c>
      <c r="E653" s="234">
        <f>IFERROR(__xludf.DUMMYFUNCTION("IFERROR(AVERAGE(FILTER(Inventory!G:G,Inventory!J:J=""Closed"",Inventory!A:A=A653)),""0"")"),0.8850000000000002)</f>
        <v>0.885</v>
      </c>
      <c r="F653" s="235">
        <f>IFERROR(__xludf.DUMMYFUNCTION("IFERROR(SUM(FILTER(Inventory!G:G,Inventory!J:J=""Closed"",Inventory!A:A=A653)),""0"")"),1.7700000000000005)</f>
        <v>1.77</v>
      </c>
      <c r="G653" s="235">
        <f>IFERROR(__xludf.DUMMYFUNCTION("IFERROR(AVERAGE(FILTER(Inventory!K:K,Inventory!J:J=""Closed"",Inventory!A:A=A653)),"""")"),50.0)</f>
        <v>50</v>
      </c>
      <c r="H653" s="23" t="b">
        <v>0</v>
      </c>
      <c r="I653" s="236"/>
      <c r="J653" s="236">
        <f>MAXIFS(Inventory!D:D, Inventory!A:A, A:A)</f>
        <v>44056</v>
      </c>
      <c r="L653" s="23">
        <f>COUNTIFS(Inventory!A:A,A653,Inventory!J:J,"Open")</f>
        <v>0</v>
      </c>
    </row>
    <row r="654">
      <c r="A654" s="237" t="s">
        <v>179</v>
      </c>
      <c r="B654" s="23" t="str">
        <f>Publishers!A257</f>
        <v>THE BROTHERHOOD</v>
      </c>
      <c r="C654" s="78">
        <f>COUNTIF(Inventory!A:A, A654)</f>
        <v>3</v>
      </c>
      <c r="D654" s="89">
        <f>IFERROR(__xludf.DUMMYFUNCTION("IFERROR(AVERAGE(FILTER(Inventory!H:H,Inventory!J:J=""Closed"",Inventory!A:A=A654)),"""")"),1.0)</f>
        <v>1</v>
      </c>
      <c r="E654" s="234">
        <f>IFERROR(__xludf.DUMMYFUNCTION("IFERROR(AVERAGE(FILTER(Inventory!G:G,Inventory!J:J=""Closed"",Inventory!A:A=A654)),""0"")"),0.29333333333333333)</f>
        <v>0.2933333333</v>
      </c>
      <c r="F654" s="235">
        <f>IFERROR(__xludf.DUMMYFUNCTION("IFERROR(SUM(FILTER(Inventory!G:G,Inventory!J:J=""Closed"",Inventory!A:A=A654)),""0"")"),0.88)</f>
        <v>0.88</v>
      </c>
      <c r="G654" s="235">
        <f>IFERROR(__xludf.DUMMYFUNCTION("IFERROR(AVERAGE(FILTER(Inventory!K:K,Inventory!J:J=""Closed"",Inventory!A:A=A654)),"""")"),48.0)</f>
        <v>48</v>
      </c>
      <c r="H654" s="23" t="b">
        <v>0</v>
      </c>
      <c r="I654" s="236"/>
      <c r="J654" s="236">
        <f>MAXIFS(Inventory!D:D, Inventory!A:A, A:A)</f>
        <v>44560</v>
      </c>
      <c r="L654" s="23">
        <f>COUNTIFS(Inventory!A:A,A654,Inventory!J:J,"Open")</f>
        <v>0</v>
      </c>
    </row>
    <row r="655">
      <c r="A655" s="237" t="s">
        <v>1265</v>
      </c>
      <c r="B655" s="23" t="str">
        <f>Publishers!A125</f>
        <v>Image &amp; Form Games</v>
      </c>
      <c r="C655" s="78">
        <f>COUNTIF(Inventory!A:A, A655)</f>
        <v>5</v>
      </c>
      <c r="D655" s="89">
        <f>IFERROR(__xludf.DUMMYFUNCTION("IFERROR(AVERAGE(FILTER(Inventory!H:H,Inventory!J:J=""Closed"",Inventory!A:A=A655)),"""")"),0.16297590777694762)</f>
        <v>0.1629759078</v>
      </c>
      <c r="E655" s="234">
        <f>IFERROR(__xludf.DUMMYFUNCTION("IFERROR(AVERAGE(FILTER(Inventory!G:G,Inventory!J:J=""Closed"",Inventory!A:A=A655)),""0"")"),0.7819999999999998)</f>
        <v>0.782</v>
      </c>
      <c r="F655" s="235">
        <f>IFERROR(__xludf.DUMMYFUNCTION("IFERROR(SUM(FILTER(Inventory!G:G,Inventory!J:J=""Closed"",Inventory!A:A=A655)),""0"")"),3.9099999999999993)</f>
        <v>3.91</v>
      </c>
      <c r="G655" s="235">
        <f>IFERROR(__xludf.DUMMYFUNCTION("IFERROR(AVERAGE(FILTER(Inventory!K:K,Inventory!J:J=""Closed"",Inventory!A:A=A655)),"""")"),73.0)</f>
        <v>73</v>
      </c>
      <c r="H655" s="23" t="b">
        <v>0</v>
      </c>
      <c r="I655" s="236"/>
      <c r="J655" s="236">
        <f>MAXIFS(Inventory!D:D, Inventory!A:A, A:A)</f>
        <v>45232</v>
      </c>
      <c r="L655" s="23">
        <f>COUNTIFS(Inventory!A:A,A655,Inventory!J:J,"Open")</f>
        <v>0</v>
      </c>
    </row>
    <row r="656">
      <c r="A656" s="237" t="s">
        <v>1389</v>
      </c>
      <c r="B656" s="23" t="str">
        <f>Publishers!A87</f>
        <v>Eugen Systems</v>
      </c>
      <c r="C656" s="78">
        <f>COUNTIF(Inventory!A:A, A656)</f>
        <v>38</v>
      </c>
      <c r="D656" s="89">
        <f>IFERROR(__xludf.DUMMYFUNCTION("IFERROR(AVERAGE(FILTER(Inventory!H:H,Inventory!J:J=""Closed"",Inventory!A:A=A656)),"""")"),0.3887111898764279)</f>
        <v>0.3887111899</v>
      </c>
      <c r="E656" s="234">
        <f>IFERROR(__xludf.DUMMYFUNCTION("IFERROR(AVERAGE(FILTER(Inventory!G:G,Inventory!J:J=""Closed"",Inventory!A:A=A656)),""0"")"),6.8057894736842135)</f>
        <v>6.805789474</v>
      </c>
      <c r="F656" s="235">
        <f>IFERROR(__xludf.DUMMYFUNCTION("IFERROR(SUM(FILTER(Inventory!G:G,Inventory!J:J=""Closed"",Inventory!A:A=A656)),""0"")"),258.6200000000001)</f>
        <v>258.62</v>
      </c>
      <c r="G656" s="235">
        <f>IFERROR(__xludf.DUMMYFUNCTION("IFERROR(AVERAGE(FILTER(Inventory!K:K,Inventory!J:J=""Closed"",Inventory!A:A=A656)),"""")"),4.631578947368421)</f>
        <v>4.631578947</v>
      </c>
      <c r="H656" s="78" t="b">
        <v>1</v>
      </c>
      <c r="I656" s="236"/>
      <c r="J656" s="236">
        <f>MAXIFS(Inventory!D:D, Inventory!A:A, A:A)</f>
        <v>46144</v>
      </c>
      <c r="K656" s="23" t="str">
        <f>IMAGE("https://shared.akamai.steamstatic.com/store_item_assets/steam/apps/919640/header.jpg?t=1725481781")</f>
        <v/>
      </c>
      <c r="L656" s="23">
        <f>COUNTIFS(Inventory!A:A,A656,Inventory!J:J,"Open")</f>
        <v>0</v>
      </c>
    </row>
    <row r="657">
      <c r="A657" s="233" t="s">
        <v>4012</v>
      </c>
      <c r="B657" s="23" t="str">
        <f>Publishers!A87</f>
        <v>Eugen Systems</v>
      </c>
      <c r="C657" s="78">
        <f>COUNTIF(Inventory!A:A, A657)</f>
        <v>4</v>
      </c>
      <c r="D657" s="89">
        <f>IFERROR(__xludf.DUMMYFUNCTION("IFERROR(AVERAGE(FILTER(Inventory!H:H,Inventory!J:J=""Closed"",Inventory!A:A=A657)),"""")"),0.36051220966693953)</f>
        <v>0.3605122097</v>
      </c>
      <c r="E657" s="234">
        <f>IFERROR(__xludf.DUMMYFUNCTION("IFERROR(AVERAGE(FILTER(Inventory!G:G,Inventory!J:J=""Closed"",Inventory!A:A=A657)),""0"")"),7.3999999999999995)</f>
        <v>7.4</v>
      </c>
      <c r="F657" s="235">
        <f>IFERROR(__xludf.DUMMYFUNCTION("IFERROR(SUM(FILTER(Inventory!G:G,Inventory!J:J=""Closed"",Inventory!A:A=A657)),""0"")"),29.599999999999998)</f>
        <v>29.6</v>
      </c>
      <c r="G657" s="235">
        <f>IFERROR(__xludf.DUMMYFUNCTION("IFERROR(AVERAGE(FILTER(Inventory!K:K,Inventory!J:J=""Closed"",Inventory!A:A=A657)),"""")"),66.75)</f>
        <v>66.75</v>
      </c>
      <c r="H657" s="78" t="b">
        <v>0</v>
      </c>
      <c r="I657" s="236"/>
      <c r="J657" s="236">
        <f>MAXIFS(Inventory!D:D, Inventory!A:A, A:A)</f>
        <v>46145</v>
      </c>
      <c r="L657" s="23">
        <f>COUNTIFS(Inventory!A:A,A657,Inventory!J:J,"Open")</f>
        <v>0</v>
      </c>
    </row>
    <row r="658">
      <c r="A658" s="233" t="s">
        <v>4010</v>
      </c>
      <c r="B658" s="23" t="str">
        <f>Publishers!A87</f>
        <v>Eugen Systems</v>
      </c>
      <c r="C658" s="78">
        <f>COUNTIF(Inventory!A:A, A658)</f>
        <v>4</v>
      </c>
      <c r="D658" s="89">
        <f>IFERROR(__xludf.DUMMYFUNCTION("IFERROR(AVERAGE(FILTER(Inventory!H:H,Inventory!J:J=""Closed"",Inventory!A:A=A658)),"""")"),0.3256912148106183)</f>
        <v>0.3256912148</v>
      </c>
      <c r="E658" s="234">
        <f>IFERROR(__xludf.DUMMYFUNCTION("IFERROR(AVERAGE(FILTER(Inventory!G:G,Inventory!J:J=""Closed"",Inventory!A:A=A658)),""0"")"),8.01)</f>
        <v>8.01</v>
      </c>
      <c r="F658" s="235">
        <f>IFERROR(__xludf.DUMMYFUNCTION("IFERROR(SUM(FILTER(Inventory!G:G,Inventory!J:J=""Closed"",Inventory!A:A=A658)),""0"")"),32.04)</f>
        <v>32.04</v>
      </c>
      <c r="G658" s="235">
        <f>IFERROR(__xludf.DUMMYFUNCTION("IFERROR(AVERAGE(FILTER(Inventory!K:K,Inventory!J:J=""Closed"",Inventory!A:A=A658)),"""")"),37.5)</f>
        <v>37.5</v>
      </c>
      <c r="H658" s="78" t="b">
        <v>0</v>
      </c>
      <c r="I658" s="236"/>
      <c r="J658" s="236">
        <f>MAXIFS(Inventory!D:D, Inventory!A:A, A:A)</f>
        <v>46141</v>
      </c>
      <c r="K658" s="23" t="str">
        <f>IMAGE("https://encrypted-tbn0.gstatic.com/images?q=tbn:ANd9GcTZI-8ARY8rcnyEkpAVvRmgykZoEzRlT52L8HaqUJ8-57snMucJoIG7VR4T2IC8AmQVbL8&amp;usqp=CAU")</f>
        <v/>
      </c>
      <c r="L658" s="23">
        <f>COUNTIFS(Inventory!A:A,A658,Inventory!J:J,"Open")</f>
        <v>0</v>
      </c>
    </row>
    <row r="659">
      <c r="A659" s="237" t="s">
        <v>1406</v>
      </c>
      <c r="B659" s="23" t="str">
        <f>Publishers!A87</f>
        <v>Eugen Systems</v>
      </c>
      <c r="C659" s="78">
        <f>COUNTIF(Inventory!A:A, A659)</f>
        <v>30</v>
      </c>
      <c r="D659" s="89">
        <f>IFERROR(__xludf.DUMMYFUNCTION("IFERROR(AVERAGE(FILTER(Inventory!H:H,Inventory!J:J=""Closed"",Inventory!A:A=A659)),"""")"),0.39204943757197)</f>
        <v>0.3920494376</v>
      </c>
      <c r="E659" s="234">
        <f>IFERROR(__xludf.DUMMYFUNCTION("IFERROR(AVERAGE(FILTER(Inventory!G:G,Inventory!J:J=""Closed"",Inventory!A:A=A659)),""0"")"),12.344)</f>
        <v>12.344</v>
      </c>
      <c r="F659" s="235">
        <f>IFERROR(__xludf.DUMMYFUNCTION("IFERROR(SUM(FILTER(Inventory!G:G,Inventory!J:J=""Closed"",Inventory!A:A=A659)),""0"")"),370.32)</f>
        <v>370.32</v>
      </c>
      <c r="G659" s="235">
        <f>IFERROR(__xludf.DUMMYFUNCTION("IFERROR(AVERAGE(FILTER(Inventory!K:K,Inventory!J:J=""Closed"",Inventory!A:A=A659)),"""")"),5.766666666666667)</f>
        <v>5.766666667</v>
      </c>
      <c r="H659" s="78" t="b">
        <v>1</v>
      </c>
      <c r="I659" s="236"/>
      <c r="J659" s="236">
        <f>MAXIFS(Inventory!D:D, Inventory!A:A, A:A)</f>
        <v>46144</v>
      </c>
      <c r="K659" s="23" t="str">
        <f>IMAGE("https://gpstatic.com/acache/38/86/4/us/t620x300-86c70f8ac60260157fec0b6c850f7f35.jpg")</f>
        <v/>
      </c>
      <c r="L659" s="23">
        <f>COUNTIFS(Inventory!A:A,A659,Inventory!J:J,"Open")</f>
        <v>0</v>
      </c>
    </row>
    <row r="660">
      <c r="A660" s="237" t="s">
        <v>805</v>
      </c>
      <c r="B660" s="23" t="str">
        <f>Publishers!A188</f>
        <v>Paradox Interactive</v>
      </c>
      <c r="C660" s="78">
        <f>COUNTIF(Inventory!A:A, A660)</f>
        <v>17</v>
      </c>
      <c r="D660" s="89">
        <f>IFERROR(__xludf.DUMMYFUNCTION("IFERROR(AVERAGE(FILTER(Inventory!H:H,Inventory!J:J=""Closed"",Inventory!A:A=A660)),"""")"),0.23678371187532868)</f>
        <v>0.2367837119</v>
      </c>
      <c r="E660" s="234">
        <f>IFERROR(__xludf.DUMMYFUNCTION("IFERROR(AVERAGE(FILTER(Inventory!G:G,Inventory!J:J=""Closed"",Inventory!A:A=A660)),""0"")"),1.3682352941176474)</f>
        <v>1.368235294</v>
      </c>
      <c r="F660" s="235">
        <f>IFERROR(__xludf.DUMMYFUNCTION("IFERROR(SUM(FILTER(Inventory!G:G,Inventory!J:J=""Closed"",Inventory!A:A=A660)),""0"")"),23.260000000000005)</f>
        <v>23.26</v>
      </c>
      <c r="G660" s="235">
        <f>IFERROR(__xludf.DUMMYFUNCTION("IFERROR(AVERAGE(FILTER(Inventory!K:K,Inventory!J:J=""Closed"",Inventory!A:A=A660)),"""")"),4.0)</f>
        <v>4</v>
      </c>
      <c r="H660" s="78" t="b">
        <v>1</v>
      </c>
      <c r="I660" s="236"/>
      <c r="J660" s="236">
        <f>MAXIFS(Inventory!D:D, Inventory!A:A, A:A)</f>
        <v>45446</v>
      </c>
      <c r="L660" s="23">
        <f>COUNTIFS(Inventory!A:A,A660,Inventory!J:J,"Open")</f>
        <v>0</v>
      </c>
    </row>
    <row r="661">
      <c r="A661" s="233" t="s">
        <v>2242</v>
      </c>
      <c r="B661" s="23" t="str">
        <f>Publishers!A188</f>
        <v>Paradox Interactive</v>
      </c>
      <c r="C661" s="78">
        <f>COUNTIF(Inventory!A:A, A661)</f>
        <v>13</v>
      </c>
      <c r="D661" s="89">
        <f>IFERROR(__xludf.DUMMYFUNCTION("IFERROR(AVERAGE(FILTER(Inventory!H:H,Inventory!J:J=""Closed"",Inventory!A:A=A661)),"""")"),0.5262483052714392)</f>
        <v>0.5262483053</v>
      </c>
      <c r="E661" s="234">
        <f>IFERROR(__xludf.DUMMYFUNCTION("IFERROR(AVERAGE(FILTER(Inventory!G:G,Inventory!J:J=""Closed"",Inventory!A:A=A661)),""0"")"),7.213076923076922)</f>
        <v>7.213076923</v>
      </c>
      <c r="F661" s="235">
        <f>IFERROR(__xludf.DUMMYFUNCTION("IFERROR(SUM(FILTER(Inventory!G:G,Inventory!J:J=""Closed"",Inventory!A:A=A661)),""0"")"),93.76999999999998)</f>
        <v>93.77</v>
      </c>
      <c r="G661" s="235">
        <f>IFERROR(__xludf.DUMMYFUNCTION("IFERROR(AVERAGE(FILTER(Inventory!K:K,Inventory!J:J=""Closed"",Inventory!A:A=A661)),"""")"),35.92307692307692)</f>
        <v>35.92307692</v>
      </c>
      <c r="H661" s="78" t="b">
        <v>0</v>
      </c>
      <c r="I661" s="236"/>
      <c r="J661" s="236">
        <f>MAXIFS(Inventory!D:D, Inventory!A:A, A:A)</f>
        <v>45547</v>
      </c>
      <c r="L661" s="23">
        <f>COUNTIFS(Inventory!A:A,A661,Inventory!J:J,"Open")</f>
        <v>0</v>
      </c>
    </row>
    <row r="662">
      <c r="A662" s="233" t="s">
        <v>6022</v>
      </c>
      <c r="B662" s="23" t="str">
        <f>Publishers!A188</f>
        <v>Paradox Interactive</v>
      </c>
      <c r="C662" s="78">
        <f>COUNTIF(Inventory!A:A, A662)</f>
        <v>19</v>
      </c>
      <c r="D662" s="89">
        <f>IFERROR(__xludf.DUMMYFUNCTION("IFERROR(AVERAGE(FILTER(Inventory!H:H,Inventory!J:J=""Closed"",Inventory!A:A=A662)),"""")"),0.17539319735748313)</f>
        <v>0.1753931974</v>
      </c>
      <c r="E662" s="234">
        <f>IFERROR(__xludf.DUMMYFUNCTION("IFERROR(AVERAGE(FILTER(Inventory!G:G,Inventory!J:J=""Closed"",Inventory!A:A=A662)),""0"")"),2.053684210526315)</f>
        <v>2.053684211</v>
      </c>
      <c r="F662" s="235">
        <f>IFERROR(__xludf.DUMMYFUNCTION("IFERROR(SUM(FILTER(Inventory!G:G,Inventory!J:J=""Closed"",Inventory!A:A=A662)),""0"")"),39.01999999999999)</f>
        <v>39.02</v>
      </c>
      <c r="G662" s="235">
        <f>IFERROR(__xludf.DUMMYFUNCTION("IFERROR(AVERAGE(FILTER(Inventory!K:K,Inventory!J:J=""Closed"",Inventory!A:A=A662)),"""")"),1.263157894736842)</f>
        <v>1.263157895</v>
      </c>
      <c r="H662" s="78" t="b">
        <v>0</v>
      </c>
      <c r="I662" s="236"/>
      <c r="J662" s="236">
        <f>MAXIFS(Inventory!D:D, Inventory!A:A, A:A)</f>
        <v>45685</v>
      </c>
      <c r="L662" s="23">
        <f>COUNTIFS(Inventory!A:A,A662,Inventory!J:J,"Open")</f>
        <v>0</v>
      </c>
    </row>
    <row r="663">
      <c r="A663" s="233" t="s">
        <v>4697</v>
      </c>
      <c r="B663" s="23" t="str">
        <f>Publishers!A16</f>
        <v>Annapurna Interactive</v>
      </c>
      <c r="C663" s="78">
        <f>COUNTIF(Inventory!A:A, A663)</f>
        <v>3</v>
      </c>
      <c r="D663" s="89">
        <f>IFERROR(__xludf.DUMMYFUNCTION("IFERROR(AVERAGE(FILTER(Inventory!H:H,Inventory!J:J=""Closed"",Inventory!A:A=A663)),"""")"),0.20199765060068364)</f>
        <v>0.2019976506</v>
      </c>
      <c r="E663" s="234">
        <f>IFERROR(__xludf.DUMMYFUNCTION("IFERROR(AVERAGE(FILTER(Inventory!G:G,Inventory!J:J=""Closed"",Inventory!A:A=A663)),""0"")"),2.38)</f>
        <v>2.38</v>
      </c>
      <c r="F663" s="235">
        <f>IFERROR(__xludf.DUMMYFUNCTION("IFERROR(SUM(FILTER(Inventory!G:G,Inventory!J:J=""Closed"",Inventory!A:A=A663)),""0"")"),4.76)</f>
        <v>4.76</v>
      </c>
      <c r="G663" s="235">
        <f>IFERROR(__xludf.DUMMYFUNCTION("IFERROR(AVERAGE(FILTER(Inventory!K:K,Inventory!J:J=""Closed"",Inventory!A:A=A663)),"""")"),10.5)</f>
        <v>10.5</v>
      </c>
      <c r="H663" s="78" t="b">
        <v>0</v>
      </c>
      <c r="I663" s="236"/>
      <c r="J663" s="236">
        <f>MAXIFS(Inventory!D:D, Inventory!A:A, A:A)</f>
        <v>45172</v>
      </c>
      <c r="L663" s="23">
        <f>COUNTIFS(Inventory!A:A,A663,Inventory!J:J,"Open")</f>
        <v>1</v>
      </c>
    </row>
    <row r="664">
      <c r="A664" s="237" t="s">
        <v>881</v>
      </c>
      <c r="B664" s="23" t="str">
        <f>Publishers!A203</f>
        <v>Rebellion</v>
      </c>
      <c r="C664" s="78">
        <f>COUNTIF(Inventory!A:A, A664)</f>
        <v>2</v>
      </c>
      <c r="D664" s="89">
        <f>IFERROR(__xludf.DUMMYFUNCTION("IFERROR(AVERAGE(FILTER(Inventory!H:H,Inventory!J:J=""Closed"",Inventory!A:A=A664)),"""")"),0.24885159113161326)</f>
        <v>0.2488515911</v>
      </c>
      <c r="E664" s="234">
        <f>IFERROR(__xludf.DUMMYFUNCTION("IFERROR(AVERAGE(FILTER(Inventory!G:G,Inventory!J:J=""Closed"",Inventory!A:A=A664)),""0"")"),3.795)</f>
        <v>3.795</v>
      </c>
      <c r="F664" s="235">
        <f>IFERROR(__xludf.DUMMYFUNCTION("IFERROR(SUM(FILTER(Inventory!G:G,Inventory!J:J=""Closed"",Inventory!A:A=A664)),""0"")"),7.59)</f>
        <v>7.59</v>
      </c>
      <c r="G664" s="235">
        <f>IFERROR(__xludf.DUMMYFUNCTION("IFERROR(AVERAGE(FILTER(Inventory!K:K,Inventory!J:J=""Closed"",Inventory!A:A=A664)),"""")"),6.5)</f>
        <v>6.5</v>
      </c>
      <c r="H664" s="23" t="b">
        <v>0</v>
      </c>
      <c r="I664" s="236"/>
      <c r="J664" s="236">
        <f>MAXIFS(Inventory!D:D, Inventory!A:A, A:A)</f>
        <v>44201</v>
      </c>
      <c r="L664" s="23">
        <f>COUNTIFS(Inventory!A:A,A664,Inventory!J:J,"Open")</f>
        <v>0</v>
      </c>
    </row>
    <row r="665">
      <c r="A665" s="233" t="s">
        <v>2528</v>
      </c>
      <c r="B665" s="23" t="str">
        <f>Publishers!A50</f>
        <v>Cheesecake Dev</v>
      </c>
      <c r="C665" s="78">
        <f>COUNTIF(Inventory!A:A, A665)</f>
        <v>32</v>
      </c>
      <c r="D665" s="89">
        <f>IFERROR(__xludf.DUMMYFUNCTION("IFERROR(AVERAGE(FILTER(Inventory!H:H,Inventory!J:J=""Closed"",Inventory!A:A=A665)),"""")"),0.22922388791114387)</f>
        <v>0.2292238879</v>
      </c>
      <c r="E665" s="234">
        <f>IFERROR(__xludf.DUMMYFUNCTION("IFERROR(AVERAGE(FILTER(Inventory!G:G,Inventory!J:J=""Closed"",Inventory!A:A=A665)),""0"")"),1.2421875000000002)</f>
        <v>1.2421875</v>
      </c>
      <c r="F665" s="235">
        <f>IFERROR(__xludf.DUMMYFUNCTION("IFERROR(SUM(FILTER(Inventory!G:G,Inventory!J:J=""Closed"",Inventory!A:A=A665)),""0"")"),39.75000000000001)</f>
        <v>39.75</v>
      </c>
      <c r="G665" s="235">
        <f>IFERROR(__xludf.DUMMYFUNCTION("IFERROR(AVERAGE(FILTER(Inventory!K:K,Inventory!J:J=""Closed"",Inventory!A:A=A665)),"""")"),8.28125)</f>
        <v>8.28125</v>
      </c>
      <c r="H665" s="78" t="b">
        <v>0</v>
      </c>
      <c r="I665" s="78">
        <v>5.76</v>
      </c>
      <c r="J665" s="236">
        <f>MAXIFS(Inventory!D:D, Inventory!A:A, A:A)</f>
        <v>45184</v>
      </c>
      <c r="L665" s="23">
        <f>COUNTIFS(Inventory!A:A,A665,Inventory!J:J,"Open")</f>
        <v>0</v>
      </c>
    </row>
    <row r="666">
      <c r="A666" s="233" t="s">
        <v>2734</v>
      </c>
      <c r="B666" s="23" t="str">
        <f>Publishers!A77</f>
        <v>Dotemu</v>
      </c>
      <c r="C666" s="78">
        <f>COUNTIF(Inventory!A:A, A666)</f>
        <v>10</v>
      </c>
      <c r="D666" s="89">
        <f>IFERROR(__xludf.DUMMYFUNCTION("IFERROR(AVERAGE(FILTER(Inventory!H:H,Inventory!J:J=""Closed"",Inventory!A:A=A666)),"""")"),0.23098004457677446)</f>
        <v>0.2309800446</v>
      </c>
      <c r="E666" s="234">
        <f>IFERROR(__xludf.DUMMYFUNCTION("IFERROR(AVERAGE(FILTER(Inventory!G:G,Inventory!J:J=""Closed"",Inventory!A:A=A666)),""0"")"),3.0650000000000004)</f>
        <v>3.065</v>
      </c>
      <c r="F666" s="235">
        <f>IFERROR(__xludf.DUMMYFUNCTION("IFERROR(SUM(FILTER(Inventory!G:G,Inventory!J:J=""Closed"",Inventory!A:A=A666)),""0"")"),30.650000000000002)</f>
        <v>30.65</v>
      </c>
      <c r="G666" s="235">
        <f>IFERROR(__xludf.DUMMYFUNCTION("IFERROR(AVERAGE(FILTER(Inventory!K:K,Inventory!J:J=""Closed"",Inventory!A:A=A666)),"""")"),53.7)</f>
        <v>53.7</v>
      </c>
      <c r="H666" s="78" t="b">
        <v>0</v>
      </c>
      <c r="I666" s="236"/>
      <c r="J666" s="236">
        <f>MAXIFS(Inventory!D:D, Inventory!A:A, A:A)</f>
        <v>45450</v>
      </c>
      <c r="L666" s="23">
        <f>COUNTIFS(Inventory!A:A,A666,Inventory!J:J,"Open")</f>
        <v>0</v>
      </c>
    </row>
    <row r="667">
      <c r="A667" s="233" t="s">
        <v>2323</v>
      </c>
      <c r="B667" s="23" t="str">
        <f>Publishers!A267</f>
        <v>tinyBuild</v>
      </c>
      <c r="C667" s="78">
        <f>COUNTIF(Inventory!A:A, A667)</f>
        <v>31</v>
      </c>
      <c r="D667" s="89">
        <f>IFERROR(__xludf.DUMMYFUNCTION("IFERROR(AVERAGE(FILTER(Inventory!H:H,Inventory!J:J=""Closed"",Inventory!A:A=A667)),"""")"),0.265556234214046)</f>
        <v>0.2655562342</v>
      </c>
      <c r="E667" s="234">
        <f>IFERROR(__xludf.DUMMYFUNCTION("IFERROR(AVERAGE(FILTER(Inventory!G:G,Inventory!J:J=""Closed"",Inventory!A:A=A667)),""0"")"),2.0761290322580654)</f>
        <v>2.076129032</v>
      </c>
      <c r="F667" s="235">
        <f>IFERROR(__xludf.DUMMYFUNCTION("IFERROR(SUM(FILTER(Inventory!G:G,Inventory!J:J=""Closed"",Inventory!A:A=A667)),""0"")"),64.36000000000003)</f>
        <v>64.36</v>
      </c>
      <c r="G667" s="235">
        <f>IFERROR(__xludf.DUMMYFUNCTION("IFERROR(AVERAGE(FILTER(Inventory!K:K,Inventory!J:J=""Closed"",Inventory!A:A=A667)),"""")"),54.38709677419355)</f>
        <v>54.38709677</v>
      </c>
      <c r="H667" s="78" t="b">
        <v>1</v>
      </c>
      <c r="I667" s="236"/>
      <c r="J667" s="236">
        <f>MAXIFS(Inventory!D:D, Inventory!A:A, A:A)</f>
        <v>45396</v>
      </c>
      <c r="L667" s="23">
        <f>COUNTIFS(Inventory!A:A,A667,Inventory!J:J,"Open")</f>
        <v>0</v>
      </c>
    </row>
    <row r="668">
      <c r="A668" s="237" t="s">
        <v>514</v>
      </c>
      <c r="B668" s="23" t="str">
        <f>Publishers!A96</f>
        <v>FireFly Studios</v>
      </c>
      <c r="C668" s="78">
        <f>COUNTIF(Inventory!A:A, A668)</f>
        <v>3</v>
      </c>
      <c r="D668" s="89">
        <f>IFERROR(__xludf.DUMMYFUNCTION("IFERROR(AVERAGE(FILTER(Inventory!H:H,Inventory!J:J=""Closed"",Inventory!A:A=A668)),"""")"),0.8585259095015192)</f>
        <v>0.8585259095</v>
      </c>
      <c r="E668" s="234">
        <f>IFERROR(__xludf.DUMMYFUNCTION("IFERROR(AVERAGE(FILTER(Inventory!G:G,Inventory!J:J=""Closed"",Inventory!A:A=A668)),""0"")"),2.5300000000000002)</f>
        <v>2.53</v>
      </c>
      <c r="F668" s="235">
        <f>IFERROR(__xludf.DUMMYFUNCTION("IFERROR(SUM(FILTER(Inventory!G:G,Inventory!J:J=""Closed"",Inventory!A:A=A668)),""0"")"),7.590000000000001)</f>
        <v>7.59</v>
      </c>
      <c r="G668" s="235">
        <f>IFERROR(__xludf.DUMMYFUNCTION("IFERROR(AVERAGE(FILTER(Inventory!K:K,Inventory!J:J=""Closed"",Inventory!A:A=A668)),"""")"),5.333333333333333)</f>
        <v>5.333333333</v>
      </c>
      <c r="H668" s="23" t="b">
        <v>0</v>
      </c>
      <c r="I668" s="236"/>
      <c r="J668" s="236">
        <f>MAXIFS(Inventory!D:D, Inventory!A:A, A:A)</f>
        <v>44071</v>
      </c>
      <c r="L668" s="23">
        <f>COUNTIFS(Inventory!A:A,A668,Inventory!J:J,"Open")</f>
        <v>0</v>
      </c>
    </row>
    <row r="669">
      <c r="A669" s="233" t="s">
        <v>2464</v>
      </c>
      <c r="B669" s="23" t="str">
        <f>Publishers!A96</f>
        <v>FireFly Studios</v>
      </c>
      <c r="C669" s="78">
        <f>COUNTIF(Inventory!A:A, A669)</f>
        <v>4</v>
      </c>
      <c r="D669" s="89">
        <f>IFERROR(__xludf.DUMMYFUNCTION("IFERROR(AVERAGE(FILTER(Inventory!H:H,Inventory!J:J=""Closed"",Inventory!A:A=A669)),"""")"),0.2096064694309458)</f>
        <v>0.2096064694</v>
      </c>
      <c r="E669" s="234">
        <f>IFERROR(__xludf.DUMMYFUNCTION("IFERROR(AVERAGE(FILTER(Inventory!G:G,Inventory!J:J=""Closed"",Inventory!A:A=A669)),""0"")"),2.040000000000001)</f>
        <v>2.04</v>
      </c>
      <c r="F669" s="235">
        <f>IFERROR(__xludf.DUMMYFUNCTION("IFERROR(SUM(FILTER(Inventory!G:G,Inventory!J:J=""Closed"",Inventory!A:A=A669)),""0"")"),8.160000000000004)</f>
        <v>8.16</v>
      </c>
      <c r="G669" s="235">
        <f>IFERROR(__xludf.DUMMYFUNCTION("IFERROR(AVERAGE(FILTER(Inventory!K:K,Inventory!J:J=""Closed"",Inventory!A:A=A669)),"""")"),108.0)</f>
        <v>108</v>
      </c>
      <c r="H669" s="23" t="b">
        <v>0</v>
      </c>
      <c r="I669" s="236"/>
      <c r="J669" s="236">
        <f>MAXIFS(Inventory!D:D, Inventory!A:A, A:A)</f>
        <v>45243</v>
      </c>
      <c r="L669" s="23">
        <f>COUNTIFS(Inventory!A:A,A669,Inventory!J:J,"Open")</f>
        <v>0</v>
      </c>
    </row>
    <row r="670">
      <c r="A670" s="233" t="s">
        <v>2906</v>
      </c>
      <c r="B670" s="23" t="str">
        <f>Publishers!A96</f>
        <v>FireFly Studios</v>
      </c>
      <c r="C670" s="78">
        <f>COUNTIF(Inventory!A:A, A670)</f>
        <v>5</v>
      </c>
      <c r="D670" s="89">
        <f>IFERROR(__xludf.DUMMYFUNCTION("IFERROR(AVERAGE(FILTER(Inventory!H:H,Inventory!J:J=""Closed"",Inventory!A:A=A670)),"""")"),0.19517848095432008)</f>
        <v>0.195178481</v>
      </c>
      <c r="E670" s="234">
        <f>IFERROR(__xludf.DUMMYFUNCTION("IFERROR(AVERAGE(FILTER(Inventory!G:G,Inventory!J:J=""Closed"",Inventory!A:A=A670)),""0"")"),2.13)</f>
        <v>2.13</v>
      </c>
      <c r="F670" s="235">
        <f>IFERROR(__xludf.DUMMYFUNCTION("IFERROR(SUM(FILTER(Inventory!G:G,Inventory!J:J=""Closed"",Inventory!A:A=A670)),""0"")"),10.649999999999999)</f>
        <v>10.65</v>
      </c>
      <c r="G670" s="235">
        <f>IFERROR(__xludf.DUMMYFUNCTION("IFERROR(AVERAGE(FILTER(Inventory!K:K,Inventory!J:J=""Closed"",Inventory!A:A=A670)),"""")"),22.4)</f>
        <v>22.4</v>
      </c>
      <c r="H670" s="23" t="b">
        <v>0</v>
      </c>
      <c r="I670" s="78">
        <v>10.82</v>
      </c>
      <c r="J670" s="236">
        <f>MAXIFS(Inventory!D:D, Inventory!A:A, A:A)</f>
        <v>45084</v>
      </c>
      <c r="L670" s="23">
        <f>COUNTIFS(Inventory!A:A,A670,Inventory!J:J,"Open")</f>
        <v>0</v>
      </c>
    </row>
    <row r="671">
      <c r="A671" s="237" t="s">
        <v>1415</v>
      </c>
      <c r="B671" s="23" t="str">
        <f>Publishers!A5</f>
        <v>1C Entertainment</v>
      </c>
      <c r="C671" s="78">
        <f>COUNTIF(Inventory!A:A, A671)</f>
        <v>2</v>
      </c>
      <c r="D671" s="89">
        <f>IFERROR(__xludf.DUMMYFUNCTION("IFERROR(AVERAGE(FILTER(Inventory!H:H,Inventory!J:J=""Closed"",Inventory!A:A=A671)),"""")"),1.0)</f>
        <v>1</v>
      </c>
      <c r="E671" s="234">
        <f>IFERROR(__xludf.DUMMYFUNCTION("IFERROR(AVERAGE(FILTER(Inventory!G:G,Inventory!J:J=""Closed"",Inventory!A:A=A671)),""0"")"),0.14)</f>
        <v>0.14</v>
      </c>
      <c r="F671" s="235">
        <f>IFERROR(__xludf.DUMMYFUNCTION("IFERROR(SUM(FILTER(Inventory!G:G,Inventory!J:J=""Closed"",Inventory!A:A=A671)),""0"")"),0.28)</f>
        <v>0.28</v>
      </c>
      <c r="G671" s="235">
        <f>IFERROR(__xludf.DUMMYFUNCTION("IFERROR(AVERAGE(FILTER(Inventory!K:K,Inventory!J:J=""Closed"",Inventory!A:A=A671)),"""")"),17.0)</f>
        <v>17</v>
      </c>
      <c r="H671" s="23" t="b">
        <v>0</v>
      </c>
      <c r="I671" s="236"/>
      <c r="J671" s="236">
        <f>MAXIFS(Inventory!D:D, Inventory!A:A, A:A)</f>
        <v>44504</v>
      </c>
      <c r="L671" s="23">
        <f>COUNTIFS(Inventory!A:A,A671,Inventory!J:J,"Open")</f>
        <v>0</v>
      </c>
    </row>
    <row r="672">
      <c r="A672" s="237" t="s">
        <v>182</v>
      </c>
      <c r="B672" s="23" t="str">
        <f>Publishers!A64</f>
        <v>Cyanide Studio</v>
      </c>
      <c r="C672" s="78">
        <f>COUNTIF(Inventory!A:A, A672)</f>
        <v>6</v>
      </c>
      <c r="D672" s="89">
        <f>IFERROR(__xludf.DUMMYFUNCTION("IFERROR(AVERAGE(FILTER(Inventory!H:H,Inventory!J:J=""Closed"",Inventory!A:A=A672)),"""")"),0.40056702344546374)</f>
        <v>0.4005670234</v>
      </c>
      <c r="E672" s="234">
        <f>IFERROR(__xludf.DUMMYFUNCTION("IFERROR(AVERAGE(FILTER(Inventory!G:G,Inventory!J:J=""Closed"",Inventory!A:A=A672)),""0"")"),0.33499999999999996)</f>
        <v>0.335</v>
      </c>
      <c r="F672" s="235">
        <f>IFERROR(__xludf.DUMMYFUNCTION("IFERROR(SUM(FILTER(Inventory!G:G,Inventory!J:J=""Closed"",Inventory!A:A=A672)),""0"")"),2.01)</f>
        <v>2.01</v>
      </c>
      <c r="G672" s="235">
        <f>IFERROR(__xludf.DUMMYFUNCTION("IFERROR(AVERAGE(FILTER(Inventory!K:K,Inventory!J:J=""Closed"",Inventory!A:A=A672)),"""")"),39.666666666666664)</f>
        <v>39.66666667</v>
      </c>
      <c r="H672" s="23" t="b">
        <v>0</v>
      </c>
      <c r="I672" s="236"/>
      <c r="J672" s="236">
        <f>MAXIFS(Inventory!D:D, Inventory!A:A, A:A)</f>
        <v>45726</v>
      </c>
      <c r="L672" s="23">
        <f>COUNTIFS(Inventory!A:A,A672,Inventory!J:J,"Open")</f>
        <v>0</v>
      </c>
    </row>
    <row r="673">
      <c r="A673" s="233" t="s">
        <v>3169</v>
      </c>
      <c r="B673" s="23" t="str">
        <f>Publishers!A121</f>
        <v>HypeTrain Digital</v>
      </c>
      <c r="C673" s="78">
        <f>COUNTIF(Inventory!A:A, A673)</f>
        <v>3</v>
      </c>
      <c r="D673" s="89" t="str">
        <f>IFERROR(__xludf.DUMMYFUNCTION("IFERROR(AVERAGE(FILTER(Inventory!H:H,Inventory!J:J=""Closed"",Inventory!A:A=A673)),"""")"),"")</f>
        <v/>
      </c>
      <c r="E673" s="234" t="str">
        <f>IFERROR(__xludf.DUMMYFUNCTION("IFERROR(AVERAGE(FILTER(Inventory!G:G,Inventory!J:J=""Closed"",Inventory!A:A=A673)),""0"")"),"0")</f>
        <v>0</v>
      </c>
      <c r="F673" s="235" t="str">
        <f>IFERROR(__xludf.DUMMYFUNCTION("IFERROR(SUM(FILTER(Inventory!G:G,Inventory!J:J=""Closed"",Inventory!A:A=A673)),""0"")"),"0")</f>
        <v>0</v>
      </c>
      <c r="G673" s="235" t="str">
        <f>IFERROR(__xludf.DUMMYFUNCTION("IFERROR(AVERAGE(FILTER(Inventory!K:K,Inventory!J:J=""Closed"",Inventory!A:A=A673)),"""")"),"")</f>
        <v/>
      </c>
      <c r="H673" s="23" t="b">
        <v>0</v>
      </c>
      <c r="I673" s="236"/>
      <c r="J673" s="236">
        <f>MAXIFS(Inventory!D:D, Inventory!A:A, A:A)</f>
        <v>0</v>
      </c>
      <c r="L673" s="23">
        <f>COUNTIFS(Inventory!A:A,A673,Inventory!J:J,"Open")</f>
        <v>3</v>
      </c>
    </row>
    <row r="674">
      <c r="A674" s="237" t="s">
        <v>1254</v>
      </c>
      <c r="B674" s="23" t="str">
        <f>Publishers!A265</f>
        <v>Thunder Lotus Games</v>
      </c>
      <c r="C674" s="78">
        <f>COUNTIF(Inventory!A:A, A674)</f>
        <v>1</v>
      </c>
      <c r="D674" s="89">
        <f>IFERROR(__xludf.DUMMYFUNCTION("IFERROR(AVERAGE(FILTER(Inventory!H:H,Inventory!J:J=""Closed"",Inventory!A:A=A674)),"""")"),1.0)</f>
        <v>1</v>
      </c>
      <c r="E674" s="234">
        <f>IFERROR(__xludf.DUMMYFUNCTION("IFERROR(AVERAGE(FILTER(Inventory!G:G,Inventory!J:J=""Closed"",Inventory!A:A=A674)),""0"")"),0.19)</f>
        <v>0.19</v>
      </c>
      <c r="F674" s="235">
        <f>IFERROR(__xludf.DUMMYFUNCTION("IFERROR(SUM(FILTER(Inventory!G:G,Inventory!J:J=""Closed"",Inventory!A:A=A674)),""0"")"),0.19)</f>
        <v>0.19</v>
      </c>
      <c r="G674" s="235">
        <f>IFERROR(__xludf.DUMMYFUNCTION("IFERROR(AVERAGE(FILTER(Inventory!K:K,Inventory!J:J=""Closed"",Inventory!A:A=A674)),"""")"),81.0)</f>
        <v>81</v>
      </c>
      <c r="H674" s="23" t="b">
        <v>0</v>
      </c>
      <c r="I674" s="236"/>
      <c r="J674" s="236">
        <f>MAXIFS(Inventory!D:D, Inventory!A:A, A:A)</f>
        <v>44457</v>
      </c>
      <c r="L674" s="23">
        <f>COUNTIFS(Inventory!A:A,A674,Inventory!J:J,"Open")</f>
        <v>0</v>
      </c>
    </row>
    <row r="675">
      <c r="A675" s="233" t="s">
        <v>4880</v>
      </c>
      <c r="B675" s="23" t="str">
        <f>Publishers!A279</f>
        <v>Vector3 Studio</v>
      </c>
      <c r="C675" s="78">
        <f>COUNTIF(Inventory!A:A, A675)</f>
        <v>49</v>
      </c>
      <c r="D675" s="89">
        <f>IFERROR(__xludf.DUMMYFUNCTION("IFERROR(AVERAGE(FILTER(Inventory!H:H,Inventory!J:J=""Closed"",Inventory!A:A=A675)),"""")"),0.2763258476973844)</f>
        <v>0.2763258477</v>
      </c>
      <c r="E675" s="234">
        <f>IFERROR(__xludf.DUMMYFUNCTION("IFERROR(AVERAGE(FILTER(Inventory!G:G,Inventory!J:J=""Closed"",Inventory!A:A=A675)),""0"")"),4.572857142857142)</f>
        <v>4.572857143</v>
      </c>
      <c r="F675" s="235">
        <f>IFERROR(__xludf.DUMMYFUNCTION("IFERROR(SUM(FILTER(Inventory!G:G,Inventory!J:J=""Closed"",Inventory!A:A=A675)),""0"")"),224.06999999999996)</f>
        <v>224.07</v>
      </c>
      <c r="G675" s="235">
        <f>IFERROR(__xludf.DUMMYFUNCTION("IFERROR(AVERAGE(FILTER(Inventory!K:K,Inventory!J:J=""Closed"",Inventory!A:A=A675)),"""")"),39.265306122448976)</f>
        <v>39.26530612</v>
      </c>
      <c r="H675" s="23" t="b">
        <v>0</v>
      </c>
      <c r="I675" s="236"/>
      <c r="J675" s="236">
        <f>MAXIFS(Inventory!D:D, Inventory!A:A, A:A)</f>
        <v>46088</v>
      </c>
      <c r="K675" s="23" t="str">
        <f>IMAGE("https://shared.akamai.steamstatic.com/store_item_assets/steam/apps/2080690/header.jpg?t=1719551091")</f>
        <v/>
      </c>
      <c r="L675" s="23">
        <f>COUNTIFS(Inventory!A:A,A675,Inventory!J:J,"Open")</f>
        <v>0</v>
      </c>
    </row>
    <row r="676">
      <c r="A676" s="237" t="s">
        <v>790</v>
      </c>
      <c r="B676" s="23" t="str">
        <f>Publishers!A248</f>
        <v>Surprise Attack</v>
      </c>
      <c r="C676" s="78">
        <f>COUNTIF(Inventory!A:A, A676)</f>
        <v>1</v>
      </c>
      <c r="D676" s="89">
        <f>IFERROR(__xludf.DUMMYFUNCTION("IFERROR(AVERAGE(FILTER(Inventory!H:H,Inventory!J:J=""Closed"",Inventory!A:A=A676)),"""")"),1.0)</f>
        <v>1</v>
      </c>
      <c r="E676" s="234">
        <f>IFERROR(__xludf.DUMMYFUNCTION("IFERROR(AVERAGE(FILTER(Inventory!G:G,Inventory!J:J=""Closed"",Inventory!A:A=A676)),""0"")"),0.88)</f>
        <v>0.88</v>
      </c>
      <c r="F676" s="235">
        <f>IFERROR(__xludf.DUMMYFUNCTION("IFERROR(SUM(FILTER(Inventory!G:G,Inventory!J:J=""Closed"",Inventory!A:A=A676)),""0"")"),0.88)</f>
        <v>0.88</v>
      </c>
      <c r="G676" s="235">
        <f>IFERROR(__xludf.DUMMYFUNCTION("IFERROR(AVERAGE(FILTER(Inventory!K:K,Inventory!J:J=""Closed"",Inventory!A:A=A676)),"""")"),112.0)</f>
        <v>112</v>
      </c>
      <c r="H676" s="23" t="b">
        <v>0</v>
      </c>
      <c r="I676" s="236"/>
      <c r="J676" s="236">
        <f>MAXIFS(Inventory!D:D, Inventory!A:A, A:A)</f>
        <v>44272</v>
      </c>
      <c r="L676" s="23">
        <f>COUNTIFS(Inventory!A:A,A676,Inventory!J:J,"Open")</f>
        <v>0</v>
      </c>
    </row>
    <row r="677">
      <c r="A677" s="233" t="s">
        <v>2145</v>
      </c>
      <c r="B677" s="23" t="str">
        <f>Publishers!A29</f>
        <v>BANDAI NAMCO</v>
      </c>
      <c r="C677" s="78">
        <f>COUNTIF(Inventory!A:A, A677)</f>
        <v>1</v>
      </c>
      <c r="D677" s="89">
        <f>IFERROR(__xludf.DUMMYFUNCTION("IFERROR(AVERAGE(FILTER(Inventory!H:H,Inventory!J:J=""Closed"",Inventory!A:A=A677)),"""")"),0.12965299684542586)</f>
        <v>0.1296529968</v>
      </c>
      <c r="E677" s="234">
        <f>IFERROR(__xludf.DUMMYFUNCTION("IFERROR(AVERAGE(FILTER(Inventory!G:G,Inventory!J:J=""Closed"",Inventory!A:A=A677)),""0"")"),4.109999999999999)</f>
        <v>4.11</v>
      </c>
      <c r="F677" s="235">
        <f>IFERROR(__xludf.DUMMYFUNCTION("IFERROR(SUM(FILTER(Inventory!G:G,Inventory!J:J=""Closed"",Inventory!A:A=A677)),""0"")"),4.109999999999999)</f>
        <v>4.11</v>
      </c>
      <c r="G677" s="235">
        <f>IFERROR(__xludf.DUMMYFUNCTION("IFERROR(AVERAGE(FILTER(Inventory!K:K,Inventory!J:J=""Closed"",Inventory!A:A=A677)),"""")"),10.0)</f>
        <v>10</v>
      </c>
      <c r="H677" s="23" t="b">
        <v>0</v>
      </c>
      <c r="I677" s="236"/>
      <c r="J677" s="236">
        <f>MAXIFS(Inventory!D:D, Inventory!A:A, A:A)</f>
        <v>44634</v>
      </c>
      <c r="L677" s="23">
        <f>COUNTIFS(Inventory!A:A,A677,Inventory!J:J,"Open")</f>
        <v>0</v>
      </c>
    </row>
    <row r="678">
      <c r="A678" s="237" t="s">
        <v>1028</v>
      </c>
      <c r="B678" s="23" t="str">
        <f>Publishers!A247</f>
        <v>SUPERHOT Team</v>
      </c>
      <c r="C678" s="78">
        <f>COUNTIF(Inventory!A:A, A678)</f>
        <v>2</v>
      </c>
      <c r="D678" s="89">
        <f>IFERROR(__xludf.DUMMYFUNCTION("IFERROR(AVERAGE(FILTER(Inventory!H:H,Inventory!J:J=""Closed"",Inventory!A:A=A678)),"""")"),0.15884017374681803)</f>
        <v>0.1588401737</v>
      </c>
      <c r="E678" s="234">
        <f>IFERROR(__xludf.DUMMYFUNCTION("IFERROR(AVERAGE(FILTER(Inventory!G:G,Inventory!J:J=""Closed"",Inventory!A:A=A678)),""0"")"),2.000000000000001)</f>
        <v>2</v>
      </c>
      <c r="F678" s="235">
        <f>IFERROR(__xludf.DUMMYFUNCTION("IFERROR(SUM(FILTER(Inventory!G:G,Inventory!J:J=""Closed"",Inventory!A:A=A678)),""0"")"),4.000000000000002)</f>
        <v>4</v>
      </c>
      <c r="G678" s="235">
        <f>IFERROR(__xludf.DUMMYFUNCTION("IFERROR(AVERAGE(FILTER(Inventory!K:K,Inventory!J:J=""Closed"",Inventory!A:A=A678)),"""")"),1.5)</f>
        <v>1.5</v>
      </c>
      <c r="H678" s="23" t="b">
        <v>0</v>
      </c>
      <c r="I678" s="236"/>
      <c r="J678" s="236">
        <f>MAXIFS(Inventory!D:D, Inventory!A:A, A:A)</f>
        <v>44305</v>
      </c>
      <c r="L678" s="23">
        <f>COUNTIFS(Inventory!A:A,A678,Inventory!J:J,"Open")</f>
        <v>0</v>
      </c>
    </row>
    <row r="679">
      <c r="A679" s="237" t="s">
        <v>544</v>
      </c>
      <c r="B679" s="23" t="str">
        <f>Publishers!A188</f>
        <v>Paradox Interactive</v>
      </c>
      <c r="C679" s="78">
        <f>COUNTIF(Inventory!A:A, A679)</f>
        <v>3</v>
      </c>
      <c r="D679" s="89">
        <f>IFERROR(__xludf.DUMMYFUNCTION("IFERROR(AVERAGE(FILTER(Inventory!H:H,Inventory!J:J=""Closed"",Inventory!A:A=A679)),"""")"),0.3914271124327897)</f>
        <v>0.3914271124</v>
      </c>
      <c r="E679" s="234">
        <f>IFERROR(__xludf.DUMMYFUNCTION("IFERROR(AVERAGE(FILTER(Inventory!G:G,Inventory!J:J=""Closed"",Inventory!A:A=A679)),""0"")"),0.5866666666666668)</f>
        <v>0.5866666667</v>
      </c>
      <c r="F679" s="235">
        <f>IFERROR(__xludf.DUMMYFUNCTION("IFERROR(SUM(FILTER(Inventory!G:G,Inventory!J:J=""Closed"",Inventory!A:A=A679)),""0"")"),1.7600000000000002)</f>
        <v>1.76</v>
      </c>
      <c r="G679" s="235">
        <f>IFERROR(__xludf.DUMMYFUNCTION("IFERROR(AVERAGE(FILTER(Inventory!K:K,Inventory!J:J=""Closed"",Inventory!A:A=A679)),"""")"),24.0)</f>
        <v>24</v>
      </c>
      <c r="H679" s="23" t="b">
        <v>0</v>
      </c>
      <c r="I679" s="236"/>
      <c r="J679" s="236">
        <f>MAXIFS(Inventory!D:D, Inventory!A:A, A:A)</f>
        <v>44145</v>
      </c>
      <c r="L679" s="23">
        <f>COUNTIFS(Inventory!A:A,A679,Inventory!J:J,"Open")</f>
        <v>0</v>
      </c>
    </row>
    <row r="680">
      <c r="A680" s="233" t="s">
        <v>5446</v>
      </c>
      <c r="B680" s="23" t="str">
        <f>Publishers!A29</f>
        <v>BANDAI NAMCO</v>
      </c>
      <c r="C680" s="78">
        <f>COUNTIF(Inventory!A:A, A680)</f>
        <v>3</v>
      </c>
      <c r="D680" s="89">
        <f>IFERROR(__xludf.DUMMYFUNCTION("IFERROR(AVERAGE(FILTER(Inventory!H:H,Inventory!J:J=""Closed"",Inventory!A:A=A680)),"""")"),0.26294926721239004)</f>
        <v>0.2629492672</v>
      </c>
      <c r="E680" s="234">
        <f>IFERROR(__xludf.DUMMYFUNCTION("IFERROR(AVERAGE(FILTER(Inventory!G:G,Inventory!J:J=""Closed"",Inventory!A:A=A680)),""0"")"),1.6733333333333336)</f>
        <v>1.673333333</v>
      </c>
      <c r="F680" s="235">
        <f>IFERROR(__xludf.DUMMYFUNCTION("IFERROR(SUM(FILTER(Inventory!G:G,Inventory!J:J=""Closed"",Inventory!A:A=A680)),""0"")"),5.0200000000000005)</f>
        <v>5.02</v>
      </c>
      <c r="G680" s="235">
        <f>IFERROR(__xludf.DUMMYFUNCTION("IFERROR(AVERAGE(FILTER(Inventory!K:K,Inventory!J:J=""Closed"",Inventory!A:A=A680)),"""")"),94.66666666666667)</f>
        <v>94.66666667</v>
      </c>
      <c r="H680" s="23" t="b">
        <v>0</v>
      </c>
      <c r="I680" s="236"/>
      <c r="J680" s="236">
        <f>MAXIFS(Inventory!D:D, Inventory!A:A, A:A)</f>
        <v>45517</v>
      </c>
      <c r="L680" s="23">
        <f>COUNTIFS(Inventory!A:A,A680,Inventory!J:J,"Open")</f>
        <v>0</v>
      </c>
    </row>
    <row r="681">
      <c r="A681" s="233" t="s">
        <v>2133</v>
      </c>
      <c r="B681" s="23" t="str">
        <f>Publishers!A160</f>
        <v>Microids</v>
      </c>
      <c r="C681" s="78">
        <f>COUNTIF(Inventory!A:A, A681)</f>
        <v>3</v>
      </c>
      <c r="D681" s="89">
        <f>IFERROR(__xludf.DUMMYFUNCTION("IFERROR(AVERAGE(FILTER(Inventory!H:H,Inventory!J:J=""Closed"",Inventory!A:A=A681)),"""")"),1.0)</f>
        <v>1</v>
      </c>
      <c r="E681" s="234">
        <f>IFERROR(__xludf.DUMMYFUNCTION("IFERROR(AVERAGE(FILTER(Inventory!G:G,Inventory!J:J=""Closed"",Inventory!A:A=A681)),""0"")"),0.3833333333333333)</f>
        <v>0.3833333333</v>
      </c>
      <c r="F681" s="235">
        <f>IFERROR(__xludf.DUMMYFUNCTION("IFERROR(SUM(FILTER(Inventory!G:G,Inventory!J:J=""Closed"",Inventory!A:A=A681)),""0"")"),1.15)</f>
        <v>1.15</v>
      </c>
      <c r="G681" s="235">
        <f>IFERROR(__xludf.DUMMYFUNCTION("IFERROR(AVERAGE(FILTER(Inventory!K:K,Inventory!J:J=""Closed"",Inventory!A:A=A681)),"""")"),3.0)</f>
        <v>3</v>
      </c>
      <c r="H681" s="23" t="b">
        <v>0</v>
      </c>
      <c r="I681" s="236"/>
      <c r="J681" s="236">
        <f>MAXIFS(Inventory!D:D, Inventory!A:A, A:A)</f>
        <v>45011</v>
      </c>
      <c r="L681" s="23">
        <f>COUNTIFS(Inventory!A:A,A681,Inventory!J:J,"Open")</f>
        <v>0</v>
      </c>
    </row>
    <row r="682">
      <c r="A682" s="233" t="s">
        <v>3280</v>
      </c>
      <c r="B682" s="23" t="str">
        <f>Publishers!A160</f>
        <v>Microids</v>
      </c>
      <c r="C682" s="78">
        <f>COUNTIF(Inventory!A:A, A682)</f>
        <v>3</v>
      </c>
      <c r="D682" s="89">
        <f>IFERROR(__xludf.DUMMYFUNCTION("IFERROR(AVERAGE(FILTER(Inventory!H:H,Inventory!J:J=""Closed"",Inventory!A:A=A682)),"""")"),0.41570743224989143)</f>
        <v>0.4157074322</v>
      </c>
      <c r="E682" s="234">
        <f>IFERROR(__xludf.DUMMYFUNCTION("IFERROR(AVERAGE(FILTER(Inventory!G:G,Inventory!J:J=""Closed"",Inventory!A:A=A682)),""0"")"),9.61)</f>
        <v>9.61</v>
      </c>
      <c r="F682" s="235">
        <f>IFERROR(__xludf.DUMMYFUNCTION("IFERROR(SUM(FILTER(Inventory!G:G,Inventory!J:J=""Closed"",Inventory!A:A=A682)),""0"")"),28.83)</f>
        <v>28.83</v>
      </c>
      <c r="G682" s="235">
        <f>IFERROR(__xludf.DUMMYFUNCTION("IFERROR(AVERAGE(FILTER(Inventory!K:K,Inventory!J:J=""Closed"",Inventory!A:A=A682)),"""")"),11.0)</f>
        <v>11</v>
      </c>
      <c r="H682" s="23" t="b">
        <v>0</v>
      </c>
      <c r="I682" s="236"/>
      <c r="J682" s="236">
        <f>MAXIFS(Inventory!D:D, Inventory!A:A, A:A)</f>
        <v>44975</v>
      </c>
      <c r="K682" s="23" t="str">
        <f>IMAGE("https://shared.akamai.steamstatic.com/store_item_assets/steam/apps/1410640/header.jpg?t=1724769615")</f>
        <v/>
      </c>
      <c r="L682" s="23">
        <f>COUNTIFS(Inventory!A:A,A682,Inventory!J:J,"Open")</f>
        <v>0</v>
      </c>
    </row>
    <row r="683">
      <c r="A683" s="237" t="s">
        <v>359</v>
      </c>
      <c r="B683" s="23" t="str">
        <f>Publishers!A45</f>
        <v>Camel 101</v>
      </c>
      <c r="C683" s="78">
        <f>COUNTIF(Inventory!A:A, A683)</f>
        <v>2</v>
      </c>
      <c r="D683" s="89">
        <f>IFERROR(__xludf.DUMMYFUNCTION("IFERROR(AVERAGE(FILTER(Inventory!H:H,Inventory!J:J=""Closed"",Inventory!A:A=A683)),"""")"),-0.2755530129672006)</f>
        <v>-0.275553013</v>
      </c>
      <c r="E683" s="234">
        <f>IFERROR(__xludf.DUMMYFUNCTION("IFERROR(AVERAGE(FILTER(Inventory!G:G,Inventory!J:J=""Closed"",Inventory!A:A=A683)),""0"")"),0.33999999999999997)</f>
        <v>0.34</v>
      </c>
      <c r="F683" s="235">
        <f>IFERROR(__xludf.DUMMYFUNCTION("IFERROR(SUM(FILTER(Inventory!G:G,Inventory!J:J=""Closed"",Inventory!A:A=A683)),""0"")"),0.6799999999999999)</f>
        <v>0.68</v>
      </c>
      <c r="G683" s="235">
        <f>IFERROR(__xludf.DUMMYFUNCTION("IFERROR(AVERAGE(FILTER(Inventory!K:K,Inventory!J:J=""Closed"",Inventory!A:A=A683)),"""")"),224.5)</f>
        <v>224.5</v>
      </c>
      <c r="H683" s="23" t="b">
        <v>0</v>
      </c>
      <c r="I683" s="236"/>
      <c r="J683" s="236">
        <f>MAXIFS(Inventory!D:D, Inventory!A:A, A:A)</f>
        <v>44449</v>
      </c>
      <c r="L683" s="23">
        <f>COUNTIFS(Inventory!A:A,A683,Inventory!J:J,"Open")</f>
        <v>0</v>
      </c>
    </row>
    <row r="684">
      <c r="A684" s="237" t="s">
        <v>1187</v>
      </c>
      <c r="B684" s="23" t="str">
        <f>Publishers!A269</f>
        <v>Top Hat Studios</v>
      </c>
      <c r="C684" s="78">
        <f>COUNTIF(Inventory!A:A, A684)</f>
        <v>2</v>
      </c>
      <c r="D684" s="89">
        <f>IFERROR(__xludf.DUMMYFUNCTION("IFERROR(AVERAGE(FILTER(Inventory!H:H,Inventory!J:J=""Closed"",Inventory!A:A=A684)),"""")"),0.240855762594893)</f>
        <v>0.2408557626</v>
      </c>
      <c r="E684" s="234">
        <f>IFERROR(__xludf.DUMMYFUNCTION("IFERROR(AVERAGE(FILTER(Inventory!G:G,Inventory!J:J=""Closed"",Inventory!A:A=A684)),""0"")"),0.15999999999999998)</f>
        <v>0.16</v>
      </c>
      <c r="F684" s="235">
        <f>IFERROR(__xludf.DUMMYFUNCTION("IFERROR(SUM(FILTER(Inventory!G:G,Inventory!J:J=""Closed"",Inventory!A:A=A684)),""0"")"),0.31999999999999995)</f>
        <v>0.32</v>
      </c>
      <c r="G684" s="235">
        <f>IFERROR(__xludf.DUMMYFUNCTION("IFERROR(AVERAGE(FILTER(Inventory!K:K,Inventory!J:J=""Closed"",Inventory!A:A=A684)),"""")"),93.0)</f>
        <v>93</v>
      </c>
      <c r="H684" s="23" t="b">
        <v>0</v>
      </c>
      <c r="I684" s="236"/>
      <c r="J684" s="236">
        <f>MAXIFS(Inventory!D:D, Inventory!A:A, A:A)</f>
        <v>44463</v>
      </c>
      <c r="L684" s="23">
        <f>COUNTIFS(Inventory!A:A,A684,Inventory!J:J,"Open")</f>
        <v>0</v>
      </c>
    </row>
    <row r="685">
      <c r="A685" s="237" t="s">
        <v>190</v>
      </c>
      <c r="B685" s="23" t="str">
        <f>Publishers!A173</f>
        <v>Nightdive Studios</v>
      </c>
      <c r="C685" s="78">
        <f>COUNTIF(Inventory!A:A, A685)</f>
        <v>2</v>
      </c>
      <c r="D685" s="89">
        <f>IFERROR(__xludf.DUMMYFUNCTION("IFERROR(AVERAGE(FILTER(Inventory!H:H,Inventory!J:J=""Closed"",Inventory!A:A=A685)),"""")"),-49.0)</f>
        <v>-49</v>
      </c>
      <c r="E685" s="234">
        <f>IFERROR(__xludf.DUMMYFUNCTION("IFERROR(AVERAGE(FILTER(Inventory!G:G,Inventory!J:J=""Closed"",Inventory!A:A=A685)),""0"")"),-0.98)</f>
        <v>-0.98</v>
      </c>
      <c r="F685" s="235">
        <f>IFERROR(__xludf.DUMMYFUNCTION("IFERROR(SUM(FILTER(Inventory!G:G,Inventory!J:J=""Closed"",Inventory!A:A=A685)),""0"")"),-1.96)</f>
        <v>-1.96</v>
      </c>
      <c r="G685" s="235">
        <f>IFERROR(__xludf.DUMMYFUNCTION("IFERROR(AVERAGE(FILTER(Inventory!K:K,Inventory!J:J=""Closed"",Inventory!A:A=A685)),"""")"),1023.5)</f>
        <v>1023.5</v>
      </c>
      <c r="H685" s="23" t="b">
        <v>0</v>
      </c>
      <c r="I685" s="236"/>
      <c r="J685" s="236">
        <f>MAXIFS(Inventory!D:D, Inventory!A:A, A:A)</f>
        <v>45011</v>
      </c>
      <c r="L685" s="23">
        <f>COUNTIFS(Inventory!A:A,A685,Inventory!J:J,"Open")</f>
        <v>0</v>
      </c>
    </row>
    <row r="686">
      <c r="A686" s="237" t="s">
        <v>935</v>
      </c>
      <c r="B686" s="23" t="str">
        <f>Publishers!A63</f>
        <v>Curve Digital</v>
      </c>
      <c r="C686" s="78">
        <f>COUNTIF(Inventory!A:A, A686)</f>
        <v>1</v>
      </c>
      <c r="D686" s="89">
        <f>IFERROR(__xludf.DUMMYFUNCTION("IFERROR(AVERAGE(FILTER(Inventory!H:H,Inventory!J:J=""Closed"",Inventory!A:A=A686)),"""")"),1.0)</f>
        <v>1</v>
      </c>
      <c r="E686" s="234">
        <f>IFERROR(__xludf.DUMMYFUNCTION("IFERROR(AVERAGE(FILTER(Inventory!G:G,Inventory!J:J=""Closed"",Inventory!A:A=A686)),""0"")"),0.21)</f>
        <v>0.21</v>
      </c>
      <c r="F686" s="235">
        <f>IFERROR(__xludf.DUMMYFUNCTION("IFERROR(SUM(FILTER(Inventory!G:G,Inventory!J:J=""Closed"",Inventory!A:A=A686)),""0"")"),0.21)</f>
        <v>0.21</v>
      </c>
      <c r="G686" s="235">
        <f>IFERROR(__xludf.DUMMYFUNCTION("IFERROR(AVERAGE(FILTER(Inventory!K:K,Inventory!J:J=""Closed"",Inventory!A:A=A686)),"""")"),252.0)</f>
        <v>252</v>
      </c>
      <c r="H686" s="23" t="b">
        <v>0</v>
      </c>
      <c r="I686" s="236"/>
      <c r="J686" s="236">
        <f>MAXIFS(Inventory!D:D, Inventory!A:A, A:A)</f>
        <v>44492</v>
      </c>
      <c r="L686" s="23">
        <f>COUNTIFS(Inventory!A:A,A686,Inventory!J:J,"Open")</f>
        <v>0</v>
      </c>
    </row>
    <row r="687">
      <c r="A687" s="237" t="s">
        <v>876</v>
      </c>
      <c r="B687" s="23" t="str">
        <f>Publishers!A33</f>
        <v>Berserk Games</v>
      </c>
      <c r="C687" s="78">
        <f>COUNTIF(Inventory!A:A, A687)</f>
        <v>5</v>
      </c>
      <c r="D687" s="89">
        <f>IFERROR(__xludf.DUMMYFUNCTION("IFERROR(AVERAGE(FILTER(Inventory!H:H,Inventory!J:J=""Closed"",Inventory!A:A=A687)),"""")"),0.18541189207725645)</f>
        <v>0.1854118921</v>
      </c>
      <c r="E687" s="234">
        <f>IFERROR(__xludf.DUMMYFUNCTION("IFERROR(AVERAGE(FILTER(Inventory!G:G,Inventory!J:J=""Closed"",Inventory!A:A=A687)),""0"")"),3.842000000000001)</f>
        <v>3.842</v>
      </c>
      <c r="F687" s="235">
        <f>IFERROR(__xludf.DUMMYFUNCTION("IFERROR(SUM(FILTER(Inventory!G:G,Inventory!J:J=""Closed"",Inventory!A:A=A687)),""0"")"),19.210000000000004)</f>
        <v>19.21</v>
      </c>
      <c r="G687" s="235">
        <f>IFERROR(__xludf.DUMMYFUNCTION("IFERROR(AVERAGE(FILTER(Inventory!K:K,Inventory!J:J=""Closed"",Inventory!A:A=A687)),"""")"),45.0)</f>
        <v>45</v>
      </c>
      <c r="H687" s="23" t="b">
        <v>0</v>
      </c>
      <c r="I687" s="236"/>
      <c r="J687" s="236">
        <f>MAXIFS(Inventory!D:D, Inventory!A:A, A:A)</f>
        <v>45216</v>
      </c>
      <c r="L687" s="23">
        <f>COUNTIFS(Inventory!A:A,A687,Inventory!J:J,"Open")</f>
        <v>0</v>
      </c>
    </row>
    <row r="688">
      <c r="A688" s="237" t="s">
        <v>874</v>
      </c>
      <c r="B688" s="23" t="str">
        <f>Publishers!A33</f>
        <v>Berserk Games</v>
      </c>
      <c r="C688" s="78">
        <f>COUNTIF(Inventory!A:A, A688)</f>
        <v>1</v>
      </c>
      <c r="D688" s="89">
        <f>IFERROR(__xludf.DUMMYFUNCTION("IFERROR(AVERAGE(FILTER(Inventory!H:H,Inventory!J:J=""Closed"",Inventory!A:A=A688)),"""")"),0.3400755124056095)</f>
        <v>0.3400755124</v>
      </c>
      <c r="E688" s="234">
        <f>IFERROR(__xludf.DUMMYFUNCTION("IFERROR(AVERAGE(FILTER(Inventory!G:G,Inventory!J:J=""Closed"",Inventory!A:A=A688)),""0"")"),12.61)</f>
        <v>12.61</v>
      </c>
      <c r="F688" s="235">
        <f>IFERROR(__xludf.DUMMYFUNCTION("IFERROR(SUM(FILTER(Inventory!G:G,Inventory!J:J=""Closed"",Inventory!A:A=A688)),""0"")"),12.61)</f>
        <v>12.61</v>
      </c>
      <c r="G688" s="235">
        <f>IFERROR(__xludf.DUMMYFUNCTION("IFERROR(AVERAGE(FILTER(Inventory!K:K,Inventory!J:J=""Closed"",Inventory!A:A=A688)),"""")"),39.0)</f>
        <v>39</v>
      </c>
      <c r="H688" s="23" t="b">
        <v>0</v>
      </c>
      <c r="I688" s="236"/>
      <c r="J688" s="236">
        <f>MAXIFS(Inventory!D:D, Inventory!A:A, A:A)</f>
        <v>44226</v>
      </c>
      <c r="K688" s="23" t="str">
        <f>IMAGE("https://shared.akamai.steamstatic.com/store_item_assets/steam/apps/286160/header.jpg?t=1720948345")</f>
        <v/>
      </c>
      <c r="L688" s="23">
        <f>COUNTIFS(Inventory!A:A,A688,Inventory!J:J,"Open")</f>
        <v>0</v>
      </c>
    </row>
    <row r="689">
      <c r="A689" s="237" t="s">
        <v>1735</v>
      </c>
      <c r="B689" s="23" t="str">
        <f>Publishers!A52</f>
        <v>CI Games</v>
      </c>
      <c r="C689" s="78">
        <f>COUNTIF(Inventory!A:A, A689)</f>
        <v>4</v>
      </c>
      <c r="D689" s="89">
        <f>IFERROR(__xludf.DUMMYFUNCTION("IFERROR(AVERAGE(FILTER(Inventory!H:H,Inventory!J:J=""Closed"",Inventory!A:A=A689)),"""")"),-0.37396860238708335)</f>
        <v>-0.3739686024</v>
      </c>
      <c r="E689" s="234">
        <f>IFERROR(__xludf.DUMMYFUNCTION("IFERROR(AVERAGE(FILTER(Inventory!G:G,Inventory!J:J=""Closed"",Inventory!A:A=A689)),""0"")"),-1.5324999999999989)</f>
        <v>-1.5325</v>
      </c>
      <c r="F689" s="235">
        <f>IFERROR(__xludf.DUMMYFUNCTION("IFERROR(SUM(FILTER(Inventory!G:G,Inventory!J:J=""Closed"",Inventory!A:A=A689)),""0"")"),-6.1299999999999955)</f>
        <v>-6.13</v>
      </c>
      <c r="G689" s="235">
        <f>IFERROR(__xludf.DUMMYFUNCTION("IFERROR(AVERAGE(FILTER(Inventory!K:K,Inventory!J:J=""Closed"",Inventory!A:A=A689)),"""")"),159.0)</f>
        <v>159</v>
      </c>
      <c r="H689" s="23" t="b">
        <v>0</v>
      </c>
      <c r="I689" s="236"/>
      <c r="J689" s="236">
        <f>MAXIFS(Inventory!D:D, Inventory!A:A, A:A)</f>
        <v>45179</v>
      </c>
      <c r="L689" s="23">
        <f>COUNTIFS(Inventory!A:A,A689,Inventory!J:J,"Open")</f>
        <v>0</v>
      </c>
    </row>
    <row r="690">
      <c r="A690" s="237" t="s">
        <v>1752</v>
      </c>
      <c r="B690" s="23" t="str">
        <f>Publishers!A52</f>
        <v>CI Games</v>
      </c>
      <c r="C690" s="78">
        <f>COUNTIF(Inventory!A:A, A690)</f>
        <v>1</v>
      </c>
      <c r="D690" s="89">
        <f>IFERROR(__xludf.DUMMYFUNCTION("IFERROR(AVERAGE(FILTER(Inventory!H:H,Inventory!J:J=""Closed"",Inventory!A:A=A690)),"""")"),0.031594415870683304)</f>
        <v>0.03159441587</v>
      </c>
      <c r="E690" s="234">
        <f>IFERROR(__xludf.DUMMYFUNCTION("IFERROR(AVERAGE(FILTER(Inventory!G:G,Inventory!J:J=""Closed"",Inventory!A:A=A690)),""0"")"),0.4299999999999997)</f>
        <v>0.43</v>
      </c>
      <c r="F690" s="235">
        <f>IFERROR(__xludf.DUMMYFUNCTION("IFERROR(SUM(FILTER(Inventory!G:G,Inventory!J:J=""Closed"",Inventory!A:A=A690)),""0"")"),0.4299999999999997)</f>
        <v>0.43</v>
      </c>
      <c r="G690" s="235">
        <f>IFERROR(__xludf.DUMMYFUNCTION("IFERROR(AVERAGE(FILTER(Inventory!K:K,Inventory!J:J=""Closed"",Inventory!A:A=A690)),"""")"),72.0)</f>
        <v>72</v>
      </c>
      <c r="H690" s="23" t="b">
        <v>0</v>
      </c>
      <c r="I690" s="236"/>
      <c r="J690" s="236">
        <f>MAXIFS(Inventory!D:D, Inventory!A:A, A:A)</f>
        <v>44617</v>
      </c>
      <c r="L690" s="23">
        <f>COUNTIFS(Inventory!A:A,A690,Inventory!J:J,"Open")</f>
        <v>0</v>
      </c>
    </row>
    <row r="691">
      <c r="A691" s="233" t="s">
        <v>2933</v>
      </c>
      <c r="B691" s="23" t="str">
        <f>Publishers!A29</f>
        <v>BANDAI NAMCO</v>
      </c>
      <c r="C691" s="78">
        <f>COUNTIF(Inventory!A:A, A691)</f>
        <v>2</v>
      </c>
      <c r="D691" s="89">
        <f>IFERROR(__xludf.DUMMYFUNCTION("IFERROR(AVERAGE(FILTER(Inventory!H:H,Inventory!J:J=""Closed"",Inventory!A:A=A691)),"""")"),-0.17206858584268747)</f>
        <v>-0.1720685858</v>
      </c>
      <c r="E691" s="234">
        <f>IFERROR(__xludf.DUMMYFUNCTION("IFERROR(AVERAGE(FILTER(Inventory!G:G,Inventory!J:J=""Closed"",Inventory!A:A=A691)),""0"")"),-2.2399999999999984)</f>
        <v>-2.24</v>
      </c>
      <c r="F691" s="235">
        <f>IFERROR(__xludf.DUMMYFUNCTION("IFERROR(SUM(FILTER(Inventory!G:G,Inventory!J:J=""Closed"",Inventory!A:A=A691)),""0"")"),-4.479999999999997)</f>
        <v>-4.48</v>
      </c>
      <c r="G691" s="235">
        <f>IFERROR(__xludf.DUMMYFUNCTION("IFERROR(AVERAGE(FILTER(Inventory!K:K,Inventory!J:J=""Closed"",Inventory!A:A=A691)),"""")"),701.0)</f>
        <v>701</v>
      </c>
      <c r="H691" s="23" t="b">
        <v>0</v>
      </c>
      <c r="I691" s="236"/>
      <c r="J691" s="236">
        <f>MAXIFS(Inventory!D:D, Inventory!A:A, A:A)</f>
        <v>46163</v>
      </c>
      <c r="L691" s="23">
        <f>COUNTIFS(Inventory!A:A,A691,Inventory!J:J,"Open")</f>
        <v>0</v>
      </c>
    </row>
    <row r="692">
      <c r="A692" s="237" t="s">
        <v>91</v>
      </c>
      <c r="B692" s="23" t="str">
        <f>Publishers!A222</f>
        <v>SEGA</v>
      </c>
      <c r="C692" s="78">
        <f>COUNTIF(Inventory!A:A, A692)</f>
        <v>6</v>
      </c>
      <c r="D692" s="89">
        <f>IFERROR(__xludf.DUMMYFUNCTION("IFERROR(AVERAGE(FILTER(Inventory!H:H,Inventory!J:J=""Closed"",Inventory!A:A=A692)),"""")"),0.1942196814306123)</f>
        <v>0.1942196814</v>
      </c>
      <c r="E692" s="234">
        <f>IFERROR(__xludf.DUMMYFUNCTION("IFERROR(AVERAGE(FILTER(Inventory!G:G,Inventory!J:J=""Closed"",Inventory!A:A=A692)),""0"")"),2.338333333333334)</f>
        <v>2.338333333</v>
      </c>
      <c r="F692" s="235">
        <f>IFERROR(__xludf.DUMMYFUNCTION("IFERROR(SUM(FILTER(Inventory!G:G,Inventory!J:J=""Closed"",Inventory!A:A=A692)),""0"")"),14.030000000000003)</f>
        <v>14.03</v>
      </c>
      <c r="G692" s="235">
        <f>IFERROR(__xludf.DUMMYFUNCTION("IFERROR(AVERAGE(FILTER(Inventory!K:K,Inventory!J:J=""Closed"",Inventory!A:A=A692)),"""")"),135.5)</f>
        <v>135.5</v>
      </c>
      <c r="H692" s="78" t="b">
        <v>1</v>
      </c>
      <c r="I692" s="236"/>
      <c r="J692" s="236">
        <f>MAXIFS(Inventory!D:D, Inventory!A:A, A:A)</f>
        <v>45038</v>
      </c>
      <c r="L692" s="23">
        <f>COUNTIFS(Inventory!A:A,A692,Inventory!J:J,"Open")</f>
        <v>0</v>
      </c>
    </row>
    <row r="693">
      <c r="A693" s="237" t="s">
        <v>1039</v>
      </c>
      <c r="B693" s="23" t="str">
        <f>Publishers!A29</f>
        <v>BANDAI NAMCO</v>
      </c>
      <c r="C693" s="78">
        <f>COUNTIF(Inventory!A:A, A693)</f>
        <v>1</v>
      </c>
      <c r="D693" s="89">
        <f>IFERROR(__xludf.DUMMYFUNCTION("IFERROR(AVERAGE(FILTER(Inventory!H:H,Inventory!J:J=""Closed"",Inventory!A:A=A693)),"""")"),0.22847100175746934)</f>
        <v>0.2284710018</v>
      </c>
      <c r="E693" s="234">
        <f>IFERROR(__xludf.DUMMYFUNCTION("IFERROR(AVERAGE(FILTER(Inventory!G:G,Inventory!J:J=""Closed"",Inventory!A:A=A693)),""0"")"),1.3000000000000007)</f>
        <v>1.3</v>
      </c>
      <c r="F693" s="235">
        <f>IFERROR(__xludf.DUMMYFUNCTION("IFERROR(SUM(FILTER(Inventory!G:G,Inventory!J:J=""Closed"",Inventory!A:A=A693)),""0"")"),1.3000000000000007)</f>
        <v>1.3</v>
      </c>
      <c r="G693" s="235">
        <f>IFERROR(__xludf.DUMMYFUNCTION("IFERROR(AVERAGE(FILTER(Inventory!K:K,Inventory!J:J=""Closed"",Inventory!A:A=A693)),"""")"),6.0)</f>
        <v>6</v>
      </c>
      <c r="H693" s="23" t="b">
        <v>0</v>
      </c>
      <c r="I693" s="236"/>
      <c r="J693" s="236">
        <f>MAXIFS(Inventory!D:D, Inventory!A:A, A:A)</f>
        <v>44311</v>
      </c>
      <c r="L693" s="23">
        <f>COUNTIFS(Inventory!A:A,A693,Inventory!J:J,"Open")</f>
        <v>0</v>
      </c>
    </row>
    <row r="694">
      <c r="A694" s="233" t="s">
        <v>2399</v>
      </c>
      <c r="B694" s="23" t="str">
        <f>Publishers!A29</f>
        <v>BANDAI NAMCO</v>
      </c>
      <c r="C694" s="78">
        <f>COUNTIF(Inventory!A:A, A694)</f>
        <v>2</v>
      </c>
      <c r="D694" s="89">
        <f>IFERROR(__xludf.DUMMYFUNCTION("IFERROR(AVERAGE(FILTER(Inventory!H:H,Inventory!J:J=""Closed"",Inventory!A:A=A694)),"""")"),0.2402850044109969)</f>
        <v>0.2402850044</v>
      </c>
      <c r="E694" s="234">
        <f>IFERROR(__xludf.DUMMYFUNCTION("IFERROR(AVERAGE(FILTER(Inventory!G:G,Inventory!J:J=""Closed"",Inventory!A:A=A694)),""0"")"),5.595000000000001)</f>
        <v>5.595</v>
      </c>
      <c r="F694" s="235">
        <f>IFERROR(__xludf.DUMMYFUNCTION("IFERROR(SUM(FILTER(Inventory!G:G,Inventory!J:J=""Closed"",Inventory!A:A=A694)),""0"")"),11.190000000000001)</f>
        <v>11.19</v>
      </c>
      <c r="G694" s="235">
        <f>IFERROR(__xludf.DUMMYFUNCTION("IFERROR(AVERAGE(FILTER(Inventory!K:K,Inventory!J:J=""Closed"",Inventory!A:A=A694)),"""")"),19.0)</f>
        <v>19</v>
      </c>
      <c r="H694" s="23" t="b">
        <v>0</v>
      </c>
      <c r="I694" s="236"/>
      <c r="J694" s="236">
        <f>MAXIFS(Inventory!D:D, Inventory!A:A, A:A)</f>
        <v>44702</v>
      </c>
      <c r="L694" s="23">
        <f>COUNTIFS(Inventory!A:A,A694,Inventory!J:J,"Open")</f>
        <v>0</v>
      </c>
    </row>
    <row r="695">
      <c r="A695" s="233" t="s">
        <v>5949</v>
      </c>
      <c r="B695" s="23" t="str">
        <f>Publishers!A29</f>
        <v>BANDAI NAMCO</v>
      </c>
      <c r="C695" s="78">
        <f>COUNTIF(Inventory!A:A, A695)</f>
        <v>1</v>
      </c>
      <c r="D695" s="89">
        <f>IFERROR(__xludf.DUMMYFUNCTION("IFERROR(AVERAGE(FILTER(Inventory!H:H,Inventory!J:J=""Closed"",Inventory!A:A=A695)),"""")"),0.093353409335341)</f>
        <v>0.09335340934</v>
      </c>
      <c r="E695" s="234">
        <f>IFERROR(__xludf.DUMMYFUNCTION("IFERROR(AVERAGE(FILTER(Inventory!G:G,Inventory!J:J=""Closed"",Inventory!A:A=A695)),""0"")"),4.340000000000003)</f>
        <v>4.34</v>
      </c>
      <c r="F695" s="235">
        <f>IFERROR(__xludf.DUMMYFUNCTION("IFERROR(SUM(FILTER(Inventory!G:G,Inventory!J:J=""Closed"",Inventory!A:A=A695)),""0"")"),4.340000000000003)</f>
        <v>4.34</v>
      </c>
      <c r="G695" s="235">
        <f>IFERROR(__xludf.DUMMYFUNCTION("IFERROR(AVERAGE(FILTER(Inventory!K:K,Inventory!J:J=""Closed"",Inventory!A:A=A695)),"""")"),0.0)</f>
        <v>0</v>
      </c>
      <c r="H695" s="23" t="b">
        <v>0</v>
      </c>
      <c r="I695" s="236"/>
      <c r="J695" s="236">
        <f>MAXIFS(Inventory!D:D, Inventory!A:A, A:A)</f>
        <v>45324</v>
      </c>
      <c r="L695" s="23">
        <f>COUNTIFS(Inventory!A:A,A695,Inventory!J:J,"Open")</f>
        <v>0</v>
      </c>
    </row>
    <row r="696">
      <c r="A696" s="233" t="s">
        <v>5894</v>
      </c>
      <c r="B696" s="23" t="str">
        <f>Publishers!A71</f>
        <v>Devolver Digital</v>
      </c>
      <c r="C696" s="78">
        <f>COUNTIF(Inventory!A:A, A696)</f>
        <v>2</v>
      </c>
      <c r="D696" s="89">
        <f>IFERROR(__xludf.DUMMYFUNCTION("IFERROR(AVERAGE(FILTER(Inventory!H:H,Inventory!J:J=""Closed"",Inventory!A:A=A696)),"""")"),0.08801740580835596)</f>
        <v>0.08801740581</v>
      </c>
      <c r="E696" s="234">
        <f>IFERROR(__xludf.DUMMYFUNCTION("IFERROR(AVERAGE(FILTER(Inventory!G:G,Inventory!J:J=""Closed"",Inventory!A:A=A696)),""0"")"),1.365000000000001)</f>
        <v>1.365</v>
      </c>
      <c r="F696" s="235">
        <f>IFERROR(__xludf.DUMMYFUNCTION("IFERROR(SUM(FILTER(Inventory!G:G,Inventory!J:J=""Closed"",Inventory!A:A=A696)),""0"")"),2.730000000000002)</f>
        <v>2.73</v>
      </c>
      <c r="G696" s="235">
        <f>IFERROR(__xludf.DUMMYFUNCTION("IFERROR(AVERAGE(FILTER(Inventory!K:K,Inventory!J:J=""Closed"",Inventory!A:A=A696)),"""")"),74.0)</f>
        <v>74</v>
      </c>
      <c r="H696" s="23" t="b">
        <v>0</v>
      </c>
      <c r="I696" s="236"/>
      <c r="J696" s="236">
        <f>MAXIFS(Inventory!D:D, Inventory!A:A, A:A)</f>
        <v>45452</v>
      </c>
      <c r="L696" s="23">
        <f>COUNTIFS(Inventory!A:A,A696,Inventory!J:J,"Open")</f>
        <v>0</v>
      </c>
    </row>
    <row r="697">
      <c r="A697" s="237" t="s">
        <v>1175</v>
      </c>
      <c r="B697" s="23" t="str">
        <f>Publishers!A3</f>
        <v>10tons Ltd</v>
      </c>
      <c r="C697" s="78">
        <f>COUNTIF(Inventory!A:A, A697)</f>
        <v>7</v>
      </c>
      <c r="D697" s="89">
        <f>IFERROR(__xludf.DUMMYFUNCTION("IFERROR(AVERAGE(FILTER(Inventory!H:H,Inventory!J:J=""Closed"",Inventory!A:A=A697)),"""")"),0.31610542122637203)</f>
        <v>0.3161054212</v>
      </c>
      <c r="E697" s="234">
        <f>IFERROR(__xludf.DUMMYFUNCTION("IFERROR(AVERAGE(FILTER(Inventory!G:G,Inventory!J:J=""Closed"",Inventory!A:A=A697)),""0"")"),1.5185714285714285)</f>
        <v>1.518571429</v>
      </c>
      <c r="F697" s="235">
        <f>IFERROR(__xludf.DUMMYFUNCTION("IFERROR(SUM(FILTER(Inventory!G:G,Inventory!J:J=""Closed"",Inventory!A:A=A697)),""0"")"),10.629999999999999)</f>
        <v>10.63</v>
      </c>
      <c r="G697" s="235">
        <f>IFERROR(__xludf.DUMMYFUNCTION("IFERROR(AVERAGE(FILTER(Inventory!K:K,Inventory!J:J=""Closed"",Inventory!A:A=A697)),"""")"),21.285714285714285)</f>
        <v>21.28571429</v>
      </c>
      <c r="H697" s="23" t="b">
        <v>0</v>
      </c>
      <c r="I697" s="236"/>
      <c r="J697" s="236">
        <f>MAXIFS(Inventory!D:D, Inventory!A:A, A:A)</f>
        <v>44611</v>
      </c>
      <c r="L697" s="23">
        <f>COUNTIFS(Inventory!A:A,A697,Inventory!J:J,"Open")</f>
        <v>0</v>
      </c>
    </row>
    <row r="698">
      <c r="A698" s="237" t="s">
        <v>540</v>
      </c>
      <c r="B698" s="23" t="str">
        <f>Publishers!A3</f>
        <v>10tons Ltd</v>
      </c>
      <c r="C698" s="78">
        <f>COUNTIF(Inventory!A:A, A698)</f>
        <v>1</v>
      </c>
      <c r="D698" s="89">
        <f>IFERROR(__xludf.DUMMYFUNCTION("IFERROR(AVERAGE(FILTER(Inventory!H:H,Inventory!J:J=""Closed"",Inventory!A:A=A698)),"""")"),1.0)</f>
        <v>1</v>
      </c>
      <c r="E698" s="234">
        <f>IFERROR(__xludf.DUMMYFUNCTION("IFERROR(AVERAGE(FILTER(Inventory!G:G,Inventory!J:J=""Closed"",Inventory!A:A=A698)),""0"")"),0.77)</f>
        <v>0.77</v>
      </c>
      <c r="F698" s="235">
        <f>IFERROR(__xludf.DUMMYFUNCTION("IFERROR(SUM(FILTER(Inventory!G:G,Inventory!J:J=""Closed"",Inventory!A:A=A698)),""0"")"),0.77)</f>
        <v>0.77</v>
      </c>
      <c r="G698" s="235">
        <f>IFERROR(__xludf.DUMMYFUNCTION("IFERROR(AVERAGE(FILTER(Inventory!K:K,Inventory!J:J=""Closed"",Inventory!A:A=A698)),"""")"),6.0)</f>
        <v>6</v>
      </c>
      <c r="H698" s="23" t="b">
        <v>0</v>
      </c>
      <c r="I698" s="236"/>
      <c r="J698" s="236">
        <f>MAXIFS(Inventory!D:D, Inventory!A:A, A:A)</f>
        <v>44072</v>
      </c>
      <c r="L698" s="23">
        <f>COUNTIFS(Inventory!A:A,A698,Inventory!J:J,"Open")</f>
        <v>0</v>
      </c>
    </row>
    <row r="699">
      <c r="A699" s="233" t="s">
        <v>7408</v>
      </c>
      <c r="B699" s="23" t="str">
        <f>Publishers!A167</f>
        <v>Nacon</v>
      </c>
      <c r="C699" s="78">
        <f>COUNTIF(Inventory!A:A, A699)</f>
        <v>4</v>
      </c>
      <c r="D699" s="89">
        <f>IFERROR(__xludf.DUMMYFUNCTION("IFERROR(AVERAGE(FILTER(Inventory!H:H,Inventory!J:J=""Closed"",Inventory!A:A=A699)),"""")"),0.2068686179415351)</f>
        <v>0.2068686179</v>
      </c>
      <c r="E699" s="234">
        <f>IFERROR(__xludf.DUMMYFUNCTION("IFERROR(AVERAGE(FILTER(Inventory!G:G,Inventory!J:J=""Closed"",Inventory!A:A=A699)),""0"")"),6.839999999999999)</f>
        <v>6.84</v>
      </c>
      <c r="F699" s="235">
        <f>IFERROR(__xludf.DUMMYFUNCTION("IFERROR(SUM(FILTER(Inventory!G:G,Inventory!J:J=""Closed"",Inventory!A:A=A699)),""0"")"),27.359999999999996)</f>
        <v>27.36</v>
      </c>
      <c r="G699" s="235">
        <f>IFERROR(__xludf.DUMMYFUNCTION("IFERROR(AVERAGE(FILTER(Inventory!K:K,Inventory!J:J=""Closed"",Inventory!A:A=A699)),"""")"),23.25)</f>
        <v>23.25</v>
      </c>
      <c r="H699" s="78" t="b">
        <v>0</v>
      </c>
      <c r="I699" s="236"/>
      <c r="J699" s="236">
        <f>MAXIFS(Inventory!D:D, Inventory!A:A, A:A)</f>
        <v>45643</v>
      </c>
      <c r="K699" s="23" t="str">
        <f t="shared" ref="K699:K700" si="4">IMAGE("https://shared.akamai.steamstatic.com/store_item_assets/steam/apps/1249970/header.jpg?t=1726158500")</f>
        <v/>
      </c>
      <c r="L699" s="23">
        <f>COUNTIFS(Inventory!A:A,A699,Inventory!J:J,"Open")</f>
        <v>0</v>
      </c>
    </row>
    <row r="700">
      <c r="A700" s="233" t="s">
        <v>7426</v>
      </c>
      <c r="B700" s="23" t="str">
        <f>Publishers!A167</f>
        <v>Nacon</v>
      </c>
      <c r="C700" s="78">
        <f>COUNTIF(Inventory!A:A, A700)</f>
        <v>92</v>
      </c>
      <c r="D700" s="89">
        <f>IFERROR(__xludf.DUMMYFUNCTION("IFERROR(AVERAGE(FILTER(Inventory!H:H,Inventory!J:J=""Closed"",Inventory!A:A=A700)),"""")"),0.261615857771398)</f>
        <v>0.2616158578</v>
      </c>
      <c r="E700" s="234">
        <f>IFERROR(__xludf.DUMMYFUNCTION("IFERROR(AVERAGE(FILTER(Inventory!G:G,Inventory!J:J=""Closed"",Inventory!A:A=A700)),""0"")"),7.0495652173913035)</f>
        <v>7.049565217</v>
      </c>
      <c r="F700" s="235">
        <f>IFERROR(__xludf.DUMMYFUNCTION("IFERROR(SUM(FILTER(Inventory!G:G,Inventory!J:J=""Closed"",Inventory!A:A=A700)),""0"")"),648.56)</f>
        <v>648.56</v>
      </c>
      <c r="G700" s="235">
        <f>IFERROR(__xludf.DUMMYFUNCTION("IFERROR(AVERAGE(FILTER(Inventory!K:K,Inventory!J:J=""Closed"",Inventory!A:A=A700)),"""")"),1.0869565217391304)</f>
        <v>1.086956522</v>
      </c>
      <c r="H700" s="78" t="b">
        <v>1</v>
      </c>
      <c r="I700" s="236"/>
      <c r="J700" s="236">
        <f>MAXIFS(Inventory!D:D, Inventory!A:A, A:A)</f>
        <v>45597</v>
      </c>
      <c r="K700" s="23" t="str">
        <f t="shared" si="4"/>
        <v/>
      </c>
      <c r="L700" s="23">
        <f>COUNTIFS(Inventory!A:A,A700,Inventory!J:J,"Open")</f>
        <v>0</v>
      </c>
    </row>
    <row r="701">
      <c r="A701" s="233" t="s">
        <v>2246</v>
      </c>
      <c r="B701" s="23" t="str">
        <f>Publishers!A63</f>
        <v>Curve Digital</v>
      </c>
      <c r="C701" s="78">
        <f>COUNTIF(Inventory!A:A, A701)</f>
        <v>1</v>
      </c>
      <c r="D701" s="89">
        <f>IFERROR(__xludf.DUMMYFUNCTION("IFERROR(AVERAGE(FILTER(Inventory!H:H,Inventory!J:J=""Closed"",Inventory!A:A=A701)),"""")"),0.19610778443113766)</f>
        <v>0.1961077844</v>
      </c>
      <c r="E701" s="234">
        <f>IFERROR(__xludf.DUMMYFUNCTION("IFERROR(AVERAGE(FILTER(Inventory!G:G,Inventory!J:J=""Closed"",Inventory!A:A=A701)),""0"")"),2.619999999999999)</f>
        <v>2.62</v>
      </c>
      <c r="F701" s="235">
        <f>IFERROR(__xludf.DUMMYFUNCTION("IFERROR(SUM(FILTER(Inventory!G:G,Inventory!J:J=""Closed"",Inventory!A:A=A701)),""0"")"),2.619999999999999)</f>
        <v>2.62</v>
      </c>
      <c r="G701" s="235">
        <f>IFERROR(__xludf.DUMMYFUNCTION("IFERROR(AVERAGE(FILTER(Inventory!K:K,Inventory!J:J=""Closed"",Inventory!A:A=A701)),"""")"),34.0)</f>
        <v>34</v>
      </c>
      <c r="H701" s="23" t="b">
        <v>0</v>
      </c>
      <c r="I701" s="236"/>
      <c r="J701" s="236">
        <f>MAXIFS(Inventory!D:D, Inventory!A:A, A:A)</f>
        <v>44678</v>
      </c>
      <c r="L701" s="23">
        <f>COUNTIFS(Inventory!A:A,A701,Inventory!J:J,"Open")</f>
        <v>0</v>
      </c>
    </row>
    <row r="702">
      <c r="A702" s="237" t="s">
        <v>1749</v>
      </c>
      <c r="B702" s="23" t="str">
        <f>Publishers!A242</f>
        <v>Stoic Studio</v>
      </c>
      <c r="C702" s="78">
        <f>COUNTIF(Inventory!A:A, A702)</f>
        <v>1</v>
      </c>
      <c r="D702" s="89">
        <f>IFERROR(__xludf.DUMMYFUNCTION("IFERROR(AVERAGE(FILTER(Inventory!H:H,Inventory!J:J=""Closed"",Inventory!A:A=A702)),"""")"),0.36352040816326525)</f>
        <v>0.3635204082</v>
      </c>
      <c r="E702" s="234">
        <f>IFERROR(__xludf.DUMMYFUNCTION("IFERROR(AVERAGE(FILTER(Inventory!G:G,Inventory!J:J=""Closed"",Inventory!A:A=A702)),""0"")"),2.8499999999999996)</f>
        <v>2.85</v>
      </c>
      <c r="F702" s="235">
        <f>IFERROR(__xludf.DUMMYFUNCTION("IFERROR(SUM(FILTER(Inventory!G:G,Inventory!J:J=""Closed"",Inventory!A:A=A702)),""0"")"),2.8499999999999996)</f>
        <v>2.85</v>
      </c>
      <c r="G702" s="235">
        <f>IFERROR(__xludf.DUMMYFUNCTION("IFERROR(AVERAGE(FILTER(Inventory!K:K,Inventory!J:J=""Closed"",Inventory!A:A=A702)),"""")"),152.0)</f>
        <v>152</v>
      </c>
      <c r="H702" s="23" t="b">
        <v>0</v>
      </c>
      <c r="I702" s="236"/>
      <c r="J702" s="236">
        <f>MAXIFS(Inventory!D:D, Inventory!A:A, A:A)</f>
        <v>44696</v>
      </c>
      <c r="L702" s="23">
        <f>COUNTIFS(Inventory!A:A,A702,Inventory!J:J,"Open")</f>
        <v>0</v>
      </c>
    </row>
    <row r="703">
      <c r="A703" s="237" t="s">
        <v>684</v>
      </c>
      <c r="B703" s="23" t="str">
        <f>Publishers!A117</f>
        <v>Headup</v>
      </c>
      <c r="C703" s="78">
        <f>COUNTIF(Inventory!A:A, A703)</f>
        <v>1</v>
      </c>
      <c r="D703" s="89">
        <f>IFERROR(__xludf.DUMMYFUNCTION("IFERROR(AVERAGE(FILTER(Inventory!H:H,Inventory!J:J=""Closed"",Inventory!A:A=A703)),"""")"),0.7871485943775101)</f>
        <v>0.7871485944</v>
      </c>
      <c r="E703" s="234">
        <f>IFERROR(__xludf.DUMMYFUNCTION("IFERROR(AVERAGE(FILTER(Inventory!G:G,Inventory!J:J=""Closed"",Inventory!A:A=A703)),""0"")"),1.9600000000000002)</f>
        <v>1.96</v>
      </c>
      <c r="F703" s="235">
        <f>IFERROR(__xludf.DUMMYFUNCTION("IFERROR(SUM(FILTER(Inventory!G:G,Inventory!J:J=""Closed"",Inventory!A:A=A703)),""0"")"),1.9600000000000002)</f>
        <v>1.96</v>
      </c>
      <c r="G703" s="235">
        <f>IFERROR(__xludf.DUMMYFUNCTION("IFERROR(AVERAGE(FILTER(Inventory!K:K,Inventory!J:J=""Closed"",Inventory!A:A=A703)),"""")"),17.0)</f>
        <v>17</v>
      </c>
      <c r="H703" s="23" t="b">
        <v>0</v>
      </c>
      <c r="I703" s="236"/>
      <c r="J703" s="236">
        <f>MAXIFS(Inventory!D:D, Inventory!A:A, A:A)</f>
        <v>44129</v>
      </c>
      <c r="L703" s="23">
        <f>COUNTIFS(Inventory!A:A,A703,Inventory!J:J,"Open")</f>
        <v>0</v>
      </c>
    </row>
    <row r="704">
      <c r="A704" s="237" t="s">
        <v>149</v>
      </c>
      <c r="B704" s="23" t="str">
        <f>Publishers!A99</f>
        <v>Focus Home Interactive</v>
      </c>
      <c r="C704" s="78">
        <f>COUNTIF(Inventory!A:A, A704)</f>
        <v>9</v>
      </c>
      <c r="D704" s="89">
        <f>IFERROR(__xludf.DUMMYFUNCTION("IFERROR(AVERAGE(FILTER(Inventory!H:H,Inventory!J:J=""Closed"",Inventory!A:A=A704)),"""")"),0.2591415603764957)</f>
        <v>0.2591415604</v>
      </c>
      <c r="E704" s="234">
        <f>IFERROR(__xludf.DUMMYFUNCTION("IFERROR(AVERAGE(FILTER(Inventory!G:G,Inventory!J:J=""Closed"",Inventory!A:A=A704)),""0"")"),1.9122222222222218)</f>
        <v>1.912222222</v>
      </c>
      <c r="F704" s="235">
        <f>IFERROR(__xludf.DUMMYFUNCTION("IFERROR(SUM(FILTER(Inventory!G:G,Inventory!J:J=""Closed"",Inventory!A:A=A704)),""0"")"),17.209999999999997)</f>
        <v>17.21</v>
      </c>
      <c r="G704" s="235">
        <f>IFERROR(__xludf.DUMMYFUNCTION("IFERROR(AVERAGE(FILTER(Inventory!K:K,Inventory!J:J=""Closed"",Inventory!A:A=A704)),"""")"),49.888888888888886)</f>
        <v>49.88888889</v>
      </c>
      <c r="H704" s="23" t="b">
        <v>0</v>
      </c>
      <c r="I704" s="236"/>
      <c r="J704" s="236">
        <f>MAXIFS(Inventory!D:D, Inventory!A:A, A:A)</f>
        <v>45250</v>
      </c>
      <c r="L704" s="23">
        <f>COUNTIFS(Inventory!A:A,A704,Inventory!J:J,"Open")</f>
        <v>0</v>
      </c>
    </row>
    <row r="705">
      <c r="A705" s="233" t="s">
        <v>4226</v>
      </c>
      <c r="B705" s="23" t="str">
        <f>Publishers!A29</f>
        <v>BANDAI NAMCO</v>
      </c>
      <c r="C705" s="78">
        <f>COUNTIF(Inventory!A:A, A705)</f>
        <v>16</v>
      </c>
      <c r="D705" s="89">
        <f>IFERROR(__xludf.DUMMYFUNCTION("IFERROR(AVERAGE(FILTER(Inventory!H:H,Inventory!J:J=""Closed"",Inventory!A:A=A705)),"""")"),0.23937344170344135)</f>
        <v>0.2393734417</v>
      </c>
      <c r="E705" s="234">
        <f>IFERROR(__xludf.DUMMYFUNCTION("IFERROR(AVERAGE(FILTER(Inventory!G:G,Inventory!J:J=""Closed"",Inventory!A:A=A705)),""0"")"),5.109333333333335)</f>
        <v>5.109333333</v>
      </c>
      <c r="F705" s="235">
        <f>IFERROR(__xludf.DUMMYFUNCTION("IFERROR(SUM(FILTER(Inventory!G:G,Inventory!J:J=""Closed"",Inventory!A:A=A705)),""0"")"),76.64000000000001)</f>
        <v>76.64</v>
      </c>
      <c r="G705" s="235">
        <f>IFERROR(__xludf.DUMMYFUNCTION("IFERROR(AVERAGE(FILTER(Inventory!K:K,Inventory!J:J=""Closed"",Inventory!A:A=A705)),"""")"),19.4)</f>
        <v>19.4</v>
      </c>
      <c r="H705" s="78" t="b">
        <v>0</v>
      </c>
      <c r="I705" s="236"/>
      <c r="J705" s="236">
        <f>MAXIFS(Inventory!D:D, Inventory!A:A, A:A)</f>
        <v>45482</v>
      </c>
      <c r="L705" s="23">
        <f>COUNTIFS(Inventory!A:A,A705,Inventory!J:J,"Open")</f>
        <v>1</v>
      </c>
    </row>
    <row r="706">
      <c r="A706" s="233" t="s">
        <v>5378</v>
      </c>
      <c r="B706" s="23" t="str">
        <f>Publishers!A29</f>
        <v>BANDAI NAMCO</v>
      </c>
      <c r="C706" s="78">
        <f>COUNTIF(Inventory!A:A, A706)</f>
        <v>1</v>
      </c>
      <c r="D706" s="89">
        <f>IFERROR(__xludf.DUMMYFUNCTION("IFERROR(AVERAGE(FILTER(Inventory!H:H,Inventory!J:J=""Closed"",Inventory!A:A=A706)),"""")"),0.25897586815773976)</f>
        <v>0.2589758682</v>
      </c>
      <c r="E706" s="234">
        <f>IFERROR(__xludf.DUMMYFUNCTION("IFERROR(AVERAGE(FILTER(Inventory!G:G,Inventory!J:J=""Closed"",Inventory!A:A=A706)),""0"")"),4.399999999999999)</f>
        <v>4.4</v>
      </c>
      <c r="F706" s="235">
        <f>IFERROR(__xludf.DUMMYFUNCTION("IFERROR(SUM(FILTER(Inventory!G:G,Inventory!J:J=""Closed"",Inventory!A:A=A706)),""0"")"),4.399999999999999)</f>
        <v>4.4</v>
      </c>
      <c r="G706" s="235">
        <f>IFERROR(__xludf.DUMMYFUNCTION("IFERROR(AVERAGE(FILTER(Inventory!K:K,Inventory!J:J=""Closed"",Inventory!A:A=A706)),"""")"),5.0)</f>
        <v>5</v>
      </c>
      <c r="H706" s="78" t="b">
        <v>0</v>
      </c>
      <c r="I706" s="236"/>
      <c r="J706" s="236">
        <f>MAXIFS(Inventory!D:D, Inventory!A:A, A:A)</f>
        <v>45234</v>
      </c>
      <c r="L706" s="23">
        <f>COUNTIFS(Inventory!A:A,A706,Inventory!J:J,"Open")</f>
        <v>0</v>
      </c>
    </row>
    <row r="707">
      <c r="A707" s="233" t="s">
        <v>2412</v>
      </c>
      <c r="B707" s="23" t="str">
        <f>Publishers!A29</f>
        <v>BANDAI NAMCO</v>
      </c>
      <c r="C707" s="78">
        <f>COUNTIF(Inventory!A:A, A707)</f>
        <v>6</v>
      </c>
      <c r="D707" s="89">
        <f>IFERROR(__xludf.DUMMYFUNCTION("IFERROR(AVERAGE(FILTER(Inventory!H:H,Inventory!J:J=""Closed"",Inventory!A:A=A707)),"""")"),0.2570077506592458)</f>
        <v>0.2570077507</v>
      </c>
      <c r="E707" s="234">
        <f>IFERROR(__xludf.DUMMYFUNCTION("IFERROR(AVERAGE(FILTER(Inventory!G:G,Inventory!J:J=""Closed"",Inventory!A:A=A707)),""0"")"),5.466)</f>
        <v>5.466</v>
      </c>
      <c r="F707" s="235">
        <f>IFERROR(__xludf.DUMMYFUNCTION("IFERROR(SUM(FILTER(Inventory!G:G,Inventory!J:J=""Closed"",Inventory!A:A=A707)),""0"")"),27.330000000000002)</f>
        <v>27.33</v>
      </c>
      <c r="G707" s="235">
        <f>IFERROR(__xludf.DUMMYFUNCTION("IFERROR(AVERAGE(FILTER(Inventory!K:K,Inventory!J:J=""Closed"",Inventory!A:A=A707)),"""")"),6.8)</f>
        <v>6.8</v>
      </c>
      <c r="H707" s="78" t="b">
        <v>0</v>
      </c>
      <c r="I707" s="236"/>
      <c r="J707" s="236">
        <f>MAXIFS(Inventory!D:D, Inventory!A:A, A:A)</f>
        <v>44754</v>
      </c>
      <c r="L707" s="23">
        <f>COUNTIFS(Inventory!A:A,A707,Inventory!J:J,"Open")</f>
        <v>1</v>
      </c>
    </row>
    <row r="708">
      <c r="A708" s="233" t="s">
        <v>7317</v>
      </c>
      <c r="B708" s="23" t="str">
        <f>Publishers!A34</f>
        <v>Bethesda Softworks</v>
      </c>
      <c r="C708" s="78">
        <f>COUNTIF(Inventory!A:A, A708)</f>
        <v>3</v>
      </c>
      <c r="D708" s="89">
        <f>IFERROR(__xludf.DUMMYFUNCTION("IFERROR(AVERAGE(FILTER(Inventory!H:H,Inventory!J:J=""Closed"",Inventory!A:A=A708)),"""")"),0.006346909815887782)</f>
        <v>0.006346909816</v>
      </c>
      <c r="E708" s="234">
        <f>IFERROR(__xludf.DUMMYFUNCTION("IFERROR(AVERAGE(FILTER(Inventory!G:G,Inventory!J:J=""Closed"",Inventory!A:A=A708)),""0"")"),0.05666666666666664)</f>
        <v>0.05666666667</v>
      </c>
      <c r="F708" s="235">
        <f>IFERROR(__xludf.DUMMYFUNCTION("IFERROR(SUM(FILTER(Inventory!G:G,Inventory!J:J=""Closed"",Inventory!A:A=A708)),""0"")"),0.16999999999999993)</f>
        <v>0.17</v>
      </c>
      <c r="G708" s="235">
        <f>IFERROR(__xludf.DUMMYFUNCTION("IFERROR(AVERAGE(FILTER(Inventory!K:K,Inventory!J:J=""Closed"",Inventory!A:A=A708)),"""")"),310.6666666666667)</f>
        <v>310.6666667</v>
      </c>
      <c r="H708" s="78" t="b">
        <v>0</v>
      </c>
      <c r="I708" s="78">
        <v>6.6</v>
      </c>
      <c r="J708" s="236">
        <f>MAXIFS(Inventory!D:D, Inventory!A:A, A:A)</f>
        <v>45976</v>
      </c>
      <c r="L708" s="23">
        <f>COUNTIFS(Inventory!A:A,A708,Inventory!J:J,"Open")</f>
        <v>0</v>
      </c>
    </row>
    <row r="709">
      <c r="A709" s="233" t="s">
        <v>8865</v>
      </c>
      <c r="B709" s="23" t="str">
        <f>Publishers!A34</f>
        <v>Bethesda Softworks</v>
      </c>
      <c r="C709" s="78">
        <f>COUNTIF(Inventory!A:A, A709)</f>
        <v>69</v>
      </c>
      <c r="D709" s="89">
        <f>IFERROR(__xludf.DUMMYFUNCTION("IFERROR(AVERAGE(FILTER(Inventory!H:H,Inventory!J:J=""Closed"",Inventory!A:A=A709)),"""")"),0.14717686747491687)</f>
        <v>0.1471768675</v>
      </c>
      <c r="E709" s="234">
        <f>IFERROR(__xludf.DUMMYFUNCTION("IFERROR(AVERAGE(FILTER(Inventory!G:G,Inventory!J:J=""Closed"",Inventory!A:A=A709)),""0"")"),5.79014705882353)</f>
        <v>5.790147059</v>
      </c>
      <c r="F709" s="235">
        <f>IFERROR(__xludf.DUMMYFUNCTION("IFERROR(SUM(FILTER(Inventory!G:G,Inventory!J:J=""Closed"",Inventory!A:A=A709)),""0"")"),393.7300000000001)</f>
        <v>393.73</v>
      </c>
      <c r="G709" s="235">
        <f>IFERROR(__xludf.DUMMYFUNCTION("IFERROR(AVERAGE(FILTER(Inventory!K:K,Inventory!J:J=""Closed"",Inventory!A:A=A709)),"""")"),5.147058823529412)</f>
        <v>5.147058824</v>
      </c>
      <c r="H709" s="78" t="b">
        <v>0</v>
      </c>
      <c r="I709" s="78"/>
      <c r="J709" s="236">
        <f>MAXIFS(Inventory!D:D, Inventory!A:A, A:A)</f>
        <v>46158</v>
      </c>
      <c r="K709" s="23" t="str">
        <f>IMAGE("https://shared.fastly.steamstatic.com/store_item_assets/steam/apps/2623190/a7cee9165bb1bfc092c390c5cff215ce0e381dfc/header.jpg?t=1748360121")</f>
        <v/>
      </c>
      <c r="L709" s="23">
        <f>COUNTIFS(Inventory!A:A,A709,Inventory!J:J,"Open")</f>
        <v>0</v>
      </c>
    </row>
    <row r="710">
      <c r="A710" s="233" t="s">
        <v>3897</v>
      </c>
      <c r="B710" s="23" t="str">
        <f>Publishers!A34</f>
        <v>Bethesda Softworks</v>
      </c>
      <c r="C710" s="78">
        <f>COUNTIF(Inventory!A:A, A710)</f>
        <v>83</v>
      </c>
      <c r="D710" s="89">
        <f>IFERROR(__xludf.DUMMYFUNCTION("IFERROR(AVERAGE(FILTER(Inventory!H:H,Inventory!J:J=""Closed"",Inventory!A:A=A710)),"""")"),0.16653430953633014)</f>
        <v>0.1665343095</v>
      </c>
      <c r="E710" s="234">
        <f>IFERROR(__xludf.DUMMYFUNCTION("IFERROR(AVERAGE(FILTER(Inventory!G:G,Inventory!J:J=""Closed"",Inventory!A:A=A710)),""0"")"),0.860722891566264)</f>
        <v>0.8607228916</v>
      </c>
      <c r="F710" s="235">
        <f>IFERROR(__xludf.DUMMYFUNCTION("IFERROR(SUM(FILTER(Inventory!G:G,Inventory!J:J=""Closed"",Inventory!A:A=A710)),""0"")"),71.43999999999991)</f>
        <v>71.44</v>
      </c>
      <c r="G710" s="235">
        <f>IFERROR(__xludf.DUMMYFUNCTION("IFERROR(AVERAGE(FILTER(Inventory!K:K,Inventory!J:J=""Closed"",Inventory!A:A=A710)),"""")"),3.783132530120482)</f>
        <v>3.78313253</v>
      </c>
      <c r="H710" s="78" t="b">
        <v>0</v>
      </c>
      <c r="I710" s="78">
        <v>5.87</v>
      </c>
      <c r="J710" s="236">
        <f>MAXIFS(Inventory!D:D, Inventory!A:A, A:A)</f>
        <v>45309</v>
      </c>
      <c r="K710" s="23" t="str">
        <f>IMAGE("https://shared.akamai.steamstatic.com/store_item_assets/steam/apps/72850/header.jpg?t=1721923139")</f>
        <v/>
      </c>
      <c r="L710" s="23">
        <f>COUNTIFS(Inventory!A:A,A710,Inventory!J:J,"Open")</f>
        <v>0</v>
      </c>
    </row>
    <row r="711">
      <c r="A711" s="233" t="s">
        <v>3593</v>
      </c>
      <c r="B711" s="23" t="str">
        <f>Publishers!A34</f>
        <v>Bethesda Softworks</v>
      </c>
      <c r="C711" s="78">
        <f>COUNTIF(Inventory!A:A, A711)</f>
        <v>6</v>
      </c>
      <c r="D711" s="89">
        <f>IFERROR(__xludf.DUMMYFUNCTION("IFERROR(AVERAGE(FILTER(Inventory!H:H,Inventory!J:J=""Closed"",Inventory!A:A=A711)),"""")"),0.208768974467392)</f>
        <v>0.2087689745</v>
      </c>
      <c r="E711" s="234">
        <f>IFERROR(__xludf.DUMMYFUNCTION("IFERROR(AVERAGE(FILTER(Inventory!G:G,Inventory!J:J=""Closed"",Inventory!A:A=A711)),""0"")"),3.2900000000000005)</f>
        <v>3.29</v>
      </c>
      <c r="F711" s="235">
        <f>IFERROR(__xludf.DUMMYFUNCTION("IFERROR(SUM(FILTER(Inventory!G:G,Inventory!J:J=""Closed"",Inventory!A:A=A711)),""0"")"),16.450000000000003)</f>
        <v>16.45</v>
      </c>
      <c r="G711" s="235">
        <f>IFERROR(__xludf.DUMMYFUNCTION("IFERROR(AVERAGE(FILTER(Inventory!K:K,Inventory!J:J=""Closed"",Inventory!A:A=A711)),"""")"),161.6)</f>
        <v>161.6</v>
      </c>
      <c r="H711" s="78" t="b">
        <v>0</v>
      </c>
      <c r="I711" s="236"/>
      <c r="J711" s="236">
        <f>MAXIFS(Inventory!D:D, Inventory!A:A, A:A)</f>
        <v>45799</v>
      </c>
      <c r="L711" s="23">
        <f>COUNTIFS(Inventory!A:A,A711,Inventory!J:J,"Open")</f>
        <v>1</v>
      </c>
    </row>
    <row r="712">
      <c r="A712" s="237" t="s">
        <v>1832</v>
      </c>
      <c r="B712" s="23" t="str">
        <f>Publishers!A34</f>
        <v>Bethesda Softworks</v>
      </c>
      <c r="C712" s="78">
        <f>COUNTIF(Inventory!A:A, A712)</f>
        <v>11</v>
      </c>
      <c r="D712" s="89">
        <f>IFERROR(__xludf.DUMMYFUNCTION("IFERROR(AVERAGE(FILTER(Inventory!H:H,Inventory!J:J=""Closed"",Inventory!A:A=A712)),"""")"),0.13218433076584077)</f>
        <v>0.1321843308</v>
      </c>
      <c r="E712" s="234">
        <f>IFERROR(__xludf.DUMMYFUNCTION("IFERROR(AVERAGE(FILTER(Inventory!G:G,Inventory!J:J=""Closed"",Inventory!A:A=A712)),""0"")"),2.411818181818181)</f>
        <v>2.411818182</v>
      </c>
      <c r="F712" s="235">
        <f>IFERROR(__xludf.DUMMYFUNCTION("IFERROR(SUM(FILTER(Inventory!G:G,Inventory!J:J=""Closed"",Inventory!A:A=A712)),""0"")"),26.529999999999994)</f>
        <v>26.53</v>
      </c>
      <c r="G712" s="235">
        <f>IFERROR(__xludf.DUMMYFUNCTION("IFERROR(AVERAGE(FILTER(Inventory!K:K,Inventory!J:J=""Closed"",Inventory!A:A=A712)),"""")"),52.54545454545455)</f>
        <v>52.54545455</v>
      </c>
      <c r="H712" s="78" t="b">
        <v>1</v>
      </c>
      <c r="I712" s="236"/>
      <c r="J712" s="236">
        <f>MAXIFS(Inventory!D:D, Inventory!A:A, A:A)</f>
        <v>45768</v>
      </c>
      <c r="L712" s="23">
        <f>COUNTIFS(Inventory!A:A,A712,Inventory!J:J,"Open")</f>
        <v>0</v>
      </c>
    </row>
    <row r="713">
      <c r="A713" s="233" t="s">
        <v>4085</v>
      </c>
      <c r="B713" s="23" t="str">
        <f>Publishers!A34</f>
        <v>Bethesda Softworks</v>
      </c>
      <c r="C713" s="78">
        <f>COUNTIF(Inventory!A:A, A713)</f>
        <v>122</v>
      </c>
      <c r="D713" s="89">
        <f>IFERROR(__xludf.DUMMYFUNCTION("IFERROR(AVERAGE(FILTER(Inventory!H:H,Inventory!J:J=""Closed"",Inventory!A:A=A713)),"""")"),0.15733443370296146)</f>
        <v>0.1573344337</v>
      </c>
      <c r="E713" s="234">
        <f>IFERROR(__xludf.DUMMYFUNCTION("IFERROR(AVERAGE(FILTER(Inventory!G:G,Inventory!J:J=""Closed"",Inventory!A:A=A713)),""0"")"),1.1846721311475399)</f>
        <v>1.184672131</v>
      </c>
      <c r="F713" s="235">
        <f>IFERROR(__xludf.DUMMYFUNCTION("IFERROR(SUM(FILTER(Inventory!G:G,Inventory!J:J=""Closed"",Inventory!A:A=A713)),""0"")"),144.52999999999986)</f>
        <v>144.53</v>
      </c>
      <c r="G713" s="235">
        <f>IFERROR(__xludf.DUMMYFUNCTION("IFERROR(AVERAGE(FILTER(Inventory!K:K,Inventory!J:J=""Closed"",Inventory!A:A=A713)),"""")"),2.0655737704918034)</f>
        <v>2.06557377</v>
      </c>
      <c r="H713" s="78" t="b">
        <v>0</v>
      </c>
      <c r="I713" s="78">
        <v>8.87</v>
      </c>
      <c r="J713" s="236">
        <f>MAXIFS(Inventory!D:D, Inventory!A:A, A:A)</f>
        <v>45977</v>
      </c>
      <c r="K713" s="23" t="str">
        <f>image("https://shared.akamai.steamstatic.com/store_item_assets/steam/apps/2028782/header.jpg?t=1447358048")</f>
        <v/>
      </c>
      <c r="L713" s="23">
        <f>COUNTIFS(Inventory!A:A,A713,Inventory!J:J,"Open")</f>
        <v>0</v>
      </c>
    </row>
    <row r="714">
      <c r="A714" s="233" t="s">
        <v>6274</v>
      </c>
      <c r="B714" s="23" t="str">
        <f>Publishers!A34</f>
        <v>Bethesda Softworks</v>
      </c>
      <c r="C714" s="78">
        <f>COUNTIF(Inventory!A:A, A714)</f>
        <v>76</v>
      </c>
      <c r="D714" s="89">
        <f>IFERROR(__xludf.DUMMYFUNCTION("IFERROR(AVERAGE(FILTER(Inventory!H:H,Inventory!J:J=""Closed"",Inventory!A:A=A714)),"""")"),0.16095272355359772)</f>
        <v>0.1609527236</v>
      </c>
      <c r="E714" s="234">
        <f>IFERROR(__xludf.DUMMYFUNCTION("IFERROR(AVERAGE(FILTER(Inventory!G:G,Inventory!J:J=""Closed"",Inventory!A:A=A714)),""0"")"),1.4310526315789474)</f>
        <v>1.431052632</v>
      </c>
      <c r="F714" s="235">
        <f>IFERROR(__xludf.DUMMYFUNCTION("IFERROR(SUM(FILTER(Inventory!G:G,Inventory!J:J=""Closed"",Inventory!A:A=A714)),""0"")"),108.76)</f>
        <v>108.76</v>
      </c>
      <c r="G714" s="235">
        <f>IFERROR(__xludf.DUMMYFUNCTION("IFERROR(AVERAGE(FILTER(Inventory!K:K,Inventory!J:J=""Closed"",Inventory!A:A=A714)),"""")"),1.618421052631579)</f>
        <v>1.618421053</v>
      </c>
      <c r="H714" s="78" t="b">
        <v>0</v>
      </c>
      <c r="I714" s="78"/>
      <c r="J714" s="236">
        <f>MAXIFS(Inventory!D:D, Inventory!A:A, A:A)</f>
        <v>45546</v>
      </c>
      <c r="K714" s="23" t="str">
        <f>IMAGE("https://shared.akamai.steamstatic.com/store_item_assets/steam/apps/489830/header.jpg?t=1721923149")</f>
        <v/>
      </c>
      <c r="L714" s="23">
        <f>COUNTIFS(Inventory!A:A,A714,Inventory!J:J,"Open")</f>
        <v>0</v>
      </c>
    </row>
    <row r="715">
      <c r="A715" s="237" t="s">
        <v>1786</v>
      </c>
      <c r="B715" s="23" t="str">
        <f>Publishers!A34</f>
        <v>Bethesda Softworks</v>
      </c>
      <c r="C715" s="78">
        <f>COUNTIF(Inventory!A:A, A715)</f>
        <v>140</v>
      </c>
      <c r="D715" s="89">
        <f>IFERROR(__xludf.DUMMYFUNCTION("IFERROR(AVERAGE(FILTER(Inventory!H:H,Inventory!J:J=""Closed"",Inventory!A:A=A715)),"""")"),0.30971396854365224)</f>
        <v>0.3097139685</v>
      </c>
      <c r="E715" s="234">
        <f>IFERROR(__xludf.DUMMYFUNCTION("IFERROR(AVERAGE(FILTER(Inventory!G:G,Inventory!J:J=""Closed"",Inventory!A:A=A715)),""0"")"),4.999642857142858)</f>
        <v>4.999642857</v>
      </c>
      <c r="F715" s="235">
        <f>IFERROR(__xludf.DUMMYFUNCTION("IFERROR(SUM(FILTER(Inventory!G:G,Inventory!J:J=""Closed"",Inventory!A:A=A715)),""0"")"),699.95)</f>
        <v>699.95</v>
      </c>
      <c r="G715" s="235">
        <f>IFERROR(__xludf.DUMMYFUNCTION("IFERROR(AVERAGE(FILTER(Inventory!K:K,Inventory!J:J=""Closed"",Inventory!A:A=A715)),"""")"),3.342857142857143)</f>
        <v>3.342857143</v>
      </c>
      <c r="H715" s="78" t="b">
        <v>1</v>
      </c>
      <c r="I715" s="78">
        <v>23.18</v>
      </c>
      <c r="J715" s="236">
        <f>MAXIFS(Inventory!D:D, Inventory!A:A, A:A)</f>
        <v>45829</v>
      </c>
      <c r="K715" s="23" t="str">
        <f>IMAGE("https://shared.akamai.steamstatic.com/store_item_assets/steam/apps/611670/header.jpg?t=1564002443")</f>
        <v/>
      </c>
      <c r="L715" s="23">
        <f>COUNTIFS(Inventory!A:A,A715,Inventory!J:J,"Open")</f>
        <v>0</v>
      </c>
    </row>
    <row r="716">
      <c r="A716" s="233" t="s">
        <v>2517</v>
      </c>
      <c r="B716" s="23" t="str">
        <f>Publishers!A34</f>
        <v>Bethesda Softworks</v>
      </c>
      <c r="C716" s="78">
        <f>COUNTIF(Inventory!A:A, A716)</f>
        <v>2</v>
      </c>
      <c r="D716" s="89">
        <f>IFERROR(__xludf.DUMMYFUNCTION("IFERROR(AVERAGE(FILTER(Inventory!H:H,Inventory!J:J=""Closed"",Inventory!A:A=A716)),"""")"),0.26733750616644286)</f>
        <v>0.2673375062</v>
      </c>
      <c r="E716" s="234">
        <f>IFERROR(__xludf.DUMMYFUNCTION("IFERROR(AVERAGE(FILTER(Inventory!G:G,Inventory!J:J=""Closed"",Inventory!A:A=A716)),""0"")"),6.745)</f>
        <v>6.745</v>
      </c>
      <c r="F716" s="235">
        <f>IFERROR(__xludf.DUMMYFUNCTION("IFERROR(SUM(FILTER(Inventory!G:G,Inventory!J:J=""Closed"",Inventory!A:A=A716)),""0"")"),13.49)</f>
        <v>13.49</v>
      </c>
      <c r="G716" s="235">
        <f>IFERROR(__xludf.DUMMYFUNCTION("IFERROR(AVERAGE(FILTER(Inventory!K:K,Inventory!J:J=""Closed"",Inventory!A:A=A716)),"""")"),11.5)</f>
        <v>11.5</v>
      </c>
      <c r="H716" s="78" t="b">
        <v>0</v>
      </c>
      <c r="I716" s="236"/>
      <c r="J716" s="236">
        <f>MAXIFS(Inventory!D:D, Inventory!A:A, A:A)</f>
        <v>45018</v>
      </c>
      <c r="L716" s="23">
        <f>COUNTIFS(Inventory!A:A,A716,Inventory!J:J,"Open")</f>
        <v>0</v>
      </c>
    </row>
    <row r="717">
      <c r="A717" s="233" t="s">
        <v>3798</v>
      </c>
      <c r="B717" s="23" t="str">
        <f>Publishers!A112</f>
        <v>Good Shepherd Entertainment</v>
      </c>
      <c r="C717" s="78">
        <f>COUNTIF(Inventory!A:A, A717)</f>
        <v>5</v>
      </c>
      <c r="D717" s="89">
        <f>IFERROR(__xludf.DUMMYFUNCTION("IFERROR(AVERAGE(FILTER(Inventory!H:H,Inventory!J:J=""Closed"",Inventory!A:A=A717)),"""")"),0.4082540287415364)</f>
        <v>0.4082540287</v>
      </c>
      <c r="E717" s="234">
        <f>IFERROR(__xludf.DUMMYFUNCTION("IFERROR(AVERAGE(FILTER(Inventory!G:G,Inventory!J:J=""Closed"",Inventory!A:A=A717)),""0"")"),5.957500000000001)</f>
        <v>5.9575</v>
      </c>
      <c r="F717" s="235">
        <f>IFERROR(__xludf.DUMMYFUNCTION("IFERROR(SUM(FILTER(Inventory!G:G,Inventory!J:J=""Closed"",Inventory!A:A=A717)),""0"")"),23.830000000000005)</f>
        <v>23.83</v>
      </c>
      <c r="G717" s="235">
        <f>IFERROR(__xludf.DUMMYFUNCTION("IFERROR(AVERAGE(FILTER(Inventory!K:K,Inventory!J:J=""Closed"",Inventory!A:A=A717)),"""")"),8.0)</f>
        <v>8</v>
      </c>
      <c r="H717" s="78" t="b">
        <v>0</v>
      </c>
      <c r="I717" s="236"/>
      <c r="J717" s="236">
        <f>MAXIFS(Inventory!D:D, Inventory!A:A, A:A)</f>
        <v>45171</v>
      </c>
      <c r="L717" s="23">
        <f>COUNTIFS(Inventory!A:A,A717,Inventory!J:J,"Open")</f>
        <v>1</v>
      </c>
    </row>
    <row r="718">
      <c r="A718" s="237" t="s">
        <v>454</v>
      </c>
      <c r="B718" s="23" t="str">
        <f>Publishers!A185</f>
        <v>Over The Moon</v>
      </c>
      <c r="C718" s="78">
        <f>COUNTIF(Inventory!A:A, A718)</f>
        <v>1</v>
      </c>
      <c r="D718" s="89">
        <f>IFERROR(__xludf.DUMMYFUNCTION("IFERROR(AVERAGE(FILTER(Inventory!H:H,Inventory!J:J=""Closed"",Inventory!A:A=A718)),"""")"),0.08385093167701864)</f>
        <v>0.08385093168</v>
      </c>
      <c r="E718" s="234">
        <f>IFERROR(__xludf.DUMMYFUNCTION("IFERROR(AVERAGE(FILTER(Inventory!G:G,Inventory!J:J=""Closed"",Inventory!A:A=A718)),""0"")"),0.27)</f>
        <v>0.27</v>
      </c>
      <c r="F718" s="235">
        <f>IFERROR(__xludf.DUMMYFUNCTION("IFERROR(SUM(FILTER(Inventory!G:G,Inventory!J:J=""Closed"",Inventory!A:A=A718)),""0"")"),0.27)</f>
        <v>0.27</v>
      </c>
      <c r="G718" s="235">
        <f>IFERROR(__xludf.DUMMYFUNCTION("IFERROR(AVERAGE(FILTER(Inventory!K:K,Inventory!J:J=""Closed"",Inventory!A:A=A718)),"""")"),102.0)</f>
        <v>102</v>
      </c>
      <c r="H718" s="23" t="b">
        <v>0</v>
      </c>
      <c r="I718" s="236"/>
      <c r="J718" s="236">
        <f>MAXIFS(Inventory!D:D, Inventory!A:A, A:A)</f>
        <v>44154</v>
      </c>
      <c r="L718" s="23">
        <f>COUNTIFS(Inventory!A:A,A718,Inventory!J:J,"Open")</f>
        <v>0</v>
      </c>
    </row>
    <row r="719">
      <c r="A719" s="237" t="s">
        <v>1609</v>
      </c>
      <c r="B719" s="23" t="str">
        <f>Publishers!A68</f>
        <v>Dear Villagers</v>
      </c>
      <c r="C719" s="78">
        <f>COUNTIF(Inventory!A:A, A719)</f>
        <v>11</v>
      </c>
      <c r="D719" s="89">
        <f>IFERROR(__xludf.DUMMYFUNCTION("IFERROR(AVERAGE(FILTER(Inventory!H:H,Inventory!J:J=""Closed"",Inventory!A:A=A719)),"""")"),0.13485826062985226)</f>
        <v>0.1348582606</v>
      </c>
      <c r="E719" s="234">
        <f>IFERROR(__xludf.DUMMYFUNCTION("IFERROR(AVERAGE(FILTER(Inventory!G:G,Inventory!J:J=""Closed"",Inventory!A:A=A719)),""0"")"),2.0099999999999993)</f>
        <v>2.01</v>
      </c>
      <c r="F719" s="235">
        <f>IFERROR(__xludf.DUMMYFUNCTION("IFERROR(SUM(FILTER(Inventory!G:G,Inventory!J:J=""Closed"",Inventory!A:A=A719)),""0"")"),20.099999999999994)</f>
        <v>20.1</v>
      </c>
      <c r="G719" s="235">
        <f>IFERROR(__xludf.DUMMYFUNCTION("IFERROR(AVERAGE(FILTER(Inventory!K:K,Inventory!J:J=""Closed"",Inventory!A:A=A719)),"""")"),16.0)</f>
        <v>16</v>
      </c>
      <c r="H719" s="23" t="b">
        <v>0</v>
      </c>
      <c r="I719" s="236"/>
      <c r="J719" s="236">
        <f>MAXIFS(Inventory!D:D, Inventory!A:A, A:A)</f>
        <v>45021</v>
      </c>
      <c r="L719" s="23">
        <f>COUNTIFS(Inventory!A:A,A719,Inventory!J:J,"Open")</f>
        <v>1</v>
      </c>
    </row>
    <row r="720">
      <c r="A720" s="233" t="s">
        <v>2951</v>
      </c>
      <c r="B720" s="23" t="str">
        <f>Publishers!A153</f>
        <v>Marmalade Game Studio</v>
      </c>
      <c r="C720" s="78">
        <f>COUNTIF(Inventory!A:A, A720)</f>
        <v>3</v>
      </c>
      <c r="D720" s="89">
        <f>IFERROR(__xludf.DUMMYFUNCTION("IFERROR(AVERAGE(FILTER(Inventory!H:H,Inventory!J:J=""Closed"",Inventory!A:A=A720)),"""")"),0.3134532877386779)</f>
        <v>0.3134532877</v>
      </c>
      <c r="E720" s="234">
        <f>IFERROR(__xludf.DUMMYFUNCTION("IFERROR(AVERAGE(FILTER(Inventory!G:G,Inventory!J:J=""Closed"",Inventory!A:A=A720)),""0"")"),2.193333333333333)</f>
        <v>2.193333333</v>
      </c>
      <c r="F720" s="235">
        <f>IFERROR(__xludf.DUMMYFUNCTION("IFERROR(SUM(FILTER(Inventory!G:G,Inventory!J:J=""Closed"",Inventory!A:A=A720)),""0"")"),6.579999999999999)</f>
        <v>6.58</v>
      </c>
      <c r="G720" s="235">
        <f>IFERROR(__xludf.DUMMYFUNCTION("IFERROR(AVERAGE(FILTER(Inventory!K:K,Inventory!J:J=""Closed"",Inventory!A:A=A720)),"""")"),18.0)</f>
        <v>18</v>
      </c>
      <c r="H720" s="23" t="b">
        <v>0</v>
      </c>
      <c r="I720" s="236"/>
      <c r="J720" s="236">
        <f>MAXIFS(Inventory!D:D, Inventory!A:A, A:A)</f>
        <v>46134</v>
      </c>
      <c r="L720" s="23">
        <f>COUNTIFS(Inventory!A:A,A720,Inventory!J:J,"Open")</f>
        <v>0</v>
      </c>
    </row>
    <row r="721">
      <c r="A721" s="237" t="s">
        <v>1363</v>
      </c>
      <c r="B721" s="23" t="str">
        <f>Publishers!A261</f>
        <v>The Voxel Agents</v>
      </c>
      <c r="C721" s="78">
        <f>COUNTIF(Inventory!A:A, A721)</f>
        <v>4</v>
      </c>
      <c r="D721" s="89">
        <f>IFERROR(__xludf.DUMMYFUNCTION("IFERROR(AVERAGE(FILTER(Inventory!H:H,Inventory!J:J=""Closed"",Inventory!A:A=A721)),"""")"),0.3053562294249214)</f>
        <v>0.3053562294</v>
      </c>
      <c r="E721" s="234">
        <f>IFERROR(__xludf.DUMMYFUNCTION("IFERROR(AVERAGE(FILTER(Inventory!G:G,Inventory!J:J=""Closed"",Inventory!A:A=A721)),""0"")"),1.0075)</f>
        <v>1.0075</v>
      </c>
      <c r="F721" s="235">
        <f>IFERROR(__xludf.DUMMYFUNCTION("IFERROR(SUM(FILTER(Inventory!G:G,Inventory!J:J=""Closed"",Inventory!A:A=A721)),""0"")"),4.03)</f>
        <v>4.03</v>
      </c>
      <c r="G721" s="235">
        <f>IFERROR(__xludf.DUMMYFUNCTION("IFERROR(AVERAGE(FILTER(Inventory!K:K,Inventory!J:J=""Closed"",Inventory!A:A=A721)),"""")"),93.75)</f>
        <v>93.75</v>
      </c>
      <c r="H721" s="23" t="b">
        <v>0</v>
      </c>
      <c r="I721" s="236"/>
      <c r="J721" s="236">
        <f>MAXIFS(Inventory!D:D, Inventory!A:A, A:A)</f>
        <v>44692</v>
      </c>
      <c r="L721" s="23">
        <f>COUNTIFS(Inventory!A:A,A721,Inventory!J:J,"Open")</f>
        <v>0</v>
      </c>
    </row>
    <row r="722">
      <c r="A722" s="237" t="s">
        <v>120</v>
      </c>
      <c r="B722" s="23" t="str">
        <f>Publishers!A116</f>
        <v>HB Studios</v>
      </c>
      <c r="C722" s="78">
        <f>COUNTIF(Inventory!A:A, A722)</f>
        <v>2</v>
      </c>
      <c r="D722" s="89">
        <f>IFERROR(__xludf.DUMMYFUNCTION("IFERROR(AVERAGE(FILTER(Inventory!H:H,Inventory!J:J=""Closed"",Inventory!A:A=A722)),"""")"),1.0)</f>
        <v>1</v>
      </c>
      <c r="E722" s="234">
        <f>IFERROR(__xludf.DUMMYFUNCTION("IFERROR(AVERAGE(FILTER(Inventory!G:G,Inventory!J:J=""Closed"",Inventory!A:A=A722)),""0"")"),5.385)</f>
        <v>5.385</v>
      </c>
      <c r="F722" s="235">
        <f>IFERROR(__xludf.DUMMYFUNCTION("IFERROR(SUM(FILTER(Inventory!G:G,Inventory!J:J=""Closed"",Inventory!A:A=A722)),""0"")"),10.77)</f>
        <v>10.77</v>
      </c>
      <c r="G722" s="235">
        <f>IFERROR(__xludf.DUMMYFUNCTION("IFERROR(AVERAGE(FILTER(Inventory!K:K,Inventory!J:J=""Closed"",Inventory!A:A=A722)),"""")"),4.0)</f>
        <v>4</v>
      </c>
      <c r="H722" s="23" t="b">
        <v>0</v>
      </c>
      <c r="I722" s="236"/>
      <c r="J722" s="236">
        <f>MAXIFS(Inventory!D:D, Inventory!A:A, A:A)</f>
        <v>43971</v>
      </c>
      <c r="L722" s="23">
        <f>COUNTIFS(Inventory!A:A,A722,Inventory!J:J,"Open")</f>
        <v>0</v>
      </c>
    </row>
    <row r="723">
      <c r="A723" s="237" t="s">
        <v>622</v>
      </c>
      <c r="B723" s="23" t="str">
        <f>Publishers!A39</f>
        <v>Blue Brain Games</v>
      </c>
      <c r="C723" s="78">
        <f>COUNTIF(Inventory!A:A, A723)</f>
        <v>15</v>
      </c>
      <c r="D723" s="89">
        <f>IFERROR(__xludf.DUMMYFUNCTION("IFERROR(AVERAGE(FILTER(Inventory!H:H,Inventory!J:J=""Closed"",Inventory!A:A=A723)),"""")"),0.2842610525787653)</f>
        <v>0.2842610526</v>
      </c>
      <c r="E723" s="234">
        <f>IFERROR(__xludf.DUMMYFUNCTION("IFERROR(AVERAGE(FILTER(Inventory!G:G,Inventory!J:J=""Closed"",Inventory!A:A=A723)),""0"")"),1.1873333333333336)</f>
        <v>1.187333333</v>
      </c>
      <c r="F723" s="235">
        <f>IFERROR(__xludf.DUMMYFUNCTION("IFERROR(SUM(FILTER(Inventory!G:G,Inventory!J:J=""Closed"",Inventory!A:A=A723)),""0"")"),17.810000000000002)</f>
        <v>17.81</v>
      </c>
      <c r="G723" s="235">
        <f>IFERROR(__xludf.DUMMYFUNCTION("IFERROR(AVERAGE(FILTER(Inventory!K:K,Inventory!J:J=""Closed"",Inventory!A:A=A723)),"""")"),17.066666666666666)</f>
        <v>17.06666667</v>
      </c>
      <c r="H723" s="78" t="b">
        <v>1</v>
      </c>
      <c r="I723" s="236"/>
      <c r="J723" s="236">
        <f>MAXIFS(Inventory!D:D, Inventory!A:A, A:A)</f>
        <v>44933</v>
      </c>
      <c r="L723" s="23">
        <f>COUNTIFS(Inventory!A:A,A723,Inventory!J:J,"Open")</f>
        <v>0</v>
      </c>
    </row>
    <row r="724">
      <c r="A724" s="233" t="s">
        <v>2395</v>
      </c>
      <c r="B724" s="23" t="str">
        <f>Publishers!A39</f>
        <v>Blue Brain Games</v>
      </c>
      <c r="C724" s="78">
        <f>COUNTIF(Inventory!A:A, A724)</f>
        <v>17</v>
      </c>
      <c r="D724" s="89">
        <f>IFERROR(__xludf.DUMMYFUNCTION("IFERROR(AVERAGE(FILTER(Inventory!H:H,Inventory!J:J=""Closed"",Inventory!A:A=A724)),"""")"),0.23618404091683387)</f>
        <v>0.2361840409</v>
      </c>
      <c r="E724" s="234">
        <f>IFERROR(__xludf.DUMMYFUNCTION("IFERROR(AVERAGE(FILTER(Inventory!G:G,Inventory!J:J=""Closed"",Inventory!A:A=A724)),""0"")"),3.0017647058823522)</f>
        <v>3.001764706</v>
      </c>
      <c r="F724" s="235">
        <f>IFERROR(__xludf.DUMMYFUNCTION("IFERROR(SUM(FILTER(Inventory!G:G,Inventory!J:J=""Closed"",Inventory!A:A=A724)),""0"")"),51.02999999999999)</f>
        <v>51.03</v>
      </c>
      <c r="G724" s="235">
        <f>IFERROR(__xludf.DUMMYFUNCTION("IFERROR(AVERAGE(FILTER(Inventory!K:K,Inventory!J:J=""Closed"",Inventory!A:A=A724)),"""")"),46.1764705882353)</f>
        <v>46.17647059</v>
      </c>
      <c r="H724" s="78" t="b">
        <v>0</v>
      </c>
      <c r="I724" s="78">
        <v>18.79</v>
      </c>
      <c r="J724" s="236">
        <f>MAXIFS(Inventory!D:D, Inventory!A:A, A:A)</f>
        <v>45362</v>
      </c>
      <c r="L724" s="23">
        <f>COUNTIFS(Inventory!A:A,A724,Inventory!J:J,"Open")</f>
        <v>0</v>
      </c>
    </row>
    <row r="725">
      <c r="A725" s="233" t="s">
        <v>5478</v>
      </c>
      <c r="B725" s="23" t="str">
        <f>Publishers!A4</f>
        <v>11 bit studios</v>
      </c>
      <c r="C725" s="78">
        <f>COUNTIF(Inventory!A:A, A725)</f>
        <v>1</v>
      </c>
      <c r="D725" s="89" t="str">
        <f>IFERROR(__xludf.DUMMYFUNCTION("IFERROR(AVERAGE(FILTER(Inventory!H:H,Inventory!J:J=""Closed"",Inventory!A:A=A725)),"""")"),"")</f>
        <v/>
      </c>
      <c r="E725" s="234" t="str">
        <f>IFERROR(__xludf.DUMMYFUNCTION("IFERROR(AVERAGE(FILTER(Inventory!G:G,Inventory!J:J=""Closed"",Inventory!A:A=A725)),""0"")"),"0")</f>
        <v>0</v>
      </c>
      <c r="F725" s="235" t="str">
        <f>IFERROR(__xludf.DUMMYFUNCTION("IFERROR(SUM(FILTER(Inventory!G:G,Inventory!J:J=""Closed"",Inventory!A:A=A725)),""0"")"),"0")</f>
        <v>0</v>
      </c>
      <c r="G725" s="235" t="str">
        <f>IFERROR(__xludf.DUMMYFUNCTION("IFERROR(AVERAGE(FILTER(Inventory!K:K,Inventory!J:J=""Closed"",Inventory!A:A=A725)),"""")"),"")</f>
        <v/>
      </c>
      <c r="H725" s="78" t="b">
        <v>0</v>
      </c>
      <c r="I725" s="78"/>
      <c r="J725" s="236">
        <f>MAXIFS(Inventory!D:D, Inventory!A:A, A:A)</f>
        <v>0</v>
      </c>
      <c r="L725" s="23">
        <f>COUNTIFS(Inventory!A:A,A725,Inventory!J:J,"Open")</f>
        <v>1</v>
      </c>
    </row>
    <row r="726">
      <c r="A726" s="233" t="s">
        <v>5476</v>
      </c>
      <c r="B726" s="23" t="str">
        <f>Publishers!A120</f>
        <v>Humble Games</v>
      </c>
      <c r="C726" s="78">
        <f>COUNTIF(Inventory!A:A, A726)</f>
        <v>2</v>
      </c>
      <c r="D726" s="89">
        <f>IFERROR(__xludf.DUMMYFUNCTION("IFERROR(AVERAGE(FILTER(Inventory!H:H,Inventory!J:J=""Closed"",Inventory!A:A=A726)),"""")"),0.268330250459186)</f>
        <v>0.2683302505</v>
      </c>
      <c r="E726" s="234">
        <f>IFERROR(__xludf.DUMMYFUNCTION("IFERROR(AVERAGE(FILTER(Inventory!G:G,Inventory!J:J=""Closed"",Inventory!A:A=A726)),""0"")"),5.640000000000001)</f>
        <v>5.64</v>
      </c>
      <c r="F726" s="235">
        <f>IFERROR(__xludf.DUMMYFUNCTION("IFERROR(SUM(FILTER(Inventory!G:G,Inventory!J:J=""Closed"",Inventory!A:A=A726)),""0"")"),11.280000000000001)</f>
        <v>11.28</v>
      </c>
      <c r="G726" s="235">
        <f>IFERROR(__xludf.DUMMYFUNCTION("IFERROR(AVERAGE(FILTER(Inventory!K:K,Inventory!J:J=""Closed"",Inventory!A:A=A726)),"""")"),75.5)</f>
        <v>75.5</v>
      </c>
      <c r="H726" s="78" t="b">
        <v>0</v>
      </c>
      <c r="I726" s="78"/>
      <c r="J726" s="236">
        <f>MAXIFS(Inventory!D:D, Inventory!A:A, A:A)</f>
        <v>45457</v>
      </c>
      <c r="L726" s="23">
        <f>COUNTIFS(Inventory!A:A,A726,Inventory!J:J,"Open")</f>
        <v>0</v>
      </c>
    </row>
    <row r="727">
      <c r="A727" s="237" t="s">
        <v>829</v>
      </c>
      <c r="B727" s="23" t="str">
        <f>Publishers!A132</f>
        <v>Jackbox Games</v>
      </c>
      <c r="C727" s="78">
        <f>COUNTIF(Inventory!A:A, A727)</f>
        <v>5</v>
      </c>
      <c r="D727" s="89">
        <f>IFERROR(__xludf.DUMMYFUNCTION("IFERROR(AVERAGE(FILTER(Inventory!H:H,Inventory!J:J=""Closed"",Inventory!A:A=A727)),"""")"),0.21712980788671077)</f>
        <v>0.2171298079</v>
      </c>
      <c r="E727" s="234">
        <f>IFERROR(__xludf.DUMMYFUNCTION("IFERROR(AVERAGE(FILTER(Inventory!G:G,Inventory!J:J=""Closed"",Inventory!A:A=A727)),""0"")"),2.5160000000000005)</f>
        <v>2.516</v>
      </c>
      <c r="F727" s="235">
        <f>IFERROR(__xludf.DUMMYFUNCTION("IFERROR(SUM(FILTER(Inventory!G:G,Inventory!J:J=""Closed"",Inventory!A:A=A727)),""0"")"),12.580000000000002)</f>
        <v>12.58</v>
      </c>
      <c r="G727" s="235">
        <f>IFERROR(__xludf.DUMMYFUNCTION("IFERROR(AVERAGE(FILTER(Inventory!K:K,Inventory!J:J=""Closed"",Inventory!A:A=A727)),"""")"),12.2)</f>
        <v>12.2</v>
      </c>
      <c r="H727" s="23" t="b">
        <v>0</v>
      </c>
      <c r="I727" s="236"/>
      <c r="J727" s="236">
        <f>MAXIFS(Inventory!D:D, Inventory!A:A, A:A)</f>
        <v>44289</v>
      </c>
      <c r="L727" s="23">
        <f>COUNTIFS(Inventory!A:A,A727,Inventory!J:J,"Open")</f>
        <v>0</v>
      </c>
    </row>
    <row r="728">
      <c r="A728" s="237" t="s">
        <v>1447</v>
      </c>
      <c r="B728" s="23" t="str">
        <f>Publishers!A132</f>
        <v>Jackbox Games</v>
      </c>
      <c r="C728" s="78">
        <f>COUNTIF(Inventory!A:A, A728)</f>
        <v>3</v>
      </c>
      <c r="D728" s="89">
        <f>IFERROR(__xludf.DUMMYFUNCTION("IFERROR(AVERAGE(FILTER(Inventory!H:H,Inventory!J:J=""Closed"",Inventory!A:A=A728)),"""")"),0.17154176610097396)</f>
        <v>0.1715417661</v>
      </c>
      <c r="E728" s="234">
        <f>IFERROR(__xludf.DUMMYFUNCTION("IFERROR(AVERAGE(FILTER(Inventory!G:G,Inventory!J:J=""Closed"",Inventory!A:A=A728)),""0"")"),2.7300000000000004)</f>
        <v>2.73</v>
      </c>
      <c r="F728" s="235">
        <f>IFERROR(__xludf.DUMMYFUNCTION("IFERROR(SUM(FILTER(Inventory!G:G,Inventory!J:J=""Closed"",Inventory!A:A=A728)),""0"")"),8.190000000000001)</f>
        <v>8.19</v>
      </c>
      <c r="G728" s="235">
        <f>IFERROR(__xludf.DUMMYFUNCTION("IFERROR(AVERAGE(FILTER(Inventory!K:K,Inventory!J:J=""Closed"",Inventory!A:A=A728)),"""")"),4.333333333333333)</f>
        <v>4.333333333</v>
      </c>
      <c r="H728" s="23" t="b">
        <v>0</v>
      </c>
      <c r="I728" s="236"/>
      <c r="J728" s="236">
        <f>MAXIFS(Inventory!D:D, Inventory!A:A, A:A)</f>
        <v>44481</v>
      </c>
      <c r="L728" s="23">
        <f>COUNTIFS(Inventory!A:A,A728,Inventory!J:J,"Open")</f>
        <v>0</v>
      </c>
    </row>
    <row r="729">
      <c r="A729" s="237" t="s">
        <v>1938</v>
      </c>
      <c r="B729" s="23" t="str">
        <f>Publishers!A233</f>
        <v>SNK CORPORATION</v>
      </c>
      <c r="C729" s="78">
        <f>COUNTIF(Inventory!A:A, A729)</f>
        <v>1</v>
      </c>
      <c r="D729" s="89">
        <f>IFERROR(__xludf.DUMMYFUNCTION("IFERROR(AVERAGE(FILTER(Inventory!H:H,Inventory!J:J=""Closed"",Inventory!A:A=A729)),"""")"),0.24152046783625733)</f>
        <v>0.2415204678</v>
      </c>
      <c r="E729" s="234">
        <f>IFERROR(__xludf.DUMMYFUNCTION("IFERROR(AVERAGE(FILTER(Inventory!G:G,Inventory!J:J=""Closed"",Inventory!A:A=A729)),""0"")"),4.130000000000001)</f>
        <v>4.13</v>
      </c>
      <c r="F729" s="235">
        <f>IFERROR(__xludf.DUMMYFUNCTION("IFERROR(SUM(FILTER(Inventory!G:G,Inventory!J:J=""Closed"",Inventory!A:A=A729)),""0"")"),4.130000000000001)</f>
        <v>4.13</v>
      </c>
      <c r="G729" s="235">
        <f>IFERROR(__xludf.DUMMYFUNCTION("IFERROR(AVERAGE(FILTER(Inventory!K:K,Inventory!J:J=""Closed"",Inventory!A:A=A729)),"""")"),29.0)</f>
        <v>29</v>
      </c>
      <c r="H729" s="23" t="b">
        <v>0</v>
      </c>
      <c r="I729" s="236"/>
      <c r="J729" s="236">
        <f>MAXIFS(Inventory!D:D, Inventory!A:A, A:A)</f>
        <v>44620</v>
      </c>
      <c r="L729" s="23">
        <f>COUNTIFS(Inventory!A:A,A729,Inventory!J:J,"Open")</f>
        <v>0</v>
      </c>
    </row>
    <row r="730">
      <c r="A730" s="237" t="s">
        <v>1502</v>
      </c>
      <c r="B730" s="23" t="str">
        <f>Publishers!A118</f>
        <v>Hello Games</v>
      </c>
      <c r="C730" s="78">
        <f>COUNTIF(Inventory!A:A, A730)</f>
        <v>2</v>
      </c>
      <c r="D730" s="89">
        <f>IFERROR(__xludf.DUMMYFUNCTION("IFERROR(AVERAGE(FILTER(Inventory!H:H,Inventory!J:J=""Closed"",Inventory!A:A=A730)),"""")"),0.19507530480516377)</f>
        <v>0.1950753048</v>
      </c>
      <c r="E730" s="234">
        <f>IFERROR(__xludf.DUMMYFUNCTION("IFERROR(AVERAGE(FILTER(Inventory!G:G,Inventory!J:J=""Closed"",Inventory!A:A=A730)),""0"")"),0.96)</f>
        <v>0.96</v>
      </c>
      <c r="F730" s="235">
        <f>IFERROR(__xludf.DUMMYFUNCTION("IFERROR(SUM(FILTER(Inventory!G:G,Inventory!J:J=""Closed"",Inventory!A:A=A730)),""0"")"),1.92)</f>
        <v>1.92</v>
      </c>
      <c r="G730" s="235">
        <f>IFERROR(__xludf.DUMMYFUNCTION("IFERROR(AVERAGE(FILTER(Inventory!K:K,Inventory!J:J=""Closed"",Inventory!A:A=A730)),"""")"),157.0)</f>
        <v>157</v>
      </c>
      <c r="H730" s="23" t="b">
        <v>0</v>
      </c>
      <c r="I730" s="236"/>
      <c r="J730" s="236">
        <f>MAXIFS(Inventory!D:D, Inventory!A:A, A:A)</f>
        <v>44734</v>
      </c>
      <c r="L730" s="23">
        <f>COUNTIFS(Inventory!A:A,A730,Inventory!J:J,"Open")</f>
        <v>0</v>
      </c>
    </row>
    <row r="731">
      <c r="A731" s="233" t="s">
        <v>5273</v>
      </c>
      <c r="B731" s="23" t="str">
        <f>Publishers!A194</f>
        <v>PlayStation</v>
      </c>
      <c r="C731" s="78">
        <f>COUNTIF(Inventory!A:A, A731)</f>
        <v>19</v>
      </c>
      <c r="D731" s="89">
        <f>IFERROR(__xludf.DUMMYFUNCTION("IFERROR(AVERAGE(FILTER(Inventory!H:H,Inventory!J:J=""Closed"",Inventory!A:A=A731)),"""")"),0.13393393871763437)</f>
        <v>0.1339339387</v>
      </c>
      <c r="E731" s="234">
        <f>IFERROR(__xludf.DUMMYFUNCTION("IFERROR(AVERAGE(FILTER(Inventory!G:G,Inventory!J:J=""Closed"",Inventory!A:A=A731)),""0"")"),4.557894736842105)</f>
        <v>4.557894737</v>
      </c>
      <c r="F731" s="235">
        <f>IFERROR(__xludf.DUMMYFUNCTION("IFERROR(SUM(FILTER(Inventory!G:G,Inventory!J:J=""Closed"",Inventory!A:A=A731)),""0"")"),86.6)</f>
        <v>86.6</v>
      </c>
      <c r="G731" s="235">
        <f>IFERROR(__xludf.DUMMYFUNCTION("IFERROR(AVERAGE(FILTER(Inventory!K:K,Inventory!J:J=""Closed"",Inventory!A:A=A731)),"""")"),9.526315789473685)</f>
        <v>9.526315789</v>
      </c>
      <c r="H731" s="23" t="b">
        <v>0</v>
      </c>
      <c r="I731" s="78"/>
      <c r="J731" s="236">
        <f>MAXIFS(Inventory!D:D, Inventory!A:A, A:A)</f>
        <v>45577</v>
      </c>
      <c r="L731" s="23">
        <f>COUNTIFS(Inventory!A:A,A731,Inventory!J:J,"Open")</f>
        <v>0</v>
      </c>
    </row>
    <row r="732">
      <c r="A732" s="233" t="s">
        <v>3941</v>
      </c>
      <c r="B732" s="23" t="str">
        <f>Publishers!A22</f>
        <v>Armor Games</v>
      </c>
      <c r="C732" s="78">
        <f>COUNTIF(Inventory!A:A, A732)</f>
        <v>1</v>
      </c>
      <c r="D732" s="89">
        <f>IFERROR(__xludf.DUMMYFUNCTION("IFERROR(AVERAGE(FILTER(Inventory!H:H,Inventory!J:J=""Closed"",Inventory!A:A=A732)),"""")"),0.09509875640087789)</f>
        <v>0.0950987564</v>
      </c>
      <c r="E732" s="234">
        <f>IFERROR(__xludf.DUMMYFUNCTION("IFERROR(AVERAGE(FILTER(Inventory!G:G,Inventory!J:J=""Closed"",Inventory!A:A=A732)),""0"")"),1.3000000000000007)</f>
        <v>1.3</v>
      </c>
      <c r="F732" s="235">
        <f>IFERROR(__xludf.DUMMYFUNCTION("IFERROR(SUM(FILTER(Inventory!G:G,Inventory!J:J=""Closed"",Inventory!A:A=A732)),""0"")"),1.3000000000000007)</f>
        <v>1.3</v>
      </c>
      <c r="G732" s="235">
        <f>IFERROR(__xludf.DUMMYFUNCTION("IFERROR(AVERAGE(FILTER(Inventory!K:K,Inventory!J:J=""Closed"",Inventory!A:A=A732)),"""")"),100.0)</f>
        <v>100</v>
      </c>
      <c r="H732" s="23" t="b">
        <v>0</v>
      </c>
      <c r="I732" s="78">
        <v>14.94</v>
      </c>
      <c r="J732" s="236">
        <f>MAXIFS(Inventory!D:D, Inventory!A:A, A:A)</f>
        <v>45138</v>
      </c>
      <c r="L732" s="23">
        <f>COUNTIFS(Inventory!A:A,A732,Inventory!J:J,"Open")</f>
        <v>0</v>
      </c>
    </row>
    <row r="733">
      <c r="A733" s="233" t="s">
        <v>8006</v>
      </c>
      <c r="B733" s="23" t="str">
        <f>Publishers!A177</f>
        <v>North Beach</v>
      </c>
      <c r="C733" s="78">
        <f>COUNTIF(Inventory!A:A, A733)</f>
        <v>21</v>
      </c>
      <c r="D733" s="89">
        <f>IFERROR(__xludf.DUMMYFUNCTION("IFERROR(AVERAGE(FILTER(Inventory!H:H,Inventory!J:J=""Closed"",Inventory!A:A=A733)),"""")"),0.20998666312303918)</f>
        <v>0.2099866631</v>
      </c>
      <c r="E733" s="234">
        <f>IFERROR(__xludf.DUMMYFUNCTION("IFERROR(AVERAGE(FILTER(Inventory!G:G,Inventory!J:J=""Closed"",Inventory!A:A=A733)),""0"")"),3.3199999999999994)</f>
        <v>3.32</v>
      </c>
      <c r="F733" s="235">
        <f>IFERROR(__xludf.DUMMYFUNCTION("IFERROR(SUM(FILTER(Inventory!G:G,Inventory!J:J=""Closed"",Inventory!A:A=A733)),""0"")"),69.71999999999998)</f>
        <v>69.72</v>
      </c>
      <c r="G733" s="235">
        <f>IFERROR(__xludf.DUMMYFUNCTION("IFERROR(AVERAGE(FILTER(Inventory!K:K,Inventory!J:J=""Closed"",Inventory!A:A=A733)),"""")"),16.476190476190474)</f>
        <v>16.47619048</v>
      </c>
      <c r="H733" s="23" t="b">
        <v>0</v>
      </c>
      <c r="I733" s="78"/>
      <c r="J733" s="236">
        <f>MAXIFS(Inventory!D:D, Inventory!A:A, A:A)</f>
        <v>45976</v>
      </c>
    </row>
    <row r="734">
      <c r="A734" s="237" t="s">
        <v>1911</v>
      </c>
      <c r="B734" s="23" t="str">
        <f>Publishers!A260</f>
        <v>The Pixel Mine</v>
      </c>
      <c r="C734" s="78">
        <f>COUNTIF(Inventory!A:A, A734)</f>
        <v>3</v>
      </c>
      <c r="D734" s="89">
        <f>IFERROR(__xludf.DUMMYFUNCTION("IFERROR(AVERAGE(FILTER(Inventory!H:H,Inventory!J:J=""Closed"",Inventory!A:A=A734)),"""")"),0.34780258731475494)</f>
        <v>0.3478025873</v>
      </c>
      <c r="E734" s="234">
        <f>IFERROR(__xludf.DUMMYFUNCTION("IFERROR(AVERAGE(FILTER(Inventory!G:G,Inventory!J:J=""Closed"",Inventory!A:A=A734)),""0"")"),0.61)</f>
        <v>0.61</v>
      </c>
      <c r="F734" s="235">
        <f>IFERROR(__xludf.DUMMYFUNCTION("IFERROR(SUM(FILTER(Inventory!G:G,Inventory!J:J=""Closed"",Inventory!A:A=A734)),""0"")"),1.83)</f>
        <v>1.83</v>
      </c>
      <c r="G734" s="235">
        <f>IFERROR(__xludf.DUMMYFUNCTION("IFERROR(AVERAGE(FILTER(Inventory!K:K,Inventory!J:J=""Closed"",Inventory!A:A=A734)),"""")"),73.33333333333333)</f>
        <v>73.33333333</v>
      </c>
      <c r="H734" s="78" t="b">
        <v>0</v>
      </c>
      <c r="I734" s="236"/>
      <c r="J734" s="236">
        <f>MAXIFS(Inventory!D:D, Inventory!A:A, A:A)</f>
        <v>44814</v>
      </c>
      <c r="L734" s="23">
        <f>COUNTIFS(Inventory!A:A,A734,Inventory!J:J,"Open")</f>
        <v>0</v>
      </c>
    </row>
    <row r="735">
      <c r="A735" s="233" t="s">
        <v>2561</v>
      </c>
      <c r="B735" s="23" t="str">
        <f>Publishers!A199</f>
        <v>Private Division</v>
      </c>
      <c r="C735" s="78">
        <f>COUNTIF(Inventory!A:A, A735)</f>
        <v>3</v>
      </c>
      <c r="D735" s="89">
        <f>IFERROR(__xludf.DUMMYFUNCTION("IFERROR(AVERAGE(FILTER(Inventory!H:H,Inventory!J:J=""Closed"",Inventory!A:A=A735)),"""")"),0.20172450979134085)</f>
        <v>0.2017245098</v>
      </c>
      <c r="E735" s="234">
        <f>IFERROR(__xludf.DUMMYFUNCTION("IFERROR(AVERAGE(FILTER(Inventory!G:G,Inventory!J:J=""Closed"",Inventory!A:A=A735)),""0"")"),3.313333333333335)</f>
        <v>3.313333333</v>
      </c>
      <c r="F735" s="235">
        <f>IFERROR(__xludf.DUMMYFUNCTION("IFERROR(SUM(FILTER(Inventory!G:G,Inventory!J:J=""Closed"",Inventory!A:A=A735)),""0"")"),9.940000000000005)</f>
        <v>9.94</v>
      </c>
      <c r="G735" s="235">
        <f>IFERROR(__xludf.DUMMYFUNCTION("IFERROR(AVERAGE(FILTER(Inventory!K:K,Inventory!J:J=""Closed"",Inventory!A:A=A735)),"""")"),1.6666666666666667)</f>
        <v>1.666666667</v>
      </c>
      <c r="H735" s="23" t="b">
        <v>0</v>
      </c>
      <c r="I735" s="236"/>
      <c r="J735" s="236">
        <f>MAXIFS(Inventory!D:D, Inventory!A:A, A:A)</f>
        <v>45059</v>
      </c>
      <c r="L735" s="23">
        <f>COUNTIFS(Inventory!A:A,A735,Inventory!J:J,"Open")</f>
        <v>0</v>
      </c>
    </row>
    <row r="736">
      <c r="A736" s="237" t="s">
        <v>1228</v>
      </c>
      <c r="B736" s="23" t="str">
        <f>Publishers!A199</f>
        <v>Private Division</v>
      </c>
      <c r="C736" s="78">
        <f>COUNTIF(Inventory!A:A, A736)</f>
        <v>11</v>
      </c>
      <c r="D736" s="89">
        <f>IFERROR(__xludf.DUMMYFUNCTION("IFERROR(AVERAGE(FILTER(Inventory!H:H,Inventory!J:J=""Closed"",Inventory!A:A=A736)),"""")"),0.1689655001254224)</f>
        <v>0.1689655001</v>
      </c>
      <c r="E736" s="234">
        <f>IFERROR(__xludf.DUMMYFUNCTION("IFERROR(AVERAGE(FILTER(Inventory!G:G,Inventory!J:J=""Closed"",Inventory!A:A=A736)),""0"")"),3.044545454545454)</f>
        <v>3.044545455</v>
      </c>
      <c r="F736" s="235">
        <f>IFERROR(__xludf.DUMMYFUNCTION("IFERROR(SUM(FILTER(Inventory!G:G,Inventory!J:J=""Closed"",Inventory!A:A=A736)),""0"")"),33.489999999999995)</f>
        <v>33.49</v>
      </c>
      <c r="G736" s="235">
        <f>IFERROR(__xludf.DUMMYFUNCTION("IFERROR(AVERAGE(FILTER(Inventory!K:K,Inventory!J:J=""Closed"",Inventory!A:A=A736)),"""")"),20.181818181818183)</f>
        <v>20.18181818</v>
      </c>
      <c r="H736" s="23" t="b">
        <v>0</v>
      </c>
      <c r="I736" s="236"/>
      <c r="J736" s="236">
        <f>MAXIFS(Inventory!D:D, Inventory!A:A, A:A)</f>
        <v>44491</v>
      </c>
      <c r="L736" s="23">
        <f>COUNTIFS(Inventory!A:A,A736,Inventory!J:J,"Open")</f>
        <v>0</v>
      </c>
    </row>
    <row r="737">
      <c r="A737" s="233" t="s">
        <v>4991</v>
      </c>
      <c r="B737" s="23" t="str">
        <f>Publishers!A204</f>
        <v>Red Barrels</v>
      </c>
      <c r="C737" s="78">
        <f>COUNTIF(Inventory!A:A, A737)</f>
        <v>7</v>
      </c>
      <c r="D737" s="89">
        <f>IFERROR(__xludf.DUMMYFUNCTION("IFERROR(AVERAGE(FILTER(Inventory!H:H,Inventory!J:J=""Closed"",Inventory!A:A=A737)),"""")"),0.19000855434572367)</f>
        <v>0.1900085543</v>
      </c>
      <c r="E737" s="234">
        <f>IFERROR(__xludf.DUMMYFUNCTION("IFERROR(AVERAGE(FILTER(Inventory!G:G,Inventory!J:J=""Closed"",Inventory!A:A=A737)),""0"")"),4.184285714285714)</f>
        <v>4.184285714</v>
      </c>
      <c r="F737" s="235">
        <f>IFERROR(__xludf.DUMMYFUNCTION("IFERROR(SUM(FILTER(Inventory!G:G,Inventory!J:J=""Closed"",Inventory!A:A=A737)),""0"")"),29.29)</f>
        <v>29.29</v>
      </c>
      <c r="G737" s="235">
        <f>IFERROR(__xludf.DUMMYFUNCTION("IFERROR(AVERAGE(FILTER(Inventory!K:K,Inventory!J:J=""Closed"",Inventory!A:A=A737)),"""")"),22.714285714285715)</f>
        <v>22.71428571</v>
      </c>
      <c r="H737" s="23" t="b">
        <v>0</v>
      </c>
      <c r="I737" s="236"/>
      <c r="J737" s="236">
        <f>MAXIFS(Inventory!D:D, Inventory!A:A, A:A)</f>
        <v>45739</v>
      </c>
      <c r="L737" s="23">
        <f>COUNTIFS(Inventory!A:A,A737,Inventory!J:J,"Open")</f>
        <v>0</v>
      </c>
    </row>
    <row r="738">
      <c r="A738" s="233" t="s">
        <v>4390</v>
      </c>
      <c r="B738" s="23" t="str">
        <f>Publishers!A16</f>
        <v>Annapurna Interactive</v>
      </c>
      <c r="C738" s="78">
        <f>COUNTIF(Inventory!A:A, A738)</f>
        <v>1</v>
      </c>
      <c r="D738" s="89">
        <f>IFERROR(__xludf.DUMMYFUNCTION("IFERROR(AVERAGE(FILTER(Inventory!H:H,Inventory!J:J=""Closed"",Inventory!A:A=A738)),"""")"),0.4315098468271335)</f>
        <v>0.4315098468</v>
      </c>
      <c r="E738" s="234">
        <f>IFERROR(__xludf.DUMMYFUNCTION("IFERROR(AVERAGE(FILTER(Inventory!G:G,Inventory!J:J=""Closed"",Inventory!A:A=A738)),""0"")"),9.860000000000001)</f>
        <v>9.86</v>
      </c>
      <c r="F738" s="235">
        <f>IFERROR(__xludf.DUMMYFUNCTION("IFERROR(SUM(FILTER(Inventory!G:G,Inventory!J:J=""Closed"",Inventory!A:A=A738)),""0"")"),9.860000000000001)</f>
        <v>9.86</v>
      </c>
      <c r="G738" s="235">
        <f>IFERROR(__xludf.DUMMYFUNCTION("IFERROR(AVERAGE(FILTER(Inventory!K:K,Inventory!J:J=""Closed"",Inventory!A:A=A738)),"""")"),205.0)</f>
        <v>205</v>
      </c>
      <c r="H738" s="23" t="b">
        <v>0</v>
      </c>
      <c r="I738" s="236"/>
      <c r="J738" s="236">
        <f>MAXIFS(Inventory!D:D, Inventory!A:A, A:A)</f>
        <v>45325</v>
      </c>
      <c r="K738" s="23" t="str">
        <f>IMAGE("https://shared.akamai.steamstatic.com/store_item_assets/steam/apps/1492680/header.jpg?t=1727128004")</f>
        <v/>
      </c>
      <c r="L738" s="23">
        <f>COUNTIFS(Inventory!A:A,A738,Inventory!J:J,"Open")</f>
        <v>0</v>
      </c>
    </row>
    <row r="739">
      <c r="A739" s="237" t="s">
        <v>913</v>
      </c>
      <c r="B739" s="23" t="str">
        <f>Publishers!A205</f>
        <v>Reverie World Studios</v>
      </c>
      <c r="C739" s="78">
        <f>COUNTIF(Inventory!A:A, A739)</f>
        <v>2</v>
      </c>
      <c r="D739" s="89">
        <f>IFERROR(__xludf.DUMMYFUNCTION("IFERROR(AVERAGE(FILTER(Inventory!H:H,Inventory!J:J=""Closed"",Inventory!A:A=A739)),"""")"),0.5148975791433892)</f>
        <v>0.5148975791</v>
      </c>
      <c r="E739" s="234">
        <f>IFERROR(__xludf.DUMMYFUNCTION("IFERROR(AVERAGE(FILTER(Inventory!G:G,Inventory!J:J=""Closed"",Inventory!A:A=A739)),""0"")"),2.765)</f>
        <v>2.765</v>
      </c>
      <c r="F739" s="235">
        <f>IFERROR(__xludf.DUMMYFUNCTION("IFERROR(SUM(FILTER(Inventory!G:G,Inventory!J:J=""Closed"",Inventory!A:A=A739)),""0"")"),5.53)</f>
        <v>5.53</v>
      </c>
      <c r="G739" s="235">
        <f>IFERROR(__xludf.DUMMYFUNCTION("IFERROR(AVERAGE(FILTER(Inventory!K:K,Inventory!J:J=""Closed"",Inventory!A:A=A739)),"""")"),12.0)</f>
        <v>12</v>
      </c>
      <c r="H739" s="23" t="b">
        <v>0</v>
      </c>
      <c r="I739" s="236"/>
      <c r="J739" s="236">
        <f>MAXIFS(Inventory!D:D, Inventory!A:A, A:A)</f>
        <v>44247</v>
      </c>
      <c r="L739" s="23">
        <f>COUNTIFS(Inventory!A:A,A739,Inventory!J:J,"Open")</f>
        <v>0</v>
      </c>
    </row>
    <row r="740">
      <c r="A740" s="233" t="s">
        <v>5278</v>
      </c>
      <c r="B740" s="23" t="str">
        <f>Publishers!A6</f>
        <v>2K</v>
      </c>
      <c r="C740" s="78">
        <f>COUNTIF(Inventory!A:A, A740)</f>
        <v>10</v>
      </c>
      <c r="D740" s="89">
        <f>IFERROR(__xludf.DUMMYFUNCTION("IFERROR(AVERAGE(FILTER(Inventory!H:H,Inventory!J:J=""Closed"",Inventory!A:A=A740)),"""")"),0.09335662777229252)</f>
        <v>0.09335662777</v>
      </c>
      <c r="E740" s="234">
        <f>IFERROR(__xludf.DUMMYFUNCTION("IFERROR(AVERAGE(FILTER(Inventory!G:G,Inventory!J:J=""Closed"",Inventory!A:A=A740)),""0"")"),0.6539999999999999)</f>
        <v>0.654</v>
      </c>
      <c r="F740" s="235">
        <f>IFERROR(__xludf.DUMMYFUNCTION("IFERROR(SUM(FILTER(Inventory!G:G,Inventory!J:J=""Closed"",Inventory!A:A=A740)),""0"")"),6.539999999999999)</f>
        <v>6.54</v>
      </c>
      <c r="G740" s="235">
        <f>IFERROR(__xludf.DUMMYFUNCTION("IFERROR(AVERAGE(FILTER(Inventory!K:K,Inventory!J:J=""Closed"",Inventory!A:A=A740)),"""")"),3.5)</f>
        <v>3.5</v>
      </c>
      <c r="H740" s="23" t="b">
        <v>0</v>
      </c>
      <c r="I740" s="78"/>
      <c r="J740" s="236">
        <f>MAXIFS(Inventory!D:D, Inventory!A:A, A:A)</f>
        <v>45224</v>
      </c>
      <c r="L740" s="23">
        <f>COUNTIFS(Inventory!A:A,A740,Inventory!J:J,"Open")</f>
        <v>0</v>
      </c>
    </row>
    <row r="741">
      <c r="A741" s="233" t="s">
        <v>2477</v>
      </c>
      <c r="B741" s="23" t="str">
        <f>Publishers!A71</f>
        <v>Devolver Digital</v>
      </c>
      <c r="C741" s="78">
        <f>COUNTIF(Inventory!A:A, A741)</f>
        <v>4</v>
      </c>
      <c r="D741" s="89">
        <f>IFERROR(__xludf.DUMMYFUNCTION("IFERROR(AVERAGE(FILTER(Inventory!H:H,Inventory!J:J=""Closed"",Inventory!A:A=A741)),"""")"),0.3607599767431233)</f>
        <v>0.3607599767</v>
      </c>
      <c r="E741" s="234">
        <f>IFERROR(__xludf.DUMMYFUNCTION("IFERROR(AVERAGE(FILTER(Inventory!G:G,Inventory!J:J=""Closed"",Inventory!A:A=A741)),""0"")"),2.5200000000000005)</f>
        <v>2.52</v>
      </c>
      <c r="F741" s="235">
        <f>IFERROR(__xludf.DUMMYFUNCTION("IFERROR(SUM(FILTER(Inventory!G:G,Inventory!J:J=""Closed"",Inventory!A:A=A741)),""0"")"),10.080000000000002)</f>
        <v>10.08</v>
      </c>
      <c r="G741" s="235">
        <f>IFERROR(__xludf.DUMMYFUNCTION("IFERROR(AVERAGE(FILTER(Inventory!K:K,Inventory!J:J=""Closed"",Inventory!A:A=A741)),"""")"),140.75)</f>
        <v>140.75</v>
      </c>
      <c r="H741" s="23" t="b">
        <v>0</v>
      </c>
      <c r="I741" s="78">
        <v>9.2</v>
      </c>
      <c r="J741" s="236">
        <f>MAXIFS(Inventory!D:D, Inventory!A:A, A:A)</f>
        <v>45243</v>
      </c>
      <c r="L741" s="23">
        <f>COUNTIFS(Inventory!A:A,A741,Inventory!J:J,"Open")</f>
        <v>0</v>
      </c>
    </row>
    <row r="742">
      <c r="A742" s="233" t="s">
        <v>2970</v>
      </c>
      <c r="B742" s="23" t="str">
        <f>Publishers!A92</f>
        <v>EXOR Studios</v>
      </c>
      <c r="C742" s="78">
        <f>COUNTIF(Inventory!A:A, A742)</f>
        <v>1</v>
      </c>
      <c r="D742" s="89">
        <f>IFERROR(__xludf.DUMMYFUNCTION("IFERROR(AVERAGE(FILTER(Inventory!H:H,Inventory!J:J=""Closed"",Inventory!A:A=A742)),"""")"),0.11021865238732703)</f>
        <v>0.1102186524</v>
      </c>
      <c r="E742" s="234">
        <f>IFERROR(__xludf.DUMMYFUNCTION("IFERROR(AVERAGE(FILTER(Inventory!G:G,Inventory!J:J=""Closed"",Inventory!A:A=A742)),""0"")"),2.469999999999999)</f>
        <v>2.47</v>
      </c>
      <c r="F742" s="235">
        <f>IFERROR(__xludf.DUMMYFUNCTION("IFERROR(SUM(FILTER(Inventory!G:G,Inventory!J:J=""Closed"",Inventory!A:A=A742)),""0"")"),2.469999999999999)</f>
        <v>2.47</v>
      </c>
      <c r="G742" s="235">
        <f>IFERROR(__xludf.DUMMYFUNCTION("IFERROR(AVERAGE(FILTER(Inventory!K:K,Inventory!J:J=""Closed"",Inventory!A:A=A742)),"""")"),19.0)</f>
        <v>19</v>
      </c>
      <c r="H742" s="23" t="b">
        <v>0</v>
      </c>
      <c r="I742" s="236"/>
      <c r="J742" s="236">
        <f>MAXIFS(Inventory!D:D, Inventory!A:A, A:A)</f>
        <v>44801</v>
      </c>
      <c r="L742" s="23">
        <f>COUNTIFS(Inventory!A:A,A742,Inventory!J:J,"Open")</f>
        <v>0</v>
      </c>
    </row>
    <row r="743">
      <c r="A743" s="237" t="s">
        <v>1068</v>
      </c>
      <c r="B743" s="23" t="str">
        <f>Publishers!A101</f>
        <v>Frogwares</v>
      </c>
      <c r="C743" s="78">
        <f>COUNTIF(Inventory!A:A, A743)</f>
        <v>4</v>
      </c>
      <c r="D743" s="89">
        <f>IFERROR(__xludf.DUMMYFUNCTION("IFERROR(AVERAGE(FILTER(Inventory!H:H,Inventory!J:J=""Closed"",Inventory!A:A=A743)),"""")"),0.3635571054925894)</f>
        <v>0.3635571055</v>
      </c>
      <c r="E743" s="234">
        <f>IFERROR(__xludf.DUMMYFUNCTION("IFERROR(AVERAGE(FILTER(Inventory!G:G,Inventory!J:J=""Closed"",Inventory!A:A=A743)),""0"")"),4.170000000000001)</f>
        <v>4.17</v>
      </c>
      <c r="F743" s="235">
        <f>IFERROR(__xludf.DUMMYFUNCTION("IFERROR(SUM(FILTER(Inventory!G:G,Inventory!J:J=""Closed"",Inventory!A:A=A743)),""0"")"),8.340000000000002)</f>
        <v>8.34</v>
      </c>
      <c r="G743" s="235">
        <f>IFERROR(__xludf.DUMMYFUNCTION("IFERROR(AVERAGE(FILTER(Inventory!K:K,Inventory!J:J=""Closed"",Inventory!A:A=A743)),"""")"),6.5)</f>
        <v>6.5</v>
      </c>
      <c r="H743" s="23" t="b">
        <v>0</v>
      </c>
      <c r="I743" s="236"/>
      <c r="J743" s="236">
        <f>MAXIFS(Inventory!D:D, Inventory!A:A, A:A)</f>
        <v>44329</v>
      </c>
      <c r="L743" s="23">
        <f>COUNTIFS(Inventory!A:A,A743,Inventory!J:J,"Open")</f>
        <v>2</v>
      </c>
    </row>
    <row r="744">
      <c r="A744" s="237" t="s">
        <v>678</v>
      </c>
      <c r="B744" s="23" t="str">
        <f>Publishers!A96</f>
        <v>FireFly Studios</v>
      </c>
      <c r="C744" s="78">
        <f>COUNTIF(Inventory!A:A, A744)</f>
        <v>14</v>
      </c>
      <c r="D744" s="89">
        <f>IFERROR(__xludf.DUMMYFUNCTION("IFERROR(AVERAGE(FILTER(Inventory!H:H,Inventory!J:J=""Closed"",Inventory!A:A=A744)),"""")"),0.36021538412469545)</f>
        <v>0.3602153841</v>
      </c>
      <c r="E744" s="234">
        <f>IFERROR(__xludf.DUMMYFUNCTION("IFERROR(AVERAGE(FILTER(Inventory!G:G,Inventory!J:J=""Closed"",Inventory!A:A=A744)),""0"")"),3.3423076923076924)</f>
        <v>3.342307692</v>
      </c>
      <c r="F744" s="235">
        <f>IFERROR(__xludf.DUMMYFUNCTION("IFERROR(SUM(FILTER(Inventory!G:G,Inventory!J:J=""Closed"",Inventory!A:A=A744)),""0"")"),43.45)</f>
        <v>43.45</v>
      </c>
      <c r="G744" s="235">
        <f>IFERROR(__xludf.DUMMYFUNCTION("IFERROR(AVERAGE(FILTER(Inventory!K:K,Inventory!J:J=""Closed"",Inventory!A:A=A744)),"""")"),9.153846153846153)</f>
        <v>9.153846154</v>
      </c>
      <c r="H744" s="23" t="b">
        <v>0</v>
      </c>
      <c r="I744" s="78">
        <v>9.15</v>
      </c>
      <c r="J744" s="236">
        <f>MAXIFS(Inventory!D:D, Inventory!A:A, A:A)</f>
        <v>45016</v>
      </c>
      <c r="L744" s="23">
        <f>COUNTIFS(Inventory!A:A,A744,Inventory!J:J,"Open")</f>
        <v>1</v>
      </c>
    </row>
    <row r="745">
      <c r="A745" s="237" t="s">
        <v>471</v>
      </c>
      <c r="B745" s="23" t="str">
        <f>Publishers!A99</f>
        <v>Focus Home Interactive</v>
      </c>
      <c r="C745" s="78">
        <f>COUNTIF(Inventory!A:A, A745)</f>
        <v>4</v>
      </c>
      <c r="D745" s="89">
        <f>IFERROR(__xludf.DUMMYFUNCTION("IFERROR(AVERAGE(FILTER(Inventory!H:H,Inventory!J:J=""Closed"",Inventory!A:A=A745)),"""")"),1.0)</f>
        <v>1</v>
      </c>
      <c r="E745" s="234">
        <f>IFERROR(__xludf.DUMMYFUNCTION("IFERROR(AVERAGE(FILTER(Inventory!G:G,Inventory!J:J=""Closed"",Inventory!A:A=A745)),""0"")"),1.3175)</f>
        <v>1.3175</v>
      </c>
      <c r="F745" s="235">
        <f>IFERROR(__xludf.DUMMYFUNCTION("IFERROR(SUM(FILTER(Inventory!G:G,Inventory!J:J=""Closed"",Inventory!A:A=A745)),""0"")"),5.27)</f>
        <v>5.27</v>
      </c>
      <c r="G745" s="235">
        <f>IFERROR(__xludf.DUMMYFUNCTION("IFERROR(AVERAGE(FILTER(Inventory!K:K,Inventory!J:J=""Closed"",Inventory!A:A=A745)),"""")"),5.25)</f>
        <v>5.25</v>
      </c>
      <c r="H745" s="78" t="b">
        <v>1</v>
      </c>
      <c r="I745" s="236"/>
      <c r="J745" s="236">
        <f>MAXIFS(Inventory!D:D, Inventory!A:A, A:A)</f>
        <v>44064</v>
      </c>
      <c r="L745" s="23">
        <f>COUNTIFS(Inventory!A:A,A745,Inventory!J:J,"Open")</f>
        <v>0</v>
      </c>
    </row>
    <row r="746">
      <c r="A746" s="237" t="s">
        <v>406</v>
      </c>
      <c r="B746" s="23" t="str">
        <f>Publishers!A99</f>
        <v>Focus Home Interactive</v>
      </c>
      <c r="C746" s="78">
        <f>COUNTIF(Inventory!A:A, A746)</f>
        <v>5</v>
      </c>
      <c r="D746" s="89">
        <f>IFERROR(__xludf.DUMMYFUNCTION("IFERROR(AVERAGE(FILTER(Inventory!H:H,Inventory!J:J=""Closed"",Inventory!A:A=A746)),"""")"),0.21570552619422104)</f>
        <v>0.2157055262</v>
      </c>
      <c r="E746" s="234">
        <f>IFERROR(__xludf.DUMMYFUNCTION("IFERROR(AVERAGE(FILTER(Inventory!G:G,Inventory!J:J=""Closed"",Inventory!A:A=A746)),""0"")"),3.3980000000000006)</f>
        <v>3.398</v>
      </c>
      <c r="F746" s="235">
        <f>IFERROR(__xludf.DUMMYFUNCTION("IFERROR(SUM(FILTER(Inventory!G:G,Inventory!J:J=""Closed"",Inventory!A:A=A746)),""0"")"),16.990000000000002)</f>
        <v>16.99</v>
      </c>
      <c r="G746" s="235">
        <f>IFERROR(__xludf.DUMMYFUNCTION("IFERROR(AVERAGE(FILTER(Inventory!K:K,Inventory!J:J=""Closed"",Inventory!A:A=A746)),"""")"),5.0)</f>
        <v>5</v>
      </c>
      <c r="H746" s="23" t="b">
        <v>0</v>
      </c>
      <c r="I746" s="236"/>
      <c r="J746" s="236">
        <f>MAXIFS(Inventory!D:D, Inventory!A:A, A:A)</f>
        <v>44308</v>
      </c>
      <c r="L746" s="23">
        <f>COUNTIFS(Inventory!A:A,A746,Inventory!J:J,"Open")</f>
        <v>0</v>
      </c>
    </row>
    <row r="747">
      <c r="A747" s="237" t="s">
        <v>1577</v>
      </c>
      <c r="B747" s="23" t="str">
        <f>Publishers!A99</f>
        <v>Focus Home Interactive</v>
      </c>
      <c r="C747" s="78">
        <f>COUNTIF(Inventory!A:A, A747)</f>
        <v>4</v>
      </c>
      <c r="D747" s="89">
        <f>IFERROR(__xludf.DUMMYFUNCTION("IFERROR(AVERAGE(FILTER(Inventory!H:H,Inventory!J:J=""Closed"",Inventory!A:A=A747)),"""")"),0.19067673832712412)</f>
        <v>0.1906767383</v>
      </c>
      <c r="E747" s="234">
        <f>IFERROR(__xludf.DUMMYFUNCTION("IFERROR(AVERAGE(FILTER(Inventory!G:G,Inventory!J:J=""Closed"",Inventory!A:A=A747)),""0"")"),2.8024999999999993)</f>
        <v>2.8025</v>
      </c>
      <c r="F747" s="235">
        <f>IFERROR(__xludf.DUMMYFUNCTION("IFERROR(SUM(FILTER(Inventory!G:G,Inventory!J:J=""Closed"",Inventory!A:A=A747)),""0"")"),11.209999999999997)</f>
        <v>11.21</v>
      </c>
      <c r="G747" s="235">
        <f>IFERROR(__xludf.DUMMYFUNCTION("IFERROR(AVERAGE(FILTER(Inventory!K:K,Inventory!J:J=""Closed"",Inventory!A:A=A747)),"""")"),97.0)</f>
        <v>97</v>
      </c>
      <c r="H747" s="23" t="b">
        <v>0</v>
      </c>
      <c r="I747" s="236"/>
      <c r="J747" s="236">
        <f>MAXIFS(Inventory!D:D, Inventory!A:A, A:A)</f>
        <v>44717</v>
      </c>
      <c r="L747" s="23">
        <f>COUNTIFS(Inventory!A:A,A747,Inventory!J:J,"Open")</f>
        <v>0</v>
      </c>
    </row>
    <row r="748">
      <c r="A748" s="237" t="s">
        <v>1729</v>
      </c>
      <c r="B748" s="23" t="str">
        <f>Publishers!A99</f>
        <v>Focus Home Interactive</v>
      </c>
      <c r="C748" s="78">
        <f>COUNTIF(Inventory!A:A, A748)</f>
        <v>30</v>
      </c>
      <c r="D748" s="89">
        <f>IFERROR(__xludf.DUMMYFUNCTION("IFERROR(AVERAGE(FILTER(Inventory!H:H,Inventory!J:J=""Closed"",Inventory!A:A=A748)),"""")"),0.30127331983106426)</f>
        <v>0.3012733198</v>
      </c>
      <c r="E748" s="234">
        <f>IFERROR(__xludf.DUMMYFUNCTION("IFERROR(AVERAGE(FILTER(Inventory!G:G,Inventory!J:J=""Closed"",Inventory!A:A=A748)),""0"")"),2.993333333333332)</f>
        <v>2.993333333</v>
      </c>
      <c r="F748" s="235">
        <f>IFERROR(__xludf.DUMMYFUNCTION("IFERROR(SUM(FILTER(Inventory!G:G,Inventory!J:J=""Closed"",Inventory!A:A=A748)),""0"")"),89.79999999999995)</f>
        <v>89.8</v>
      </c>
      <c r="G748" s="235">
        <f>IFERROR(__xludf.DUMMYFUNCTION("IFERROR(AVERAGE(FILTER(Inventory!K:K,Inventory!J:J=""Closed"",Inventory!A:A=A748)),"""")"),28.733333333333334)</f>
        <v>28.73333333</v>
      </c>
      <c r="H748" s="23" t="b">
        <v>0</v>
      </c>
      <c r="I748" s="236"/>
      <c r="J748" s="236">
        <f>MAXIFS(Inventory!D:D, Inventory!A:A, A:A)</f>
        <v>45461</v>
      </c>
      <c r="L748" s="23">
        <f>COUNTIFS(Inventory!A:A,A748,Inventory!J:J,"Open")</f>
        <v>0</v>
      </c>
    </row>
    <row r="749">
      <c r="A749" s="237" t="s">
        <v>345</v>
      </c>
      <c r="B749" s="23" t="str">
        <f>Publishers!A99</f>
        <v>Focus Home Interactive</v>
      </c>
      <c r="C749" s="78">
        <f>COUNTIF(Inventory!A:A, A749)</f>
        <v>2</v>
      </c>
      <c r="D749" s="89">
        <f>IFERROR(__xludf.DUMMYFUNCTION("IFERROR(AVERAGE(FILTER(Inventory!H:H,Inventory!J:J=""Closed"",Inventory!A:A=A749)),"""")"),0.651649533024256)</f>
        <v>0.651649533</v>
      </c>
      <c r="E749" s="234">
        <f>IFERROR(__xludf.DUMMYFUNCTION("IFERROR(AVERAGE(FILTER(Inventory!G:G,Inventory!J:J=""Closed"",Inventory!A:A=A749)),""0"")"),0.795)</f>
        <v>0.795</v>
      </c>
      <c r="F749" s="235">
        <f>IFERROR(__xludf.DUMMYFUNCTION("IFERROR(SUM(FILTER(Inventory!G:G,Inventory!J:J=""Closed"",Inventory!A:A=A749)),""0"")"),1.59)</f>
        <v>1.59</v>
      </c>
      <c r="G749" s="235">
        <f>IFERROR(__xludf.DUMMYFUNCTION("IFERROR(AVERAGE(FILTER(Inventory!K:K,Inventory!J:J=""Closed"",Inventory!A:A=A749)),"""")"),22.5)</f>
        <v>22.5</v>
      </c>
      <c r="H749" s="23" t="b">
        <v>0</v>
      </c>
      <c r="I749" s="236"/>
      <c r="J749" s="236">
        <f>MAXIFS(Inventory!D:D, Inventory!A:A, A:A)</f>
        <v>44060</v>
      </c>
      <c r="L749" s="23">
        <f>COUNTIFS(Inventory!A:A,A749,Inventory!J:J,"Open")</f>
        <v>0</v>
      </c>
    </row>
    <row r="750">
      <c r="A750" s="237" t="s">
        <v>818</v>
      </c>
      <c r="B750" s="23" t="str">
        <f>Publishers!A101</f>
        <v>Frogwares</v>
      </c>
      <c r="C750" s="78">
        <f>COUNTIF(Inventory!A:A, A750)</f>
        <v>3</v>
      </c>
      <c r="D750" s="89">
        <f>IFERROR(__xludf.DUMMYFUNCTION("IFERROR(AVERAGE(FILTER(Inventory!H:H,Inventory!J:J=""Closed"",Inventory!A:A=A750)),"""")"),0.45765673065586254)</f>
        <v>0.4576567307</v>
      </c>
      <c r="E750" s="234">
        <f>IFERROR(__xludf.DUMMYFUNCTION("IFERROR(AVERAGE(FILTER(Inventory!G:G,Inventory!J:J=""Closed"",Inventory!A:A=A750)),""0"")"),0.8133333333333335)</f>
        <v>0.8133333333</v>
      </c>
      <c r="F750" s="235">
        <f>IFERROR(__xludf.DUMMYFUNCTION("IFERROR(SUM(FILTER(Inventory!G:G,Inventory!J:J=""Closed"",Inventory!A:A=A750)),""0"")"),2.4400000000000004)</f>
        <v>2.44</v>
      </c>
      <c r="G750" s="235">
        <f>IFERROR(__xludf.DUMMYFUNCTION("IFERROR(AVERAGE(FILTER(Inventory!K:K,Inventory!J:J=""Closed"",Inventory!A:A=A750)),"""")"),1.6666666666666667)</f>
        <v>1.666666667</v>
      </c>
      <c r="H750" s="23" t="b">
        <v>0</v>
      </c>
      <c r="I750" s="236"/>
      <c r="J750" s="236">
        <f>MAXIFS(Inventory!D:D, Inventory!A:A, A:A)</f>
        <v>44184</v>
      </c>
      <c r="L750" s="23">
        <f>COUNTIFS(Inventory!A:A,A750,Inventory!J:J,"Open")</f>
        <v>0</v>
      </c>
    </row>
    <row r="751">
      <c r="A751" s="233" t="s">
        <v>5469</v>
      </c>
      <c r="B751" s="23" t="str">
        <f>Publishers!A114</f>
        <v>Gun Interactive</v>
      </c>
      <c r="C751" s="78">
        <f>COUNTIF(Inventory!A:A, A751)</f>
        <v>2</v>
      </c>
      <c r="D751" s="89">
        <f>IFERROR(__xludf.DUMMYFUNCTION("IFERROR(AVERAGE(FILTER(Inventory!H:H,Inventory!J:J=""Closed"",Inventory!A:A=A751)),"""")"),0.11941634331116038)</f>
        <v>0.1194163433</v>
      </c>
      <c r="E751" s="234">
        <f>IFERROR(__xludf.DUMMYFUNCTION("IFERROR(AVERAGE(FILTER(Inventory!G:G,Inventory!J:J=""Closed"",Inventory!A:A=A751)),""0"")"),3.51)</f>
        <v>3.51</v>
      </c>
      <c r="F751" s="235">
        <f>IFERROR(__xludf.DUMMYFUNCTION("IFERROR(SUM(FILTER(Inventory!G:G,Inventory!J:J=""Closed"",Inventory!A:A=A751)),""0"")"),7.02)</f>
        <v>7.02</v>
      </c>
      <c r="G751" s="235">
        <f>IFERROR(__xludf.DUMMYFUNCTION("IFERROR(AVERAGE(FILTER(Inventory!K:K,Inventory!J:J=""Closed"",Inventory!A:A=A751)),"""")"),93.0)</f>
        <v>93</v>
      </c>
      <c r="H751" s="23" t="b">
        <v>0</v>
      </c>
      <c r="I751" s="236"/>
      <c r="J751" s="236">
        <f>MAXIFS(Inventory!D:D, Inventory!A:A, A:A)</f>
        <v>45506</v>
      </c>
      <c r="L751" s="23">
        <f>COUNTIFS(Inventory!A:A,A751,Inventory!J:J,"Open")</f>
        <v>0</v>
      </c>
    </row>
    <row r="752">
      <c r="A752" s="237" t="s">
        <v>341</v>
      </c>
      <c r="B752" s="23" t="str">
        <f>Publishers!A117</f>
        <v>Headup</v>
      </c>
      <c r="C752" s="78">
        <f>COUNTIF(Inventory!A:A, A752)</f>
        <v>2</v>
      </c>
      <c r="D752" s="89">
        <f>IFERROR(__xludf.DUMMYFUNCTION("IFERROR(AVERAGE(FILTER(Inventory!H:H,Inventory!J:J=""Closed"",Inventory!A:A=A752)),"""")"),0.5)</f>
        <v>0.5</v>
      </c>
      <c r="E752" s="234">
        <f>IFERROR(__xludf.DUMMYFUNCTION("IFERROR(AVERAGE(FILTER(Inventory!G:G,Inventory!J:J=""Closed"",Inventory!A:A=A752)),""0"")"),0.425)</f>
        <v>0.425</v>
      </c>
      <c r="F752" s="235">
        <f>IFERROR(__xludf.DUMMYFUNCTION("IFERROR(SUM(FILTER(Inventory!G:G,Inventory!J:J=""Closed"",Inventory!A:A=A752)),""0"")"),0.85)</f>
        <v>0.85</v>
      </c>
      <c r="G752" s="235">
        <f>IFERROR(__xludf.DUMMYFUNCTION("IFERROR(AVERAGE(FILTER(Inventory!K:K,Inventory!J:J=""Closed"",Inventory!A:A=A752)),"""")"),70.0)</f>
        <v>70</v>
      </c>
      <c r="H752" s="23" t="b">
        <v>0</v>
      </c>
      <c r="I752" s="236"/>
      <c r="J752" s="236">
        <f>MAXIFS(Inventory!D:D, Inventory!A:A, A:A)</f>
        <v>44107</v>
      </c>
      <c r="L752" s="23">
        <f>COUNTIFS(Inventory!A:A,A752,Inventory!J:J,"Open")</f>
        <v>0</v>
      </c>
    </row>
    <row r="753">
      <c r="A753" s="233" t="s">
        <v>4663</v>
      </c>
      <c r="B753" s="23" t="str">
        <f>Publishers!A285</f>
        <v>Wired Productions</v>
      </c>
      <c r="C753" s="78">
        <f>COUNTIF(Inventory!A:A, A753)</f>
        <v>1</v>
      </c>
      <c r="D753" s="89">
        <f>IFERROR(__xludf.DUMMYFUNCTION("IFERROR(AVERAGE(FILTER(Inventory!H:H,Inventory!J:J=""Closed"",Inventory!A:A=A753)),"""")"),1.0)</f>
        <v>1</v>
      </c>
      <c r="E753" s="234">
        <f>IFERROR(__xludf.DUMMYFUNCTION("IFERROR(AVERAGE(FILTER(Inventory!G:G,Inventory!J:J=""Closed"",Inventory!A:A=A753)),""0"")"),1.11)</f>
        <v>1.11</v>
      </c>
      <c r="F753" s="235">
        <f>IFERROR(__xludf.DUMMYFUNCTION("IFERROR(SUM(FILTER(Inventory!G:G,Inventory!J:J=""Closed"",Inventory!A:A=A753)),""0"")"),1.11)</f>
        <v>1.11</v>
      </c>
      <c r="G753" s="235">
        <f>IFERROR(__xludf.DUMMYFUNCTION("IFERROR(AVERAGE(FILTER(Inventory!K:K,Inventory!J:J=""Closed"",Inventory!A:A=A753)),"""")"),3.0)</f>
        <v>3</v>
      </c>
      <c r="H753" s="23" t="b">
        <v>0</v>
      </c>
      <c r="I753" s="236"/>
      <c r="J753" s="236">
        <f>MAXIFS(Inventory!D:D, Inventory!A:A, A:A)</f>
        <v>45149</v>
      </c>
      <c r="L753" s="23">
        <f>COUNTIFS(Inventory!A:A,A753,Inventory!J:J,"Open")</f>
        <v>0</v>
      </c>
    </row>
    <row r="754">
      <c r="A754" s="237" t="s">
        <v>915</v>
      </c>
      <c r="B754" s="23" t="str">
        <f>Publishers!A159</f>
        <v>META Publishing</v>
      </c>
      <c r="C754" s="78">
        <f>COUNTIF(Inventory!A:A, A754)</f>
        <v>1</v>
      </c>
      <c r="D754" s="89">
        <f>IFERROR(__xludf.DUMMYFUNCTION("IFERROR(AVERAGE(FILTER(Inventory!H:H,Inventory!J:J=""Closed"",Inventory!A:A=A754)),"""")"),0.527027027027027)</f>
        <v>0.527027027</v>
      </c>
      <c r="E754" s="234">
        <f>IFERROR(__xludf.DUMMYFUNCTION("IFERROR(AVERAGE(FILTER(Inventory!G:G,Inventory!J:J=""Closed"",Inventory!A:A=A754)),""0"")"),2.7299999999999995)</f>
        <v>2.73</v>
      </c>
      <c r="F754" s="235">
        <f>IFERROR(__xludf.DUMMYFUNCTION("IFERROR(SUM(FILTER(Inventory!G:G,Inventory!J:J=""Closed"",Inventory!A:A=A754)),""0"")"),2.7299999999999995)</f>
        <v>2.73</v>
      </c>
      <c r="G754" s="235">
        <f>IFERROR(__xludf.DUMMYFUNCTION("IFERROR(AVERAGE(FILTER(Inventory!K:K,Inventory!J:J=""Closed"",Inventory!A:A=A754)),"""")"),47.0)</f>
        <v>47</v>
      </c>
      <c r="H754" s="23" t="b">
        <v>0</v>
      </c>
      <c r="I754" s="236"/>
      <c r="J754" s="236">
        <f>MAXIFS(Inventory!D:D, Inventory!A:A, A:A)</f>
        <v>44257</v>
      </c>
      <c r="L754" s="23">
        <f>COUNTIFS(Inventory!A:A,A754,Inventory!J:J,"Open")</f>
        <v>0</v>
      </c>
    </row>
    <row r="755">
      <c r="A755" s="233" t="s">
        <v>4580</v>
      </c>
      <c r="B755" s="23" t="str">
        <f>Publishers!A62</f>
        <v>Crytivo</v>
      </c>
      <c r="C755" s="78">
        <f>COUNTIF(Inventory!A:A, A755)</f>
        <v>2</v>
      </c>
      <c r="D755" s="89">
        <f>IFERROR(__xludf.DUMMYFUNCTION("IFERROR(AVERAGE(FILTER(Inventory!H:H,Inventory!J:J=""Closed"",Inventory!A:A=A755)),"""")"),0.18364310009718177)</f>
        <v>0.1836431001</v>
      </c>
      <c r="E755" s="234">
        <f>IFERROR(__xludf.DUMMYFUNCTION("IFERROR(AVERAGE(FILTER(Inventory!G:G,Inventory!J:J=""Closed"",Inventory!A:A=A755)),""0"")"),1.9000000000000004)</f>
        <v>1.9</v>
      </c>
      <c r="F755" s="235">
        <f>IFERROR(__xludf.DUMMYFUNCTION("IFERROR(SUM(FILTER(Inventory!G:G,Inventory!J:J=""Closed"",Inventory!A:A=A755)),""0"")"),3.8000000000000007)</f>
        <v>3.8</v>
      </c>
      <c r="G755" s="235">
        <f>IFERROR(__xludf.DUMMYFUNCTION("IFERROR(AVERAGE(FILTER(Inventory!K:K,Inventory!J:J=""Closed"",Inventory!A:A=A755)),"""")"),92.5)</f>
        <v>92.5</v>
      </c>
      <c r="H755" s="23" t="b">
        <v>0</v>
      </c>
      <c r="I755" s="236"/>
      <c r="J755" s="236">
        <f>MAXIFS(Inventory!D:D, Inventory!A:A, A:A)</f>
        <v>45314</v>
      </c>
      <c r="L755" s="23">
        <f>COUNTIFS(Inventory!A:A,A755,Inventory!J:J,"Open")</f>
        <v>0</v>
      </c>
    </row>
    <row r="756">
      <c r="A756" s="237" t="s">
        <v>1794</v>
      </c>
      <c r="B756" s="23" t="str">
        <f>Publishers!A228</f>
        <v>Skybound Games</v>
      </c>
      <c r="C756" s="78">
        <f>COUNTIF(Inventory!A:A, A756)</f>
        <v>2</v>
      </c>
      <c r="D756" s="89">
        <f>IFERROR(__xludf.DUMMYFUNCTION("IFERROR(AVERAGE(FILTER(Inventory!H:H,Inventory!J:J=""Closed"",Inventory!A:A=A756)),"""")"),1.0)</f>
        <v>1</v>
      </c>
      <c r="E756" s="234">
        <f>IFERROR(__xludf.DUMMYFUNCTION("IFERROR(AVERAGE(FILTER(Inventory!G:G,Inventory!J:J=""Closed"",Inventory!A:A=A756)),""0"")"),2.0599999999999996)</f>
        <v>2.06</v>
      </c>
      <c r="F756" s="235">
        <f>IFERROR(__xludf.DUMMYFUNCTION("IFERROR(SUM(FILTER(Inventory!G:G,Inventory!J:J=""Closed"",Inventory!A:A=A756)),""0"")"),4.119999999999999)</f>
        <v>4.12</v>
      </c>
      <c r="G756" s="235">
        <f>IFERROR(__xludf.DUMMYFUNCTION("IFERROR(AVERAGE(FILTER(Inventory!K:K,Inventory!J:J=""Closed"",Inventory!A:A=A756)),"""")"),0.5)</f>
        <v>0.5</v>
      </c>
      <c r="H756" s="23" t="b">
        <v>0</v>
      </c>
      <c r="I756" s="236"/>
      <c r="J756" s="236">
        <f>MAXIFS(Inventory!D:D, Inventory!A:A, A:A)</f>
        <v>44556</v>
      </c>
      <c r="L756" s="23">
        <f>COUNTIFS(Inventory!A:A,A756,Inventory!J:J,"Open")</f>
        <v>0</v>
      </c>
    </row>
    <row r="757">
      <c r="A757" s="237" t="s">
        <v>620</v>
      </c>
      <c r="B757" s="23" t="str">
        <f>Publishers!A228</f>
        <v>Skybound Games</v>
      </c>
      <c r="C757" s="78">
        <f>COUNTIF(Inventory!A:A, A757)</f>
        <v>12</v>
      </c>
      <c r="D757" s="89">
        <f>IFERROR(__xludf.DUMMYFUNCTION("IFERROR(AVERAGE(FILTER(Inventory!H:H,Inventory!J:J=""Closed"",Inventory!A:A=A757)),"""")"),0.33677665171497423)</f>
        <v>0.3367766517</v>
      </c>
      <c r="E757" s="234">
        <f>IFERROR(__xludf.DUMMYFUNCTION("IFERROR(AVERAGE(FILTER(Inventory!G:G,Inventory!J:J=""Closed"",Inventory!A:A=A757)),""0"")"),1.2591666666666663)</f>
        <v>1.259166667</v>
      </c>
      <c r="F757" s="235">
        <f>IFERROR(__xludf.DUMMYFUNCTION("IFERROR(SUM(FILTER(Inventory!G:G,Inventory!J:J=""Closed"",Inventory!A:A=A757)),""0"")"),15.109999999999996)</f>
        <v>15.11</v>
      </c>
      <c r="G757" s="235">
        <f>IFERROR(__xludf.DUMMYFUNCTION("IFERROR(AVERAGE(FILTER(Inventory!K:K,Inventory!J:J=""Closed"",Inventory!A:A=A757)),"""")"),35.666666666666664)</f>
        <v>35.66666667</v>
      </c>
      <c r="H757" s="23" t="b">
        <v>0</v>
      </c>
      <c r="I757" s="236"/>
      <c r="J757" s="236">
        <f>MAXIFS(Inventory!D:D, Inventory!A:A, A:A)</f>
        <v>44445</v>
      </c>
      <c r="L757" s="23">
        <f>COUNTIFS(Inventory!A:A,A757,Inventory!J:J,"Open")</f>
        <v>0</v>
      </c>
    </row>
    <row r="758">
      <c r="A758" s="237" t="s">
        <v>1238</v>
      </c>
      <c r="B758" s="23" t="str">
        <f>Publishers!A222</f>
        <v>SEGA</v>
      </c>
      <c r="C758" s="78">
        <f>COUNTIF(Inventory!A:A, A758)</f>
        <v>1</v>
      </c>
      <c r="D758" s="89">
        <f>IFERROR(__xludf.DUMMYFUNCTION("IFERROR(AVERAGE(FILTER(Inventory!H:H,Inventory!J:J=""Closed"",Inventory!A:A=A758)),"""")"),0.07847636530518591)</f>
        <v>0.07847636531</v>
      </c>
      <c r="E758" s="234">
        <f>IFERROR(__xludf.DUMMYFUNCTION("IFERROR(AVERAGE(FILTER(Inventory!G:G,Inventory!J:J=""Closed"",Inventory!A:A=A758)),""0"")"),1.7100000000000009)</f>
        <v>1.71</v>
      </c>
      <c r="F758" s="235">
        <f>IFERROR(__xludf.DUMMYFUNCTION("IFERROR(SUM(FILTER(Inventory!G:G,Inventory!J:J=""Closed"",Inventory!A:A=A758)),""0"")"),1.7100000000000009)</f>
        <v>1.71</v>
      </c>
      <c r="G758" s="235">
        <f>IFERROR(__xludf.DUMMYFUNCTION("IFERROR(AVERAGE(FILTER(Inventory!K:K,Inventory!J:J=""Closed"",Inventory!A:A=A758)),"""")"),60.0)</f>
        <v>60</v>
      </c>
      <c r="H758" s="23" t="b">
        <v>0</v>
      </c>
      <c r="I758" s="236"/>
      <c r="J758" s="236">
        <f>MAXIFS(Inventory!D:D, Inventory!A:A, A:A)</f>
        <v>44435</v>
      </c>
      <c r="L758" s="23">
        <f>COUNTIFS(Inventory!A:A,A758,Inventory!J:J,"Open")</f>
        <v>0</v>
      </c>
    </row>
    <row r="759">
      <c r="A759" s="237" t="s">
        <v>1289</v>
      </c>
      <c r="B759" s="23" t="str">
        <f>Publishers!A93</f>
        <v>Expansive Worlds</v>
      </c>
      <c r="C759" s="78">
        <f>COUNTIF(Inventory!A:A, A759)</f>
        <v>4</v>
      </c>
      <c r="D759" s="89">
        <f>IFERROR(__xludf.DUMMYFUNCTION("IFERROR(AVERAGE(FILTER(Inventory!H:H,Inventory!J:J=""Closed"",Inventory!A:A=A759)),"""")"),0.4040917528700958)</f>
        <v>0.4040917529</v>
      </c>
      <c r="E759" s="234">
        <f>IFERROR(__xludf.DUMMYFUNCTION("IFERROR(AVERAGE(FILTER(Inventory!G:G,Inventory!J:J=""Closed"",Inventory!A:A=A759)),""0"")"),1.0474999999999999)</f>
        <v>1.0475</v>
      </c>
      <c r="F759" s="235">
        <f>IFERROR(__xludf.DUMMYFUNCTION("IFERROR(SUM(FILTER(Inventory!G:G,Inventory!J:J=""Closed"",Inventory!A:A=A759)),""0"")"),4.1899999999999995)</f>
        <v>4.19</v>
      </c>
      <c r="G759" s="235">
        <f>IFERROR(__xludf.DUMMYFUNCTION("IFERROR(AVERAGE(FILTER(Inventory!K:K,Inventory!J:J=""Closed"",Inventory!A:A=A759)),"""")"),1.0)</f>
        <v>1</v>
      </c>
      <c r="H759" s="23" t="b">
        <v>0</v>
      </c>
      <c r="I759" s="236"/>
      <c r="J759" s="236">
        <f>MAXIFS(Inventory!D:D, Inventory!A:A, A:A)</f>
        <v>45970</v>
      </c>
      <c r="L759" s="23">
        <f>COUNTIFS(Inventory!A:A,A759,Inventory!J:J,"Open")</f>
        <v>0</v>
      </c>
    </row>
    <row r="760">
      <c r="A760" s="237" t="s">
        <v>323</v>
      </c>
      <c r="B760" s="23" t="str">
        <f>Publishers!A195</f>
        <v>PlayWay</v>
      </c>
      <c r="C760" s="78">
        <f>COUNTIF(Inventory!A:A, A760)</f>
        <v>5</v>
      </c>
      <c r="D760" s="89">
        <f>IFERROR(__xludf.DUMMYFUNCTION("IFERROR(AVERAGE(FILTER(Inventory!H:H,Inventory!J:J=""Closed"",Inventory!A:A=A760)),"""")"),0.20329063682844137)</f>
        <v>0.2032906368</v>
      </c>
      <c r="E760" s="234">
        <f>IFERROR(__xludf.DUMMYFUNCTION("IFERROR(AVERAGE(FILTER(Inventory!G:G,Inventory!J:J=""Closed"",Inventory!A:A=A760)),""0"")"),2.5600000000000005)</f>
        <v>2.56</v>
      </c>
      <c r="F760" s="235">
        <f>IFERROR(__xludf.DUMMYFUNCTION("IFERROR(SUM(FILTER(Inventory!G:G,Inventory!J:J=""Closed"",Inventory!A:A=A760)),""0"")"),12.800000000000002)</f>
        <v>12.8</v>
      </c>
      <c r="G760" s="235">
        <f>IFERROR(__xludf.DUMMYFUNCTION("IFERROR(AVERAGE(FILTER(Inventory!K:K,Inventory!J:J=""Closed"",Inventory!A:A=A760)),"""")"),8.8)</f>
        <v>8.8</v>
      </c>
      <c r="H760" s="23" t="b">
        <v>0</v>
      </c>
      <c r="I760" s="236"/>
      <c r="J760" s="236">
        <f>MAXIFS(Inventory!D:D, Inventory!A:A, A:A)</f>
        <v>44049</v>
      </c>
      <c r="L760" s="23">
        <f>COUNTIFS(Inventory!A:A,A760,Inventory!J:J,"Open")</f>
        <v>0</v>
      </c>
    </row>
    <row r="761">
      <c r="A761" s="237" t="s">
        <v>1713</v>
      </c>
      <c r="B761" s="23" t="str">
        <f>Publishers!A4</f>
        <v>11 bit studios</v>
      </c>
      <c r="C761" s="78">
        <f>COUNTIF(Inventory!A:A, A761)</f>
        <v>6</v>
      </c>
      <c r="D761" s="89">
        <f>IFERROR(__xludf.DUMMYFUNCTION("IFERROR(AVERAGE(FILTER(Inventory!H:H,Inventory!J:J=""Closed"",Inventory!A:A=A761)),"""")"),0.07145332486708805)</f>
        <v>0.07145332487</v>
      </c>
      <c r="E761" s="234">
        <f>IFERROR(__xludf.DUMMYFUNCTION("IFERROR(AVERAGE(FILTER(Inventory!G:G,Inventory!J:J=""Closed"",Inventory!A:A=A761)),""0"")"),0.7533333333333335)</f>
        <v>0.7533333333</v>
      </c>
      <c r="F761" s="235">
        <f>IFERROR(__xludf.DUMMYFUNCTION("IFERROR(SUM(FILTER(Inventory!G:G,Inventory!J:J=""Closed"",Inventory!A:A=A761)),""0"")"),4.520000000000001)</f>
        <v>4.52</v>
      </c>
      <c r="G761" s="235">
        <f>IFERROR(__xludf.DUMMYFUNCTION("IFERROR(AVERAGE(FILTER(Inventory!K:K,Inventory!J:J=""Closed"",Inventory!A:A=A761)),"""")"),187.33333333333334)</f>
        <v>187.3333333</v>
      </c>
      <c r="H761" s="23" t="b">
        <v>0</v>
      </c>
      <c r="I761" s="236"/>
      <c r="J761" s="236">
        <f>MAXIFS(Inventory!D:D, Inventory!A:A, A:A)</f>
        <v>45819</v>
      </c>
      <c r="L761" s="23">
        <f>COUNTIFS(Inventory!A:A,A761,Inventory!J:J,"Open")</f>
        <v>0</v>
      </c>
    </row>
    <row r="762">
      <c r="A762" s="237" t="s">
        <v>1271</v>
      </c>
      <c r="B762" s="23" t="str">
        <f>Publishers!A285</f>
        <v>Wired Productions</v>
      </c>
      <c r="C762" s="78">
        <f>COUNTIF(Inventory!A:A, A762)</f>
        <v>2</v>
      </c>
      <c r="D762" s="89">
        <f>IFERROR(__xludf.DUMMYFUNCTION("IFERROR(AVERAGE(FILTER(Inventory!H:H,Inventory!J:J=""Closed"",Inventory!A:A=A762)),"""")"),0.5870206489675517)</f>
        <v>0.587020649</v>
      </c>
      <c r="E762" s="234">
        <f>IFERROR(__xludf.DUMMYFUNCTION("IFERROR(AVERAGE(FILTER(Inventory!G:G,Inventory!J:J=""Closed"",Inventory!A:A=A762)),""0"")"),0.8950000000000001)</f>
        <v>0.895</v>
      </c>
      <c r="F762" s="235">
        <f>IFERROR(__xludf.DUMMYFUNCTION("IFERROR(SUM(FILTER(Inventory!G:G,Inventory!J:J=""Closed"",Inventory!A:A=A762)),""0"")"),1.7900000000000003)</f>
        <v>1.79</v>
      </c>
      <c r="G762" s="235">
        <f>IFERROR(__xludf.DUMMYFUNCTION("IFERROR(AVERAGE(FILTER(Inventory!K:K,Inventory!J:J=""Closed"",Inventory!A:A=A762)),"""")"),20.0)</f>
        <v>20</v>
      </c>
      <c r="H762" s="23" t="b">
        <v>0</v>
      </c>
      <c r="I762" s="236"/>
      <c r="J762" s="236">
        <f>MAXIFS(Inventory!D:D, Inventory!A:A, A:A)</f>
        <v>45600</v>
      </c>
      <c r="L762" s="23">
        <f>COUNTIFS(Inventory!A:A,A762,Inventory!J:J,"Open")</f>
        <v>0</v>
      </c>
    </row>
    <row r="763">
      <c r="A763" s="237" t="s">
        <v>1607</v>
      </c>
      <c r="B763" s="23" t="str">
        <f>Publishers!A110</f>
        <v>Gentleman Squid Studio</v>
      </c>
      <c r="C763" s="78">
        <f>COUNTIF(Inventory!A:A, A763)</f>
        <v>1</v>
      </c>
      <c r="D763" s="89">
        <f>IFERROR(__xludf.DUMMYFUNCTION("IFERROR(AVERAGE(FILTER(Inventory!H:H,Inventory!J:J=""Closed"",Inventory!A:A=A763)),"""")"),1.0)</f>
        <v>1</v>
      </c>
      <c r="E763" s="234">
        <f>IFERROR(__xludf.DUMMYFUNCTION("IFERROR(AVERAGE(FILTER(Inventory!G:G,Inventory!J:J=""Closed"",Inventory!A:A=A763)),""0"")"),0.27)</f>
        <v>0.27</v>
      </c>
      <c r="F763" s="235">
        <f>IFERROR(__xludf.DUMMYFUNCTION("IFERROR(SUM(FILTER(Inventory!G:G,Inventory!J:J=""Closed"",Inventory!A:A=A763)),""0"")"),0.27)</f>
        <v>0.27</v>
      </c>
      <c r="G763" s="235">
        <f>IFERROR(__xludf.DUMMYFUNCTION("IFERROR(AVERAGE(FILTER(Inventory!K:K,Inventory!J:J=""Closed"",Inventory!A:A=A763)),"""")"),662.0)</f>
        <v>662</v>
      </c>
      <c r="H763" s="23" t="b">
        <v>0</v>
      </c>
      <c r="I763" s="236"/>
      <c r="J763" s="236">
        <f>MAXIFS(Inventory!D:D, Inventory!A:A, A:A)</f>
        <v>45163</v>
      </c>
      <c r="L763" s="23">
        <f>COUNTIFS(Inventory!A:A,A763,Inventory!J:J,"Open")</f>
        <v>0</v>
      </c>
    </row>
    <row r="764">
      <c r="A764" s="233" t="s">
        <v>5227</v>
      </c>
      <c r="B764" s="23" t="str">
        <f>Publishers!A154</f>
        <v>Mechanistry</v>
      </c>
      <c r="C764" s="78">
        <f>COUNTIF(Inventory!A:A, A764)</f>
        <v>1</v>
      </c>
      <c r="D764" s="89">
        <f>IFERROR(__xludf.DUMMYFUNCTION("IFERROR(AVERAGE(FILTER(Inventory!H:H,Inventory!J:J=""Closed"",Inventory!A:A=A764)),"""")"),0.07135250266240681)</f>
        <v>0.07135250266</v>
      </c>
      <c r="E764" s="234">
        <f>IFERROR(__xludf.DUMMYFUNCTION("IFERROR(AVERAGE(FILTER(Inventory!G:G,Inventory!J:J=""Closed"",Inventory!A:A=A764)),""0"")"),1.3399999999999999)</f>
        <v>1.34</v>
      </c>
      <c r="F764" s="235">
        <f>IFERROR(__xludf.DUMMYFUNCTION("IFERROR(SUM(FILTER(Inventory!G:G,Inventory!J:J=""Closed"",Inventory!A:A=A764)),""0"")"),1.3399999999999999)</f>
        <v>1.34</v>
      </c>
      <c r="G764" s="235">
        <f>IFERROR(__xludf.DUMMYFUNCTION("IFERROR(AVERAGE(FILTER(Inventory!K:K,Inventory!J:J=""Closed"",Inventory!A:A=A764)),"""")"),43.0)</f>
        <v>43</v>
      </c>
      <c r="H764" s="23" t="b">
        <v>0</v>
      </c>
      <c r="I764" s="236"/>
      <c r="J764" s="236">
        <f>MAXIFS(Inventory!D:D, Inventory!A:A, A:A)</f>
        <v>45252</v>
      </c>
      <c r="L764" s="23">
        <f>COUNTIFS(Inventory!A:A,A764,Inventory!J:J,"Open")</f>
        <v>0</v>
      </c>
    </row>
    <row r="765">
      <c r="A765" s="237" t="s">
        <v>778</v>
      </c>
      <c r="B765" s="23" t="str">
        <f>Publishers!A160</f>
        <v>Microids</v>
      </c>
      <c r="C765" s="78">
        <f>COUNTIF(Inventory!A:A, A765)</f>
        <v>1</v>
      </c>
      <c r="D765" s="89">
        <f>IFERROR(__xludf.DUMMYFUNCTION("IFERROR(AVERAGE(FILTER(Inventory!H:H,Inventory!J:J=""Closed"",Inventory!A:A=A765)),"""")"),1.0)</f>
        <v>1</v>
      </c>
      <c r="E765" s="234">
        <f>IFERROR(__xludf.DUMMYFUNCTION("IFERROR(AVERAGE(FILTER(Inventory!G:G,Inventory!J:J=""Closed"",Inventory!A:A=A765)),""0"")"),4.91)</f>
        <v>4.91</v>
      </c>
      <c r="F765" s="235">
        <f>IFERROR(__xludf.DUMMYFUNCTION("IFERROR(SUM(FILTER(Inventory!G:G,Inventory!J:J=""Closed"",Inventory!A:A=A765)),""0"")"),4.91)</f>
        <v>4.91</v>
      </c>
      <c r="G765" s="235">
        <f>IFERROR(__xludf.DUMMYFUNCTION("IFERROR(AVERAGE(FILTER(Inventory!K:K,Inventory!J:J=""Closed"",Inventory!A:A=A765)),"""")"),21.0)</f>
        <v>21</v>
      </c>
      <c r="H765" s="23" t="b">
        <v>0</v>
      </c>
      <c r="I765" s="236"/>
      <c r="J765" s="236">
        <f>MAXIFS(Inventory!D:D, Inventory!A:A, A:A)</f>
        <v>44178</v>
      </c>
      <c r="L765" s="23">
        <f>COUNTIFS(Inventory!A:A,A765,Inventory!J:J,"Open")</f>
        <v>0</v>
      </c>
    </row>
    <row r="766">
      <c r="A766" s="237" t="s">
        <v>1154</v>
      </c>
      <c r="B766" s="23" t="str">
        <f>Publishers!A13</f>
        <v>Aksys Games</v>
      </c>
      <c r="C766" s="78">
        <f>COUNTIF(Inventory!A:A, A766)</f>
        <v>3</v>
      </c>
      <c r="D766" s="89">
        <f>IFERROR(__xludf.DUMMYFUNCTION("IFERROR(AVERAGE(FILTER(Inventory!H:H,Inventory!J:J=""Closed"",Inventory!A:A=A766)),"""")"),0.2713194261350163)</f>
        <v>0.2713194261</v>
      </c>
      <c r="E766" s="234">
        <f>IFERROR(__xludf.DUMMYFUNCTION("IFERROR(AVERAGE(FILTER(Inventory!G:G,Inventory!J:J=""Closed"",Inventory!A:A=A766)),""0"")"),2.633333333333334)</f>
        <v>2.633333333</v>
      </c>
      <c r="F766" s="235">
        <f>IFERROR(__xludf.DUMMYFUNCTION("IFERROR(SUM(FILTER(Inventory!G:G,Inventory!J:J=""Closed"",Inventory!A:A=A766)),""0"")"),7.900000000000002)</f>
        <v>7.9</v>
      </c>
      <c r="G766" s="235">
        <f>IFERROR(__xludf.DUMMYFUNCTION("IFERROR(AVERAGE(FILTER(Inventory!K:K,Inventory!J:J=""Closed"",Inventory!A:A=A766)),"""")"),180.0)</f>
        <v>180</v>
      </c>
      <c r="H766" s="23" t="b">
        <v>0</v>
      </c>
      <c r="I766" s="236"/>
      <c r="J766" s="236">
        <f>MAXIFS(Inventory!D:D, Inventory!A:A, A:A)</f>
        <v>44630</v>
      </c>
      <c r="L766" s="23">
        <f>COUNTIFS(Inventory!A:A,A766,Inventory!J:J,"Open")</f>
        <v>0</v>
      </c>
    </row>
    <row r="767">
      <c r="A767" s="237" t="s">
        <v>172</v>
      </c>
      <c r="B767" s="23" t="str">
        <f>Publishers!A237</f>
        <v>Square Enix</v>
      </c>
      <c r="C767" s="78">
        <f>COUNTIF(Inventory!A:A, A767)</f>
        <v>2</v>
      </c>
      <c r="D767" s="89">
        <f>IFERROR(__xludf.DUMMYFUNCTION("IFERROR(AVERAGE(FILTER(Inventory!H:H,Inventory!J:J=""Closed"",Inventory!A:A=A767)),"""")"),0.11188811188811189)</f>
        <v>0.1118881119</v>
      </c>
      <c r="E767" s="234">
        <f>IFERROR(__xludf.DUMMYFUNCTION("IFERROR(AVERAGE(FILTER(Inventory!G:G,Inventory!J:J=""Closed"",Inventory!A:A=A767)),""0"")"),0.48)</f>
        <v>0.48</v>
      </c>
      <c r="F767" s="235">
        <f>IFERROR(__xludf.DUMMYFUNCTION("IFERROR(SUM(FILTER(Inventory!G:G,Inventory!J:J=""Closed"",Inventory!A:A=A767)),""0"")"),0.96)</f>
        <v>0.96</v>
      </c>
      <c r="G767" s="235">
        <f>IFERROR(__xludf.DUMMYFUNCTION("IFERROR(AVERAGE(FILTER(Inventory!K:K,Inventory!J:J=""Closed"",Inventory!A:A=A767)),"""")"),10.0)</f>
        <v>10</v>
      </c>
      <c r="H767" s="23" t="b">
        <v>0</v>
      </c>
      <c r="I767" s="236"/>
      <c r="J767" s="236">
        <f>MAXIFS(Inventory!D:D, Inventory!A:A, A:A)</f>
        <v>43996</v>
      </c>
      <c r="L767" s="23">
        <f>COUNTIFS(Inventory!A:A,A767,Inventory!J:J,"Open")</f>
        <v>0</v>
      </c>
    </row>
    <row r="768">
      <c r="A768" s="237" t="s">
        <v>840</v>
      </c>
      <c r="B768" s="23" t="str">
        <f>Publishers!A237</f>
        <v>Square Enix</v>
      </c>
      <c r="C768" s="78">
        <f>COUNTIF(Inventory!A:A, A768)</f>
        <v>10</v>
      </c>
      <c r="D768" s="89">
        <f>IFERROR(__xludf.DUMMYFUNCTION("IFERROR(AVERAGE(FILTER(Inventory!H:H,Inventory!J:J=""Closed"",Inventory!A:A=A768)),"""")"),0.23910157265857673)</f>
        <v>0.2391015727</v>
      </c>
      <c r="E768" s="234">
        <f>IFERROR(__xludf.DUMMYFUNCTION("IFERROR(AVERAGE(FILTER(Inventory!G:G,Inventory!J:J=""Closed"",Inventory!A:A=A768)),""0"")"),0.9949999999999999)</f>
        <v>0.995</v>
      </c>
      <c r="F768" s="235">
        <f>IFERROR(__xludf.DUMMYFUNCTION("IFERROR(SUM(FILTER(Inventory!G:G,Inventory!J:J=""Closed"",Inventory!A:A=A768)),""0"")"),9.95)</f>
        <v>9.95</v>
      </c>
      <c r="G768" s="235">
        <f>IFERROR(__xludf.DUMMYFUNCTION("IFERROR(AVERAGE(FILTER(Inventory!K:K,Inventory!J:J=""Closed"",Inventory!A:A=A768)),"""")"),45.1)</f>
        <v>45.1</v>
      </c>
      <c r="H768" s="23" t="b">
        <v>0</v>
      </c>
      <c r="I768" s="236"/>
      <c r="J768" s="236">
        <f>MAXIFS(Inventory!D:D, Inventory!A:A, A:A)</f>
        <v>45303</v>
      </c>
      <c r="L768" s="23">
        <f>COUNTIFS(Inventory!A:A,A768,Inventory!J:J,"Open")</f>
        <v>0</v>
      </c>
    </row>
    <row r="769">
      <c r="A769" s="237" t="s">
        <v>1678</v>
      </c>
      <c r="B769" s="23" t="str">
        <f>Publishers!A237</f>
        <v>Square Enix</v>
      </c>
      <c r="C769" s="78">
        <f>COUNTIF(Inventory!A:A, A769)</f>
        <v>1</v>
      </c>
      <c r="D769" s="89">
        <f>IFERROR(__xludf.DUMMYFUNCTION("IFERROR(AVERAGE(FILTER(Inventory!H:H,Inventory!J:J=""Closed"",Inventory!A:A=A769)),"""")"),1.0)</f>
        <v>1</v>
      </c>
      <c r="E769" s="234">
        <f>IFERROR(__xludf.DUMMYFUNCTION("IFERROR(AVERAGE(FILTER(Inventory!G:G,Inventory!J:J=""Closed"",Inventory!A:A=A769)),""0"")"),0.89)</f>
        <v>0.89</v>
      </c>
      <c r="F769" s="235">
        <f>IFERROR(__xludf.DUMMYFUNCTION("IFERROR(SUM(FILTER(Inventory!G:G,Inventory!J:J=""Closed"",Inventory!A:A=A769)),""0"")"),0.89)</f>
        <v>0.89</v>
      </c>
      <c r="G769" s="235">
        <f>IFERROR(__xludf.DUMMYFUNCTION("IFERROR(AVERAGE(FILTER(Inventory!K:K,Inventory!J:J=""Closed"",Inventory!A:A=A769)),"""")"),1.0)</f>
        <v>1</v>
      </c>
      <c r="H769" s="23" t="b">
        <v>0</v>
      </c>
      <c r="I769" s="236"/>
      <c r="J769" s="236">
        <f>MAXIFS(Inventory!D:D, Inventory!A:A, A:A)</f>
        <v>44524</v>
      </c>
      <c r="L769" s="23">
        <f>COUNTIFS(Inventory!A:A,A769,Inventory!J:J,"Open")</f>
        <v>0</v>
      </c>
    </row>
    <row r="770">
      <c r="A770" s="233" t="s">
        <v>6018</v>
      </c>
      <c r="B770" s="23" t="str">
        <f>Publishers!A237</f>
        <v>Square Enix</v>
      </c>
      <c r="C770" s="78">
        <f>COUNTIF(Inventory!A:A, A770)</f>
        <v>42</v>
      </c>
      <c r="D770" s="89">
        <f>IFERROR(__xludf.DUMMYFUNCTION("IFERROR(AVERAGE(FILTER(Inventory!H:H,Inventory!J:J=""Closed"",Inventory!A:A=A770)),"""")"),0.33439828663649673)</f>
        <v>0.3343982866</v>
      </c>
      <c r="E770" s="234">
        <f>IFERROR(__xludf.DUMMYFUNCTION("IFERROR(AVERAGE(FILTER(Inventory!G:G,Inventory!J:J=""Closed"",Inventory!A:A=A770)),""0"")"),3.5830952380952357)</f>
        <v>3.583095238</v>
      </c>
      <c r="F770" s="235">
        <f>IFERROR(__xludf.DUMMYFUNCTION("IFERROR(SUM(FILTER(Inventory!G:G,Inventory!J:J=""Closed"",Inventory!A:A=A770)),""0"")"),150.4899999999999)</f>
        <v>150.49</v>
      </c>
      <c r="G770" s="235">
        <f>IFERROR(__xludf.DUMMYFUNCTION("IFERROR(AVERAGE(FILTER(Inventory!K:K,Inventory!J:J=""Closed"",Inventory!A:A=A770)),"""")"),4.428571428571429)</f>
        <v>4.428571429</v>
      </c>
      <c r="H770" s="23" t="b">
        <v>0</v>
      </c>
      <c r="I770" s="236"/>
      <c r="J770" s="236">
        <f>MAXIFS(Inventory!D:D, Inventory!A:A, A:A)</f>
        <v>45575</v>
      </c>
      <c r="L770" s="23">
        <f>COUNTIFS(Inventory!A:A,A770,Inventory!J:J,"Open")</f>
        <v>0</v>
      </c>
    </row>
    <row r="771">
      <c r="A771" s="233" t="s">
        <v>7056</v>
      </c>
      <c r="B771" s="23" t="str">
        <f>Publishers!A6</f>
        <v>2K</v>
      </c>
      <c r="C771" s="78">
        <f>COUNTIF(Inventory!A:A, A771)</f>
        <v>1</v>
      </c>
      <c r="D771" s="89">
        <f>IFERROR(__xludf.DUMMYFUNCTION("IFERROR(AVERAGE(FILTER(Inventory!H:H,Inventory!J:J=""Closed"",Inventory!A:A=A771)),"""")"),0.07348951911220708)</f>
        <v>0.07348951911</v>
      </c>
      <c r="E771" s="234">
        <f>IFERROR(__xludf.DUMMYFUNCTION("IFERROR(AVERAGE(FILTER(Inventory!G:G,Inventory!J:J=""Closed"",Inventory!A:A=A771)),""0"")"),2.979999999999997)</f>
        <v>2.98</v>
      </c>
      <c r="F771" s="235">
        <f>IFERROR(__xludf.DUMMYFUNCTION("IFERROR(SUM(FILTER(Inventory!G:G,Inventory!J:J=""Closed"",Inventory!A:A=A771)),""0"")"),2.979999999999997)</f>
        <v>2.98</v>
      </c>
      <c r="G771" s="235">
        <f>IFERROR(__xludf.DUMMYFUNCTION("IFERROR(AVERAGE(FILTER(Inventory!K:K,Inventory!J:J=""Closed"",Inventory!A:A=A771)),"""")"),7.0)</f>
        <v>7</v>
      </c>
      <c r="H771" s="23" t="b">
        <v>0</v>
      </c>
      <c r="I771" s="236"/>
      <c r="J771" s="236">
        <f>MAXIFS(Inventory!D:D, Inventory!A:A, A:A)</f>
        <v>45447</v>
      </c>
      <c r="L771" s="23">
        <f>COUNTIFS(Inventory!A:A,A771,Inventory!J:J,"Open")</f>
        <v>0</v>
      </c>
    </row>
    <row r="772">
      <c r="A772" s="237" t="s">
        <v>584</v>
      </c>
      <c r="B772" s="23" t="str">
        <f>Publishers!A211</f>
        <v>Runic Games</v>
      </c>
      <c r="C772" s="78">
        <f>COUNTIF(Inventory!A:A, A772)</f>
        <v>7</v>
      </c>
      <c r="D772" s="89">
        <f>IFERROR(__xludf.DUMMYFUNCTION("IFERROR(AVERAGE(FILTER(Inventory!H:H,Inventory!J:J=""Closed"",Inventory!A:A=A772)),"""")"),-0.4160997732426304)</f>
        <v>-0.4160997732</v>
      </c>
      <c r="E772" s="234">
        <f>IFERROR(__xludf.DUMMYFUNCTION("IFERROR(AVERAGE(FILTER(Inventory!G:G,Inventory!J:J=""Closed"",Inventory!A:A=A772)),""0"")"),-0.015714285714285726)</f>
        <v>-0.01571428571</v>
      </c>
      <c r="F772" s="235">
        <f>IFERROR(__xludf.DUMMYFUNCTION("IFERROR(SUM(FILTER(Inventory!G:G,Inventory!J:J=""Closed"",Inventory!A:A=A772)),""0"")"),-0.11000000000000007)</f>
        <v>-0.11</v>
      </c>
      <c r="G772" s="235">
        <f>IFERROR(__xludf.DUMMYFUNCTION("IFERROR(AVERAGE(FILTER(Inventory!K:K,Inventory!J:J=""Closed"",Inventory!A:A=A772)),"""")"),340.7142857142857)</f>
        <v>340.7142857</v>
      </c>
      <c r="H772" s="23" t="b">
        <v>0</v>
      </c>
      <c r="I772" s="236"/>
      <c r="J772" s="236">
        <f>MAXIFS(Inventory!D:D, Inventory!A:A, A:A)</f>
        <v>44724</v>
      </c>
      <c r="L772" s="23">
        <f>COUNTIFS(Inventory!A:A,A772,Inventory!J:J,"Open")</f>
        <v>0</v>
      </c>
    </row>
    <row r="773">
      <c r="A773" s="237" t="s">
        <v>587</v>
      </c>
      <c r="B773" s="23" t="str">
        <f>Publishers!A211</f>
        <v>Runic Games</v>
      </c>
      <c r="C773" s="78">
        <f>COUNTIF(Inventory!A:A, A773)</f>
        <v>5</v>
      </c>
      <c r="D773" s="89">
        <f>IFERROR(__xludf.DUMMYFUNCTION("IFERROR(AVERAGE(FILTER(Inventory!H:H,Inventory!J:J=""Closed"",Inventory!A:A=A773)),"""")"),0.5693947932876309)</f>
        <v>0.5693947933</v>
      </c>
      <c r="E773" s="234">
        <f>IFERROR(__xludf.DUMMYFUNCTION("IFERROR(AVERAGE(FILTER(Inventory!G:G,Inventory!J:J=""Closed"",Inventory!A:A=A773)),""0"")"),0.692)</f>
        <v>0.692</v>
      </c>
      <c r="F773" s="235">
        <f>IFERROR(__xludf.DUMMYFUNCTION("IFERROR(SUM(FILTER(Inventory!G:G,Inventory!J:J=""Closed"",Inventory!A:A=A773)),""0"")"),3.46)</f>
        <v>3.46</v>
      </c>
      <c r="G773" s="235">
        <f>IFERROR(__xludf.DUMMYFUNCTION("IFERROR(AVERAGE(FILTER(Inventory!K:K,Inventory!J:J=""Closed"",Inventory!A:A=A773)),"""")"),2.0)</f>
        <v>2</v>
      </c>
      <c r="H773" s="23" t="b">
        <v>0</v>
      </c>
      <c r="I773" s="236"/>
      <c r="J773" s="236">
        <f>MAXIFS(Inventory!D:D, Inventory!A:A, A:A)</f>
        <v>44497</v>
      </c>
      <c r="L773" s="23">
        <f>COUNTIFS(Inventory!A:A,A773,Inventory!J:J,"Open")</f>
        <v>0</v>
      </c>
    </row>
    <row r="774">
      <c r="A774" s="233" t="s">
        <v>5223</v>
      </c>
      <c r="B774" s="23" t="str">
        <f>Publishers!A197</f>
        <v>PQube Limited</v>
      </c>
      <c r="C774" s="78">
        <f>COUNTIF(Inventory!A:A, A774)</f>
        <v>3</v>
      </c>
      <c r="D774" s="89">
        <f>IFERROR(__xludf.DUMMYFUNCTION("IFERROR(AVERAGE(FILTER(Inventory!H:H,Inventory!J:J=""Closed"",Inventory!A:A=A774)),"""")"),0.21005471872295103)</f>
        <v>0.2100547187</v>
      </c>
      <c r="E774" s="234">
        <f>IFERROR(__xludf.DUMMYFUNCTION("IFERROR(AVERAGE(FILTER(Inventory!G:G,Inventory!J:J=""Closed"",Inventory!A:A=A774)),""0"")"),0.48666666666666675)</f>
        <v>0.4866666667</v>
      </c>
      <c r="F774" s="235">
        <f>IFERROR(__xludf.DUMMYFUNCTION("IFERROR(SUM(FILTER(Inventory!G:G,Inventory!J:J=""Closed"",Inventory!A:A=A774)),""0"")"),1.4600000000000002)</f>
        <v>1.46</v>
      </c>
      <c r="G774" s="235">
        <f>IFERROR(__xludf.DUMMYFUNCTION("IFERROR(AVERAGE(FILTER(Inventory!K:K,Inventory!J:J=""Closed"",Inventory!A:A=A774)),"""")"),125.0)</f>
        <v>125</v>
      </c>
      <c r="H774" s="23" t="b">
        <v>0</v>
      </c>
      <c r="I774" s="236"/>
      <c r="J774" s="236">
        <f>MAXIFS(Inventory!D:D, Inventory!A:A, A:A)</f>
        <v>45584</v>
      </c>
      <c r="L774" s="23">
        <f>COUNTIFS(Inventory!A:A,A774,Inventory!J:J,"Open")</f>
        <v>0</v>
      </c>
    </row>
    <row r="775">
      <c r="A775" s="233" t="s">
        <v>5394</v>
      </c>
      <c r="B775" s="23" t="str">
        <f>Publishers!A222</f>
        <v>SEGA</v>
      </c>
      <c r="C775" s="78">
        <f>COUNTIF(Inventory!A:A, A775)</f>
        <v>1</v>
      </c>
      <c r="D775" s="89" t="str">
        <f>IFERROR(__xludf.DUMMYFUNCTION("IFERROR(AVERAGE(FILTER(Inventory!H:H,Inventory!J:J=""Closed"",Inventory!A:A=A775)),"""")"),"")</f>
        <v/>
      </c>
      <c r="E775" s="234" t="str">
        <f>IFERROR(__xludf.DUMMYFUNCTION("IFERROR(AVERAGE(FILTER(Inventory!G:G,Inventory!J:J=""Closed"",Inventory!A:A=A775)),""0"")"),"0")</f>
        <v>0</v>
      </c>
      <c r="F775" s="235" t="str">
        <f>IFERROR(__xludf.DUMMYFUNCTION("IFERROR(SUM(FILTER(Inventory!G:G,Inventory!J:J=""Closed"",Inventory!A:A=A775)),""0"")"),"0")</f>
        <v>0</v>
      </c>
      <c r="G775" s="235" t="str">
        <f>IFERROR(__xludf.DUMMYFUNCTION("IFERROR(AVERAGE(FILTER(Inventory!K:K,Inventory!J:J=""Closed"",Inventory!A:A=A775)),"""")"),"")</f>
        <v/>
      </c>
      <c r="H775" s="23" t="b">
        <v>0</v>
      </c>
      <c r="I775" s="78">
        <v>33.98</v>
      </c>
      <c r="J775" s="236">
        <f>MAXIFS(Inventory!D:D, Inventory!A:A, A:A)</f>
        <v>0</v>
      </c>
      <c r="L775" s="23">
        <f>COUNTIFS(Inventory!A:A,A775,Inventory!J:J,"Open")</f>
        <v>1</v>
      </c>
    </row>
    <row r="776">
      <c r="A776" s="233" t="s">
        <v>4862</v>
      </c>
      <c r="B776" s="23" t="str">
        <f>Publishers!A222</f>
        <v>SEGA</v>
      </c>
      <c r="C776" s="78">
        <f>COUNTIF(Inventory!A:A, A776)</f>
        <v>8</v>
      </c>
      <c r="D776" s="89">
        <f>IFERROR(__xludf.DUMMYFUNCTION("IFERROR(AVERAGE(FILTER(Inventory!H:H,Inventory!J:J=""Closed"",Inventory!A:A=A776)),"""")"),0.11961063873139324)</f>
        <v>0.1196106387</v>
      </c>
      <c r="E776" s="234">
        <f>IFERROR(__xludf.DUMMYFUNCTION("IFERROR(AVERAGE(FILTER(Inventory!G:G,Inventory!J:J=""Closed"",Inventory!A:A=A776)),""0"")"),2.84125)</f>
        <v>2.84125</v>
      </c>
      <c r="F776" s="235">
        <f>IFERROR(__xludf.DUMMYFUNCTION("IFERROR(SUM(FILTER(Inventory!G:G,Inventory!J:J=""Closed"",Inventory!A:A=A776)),""0"")"),22.73)</f>
        <v>22.73</v>
      </c>
      <c r="G776" s="235">
        <f>IFERROR(__xludf.DUMMYFUNCTION("IFERROR(AVERAGE(FILTER(Inventory!K:K,Inventory!J:J=""Closed"",Inventory!A:A=A776)),"""")"),6.0)</f>
        <v>6</v>
      </c>
      <c r="H776" s="23" t="b">
        <v>0</v>
      </c>
      <c r="I776" s="236"/>
      <c r="J776" s="236">
        <f>MAXIFS(Inventory!D:D, Inventory!A:A, A:A)</f>
        <v>45237</v>
      </c>
      <c r="L776" s="23">
        <f>COUNTIFS(Inventory!A:A,A776,Inventory!J:J,"Open")</f>
        <v>0</v>
      </c>
    </row>
    <row r="777">
      <c r="A777" s="237" t="s">
        <v>1420</v>
      </c>
      <c r="B777" s="23" t="str">
        <f>Publishers!A222</f>
        <v>SEGA</v>
      </c>
      <c r="C777" s="78">
        <f>COUNTIF(Inventory!A:A, A777)</f>
        <v>5</v>
      </c>
      <c r="D777" s="89">
        <f>IFERROR(__xludf.DUMMYFUNCTION("IFERROR(AVERAGE(FILTER(Inventory!H:H,Inventory!J:J=""Closed"",Inventory!A:A=A777)),"""")"),0.2046342668985484)</f>
        <v>0.2046342669</v>
      </c>
      <c r="E777" s="234">
        <f>IFERROR(__xludf.DUMMYFUNCTION("IFERROR(AVERAGE(FILTER(Inventory!G:G,Inventory!J:J=""Closed"",Inventory!A:A=A777)),""0"")"),2.2960000000000003)</f>
        <v>2.296</v>
      </c>
      <c r="F777" s="235">
        <f>IFERROR(__xludf.DUMMYFUNCTION("IFERROR(SUM(FILTER(Inventory!G:G,Inventory!J:J=""Closed"",Inventory!A:A=A777)),""0"")"),11.48)</f>
        <v>11.48</v>
      </c>
      <c r="G777" s="235">
        <f>IFERROR(__xludf.DUMMYFUNCTION("IFERROR(AVERAGE(FILTER(Inventory!K:K,Inventory!J:J=""Closed"",Inventory!A:A=A777)),"""")"),21.8)</f>
        <v>21.8</v>
      </c>
      <c r="H777" s="23" t="b">
        <v>0</v>
      </c>
      <c r="I777" s="236"/>
      <c r="J777" s="236">
        <f>MAXIFS(Inventory!D:D, Inventory!A:A, A:A)</f>
        <v>44794</v>
      </c>
      <c r="L777" s="23">
        <f>COUNTIFS(Inventory!A:A,A777,Inventory!J:J,"Open")</f>
        <v>0</v>
      </c>
    </row>
    <row r="778">
      <c r="A778" s="237" t="s">
        <v>127</v>
      </c>
      <c r="B778" s="23" t="str">
        <f>Publishers!A88</f>
        <v>Event Horizon</v>
      </c>
      <c r="C778" s="78">
        <f>COUNTIF(Inventory!A:A, A778)</f>
        <v>2</v>
      </c>
      <c r="D778" s="89">
        <f>IFERROR(__xludf.DUMMYFUNCTION("IFERROR(AVERAGE(FILTER(Inventory!H:H,Inventory!J:J=""Closed"",Inventory!A:A=A778)),"""")"),0.653920619554695)</f>
        <v>0.6539206196</v>
      </c>
      <c r="E778" s="234">
        <f>IFERROR(__xludf.DUMMYFUNCTION("IFERROR(AVERAGE(FILTER(Inventory!G:G,Inventory!J:J=""Closed"",Inventory!A:A=A778)),""0"")"),1.6749999999999998)</f>
        <v>1.675</v>
      </c>
      <c r="F778" s="235">
        <f>IFERROR(__xludf.DUMMYFUNCTION("IFERROR(SUM(FILTER(Inventory!G:G,Inventory!J:J=""Closed"",Inventory!A:A=A778)),""0"")"),3.3499999999999996)</f>
        <v>3.35</v>
      </c>
      <c r="G778" s="235">
        <f>IFERROR(__xludf.DUMMYFUNCTION("IFERROR(AVERAGE(FILTER(Inventory!K:K,Inventory!J:J=""Closed"",Inventory!A:A=A778)),"""")"),114.0)</f>
        <v>114</v>
      </c>
      <c r="H778" s="23" t="b">
        <v>0</v>
      </c>
      <c r="I778" s="236"/>
      <c r="J778" s="236">
        <f>MAXIFS(Inventory!D:D, Inventory!A:A, A:A)</f>
        <v>44599</v>
      </c>
      <c r="L778" s="23">
        <f>COUNTIFS(Inventory!A:A,A778,Inventory!J:J,"Open")</f>
        <v>0</v>
      </c>
    </row>
    <row r="779">
      <c r="A779" s="233" t="s">
        <v>2252</v>
      </c>
      <c r="B779" s="23" t="str">
        <f>Publishers!A98</f>
        <v>Flashbulb</v>
      </c>
      <c r="C779" s="78">
        <f>COUNTIF(Inventory!A:A, A779)</f>
        <v>3</v>
      </c>
      <c r="D779" s="89">
        <f>IFERROR(__xludf.DUMMYFUNCTION("IFERROR(AVERAGE(FILTER(Inventory!H:H,Inventory!J:J=""Closed"",Inventory!A:A=A779)),"""")"),0.12456949757938135)</f>
        <v>0.1245694976</v>
      </c>
      <c r="E779" s="234">
        <f>IFERROR(__xludf.DUMMYFUNCTION("IFERROR(AVERAGE(FILTER(Inventory!G:G,Inventory!J:J=""Closed"",Inventory!A:A=A779)),""0"")"),1.3599999999999994)</f>
        <v>1.36</v>
      </c>
      <c r="F779" s="235">
        <f>IFERROR(__xludf.DUMMYFUNCTION("IFERROR(SUM(FILTER(Inventory!G:G,Inventory!J:J=""Closed"",Inventory!A:A=A779)),""0"")"),4.079999999999998)</f>
        <v>4.08</v>
      </c>
      <c r="G779" s="235">
        <f>IFERROR(__xludf.DUMMYFUNCTION("IFERROR(AVERAGE(FILTER(Inventory!K:K,Inventory!J:J=""Closed"",Inventory!A:A=A779)),"""")"),2.6666666666666665)</f>
        <v>2.666666667</v>
      </c>
      <c r="H779" s="23" t="b">
        <v>0</v>
      </c>
      <c r="I779" s="236"/>
      <c r="J779" s="236">
        <f>MAXIFS(Inventory!D:D, Inventory!A:A, A:A)</f>
        <v>44654</v>
      </c>
      <c r="L779" s="23">
        <f>COUNTIFS(Inventory!A:A,A779,Inventory!J:J,"Open")</f>
        <v>0</v>
      </c>
    </row>
    <row r="780">
      <c r="A780" s="237" t="s">
        <v>1008</v>
      </c>
      <c r="B780" s="23" t="str">
        <f>Publishers!A78</f>
        <v>Dovetail Games</v>
      </c>
      <c r="C780" s="78">
        <f>COUNTIF(Inventory!A:A, A780)</f>
        <v>1</v>
      </c>
      <c r="D780" s="89">
        <f>IFERROR(__xludf.DUMMYFUNCTION("IFERROR(AVERAGE(FILTER(Inventory!H:H,Inventory!J:J=""Closed"",Inventory!A:A=A780)),"""")"),0.01793339026473107)</f>
        <v>0.01793339026</v>
      </c>
      <c r="E780" s="234">
        <f>IFERROR(__xludf.DUMMYFUNCTION("IFERROR(AVERAGE(FILTER(Inventory!G:G,Inventory!J:J=""Closed"",Inventory!A:A=A780)),""0"")"),0.21000000000000085)</f>
        <v>0.21</v>
      </c>
      <c r="F780" s="235">
        <f>IFERROR(__xludf.DUMMYFUNCTION("IFERROR(SUM(FILTER(Inventory!G:G,Inventory!J:J=""Closed"",Inventory!A:A=A780)),""0"")"),0.21000000000000085)</f>
        <v>0.21</v>
      </c>
      <c r="G780" s="235">
        <f>IFERROR(__xludf.DUMMYFUNCTION("IFERROR(AVERAGE(FILTER(Inventory!K:K,Inventory!J:J=""Closed"",Inventory!A:A=A780)),"""")"),23.0)</f>
        <v>23</v>
      </c>
      <c r="H780" s="23" t="b">
        <v>0</v>
      </c>
      <c r="I780" s="236"/>
      <c r="J780" s="236">
        <f>MAXIFS(Inventory!D:D, Inventory!A:A, A:A)</f>
        <v>44305</v>
      </c>
      <c r="L780" s="23">
        <f>COUNTIFS(Inventory!A:A,A780,Inventory!J:J,"Open")</f>
        <v>0</v>
      </c>
    </row>
    <row r="781">
      <c r="A781" s="237" t="s">
        <v>1293</v>
      </c>
      <c r="B781" s="23" t="str">
        <f>Publishers!A78</f>
        <v>Dovetail Games</v>
      </c>
      <c r="C781" s="78">
        <f>COUNTIF(Inventory!A:A, A781)</f>
        <v>1</v>
      </c>
      <c r="D781" s="89">
        <f>IFERROR(__xludf.DUMMYFUNCTION("IFERROR(AVERAGE(FILTER(Inventory!H:H,Inventory!J:J=""Closed"",Inventory!A:A=A781)),"""")"),0.0)</f>
        <v>0</v>
      </c>
      <c r="E781" s="234">
        <f>IFERROR(__xludf.DUMMYFUNCTION("IFERROR(AVERAGE(FILTER(Inventory!G:G,Inventory!J:J=""Closed"",Inventory!A:A=A781)),""0"")"),0.0)</f>
        <v>0</v>
      </c>
      <c r="F781" s="235">
        <f>IFERROR(__xludf.DUMMYFUNCTION("IFERROR(SUM(FILTER(Inventory!G:G,Inventory!J:J=""Closed"",Inventory!A:A=A781)),""0"")"),0.0)</f>
        <v>0</v>
      </c>
      <c r="G781" s="235">
        <f>IFERROR(__xludf.DUMMYFUNCTION("IFERROR(AVERAGE(FILTER(Inventory!K:K,Inventory!J:J=""Closed"",Inventory!A:A=A781)),"""")"),54.0)</f>
        <v>54</v>
      </c>
      <c r="H781" s="23" t="b">
        <v>0</v>
      </c>
      <c r="I781" s="236"/>
      <c r="J781" s="236">
        <f>MAXIFS(Inventory!D:D, Inventory!A:A, A:A)</f>
        <v>44451</v>
      </c>
      <c r="L781" s="23">
        <f>COUNTIFS(Inventory!A:A,A781,Inventory!J:J,"Open")</f>
        <v>0</v>
      </c>
    </row>
    <row r="782">
      <c r="A782" s="233" t="s">
        <v>6773</v>
      </c>
      <c r="B782" s="23" t="str">
        <f>Publishers!A78</f>
        <v>Dovetail Games</v>
      </c>
      <c r="C782" s="78">
        <f>COUNTIF(Inventory!A:A, A782)</f>
        <v>3</v>
      </c>
      <c r="D782" s="89">
        <f>IFERROR(__xludf.DUMMYFUNCTION("IFERROR(AVERAGE(FILTER(Inventory!H:H,Inventory!J:J=""Closed"",Inventory!A:A=A782)),"""")"),0.167674255863863)</f>
        <v>0.1676742559</v>
      </c>
      <c r="E782" s="234">
        <f>IFERROR(__xludf.DUMMYFUNCTION("IFERROR(AVERAGE(FILTER(Inventory!G:G,Inventory!J:J=""Closed"",Inventory!A:A=A782)),""0"")"),2.6766666666666663)</f>
        <v>2.676666667</v>
      </c>
      <c r="F782" s="235">
        <f>IFERROR(__xludf.DUMMYFUNCTION("IFERROR(SUM(FILTER(Inventory!G:G,Inventory!J:J=""Closed"",Inventory!A:A=A782)),""0"")"),8.03)</f>
        <v>8.03</v>
      </c>
      <c r="G782" s="235">
        <f>IFERROR(__xludf.DUMMYFUNCTION("IFERROR(AVERAGE(FILTER(Inventory!K:K,Inventory!J:J=""Closed"",Inventory!A:A=A782)),"""")"),54.666666666666664)</f>
        <v>54.66666667</v>
      </c>
      <c r="H782" s="23" t="b">
        <v>0</v>
      </c>
      <c r="I782" s="236"/>
      <c r="J782" s="236">
        <f>MAXIFS(Inventory!D:D, Inventory!A:A, A:A)</f>
        <v>45620</v>
      </c>
      <c r="L782" s="23">
        <f>COUNTIFS(Inventory!A:A,A782,Inventory!J:J,"Open")</f>
        <v>0</v>
      </c>
    </row>
    <row r="783">
      <c r="A783" s="233" t="s">
        <v>9203</v>
      </c>
      <c r="B783" s="23" t="str">
        <f>Publishers!A78</f>
        <v>Dovetail Games</v>
      </c>
      <c r="C783" s="78">
        <f>COUNTIF(Inventory!A:A, A783)</f>
        <v>2</v>
      </c>
      <c r="D783" s="89">
        <f>IFERROR(__xludf.DUMMYFUNCTION("IFERROR(AVERAGE(FILTER(Inventory!H:H,Inventory!J:J=""Closed"",Inventory!A:A=A783)),"""")"),0.3747126098965834)</f>
        <v>0.3747126099</v>
      </c>
      <c r="E783" s="234">
        <f>IFERROR(__xludf.DUMMYFUNCTION("IFERROR(AVERAGE(FILTER(Inventory!G:G,Inventory!J:J=""Closed"",Inventory!A:A=A783)),""0"")"),22.12)</f>
        <v>22.12</v>
      </c>
      <c r="F783" s="235">
        <f>IFERROR(__xludf.DUMMYFUNCTION("IFERROR(SUM(FILTER(Inventory!G:G,Inventory!J:J=""Closed"",Inventory!A:A=A783)),""0"")"),44.24)</f>
        <v>44.24</v>
      </c>
      <c r="G783" s="235">
        <f>IFERROR(__xludf.DUMMYFUNCTION("IFERROR(AVERAGE(FILTER(Inventory!K:K,Inventory!J:J=""Closed"",Inventory!A:A=A783)),"""")"),0.0)</f>
        <v>0</v>
      </c>
      <c r="H783" s="23" t="b">
        <v>0</v>
      </c>
      <c r="I783" s="236"/>
      <c r="J783" s="236">
        <f>MAXIFS(Inventory!D:D, Inventory!A:A, A:A)</f>
        <v>45932</v>
      </c>
      <c r="K783" s="23" t="str">
        <f>IMAGE("https://gpstatic.com/acache/78/63/3/us/t620x300-a845d66286bbf3205097135325e2dc21.jpg")</f>
        <v/>
      </c>
      <c r="L783" s="23">
        <f>COUNTIFS(Inventory!A:A,A783,Inventory!J:J,"Open")</f>
        <v>0</v>
      </c>
    </row>
    <row r="784">
      <c r="A784" s="237" t="s">
        <v>1905</v>
      </c>
      <c r="B784" s="23" t="str">
        <f>Publishers!A78</f>
        <v>Dovetail Games</v>
      </c>
      <c r="C784" s="78">
        <f>COUNTIF(Inventory!A:A, A784)</f>
        <v>12</v>
      </c>
      <c r="D784" s="89">
        <f>IFERROR(__xludf.DUMMYFUNCTION("IFERROR(AVERAGE(FILTER(Inventory!H:H,Inventory!J:J=""Closed"",Inventory!A:A=A784)),"""")"),0.2362877470396885)</f>
        <v>0.236287747</v>
      </c>
      <c r="E784" s="234">
        <f>IFERROR(__xludf.DUMMYFUNCTION("IFERROR(AVERAGE(FILTER(Inventory!G:G,Inventory!J:J=""Closed"",Inventory!A:A=A784)),""0"")"),2.8425)</f>
        <v>2.8425</v>
      </c>
      <c r="F784" s="235">
        <f>IFERROR(__xludf.DUMMYFUNCTION("IFERROR(SUM(FILTER(Inventory!G:G,Inventory!J:J=""Closed"",Inventory!A:A=A784)),""0"")"),34.11)</f>
        <v>34.11</v>
      </c>
      <c r="G784" s="235">
        <f>IFERROR(__xludf.DUMMYFUNCTION("IFERROR(AVERAGE(FILTER(Inventory!K:K,Inventory!J:J=""Closed"",Inventory!A:A=A784)),"""")"),8.333333333333334)</f>
        <v>8.333333333</v>
      </c>
      <c r="H784" s="78" t="b">
        <v>1</v>
      </c>
      <c r="I784" s="236"/>
      <c r="J784" s="236">
        <f>MAXIFS(Inventory!D:D, Inventory!A:A, A:A)</f>
        <v>45233</v>
      </c>
      <c r="L784" s="23">
        <f>COUNTIFS(Inventory!A:A,A784,Inventory!J:J,"Open")</f>
        <v>0</v>
      </c>
    </row>
    <row r="785">
      <c r="A785" s="237" t="s">
        <v>1096</v>
      </c>
      <c r="B785" s="23" t="str">
        <f>Publishers!A112</f>
        <v>Good Shepherd Entertainment</v>
      </c>
      <c r="C785" s="78">
        <f>COUNTIF(Inventory!A:A, A785)</f>
        <v>4</v>
      </c>
      <c r="D785" s="89">
        <f>IFERROR(__xludf.DUMMYFUNCTION("IFERROR(AVERAGE(FILTER(Inventory!H:H,Inventory!J:J=""Closed"",Inventory!A:A=A785)),"""")"),0.15091611940161892)</f>
        <v>0.1509161194</v>
      </c>
      <c r="E785" s="234">
        <f>IFERROR(__xludf.DUMMYFUNCTION("IFERROR(AVERAGE(FILTER(Inventory!G:G,Inventory!J:J=""Closed"",Inventory!A:A=A785)),""0"")"),3.2950000000000013)</f>
        <v>3.295</v>
      </c>
      <c r="F785" s="235">
        <f>IFERROR(__xludf.DUMMYFUNCTION("IFERROR(SUM(FILTER(Inventory!G:G,Inventory!J:J=""Closed"",Inventory!A:A=A785)),""0"")"),13.180000000000005)</f>
        <v>13.18</v>
      </c>
      <c r="G785" s="235">
        <f>IFERROR(__xludf.DUMMYFUNCTION("IFERROR(AVERAGE(FILTER(Inventory!K:K,Inventory!J:J=""Closed"",Inventory!A:A=A785)),"""")"),1.25)</f>
        <v>1.25</v>
      </c>
      <c r="H785" s="23" t="b">
        <v>0</v>
      </c>
      <c r="I785" s="236"/>
      <c r="J785" s="236">
        <f>MAXIFS(Inventory!D:D, Inventory!A:A, A:A)</f>
        <v>45008</v>
      </c>
      <c r="L785" s="23">
        <f>COUNTIFS(Inventory!A:A,A785,Inventory!J:J,"Open")</f>
        <v>0</v>
      </c>
    </row>
    <row r="786">
      <c r="A786" s="233" t="s">
        <v>2359</v>
      </c>
      <c r="B786" s="23" t="str">
        <f>Publishers!A112</f>
        <v>Good Shepherd Entertainment</v>
      </c>
      <c r="C786" s="78">
        <f>COUNTIF(Inventory!A:A, A786)</f>
        <v>7</v>
      </c>
      <c r="D786" s="89">
        <f>IFERROR(__xludf.DUMMYFUNCTION("IFERROR(AVERAGE(FILTER(Inventory!H:H,Inventory!J:J=""Closed"",Inventory!A:A=A786)),"""")"),0.12800383252156347)</f>
        <v>0.1280038325</v>
      </c>
      <c r="E786" s="234">
        <f>IFERROR(__xludf.DUMMYFUNCTION("IFERROR(AVERAGE(FILTER(Inventory!G:G,Inventory!J:J=""Closed"",Inventory!A:A=A786)),""0"")"),4.508571428571428)</f>
        <v>4.508571429</v>
      </c>
      <c r="F786" s="235">
        <f>IFERROR(__xludf.DUMMYFUNCTION("IFERROR(SUM(FILTER(Inventory!G:G,Inventory!J:J=""Closed"",Inventory!A:A=A786)),""0"")"),31.559999999999995)</f>
        <v>31.56</v>
      </c>
      <c r="G786" s="235">
        <f>IFERROR(__xludf.DUMMYFUNCTION("IFERROR(AVERAGE(FILTER(Inventory!K:K,Inventory!J:J=""Closed"",Inventory!A:A=A786)),"""")"),127.57142857142857)</f>
        <v>127.5714286</v>
      </c>
      <c r="H786" s="23" t="b">
        <v>0</v>
      </c>
      <c r="I786" s="236"/>
      <c r="J786" s="236">
        <f>MAXIFS(Inventory!D:D, Inventory!A:A, A:A)</f>
        <v>45558</v>
      </c>
      <c r="L786" s="23">
        <f>COUNTIFS(Inventory!A:A,A786,Inventory!J:J,"Open")</f>
        <v>0</v>
      </c>
    </row>
    <row r="787">
      <c r="A787" s="237" t="s">
        <v>1840</v>
      </c>
      <c r="B787" s="23" t="str">
        <f>Publishers!A267</f>
        <v>tinyBuild</v>
      </c>
      <c r="C787" s="78">
        <f>COUNTIF(Inventory!A:A, A787)</f>
        <v>1</v>
      </c>
      <c r="D787" s="89">
        <f>IFERROR(__xludf.DUMMYFUNCTION("IFERROR(AVERAGE(FILTER(Inventory!H:H,Inventory!J:J=""Closed"",Inventory!A:A=A787)),"""")"),0.24910179640718566)</f>
        <v>0.2491017964</v>
      </c>
      <c r="E787" s="234">
        <f>IFERROR(__xludf.DUMMYFUNCTION("IFERROR(AVERAGE(FILTER(Inventory!G:G,Inventory!J:J=""Closed"",Inventory!A:A=A787)),""0"")"),2.08)</f>
        <v>2.08</v>
      </c>
      <c r="F787" s="235">
        <f>IFERROR(__xludf.DUMMYFUNCTION("IFERROR(SUM(FILTER(Inventory!G:G,Inventory!J:J=""Closed"",Inventory!A:A=A787)),""0"")"),2.08)</f>
        <v>2.08</v>
      </c>
      <c r="G787" s="235">
        <f>IFERROR(__xludf.DUMMYFUNCTION("IFERROR(AVERAGE(FILTER(Inventory!K:K,Inventory!J:J=""Closed"",Inventory!A:A=A787)),"""")"),59.0)</f>
        <v>59</v>
      </c>
      <c r="H787" s="23" t="b">
        <v>0</v>
      </c>
      <c r="I787" s="236"/>
      <c r="J787" s="236">
        <f>MAXIFS(Inventory!D:D, Inventory!A:A, A:A)</f>
        <v>44633</v>
      </c>
      <c r="L787" s="23">
        <f>COUNTIFS(Inventory!A:A,A787,Inventory!J:J,"Open")</f>
        <v>0</v>
      </c>
    </row>
    <row r="788">
      <c r="A788" s="233" t="s">
        <v>2036</v>
      </c>
      <c r="B788" s="23" t="str">
        <f>Publishers!A284</f>
        <v>WeirdBeard</v>
      </c>
      <c r="C788" s="78">
        <f>COUNTIF(Inventory!A:A, A788)</f>
        <v>7</v>
      </c>
      <c r="D788" s="89">
        <f>IFERROR(__xludf.DUMMYFUNCTION("IFERROR(AVERAGE(FILTER(Inventory!H:H,Inventory!J:J=""Closed"",Inventory!A:A=A788)),"""")"),0.32452150657268186)</f>
        <v>0.3245215066</v>
      </c>
      <c r="E788" s="234">
        <f>IFERROR(__xludf.DUMMYFUNCTION("IFERROR(AVERAGE(FILTER(Inventory!G:G,Inventory!J:J=""Closed"",Inventory!A:A=A788)),""0"")"),2.3300000000000005)</f>
        <v>2.33</v>
      </c>
      <c r="F788" s="235">
        <f>IFERROR(__xludf.DUMMYFUNCTION("IFERROR(SUM(FILTER(Inventory!G:G,Inventory!J:J=""Closed"",Inventory!A:A=A788)),""0"")"),16.310000000000002)</f>
        <v>16.31</v>
      </c>
      <c r="G788" s="235">
        <f>IFERROR(__xludf.DUMMYFUNCTION("IFERROR(AVERAGE(FILTER(Inventory!K:K,Inventory!J:J=""Closed"",Inventory!A:A=A788)),"""")"),8.0)</f>
        <v>8</v>
      </c>
      <c r="H788" s="78" t="b">
        <v>1</v>
      </c>
      <c r="I788" s="236"/>
      <c r="J788" s="236">
        <f>MAXIFS(Inventory!D:D, Inventory!A:A, A:A)</f>
        <v>45136</v>
      </c>
      <c r="L788" s="23">
        <f>COUNTIFS(Inventory!A:A,A788,Inventory!J:J,"Open")</f>
        <v>0</v>
      </c>
    </row>
    <row r="789">
      <c r="A789" s="237" t="s">
        <v>762</v>
      </c>
      <c r="B789" s="23" t="str">
        <f>Publishers!A163</f>
        <v>Modus Games</v>
      </c>
      <c r="C789" s="78">
        <f>COUNTIF(Inventory!A:A, A789)</f>
        <v>2</v>
      </c>
      <c r="D789" s="89">
        <f>IFERROR(__xludf.DUMMYFUNCTION("IFERROR(AVERAGE(FILTER(Inventory!H:H,Inventory!J:J=""Closed"",Inventory!A:A=A789)),"""")"),0.10820666471791868)</f>
        <v>0.1082066647</v>
      </c>
      <c r="E789" s="234">
        <f>IFERROR(__xludf.DUMMYFUNCTION("IFERROR(AVERAGE(FILTER(Inventory!G:G,Inventory!J:J=""Closed"",Inventory!A:A=A789)),""0"")"),0.7049999999999996)</f>
        <v>0.705</v>
      </c>
      <c r="F789" s="235">
        <f>IFERROR(__xludf.DUMMYFUNCTION("IFERROR(SUM(FILTER(Inventory!G:G,Inventory!J:J=""Closed"",Inventory!A:A=A789)),""0"")"),1.4099999999999993)</f>
        <v>1.41</v>
      </c>
      <c r="G789" s="235">
        <f>IFERROR(__xludf.DUMMYFUNCTION("IFERROR(AVERAGE(FILTER(Inventory!K:K,Inventory!J:J=""Closed"",Inventory!A:A=A789)),"""")"),2.5)</f>
        <v>2.5</v>
      </c>
      <c r="H789" s="23" t="b">
        <v>0</v>
      </c>
      <c r="I789" s="236"/>
      <c r="J789" s="236">
        <f>MAXIFS(Inventory!D:D, Inventory!A:A, A:A)</f>
        <v>44177</v>
      </c>
      <c r="L789" s="23">
        <f>COUNTIFS(Inventory!A:A,A789,Inventory!J:J,"Open")</f>
        <v>0</v>
      </c>
    </row>
    <row r="790">
      <c r="A790" s="237" t="s">
        <v>948</v>
      </c>
      <c r="B790" s="23" t="str">
        <f>Publishers!A136</f>
        <v>Kalypso Media</v>
      </c>
      <c r="C790" s="78">
        <f>COUNTIF(Inventory!A:A, A790)</f>
        <v>1</v>
      </c>
      <c r="D790" s="89">
        <f>IFERROR(__xludf.DUMMYFUNCTION("IFERROR(AVERAGE(FILTER(Inventory!H:H,Inventory!J:J=""Closed"",Inventory!A:A=A790)),"""")"),0.4342105263157895)</f>
        <v>0.4342105263</v>
      </c>
      <c r="E790" s="234">
        <f>IFERROR(__xludf.DUMMYFUNCTION("IFERROR(AVERAGE(FILTER(Inventory!G:G,Inventory!J:J=""Closed"",Inventory!A:A=A790)),""0"")"),0.66)</f>
        <v>0.66</v>
      </c>
      <c r="F790" s="235">
        <f>IFERROR(__xludf.DUMMYFUNCTION("IFERROR(SUM(FILTER(Inventory!G:G,Inventory!J:J=""Closed"",Inventory!A:A=A790)),""0"")"),0.66)</f>
        <v>0.66</v>
      </c>
      <c r="G790" s="235">
        <f>IFERROR(__xludf.DUMMYFUNCTION("IFERROR(AVERAGE(FILTER(Inventory!K:K,Inventory!J:J=""Closed"",Inventory!A:A=A790)),"""")"),47.0)</f>
        <v>47</v>
      </c>
      <c r="H790" s="23" t="b">
        <v>0</v>
      </c>
      <c r="I790" s="236"/>
      <c r="J790" s="236">
        <f>MAXIFS(Inventory!D:D, Inventory!A:A, A:A)</f>
        <v>44290</v>
      </c>
      <c r="L790" s="23">
        <f>COUNTIFS(Inventory!A:A,A790,Inventory!J:J,"Open")</f>
        <v>0</v>
      </c>
    </row>
    <row r="791">
      <c r="A791" s="237" t="s">
        <v>1082</v>
      </c>
      <c r="B791" s="23" t="str">
        <f>Publishers!A136</f>
        <v>Kalypso Media</v>
      </c>
      <c r="C791" s="78">
        <f>COUNTIF(Inventory!A:A, A791)</f>
        <v>2</v>
      </c>
      <c r="D791" s="89">
        <f>IFERROR(__xludf.DUMMYFUNCTION("IFERROR(AVERAGE(FILTER(Inventory!H:H,Inventory!J:J=""Closed"",Inventory!A:A=A791)),"""")"),-0.12757688408246035)</f>
        <v>-0.1275768841</v>
      </c>
      <c r="E791" s="234">
        <f>IFERROR(__xludf.DUMMYFUNCTION("IFERROR(AVERAGE(FILTER(Inventory!G:G,Inventory!J:J=""Closed"",Inventory!A:A=A791)),""0"")"),0.05499999999999994)</f>
        <v>0.055</v>
      </c>
      <c r="F791" s="235">
        <f>IFERROR(__xludf.DUMMYFUNCTION("IFERROR(SUM(FILTER(Inventory!G:G,Inventory!J:J=""Closed"",Inventory!A:A=A791)),""0"")"),0.10999999999999988)</f>
        <v>0.11</v>
      </c>
      <c r="G791" s="235">
        <f>IFERROR(__xludf.DUMMYFUNCTION("IFERROR(AVERAGE(FILTER(Inventory!K:K,Inventory!J:J=""Closed"",Inventory!A:A=A791)),"""")"),404.5)</f>
        <v>404.5</v>
      </c>
      <c r="H791" s="23" t="b">
        <v>0</v>
      </c>
      <c r="I791" s="236"/>
      <c r="J791" s="236">
        <f>MAXIFS(Inventory!D:D, Inventory!A:A, A:A)</f>
        <v>45125</v>
      </c>
      <c r="L791" s="23">
        <f>COUNTIFS(Inventory!A:A,A791,Inventory!J:J,"Open")</f>
        <v>0</v>
      </c>
    </row>
    <row r="792">
      <c r="A792" s="233" t="s">
        <v>5714</v>
      </c>
      <c r="B792" s="23" t="str">
        <f>Publishers!A136</f>
        <v>Kalypso Media</v>
      </c>
      <c r="C792" s="78">
        <f>COUNTIF(Inventory!A:A, A792)</f>
        <v>11</v>
      </c>
      <c r="D792" s="89">
        <f>IFERROR(__xludf.DUMMYFUNCTION("IFERROR(AVERAGE(FILTER(Inventory!H:H,Inventory!J:J=""Closed"",Inventory!A:A=A792)),"""")"),0.20727645214793053)</f>
        <v>0.2072764521</v>
      </c>
      <c r="E792" s="234">
        <f>IFERROR(__xludf.DUMMYFUNCTION("IFERROR(AVERAGE(FILTER(Inventory!G:G,Inventory!J:J=""Closed"",Inventory!A:A=A792)),""0"")"),1.2027272727272729)</f>
        <v>1.202727273</v>
      </c>
      <c r="F792" s="235">
        <f>IFERROR(__xludf.DUMMYFUNCTION("IFERROR(SUM(FILTER(Inventory!G:G,Inventory!J:J=""Closed"",Inventory!A:A=A792)),""0"")"),13.23)</f>
        <v>13.23</v>
      </c>
      <c r="G792" s="235">
        <f>IFERROR(__xludf.DUMMYFUNCTION("IFERROR(AVERAGE(FILTER(Inventory!K:K,Inventory!J:J=""Closed"",Inventory!A:A=A792)),"""")"),14.454545454545455)</f>
        <v>14.45454545</v>
      </c>
      <c r="H792" s="23" t="b">
        <v>0</v>
      </c>
      <c r="I792" s="236"/>
      <c r="J792" s="236">
        <f>MAXIFS(Inventory!D:D, Inventory!A:A, A:A)</f>
        <v>45437</v>
      </c>
      <c r="L792" s="23">
        <f>COUNTIFS(Inventory!A:A,A792,Inventory!J:J,"Open")</f>
        <v>0</v>
      </c>
    </row>
    <row r="793">
      <c r="A793" s="233" t="s">
        <v>3467</v>
      </c>
      <c r="B793" s="23" t="str">
        <f>Publishers!A136</f>
        <v>Kalypso Media</v>
      </c>
      <c r="C793" s="78">
        <f>COUNTIF(Inventory!A:A, A793)</f>
        <v>2</v>
      </c>
      <c r="D793" s="89">
        <f>IFERROR(__xludf.DUMMYFUNCTION("IFERROR(AVERAGE(FILTER(Inventory!H:H,Inventory!J:J=""Closed"",Inventory!A:A=A793)),"""")"),0.16168861084842753)</f>
        <v>0.1616886108</v>
      </c>
      <c r="E793" s="234">
        <f>IFERROR(__xludf.DUMMYFUNCTION("IFERROR(AVERAGE(FILTER(Inventory!G:G,Inventory!J:J=""Closed"",Inventory!A:A=A793)),""0"")"),1.25)</f>
        <v>1.25</v>
      </c>
      <c r="F793" s="235">
        <f>IFERROR(__xludf.DUMMYFUNCTION("IFERROR(SUM(FILTER(Inventory!G:G,Inventory!J:J=""Closed"",Inventory!A:A=A793)),""0"")"),2.5)</f>
        <v>2.5</v>
      </c>
      <c r="G793" s="235">
        <f>IFERROR(__xludf.DUMMYFUNCTION("IFERROR(AVERAGE(FILTER(Inventory!K:K,Inventory!J:J=""Closed"",Inventory!A:A=A793)),"""")"),83.0)</f>
        <v>83</v>
      </c>
      <c r="H793" s="23" t="b">
        <v>0</v>
      </c>
      <c r="I793" s="236"/>
      <c r="J793" s="236">
        <f>MAXIFS(Inventory!D:D, Inventory!A:A, A:A)</f>
        <v>45421</v>
      </c>
      <c r="L793" s="23">
        <f>COUNTIFS(Inventory!A:A,A793,Inventory!J:J,"Open")</f>
        <v>0</v>
      </c>
    </row>
    <row r="794">
      <c r="A794" s="237" t="s">
        <v>865</v>
      </c>
      <c r="B794" s="23" t="str">
        <f>Publishers!A167</f>
        <v>Nacon</v>
      </c>
      <c r="C794" s="78">
        <f>COUNTIF(Inventory!A:A, A794)</f>
        <v>1</v>
      </c>
      <c r="D794" s="89">
        <f>IFERROR(__xludf.DUMMYFUNCTION("IFERROR(AVERAGE(FILTER(Inventory!H:H,Inventory!J:J=""Closed"",Inventory!A:A=A794)),"""")"),0.5348837209302326)</f>
        <v>0.5348837209</v>
      </c>
      <c r="E794" s="234">
        <f>IFERROR(__xludf.DUMMYFUNCTION("IFERROR(AVERAGE(FILTER(Inventory!G:G,Inventory!J:J=""Closed"",Inventory!A:A=A794)),""0"")"),0.6900000000000001)</f>
        <v>0.69</v>
      </c>
      <c r="F794" s="235">
        <f>IFERROR(__xludf.DUMMYFUNCTION("IFERROR(SUM(FILTER(Inventory!G:G,Inventory!J:J=""Closed"",Inventory!A:A=A794)),""0"")"),0.6900000000000001)</f>
        <v>0.69</v>
      </c>
      <c r="G794" s="235">
        <f>IFERROR(__xludf.DUMMYFUNCTION("IFERROR(AVERAGE(FILTER(Inventory!K:K,Inventory!J:J=""Closed"",Inventory!A:A=A794)),"""")"),3.0)</f>
        <v>3</v>
      </c>
      <c r="H794" s="23" t="b">
        <v>0</v>
      </c>
      <c r="I794" s="236"/>
      <c r="J794" s="236">
        <f>MAXIFS(Inventory!D:D, Inventory!A:A, A:A)</f>
        <v>44186</v>
      </c>
      <c r="L794" s="23">
        <f>COUNTIFS(Inventory!A:A,A794,Inventory!J:J,"Open")</f>
        <v>0</v>
      </c>
    </row>
    <row r="795">
      <c r="A795" s="237" t="s">
        <v>314</v>
      </c>
      <c r="B795" s="23" t="str">
        <f>Publishers!A167</f>
        <v>Nacon</v>
      </c>
      <c r="C795" s="78">
        <f>COUNTIF(Inventory!A:A, A795)</f>
        <v>4</v>
      </c>
      <c r="D795" s="89">
        <f>IFERROR(__xludf.DUMMYFUNCTION("IFERROR(AVERAGE(FILTER(Inventory!H:H,Inventory!J:J=""Closed"",Inventory!A:A=A795)),"""")"),0.23396303020865528)</f>
        <v>0.2339630302</v>
      </c>
      <c r="E795" s="234">
        <f>IFERROR(__xludf.DUMMYFUNCTION("IFERROR(AVERAGE(FILTER(Inventory!G:G,Inventory!J:J=""Closed"",Inventory!A:A=A795)),""0"")"),1.8199999999999992)</f>
        <v>1.82</v>
      </c>
      <c r="F795" s="235">
        <f>IFERROR(__xludf.DUMMYFUNCTION("IFERROR(SUM(FILTER(Inventory!G:G,Inventory!J:J=""Closed"",Inventory!A:A=A795)),""0"")"),7.279999999999997)</f>
        <v>7.28</v>
      </c>
      <c r="G795" s="235">
        <f>IFERROR(__xludf.DUMMYFUNCTION("IFERROR(AVERAGE(FILTER(Inventory!K:K,Inventory!J:J=""Closed"",Inventory!A:A=A795)),"""")"),80.5)</f>
        <v>80.5</v>
      </c>
      <c r="H795" s="23" t="b">
        <v>0</v>
      </c>
      <c r="I795" s="236"/>
      <c r="J795" s="236">
        <f>MAXIFS(Inventory!D:D, Inventory!A:A, A:A)</f>
        <v>44456</v>
      </c>
      <c r="L795" s="23">
        <f>COUNTIFS(Inventory!A:A,A795,Inventory!J:J,"Open")</f>
        <v>0</v>
      </c>
    </row>
    <row r="796">
      <c r="A796" s="233" t="s">
        <v>3959</v>
      </c>
      <c r="B796" s="78" t="str">
        <f>Publishers!A19</f>
        <v>Apogee Entertainment</v>
      </c>
      <c r="C796" s="78">
        <f>COUNTIF(Inventory!A:A, A796)</f>
        <v>1</v>
      </c>
      <c r="D796" s="89">
        <f>IFERROR(__xludf.DUMMYFUNCTION("IFERROR(AVERAGE(FILTER(Inventory!H:H,Inventory!J:J=""Closed"",Inventory!A:A=A796)),"""")"),0.3659942363112392)</f>
        <v>0.3659942363</v>
      </c>
      <c r="E796" s="234">
        <f>IFERROR(__xludf.DUMMYFUNCTION("IFERROR(AVERAGE(FILTER(Inventory!G:G,Inventory!J:J=""Closed"",Inventory!A:A=A796)),""0"")"),5.08)</f>
        <v>5.08</v>
      </c>
      <c r="F796" s="235">
        <f>IFERROR(__xludf.DUMMYFUNCTION("IFERROR(SUM(FILTER(Inventory!G:G,Inventory!J:J=""Closed"",Inventory!A:A=A796)),""0"")"),5.08)</f>
        <v>5.08</v>
      </c>
      <c r="G796" s="235">
        <f>IFERROR(__xludf.DUMMYFUNCTION("IFERROR(AVERAGE(FILTER(Inventory!K:K,Inventory!J:J=""Closed"",Inventory!A:A=A796)),"""")"),13.0)</f>
        <v>13</v>
      </c>
      <c r="H796" s="23" t="b">
        <v>0</v>
      </c>
      <c r="I796" s="236"/>
      <c r="J796" s="236">
        <f>MAXIFS(Inventory!D:D, Inventory!A:A, A:A)</f>
        <v>45054</v>
      </c>
      <c r="L796" s="23">
        <f>COUNTIFS(Inventory!A:A,A796,Inventory!J:J,"Open")</f>
        <v>0</v>
      </c>
    </row>
    <row r="797">
      <c r="A797" s="233" t="s">
        <v>2066</v>
      </c>
      <c r="B797" s="78" t="s">
        <v>10266</v>
      </c>
      <c r="C797" s="78">
        <f>COUNTIF(Inventory!A:A, A797)</f>
        <v>7</v>
      </c>
      <c r="D797" s="89">
        <f>IFERROR(__xludf.DUMMYFUNCTION("IFERROR(AVERAGE(FILTER(Inventory!H:H,Inventory!J:J=""Closed"",Inventory!A:A=A797)),"""")"),0.24467054847060776)</f>
        <v>0.2446705485</v>
      </c>
      <c r="E797" s="234">
        <f>IFERROR(__xludf.DUMMYFUNCTION("IFERROR(AVERAGE(FILTER(Inventory!G:G,Inventory!J:J=""Closed"",Inventory!A:A=A797)),""0"")"),3.2428571428571433)</f>
        <v>3.242857143</v>
      </c>
      <c r="F797" s="235">
        <f>IFERROR(__xludf.DUMMYFUNCTION("IFERROR(SUM(FILTER(Inventory!G:G,Inventory!J:J=""Closed"",Inventory!A:A=A797)),""0"")"),22.700000000000003)</f>
        <v>22.7</v>
      </c>
      <c r="G797" s="235">
        <f>IFERROR(__xludf.DUMMYFUNCTION("IFERROR(AVERAGE(FILTER(Inventory!K:K,Inventory!J:J=""Closed"",Inventory!A:A=A797)),"""")"),44.857142857142854)</f>
        <v>44.85714286</v>
      </c>
      <c r="H797" s="23" t="b">
        <v>0</v>
      </c>
      <c r="I797" s="78">
        <v>15.69</v>
      </c>
      <c r="J797" s="236">
        <f>MAXIFS(Inventory!D:D, Inventory!A:A, A:A)</f>
        <v>45212</v>
      </c>
      <c r="L797" s="23">
        <f>COUNTIFS(Inventory!A:A,A797,Inventory!J:J,"Open")</f>
        <v>0</v>
      </c>
    </row>
    <row r="798">
      <c r="A798" s="233" t="s">
        <v>4893</v>
      </c>
      <c r="B798" s="23" t="str">
        <f>Publishers!A222</f>
        <v>SEGA</v>
      </c>
      <c r="C798" s="78">
        <f>COUNTIF(Inventory!A:A, A798)</f>
        <v>1</v>
      </c>
      <c r="D798" s="89" t="str">
        <f>IFERROR(__xludf.DUMMYFUNCTION("IFERROR(AVERAGE(FILTER(Inventory!H:H,Inventory!J:J=""Closed"",Inventory!A:A=A798)),"""")"),"")</f>
        <v/>
      </c>
      <c r="E798" s="234" t="str">
        <f>IFERROR(__xludf.DUMMYFUNCTION("IFERROR(AVERAGE(FILTER(Inventory!G:G,Inventory!J:J=""Closed"",Inventory!A:A=A798)),""0"")"),"0")</f>
        <v>0</v>
      </c>
      <c r="F798" s="235" t="str">
        <f>IFERROR(__xludf.DUMMYFUNCTION("IFERROR(SUM(FILTER(Inventory!G:G,Inventory!J:J=""Closed"",Inventory!A:A=A798)),""0"")"),"0")</f>
        <v>0</v>
      </c>
      <c r="G798" s="235" t="str">
        <f>IFERROR(__xludf.DUMMYFUNCTION("IFERROR(AVERAGE(FILTER(Inventory!K:K,Inventory!J:J=""Closed"",Inventory!A:A=A798)),"""")"),"")</f>
        <v/>
      </c>
      <c r="H798" s="78" t="b">
        <v>0</v>
      </c>
      <c r="I798" s="78">
        <v>19.89</v>
      </c>
      <c r="J798" s="236">
        <f>MAXIFS(Inventory!D:D, Inventory!A:A, A:A)</f>
        <v>0</v>
      </c>
      <c r="L798" s="23">
        <f>COUNTIFS(Inventory!A:A,A798,Inventory!J:J,"Open")</f>
        <v>1</v>
      </c>
    </row>
    <row r="799">
      <c r="A799" s="233" t="s">
        <v>3619</v>
      </c>
      <c r="B799" s="23" t="str">
        <f>Publishers!A222</f>
        <v>SEGA</v>
      </c>
      <c r="C799" s="78">
        <f>COUNTIF(Inventory!A:A, A799)</f>
        <v>2</v>
      </c>
      <c r="D799" s="89">
        <f>IFERROR(__xludf.DUMMYFUNCTION("IFERROR(AVERAGE(FILTER(Inventory!H:H,Inventory!J:J=""Closed"",Inventory!A:A=A799)),"""")"),0.10228951255539143)</f>
        <v>0.1022895126</v>
      </c>
      <c r="E799" s="234">
        <f>IFERROR(__xludf.DUMMYFUNCTION("IFERROR(AVERAGE(FILTER(Inventory!G:G,Inventory!J:J=""Closed"",Inventory!A:A=A799)),""0"")"),2.7699999999999996)</f>
        <v>2.77</v>
      </c>
      <c r="F799" s="235">
        <f>IFERROR(__xludf.DUMMYFUNCTION("IFERROR(SUM(FILTER(Inventory!G:G,Inventory!J:J=""Closed"",Inventory!A:A=A799)),""0"")"),2.7699999999999996)</f>
        <v>2.77</v>
      </c>
      <c r="G799" s="235">
        <f>IFERROR(__xludf.DUMMYFUNCTION("IFERROR(AVERAGE(FILTER(Inventory!K:K,Inventory!J:J=""Closed"",Inventory!A:A=A799)),"""")"),1.0)</f>
        <v>1</v>
      </c>
      <c r="H799" s="78" t="b">
        <v>0</v>
      </c>
      <c r="I799" s="236"/>
      <c r="J799" s="236">
        <f>MAXIFS(Inventory!D:D, Inventory!A:A, A:A)</f>
        <v>44996</v>
      </c>
      <c r="L799" s="23">
        <f>COUNTIFS(Inventory!A:A,A799,Inventory!J:J,"Open")</f>
        <v>1</v>
      </c>
    </row>
    <row r="800">
      <c r="A800" s="233" t="s">
        <v>2250</v>
      </c>
      <c r="B800" s="23" t="str">
        <f>Publishers!A222</f>
        <v>SEGA</v>
      </c>
      <c r="C800" s="78">
        <f>COUNTIF(Inventory!A:A, A800)</f>
        <v>21</v>
      </c>
      <c r="D800" s="89">
        <f>IFERROR(__xludf.DUMMYFUNCTION("IFERROR(AVERAGE(FILTER(Inventory!H:H,Inventory!J:J=""Closed"",Inventory!A:A=A800)),"""")"),0.2147487405494292)</f>
        <v>0.2147487405</v>
      </c>
      <c r="E800" s="234">
        <f>IFERROR(__xludf.DUMMYFUNCTION("IFERROR(AVERAGE(FILTER(Inventory!G:G,Inventory!J:J=""Closed"",Inventory!A:A=A800)),""0"")"),3.764761904761905)</f>
        <v>3.764761905</v>
      </c>
      <c r="F800" s="235">
        <f>IFERROR(__xludf.DUMMYFUNCTION("IFERROR(SUM(FILTER(Inventory!G:G,Inventory!J:J=""Closed"",Inventory!A:A=A800)),""0"")"),79.06)</f>
        <v>79.06</v>
      </c>
      <c r="G800" s="235">
        <f>IFERROR(__xludf.DUMMYFUNCTION("IFERROR(AVERAGE(FILTER(Inventory!K:K,Inventory!J:J=""Closed"",Inventory!A:A=A800)),"""")"),2.5238095238095237)</f>
        <v>2.523809524</v>
      </c>
      <c r="H800" s="78" t="b">
        <v>1</v>
      </c>
      <c r="I800" s="236"/>
      <c r="J800" s="236">
        <f>MAXIFS(Inventory!D:D, Inventory!A:A, A:A)</f>
        <v>44828</v>
      </c>
      <c r="L800" s="23">
        <f>COUNTIFS(Inventory!A:A,A800,Inventory!J:J,"Open")</f>
        <v>0</v>
      </c>
    </row>
    <row r="801">
      <c r="A801" s="237" t="s">
        <v>1307</v>
      </c>
      <c r="B801" s="23" t="str">
        <f>Publishers!A222</f>
        <v>SEGA</v>
      </c>
      <c r="C801" s="78">
        <f>COUNTIF(Inventory!A:A, A801)</f>
        <v>9</v>
      </c>
      <c r="D801" s="89">
        <f>IFERROR(__xludf.DUMMYFUNCTION("IFERROR(AVERAGE(FILTER(Inventory!H:H,Inventory!J:J=""Closed"",Inventory!A:A=A801)),"""")"),0.17966853591931126)</f>
        <v>0.1796685359</v>
      </c>
      <c r="E801" s="234">
        <f>IFERROR(__xludf.DUMMYFUNCTION("IFERROR(AVERAGE(FILTER(Inventory!G:G,Inventory!J:J=""Closed"",Inventory!A:A=A801)),""0"")"),1.5188888888888887)</f>
        <v>1.518888889</v>
      </c>
      <c r="F801" s="235">
        <f>IFERROR(__xludf.DUMMYFUNCTION("IFERROR(SUM(FILTER(Inventory!G:G,Inventory!J:J=""Closed"",Inventory!A:A=A801)),""0"")"),13.669999999999998)</f>
        <v>13.67</v>
      </c>
      <c r="G801" s="235">
        <f>IFERROR(__xludf.DUMMYFUNCTION("IFERROR(AVERAGE(FILTER(Inventory!K:K,Inventory!J:J=""Closed"",Inventory!A:A=A801)),"""")"),31.22222222222222)</f>
        <v>31.22222222</v>
      </c>
      <c r="H801" s="23" t="b">
        <v>0</v>
      </c>
      <c r="I801" s="236"/>
      <c r="J801" s="236">
        <f>MAXIFS(Inventory!D:D, Inventory!A:A, A:A)</f>
        <v>45248</v>
      </c>
      <c r="L801" s="23">
        <f>COUNTIFS(Inventory!A:A,A801,Inventory!J:J,"Open")</f>
        <v>0</v>
      </c>
    </row>
    <row r="802">
      <c r="A802" s="237" t="s">
        <v>312</v>
      </c>
      <c r="B802" s="23" t="str">
        <f>Publishers!A47</f>
        <v>CAPCOM</v>
      </c>
      <c r="C802" s="78">
        <f>COUNTIF(Inventory!A:A, A802)</f>
        <v>1</v>
      </c>
      <c r="D802" s="89">
        <f>IFERROR(__xludf.DUMMYFUNCTION("IFERROR(AVERAGE(FILTER(Inventory!H:H,Inventory!J:J=""Closed"",Inventory!A:A=A802)),"""")"),0.1336898395721925)</f>
        <v>0.1336898396</v>
      </c>
      <c r="E802" s="234">
        <f>IFERROR(__xludf.DUMMYFUNCTION("IFERROR(AVERAGE(FILTER(Inventory!G:G,Inventory!J:J=""Closed"",Inventory!A:A=A802)),""0"")"),1.0)</f>
        <v>1</v>
      </c>
      <c r="F802" s="235">
        <f>IFERROR(__xludf.DUMMYFUNCTION("IFERROR(SUM(FILTER(Inventory!G:G,Inventory!J:J=""Closed"",Inventory!A:A=A802)),""0"")"),1.0)</f>
        <v>1</v>
      </c>
      <c r="G802" s="235">
        <f>IFERROR(__xludf.DUMMYFUNCTION("IFERROR(AVERAGE(FILTER(Inventory!K:K,Inventory!J:J=""Closed"",Inventory!A:A=A802)),"""")"),24.0)</f>
        <v>24</v>
      </c>
      <c r="H802" s="23" t="b">
        <v>0</v>
      </c>
      <c r="I802" s="236"/>
      <c r="J802" s="236">
        <f>MAXIFS(Inventory!D:D, Inventory!A:A, A:A)</f>
        <v>44043</v>
      </c>
      <c r="L802" s="23">
        <f>COUNTIFS(Inventory!A:A,A802,Inventory!J:J,"Open")</f>
        <v>0</v>
      </c>
    </row>
    <row r="803">
      <c r="A803" s="233" t="s">
        <v>5687</v>
      </c>
      <c r="C803" s="78">
        <f>COUNTIF(Inventory!A:A, A803)</f>
        <v>1</v>
      </c>
      <c r="D803" s="89">
        <f>IFERROR(__xludf.DUMMYFUNCTION("IFERROR(AVERAGE(FILTER(Inventory!H:H,Inventory!J:J=""Closed"",Inventory!A:A=A803)),"""")"),1.0)</f>
        <v>1</v>
      </c>
      <c r="E803" s="234">
        <f>IFERROR(__xludf.DUMMYFUNCTION("IFERROR(AVERAGE(FILTER(Inventory!G:G,Inventory!J:J=""Closed"",Inventory!A:A=A803)),""0"")"),1.25)</f>
        <v>1.25</v>
      </c>
      <c r="F803" s="235">
        <f>IFERROR(__xludf.DUMMYFUNCTION("IFERROR(SUM(FILTER(Inventory!G:G,Inventory!J:J=""Closed"",Inventory!A:A=A803)),""0"")"),1.25)</f>
        <v>1.25</v>
      </c>
      <c r="G803" s="235">
        <f>IFERROR(__xludf.DUMMYFUNCTION("IFERROR(AVERAGE(FILTER(Inventory!K:K,Inventory!J:J=""Closed"",Inventory!A:A=A803)),"""")"),6.0)</f>
        <v>6</v>
      </c>
      <c r="H803" s="23" t="b">
        <v>0</v>
      </c>
      <c r="I803" s="236"/>
      <c r="J803" s="236">
        <f>MAXIFS(Inventory!D:D, Inventory!A:A, A:A)</f>
        <v>45260</v>
      </c>
      <c r="L803" s="23">
        <f>COUNTIFS(Inventory!A:A,A803,Inventory!J:J,"Open")</f>
        <v>0</v>
      </c>
    </row>
    <row r="804">
      <c r="A804" s="233" t="s">
        <v>4282</v>
      </c>
      <c r="B804" s="23" t="str">
        <f>Publishers!A194</f>
        <v>PlayStation</v>
      </c>
      <c r="C804" s="78">
        <f>COUNTIF(Inventory!A:A, A804)</f>
        <v>17</v>
      </c>
      <c r="D804" s="89">
        <f>IFERROR(__xludf.DUMMYFUNCTION("IFERROR(AVERAGE(FILTER(Inventory!H:H,Inventory!J:J=""Closed"",Inventory!A:A=A804)),"""")"),0.20871325187729362)</f>
        <v>0.2087132519</v>
      </c>
      <c r="E804" s="234">
        <f>IFERROR(__xludf.DUMMYFUNCTION("IFERROR(AVERAGE(FILTER(Inventory!G:G,Inventory!J:J=""Closed"",Inventory!A:A=A804)),""0"")"),6.3747058823529406)</f>
        <v>6.374705882</v>
      </c>
      <c r="F804" s="235">
        <f>IFERROR(__xludf.DUMMYFUNCTION("IFERROR(SUM(FILTER(Inventory!G:G,Inventory!J:J=""Closed"",Inventory!A:A=A804)),""0"")"),108.36999999999999)</f>
        <v>108.37</v>
      </c>
      <c r="G804" s="235">
        <f>IFERROR(__xludf.DUMMYFUNCTION("IFERROR(AVERAGE(FILTER(Inventory!K:K,Inventory!J:J=""Closed"",Inventory!A:A=A804)),"""")"),41.64705882352941)</f>
        <v>41.64705882</v>
      </c>
      <c r="H804" s="23" t="b">
        <v>0</v>
      </c>
      <c r="I804" s="236"/>
      <c r="J804" s="236">
        <f>MAXIFS(Inventory!D:D, Inventory!A:A, A:A)</f>
        <v>45814</v>
      </c>
      <c r="L804" s="23">
        <f>COUNTIFS(Inventory!A:A,A804,Inventory!J:J,"Open")</f>
        <v>0</v>
      </c>
    </row>
    <row r="805">
      <c r="A805" s="237" t="s">
        <v>1742</v>
      </c>
      <c r="B805" s="23" t="str">
        <f>Publishers!A245</f>
        <v>Stygian Software</v>
      </c>
      <c r="C805" s="78">
        <f>COUNTIF(Inventory!A:A, A805)</f>
        <v>2</v>
      </c>
      <c r="D805" s="89">
        <f>IFERROR(__xludf.DUMMYFUNCTION("IFERROR(AVERAGE(FILTER(Inventory!H:H,Inventory!J:J=""Closed"",Inventory!A:A=A805)),"""")"),0.32907993733581486)</f>
        <v>0.3290799373</v>
      </c>
      <c r="E805" s="234">
        <f>IFERROR(__xludf.DUMMYFUNCTION("IFERROR(AVERAGE(FILTER(Inventory!G:G,Inventory!J:J=""Closed"",Inventory!A:A=A805)),""0"")"),2.485)</f>
        <v>2.485</v>
      </c>
      <c r="F805" s="235">
        <f>IFERROR(__xludf.DUMMYFUNCTION("IFERROR(SUM(FILTER(Inventory!G:G,Inventory!J:J=""Closed"",Inventory!A:A=A805)),""0"")"),4.97)</f>
        <v>4.97</v>
      </c>
      <c r="G805" s="235">
        <f>IFERROR(__xludf.DUMMYFUNCTION("IFERROR(AVERAGE(FILTER(Inventory!K:K,Inventory!J:J=""Closed"",Inventory!A:A=A805)),"""")"),21.5)</f>
        <v>21.5</v>
      </c>
      <c r="H805" s="23" t="b">
        <v>0</v>
      </c>
      <c r="I805" s="236"/>
      <c r="J805" s="236">
        <f>MAXIFS(Inventory!D:D, Inventory!A:A, A:A)</f>
        <v>44586</v>
      </c>
      <c r="L805" s="23">
        <f>COUNTIFS(Inventory!A:A,A805,Inventory!J:J,"Open")</f>
        <v>0</v>
      </c>
    </row>
    <row r="806">
      <c r="A806" s="233" t="s">
        <v>3469</v>
      </c>
      <c r="B806" s="23" t="str">
        <f>Publishers!A240</f>
        <v>Steel City Interactive</v>
      </c>
      <c r="C806" s="78">
        <f>COUNTIF(Inventory!A:A, A806)</f>
        <v>1</v>
      </c>
      <c r="D806" s="89">
        <f>IFERROR(__xludf.DUMMYFUNCTION("IFERROR(AVERAGE(FILTER(Inventory!H:H,Inventory!J:J=""Closed"",Inventory!A:A=A806)),"""")"),0.0836349014877363)</f>
        <v>0.08363490149</v>
      </c>
      <c r="E806" s="234">
        <f>IFERROR(__xludf.DUMMYFUNCTION("IFERROR(AVERAGE(FILTER(Inventory!G:G,Inventory!J:J=""Closed"",Inventory!A:A=A806)),""0"")"),2.080000000000002)</f>
        <v>2.08</v>
      </c>
      <c r="F806" s="235">
        <f>IFERROR(__xludf.DUMMYFUNCTION("IFERROR(SUM(FILTER(Inventory!G:G,Inventory!J:J=""Closed"",Inventory!A:A=A806)),""0"")"),2.080000000000002)</f>
        <v>2.08</v>
      </c>
      <c r="G806" s="235">
        <f>IFERROR(__xludf.DUMMYFUNCTION("IFERROR(AVERAGE(FILTER(Inventory!K:K,Inventory!J:J=""Closed"",Inventory!A:A=A806)),"""")"),364.0)</f>
        <v>364</v>
      </c>
      <c r="H806" s="23" t="b">
        <v>0</v>
      </c>
      <c r="I806" s="236"/>
      <c r="J806" s="236">
        <f>MAXIFS(Inventory!D:D, Inventory!A:A, A:A)</f>
        <v>45336</v>
      </c>
      <c r="L806" s="23">
        <f>COUNTIFS(Inventory!A:A,A806,Inventory!J:J,"Open")</f>
        <v>0</v>
      </c>
    </row>
    <row r="807">
      <c r="A807" s="233" t="s">
        <v>2714</v>
      </c>
      <c r="B807" s="23" t="str">
        <f>Publishers!A276</f>
        <v>Versus Evil</v>
      </c>
      <c r="C807" s="78">
        <f>COUNTIF(Inventory!A:A, A807)</f>
        <v>2</v>
      </c>
      <c r="D807" s="89">
        <f>IFERROR(__xludf.DUMMYFUNCTION("IFERROR(AVERAGE(FILTER(Inventory!H:H,Inventory!J:J=""Closed"",Inventory!A:A=A807)),"""")"),-1.4805334019380845)</f>
        <v>-1.480533402</v>
      </c>
      <c r="E807" s="234">
        <f>IFERROR(__xludf.DUMMYFUNCTION("IFERROR(AVERAGE(FILTER(Inventory!G:G,Inventory!J:J=""Closed"",Inventory!A:A=A807)),""0"")"),-1.8650000000000002)</f>
        <v>-1.865</v>
      </c>
      <c r="F807" s="235">
        <f>IFERROR(__xludf.DUMMYFUNCTION("IFERROR(SUM(FILTER(Inventory!G:G,Inventory!J:J=""Closed"",Inventory!A:A=A807)),""0"")"),-3.7300000000000004)</f>
        <v>-3.73</v>
      </c>
      <c r="G807" s="235">
        <f>IFERROR(__xludf.DUMMYFUNCTION("IFERROR(AVERAGE(FILTER(Inventory!K:K,Inventory!J:J=""Closed"",Inventory!A:A=A807)),"""")"),550.0)</f>
        <v>550</v>
      </c>
      <c r="H807" s="23" t="b">
        <v>0</v>
      </c>
      <c r="I807" s="236"/>
      <c r="J807" s="236">
        <f>MAXIFS(Inventory!D:D, Inventory!A:A, A:A)</f>
        <v>45819</v>
      </c>
      <c r="L807" s="23">
        <f>COUNTIFS(Inventory!A:A,A807,Inventory!J:J,"Open")</f>
        <v>0</v>
      </c>
    </row>
    <row r="808">
      <c r="A808" s="233" t="s">
        <v>2665</v>
      </c>
      <c r="B808" s="23" t="str">
        <f>Publishers!A157</f>
        <v>Maximum Entertainment</v>
      </c>
      <c r="C808" s="78">
        <f>COUNTIF(Inventory!A:A, A808)</f>
        <v>4</v>
      </c>
      <c r="D808" s="89">
        <f>IFERROR(__xludf.DUMMYFUNCTION("IFERROR(AVERAGE(FILTER(Inventory!H:H,Inventory!J:J=""Closed"",Inventory!A:A=A808)),"""")"),0.17290582312249503)</f>
        <v>0.1729058231</v>
      </c>
      <c r="E808" s="234">
        <f>IFERROR(__xludf.DUMMYFUNCTION("IFERROR(AVERAGE(FILTER(Inventory!G:G,Inventory!J:J=""Closed"",Inventory!A:A=A808)),""0"")"),0.6449999999999999)</f>
        <v>0.645</v>
      </c>
      <c r="F808" s="235">
        <f>IFERROR(__xludf.DUMMYFUNCTION("IFERROR(SUM(FILTER(Inventory!G:G,Inventory!J:J=""Closed"",Inventory!A:A=A808)),""0"")"),2.5799999999999996)</f>
        <v>2.58</v>
      </c>
      <c r="G808" s="235">
        <f>IFERROR(__xludf.DUMMYFUNCTION("IFERROR(AVERAGE(FILTER(Inventory!K:K,Inventory!J:J=""Closed"",Inventory!A:A=A808)),"""")"),34.0)</f>
        <v>34</v>
      </c>
      <c r="H808" s="23" t="b">
        <v>0</v>
      </c>
      <c r="I808" s="236"/>
      <c r="J808" s="236">
        <f>MAXIFS(Inventory!D:D, Inventory!A:A, A:A)</f>
        <v>45214</v>
      </c>
      <c r="L808" s="23">
        <f>COUNTIFS(Inventory!A:A,A808,Inventory!J:J,"Open")</f>
        <v>0</v>
      </c>
    </row>
    <row r="809">
      <c r="A809" s="233" t="s">
        <v>7227</v>
      </c>
      <c r="B809" s="23" t="str">
        <f>Publishers!A66</f>
        <v>DANGEN Entertainment</v>
      </c>
      <c r="C809" s="78">
        <f>COUNTIF(Inventory!A:A, A809)</f>
        <v>7</v>
      </c>
      <c r="D809" s="89">
        <f>IFERROR(__xludf.DUMMYFUNCTION("IFERROR(AVERAGE(FILTER(Inventory!H:H,Inventory!J:J=""Closed"",Inventory!A:A=A809)),"""")"),0.36533427396238405)</f>
        <v>0.365334274</v>
      </c>
      <c r="E809" s="234">
        <f>IFERROR(__xludf.DUMMYFUNCTION("IFERROR(AVERAGE(FILTER(Inventory!G:G,Inventory!J:J=""Closed"",Inventory!A:A=A809)),""0"")"),4.408571428571428)</f>
        <v>4.408571429</v>
      </c>
      <c r="F809" s="235">
        <f>IFERROR(__xludf.DUMMYFUNCTION("IFERROR(SUM(FILTER(Inventory!G:G,Inventory!J:J=""Closed"",Inventory!A:A=A809)),""0"")"),30.86)</f>
        <v>30.86</v>
      </c>
      <c r="G809" s="235">
        <f>IFERROR(__xludf.DUMMYFUNCTION("IFERROR(AVERAGE(FILTER(Inventory!K:K,Inventory!J:J=""Closed"",Inventory!A:A=A809)),"""")"),0.5714285714285714)</f>
        <v>0.5714285714</v>
      </c>
      <c r="H809" s="23" t="b">
        <v>0</v>
      </c>
      <c r="I809" s="236"/>
      <c r="J809" s="236">
        <f>MAXIFS(Inventory!D:D, Inventory!A:A, A:A)</f>
        <v>45478</v>
      </c>
      <c r="L809" s="23">
        <f>COUNTIFS(Inventory!A:A,A809,Inventory!J:J,"Open")</f>
        <v>0</v>
      </c>
    </row>
    <row r="810">
      <c r="A810" s="233" t="s">
        <v>3314</v>
      </c>
      <c r="B810" s="23" t="str">
        <f>Publishers!A244</f>
        <v>Stunlock Studios</v>
      </c>
      <c r="C810" s="78">
        <f>COUNTIF(Inventory!A:A, A810)</f>
        <v>1</v>
      </c>
      <c r="D810" s="89">
        <f>IFERROR(__xludf.DUMMYFUNCTION("IFERROR(AVERAGE(FILTER(Inventory!H:H,Inventory!J:J=""Closed"",Inventory!A:A=A810)),"""")"),0.06373486297004462)</f>
        <v>0.06373486297</v>
      </c>
      <c r="E810" s="234">
        <f>IFERROR(__xludf.DUMMYFUNCTION("IFERROR(AVERAGE(FILTER(Inventory!G:G,Inventory!J:J=""Closed"",Inventory!A:A=A810)),""0"")"),1.0)</f>
        <v>1</v>
      </c>
      <c r="F810" s="235">
        <f>IFERROR(__xludf.DUMMYFUNCTION("IFERROR(SUM(FILTER(Inventory!G:G,Inventory!J:J=""Closed"",Inventory!A:A=A810)),""0"")"),1.0)</f>
        <v>1</v>
      </c>
      <c r="G810" s="235">
        <f>IFERROR(__xludf.DUMMYFUNCTION("IFERROR(AVERAGE(FILTER(Inventory!K:K,Inventory!J:J=""Closed"",Inventory!A:A=A810)),"""")"),5.0)</f>
        <v>5</v>
      </c>
      <c r="H810" s="23" t="b">
        <v>0</v>
      </c>
      <c r="I810" s="78">
        <v>18.32</v>
      </c>
      <c r="J810" s="236">
        <f>MAXIFS(Inventory!D:D, Inventory!A:A, A:A)</f>
        <v>44957</v>
      </c>
      <c r="L810" s="23">
        <f>COUNTIFS(Inventory!A:A,A810,Inventory!J:J,"Open")</f>
        <v>0</v>
      </c>
    </row>
    <row r="811">
      <c r="A811" s="237" t="s">
        <v>176</v>
      </c>
      <c r="B811" s="23" t="str">
        <f>Publishers!A167</f>
        <v>Nacon</v>
      </c>
      <c r="C811" s="78">
        <f>COUNTIF(Inventory!A:A, A811)</f>
        <v>2</v>
      </c>
      <c r="D811" s="89">
        <f>IFERROR(__xludf.DUMMYFUNCTION("IFERROR(AVERAGE(FILTER(Inventory!H:H,Inventory!J:J=""Closed"",Inventory!A:A=A811)),"""")"),0.06962785114045615)</f>
        <v>0.06962785114</v>
      </c>
      <c r="E811" s="234">
        <f>IFERROR(__xludf.DUMMYFUNCTION("IFERROR(AVERAGE(FILTER(Inventory!G:G,Inventory!J:J=""Closed"",Inventory!A:A=A811)),""0"")"),0.08499999999999996)</f>
        <v>0.085</v>
      </c>
      <c r="F811" s="235">
        <f>IFERROR(__xludf.DUMMYFUNCTION("IFERROR(SUM(FILTER(Inventory!G:G,Inventory!J:J=""Closed"",Inventory!A:A=A811)),""0"")"),0.16999999999999993)</f>
        <v>0.17</v>
      </c>
      <c r="G811" s="235">
        <f>IFERROR(__xludf.DUMMYFUNCTION("IFERROR(AVERAGE(FILTER(Inventory!K:K,Inventory!J:J=""Closed"",Inventory!A:A=A811)),"""")"),75.0)</f>
        <v>75</v>
      </c>
      <c r="H811" s="23" t="b">
        <v>0</v>
      </c>
      <c r="I811" s="236"/>
      <c r="J811" s="236">
        <f>MAXIFS(Inventory!D:D, Inventory!A:A, A:A)</f>
        <v>44080</v>
      </c>
      <c r="L811" s="23">
        <f>COUNTIFS(Inventory!A:A,A811,Inventory!J:J,"Open")</f>
        <v>0</v>
      </c>
    </row>
    <row r="812">
      <c r="A812" s="237" t="s">
        <v>767</v>
      </c>
      <c r="B812" s="23" t="str">
        <f>Publishers!A35</f>
        <v>Big Sugar</v>
      </c>
      <c r="C812" s="78">
        <f>COUNTIF(Inventory!A:A, A812)</f>
        <v>1</v>
      </c>
      <c r="D812" s="89">
        <f>IFERROR(__xludf.DUMMYFUNCTION("IFERROR(AVERAGE(FILTER(Inventory!H:H,Inventory!J:J=""Closed"",Inventory!A:A=A812)),"""")"),-7.435483870967743)</f>
        <v>-7.435483871</v>
      </c>
      <c r="E812" s="234">
        <f>IFERROR(__xludf.DUMMYFUNCTION("IFERROR(AVERAGE(FILTER(Inventory!G:G,Inventory!J:J=""Closed"",Inventory!A:A=A812)),""0"")"),-9.22)</f>
        <v>-9.22</v>
      </c>
      <c r="F812" s="235">
        <f>IFERROR(__xludf.DUMMYFUNCTION("IFERROR(SUM(FILTER(Inventory!G:G,Inventory!J:J=""Closed"",Inventory!A:A=A812)),""0"")"),-9.22)</f>
        <v>-9.22</v>
      </c>
      <c r="G812" s="235">
        <f>IFERROR(__xludf.DUMMYFUNCTION("IFERROR(AVERAGE(FILTER(Inventory!K:K,Inventory!J:J=""Closed"",Inventory!A:A=A812)),"""")"),532.0)</f>
        <v>532</v>
      </c>
      <c r="H812" s="23" t="b">
        <v>0</v>
      </c>
      <c r="I812" s="236"/>
      <c r="J812" s="236">
        <f>MAXIFS(Inventory!D:D, Inventory!A:A, A:A)</f>
        <v>44687</v>
      </c>
      <c r="L812" s="23">
        <f>COUNTIFS(Inventory!A:A,A812,Inventory!J:J,"Open")</f>
        <v>0</v>
      </c>
    </row>
    <row r="813">
      <c r="A813" s="233" t="s">
        <v>3763</v>
      </c>
      <c r="B813" s="23" t="str">
        <f>Publishers!A49</f>
        <v>Coffee Stain</v>
      </c>
      <c r="C813" s="78">
        <f>COUNTIF(Inventory!A:A, A813)</f>
        <v>1</v>
      </c>
      <c r="D813" s="89">
        <f>IFERROR(__xludf.DUMMYFUNCTION("IFERROR(AVERAGE(FILTER(Inventory!H:H,Inventory!J:J=""Closed"",Inventory!A:A=A813)),"""")"),0.08547945205479444)</f>
        <v>0.08547945205</v>
      </c>
      <c r="E813" s="234">
        <f>IFERROR(__xludf.DUMMYFUNCTION("IFERROR(AVERAGE(FILTER(Inventory!G:G,Inventory!J:J=""Closed"",Inventory!A:A=A813)),""0"")"),1.5599999999999987)</f>
        <v>1.56</v>
      </c>
      <c r="F813" s="235">
        <f>IFERROR(__xludf.DUMMYFUNCTION("IFERROR(SUM(FILTER(Inventory!G:G,Inventory!J:J=""Closed"",Inventory!A:A=A813)),""0"")"),1.5599999999999987)</f>
        <v>1.56</v>
      </c>
      <c r="G813" s="235">
        <f>IFERROR(__xludf.DUMMYFUNCTION("IFERROR(AVERAGE(FILTER(Inventory!K:K,Inventory!J:J=""Closed"",Inventory!A:A=A813)),"""")"),610.0)</f>
        <v>610</v>
      </c>
      <c r="H813" s="23" t="b">
        <v>0</v>
      </c>
      <c r="I813" s="236"/>
      <c r="J813" s="236">
        <f>MAXIFS(Inventory!D:D, Inventory!A:A, A:A)</f>
        <v>45623</v>
      </c>
      <c r="L813" s="23">
        <f>COUNTIFS(Inventory!A:A,A813,Inventory!J:J,"Open")</f>
        <v>0</v>
      </c>
    </row>
    <row r="814">
      <c r="A814" s="233" t="s">
        <v>5343</v>
      </c>
      <c r="B814" s="23" t="str">
        <f>Publishers!A99</f>
        <v>Focus Home Interactive</v>
      </c>
      <c r="C814" s="78">
        <f>COUNTIF(Inventory!A:A, A814)</f>
        <v>2</v>
      </c>
      <c r="D814" s="89">
        <f>IFERROR(__xludf.DUMMYFUNCTION("IFERROR(AVERAGE(FILTER(Inventory!H:H,Inventory!J:J=""Closed"",Inventory!A:A=A814)),"""")"),0.4036989795918367)</f>
        <v>0.4036989796</v>
      </c>
      <c r="E814" s="234">
        <f>IFERROR(__xludf.DUMMYFUNCTION("IFERROR(AVERAGE(FILTER(Inventory!G:G,Inventory!J:J=""Closed"",Inventory!A:A=A814)),""0"")"),3.165)</f>
        <v>3.165</v>
      </c>
      <c r="F814" s="235">
        <f>IFERROR(__xludf.DUMMYFUNCTION("IFERROR(SUM(FILTER(Inventory!G:G,Inventory!J:J=""Closed"",Inventory!A:A=A814)),""0"")"),6.33)</f>
        <v>6.33</v>
      </c>
      <c r="G814" s="235">
        <f>IFERROR(__xludf.DUMMYFUNCTION("IFERROR(AVERAGE(FILTER(Inventory!K:K,Inventory!J:J=""Closed"",Inventory!A:A=A814)),"""")"),5.5)</f>
        <v>5.5</v>
      </c>
      <c r="H814" s="23" t="b">
        <v>0</v>
      </c>
      <c r="I814" s="236"/>
      <c r="J814" s="236">
        <f>MAXIFS(Inventory!D:D, Inventory!A:A, A:A)</f>
        <v>45233</v>
      </c>
      <c r="L814" s="23">
        <f>COUNTIFS(Inventory!A:A,A814,Inventory!J:J,"Open")</f>
        <v>0</v>
      </c>
    </row>
    <row r="815">
      <c r="A815" s="237" t="s">
        <v>618</v>
      </c>
      <c r="B815" s="23" t="str">
        <f>Publishers!A152</f>
        <v>M2H</v>
      </c>
      <c r="C815" s="78">
        <f>COUNTIF(Inventory!A:A, A815)</f>
        <v>13</v>
      </c>
      <c r="D815" s="89">
        <f>IFERROR(__xludf.DUMMYFUNCTION("IFERROR(AVERAGE(FILTER(Inventory!H:H,Inventory!J:J=""Closed"",Inventory!A:A=A815)),"""")"),0.28659351862353594)</f>
        <v>0.2865935186</v>
      </c>
      <c r="E815" s="234">
        <f>IFERROR(__xludf.DUMMYFUNCTION("IFERROR(AVERAGE(FILTER(Inventory!G:G,Inventory!J:J=""Closed"",Inventory!A:A=A815)),""0"")"),0.9115384615384616)</f>
        <v>0.9115384615</v>
      </c>
      <c r="F815" s="235">
        <f>IFERROR(__xludf.DUMMYFUNCTION("IFERROR(SUM(FILTER(Inventory!G:G,Inventory!J:J=""Closed"",Inventory!A:A=A815)),""0"")"),11.850000000000001)</f>
        <v>11.85</v>
      </c>
      <c r="G815" s="235">
        <f>IFERROR(__xludf.DUMMYFUNCTION("IFERROR(AVERAGE(FILTER(Inventory!K:K,Inventory!J:J=""Closed"",Inventory!A:A=A815)),"""")"),9.23076923076923)</f>
        <v>9.230769231</v>
      </c>
      <c r="H815" s="78" t="b">
        <v>1</v>
      </c>
      <c r="I815" s="236"/>
      <c r="J815" s="236">
        <f>MAXIFS(Inventory!D:D, Inventory!A:A, A:A)</f>
        <v>44768</v>
      </c>
      <c r="L815" s="23">
        <f>COUNTIFS(Inventory!A:A,A815,Inventory!J:J,"Open")</f>
        <v>0</v>
      </c>
    </row>
    <row r="816">
      <c r="A816" s="237" t="s">
        <v>1213</v>
      </c>
      <c r="B816" s="23" t="str">
        <f>Publishers!A213</f>
        <v>SadSquare Studio</v>
      </c>
      <c r="C816" s="78">
        <f>COUNTIF(Inventory!A:A, A816)</f>
        <v>14</v>
      </c>
      <c r="D816" s="89">
        <f>IFERROR(__xludf.DUMMYFUNCTION("IFERROR(AVERAGE(FILTER(Inventory!H:H,Inventory!J:J=""Closed"",Inventory!A:A=A816)),"""")"),0.20278804615555912)</f>
        <v>0.2027880462</v>
      </c>
      <c r="E816" s="234">
        <f>IFERROR(__xludf.DUMMYFUNCTION("IFERROR(AVERAGE(FILTER(Inventory!G:G,Inventory!J:J=""Closed"",Inventory!A:A=A816)),""0"")"),4.626428571428572)</f>
        <v>4.626428571</v>
      </c>
      <c r="F816" s="235">
        <f>IFERROR(__xludf.DUMMYFUNCTION("IFERROR(SUM(FILTER(Inventory!G:G,Inventory!J:J=""Closed"",Inventory!A:A=A816)),""0"")"),64.77000000000001)</f>
        <v>64.77</v>
      </c>
      <c r="G816" s="235">
        <f>IFERROR(__xludf.DUMMYFUNCTION("IFERROR(AVERAGE(FILTER(Inventory!K:K,Inventory!J:J=""Closed"",Inventory!A:A=A816)),"""")"),95.57142857142857)</f>
        <v>95.57142857</v>
      </c>
      <c r="H816" s="78" t="b">
        <v>1</v>
      </c>
      <c r="I816" s="236"/>
      <c r="J816" s="236">
        <f>MAXIFS(Inventory!D:D, Inventory!A:A, A:A)</f>
        <v>45783</v>
      </c>
      <c r="L816" s="23">
        <f>COUNTIFS(Inventory!A:A,A816,Inventory!J:J,"Open")</f>
        <v>0</v>
      </c>
    </row>
    <row r="817">
      <c r="A817" s="237" t="s">
        <v>1377</v>
      </c>
      <c r="B817" s="23" t="str">
        <f>Publishers!A213</f>
        <v>SadSquare Studio</v>
      </c>
      <c r="C817" s="78">
        <f>COUNTIF(Inventory!A:A, A817)</f>
        <v>1</v>
      </c>
      <c r="D817" s="89">
        <f>IFERROR(__xludf.DUMMYFUNCTION("IFERROR(AVERAGE(FILTER(Inventory!H:H,Inventory!J:J=""Closed"",Inventory!A:A=A817)),"""")"),0.17814726840855105)</f>
        <v>0.1781472684</v>
      </c>
      <c r="E817" s="234">
        <f>IFERROR(__xludf.DUMMYFUNCTION("IFERROR(AVERAGE(FILTER(Inventory!G:G,Inventory!J:J=""Closed"",Inventory!A:A=A817)),""0"")"),3.75)</f>
        <v>3.75</v>
      </c>
      <c r="F817" s="235">
        <f>IFERROR(__xludf.DUMMYFUNCTION("IFERROR(SUM(FILTER(Inventory!G:G,Inventory!J:J=""Closed"",Inventory!A:A=A817)),""0"")"),3.75)</f>
        <v>3.75</v>
      </c>
      <c r="G817" s="235">
        <f>IFERROR(__xludf.DUMMYFUNCTION("IFERROR(AVERAGE(FILTER(Inventory!K:K,Inventory!J:J=""Closed"",Inventory!A:A=A817)),"""")"),14.0)</f>
        <v>14</v>
      </c>
      <c r="H817" s="23" t="b">
        <v>0</v>
      </c>
      <c r="I817" s="236"/>
      <c r="J817" s="236">
        <f>MAXIFS(Inventory!D:D, Inventory!A:A, A:A)</f>
        <v>44469</v>
      </c>
      <c r="L817" s="23">
        <f>COUNTIFS(Inventory!A:A,A817,Inventory!J:J,"Open")</f>
        <v>0</v>
      </c>
    </row>
    <row r="818">
      <c r="A818" s="237" t="s">
        <v>1458</v>
      </c>
      <c r="B818" s="23" t="str">
        <f>Publishers!A256</f>
        <v>Terry Cavanagh</v>
      </c>
      <c r="C818" s="78">
        <f>COUNTIF(Inventory!A:A, A818)</f>
        <v>2</v>
      </c>
      <c r="D818" s="89">
        <f>IFERROR(__xludf.DUMMYFUNCTION("IFERROR(AVERAGE(FILTER(Inventory!H:H,Inventory!J:J=""Closed"",Inventory!A:A=A818)),"""")"),1.0)</f>
        <v>1</v>
      </c>
      <c r="E818" s="234">
        <f>IFERROR(__xludf.DUMMYFUNCTION("IFERROR(AVERAGE(FILTER(Inventory!G:G,Inventory!J:J=""Closed"",Inventory!A:A=A818)),""0"")"),0.04)</f>
        <v>0.04</v>
      </c>
      <c r="F818" s="235">
        <f>IFERROR(__xludf.DUMMYFUNCTION("IFERROR(SUM(FILTER(Inventory!G:G,Inventory!J:J=""Closed"",Inventory!A:A=A818)),""0"")"),0.08)</f>
        <v>0.08</v>
      </c>
      <c r="G818" s="235">
        <f>IFERROR(__xludf.DUMMYFUNCTION("IFERROR(AVERAGE(FILTER(Inventory!K:K,Inventory!J:J=""Closed"",Inventory!A:A=A818)),"""")"),160.0)</f>
        <v>160</v>
      </c>
      <c r="H818" s="23" t="b">
        <v>0</v>
      </c>
      <c r="I818" s="236"/>
      <c r="J818" s="236">
        <f>MAXIFS(Inventory!D:D, Inventory!A:A, A:A)</f>
        <v>44629</v>
      </c>
      <c r="L818" s="23">
        <f>COUNTIFS(Inventory!A:A,A818,Inventory!J:J,"Open")</f>
        <v>0</v>
      </c>
    </row>
    <row r="819">
      <c r="A819" s="233" t="s">
        <v>2380</v>
      </c>
      <c r="B819" s="23" t="str">
        <f>Publishers!A42</f>
        <v>Brightrock Games</v>
      </c>
      <c r="C819" s="78">
        <f>COUNTIF(Inventory!A:A, A819)</f>
        <v>6</v>
      </c>
      <c r="D819" s="89">
        <f>IFERROR(__xludf.DUMMYFUNCTION("IFERROR(AVERAGE(FILTER(Inventory!H:H,Inventory!J:J=""Closed"",Inventory!A:A=A819)),"""")"),0.29346405893559085)</f>
        <v>0.2934640589</v>
      </c>
      <c r="E819" s="234">
        <f>IFERROR(__xludf.DUMMYFUNCTION("IFERROR(AVERAGE(FILTER(Inventory!G:G,Inventory!J:J=""Closed"",Inventory!A:A=A819)),""0"")"),7.1049999999999995)</f>
        <v>7.105</v>
      </c>
      <c r="F819" s="235">
        <f>IFERROR(__xludf.DUMMYFUNCTION("IFERROR(SUM(FILTER(Inventory!G:G,Inventory!J:J=""Closed"",Inventory!A:A=A819)),""0"")"),42.629999999999995)</f>
        <v>42.63</v>
      </c>
      <c r="G819" s="235">
        <f>IFERROR(__xludf.DUMMYFUNCTION("IFERROR(AVERAGE(FILTER(Inventory!K:K,Inventory!J:J=""Closed"",Inventory!A:A=A819)),"""")"),56.333333333333336)</f>
        <v>56.33333333</v>
      </c>
      <c r="H819" s="23" t="b">
        <v>0</v>
      </c>
      <c r="I819" s="236"/>
      <c r="J819" s="236">
        <f>MAXIFS(Inventory!D:D, Inventory!A:A, A:A)</f>
        <v>45404</v>
      </c>
      <c r="L819" s="23">
        <f>COUNTIFS(Inventory!A:A,A819,Inventory!J:J,"Open")</f>
        <v>0</v>
      </c>
    </row>
    <row r="820">
      <c r="A820" s="233" t="s">
        <v>3319</v>
      </c>
      <c r="B820" s="23" t="str">
        <f>Publishers!A70</f>
        <v>Destructive Creation</v>
      </c>
      <c r="C820" s="78">
        <f>COUNTIF(Inventory!A:A, A820)</f>
        <v>5</v>
      </c>
      <c r="D820" s="89">
        <f>IFERROR(__xludf.DUMMYFUNCTION("IFERROR(AVERAGE(FILTER(Inventory!H:H,Inventory!J:J=""Closed"",Inventory!A:A=A820)),"""")"),0.5352837375226668)</f>
        <v>0.5352837375</v>
      </c>
      <c r="E820" s="234">
        <f>IFERROR(__xludf.DUMMYFUNCTION("IFERROR(AVERAGE(FILTER(Inventory!G:G,Inventory!J:J=""Closed"",Inventory!A:A=A820)),""0"")"),1.6600000000000001)</f>
        <v>1.66</v>
      </c>
      <c r="F820" s="235">
        <f>IFERROR(__xludf.DUMMYFUNCTION("IFERROR(SUM(FILTER(Inventory!G:G,Inventory!J:J=""Closed"",Inventory!A:A=A820)),""0"")"),8.3)</f>
        <v>8.3</v>
      </c>
      <c r="G820" s="235">
        <f>IFERROR(__xludf.DUMMYFUNCTION("IFERROR(AVERAGE(FILTER(Inventory!K:K,Inventory!J:J=""Closed"",Inventory!A:A=A820)),"""")"),0.8)</f>
        <v>0.8</v>
      </c>
      <c r="H820" s="23" t="b">
        <v>0</v>
      </c>
      <c r="I820" s="236"/>
      <c r="J820" s="236">
        <f>MAXIFS(Inventory!D:D, Inventory!A:A, A:A)</f>
        <v>44957</v>
      </c>
      <c r="L820" s="23">
        <f>COUNTIFS(Inventory!A:A,A820,Inventory!J:J,"Open")</f>
        <v>0</v>
      </c>
    </row>
    <row r="821">
      <c r="A821" s="237" t="s">
        <v>1387</v>
      </c>
      <c r="B821" s="23" t="str">
        <f>Publishers!A87</f>
        <v>Eugen Systems</v>
      </c>
      <c r="C821" s="78">
        <f>COUNTIF(Inventory!A:A, A821)</f>
        <v>25</v>
      </c>
      <c r="D821" s="89">
        <f>IFERROR(__xludf.DUMMYFUNCTION("IFERROR(AVERAGE(FILTER(Inventory!H:H,Inventory!J:J=""Closed"",Inventory!A:A=A821)),"""")"),0.3811274324078972)</f>
        <v>0.3811274324</v>
      </c>
      <c r="E821" s="234">
        <f>IFERROR(__xludf.DUMMYFUNCTION("IFERROR(AVERAGE(FILTER(Inventory!G:G,Inventory!J:J=""Closed"",Inventory!A:A=A821)),""0"")"),1.6832)</f>
        <v>1.6832</v>
      </c>
      <c r="F821" s="235">
        <f>IFERROR(__xludf.DUMMYFUNCTION("IFERROR(SUM(FILTER(Inventory!G:G,Inventory!J:J=""Closed"",Inventory!A:A=A821)),""0"")"),42.08)</f>
        <v>42.08</v>
      </c>
      <c r="G821" s="235">
        <f>IFERROR(__xludf.DUMMYFUNCTION("IFERROR(AVERAGE(FILTER(Inventory!K:K,Inventory!J:J=""Closed"",Inventory!A:A=A821)),"""")"),22.48)</f>
        <v>22.48</v>
      </c>
      <c r="H821" s="23" t="b">
        <v>0</v>
      </c>
      <c r="I821" s="78">
        <v>5.54</v>
      </c>
      <c r="J821" s="236">
        <f>MAXIFS(Inventory!D:D, Inventory!A:A, A:A)</f>
        <v>45634</v>
      </c>
      <c r="L821" s="23">
        <f>COUNTIFS(Inventory!A:A,A821,Inventory!J:J,"Open")</f>
        <v>0</v>
      </c>
    </row>
    <row r="822">
      <c r="A822" s="233" t="s">
        <v>2498</v>
      </c>
      <c r="B822" s="23" t="str">
        <f>Publishers!A87</f>
        <v>Eugen Systems</v>
      </c>
      <c r="C822" s="78">
        <f>COUNTIF(Inventory!A:A, A822)</f>
        <v>11</v>
      </c>
      <c r="D822" s="89">
        <f>IFERROR(__xludf.DUMMYFUNCTION("IFERROR(AVERAGE(FILTER(Inventory!H:H,Inventory!J:J=""Closed"",Inventory!A:A=A822)),"""")"),0.36951622664389033)</f>
        <v>0.3695162266</v>
      </c>
      <c r="E822" s="234">
        <f>IFERROR(__xludf.DUMMYFUNCTION("IFERROR(AVERAGE(FILTER(Inventory!G:G,Inventory!J:J=""Closed"",Inventory!A:A=A822)),""0"")"),0.7227272727272727)</f>
        <v>0.7227272727</v>
      </c>
      <c r="F822" s="235">
        <f>IFERROR(__xludf.DUMMYFUNCTION("IFERROR(SUM(FILTER(Inventory!G:G,Inventory!J:J=""Closed"",Inventory!A:A=A822)),""0"")"),7.949999999999999)</f>
        <v>7.95</v>
      </c>
      <c r="G822" s="235">
        <f>IFERROR(__xludf.DUMMYFUNCTION("IFERROR(AVERAGE(FILTER(Inventory!K:K,Inventory!J:J=""Closed"",Inventory!A:A=A822)),"""")"),16.363636363636363)</f>
        <v>16.36363636</v>
      </c>
      <c r="H822" s="23" t="b">
        <v>0</v>
      </c>
      <c r="I822" s="236"/>
      <c r="J822" s="236">
        <f>MAXIFS(Inventory!D:D, Inventory!A:A, A:A)</f>
        <v>45178</v>
      </c>
      <c r="L822" s="23">
        <f>COUNTIFS(Inventory!A:A,A822,Inventory!J:J,"Open")</f>
        <v>0</v>
      </c>
    </row>
    <row r="823">
      <c r="A823" s="237" t="s">
        <v>1034</v>
      </c>
      <c r="B823" s="23" t="str">
        <f>Publishers!A87</f>
        <v>Eugen Systems</v>
      </c>
      <c r="C823" s="78">
        <f>COUNTIF(Inventory!A:A, A823)</f>
        <v>43</v>
      </c>
      <c r="D823" s="89">
        <f>IFERROR(__xludf.DUMMYFUNCTION("IFERROR(AVERAGE(FILTER(Inventory!H:H,Inventory!J:J=""Closed"",Inventory!A:A=A823)),"""")"),0.33097335169520053)</f>
        <v>0.3309733517</v>
      </c>
      <c r="E823" s="234">
        <f>IFERROR(__xludf.DUMMYFUNCTION("IFERROR(AVERAGE(FILTER(Inventory!G:G,Inventory!J:J=""Closed"",Inventory!A:A=A823)),""0"")"),3.948372093023257)</f>
        <v>3.948372093</v>
      </c>
      <c r="F823" s="235">
        <f>IFERROR(__xludf.DUMMYFUNCTION("IFERROR(SUM(FILTER(Inventory!G:G,Inventory!J:J=""Closed"",Inventory!A:A=A823)),""0"")"),169.78000000000006)</f>
        <v>169.78</v>
      </c>
      <c r="G823" s="235">
        <f>IFERROR(__xludf.DUMMYFUNCTION("IFERROR(AVERAGE(FILTER(Inventory!K:K,Inventory!J:J=""Closed"",Inventory!A:A=A823)),"""")"),3.046511627906977)</f>
        <v>3.046511628</v>
      </c>
      <c r="H823" s="78" t="b">
        <v>1</v>
      </c>
      <c r="I823" s="236"/>
      <c r="J823" s="236">
        <f>MAXIFS(Inventory!D:D, Inventory!A:A, A:A)</f>
        <v>45893</v>
      </c>
      <c r="K823" s="23" t="str">
        <f>IMAGE("https://shared.akamai.steamstatic.com/store_item_assets/steam/apps/251060/header.jpg?t=1725003090")</f>
        <v/>
      </c>
      <c r="L823" s="23">
        <f>COUNTIFS(Inventory!A:A,A823,Inventory!J:J,"Open")</f>
        <v>0</v>
      </c>
    </row>
    <row r="824">
      <c r="A824" s="233" t="s">
        <v>3903</v>
      </c>
      <c r="B824" s="23" t="str">
        <f>Publishers!A102</f>
        <v>Frontier Foundry</v>
      </c>
      <c r="C824" s="78">
        <f>COUNTIF(Inventory!A:A, A824)</f>
        <v>3</v>
      </c>
      <c r="D824" s="89" t="str">
        <f>IFERROR(__xludf.DUMMYFUNCTION("IFERROR(AVERAGE(FILTER(Inventory!H:H,Inventory!J:J=""Closed"",Inventory!A:A=A824)),"""")"),"")</f>
        <v/>
      </c>
      <c r="E824" s="234" t="str">
        <f>IFERROR(__xludf.DUMMYFUNCTION("IFERROR(AVERAGE(FILTER(Inventory!G:G,Inventory!J:J=""Closed"",Inventory!A:A=A824)),""0"")"),"0")</f>
        <v>0</v>
      </c>
      <c r="F824" s="235" t="str">
        <f>IFERROR(__xludf.DUMMYFUNCTION("IFERROR(SUM(FILTER(Inventory!G:G,Inventory!J:J=""Closed"",Inventory!A:A=A824)),""0"")"),"0")</f>
        <v>0</v>
      </c>
      <c r="G824" s="235" t="str">
        <f>IFERROR(__xludf.DUMMYFUNCTION("IFERROR(AVERAGE(FILTER(Inventory!K:K,Inventory!J:J=""Closed"",Inventory!A:A=A824)),"""")"),"")</f>
        <v/>
      </c>
      <c r="H824" s="23" t="b">
        <v>0</v>
      </c>
      <c r="I824" s="236"/>
      <c r="J824" s="236">
        <f>MAXIFS(Inventory!D:D, Inventory!A:A, A:A)</f>
        <v>0</v>
      </c>
      <c r="L824" s="23">
        <f>COUNTIFS(Inventory!A:A,A824,Inventory!J:J,"Open")</f>
        <v>3</v>
      </c>
    </row>
    <row r="825">
      <c r="A825" s="237" t="s">
        <v>1256</v>
      </c>
      <c r="B825" s="23" t="str">
        <f>Publishers!A230</f>
        <v>Slitherine Ltd</v>
      </c>
      <c r="C825" s="78">
        <f>COUNTIF(Inventory!A:A, A825)</f>
        <v>1</v>
      </c>
      <c r="D825" s="89">
        <f>IFERROR(__xludf.DUMMYFUNCTION("IFERROR(AVERAGE(FILTER(Inventory!H:H,Inventory!J:J=""Closed"",Inventory!A:A=A825)),"""")"),0.2907801418439716)</f>
        <v>0.2907801418</v>
      </c>
      <c r="E825" s="234">
        <f>IFERROR(__xludf.DUMMYFUNCTION("IFERROR(AVERAGE(FILTER(Inventory!G:G,Inventory!J:J=""Closed"",Inventory!A:A=A825)),""0"")"),0.4099999999999999)</f>
        <v>0.41</v>
      </c>
      <c r="F825" s="235">
        <f>IFERROR(__xludf.DUMMYFUNCTION("IFERROR(SUM(FILTER(Inventory!G:G,Inventory!J:J=""Closed"",Inventory!A:A=A825)),""0"")"),0.4099999999999999)</f>
        <v>0.41</v>
      </c>
      <c r="G825" s="235">
        <f>IFERROR(__xludf.DUMMYFUNCTION("IFERROR(AVERAGE(FILTER(Inventory!K:K,Inventory!J:J=""Closed"",Inventory!A:A=A825)),"""")"),70.0)</f>
        <v>70</v>
      </c>
      <c r="H825" s="23" t="b">
        <v>0</v>
      </c>
      <c r="I825" s="236"/>
      <c r="J825" s="236">
        <f>MAXIFS(Inventory!D:D, Inventory!A:A, A:A)</f>
        <v>44446</v>
      </c>
      <c r="L825" s="23">
        <f>COUNTIFS(Inventory!A:A,A825,Inventory!J:J,"Open")</f>
        <v>0</v>
      </c>
    </row>
    <row r="826">
      <c r="A826" s="237" t="s">
        <v>305</v>
      </c>
      <c r="B826" s="23" t="str">
        <f>Publishers!A137</f>
        <v>Kasedo Games</v>
      </c>
      <c r="C826" s="78">
        <f>COUNTIF(Inventory!A:A, A826)</f>
        <v>2</v>
      </c>
      <c r="D826" s="89">
        <f>IFERROR(__xludf.DUMMYFUNCTION("IFERROR(AVERAGE(FILTER(Inventory!H:H,Inventory!J:J=""Closed"",Inventory!A:A=A826)),"""")"),0.37946301820421013)</f>
        <v>0.3794630182</v>
      </c>
      <c r="E826" s="234">
        <f>IFERROR(__xludf.DUMMYFUNCTION("IFERROR(AVERAGE(FILTER(Inventory!G:G,Inventory!J:J=""Closed"",Inventory!A:A=A826)),""0"")"),2.7949999999999995)</f>
        <v>2.795</v>
      </c>
      <c r="F826" s="235">
        <f>IFERROR(__xludf.DUMMYFUNCTION("IFERROR(SUM(FILTER(Inventory!G:G,Inventory!J:J=""Closed"",Inventory!A:A=A826)),""0"")"),5.589999999999999)</f>
        <v>5.59</v>
      </c>
      <c r="G826" s="235">
        <f>IFERROR(__xludf.DUMMYFUNCTION("IFERROR(AVERAGE(FILTER(Inventory!K:K,Inventory!J:J=""Closed"",Inventory!A:A=A826)),"""")"),14.0)</f>
        <v>14</v>
      </c>
      <c r="H826" s="23" t="b">
        <v>0</v>
      </c>
      <c r="I826" s="236"/>
      <c r="J826" s="236">
        <f>MAXIFS(Inventory!D:D, Inventory!A:A, A:A)</f>
        <v>44036</v>
      </c>
      <c r="L826" s="23">
        <f>COUNTIFS(Inventory!A:A,A826,Inventory!J:J,"Open")</f>
        <v>0</v>
      </c>
    </row>
    <row r="827">
      <c r="A827" s="233" t="s">
        <v>6123</v>
      </c>
      <c r="B827" s="23" t="str">
        <f>Publishers!A186</f>
        <v>Owlcat Games</v>
      </c>
      <c r="C827" s="78">
        <f>COUNTIF(Inventory!A:A, A827)</f>
        <v>56</v>
      </c>
      <c r="D827" s="89">
        <f>IFERROR(__xludf.DUMMYFUNCTION("IFERROR(AVERAGE(FILTER(Inventory!H:H,Inventory!J:J=""Closed"",Inventory!A:A=A827)),"""")"),0.18488069992831174)</f>
        <v>0.1848806999</v>
      </c>
      <c r="E827" s="234">
        <f>IFERROR(__xludf.DUMMYFUNCTION("IFERROR(AVERAGE(FILTER(Inventory!G:G,Inventory!J:J=""Closed"",Inventory!A:A=A827)),""0"")"),3.9669642857142846)</f>
        <v>3.966964286</v>
      </c>
      <c r="F827" s="235">
        <f>IFERROR(__xludf.DUMMYFUNCTION("IFERROR(SUM(FILTER(Inventory!G:G,Inventory!J:J=""Closed"",Inventory!A:A=A827)),""0"")"),222.14999999999995)</f>
        <v>222.15</v>
      </c>
      <c r="G827" s="235">
        <f>IFERROR(__xludf.DUMMYFUNCTION("IFERROR(AVERAGE(FILTER(Inventory!K:K,Inventory!J:J=""Closed"",Inventory!A:A=A827)),"""")"),4.5)</f>
        <v>4.5</v>
      </c>
      <c r="H827" s="23" t="b">
        <v>0</v>
      </c>
      <c r="I827" s="236"/>
      <c r="J827" s="236">
        <f>MAXIFS(Inventory!D:D, Inventory!A:A, A:A)</f>
        <v>45558</v>
      </c>
      <c r="K827" s="23" t="str">
        <f>IMAGE("https://shared.akamai.steamstatic.com/store_item_assets/steam/apps/2186680/header.jpg?t=1727857066")</f>
        <v/>
      </c>
      <c r="L827" s="23">
        <f>COUNTIFS(Inventory!A:A,A827,Inventory!J:J,"Open")</f>
        <v>0</v>
      </c>
    </row>
    <row r="828">
      <c r="A828" s="233" t="s">
        <v>6191</v>
      </c>
      <c r="B828" s="23" t="str">
        <f>Publishers!A186</f>
        <v>Owlcat Games</v>
      </c>
      <c r="C828" s="78">
        <f>COUNTIF(Inventory!A:A, A828)</f>
        <v>2</v>
      </c>
      <c r="D828" s="89">
        <f>IFERROR(__xludf.DUMMYFUNCTION("IFERROR(AVERAGE(FILTER(Inventory!H:H,Inventory!J:J=""Closed"",Inventory!A:A=A828)),"""")"),0.14103448275862068)</f>
        <v>0.1410344828</v>
      </c>
      <c r="E828" s="234">
        <f>IFERROR(__xludf.DUMMYFUNCTION("IFERROR(AVERAGE(FILTER(Inventory!G:G,Inventory!J:J=""Closed"",Inventory!A:A=A828)),""0"")"),4.09)</f>
        <v>4.09</v>
      </c>
      <c r="F828" s="235">
        <f>IFERROR(__xludf.DUMMYFUNCTION("IFERROR(SUM(FILTER(Inventory!G:G,Inventory!J:J=""Closed"",Inventory!A:A=A828)),""0"")"),4.09)</f>
        <v>4.09</v>
      </c>
      <c r="G828" s="235">
        <f>IFERROR(__xludf.DUMMYFUNCTION("IFERROR(AVERAGE(FILTER(Inventory!K:K,Inventory!J:J=""Closed"",Inventory!A:A=A828)),"""")"),35.0)</f>
        <v>35</v>
      </c>
      <c r="H828" s="23" t="b">
        <v>0</v>
      </c>
      <c r="I828" s="236"/>
      <c r="J828" s="236">
        <f>MAXIFS(Inventory!D:D, Inventory!A:A, A:A)</f>
        <v>45405</v>
      </c>
      <c r="L828" s="23">
        <f>COUNTIFS(Inventory!A:A,A828,Inventory!J:J,"Open")</f>
        <v>1</v>
      </c>
    </row>
    <row r="829">
      <c r="A829" s="237" t="s">
        <v>429</v>
      </c>
      <c r="B829" s="23" t="str">
        <f>Publishers!A241</f>
        <v>Steel Sky Productions</v>
      </c>
      <c r="C829" s="78">
        <f>COUNTIF(Inventory!A:A, A829)</f>
        <v>1</v>
      </c>
      <c r="D829" s="89">
        <f>IFERROR(__xludf.DUMMYFUNCTION("IFERROR(AVERAGE(FILTER(Inventory!H:H,Inventory!J:J=""Closed"",Inventory!A:A=A829)),"""")"),0.21554770318021196)</f>
        <v>0.2155477032</v>
      </c>
      <c r="E829" s="234">
        <f>IFERROR(__xludf.DUMMYFUNCTION("IFERROR(AVERAGE(FILTER(Inventory!G:G,Inventory!J:J=""Closed"",Inventory!A:A=A829)),""0"")"),4.879999999999999)</f>
        <v>4.88</v>
      </c>
      <c r="F829" s="235">
        <f>IFERROR(__xludf.DUMMYFUNCTION("IFERROR(SUM(FILTER(Inventory!G:G,Inventory!J:J=""Closed"",Inventory!A:A=A829)),""0"")"),4.879999999999999)</f>
        <v>4.88</v>
      </c>
      <c r="G829" s="235">
        <f>IFERROR(__xludf.DUMMYFUNCTION("IFERROR(AVERAGE(FILTER(Inventory!K:K,Inventory!J:J=""Closed"",Inventory!A:A=A829)),"""")"),28.0)</f>
        <v>28</v>
      </c>
      <c r="H829" s="23" t="b">
        <v>0</v>
      </c>
      <c r="I829" s="236"/>
      <c r="J829" s="236">
        <f>MAXIFS(Inventory!D:D, Inventory!A:A, A:A)</f>
        <v>44076</v>
      </c>
      <c r="L829" s="23">
        <f>COUNTIFS(Inventory!A:A,A829,Inventory!J:J,"Open")</f>
        <v>0</v>
      </c>
    </row>
    <row r="830">
      <c r="A830" s="237" t="s">
        <v>427</v>
      </c>
      <c r="B830" s="23" t="str">
        <f>Publishers!A94</f>
        <v>Fatshark</v>
      </c>
      <c r="C830" s="78">
        <f>COUNTIF(Inventory!A:A, A830)</f>
        <v>4</v>
      </c>
      <c r="D830" s="89">
        <f>IFERROR(__xludf.DUMMYFUNCTION("IFERROR(AVERAGE(FILTER(Inventory!H:H,Inventory!J:J=""Closed"",Inventory!A:A=A830)),"""")"),1.0)</f>
        <v>1</v>
      </c>
      <c r="E830" s="234">
        <f>IFERROR(__xludf.DUMMYFUNCTION("IFERROR(AVERAGE(FILTER(Inventory!G:G,Inventory!J:J=""Closed"",Inventory!A:A=A830)),""0"")"),1.0375)</f>
        <v>1.0375</v>
      </c>
      <c r="F830" s="235">
        <f>IFERROR(__xludf.DUMMYFUNCTION("IFERROR(SUM(FILTER(Inventory!G:G,Inventory!J:J=""Closed"",Inventory!A:A=A830)),""0"")"),4.15)</f>
        <v>4.15</v>
      </c>
      <c r="G830" s="235">
        <f>IFERROR(__xludf.DUMMYFUNCTION("IFERROR(AVERAGE(FILTER(Inventory!K:K,Inventory!J:J=""Closed"",Inventory!A:A=A830)),"""")"),4.0)</f>
        <v>4</v>
      </c>
      <c r="H830" s="23" t="b">
        <v>0</v>
      </c>
      <c r="I830" s="236"/>
      <c r="J830" s="236">
        <f>MAXIFS(Inventory!D:D, Inventory!A:A, A:A)</f>
        <v>44060</v>
      </c>
      <c r="L830" s="23">
        <f>COUNTIFS(Inventory!A:A,A830,Inventory!J:J,"Open")</f>
        <v>0</v>
      </c>
    </row>
    <row r="831">
      <c r="A831" s="237" t="s">
        <v>1978</v>
      </c>
      <c r="B831" s="23" t="str">
        <f>Publishers!A94</f>
        <v>Fatshark</v>
      </c>
      <c r="C831" s="78">
        <f>COUNTIF(Inventory!A:A, A831)</f>
        <v>4</v>
      </c>
      <c r="D831" s="89">
        <f>IFERROR(__xludf.DUMMYFUNCTION("IFERROR(AVERAGE(FILTER(Inventory!H:H,Inventory!J:J=""Closed"",Inventory!A:A=A831)),"""")"),0.37483381170711094)</f>
        <v>0.3748338117</v>
      </c>
      <c r="E831" s="234">
        <f>IFERROR(__xludf.DUMMYFUNCTION("IFERROR(AVERAGE(FILTER(Inventory!G:G,Inventory!J:J=""Closed"",Inventory!A:A=A831)),""0"")"),1.0724999999999996)</f>
        <v>1.0725</v>
      </c>
      <c r="F831" s="235">
        <f>IFERROR(__xludf.DUMMYFUNCTION("IFERROR(SUM(FILTER(Inventory!G:G,Inventory!J:J=""Closed"",Inventory!A:A=A831)),""0"")"),4.289999999999998)</f>
        <v>4.29</v>
      </c>
      <c r="G831" s="235">
        <f>IFERROR(__xludf.DUMMYFUNCTION("IFERROR(AVERAGE(FILTER(Inventory!K:K,Inventory!J:J=""Closed"",Inventory!A:A=A831)),"""")"),1.0)</f>
        <v>1</v>
      </c>
      <c r="H831" s="78" t="b">
        <v>1</v>
      </c>
      <c r="I831" s="236"/>
      <c r="J831" s="236">
        <f>MAXIFS(Inventory!D:D, Inventory!A:A, A:A)</f>
        <v>45995</v>
      </c>
      <c r="L831" s="23">
        <f>COUNTIFS(Inventory!A:A,A831,Inventory!J:J,"Open")</f>
        <v>0</v>
      </c>
    </row>
    <row r="832">
      <c r="A832" s="233" t="s">
        <v>4532</v>
      </c>
      <c r="B832" s="23" t="str">
        <f>Publishers!A87</f>
        <v>Eugen Systems</v>
      </c>
      <c r="C832" s="78">
        <f>COUNTIF(Inventory!A:A, A832)</f>
        <v>28</v>
      </c>
      <c r="D832" s="89">
        <f>IFERROR(__xludf.DUMMYFUNCTION("IFERROR(AVERAGE(FILTER(Inventory!H:H,Inventory!J:J=""Closed"",Inventory!A:A=A832)),"""")"),0.18321845320175084)</f>
        <v>0.1832184532</v>
      </c>
      <c r="E832" s="234">
        <f>IFERROR(__xludf.DUMMYFUNCTION("IFERROR(AVERAGE(FILTER(Inventory!G:G,Inventory!J:J=""Closed"",Inventory!A:A=A832)),""0"")"),4.976428571428573)</f>
        <v>4.976428571</v>
      </c>
      <c r="F832" s="235">
        <f>IFERROR(__xludf.DUMMYFUNCTION("IFERROR(SUM(FILTER(Inventory!G:G,Inventory!J:J=""Closed"",Inventory!A:A=A832)),""0"")"),139.34000000000006)</f>
        <v>139.34</v>
      </c>
      <c r="G832" s="235">
        <f>IFERROR(__xludf.DUMMYFUNCTION("IFERROR(AVERAGE(FILTER(Inventory!K:K,Inventory!J:J=""Closed"",Inventory!A:A=A832)),"""")"),12.714285714285714)</f>
        <v>12.71428571</v>
      </c>
      <c r="H832" s="78" t="b">
        <v>0</v>
      </c>
      <c r="I832" s="236"/>
      <c r="J832" s="236">
        <f>MAXIFS(Inventory!D:D, Inventory!A:A, A:A)</f>
        <v>46170</v>
      </c>
      <c r="L832" s="23">
        <f>COUNTIFS(Inventory!A:A,A832,Inventory!J:J,"Open")</f>
        <v>0</v>
      </c>
    </row>
    <row r="833">
      <c r="A833" s="237" t="s">
        <v>1133</v>
      </c>
      <c r="B833" s="23" t="str">
        <f>Publishers!A65</f>
        <v>Daedalic Entertainment</v>
      </c>
      <c r="C833" s="78">
        <f>COUNTIF(Inventory!A:A, A833)</f>
        <v>5</v>
      </c>
      <c r="D833" s="89">
        <f>IFERROR(__xludf.DUMMYFUNCTION("IFERROR(AVERAGE(FILTER(Inventory!H:H,Inventory!J:J=""Closed"",Inventory!A:A=A833)),"""")"),-1.0367693039439394)</f>
        <v>-1.036769304</v>
      </c>
      <c r="E833" s="234">
        <f>IFERROR(__xludf.DUMMYFUNCTION("IFERROR(AVERAGE(FILTER(Inventory!G:G,Inventory!J:J=""Closed"",Inventory!A:A=A833)),""0"")"),-0.13999999999999985)</f>
        <v>-0.14</v>
      </c>
      <c r="F833" s="235">
        <f>IFERROR(__xludf.DUMMYFUNCTION("IFERROR(SUM(FILTER(Inventory!G:G,Inventory!J:J=""Closed"",Inventory!A:A=A833)),""0"")"),-0.6999999999999993)</f>
        <v>-0.7</v>
      </c>
      <c r="G833" s="235">
        <f>IFERROR(__xludf.DUMMYFUNCTION("IFERROR(AVERAGE(FILTER(Inventory!K:K,Inventory!J:J=""Closed"",Inventory!A:A=A833)),"""")"),114.4)</f>
        <v>114.4</v>
      </c>
      <c r="H833" s="23" t="b">
        <v>0</v>
      </c>
      <c r="I833" s="236"/>
      <c r="J833" s="236">
        <f>MAXIFS(Inventory!D:D, Inventory!A:A, A:A)</f>
        <v>44843</v>
      </c>
      <c r="L833" s="23">
        <f>COUNTIFS(Inventory!A:A,A833,Inventory!J:J,"Open")</f>
        <v>0</v>
      </c>
    </row>
    <row r="834">
      <c r="A834" s="233" t="s">
        <v>4953</v>
      </c>
      <c r="B834" s="23" t="str">
        <f>Publishers!A99</f>
        <v>Focus Home Interactive</v>
      </c>
      <c r="C834" s="78">
        <f>COUNTIF(Inventory!A:A, A834)</f>
        <v>2</v>
      </c>
      <c r="D834" s="89">
        <f>IFERROR(__xludf.DUMMYFUNCTION("IFERROR(AVERAGE(FILTER(Inventory!H:H,Inventory!J:J=""Closed"",Inventory!A:A=A834)),"""")"),0.09938366718027741)</f>
        <v>0.09938366718</v>
      </c>
      <c r="E834" s="234">
        <f>IFERROR(__xludf.DUMMYFUNCTION("IFERROR(AVERAGE(FILTER(Inventory!G:G,Inventory!J:J=""Closed"",Inventory!A:A=A834)),""0"")"),1.290000000000001)</f>
        <v>1.29</v>
      </c>
      <c r="F834" s="235">
        <f>IFERROR(__xludf.DUMMYFUNCTION("IFERROR(SUM(FILTER(Inventory!G:G,Inventory!J:J=""Closed"",Inventory!A:A=A834)),""0"")"),1.290000000000001)</f>
        <v>1.29</v>
      </c>
      <c r="G834" s="235">
        <f>IFERROR(__xludf.DUMMYFUNCTION("IFERROR(AVERAGE(FILTER(Inventory!K:K,Inventory!J:J=""Closed"",Inventory!A:A=A834)),"""")"),12.0)</f>
        <v>12</v>
      </c>
      <c r="H834" s="23" t="b">
        <v>0</v>
      </c>
      <c r="I834" s="236"/>
      <c r="J834" s="236">
        <f>MAXIFS(Inventory!D:D, Inventory!A:A, A:A)</f>
        <v>45192</v>
      </c>
      <c r="L834" s="23">
        <f>COUNTIFS(Inventory!A:A,A834,Inventory!J:J,"Open")</f>
        <v>1</v>
      </c>
    </row>
    <row r="835">
      <c r="A835" s="233" t="s">
        <v>2238</v>
      </c>
      <c r="B835" s="23" t="str">
        <f>Publishers!A225</f>
        <v>Shiro Games</v>
      </c>
      <c r="C835" s="78">
        <f>COUNTIF(Inventory!A:A, A835)</f>
        <v>18</v>
      </c>
      <c r="D835" s="89">
        <f>IFERROR(__xludf.DUMMYFUNCTION("IFERROR(AVERAGE(FILTER(Inventory!H:H,Inventory!J:J=""Closed"",Inventory!A:A=A835)),"""")"),0.19492128829175315)</f>
        <v>0.1949212883</v>
      </c>
      <c r="E835" s="234">
        <f>IFERROR(__xludf.DUMMYFUNCTION("IFERROR(AVERAGE(FILTER(Inventory!G:G,Inventory!J:J=""Closed"",Inventory!A:A=A835)),""0"")"),7.83)</f>
        <v>7.83</v>
      </c>
      <c r="F835" s="235">
        <f>IFERROR(__xludf.DUMMYFUNCTION("IFERROR(SUM(FILTER(Inventory!G:G,Inventory!J:J=""Closed"",Inventory!A:A=A835)),""0"")"),140.94)</f>
        <v>140.94</v>
      </c>
      <c r="G835" s="235">
        <f>IFERROR(__xludf.DUMMYFUNCTION("IFERROR(AVERAGE(FILTER(Inventory!K:K,Inventory!J:J=""Closed"",Inventory!A:A=A835)),"""")"),154.27777777777777)</f>
        <v>154.2777778</v>
      </c>
      <c r="H835" s="23" t="b">
        <v>0</v>
      </c>
      <c r="I835" s="78">
        <v>37.95</v>
      </c>
      <c r="J835" s="236">
        <f>MAXIFS(Inventory!D:D, Inventory!A:A, A:A)</f>
        <v>45701</v>
      </c>
      <c r="K835" s="23" t="str">
        <f>IMAGE("https://shared.akamai.steamstatic.com/store_item_assets/steam/apps/1527950/header.jpg?t=1725028528")</f>
        <v/>
      </c>
      <c r="L835" s="23">
        <f>COUNTIFS(Inventory!A:A,A835,Inventory!J:J,"Open")</f>
        <v>0</v>
      </c>
    </row>
    <row r="836">
      <c r="A836" s="237" t="s">
        <v>1107</v>
      </c>
      <c r="B836" s="23" t="str">
        <f>Publishers!A129</f>
        <v>inXile Entertainment</v>
      </c>
      <c r="C836" s="78">
        <f>COUNTIF(Inventory!A:A, A836)</f>
        <v>7</v>
      </c>
      <c r="D836" s="89">
        <f>IFERROR(__xludf.DUMMYFUNCTION("IFERROR(AVERAGE(FILTER(Inventory!H:H,Inventory!J:J=""Closed"",Inventory!A:A=A836)),"""")"),-0.9387095993071818)</f>
        <v>-0.9387095993</v>
      </c>
      <c r="E836" s="234">
        <f>IFERROR(__xludf.DUMMYFUNCTION("IFERROR(AVERAGE(FILTER(Inventory!G:G,Inventory!J:J=""Closed"",Inventory!A:A=A836)),""0"")"),1.308571428571428)</f>
        <v>1.308571429</v>
      </c>
      <c r="F836" s="235">
        <f>IFERROR(__xludf.DUMMYFUNCTION("IFERROR(SUM(FILTER(Inventory!G:G,Inventory!J:J=""Closed"",Inventory!A:A=A836)),""0"")"),9.159999999999997)</f>
        <v>9.16</v>
      </c>
      <c r="G836" s="235">
        <f>IFERROR(__xludf.DUMMYFUNCTION("IFERROR(AVERAGE(FILTER(Inventory!K:K,Inventory!J:J=""Closed"",Inventory!A:A=A836)),"""")"),368.42857142857144)</f>
        <v>368.4285714</v>
      </c>
      <c r="H836" s="23" t="b">
        <v>0</v>
      </c>
      <c r="I836" s="236"/>
      <c r="J836" s="236">
        <f>MAXIFS(Inventory!D:D, Inventory!A:A, A:A)</f>
        <v>46051</v>
      </c>
      <c r="L836" s="23">
        <f>COUNTIFS(Inventory!A:A,A836,Inventory!J:J,"Open")</f>
        <v>0</v>
      </c>
    </row>
    <row r="837">
      <c r="A837" s="237" t="s">
        <v>452</v>
      </c>
      <c r="B837" s="23" t="str">
        <f>Publishers!A139</f>
        <v>Klabater</v>
      </c>
      <c r="C837" s="78">
        <f>COUNTIF(Inventory!A:A, A837)</f>
        <v>1</v>
      </c>
      <c r="D837" s="89">
        <f>IFERROR(__xludf.DUMMYFUNCTION("IFERROR(AVERAGE(FILTER(Inventory!H:H,Inventory!J:J=""Closed"",Inventory!A:A=A837)),"""")"),0.47971781305114636)</f>
        <v>0.4797178131</v>
      </c>
      <c r="E837" s="234">
        <f>IFERROR(__xludf.DUMMYFUNCTION("IFERROR(AVERAGE(FILTER(Inventory!G:G,Inventory!J:J=""Closed"",Inventory!A:A=A837)),""0"")"),2.7199999999999998)</f>
        <v>2.72</v>
      </c>
      <c r="F837" s="235">
        <f>IFERROR(__xludf.DUMMYFUNCTION("IFERROR(SUM(FILTER(Inventory!G:G,Inventory!J:J=""Closed"",Inventory!A:A=A837)),""0"")"),2.7199999999999998)</f>
        <v>2.72</v>
      </c>
      <c r="G837" s="235">
        <f>IFERROR(__xludf.DUMMYFUNCTION("IFERROR(AVERAGE(FILTER(Inventory!K:K,Inventory!J:J=""Closed"",Inventory!A:A=A837)),"""")"),3.0)</f>
        <v>3</v>
      </c>
      <c r="H837" s="23" t="b">
        <v>0</v>
      </c>
      <c r="I837" s="236"/>
      <c r="J837" s="236">
        <f>MAXIFS(Inventory!D:D, Inventory!A:A, A:A)</f>
        <v>44055</v>
      </c>
      <c r="L837" s="23">
        <f>COUNTIFS(Inventory!A:A,A837,Inventory!J:J,"Open")</f>
        <v>0</v>
      </c>
    </row>
    <row r="838">
      <c r="A838" s="233" t="s">
        <v>3226</v>
      </c>
      <c r="B838" s="23" t="str">
        <f>Publishers!A271</f>
        <v>Total Mayhem Games</v>
      </c>
      <c r="C838" s="78">
        <f>COUNTIF(Inventory!A:A, A838)</f>
        <v>9</v>
      </c>
      <c r="D838" s="89">
        <f>IFERROR(__xludf.DUMMYFUNCTION("IFERROR(AVERAGE(FILTER(Inventory!H:H,Inventory!J:J=""Closed"",Inventory!A:A=A838)),"""")"),0.26074060589292525)</f>
        <v>0.2607406059</v>
      </c>
      <c r="E838" s="234">
        <f>IFERROR(__xludf.DUMMYFUNCTION("IFERROR(AVERAGE(FILTER(Inventory!G:G,Inventory!J:J=""Closed"",Inventory!A:A=A838)),""0"")"),5.88111111111111)</f>
        <v>5.881111111</v>
      </c>
      <c r="F838" s="235">
        <f>IFERROR(__xludf.DUMMYFUNCTION("IFERROR(SUM(FILTER(Inventory!G:G,Inventory!J:J=""Closed"",Inventory!A:A=A838)),""0"")"),52.92999999999999)</f>
        <v>52.93</v>
      </c>
      <c r="G838" s="235">
        <f>IFERROR(__xludf.DUMMYFUNCTION("IFERROR(AVERAGE(FILTER(Inventory!K:K,Inventory!J:J=""Closed"",Inventory!A:A=A838)),"""")"),48.111111111111114)</f>
        <v>48.11111111</v>
      </c>
      <c r="H838" s="23" t="b">
        <v>0</v>
      </c>
      <c r="I838" s="78">
        <v>23.81</v>
      </c>
      <c r="J838" s="236">
        <f>MAXIFS(Inventory!D:D, Inventory!A:A, A:A)</f>
        <v>45351</v>
      </c>
      <c r="L838" s="23">
        <f>COUNTIFS(Inventory!A:A,A838,Inventory!J:J,"Open")</f>
        <v>0</v>
      </c>
    </row>
    <row r="839">
      <c r="A839" s="233" t="s">
        <v>3065</v>
      </c>
      <c r="B839" s="23" t="str">
        <f>Publishers!A44</f>
        <v>Caligari Games</v>
      </c>
      <c r="C839" s="78">
        <f>COUNTIF(Inventory!A:A, A839)</f>
        <v>3</v>
      </c>
      <c r="D839" s="89">
        <f>IFERROR(__xludf.DUMMYFUNCTION("IFERROR(AVERAGE(FILTER(Inventory!H:H,Inventory!J:J=""Closed"",Inventory!A:A=A839)),"""")"),0.5874986486354431)</f>
        <v>0.5874986486</v>
      </c>
      <c r="E839" s="234">
        <f>IFERROR(__xludf.DUMMYFUNCTION("IFERROR(AVERAGE(FILTER(Inventory!G:G,Inventory!J:J=""Closed"",Inventory!A:A=A839)),""0"")"),3.690000000000001)</f>
        <v>3.69</v>
      </c>
      <c r="F839" s="235">
        <f>IFERROR(__xludf.DUMMYFUNCTION("IFERROR(SUM(FILTER(Inventory!G:G,Inventory!J:J=""Closed"",Inventory!A:A=A839)),""0"")"),11.070000000000002)</f>
        <v>11.07</v>
      </c>
      <c r="G839" s="235">
        <f>IFERROR(__xludf.DUMMYFUNCTION("IFERROR(AVERAGE(FILTER(Inventory!K:K,Inventory!J:J=""Closed"",Inventory!A:A=A839)),"""")"),103.33333333333333)</f>
        <v>103.3333333</v>
      </c>
      <c r="H839" s="23" t="b">
        <v>0</v>
      </c>
      <c r="I839" s="236"/>
      <c r="J839" s="236">
        <f>MAXIFS(Inventory!D:D, Inventory!A:A, A:A)</f>
        <v>45025</v>
      </c>
      <c r="L839" s="23">
        <f>COUNTIFS(Inventory!A:A,A839,Inventory!J:J,"Open")</f>
        <v>0</v>
      </c>
    </row>
    <row r="840">
      <c r="A840" s="237" t="s">
        <v>1190</v>
      </c>
      <c r="B840" s="23" t="str">
        <f>Publishers!A197</f>
        <v>PQube Limited</v>
      </c>
      <c r="C840" s="78">
        <f>COUNTIF(Inventory!A:A, A840)</f>
        <v>2</v>
      </c>
      <c r="D840" s="89">
        <f>IFERROR(__xludf.DUMMYFUNCTION("IFERROR(AVERAGE(FILTER(Inventory!H:H,Inventory!J:J=""Closed"",Inventory!A:A=A840)),"""")"),0.7908296943231441)</f>
        <v>0.7908296943</v>
      </c>
      <c r="E840" s="234">
        <f>IFERROR(__xludf.DUMMYFUNCTION("IFERROR(AVERAGE(FILTER(Inventory!G:G,Inventory!J:J=""Closed"",Inventory!A:A=A840)),""0"")"),1.895)</f>
        <v>1.895</v>
      </c>
      <c r="F840" s="235">
        <f>IFERROR(__xludf.DUMMYFUNCTION("IFERROR(SUM(FILTER(Inventory!G:G,Inventory!J:J=""Closed"",Inventory!A:A=A840)),""0"")"),3.79)</f>
        <v>3.79</v>
      </c>
      <c r="G840" s="235">
        <f>IFERROR(__xludf.DUMMYFUNCTION("IFERROR(AVERAGE(FILTER(Inventory!K:K,Inventory!J:J=""Closed"",Inventory!A:A=A840)),"""")"),12.0)</f>
        <v>12</v>
      </c>
      <c r="H840" s="23" t="b">
        <v>0</v>
      </c>
      <c r="I840" s="236"/>
      <c r="J840" s="236">
        <f>MAXIFS(Inventory!D:D, Inventory!A:A, A:A)</f>
        <v>44388</v>
      </c>
      <c r="L840" s="23">
        <f>COUNTIFS(Inventory!A:A,A840,Inventory!J:J,"Open")</f>
        <v>0</v>
      </c>
    </row>
    <row r="841">
      <c r="A841" s="233" t="s">
        <v>2789</v>
      </c>
      <c r="B841" s="23" t="str">
        <f>Publishers!A89</f>
        <v>Evil Tortilla Games</v>
      </c>
      <c r="C841" s="78">
        <f>COUNTIF(Inventory!A:A, A841)</f>
        <v>113</v>
      </c>
      <c r="D841" s="89">
        <f>IFERROR(__xludf.DUMMYFUNCTION("IFERROR(AVERAGE(FILTER(Inventory!H:H,Inventory!J:J=""Closed"",Inventory!A:A=A841)),"""")"),0.3366898346898802)</f>
        <v>0.3366898347</v>
      </c>
      <c r="E841" s="234">
        <f>IFERROR(__xludf.DUMMYFUNCTION("IFERROR(AVERAGE(FILTER(Inventory!G:G,Inventory!J:J=""Closed"",Inventory!A:A=A841)),""0"")"),1.741442477876103)</f>
        <v>1.741442478</v>
      </c>
      <c r="F841" s="235">
        <f>IFERROR(__xludf.DUMMYFUNCTION("IFERROR(SUM(FILTER(Inventory!G:G,Inventory!J:J=""Closed"",Inventory!A:A=A841)),""0"")"),196.78299999999965)</f>
        <v>196.783</v>
      </c>
      <c r="G841" s="235">
        <f>IFERROR(__xludf.DUMMYFUNCTION("IFERROR(AVERAGE(FILTER(Inventory!K:K,Inventory!J:J=""Closed"",Inventory!A:A=A841)),"""")"),5.84070796460177)</f>
        <v>5.840707965</v>
      </c>
      <c r="H841" s="78" t="b">
        <v>1</v>
      </c>
      <c r="I841" s="78">
        <v>6.91</v>
      </c>
      <c r="J841" s="236">
        <f>MAXIFS(Inventory!D:D, Inventory!A:A, A:A)</f>
        <v>45663</v>
      </c>
      <c r="K841" s="23" t="str">
        <f>IMAGE("https://shared.akamai.steamstatic.com/store_item_assets/steam/apps/427730/header.jpg?t=1726183140")</f>
        <v/>
      </c>
      <c r="L841" s="23">
        <f>COUNTIFS(Inventory!A:A,A841,Inventory!J:J,"Open")</f>
        <v>0</v>
      </c>
    </row>
    <row r="842">
      <c r="A842" s="237" t="s">
        <v>1568</v>
      </c>
      <c r="B842" s="23" t="str">
        <f>Publishers!A168</f>
        <v>Natsume</v>
      </c>
      <c r="C842" s="78">
        <f>COUNTIF(Inventory!A:A, A842)</f>
        <v>7</v>
      </c>
      <c r="D842" s="89">
        <f>IFERROR(__xludf.DUMMYFUNCTION("IFERROR(AVERAGE(FILTER(Inventory!H:H,Inventory!J:J=""Closed"",Inventory!A:A=A842)),"""")"),0.18434707972730527)</f>
        <v>0.1843470797</v>
      </c>
      <c r="E842" s="234">
        <f>IFERROR(__xludf.DUMMYFUNCTION("IFERROR(AVERAGE(FILTER(Inventory!G:G,Inventory!J:J=""Closed"",Inventory!A:A=A842)),""0"")"),0.7657142857142857)</f>
        <v>0.7657142857</v>
      </c>
      <c r="F842" s="235">
        <f>IFERROR(__xludf.DUMMYFUNCTION("IFERROR(SUM(FILTER(Inventory!G:G,Inventory!J:J=""Closed"",Inventory!A:A=A842)),""0"")"),5.359999999999999)</f>
        <v>5.36</v>
      </c>
      <c r="G842" s="235">
        <f>IFERROR(__xludf.DUMMYFUNCTION("IFERROR(AVERAGE(FILTER(Inventory!K:K,Inventory!J:J=""Closed"",Inventory!A:A=A842)),"""")"),37.285714285714285)</f>
        <v>37.28571429</v>
      </c>
      <c r="H842" s="23" t="b">
        <v>0</v>
      </c>
      <c r="I842" s="236"/>
      <c r="J842" s="236">
        <f>MAXIFS(Inventory!D:D, Inventory!A:A, A:A)</f>
        <v>44785</v>
      </c>
      <c r="L842" s="23">
        <f>COUNTIFS(Inventory!A:A,A842,Inventory!J:J,"Open")</f>
        <v>0</v>
      </c>
    </row>
    <row r="843">
      <c r="A843" s="233" t="s">
        <v>9898</v>
      </c>
      <c r="C843" s="78"/>
      <c r="D843" s="89"/>
      <c r="E843" s="234"/>
      <c r="F843" s="235"/>
      <c r="G843" s="235"/>
      <c r="H843" s="23" t="b">
        <v>0</v>
      </c>
      <c r="I843" s="236"/>
      <c r="J843" s="236"/>
      <c r="K843" s="23" t="str">
        <f>IMAGE("https://shared.fastly.steamstatic.com/store_item_assets/steam/apps/3041230/7e838d87d787735d5d29d72777c5ee55653dfb2b/header.jpg?t=1776158614")</f>
        <v/>
      </c>
    </row>
    <row r="844">
      <c r="A844" s="237" t="s">
        <v>1806</v>
      </c>
      <c r="B844" s="23" t="str">
        <f>Publishers!A65</f>
        <v>Daedalic Entertainment</v>
      </c>
      <c r="C844" s="78">
        <f>COUNTIF(Inventory!A:A, A844)</f>
        <v>75</v>
      </c>
      <c r="D844" s="89">
        <f>IFERROR(__xludf.DUMMYFUNCTION("IFERROR(AVERAGE(FILTER(Inventory!H:H,Inventory!J:J=""Closed"",Inventory!A:A=A844)),"""")"),0.26201710237309767)</f>
        <v>0.2620171024</v>
      </c>
      <c r="E844" s="234">
        <f>IFERROR(__xludf.DUMMYFUNCTION("IFERROR(AVERAGE(FILTER(Inventory!G:G,Inventory!J:J=""Closed"",Inventory!A:A=A844)),""0"")"),1.7211999999999996)</f>
        <v>1.7212</v>
      </c>
      <c r="F844" s="235">
        <f>IFERROR(__xludf.DUMMYFUNCTION("IFERROR(SUM(FILTER(Inventory!G:G,Inventory!J:J=""Closed"",Inventory!A:A=A844)),""0"")"),129.08999999999997)</f>
        <v>129.09</v>
      </c>
      <c r="G844" s="235">
        <f>IFERROR(__xludf.DUMMYFUNCTION("IFERROR(AVERAGE(FILTER(Inventory!K:K,Inventory!J:J=""Closed"",Inventory!A:A=A844)),"""")"),13.84)</f>
        <v>13.84</v>
      </c>
      <c r="H844" s="78" t="b">
        <v>1</v>
      </c>
      <c r="I844" s="236"/>
      <c r="J844" s="236">
        <f>MAXIFS(Inventory!D:D, Inventory!A:A, A:A)</f>
        <v>45940</v>
      </c>
      <c r="K844" s="23" t="str">
        <f>IMAGE("https://shared.akamai.steamstatic.com/store_item_assets/steam/apps/559650/header.jpg?t=1727690295")</f>
        <v/>
      </c>
      <c r="L844" s="23">
        <f>COUNTIFS(Inventory!A:A,A844,Inventory!J:J,"Open")</f>
        <v>0</v>
      </c>
    </row>
    <row r="845">
      <c r="A845" s="233" t="s">
        <v>4500</v>
      </c>
      <c r="B845" s="23" t="str">
        <f>Publishers!A65</f>
        <v>Daedalic Entertainment</v>
      </c>
      <c r="C845" s="78">
        <f>COUNTIF(Inventory!A:A, A845)</f>
        <v>26</v>
      </c>
      <c r="D845" s="89">
        <f>IFERROR(__xludf.DUMMYFUNCTION("IFERROR(AVERAGE(FILTER(Inventory!H:H,Inventory!J:J=""Closed"",Inventory!A:A=A845)),"""")"),0.40108425160935357)</f>
        <v>0.4010842516</v>
      </c>
      <c r="E845" s="234">
        <f>IFERROR(__xludf.DUMMYFUNCTION("IFERROR(AVERAGE(FILTER(Inventory!G:G,Inventory!J:J=""Closed"",Inventory!A:A=A845)),""0"")"),2.8688461538461536)</f>
        <v>2.868846154</v>
      </c>
      <c r="F845" s="235">
        <f>IFERROR(__xludf.DUMMYFUNCTION("IFERROR(SUM(FILTER(Inventory!G:G,Inventory!J:J=""Closed"",Inventory!A:A=A845)),""0"")"),74.58999999999999)</f>
        <v>74.59</v>
      </c>
      <c r="G845" s="235">
        <f>IFERROR(__xludf.DUMMYFUNCTION("IFERROR(AVERAGE(FILTER(Inventory!K:K,Inventory!J:J=""Closed"",Inventory!A:A=A845)),"""")"),7.923076923076923)</f>
        <v>7.923076923</v>
      </c>
      <c r="H845" s="78" t="b">
        <v>0</v>
      </c>
      <c r="I845" s="236"/>
      <c r="J845" s="236">
        <f>MAXIFS(Inventory!D:D, Inventory!A:A, A:A)</f>
        <v>45719</v>
      </c>
      <c r="L845" s="23">
        <f>COUNTIFS(Inventory!A:A,A845,Inventory!J:J,"Open")</f>
        <v>0</v>
      </c>
    </row>
    <row r="846">
      <c r="A846" s="233" t="s">
        <v>3515</v>
      </c>
      <c r="B846" s="23" t="str">
        <f>Publishers!A287</f>
        <v>WOLCEN Studio</v>
      </c>
      <c r="C846" s="78">
        <f>COUNTIF(Inventory!A:A, A846)</f>
        <v>32</v>
      </c>
      <c r="D846" s="89">
        <f>IFERROR(__xludf.DUMMYFUNCTION("IFERROR(AVERAGE(FILTER(Inventory!H:H,Inventory!J:J=""Closed"",Inventory!A:A=A846)),"""")"),0.21573857918196468)</f>
        <v>0.2157385792</v>
      </c>
      <c r="E846" s="234">
        <f>IFERROR(__xludf.DUMMYFUNCTION("IFERROR(AVERAGE(FILTER(Inventory!G:G,Inventory!J:J=""Closed"",Inventory!A:A=A846)),""0"")"),2.7629032258064523)</f>
        <v>2.762903226</v>
      </c>
      <c r="F846" s="235">
        <f>IFERROR(__xludf.DUMMYFUNCTION("IFERROR(SUM(FILTER(Inventory!G:G,Inventory!J:J=""Closed"",Inventory!A:A=A846)),""0"")"),85.65000000000002)</f>
        <v>85.65</v>
      </c>
      <c r="G846" s="235">
        <f>IFERROR(__xludf.DUMMYFUNCTION("IFERROR(AVERAGE(FILTER(Inventory!K:K,Inventory!J:J=""Closed"",Inventory!A:A=A846)),"""")"),4.129032258064516)</f>
        <v>4.129032258</v>
      </c>
      <c r="H846" s="23" t="b">
        <v>0</v>
      </c>
      <c r="I846" s="236"/>
      <c r="J846" s="236">
        <f>MAXIFS(Inventory!D:D, Inventory!A:A, A:A)</f>
        <v>45081</v>
      </c>
      <c r="L846" s="23">
        <f>COUNTIFS(Inventory!A:A,A846,Inventory!J:J,"Open")</f>
        <v>1</v>
      </c>
    </row>
    <row r="847">
      <c r="A847" s="237" t="s">
        <v>1617</v>
      </c>
      <c r="B847" s="23" t="str">
        <f>Publishers!A124</f>
        <v>id Software</v>
      </c>
      <c r="C847" s="78">
        <f>COUNTIF(Inventory!A:A, A847)</f>
        <v>1</v>
      </c>
      <c r="D847" s="89">
        <f>IFERROR(__xludf.DUMMYFUNCTION("IFERROR(AVERAGE(FILTER(Inventory!H:H,Inventory!J:J=""Closed"",Inventory!A:A=A847)),"""")"),1.0)</f>
        <v>1</v>
      </c>
      <c r="E847" s="234">
        <f>IFERROR(__xludf.DUMMYFUNCTION("IFERROR(AVERAGE(FILTER(Inventory!G:G,Inventory!J:J=""Closed"",Inventory!A:A=A847)),""0"")"),0.75)</f>
        <v>0.75</v>
      </c>
      <c r="F847" s="235">
        <f>IFERROR(__xludf.DUMMYFUNCTION("IFERROR(SUM(FILTER(Inventory!G:G,Inventory!J:J=""Closed"",Inventory!A:A=A847)),""0"")"),0.75)</f>
        <v>0.75</v>
      </c>
      <c r="G847" s="235">
        <f>IFERROR(__xludf.DUMMYFUNCTION("IFERROR(AVERAGE(FILTER(Inventory!K:K,Inventory!J:J=""Closed"",Inventory!A:A=A847)),"""")"),2.0)</f>
        <v>2</v>
      </c>
      <c r="H847" s="23" t="b">
        <v>0</v>
      </c>
      <c r="I847" s="236"/>
      <c r="J847" s="236">
        <f>MAXIFS(Inventory!D:D, Inventory!A:A, A:A)</f>
        <v>44509</v>
      </c>
      <c r="L847" s="23">
        <f>COUNTIFS(Inventory!A:A,A847,Inventory!J:J,"Open")</f>
        <v>0</v>
      </c>
    </row>
    <row r="848">
      <c r="A848" s="233" t="s">
        <v>5615</v>
      </c>
      <c r="B848" s="23" t="str">
        <f>Publishers!A34</f>
        <v>Bethesda Softworks</v>
      </c>
      <c r="C848" s="78">
        <f>COUNTIF(Inventory!A:A, A848)</f>
        <v>11</v>
      </c>
      <c r="D848" s="89">
        <f>IFERROR(__xludf.DUMMYFUNCTION("IFERROR(AVERAGE(FILTER(Inventory!H:H,Inventory!J:J=""Closed"",Inventory!A:A=A848)),"""")"),0.08521035687162924)</f>
        <v>0.08521035687</v>
      </c>
      <c r="E848" s="234">
        <f>IFERROR(__xludf.DUMMYFUNCTION("IFERROR(AVERAGE(FILTER(Inventory!G:G,Inventory!J:J=""Closed"",Inventory!A:A=A848)),""0"")"),0.33818181818181814)</f>
        <v>0.3381818182</v>
      </c>
      <c r="F848" s="235">
        <f>IFERROR(__xludf.DUMMYFUNCTION("IFERROR(SUM(FILTER(Inventory!G:G,Inventory!J:J=""Closed"",Inventory!A:A=A848)),""0"")"),3.7199999999999998)</f>
        <v>3.72</v>
      </c>
      <c r="G848" s="235">
        <f>IFERROR(__xludf.DUMMYFUNCTION("IFERROR(AVERAGE(FILTER(Inventory!K:K,Inventory!J:J=""Closed"",Inventory!A:A=A848)),"""")"),27.545454545454547)</f>
        <v>27.54545455</v>
      </c>
      <c r="H848" s="23" t="b">
        <v>0</v>
      </c>
      <c r="I848" s="236"/>
      <c r="J848" s="236">
        <f>MAXIFS(Inventory!D:D, Inventory!A:A, A:A)</f>
        <v>45549</v>
      </c>
      <c r="L848" s="23">
        <f>COUNTIFS(Inventory!A:A,A848,Inventory!J:J,"Open")</f>
        <v>0</v>
      </c>
    </row>
    <row r="849">
      <c r="A849" s="233" t="s">
        <v>5287</v>
      </c>
      <c r="B849" s="23" t="str">
        <f>Publishers!A119</f>
        <v>Hooded Horse</v>
      </c>
      <c r="C849" s="78">
        <f>COUNTIF(Inventory!A:A, A849)</f>
        <v>1</v>
      </c>
      <c r="D849" s="89">
        <f>IFERROR(__xludf.DUMMYFUNCTION("IFERROR(AVERAGE(FILTER(Inventory!H:H,Inventory!J:J=""Closed"",Inventory!A:A=A849)),"""")"),0.10320781032078107)</f>
        <v>0.1032078103</v>
      </c>
      <c r="E849" s="234">
        <f>IFERROR(__xludf.DUMMYFUNCTION("IFERROR(AVERAGE(FILTER(Inventory!G:G,Inventory!J:J=""Closed"",Inventory!A:A=A849)),""0"")"),2.960000000000001)</f>
        <v>2.96</v>
      </c>
      <c r="F849" s="235">
        <f>IFERROR(__xludf.DUMMYFUNCTION("IFERROR(SUM(FILTER(Inventory!G:G,Inventory!J:J=""Closed"",Inventory!A:A=A849)),""0"")"),2.960000000000001)</f>
        <v>2.96</v>
      </c>
      <c r="G849" s="235">
        <f>IFERROR(__xludf.DUMMYFUNCTION("IFERROR(AVERAGE(FILTER(Inventory!K:K,Inventory!J:J=""Closed"",Inventory!A:A=A849)),"""")"),5.0)</f>
        <v>5</v>
      </c>
      <c r="H849" s="23" t="b">
        <v>0</v>
      </c>
      <c r="I849" s="236"/>
      <c r="J849" s="236">
        <f>MAXIFS(Inventory!D:D, Inventory!A:A, A:A)</f>
        <v>45224</v>
      </c>
      <c r="L849" s="23">
        <f>COUNTIFS(Inventory!A:A,A849,Inventory!J:J,"Open")</f>
        <v>0</v>
      </c>
    </row>
    <row r="850">
      <c r="A850" s="237" t="s">
        <v>608</v>
      </c>
      <c r="B850" s="23" t="str">
        <f>Publishers!A237</f>
        <v>Square Enix</v>
      </c>
      <c r="C850" s="78">
        <f>COUNTIF(Inventory!A:A, A850)</f>
        <v>1</v>
      </c>
      <c r="D850" s="89">
        <f>IFERROR(__xludf.DUMMYFUNCTION("IFERROR(AVERAGE(FILTER(Inventory!H:H,Inventory!J:J=""Closed"",Inventory!A:A=A850)),"""")"),0.07808716707021787)</f>
        <v>0.07808716707</v>
      </c>
      <c r="E850" s="234">
        <f>IFERROR(__xludf.DUMMYFUNCTION("IFERROR(AVERAGE(FILTER(Inventory!G:G,Inventory!J:J=""Closed"",Inventory!A:A=A850)),""0"")"),1.2899999999999991)</f>
        <v>1.29</v>
      </c>
      <c r="F850" s="235">
        <f>IFERROR(__xludf.DUMMYFUNCTION("IFERROR(SUM(FILTER(Inventory!G:G,Inventory!J:J=""Closed"",Inventory!A:A=A850)),""0"")"),1.2899999999999991)</f>
        <v>1.29</v>
      </c>
      <c r="G850" s="235">
        <f>IFERROR(__xludf.DUMMYFUNCTION("IFERROR(AVERAGE(FILTER(Inventory!K:K,Inventory!J:J=""Closed"",Inventory!A:A=A850)),"""")"),54.0)</f>
        <v>54</v>
      </c>
      <c r="H850" s="23" t="b">
        <v>0</v>
      </c>
      <c r="I850" s="236"/>
      <c r="J850" s="236">
        <f>MAXIFS(Inventory!D:D, Inventory!A:A, A:A)</f>
        <v>44153</v>
      </c>
      <c r="L850" s="23">
        <f>COUNTIFS(Inventory!A:A,A850,Inventory!J:J,"Open")</f>
        <v>0</v>
      </c>
    </row>
    <row r="851">
      <c r="A851" s="233" t="s">
        <v>2467</v>
      </c>
      <c r="B851" s="23" t="str">
        <f>Publishers!A214</f>
        <v>Saber Interactive</v>
      </c>
      <c r="C851" s="78">
        <f>COUNTIF(Inventory!A:A, A851)</f>
        <v>10</v>
      </c>
      <c r="D851" s="89">
        <f>IFERROR(__xludf.DUMMYFUNCTION("IFERROR(AVERAGE(FILTER(Inventory!H:H,Inventory!J:J=""Closed"",Inventory!A:A=A851)),"""")"),0.1751783398016534)</f>
        <v>0.1751783398</v>
      </c>
      <c r="E851" s="234">
        <f>IFERROR(__xludf.DUMMYFUNCTION("IFERROR(AVERAGE(FILTER(Inventory!G:G,Inventory!J:J=""Closed"",Inventory!A:A=A851)),""0"")"),3.489)</f>
        <v>3.489</v>
      </c>
      <c r="F851" s="235">
        <f>IFERROR(__xludf.DUMMYFUNCTION("IFERROR(SUM(FILTER(Inventory!G:G,Inventory!J:J=""Closed"",Inventory!A:A=A851)),""0"")"),34.89)</f>
        <v>34.89</v>
      </c>
      <c r="G851" s="235">
        <f>IFERROR(__xludf.DUMMYFUNCTION("IFERROR(AVERAGE(FILTER(Inventory!K:K,Inventory!J:J=""Closed"",Inventory!A:A=A851)),"""")"),94.6)</f>
        <v>94.6</v>
      </c>
      <c r="H851" s="23" t="b">
        <v>0</v>
      </c>
      <c r="I851" s="236"/>
      <c r="J851" s="236">
        <f>MAXIFS(Inventory!D:D, Inventory!A:A, A:A)</f>
        <v>45761</v>
      </c>
      <c r="L851" s="23">
        <f>COUNTIFS(Inventory!A:A,A851,Inventory!J:J,"Open")</f>
        <v>0</v>
      </c>
    </row>
    <row r="852">
      <c r="A852" s="237" t="s">
        <v>1479</v>
      </c>
      <c r="B852" s="23" t="str">
        <f>Publishers!A253</f>
        <v>Team17 Digital</v>
      </c>
      <c r="C852" s="78">
        <f>COUNTIF(Inventory!A:A, A852)</f>
        <v>1</v>
      </c>
      <c r="D852" s="89">
        <f>IFERROR(__xludf.DUMMYFUNCTION("IFERROR(AVERAGE(FILTER(Inventory!H:H,Inventory!J:J=""Closed"",Inventory!A:A=A852)),"""")"),1.0)</f>
        <v>1</v>
      </c>
      <c r="E852" s="234">
        <f>IFERROR(__xludf.DUMMYFUNCTION("IFERROR(AVERAGE(FILTER(Inventory!G:G,Inventory!J:J=""Closed"",Inventory!A:A=A852)),""0"")"),0.04)</f>
        <v>0.04</v>
      </c>
      <c r="F852" s="235">
        <f>IFERROR(__xludf.DUMMYFUNCTION("IFERROR(SUM(FILTER(Inventory!G:G,Inventory!J:J=""Closed"",Inventory!A:A=A852)),""0"")"),0.04)</f>
        <v>0.04</v>
      </c>
      <c r="G852" s="235">
        <f>IFERROR(__xludf.DUMMYFUNCTION("IFERROR(AVERAGE(FILTER(Inventory!K:K,Inventory!J:J=""Closed"",Inventory!A:A=A852)),"""")"),27.0)</f>
        <v>27</v>
      </c>
      <c r="H852" s="23" t="b">
        <v>0</v>
      </c>
      <c r="I852" s="236"/>
      <c r="J852" s="236">
        <f>MAXIFS(Inventory!D:D, Inventory!A:A, A:A)</f>
        <v>44499</v>
      </c>
      <c r="L852" s="23">
        <f>COUNTIFS(Inventory!A:A,A852,Inventory!J:J,"Open")</f>
        <v>0</v>
      </c>
    </row>
    <row r="853">
      <c r="A853" s="237" t="s">
        <v>990</v>
      </c>
      <c r="B853" s="23" t="str">
        <f>Publishers!A167</f>
        <v>Nacon</v>
      </c>
      <c r="C853" s="78">
        <f>COUNTIF(Inventory!A:A, A853)</f>
        <v>2</v>
      </c>
      <c r="D853" s="89">
        <f>IFERROR(__xludf.DUMMYFUNCTION("IFERROR(AVERAGE(FILTER(Inventory!H:H,Inventory!J:J=""Closed"",Inventory!A:A=A853)),"""")"),0.4444444444444445)</f>
        <v>0.4444444444</v>
      </c>
      <c r="E853" s="234">
        <f>IFERROR(__xludf.DUMMYFUNCTION("IFERROR(AVERAGE(FILTER(Inventory!G:G,Inventory!J:J=""Closed"",Inventory!A:A=A853)),""0"")"),0.4)</f>
        <v>0.4</v>
      </c>
      <c r="F853" s="235">
        <f>IFERROR(__xludf.DUMMYFUNCTION("IFERROR(SUM(FILTER(Inventory!G:G,Inventory!J:J=""Closed"",Inventory!A:A=A853)),""0"")"),0.8)</f>
        <v>0.8</v>
      </c>
      <c r="G853" s="235">
        <f>IFERROR(__xludf.DUMMYFUNCTION("IFERROR(AVERAGE(FILTER(Inventory!K:K,Inventory!J:J=""Closed"",Inventory!A:A=A853)),"""")"),45.0)</f>
        <v>45</v>
      </c>
      <c r="H853" s="23" t="b">
        <v>0</v>
      </c>
      <c r="I853" s="236"/>
      <c r="J853" s="236">
        <f>MAXIFS(Inventory!D:D, Inventory!A:A, A:A)</f>
        <v>44322</v>
      </c>
      <c r="L853" s="23">
        <f>COUNTIFS(Inventory!A:A,A853,Inventory!J:J,"Open")</f>
        <v>0</v>
      </c>
    </row>
    <row r="854">
      <c r="A854" s="233" t="s">
        <v>2051</v>
      </c>
      <c r="B854" s="23" t="str">
        <f>Publishers!A167</f>
        <v>Nacon</v>
      </c>
      <c r="C854" s="78">
        <f>COUNTIF(Inventory!A:A, A854)</f>
        <v>28</v>
      </c>
      <c r="D854" s="89">
        <f>IFERROR(__xludf.DUMMYFUNCTION("IFERROR(AVERAGE(FILTER(Inventory!H:H,Inventory!J:J=""Closed"",Inventory!A:A=A854)),"""")"),0.22947940950882212)</f>
        <v>0.2294794095</v>
      </c>
      <c r="E854" s="234">
        <f>IFERROR(__xludf.DUMMYFUNCTION("IFERROR(AVERAGE(FILTER(Inventory!G:G,Inventory!J:J=""Closed"",Inventory!A:A=A854)),""0"")"),2.476785714285714)</f>
        <v>2.476785714</v>
      </c>
      <c r="F854" s="235">
        <f>IFERROR(__xludf.DUMMYFUNCTION("IFERROR(SUM(FILTER(Inventory!G:G,Inventory!J:J=""Closed"",Inventory!A:A=A854)),""0"")"),69.35)</f>
        <v>69.35</v>
      </c>
      <c r="G854" s="235">
        <f>IFERROR(__xludf.DUMMYFUNCTION("IFERROR(AVERAGE(FILTER(Inventory!K:K,Inventory!J:J=""Closed"",Inventory!A:A=A854)),"""")"),41.92857142857143)</f>
        <v>41.92857143</v>
      </c>
      <c r="H854" s="23" t="b">
        <v>0</v>
      </c>
      <c r="I854" s="236"/>
      <c r="J854" s="236">
        <f>MAXIFS(Inventory!D:D, Inventory!A:A, A:A)</f>
        <v>45787</v>
      </c>
      <c r="L854" s="23">
        <f>COUNTIFS(Inventory!A:A,A854,Inventory!J:J,"Open")</f>
        <v>0</v>
      </c>
    </row>
    <row r="855">
      <c r="A855" s="233" t="s">
        <v>4100</v>
      </c>
      <c r="B855" s="23" t="str">
        <f>Publishers!A167</f>
        <v>Nacon</v>
      </c>
      <c r="C855" s="78">
        <f>COUNTIF(Inventory!A:A, A855)</f>
        <v>17</v>
      </c>
      <c r="D855" s="89">
        <f>IFERROR(__xludf.DUMMYFUNCTION("IFERROR(AVERAGE(FILTER(Inventory!H:H,Inventory!J:J=""Closed"",Inventory!A:A=A855)),"""")"),0.22583057903170226)</f>
        <v>0.225830579</v>
      </c>
      <c r="E855" s="234">
        <f>IFERROR(__xludf.DUMMYFUNCTION("IFERROR(AVERAGE(FILTER(Inventory!G:G,Inventory!J:J=""Closed"",Inventory!A:A=A855)),""0"")"),2.628125000000001)</f>
        <v>2.628125</v>
      </c>
      <c r="F855" s="235">
        <f>IFERROR(__xludf.DUMMYFUNCTION("IFERROR(SUM(FILTER(Inventory!G:G,Inventory!J:J=""Closed"",Inventory!A:A=A855)),""0"")"),42.05000000000002)</f>
        <v>42.05</v>
      </c>
      <c r="G855" s="235">
        <f>IFERROR(__xludf.DUMMYFUNCTION("IFERROR(AVERAGE(FILTER(Inventory!K:K,Inventory!J:J=""Closed"",Inventory!A:A=A855)),"""")"),1.625)</f>
        <v>1.625</v>
      </c>
      <c r="H855" s="23" t="b">
        <v>0</v>
      </c>
      <c r="I855" s="236"/>
      <c r="J855" s="236">
        <f>MAXIFS(Inventory!D:D, Inventory!A:A, A:A)</f>
        <v>45094</v>
      </c>
      <c r="L855" s="23">
        <f>COUNTIFS(Inventory!A:A,A855,Inventory!J:J,"Open")</f>
        <v>1</v>
      </c>
    </row>
    <row r="856">
      <c r="A856" s="233" t="s">
        <v>4276</v>
      </c>
      <c r="B856" s="23" t="str">
        <f>Publishers!A167</f>
        <v>Nacon</v>
      </c>
      <c r="C856" s="78">
        <f>COUNTIF(Inventory!A:A, A856)</f>
        <v>1</v>
      </c>
      <c r="D856" s="89">
        <f>IFERROR(__xludf.DUMMYFUNCTION("IFERROR(AVERAGE(FILTER(Inventory!H:H,Inventory!J:J=""Closed"",Inventory!A:A=A856)),"""")"),0.33314479638009054)</f>
        <v>0.3331447964</v>
      </c>
      <c r="E856" s="234">
        <f>IFERROR(__xludf.DUMMYFUNCTION("IFERROR(AVERAGE(FILTER(Inventory!G:G,Inventory!J:J=""Closed"",Inventory!A:A=A856)),""0"")"),5.890000000000001)</f>
        <v>5.89</v>
      </c>
      <c r="F856" s="235">
        <f>IFERROR(__xludf.DUMMYFUNCTION("IFERROR(SUM(FILTER(Inventory!G:G,Inventory!J:J=""Closed"",Inventory!A:A=A856)),""0"")"),5.890000000000001)</f>
        <v>5.89</v>
      </c>
      <c r="G856" s="235">
        <f>IFERROR(__xludf.DUMMYFUNCTION("IFERROR(AVERAGE(FILTER(Inventory!K:K,Inventory!J:J=""Closed"",Inventory!A:A=A856)),"""")"),4.0)</f>
        <v>4</v>
      </c>
      <c r="H856" s="23" t="b">
        <v>0</v>
      </c>
      <c r="I856" s="236"/>
      <c r="J856" s="236">
        <f>MAXIFS(Inventory!D:D, Inventory!A:A, A:A)</f>
        <v>45096</v>
      </c>
      <c r="L856" s="23">
        <f>COUNTIFS(Inventory!A:A,A856,Inventory!J:J,"Open")</f>
        <v>0</v>
      </c>
    </row>
    <row r="857">
      <c r="A857" s="237" t="s">
        <v>97</v>
      </c>
      <c r="B857" s="23" t="str">
        <f>Publishers!A264</f>
        <v>THQ Nordic</v>
      </c>
      <c r="C857" s="78">
        <f>COUNTIF(Inventory!A:A, A857)</f>
        <v>2</v>
      </c>
      <c r="D857" s="89">
        <f>IFERROR(__xludf.DUMMYFUNCTION("IFERROR(AVERAGE(FILTER(Inventory!H:H,Inventory!J:J=""Closed"",Inventory!A:A=A857)),"""")"),0.12158956195726449)</f>
        <v>0.121589562</v>
      </c>
      <c r="E857" s="234">
        <f>IFERROR(__xludf.DUMMYFUNCTION("IFERROR(AVERAGE(FILTER(Inventory!G:G,Inventory!J:J=""Closed"",Inventory!A:A=A857)),""0"")"),2.0550000000000015)</f>
        <v>2.055</v>
      </c>
      <c r="F857" s="235">
        <f>IFERROR(__xludf.DUMMYFUNCTION("IFERROR(SUM(FILTER(Inventory!G:G,Inventory!J:J=""Closed"",Inventory!A:A=A857)),""0"")"),4.110000000000003)</f>
        <v>4.11</v>
      </c>
      <c r="G857" s="235">
        <f>IFERROR(__xludf.DUMMYFUNCTION("IFERROR(AVERAGE(FILTER(Inventory!K:K,Inventory!J:J=""Closed"",Inventory!A:A=A857)),"""")"),1.0)</f>
        <v>1</v>
      </c>
      <c r="H857" s="23" t="b">
        <v>0</v>
      </c>
      <c r="I857" s="236"/>
      <c r="J857" s="236">
        <f>MAXIFS(Inventory!D:D, Inventory!A:A, A:A)</f>
        <v>43958</v>
      </c>
      <c r="L857" s="23">
        <f>COUNTIFS(Inventory!A:A,A857,Inventory!J:J,"Open")</f>
        <v>0</v>
      </c>
    </row>
    <row r="858">
      <c r="A858" s="237" t="s">
        <v>682</v>
      </c>
      <c r="B858" s="23" t="str">
        <f>Publishers!A231</f>
        <v>Sludj Games</v>
      </c>
      <c r="C858" s="78">
        <f>COUNTIF(Inventory!A:A, A858)</f>
        <v>1</v>
      </c>
      <c r="D858" s="89">
        <f>IFERROR(__xludf.DUMMYFUNCTION("IFERROR(AVERAGE(FILTER(Inventory!H:H,Inventory!J:J=""Closed"",Inventory!A:A=A858)),"""")"),0.6159420289855072)</f>
        <v>0.615942029</v>
      </c>
      <c r="E858" s="234">
        <f>IFERROR(__xludf.DUMMYFUNCTION("IFERROR(AVERAGE(FILTER(Inventory!G:G,Inventory!J:J=""Closed"",Inventory!A:A=A858)),""0"")"),0.8499999999999999)</f>
        <v>0.85</v>
      </c>
      <c r="F858" s="235">
        <f>IFERROR(__xludf.DUMMYFUNCTION("IFERROR(SUM(FILTER(Inventory!G:G,Inventory!J:J=""Closed"",Inventory!A:A=A858)),""0"")"),0.8499999999999999)</f>
        <v>0.85</v>
      </c>
      <c r="G858" s="235">
        <f>IFERROR(__xludf.DUMMYFUNCTION("IFERROR(AVERAGE(FILTER(Inventory!K:K,Inventory!J:J=""Closed"",Inventory!A:A=A858)),"""")"),200.0)</f>
        <v>200</v>
      </c>
      <c r="H858" s="23" t="b">
        <v>0</v>
      </c>
      <c r="I858" s="236"/>
      <c r="J858" s="236">
        <f>MAXIFS(Inventory!D:D, Inventory!A:A, A:A)</f>
        <v>44312</v>
      </c>
      <c r="L858" s="23">
        <f>COUNTIFS(Inventory!A:A,A858,Inventory!J:J,"Open")</f>
        <v>0</v>
      </c>
    </row>
    <row r="859">
      <c r="A859" s="237" t="s">
        <v>680</v>
      </c>
      <c r="B859" s="23" t="str">
        <f>Publishers!A67</f>
        <v>Darkwind Media</v>
      </c>
      <c r="C859" s="78">
        <f>COUNTIF(Inventory!A:A, A859)</f>
        <v>1</v>
      </c>
      <c r="D859" s="89">
        <f>IFERROR(__xludf.DUMMYFUNCTION("IFERROR(AVERAGE(FILTER(Inventory!H:H,Inventory!J:J=""Closed"",Inventory!A:A=A859)),"""")"),0.6044776119402985)</f>
        <v>0.6044776119</v>
      </c>
      <c r="E859" s="234">
        <f>IFERROR(__xludf.DUMMYFUNCTION("IFERROR(AVERAGE(FILTER(Inventory!G:G,Inventory!J:J=""Closed"",Inventory!A:A=A859)),""0"")"),0.81)</f>
        <v>0.81</v>
      </c>
      <c r="F859" s="235">
        <f>IFERROR(__xludf.DUMMYFUNCTION("IFERROR(SUM(FILTER(Inventory!G:G,Inventory!J:J=""Closed"",Inventory!A:A=A859)),""0"")"),0.81)</f>
        <v>0.81</v>
      </c>
      <c r="G859" s="235">
        <f>IFERROR(__xludf.DUMMYFUNCTION("IFERROR(AVERAGE(FILTER(Inventory!K:K,Inventory!J:J=""Closed"",Inventory!A:A=A859)),"""")"),94.0)</f>
        <v>94</v>
      </c>
      <c r="H859" s="23" t="b">
        <v>0</v>
      </c>
      <c r="I859" s="236"/>
      <c r="J859" s="236">
        <f>MAXIFS(Inventory!D:D, Inventory!A:A, A:A)</f>
        <v>44206</v>
      </c>
      <c r="L859" s="23">
        <f>COUNTIFS(Inventory!A:A,A859,Inventory!J:J,"Open")</f>
        <v>0</v>
      </c>
    </row>
    <row r="860">
      <c r="A860" s="233" t="s">
        <v>4230</v>
      </c>
      <c r="B860" s="23" t="str">
        <f>Publishers!A82</f>
        <v>Egosoft</v>
      </c>
      <c r="C860" s="78">
        <f>COUNTIF(Inventory!A:A, A860)</f>
        <v>1</v>
      </c>
      <c r="D860" s="89">
        <f>IFERROR(__xludf.DUMMYFUNCTION("IFERROR(AVERAGE(FILTER(Inventory!H:H,Inventory!J:J=""Closed"",Inventory!A:A=A860)),"""")"),0.15677083333333325)</f>
        <v>0.1567708333</v>
      </c>
      <c r="E860" s="234">
        <f>IFERROR(__xludf.DUMMYFUNCTION("IFERROR(AVERAGE(FILTER(Inventory!G:G,Inventory!J:J=""Closed"",Inventory!A:A=A860)),""0"")"),3.009999999999998)</f>
        <v>3.01</v>
      </c>
      <c r="F860" s="235">
        <f>IFERROR(__xludf.DUMMYFUNCTION("IFERROR(SUM(FILTER(Inventory!G:G,Inventory!J:J=""Closed"",Inventory!A:A=A860)),""0"")"),3.009999999999998)</f>
        <v>3.01</v>
      </c>
      <c r="G860" s="235">
        <f>IFERROR(__xludf.DUMMYFUNCTION("IFERROR(AVERAGE(FILTER(Inventory!K:K,Inventory!J:J=""Closed"",Inventory!A:A=A860)),"""")"),55.0)</f>
        <v>55</v>
      </c>
      <c r="H860" s="23" t="b">
        <v>0</v>
      </c>
      <c r="I860" s="236"/>
      <c r="J860" s="236">
        <f>MAXIFS(Inventory!D:D, Inventory!A:A, A:A)</f>
        <v>45140</v>
      </c>
      <c r="L860" s="23">
        <f>COUNTIFS(Inventory!A:A,A860,Inventory!J:J,"Open")</f>
        <v>0</v>
      </c>
    </row>
    <row r="861">
      <c r="A861" s="237" t="s">
        <v>141</v>
      </c>
      <c r="B861" s="23" t="str">
        <f>Publishers!A6</f>
        <v>2K</v>
      </c>
      <c r="C861" s="78">
        <f>COUNTIF(Inventory!A:A, A861)</f>
        <v>5</v>
      </c>
      <c r="D861" s="89">
        <f>IFERROR(__xludf.DUMMYFUNCTION("IFERROR(AVERAGE(FILTER(Inventory!H:H,Inventory!J:J=""Closed"",Inventory!A:A=A861)),"""")"),0.08401471261932035)</f>
        <v>0.08401471262</v>
      </c>
      <c r="E861" s="234">
        <f>IFERROR(__xludf.DUMMYFUNCTION("IFERROR(AVERAGE(FILTER(Inventory!G:G,Inventory!J:J=""Closed"",Inventory!A:A=A861)),""0"")"),0.8099999999999998)</f>
        <v>0.81</v>
      </c>
      <c r="F861" s="235">
        <f>IFERROR(__xludf.DUMMYFUNCTION("IFERROR(SUM(FILTER(Inventory!G:G,Inventory!J:J=""Closed"",Inventory!A:A=A861)),""0"")"),4.049999999999999)</f>
        <v>4.05</v>
      </c>
      <c r="G861" s="235">
        <f>IFERROR(__xludf.DUMMYFUNCTION("IFERROR(AVERAGE(FILTER(Inventory!K:K,Inventory!J:J=""Closed"",Inventory!A:A=A861)),"""")"),68.2)</f>
        <v>68.2</v>
      </c>
      <c r="H861" s="23" t="b">
        <v>0</v>
      </c>
      <c r="I861" s="236"/>
      <c r="J861" s="236">
        <f>MAXIFS(Inventory!D:D, Inventory!A:A, A:A)</f>
        <v>44115</v>
      </c>
      <c r="L861" s="23">
        <f>COUNTIFS(Inventory!A:A,A861,Inventory!J:J,"Open")</f>
        <v>0</v>
      </c>
    </row>
    <row r="862">
      <c r="A862" s="233" t="s">
        <v>2183</v>
      </c>
      <c r="B862" s="23" t="str">
        <f>Publishers!A6</f>
        <v>2K</v>
      </c>
      <c r="C862" s="78">
        <f>COUNTIF(Inventory!A:A, A862)</f>
        <v>1</v>
      </c>
      <c r="D862" s="89">
        <f>IFERROR(__xludf.DUMMYFUNCTION("IFERROR(AVERAGE(FILTER(Inventory!H:H,Inventory!J:J=""Closed"",Inventory!A:A=A862)),"""")"),0.20197044334975361)</f>
        <v>0.2019704433</v>
      </c>
      <c r="E862" s="234">
        <f>IFERROR(__xludf.DUMMYFUNCTION("IFERROR(AVERAGE(FILTER(Inventory!G:G,Inventory!J:J=""Closed"",Inventory!A:A=A862)),""0"")"),1.2299999999999995)</f>
        <v>1.23</v>
      </c>
      <c r="F862" s="235">
        <f>IFERROR(__xludf.DUMMYFUNCTION("IFERROR(SUM(FILTER(Inventory!G:G,Inventory!J:J=""Closed"",Inventory!A:A=A862)),""0"")"),1.2299999999999995)</f>
        <v>1.23</v>
      </c>
      <c r="G862" s="235">
        <f>IFERROR(__xludf.DUMMYFUNCTION("IFERROR(AVERAGE(FILTER(Inventory!K:K,Inventory!J:J=""Closed"",Inventory!A:A=A862)),"""")"),37.0)</f>
        <v>37</v>
      </c>
      <c r="H862" s="23" t="b">
        <v>0</v>
      </c>
      <c r="I862" s="236"/>
      <c r="J862" s="236">
        <f>MAXIFS(Inventory!D:D, Inventory!A:A, A:A)</f>
        <v>44667</v>
      </c>
      <c r="L862" s="23">
        <f>COUNTIFS(Inventory!A:A,A862,Inventory!J:J,"Open")</f>
        <v>0</v>
      </c>
    </row>
    <row r="863">
      <c r="A863" s="237" t="s">
        <v>147</v>
      </c>
      <c r="B863" s="23" t="str">
        <f>Publishers!A222</f>
        <v>SEGA</v>
      </c>
      <c r="C863" s="78">
        <f>COUNTIF(Inventory!A:A, A863)</f>
        <v>1</v>
      </c>
      <c r="D863" s="89">
        <f>IFERROR(__xludf.DUMMYFUNCTION("IFERROR(AVERAGE(FILTER(Inventory!H:H,Inventory!J:J=""Closed"",Inventory!A:A=A863)),"""")"),0.22000000000000003)</f>
        <v>0.22</v>
      </c>
      <c r="E863" s="234">
        <f>IFERROR(__xludf.DUMMYFUNCTION("IFERROR(AVERAGE(FILTER(Inventory!G:G,Inventory!J:J=""Closed"",Inventory!A:A=A863)),""0"")"),1.1)</f>
        <v>1.1</v>
      </c>
      <c r="F863" s="235">
        <f>IFERROR(__xludf.DUMMYFUNCTION("IFERROR(SUM(FILTER(Inventory!G:G,Inventory!J:J=""Closed"",Inventory!A:A=A863)),""0"")"),1.1)</f>
        <v>1.1</v>
      </c>
      <c r="G863" s="235">
        <f>IFERROR(__xludf.DUMMYFUNCTION("IFERROR(AVERAGE(FILTER(Inventory!K:K,Inventory!J:J=""Closed"",Inventory!A:A=A863)),"""")"),8.0)</f>
        <v>8</v>
      </c>
      <c r="H863" s="23" t="b">
        <v>0</v>
      </c>
      <c r="I863" s="236"/>
      <c r="J863" s="236">
        <f>MAXIFS(Inventory!D:D, Inventory!A:A, A:A)</f>
        <v>43988</v>
      </c>
      <c r="L863" s="23">
        <f>COUNTIFS(Inventory!A:A,A863,Inventory!J:J,"Open")</f>
        <v>0</v>
      </c>
    </row>
    <row r="864">
      <c r="A864" s="237" t="s">
        <v>328</v>
      </c>
      <c r="B864" s="23" t="str">
        <f>Publishers!A222</f>
        <v>SEGA</v>
      </c>
      <c r="C864" s="78">
        <f>COUNTIF(Inventory!A:A, A864)</f>
        <v>1</v>
      </c>
      <c r="D864" s="89">
        <f>IFERROR(__xludf.DUMMYFUNCTION("IFERROR(AVERAGE(FILTER(Inventory!H:H,Inventory!J:J=""Closed"",Inventory!A:A=A864)),"""")"),0.08453922315308462)</f>
        <v>0.08453922315</v>
      </c>
      <c r="E864" s="234">
        <f>IFERROR(__xludf.DUMMYFUNCTION("IFERROR(AVERAGE(FILTER(Inventory!G:G,Inventory!J:J=""Closed"",Inventory!A:A=A864)),""0"")"),1.1100000000000012)</f>
        <v>1.11</v>
      </c>
      <c r="F864" s="235">
        <f>IFERROR(__xludf.DUMMYFUNCTION("IFERROR(SUM(FILTER(Inventory!G:G,Inventory!J:J=""Closed"",Inventory!A:A=A864)),""0"")"),1.1100000000000012)</f>
        <v>1.11</v>
      </c>
      <c r="G864" s="235">
        <f>IFERROR(__xludf.DUMMYFUNCTION("IFERROR(AVERAGE(FILTER(Inventory!K:K,Inventory!J:J=""Closed"",Inventory!A:A=A864)),"""")"),19.0)</f>
        <v>19</v>
      </c>
      <c r="H864" s="23" t="b">
        <v>0</v>
      </c>
      <c r="I864" s="236"/>
      <c r="J864" s="236">
        <f>MAXIFS(Inventory!D:D, Inventory!A:A, A:A)</f>
        <v>44044</v>
      </c>
      <c r="L864" s="23">
        <f>COUNTIFS(Inventory!A:A,A864,Inventory!J:J,"Open")</f>
        <v>0</v>
      </c>
    </row>
    <row r="865">
      <c r="A865" s="233" t="s">
        <v>3684</v>
      </c>
      <c r="B865" s="23" t="str">
        <f>Publishers!A222</f>
        <v>SEGA</v>
      </c>
      <c r="C865" s="78">
        <f>COUNTIF(Inventory!A:A, A865)</f>
        <v>1</v>
      </c>
      <c r="D865" s="89">
        <f>IFERROR(__xludf.DUMMYFUNCTION("IFERROR(AVERAGE(FILTER(Inventory!H:H,Inventory!J:J=""Closed"",Inventory!A:A=A865)),"""")"),0.08225108225108235)</f>
        <v>0.08225108225</v>
      </c>
      <c r="E865" s="234">
        <f>IFERROR(__xludf.DUMMYFUNCTION("IFERROR(AVERAGE(FILTER(Inventory!G:G,Inventory!J:J=""Closed"",Inventory!A:A=A865)),""0"")"),1.3300000000000018)</f>
        <v>1.33</v>
      </c>
      <c r="F865" s="235">
        <f>IFERROR(__xludf.DUMMYFUNCTION("IFERROR(SUM(FILTER(Inventory!G:G,Inventory!J:J=""Closed"",Inventory!A:A=A865)),""0"")"),1.3300000000000018)</f>
        <v>1.33</v>
      </c>
      <c r="G865" s="235">
        <f>IFERROR(__xludf.DUMMYFUNCTION("IFERROR(AVERAGE(FILTER(Inventory!K:K,Inventory!J:J=""Closed"",Inventory!A:A=A865)),"""")"),320.0)</f>
        <v>320</v>
      </c>
      <c r="H865" s="23" t="b">
        <v>0</v>
      </c>
      <c r="I865" s="236"/>
      <c r="J865" s="236">
        <f>MAXIFS(Inventory!D:D, Inventory!A:A, A:A)</f>
        <v>45321</v>
      </c>
      <c r="L865" s="23">
        <f>COUNTIFS(Inventory!A:A,A865,Inventory!J:J,"Open")</f>
        <v>0</v>
      </c>
    </row>
    <row r="866">
      <c r="A866" s="237" t="s">
        <v>1056</v>
      </c>
      <c r="B866" s="23" t="str">
        <f>Publishers!A253</f>
        <v>Team17 Digital</v>
      </c>
      <c r="C866" s="78">
        <f>COUNTIF(Inventory!A:A, A866)</f>
        <v>2</v>
      </c>
      <c r="D866" s="89">
        <f>IFERROR(__xludf.DUMMYFUNCTION("IFERROR(AVERAGE(FILTER(Inventory!H:H,Inventory!J:J=""Closed"",Inventory!A:A=A866)),"""")"),1.0)</f>
        <v>1</v>
      </c>
      <c r="E866" s="234">
        <f>IFERROR(__xludf.DUMMYFUNCTION("IFERROR(AVERAGE(FILTER(Inventory!G:G,Inventory!J:J=""Closed"",Inventory!A:A=A866)),""0"")"),0.36)</f>
        <v>0.36</v>
      </c>
      <c r="F866" s="235">
        <f>IFERROR(__xludf.DUMMYFUNCTION("IFERROR(SUM(FILTER(Inventory!G:G,Inventory!J:J=""Closed"",Inventory!A:A=A866)),""0"")"),0.72)</f>
        <v>0.72</v>
      </c>
      <c r="G866" s="235">
        <f>IFERROR(__xludf.DUMMYFUNCTION("IFERROR(AVERAGE(FILTER(Inventory!K:K,Inventory!J:J=""Closed"",Inventory!A:A=A866)),"""")"),140.0)</f>
        <v>140</v>
      </c>
      <c r="H866" s="23" t="b">
        <v>0</v>
      </c>
      <c r="I866" s="236"/>
      <c r="J866" s="236">
        <f>MAXIFS(Inventory!D:D, Inventory!A:A, A:A)</f>
        <v>44446</v>
      </c>
      <c r="L866" s="23">
        <f>COUNTIFS(Inventory!A:A,A866,Inventory!J:J,"Open")</f>
        <v>0</v>
      </c>
    </row>
    <row r="867">
      <c r="A867" s="237" t="s">
        <v>1627</v>
      </c>
      <c r="B867" s="23" t="str">
        <f>Publishers!A176</f>
        <v>NIS America</v>
      </c>
      <c r="C867" s="78">
        <f>COUNTIF(Inventory!A:A, A867)</f>
        <v>1</v>
      </c>
      <c r="D867" s="89">
        <f>IFERROR(__xludf.DUMMYFUNCTION("IFERROR(AVERAGE(FILTER(Inventory!H:H,Inventory!J:J=""Closed"",Inventory!A:A=A867)),"""")"),0.0869)</f>
        <v>0.0869</v>
      </c>
      <c r="E867" s="234">
        <f>IFERROR(__xludf.DUMMYFUNCTION("IFERROR(AVERAGE(FILTER(Inventory!G:G,Inventory!J:J=""Closed"",Inventory!A:A=A867)),""0"")"),0.0)</f>
        <v>0</v>
      </c>
      <c r="F867" s="235">
        <f>IFERROR(__xludf.DUMMYFUNCTION("IFERROR(SUM(FILTER(Inventory!G:G,Inventory!J:J=""Closed"",Inventory!A:A=A867)),""0"")"),0.0)</f>
        <v>0</v>
      </c>
      <c r="G867" s="235">
        <f>IFERROR(__xludf.DUMMYFUNCTION("IFERROR(AVERAGE(FILTER(Inventory!K:K,Inventory!J:J=""Closed"",Inventory!A:A=A867)),"""")"),31.0)</f>
        <v>31</v>
      </c>
      <c r="H867" s="23" t="b">
        <v>0</v>
      </c>
      <c r="I867" s="236"/>
      <c r="J867" s="236">
        <f>MAXIFS(Inventory!D:D, Inventory!A:A, A:A)</f>
        <v>44541</v>
      </c>
      <c r="L867" s="23">
        <f>COUNTIFS(Inventory!A:A,A867,Inventory!J:J,"Open")</f>
        <v>0</v>
      </c>
    </row>
    <row r="868">
      <c r="A868" s="237" t="s">
        <v>1059</v>
      </c>
      <c r="B868" s="23" t="str">
        <f>Publishers!A253</f>
        <v>Team17 Digital</v>
      </c>
      <c r="C868" s="78">
        <f>COUNTIF(Inventory!A:A, A868)</f>
        <v>2</v>
      </c>
      <c r="D868" s="89">
        <f>IFERROR(__xludf.DUMMYFUNCTION("IFERROR(AVERAGE(FILTER(Inventory!H:H,Inventory!J:J=""Closed"",Inventory!A:A=A868)),"""")"),1.0)</f>
        <v>1</v>
      </c>
      <c r="E868" s="234">
        <f>IFERROR(__xludf.DUMMYFUNCTION("IFERROR(AVERAGE(FILTER(Inventory!G:G,Inventory!J:J=""Closed"",Inventory!A:A=A868)),""0"")"),0.29)</f>
        <v>0.29</v>
      </c>
      <c r="F868" s="235">
        <f>IFERROR(__xludf.DUMMYFUNCTION("IFERROR(SUM(FILTER(Inventory!G:G,Inventory!J:J=""Closed"",Inventory!A:A=A868)),""0"")"),0.58)</f>
        <v>0.58</v>
      </c>
      <c r="G868" s="235">
        <f>IFERROR(__xludf.DUMMYFUNCTION("IFERROR(AVERAGE(FILTER(Inventory!K:K,Inventory!J:J=""Closed"",Inventory!A:A=A868)),"""")"),140.0)</f>
        <v>140</v>
      </c>
      <c r="H868" s="23" t="b">
        <v>0</v>
      </c>
      <c r="I868" s="236"/>
      <c r="J868" s="236">
        <f>MAXIFS(Inventory!D:D, Inventory!A:A, A:A)</f>
        <v>44446</v>
      </c>
      <c r="L868" s="23">
        <f>COUNTIFS(Inventory!A:A,A868,Inventory!J:J,"Open")</f>
        <v>0</v>
      </c>
    </row>
    <row r="869">
      <c r="A869" s="237" t="s">
        <v>616</v>
      </c>
      <c r="B869" s="23" t="str">
        <f>Publishers!A201</f>
        <v>Raiser Games</v>
      </c>
      <c r="C869" s="78">
        <f>COUNTIF(Inventory!A:A, A869)</f>
        <v>6</v>
      </c>
      <c r="D869" s="89">
        <f>IFERROR(__xludf.DUMMYFUNCTION("IFERROR(AVERAGE(FILTER(Inventory!H:H,Inventory!J:J=""Closed"",Inventory!A:A=A869)),"""")"),0.28518170232847445)</f>
        <v>0.2851817023</v>
      </c>
      <c r="E869" s="234">
        <f>IFERROR(__xludf.DUMMYFUNCTION("IFERROR(AVERAGE(FILTER(Inventory!G:G,Inventory!J:J=""Closed"",Inventory!A:A=A869)),""0"")"),1.2316666666666665)</f>
        <v>1.231666667</v>
      </c>
      <c r="F869" s="235">
        <f>IFERROR(__xludf.DUMMYFUNCTION("IFERROR(SUM(FILTER(Inventory!G:G,Inventory!J:J=""Closed"",Inventory!A:A=A869)),""0"")"),7.389999999999999)</f>
        <v>7.39</v>
      </c>
      <c r="G869" s="235">
        <f>IFERROR(__xludf.DUMMYFUNCTION("IFERROR(AVERAGE(FILTER(Inventory!K:K,Inventory!J:J=""Closed"",Inventory!A:A=A869)),"""")"),5.333333333333333)</f>
        <v>5.333333333</v>
      </c>
      <c r="H869" s="78" t="b">
        <v>1</v>
      </c>
      <c r="I869" s="236"/>
      <c r="J869" s="236">
        <f>MAXIFS(Inventory!D:D, Inventory!A:A, A:A)</f>
        <v>44124</v>
      </c>
      <c r="L869" s="23">
        <f>COUNTIFS(Inventory!A:A,A869,Inventory!J:J,"Open")</f>
        <v>0</v>
      </c>
    </row>
    <row r="870">
      <c r="A870" s="237" t="s">
        <v>1821</v>
      </c>
      <c r="B870" s="23" t="str">
        <f>Publishers!A201</f>
        <v>Raiser Games</v>
      </c>
      <c r="C870" s="78">
        <f>COUNTIF(Inventory!A:A, A870)</f>
        <v>1</v>
      </c>
      <c r="D870" s="89">
        <f>IFERROR(__xludf.DUMMYFUNCTION("IFERROR(AVERAGE(FILTER(Inventory!H:H,Inventory!J:J=""Closed"",Inventory!A:A=A870)),"""")"),0.1722797927461139)</f>
        <v>0.1722797927</v>
      </c>
      <c r="E870" s="234">
        <f>IFERROR(__xludf.DUMMYFUNCTION("IFERROR(AVERAGE(FILTER(Inventory!G:G,Inventory!J:J=""Closed"",Inventory!A:A=A870)),""0"")"),3.9899999999999984)</f>
        <v>3.99</v>
      </c>
      <c r="F870" s="235">
        <f>IFERROR(__xludf.DUMMYFUNCTION("IFERROR(SUM(FILTER(Inventory!G:G,Inventory!J:J=""Closed"",Inventory!A:A=A870)),""0"")"),3.9899999999999984)</f>
        <v>3.99</v>
      </c>
      <c r="G870" s="235">
        <f>IFERROR(__xludf.DUMMYFUNCTION("IFERROR(AVERAGE(FILTER(Inventory!K:K,Inventory!J:J=""Closed"",Inventory!A:A=A870)),"""")"),45.0)</f>
        <v>45</v>
      </c>
      <c r="H870" s="23" t="b">
        <v>0</v>
      </c>
      <c r="I870" s="236"/>
      <c r="J870" s="236">
        <f>MAXIFS(Inventory!D:D, Inventory!A:A, A:A)</f>
        <v>44607</v>
      </c>
      <c r="L870" s="23">
        <f>COUNTIFS(Inventory!A:A,A870,Inventory!J:J,"Open")</f>
        <v>0</v>
      </c>
    </row>
    <row r="871">
      <c r="A871" s="237" t="s">
        <v>955</v>
      </c>
      <c r="B871" s="23" t="str">
        <f>Publishers!A142</f>
        <v>Konami</v>
      </c>
      <c r="C871" s="78">
        <f>COUNTIF(Inventory!A:A, A871)</f>
        <v>1</v>
      </c>
      <c r="D871" s="89">
        <f>IFERROR(__xludf.DUMMYFUNCTION("IFERROR(AVERAGE(FILTER(Inventory!H:H,Inventory!J:J=""Closed"",Inventory!A:A=A871)),"""")"),0.14792899408284022)</f>
        <v>0.1479289941</v>
      </c>
      <c r="E871" s="234">
        <f>IFERROR(__xludf.DUMMYFUNCTION("IFERROR(AVERAGE(FILTER(Inventory!G:G,Inventory!J:J=""Closed"",Inventory!A:A=A871)),""0"")"),0.75)</f>
        <v>0.75</v>
      </c>
      <c r="F871" s="235">
        <f>IFERROR(__xludf.DUMMYFUNCTION("IFERROR(SUM(FILTER(Inventory!G:G,Inventory!J:J=""Closed"",Inventory!A:A=A871)),""0"")"),0.75)</f>
        <v>0.75</v>
      </c>
      <c r="G871" s="235">
        <f>IFERROR(__xludf.DUMMYFUNCTION("IFERROR(AVERAGE(FILTER(Inventory!K:K,Inventory!J:J=""Closed"",Inventory!A:A=A871)),"""")"),66.0)</f>
        <v>66</v>
      </c>
      <c r="H871" s="23" t="b">
        <v>0</v>
      </c>
      <c r="I871" s="236"/>
      <c r="J871" s="236">
        <f>MAXIFS(Inventory!D:D, Inventory!A:A, A:A)</f>
        <v>44323</v>
      </c>
      <c r="L871" s="23">
        <f>COUNTIFS(Inventory!A:A,A871,Inventory!J:J,"Open")</f>
        <v>0</v>
      </c>
    </row>
    <row r="872">
      <c r="A872" s="237" t="s">
        <v>1018</v>
      </c>
      <c r="B872" s="23" t="str">
        <f>Publishers!A9</f>
        <v>ACE Team</v>
      </c>
      <c r="C872" s="78">
        <f>COUNTIF(Inventory!A:A, A872)</f>
        <v>1</v>
      </c>
      <c r="D872" s="89">
        <f>IFERROR(__xludf.DUMMYFUNCTION("IFERROR(AVERAGE(FILTER(Inventory!H:H,Inventory!J:J=""Closed"",Inventory!A:A=A872)),"""")"),1.0)</f>
        <v>1</v>
      </c>
      <c r="E872" s="234">
        <f>IFERROR(__xludf.DUMMYFUNCTION("IFERROR(AVERAGE(FILTER(Inventory!G:G,Inventory!J:J=""Closed"",Inventory!A:A=A872)),""0"")"),1.56)</f>
        <v>1.56</v>
      </c>
      <c r="F872" s="235">
        <f>IFERROR(__xludf.DUMMYFUNCTION("IFERROR(SUM(FILTER(Inventory!G:G,Inventory!J:J=""Closed"",Inventory!A:A=A872)),""0"")"),1.56)</f>
        <v>1.56</v>
      </c>
      <c r="G872" s="235">
        <f>IFERROR(__xludf.DUMMYFUNCTION("IFERROR(AVERAGE(FILTER(Inventory!K:K,Inventory!J:J=""Closed"",Inventory!A:A=A872)),"""")"),1.0)</f>
        <v>1</v>
      </c>
      <c r="H872" s="23" t="b">
        <v>0</v>
      </c>
      <c r="I872" s="236"/>
      <c r="J872" s="236">
        <f>MAXIFS(Inventory!D:D, Inventory!A:A, A:A)</f>
        <v>44288</v>
      </c>
      <c r="L872" s="23">
        <f>COUNTIFS(Inventory!A:A,A872,Inventory!J:J,"Open")</f>
        <v>0</v>
      </c>
    </row>
    <row r="873">
      <c r="A873" s="237" t="s">
        <v>1913</v>
      </c>
      <c r="B873" s="23" t="str">
        <f>Publishers!A290</f>
        <v>XREAL Games</v>
      </c>
      <c r="C873" s="78">
        <f>COUNTIF(Inventory!A:A, A873)</f>
        <v>26</v>
      </c>
      <c r="D873" s="89">
        <f>IFERROR(__xludf.DUMMYFUNCTION("IFERROR(AVERAGE(FILTER(Inventory!H:H,Inventory!J:J=""Closed"",Inventory!A:A=A873)),"""")"),0.3195376447323205)</f>
        <v>0.3195376447</v>
      </c>
      <c r="E873" s="234">
        <f>IFERROR(__xludf.DUMMYFUNCTION("IFERROR(AVERAGE(FILTER(Inventory!G:G,Inventory!J:J=""Closed"",Inventory!A:A=A873)),""0"")"),1.5203846153846148)</f>
        <v>1.520384615</v>
      </c>
      <c r="F873" s="235">
        <f>IFERROR(__xludf.DUMMYFUNCTION("IFERROR(SUM(FILTER(Inventory!G:G,Inventory!J:J=""Closed"",Inventory!A:A=A873)),""0"")"),39.52999999999999)</f>
        <v>39.53</v>
      </c>
      <c r="G873" s="235">
        <f>IFERROR(__xludf.DUMMYFUNCTION("IFERROR(AVERAGE(FILTER(Inventory!K:K,Inventory!J:J=""Closed"",Inventory!A:A=A873)),"""")"),44.23076923076923)</f>
        <v>44.23076923</v>
      </c>
      <c r="H873" s="78" t="b">
        <v>1</v>
      </c>
      <c r="I873" s="236"/>
      <c r="J873" s="236">
        <f>MAXIFS(Inventory!D:D, Inventory!A:A, A:A)</f>
        <v>46167</v>
      </c>
      <c r="L873" s="23">
        <f>COUNTIFS(Inventory!A:A,A873,Inventory!J:J,"Open")</f>
        <v>0</v>
      </c>
    </row>
    <row r="874">
      <c r="A874" s="237" t="s">
        <v>1622</v>
      </c>
      <c r="B874" s="23" t="str">
        <f>Publishers!A203</f>
        <v>Rebellion</v>
      </c>
      <c r="C874" s="78">
        <f>COUNTIF(Inventory!A:A, A874)</f>
        <v>3</v>
      </c>
      <c r="D874" s="89">
        <f>IFERROR(__xludf.DUMMYFUNCTION("IFERROR(AVERAGE(FILTER(Inventory!H:H,Inventory!J:J=""Closed"",Inventory!A:A=A874)),"""")"),-0.15168473574161248)</f>
        <v>-0.1516847357</v>
      </c>
      <c r="E874" s="234">
        <f>IFERROR(__xludf.DUMMYFUNCTION("IFERROR(AVERAGE(FILTER(Inventory!G:G,Inventory!J:J=""Closed"",Inventory!A:A=A874)),""0"")"),-0.11000000000000032)</f>
        <v>-0.11</v>
      </c>
      <c r="F874" s="235">
        <f>IFERROR(__xludf.DUMMYFUNCTION("IFERROR(SUM(FILTER(Inventory!G:G,Inventory!J:J=""Closed"",Inventory!A:A=A874)),""0"")"),-0.33000000000000096)</f>
        <v>-0.33</v>
      </c>
      <c r="G874" s="235">
        <f>IFERROR(__xludf.DUMMYFUNCTION("IFERROR(AVERAGE(FILTER(Inventory!K:K,Inventory!J:J=""Closed"",Inventory!A:A=A874)),"""")"),263.6666666666667)</f>
        <v>263.6666667</v>
      </c>
      <c r="H874" s="23" t="b">
        <v>0</v>
      </c>
      <c r="I874" s="236"/>
      <c r="J874" s="236">
        <f>MAXIFS(Inventory!D:D, Inventory!A:A, A:A)</f>
        <v>45786</v>
      </c>
      <c r="L874" s="23">
        <f>COUNTIFS(Inventory!A:A,A874,Inventory!J:J,"Open")</f>
        <v>0</v>
      </c>
    </row>
    <row r="875">
      <c r="A875" s="233" t="s">
        <v>2805</v>
      </c>
      <c r="B875" s="23" t="str">
        <f>Publishers!A167</f>
        <v>Nacon</v>
      </c>
      <c r="C875" s="78">
        <f>COUNTIF(Inventory!A:A, A875)</f>
        <v>1</v>
      </c>
      <c r="D875" s="89" t="str">
        <f>IFERROR(__xludf.DUMMYFUNCTION("IFERROR(AVERAGE(FILTER(Inventory!H:H,Inventory!J:J=""Closed"",Inventory!A:A=A875)),"""")"),"")</f>
        <v/>
      </c>
      <c r="E875" s="234" t="str">
        <f>IFERROR(__xludf.DUMMYFUNCTION("IFERROR(AVERAGE(FILTER(Inventory!G:G,Inventory!J:J=""Closed"",Inventory!A:A=A875)),""0"")"),"0")</f>
        <v>0</v>
      </c>
      <c r="F875" s="235" t="str">
        <f>IFERROR(__xludf.DUMMYFUNCTION("IFERROR(SUM(FILTER(Inventory!G:G,Inventory!J:J=""Closed"",Inventory!A:A=A875)),""0"")"),"0")</f>
        <v>0</v>
      </c>
      <c r="G875" s="235" t="str">
        <f>IFERROR(__xludf.DUMMYFUNCTION("IFERROR(AVERAGE(FILTER(Inventory!K:K,Inventory!J:J=""Closed"",Inventory!A:A=A875)),"""")"),"")</f>
        <v/>
      </c>
      <c r="H875" s="23" t="b">
        <v>0</v>
      </c>
      <c r="I875" s="236"/>
      <c r="J875" s="236">
        <f>MAXIFS(Inventory!D:D, Inventory!A:A, A:A)</f>
        <v>0</v>
      </c>
      <c r="L875" s="23">
        <f>COUNTIFS(Inventory!A:A,A875,Inventory!J:J,"Open")</f>
        <v>1</v>
      </c>
    </row>
    <row r="876">
      <c r="A876" s="237"/>
      <c r="E876" s="234"/>
    </row>
    <row r="877">
      <c r="A877" s="237"/>
      <c r="E877" s="234"/>
    </row>
    <row r="878">
      <c r="A878" s="237"/>
      <c r="E878" s="234"/>
    </row>
    <row r="879">
      <c r="A879" s="237"/>
      <c r="E879" s="234"/>
    </row>
    <row r="880">
      <c r="A880" s="237"/>
      <c r="E880" s="234"/>
    </row>
    <row r="881">
      <c r="A881" s="237"/>
      <c r="E881" s="234"/>
    </row>
    <row r="882">
      <c r="A882" s="237"/>
      <c r="E882" s="234"/>
    </row>
    <row r="883">
      <c r="A883" s="237"/>
      <c r="E883" s="234"/>
    </row>
    <row r="884">
      <c r="A884" s="237"/>
      <c r="E884" s="234"/>
    </row>
    <row r="885">
      <c r="A885" s="237"/>
      <c r="E885" s="234"/>
    </row>
    <row r="886">
      <c r="A886" s="237"/>
      <c r="E886" s="234"/>
    </row>
    <row r="887">
      <c r="A887" s="237"/>
      <c r="E887" s="234"/>
    </row>
    <row r="888">
      <c r="A888" s="237"/>
      <c r="E888" s="234"/>
    </row>
    <row r="889">
      <c r="A889" s="237"/>
      <c r="E889" s="234"/>
    </row>
    <row r="890">
      <c r="A890" s="237"/>
      <c r="E890" s="234"/>
    </row>
    <row r="891">
      <c r="A891" s="237"/>
      <c r="E891" s="234"/>
    </row>
    <row r="892">
      <c r="A892" s="237"/>
      <c r="E892" s="234"/>
    </row>
    <row r="893">
      <c r="A893" s="237"/>
      <c r="E893" s="234"/>
    </row>
    <row r="894">
      <c r="A894" s="237"/>
      <c r="E894" s="234"/>
    </row>
    <row r="895">
      <c r="A895" s="237"/>
      <c r="E895" s="234"/>
    </row>
    <row r="896">
      <c r="A896" s="237"/>
      <c r="E896" s="234"/>
    </row>
    <row r="897">
      <c r="A897" s="237"/>
      <c r="E897" s="234"/>
    </row>
    <row r="898">
      <c r="A898" s="237"/>
      <c r="E898" s="234"/>
    </row>
    <row r="899">
      <c r="A899" s="237"/>
      <c r="E899" s="234"/>
    </row>
    <row r="900">
      <c r="A900" s="237"/>
      <c r="E900" s="234"/>
    </row>
    <row r="901">
      <c r="A901" s="237"/>
      <c r="E901" s="234"/>
    </row>
    <row r="902">
      <c r="A902" s="237"/>
      <c r="E902" s="234"/>
    </row>
    <row r="903">
      <c r="A903" s="237"/>
      <c r="E903" s="234"/>
    </row>
    <row r="904">
      <c r="A904" s="237"/>
      <c r="E904" s="234"/>
    </row>
    <row r="905">
      <c r="A905" s="237"/>
      <c r="E905" s="234"/>
    </row>
    <row r="906">
      <c r="A906" s="237"/>
      <c r="E906" s="234"/>
    </row>
    <row r="907">
      <c r="A907" s="237"/>
      <c r="E907" s="234"/>
    </row>
    <row r="908">
      <c r="A908" s="237"/>
      <c r="E908" s="234"/>
    </row>
    <row r="909">
      <c r="A909" s="237"/>
      <c r="E909" s="234"/>
    </row>
    <row r="910">
      <c r="A910" s="237"/>
      <c r="E910" s="234"/>
    </row>
    <row r="911">
      <c r="A911" s="237"/>
      <c r="E911" s="234"/>
    </row>
    <row r="912">
      <c r="A912" s="237"/>
      <c r="E912" s="234"/>
    </row>
    <row r="913">
      <c r="A913" s="237"/>
      <c r="E913" s="234"/>
    </row>
    <row r="914">
      <c r="A914" s="237"/>
      <c r="E914" s="234"/>
    </row>
    <row r="915">
      <c r="A915" s="237"/>
      <c r="E915" s="234"/>
    </row>
    <row r="916">
      <c r="A916" s="237"/>
      <c r="E916" s="234"/>
    </row>
    <row r="917">
      <c r="A917" s="237"/>
      <c r="E917" s="234"/>
    </row>
    <row r="918">
      <c r="A918" s="237"/>
      <c r="E918" s="234"/>
    </row>
    <row r="919">
      <c r="A919" s="237"/>
      <c r="E919" s="234"/>
    </row>
    <row r="920">
      <c r="A920" s="237"/>
      <c r="E920" s="234"/>
    </row>
    <row r="921">
      <c r="A921" s="237"/>
      <c r="E921" s="234"/>
    </row>
    <row r="922">
      <c r="A922" s="237"/>
      <c r="E922" s="234"/>
    </row>
    <row r="923">
      <c r="A923" s="237"/>
      <c r="E923" s="234"/>
    </row>
    <row r="924">
      <c r="A924" s="237"/>
      <c r="E924" s="234"/>
    </row>
    <row r="925">
      <c r="A925" s="237"/>
      <c r="E925" s="234"/>
    </row>
    <row r="926">
      <c r="A926" s="237"/>
      <c r="E926" s="234"/>
    </row>
    <row r="927">
      <c r="A927" s="237"/>
      <c r="E927" s="234"/>
    </row>
    <row r="928">
      <c r="A928" s="237"/>
      <c r="E928" s="234"/>
    </row>
    <row r="929">
      <c r="A929" s="237"/>
      <c r="E929" s="234"/>
    </row>
    <row r="930">
      <c r="A930" s="237"/>
      <c r="E930" s="234"/>
    </row>
    <row r="931">
      <c r="A931" s="237"/>
      <c r="E931" s="234"/>
    </row>
    <row r="932">
      <c r="A932" s="237"/>
      <c r="E932" s="234"/>
    </row>
    <row r="933">
      <c r="A933" s="237"/>
      <c r="E933" s="234"/>
    </row>
    <row r="934">
      <c r="A934" s="237"/>
      <c r="E934" s="234"/>
    </row>
    <row r="935">
      <c r="A935" s="237"/>
      <c r="E935" s="234"/>
    </row>
    <row r="936">
      <c r="A936" s="237"/>
      <c r="E936" s="234"/>
    </row>
    <row r="937">
      <c r="A937" s="237"/>
      <c r="E937" s="234"/>
    </row>
    <row r="938">
      <c r="A938" s="237"/>
      <c r="E938" s="234"/>
    </row>
    <row r="939">
      <c r="A939" s="237"/>
      <c r="E939" s="234"/>
    </row>
    <row r="940">
      <c r="A940" s="237"/>
      <c r="E940" s="234"/>
    </row>
    <row r="941">
      <c r="A941" s="237"/>
      <c r="E941" s="234"/>
    </row>
    <row r="942">
      <c r="A942" s="237"/>
      <c r="E942" s="234"/>
    </row>
    <row r="943">
      <c r="A943" s="237"/>
      <c r="E943" s="234"/>
    </row>
    <row r="944">
      <c r="A944" s="237"/>
      <c r="E944" s="234"/>
    </row>
    <row r="945">
      <c r="A945" s="237"/>
      <c r="E945" s="234"/>
    </row>
    <row r="946">
      <c r="A946" s="237"/>
      <c r="E946" s="234"/>
    </row>
    <row r="947">
      <c r="A947" s="237"/>
      <c r="E947" s="234"/>
    </row>
    <row r="948">
      <c r="A948" s="237"/>
      <c r="E948" s="234"/>
    </row>
    <row r="949">
      <c r="A949" s="237"/>
      <c r="E949" s="234"/>
    </row>
    <row r="950">
      <c r="A950" s="237"/>
      <c r="E950" s="234"/>
    </row>
    <row r="951">
      <c r="A951" s="237"/>
      <c r="E951" s="234"/>
    </row>
    <row r="952">
      <c r="A952" s="237"/>
      <c r="E952" s="234"/>
    </row>
    <row r="953">
      <c r="A953" s="237"/>
      <c r="E953" s="234"/>
    </row>
    <row r="954">
      <c r="A954" s="237"/>
      <c r="E954" s="234"/>
    </row>
    <row r="955">
      <c r="A955" s="237"/>
      <c r="E955" s="234"/>
    </row>
    <row r="956">
      <c r="A956" s="237"/>
      <c r="E956" s="234"/>
    </row>
    <row r="957">
      <c r="A957" s="237"/>
      <c r="E957" s="234"/>
    </row>
    <row r="958">
      <c r="A958" s="237"/>
      <c r="E958" s="234"/>
    </row>
    <row r="959">
      <c r="A959" s="237"/>
      <c r="E959" s="234"/>
    </row>
    <row r="960">
      <c r="A960" s="237"/>
      <c r="E960" s="234"/>
    </row>
    <row r="961">
      <c r="A961" s="237"/>
      <c r="E961" s="234"/>
    </row>
    <row r="962">
      <c r="A962" s="237"/>
      <c r="E962" s="234"/>
    </row>
    <row r="963">
      <c r="A963" s="237"/>
      <c r="E963" s="234"/>
    </row>
    <row r="964">
      <c r="A964" s="237"/>
      <c r="E964" s="234"/>
    </row>
    <row r="965">
      <c r="A965" s="237"/>
      <c r="E965" s="234"/>
    </row>
    <row r="966">
      <c r="A966" s="237"/>
      <c r="E966" s="234"/>
    </row>
    <row r="967">
      <c r="A967" s="237"/>
      <c r="E967" s="234"/>
    </row>
    <row r="968">
      <c r="A968" s="237"/>
      <c r="E968" s="234"/>
    </row>
    <row r="969">
      <c r="A969" s="237"/>
      <c r="E969" s="234"/>
    </row>
    <row r="970">
      <c r="A970" s="237"/>
      <c r="E970" s="234"/>
    </row>
    <row r="971">
      <c r="A971" s="237"/>
      <c r="E971" s="234"/>
    </row>
    <row r="972">
      <c r="A972" s="237"/>
      <c r="E972" s="234"/>
    </row>
    <row r="973">
      <c r="A973" s="237"/>
      <c r="E973" s="234"/>
    </row>
    <row r="974">
      <c r="A974" s="237"/>
      <c r="E974" s="234"/>
    </row>
    <row r="975">
      <c r="A975" s="237"/>
      <c r="E975" s="234"/>
    </row>
    <row r="976">
      <c r="A976" s="237"/>
      <c r="E976" s="234"/>
    </row>
    <row r="977">
      <c r="A977" s="237"/>
      <c r="E977" s="234"/>
    </row>
    <row r="978">
      <c r="A978" s="237"/>
      <c r="E978" s="234"/>
    </row>
    <row r="979">
      <c r="A979" s="237"/>
      <c r="E979" s="234"/>
    </row>
    <row r="980">
      <c r="A980" s="237"/>
      <c r="E980" s="234"/>
    </row>
    <row r="981">
      <c r="A981" s="237"/>
      <c r="E981" s="234"/>
    </row>
    <row r="982">
      <c r="A982" s="237"/>
      <c r="E982" s="234"/>
    </row>
    <row r="983">
      <c r="A983" s="237"/>
      <c r="E983" s="234"/>
    </row>
    <row r="984">
      <c r="A984" s="237"/>
      <c r="E984" s="234"/>
    </row>
    <row r="985">
      <c r="A985" s="237"/>
      <c r="E985" s="234"/>
    </row>
    <row r="986">
      <c r="A986" s="237"/>
      <c r="E986" s="234"/>
    </row>
    <row r="987">
      <c r="A987" s="237"/>
      <c r="E987" s="234"/>
    </row>
    <row r="988">
      <c r="A988" s="237"/>
      <c r="E988" s="234"/>
    </row>
    <row r="989">
      <c r="A989" s="237"/>
      <c r="E989" s="234"/>
    </row>
    <row r="990">
      <c r="A990" s="237"/>
      <c r="E990" s="234"/>
    </row>
    <row r="991">
      <c r="A991" s="237"/>
      <c r="E991" s="234"/>
    </row>
    <row r="992">
      <c r="A992" s="237"/>
      <c r="E992" s="234"/>
    </row>
    <row r="993">
      <c r="A993" s="237"/>
      <c r="E993" s="234"/>
    </row>
    <row r="994">
      <c r="A994" s="237"/>
      <c r="E994" s="234"/>
    </row>
    <row r="995">
      <c r="A995" s="237"/>
      <c r="E995" s="234"/>
    </row>
    <row r="996">
      <c r="A996" s="237"/>
      <c r="E996" s="234"/>
    </row>
    <row r="997">
      <c r="A997" s="237"/>
      <c r="E997" s="234"/>
    </row>
    <row r="998">
      <c r="A998" s="237"/>
      <c r="E998" s="234"/>
    </row>
    <row r="999">
      <c r="A999" s="237"/>
      <c r="E999" s="234"/>
    </row>
    <row r="1000">
      <c r="A1000" s="237"/>
      <c r="E1000" s="234"/>
    </row>
    <row r="1001">
      <c r="A1001" s="237"/>
      <c r="E1001" s="234"/>
    </row>
    <row r="1002">
      <c r="A1002" s="237"/>
      <c r="E1002" s="234"/>
    </row>
    <row r="1003">
      <c r="A1003" s="237"/>
      <c r="E1003" s="234"/>
    </row>
    <row r="1004">
      <c r="A1004" s="237"/>
      <c r="E1004" s="234"/>
    </row>
    <row r="1005">
      <c r="A1005" s="237"/>
      <c r="E1005" s="234"/>
    </row>
    <row r="1006">
      <c r="A1006" s="237"/>
      <c r="E1006" s="234"/>
    </row>
    <row r="1007">
      <c r="A1007" s="237"/>
      <c r="E1007" s="234"/>
    </row>
    <row r="1008">
      <c r="A1008" s="237"/>
      <c r="E1008" s="234"/>
    </row>
    <row r="1009">
      <c r="A1009" s="237"/>
      <c r="E1009" s="234"/>
    </row>
    <row r="1010">
      <c r="A1010" s="237"/>
      <c r="E1010" s="234"/>
    </row>
    <row r="1011">
      <c r="A1011" s="237"/>
      <c r="E1011" s="234"/>
    </row>
    <row r="1012">
      <c r="A1012" s="237"/>
      <c r="E1012" s="234"/>
    </row>
    <row r="1013">
      <c r="A1013" s="237"/>
      <c r="E1013" s="234"/>
    </row>
    <row r="1014">
      <c r="A1014" s="237"/>
      <c r="E1014" s="234"/>
    </row>
    <row r="1015">
      <c r="A1015" s="237"/>
      <c r="E1015" s="234"/>
    </row>
    <row r="1016">
      <c r="A1016" s="237"/>
      <c r="E1016" s="234"/>
    </row>
    <row r="1017">
      <c r="A1017" s="237"/>
      <c r="E1017" s="234"/>
    </row>
    <row r="1018">
      <c r="A1018" s="237"/>
      <c r="E1018" s="234"/>
    </row>
    <row r="1019">
      <c r="A1019" s="237"/>
      <c r="E1019" s="234"/>
    </row>
    <row r="1020">
      <c r="A1020" s="237"/>
      <c r="E1020" s="234"/>
    </row>
    <row r="1021">
      <c r="A1021" s="237"/>
      <c r="E1021" s="234"/>
    </row>
    <row r="1022">
      <c r="A1022" s="237"/>
      <c r="E1022" s="234"/>
    </row>
    <row r="1023">
      <c r="A1023" s="237"/>
      <c r="E1023" s="234"/>
    </row>
    <row r="1024">
      <c r="A1024" s="237"/>
      <c r="E1024" s="234"/>
    </row>
    <row r="1025">
      <c r="A1025" s="237"/>
      <c r="E1025" s="234"/>
    </row>
    <row r="1026">
      <c r="A1026" s="237"/>
      <c r="E1026" s="234"/>
    </row>
    <row r="1027">
      <c r="A1027" s="237"/>
      <c r="E1027" s="234"/>
    </row>
    <row r="1028">
      <c r="A1028" s="237"/>
      <c r="E1028" s="234"/>
    </row>
    <row r="1029">
      <c r="A1029" s="237"/>
      <c r="E1029" s="234"/>
    </row>
    <row r="1030">
      <c r="A1030" s="237"/>
      <c r="E1030" s="234"/>
    </row>
    <row r="1031">
      <c r="A1031" s="237"/>
      <c r="E1031" s="234"/>
    </row>
    <row r="1032">
      <c r="A1032" s="237"/>
      <c r="E1032" s="234"/>
    </row>
    <row r="1033">
      <c r="A1033" s="237"/>
      <c r="E1033" s="234"/>
    </row>
    <row r="1034">
      <c r="A1034" s="237"/>
      <c r="E1034" s="234"/>
    </row>
    <row r="1035">
      <c r="A1035" s="237"/>
      <c r="E1035" s="234"/>
    </row>
    <row r="1036">
      <c r="A1036" s="237"/>
      <c r="E1036" s="234"/>
    </row>
    <row r="1037">
      <c r="A1037" s="237"/>
      <c r="E1037" s="234"/>
    </row>
    <row r="1038">
      <c r="A1038" s="237"/>
      <c r="E1038" s="234"/>
    </row>
    <row r="1039">
      <c r="A1039" s="237"/>
      <c r="E1039" s="234"/>
    </row>
    <row r="1040">
      <c r="A1040" s="237"/>
      <c r="E1040" s="234"/>
    </row>
    <row r="1041">
      <c r="A1041" s="237"/>
      <c r="E1041" s="234"/>
    </row>
    <row r="1042">
      <c r="A1042" s="237"/>
      <c r="E1042" s="234"/>
    </row>
    <row r="1043">
      <c r="A1043" s="237"/>
      <c r="E1043" s="234"/>
    </row>
    <row r="1044">
      <c r="A1044" s="237"/>
      <c r="E1044" s="234"/>
    </row>
    <row r="1045">
      <c r="A1045" s="237"/>
      <c r="E1045" s="234"/>
    </row>
    <row r="1046">
      <c r="A1046" s="237"/>
      <c r="E1046" s="234"/>
    </row>
    <row r="1047">
      <c r="A1047" s="237"/>
      <c r="E1047" s="234"/>
    </row>
    <row r="1048">
      <c r="A1048" s="237"/>
      <c r="E1048" s="234"/>
    </row>
    <row r="1049">
      <c r="A1049" s="237"/>
      <c r="E1049" s="234"/>
    </row>
    <row r="1050">
      <c r="A1050" s="237"/>
      <c r="E1050" s="234"/>
    </row>
    <row r="1051">
      <c r="A1051" s="237"/>
      <c r="E1051" s="234"/>
    </row>
    <row r="1052">
      <c r="A1052" s="237"/>
      <c r="E1052" s="234"/>
    </row>
    <row r="1053">
      <c r="A1053" s="237"/>
      <c r="E1053" s="234"/>
    </row>
    <row r="1054">
      <c r="A1054" s="237"/>
      <c r="E1054" s="234"/>
    </row>
    <row r="1055">
      <c r="A1055" s="237"/>
      <c r="E1055" s="234"/>
    </row>
    <row r="1056">
      <c r="A1056" s="237"/>
      <c r="E1056" s="234"/>
    </row>
    <row r="1057">
      <c r="A1057" s="237"/>
      <c r="E1057" s="234"/>
    </row>
    <row r="1058">
      <c r="A1058" s="237"/>
      <c r="E1058" s="234"/>
    </row>
    <row r="1059">
      <c r="A1059" s="237"/>
      <c r="E1059" s="234"/>
    </row>
    <row r="1060">
      <c r="A1060" s="237"/>
      <c r="E1060" s="234"/>
    </row>
    <row r="1061">
      <c r="A1061" s="237"/>
      <c r="E1061" s="234"/>
    </row>
    <row r="1062">
      <c r="A1062" s="237"/>
      <c r="E1062" s="234"/>
    </row>
    <row r="1063">
      <c r="A1063" s="237"/>
      <c r="E1063" s="234"/>
    </row>
    <row r="1064">
      <c r="A1064" s="237"/>
      <c r="E1064" s="234"/>
    </row>
    <row r="1065">
      <c r="A1065" s="237"/>
      <c r="E1065" s="234"/>
    </row>
    <row r="1066">
      <c r="A1066" s="237"/>
      <c r="E1066" s="234"/>
    </row>
    <row r="1067">
      <c r="A1067" s="237"/>
      <c r="E1067" s="234"/>
    </row>
    <row r="1068">
      <c r="A1068" s="237"/>
      <c r="E1068" s="234"/>
    </row>
    <row r="1069">
      <c r="A1069" s="237"/>
      <c r="E1069" s="234"/>
    </row>
    <row r="1070">
      <c r="A1070" s="237"/>
      <c r="E1070" s="234"/>
    </row>
    <row r="1071">
      <c r="A1071" s="237"/>
      <c r="E1071" s="234"/>
    </row>
    <row r="1072">
      <c r="A1072" s="237"/>
      <c r="E1072" s="234"/>
    </row>
    <row r="1073">
      <c r="A1073" s="237"/>
      <c r="E1073" s="234"/>
    </row>
    <row r="1074">
      <c r="A1074" s="237"/>
      <c r="E1074" s="234"/>
    </row>
    <row r="1075">
      <c r="A1075" s="237"/>
      <c r="E1075" s="234"/>
    </row>
    <row r="1076">
      <c r="A1076" s="237"/>
      <c r="E1076" s="234"/>
    </row>
    <row r="1077">
      <c r="A1077" s="237"/>
      <c r="E1077" s="234"/>
    </row>
    <row r="1078">
      <c r="A1078" s="237"/>
      <c r="E1078" s="234"/>
    </row>
    <row r="1079">
      <c r="A1079" s="237"/>
      <c r="E1079" s="234"/>
    </row>
    <row r="1080">
      <c r="A1080" s="237"/>
      <c r="E1080" s="234"/>
    </row>
    <row r="1081">
      <c r="A1081" s="237"/>
      <c r="E1081" s="234"/>
    </row>
    <row r="1082">
      <c r="A1082" s="237"/>
      <c r="E1082" s="234"/>
    </row>
    <row r="1083">
      <c r="A1083" s="237"/>
      <c r="E1083" s="234"/>
    </row>
    <row r="1084">
      <c r="A1084" s="237"/>
      <c r="E1084" s="234"/>
    </row>
    <row r="1085">
      <c r="A1085" s="237"/>
      <c r="E1085" s="234"/>
    </row>
    <row r="1086">
      <c r="A1086" s="237"/>
      <c r="E1086" s="234"/>
    </row>
    <row r="1087">
      <c r="A1087" s="237"/>
      <c r="E1087" s="234"/>
    </row>
    <row r="1088">
      <c r="A1088" s="237"/>
      <c r="E1088" s="234"/>
    </row>
    <row r="1089">
      <c r="A1089" s="237"/>
      <c r="E1089" s="234"/>
    </row>
    <row r="1090">
      <c r="A1090" s="237"/>
      <c r="E1090" s="234"/>
    </row>
    <row r="1091">
      <c r="A1091" s="237"/>
      <c r="E1091" s="234"/>
    </row>
    <row r="1092">
      <c r="A1092" s="237"/>
      <c r="E1092" s="234"/>
    </row>
    <row r="1093">
      <c r="A1093" s="237"/>
      <c r="E1093" s="234"/>
    </row>
    <row r="1094">
      <c r="A1094" s="237"/>
      <c r="E1094" s="234"/>
    </row>
    <row r="1095">
      <c r="A1095" s="237"/>
      <c r="E1095" s="234"/>
    </row>
    <row r="1096">
      <c r="A1096" s="237"/>
      <c r="E1096" s="234"/>
    </row>
    <row r="1097">
      <c r="A1097" s="237"/>
      <c r="E1097" s="234"/>
    </row>
    <row r="1098">
      <c r="A1098" s="237"/>
      <c r="E1098" s="234"/>
    </row>
    <row r="1099">
      <c r="A1099" s="237"/>
      <c r="E1099" s="234"/>
    </row>
    <row r="1100">
      <c r="A1100" s="237"/>
      <c r="E1100" s="234"/>
    </row>
    <row r="1101">
      <c r="A1101" s="237"/>
      <c r="E1101" s="234"/>
    </row>
    <row r="1102">
      <c r="A1102" s="237"/>
      <c r="E1102" s="234"/>
    </row>
    <row r="1103">
      <c r="A1103" s="237"/>
      <c r="E1103" s="234"/>
    </row>
    <row r="1104">
      <c r="A1104" s="237"/>
      <c r="E1104" s="234"/>
    </row>
    <row r="1105">
      <c r="A1105" s="237"/>
      <c r="E1105" s="234"/>
    </row>
    <row r="1106">
      <c r="A1106" s="237"/>
      <c r="E1106" s="234"/>
    </row>
    <row r="1107">
      <c r="A1107" s="237"/>
      <c r="E1107" s="234"/>
    </row>
    <row r="1108">
      <c r="A1108" s="237"/>
      <c r="E1108" s="234"/>
    </row>
    <row r="1109">
      <c r="A1109" s="237"/>
      <c r="E1109" s="234"/>
    </row>
    <row r="1110">
      <c r="A1110" s="237"/>
      <c r="E1110" s="234"/>
    </row>
    <row r="1111">
      <c r="A1111" s="237"/>
      <c r="E1111" s="234"/>
    </row>
    <row r="1112">
      <c r="A1112" s="237"/>
      <c r="E1112" s="234"/>
    </row>
    <row r="1113">
      <c r="A1113" s="237"/>
      <c r="E1113" s="234"/>
    </row>
    <row r="1114">
      <c r="A1114" s="237"/>
      <c r="E1114" s="234"/>
    </row>
    <row r="1115">
      <c r="A1115" s="237"/>
      <c r="E1115" s="234"/>
    </row>
    <row r="1116">
      <c r="A1116" s="237"/>
      <c r="E1116" s="234"/>
    </row>
    <row r="1117">
      <c r="A1117" s="237"/>
      <c r="E1117" s="234"/>
    </row>
    <row r="1118">
      <c r="A1118" s="237"/>
      <c r="E1118" s="234"/>
    </row>
    <row r="1119">
      <c r="A1119" s="237"/>
      <c r="E1119" s="234"/>
    </row>
    <row r="1120">
      <c r="A1120" s="237"/>
      <c r="E1120" s="234"/>
    </row>
    <row r="1121">
      <c r="A1121" s="237"/>
      <c r="E1121" s="234"/>
    </row>
    <row r="1122">
      <c r="A1122" s="237"/>
      <c r="E1122" s="234"/>
    </row>
    <row r="1123">
      <c r="A1123" s="237"/>
      <c r="E1123" s="234"/>
    </row>
    <row r="1124">
      <c r="A1124" s="237"/>
      <c r="E1124" s="234"/>
    </row>
    <row r="1125">
      <c r="A1125" s="237"/>
      <c r="E1125" s="234"/>
    </row>
    <row r="1126">
      <c r="A1126" s="237"/>
      <c r="E1126" s="234"/>
    </row>
    <row r="1127">
      <c r="A1127" s="237"/>
      <c r="E1127" s="234"/>
    </row>
    <row r="1128">
      <c r="A1128" s="237"/>
      <c r="E1128" s="234"/>
    </row>
    <row r="1129">
      <c r="A1129" s="237"/>
      <c r="E1129" s="234"/>
    </row>
    <row r="1130">
      <c r="A1130" s="237"/>
      <c r="E1130" s="234"/>
    </row>
    <row r="1131">
      <c r="A1131" s="237"/>
      <c r="E1131" s="234"/>
    </row>
    <row r="1132">
      <c r="A1132" s="237"/>
      <c r="E1132" s="234"/>
    </row>
    <row r="1133">
      <c r="A1133" s="237"/>
      <c r="E1133" s="234"/>
    </row>
    <row r="1134">
      <c r="A1134" s="237"/>
      <c r="E1134" s="234"/>
    </row>
    <row r="1135">
      <c r="A1135" s="237"/>
      <c r="E1135" s="234"/>
    </row>
    <row r="1136">
      <c r="A1136" s="237"/>
      <c r="E1136" s="234"/>
    </row>
    <row r="1137">
      <c r="A1137" s="237"/>
      <c r="E1137" s="234"/>
    </row>
    <row r="1138">
      <c r="A1138" s="237"/>
      <c r="E1138" s="234"/>
    </row>
    <row r="1139">
      <c r="A1139" s="237"/>
      <c r="E1139" s="234"/>
    </row>
    <row r="1140">
      <c r="A1140" s="237"/>
      <c r="E1140" s="234"/>
    </row>
    <row r="1141">
      <c r="A1141" s="237"/>
      <c r="E1141" s="234"/>
    </row>
    <row r="1142">
      <c r="A1142" s="237"/>
      <c r="E1142" s="234"/>
    </row>
    <row r="1143">
      <c r="A1143" s="237"/>
      <c r="E1143" s="234"/>
    </row>
    <row r="1144">
      <c r="A1144" s="237"/>
      <c r="E1144" s="234"/>
    </row>
    <row r="1145">
      <c r="A1145" s="237"/>
      <c r="E1145" s="234"/>
    </row>
    <row r="1146">
      <c r="A1146" s="237"/>
      <c r="E1146" s="234"/>
    </row>
    <row r="1147">
      <c r="A1147" s="237"/>
      <c r="E1147" s="234"/>
    </row>
    <row r="1148">
      <c r="A1148" s="237"/>
      <c r="E1148" s="234"/>
    </row>
    <row r="1149">
      <c r="A1149" s="237"/>
      <c r="E1149" s="234"/>
    </row>
    <row r="1150">
      <c r="A1150" s="237"/>
      <c r="E1150" s="234"/>
    </row>
    <row r="1151">
      <c r="A1151" s="237"/>
      <c r="E1151" s="234"/>
    </row>
    <row r="1152">
      <c r="A1152" s="237"/>
      <c r="E1152" s="234"/>
    </row>
    <row r="1153">
      <c r="A1153" s="237"/>
      <c r="E1153" s="234"/>
    </row>
    <row r="1154">
      <c r="A1154" s="237"/>
      <c r="E1154" s="234"/>
    </row>
    <row r="1155">
      <c r="A1155" s="237"/>
      <c r="E1155" s="234"/>
    </row>
    <row r="1156">
      <c r="A1156" s="237"/>
      <c r="E1156" s="234"/>
    </row>
    <row r="1157">
      <c r="A1157" s="237"/>
      <c r="E1157" s="234"/>
    </row>
    <row r="1158">
      <c r="A1158" s="237"/>
      <c r="E1158" s="234"/>
    </row>
    <row r="1159">
      <c r="A1159" s="237"/>
      <c r="E1159" s="234"/>
    </row>
    <row r="1160">
      <c r="A1160" s="237"/>
      <c r="E1160" s="234"/>
    </row>
    <row r="1161">
      <c r="A1161" s="237"/>
      <c r="E1161" s="234"/>
    </row>
    <row r="1162">
      <c r="A1162" s="237"/>
      <c r="E1162" s="234"/>
    </row>
    <row r="1163">
      <c r="A1163" s="237"/>
      <c r="E1163" s="234"/>
    </row>
    <row r="1164">
      <c r="A1164" s="237"/>
      <c r="E1164" s="234"/>
    </row>
    <row r="1165">
      <c r="A1165" s="237"/>
      <c r="E1165" s="234"/>
    </row>
    <row r="1166">
      <c r="A1166" s="237"/>
      <c r="E1166" s="234"/>
    </row>
    <row r="1167">
      <c r="A1167" s="237"/>
      <c r="E1167" s="234"/>
    </row>
    <row r="1168">
      <c r="A1168" s="237"/>
      <c r="E1168" s="234"/>
    </row>
    <row r="1169">
      <c r="A1169" s="237"/>
      <c r="E1169" s="234"/>
    </row>
    <row r="1170">
      <c r="A1170" s="237"/>
      <c r="E1170" s="234"/>
    </row>
    <row r="1171">
      <c r="A1171" s="237"/>
      <c r="E1171" s="234"/>
    </row>
    <row r="1172">
      <c r="A1172" s="237"/>
      <c r="E1172" s="234"/>
    </row>
    <row r="1173">
      <c r="A1173" s="237"/>
      <c r="E1173" s="234"/>
    </row>
    <row r="1174">
      <c r="A1174" s="237"/>
      <c r="E1174" s="234"/>
    </row>
    <row r="1175">
      <c r="A1175" s="237"/>
      <c r="E1175" s="234"/>
    </row>
    <row r="1176">
      <c r="A1176" s="237"/>
      <c r="E1176" s="234"/>
    </row>
    <row r="1177">
      <c r="A1177" s="237"/>
      <c r="E1177" s="234"/>
    </row>
    <row r="1178">
      <c r="A1178" s="237"/>
      <c r="E1178" s="234"/>
    </row>
    <row r="1179">
      <c r="A1179" s="237"/>
      <c r="E1179" s="234"/>
    </row>
    <row r="1180">
      <c r="A1180" s="237"/>
      <c r="E1180" s="234"/>
    </row>
    <row r="1181">
      <c r="A1181" s="237"/>
      <c r="E1181" s="234"/>
    </row>
    <row r="1182">
      <c r="A1182" s="237"/>
      <c r="E1182" s="234"/>
    </row>
    <row r="1183">
      <c r="A1183" s="237"/>
      <c r="E1183" s="234"/>
    </row>
    <row r="1184">
      <c r="A1184" s="237"/>
      <c r="E1184" s="234"/>
    </row>
    <row r="1185">
      <c r="A1185" s="237"/>
      <c r="E1185" s="234"/>
    </row>
    <row r="1186">
      <c r="A1186" s="237"/>
      <c r="E1186" s="234"/>
    </row>
    <row r="1187">
      <c r="A1187" s="237"/>
      <c r="E1187" s="234"/>
    </row>
    <row r="1188">
      <c r="A1188" s="237"/>
      <c r="E1188" s="234"/>
    </row>
    <row r="1189">
      <c r="A1189" s="237"/>
      <c r="E1189" s="234"/>
    </row>
    <row r="1190">
      <c r="A1190" s="237"/>
      <c r="E1190" s="234"/>
    </row>
    <row r="1191">
      <c r="A1191" s="237"/>
      <c r="E1191" s="234"/>
    </row>
    <row r="1192">
      <c r="A1192" s="237"/>
      <c r="E1192" s="234"/>
    </row>
    <row r="1193">
      <c r="A1193" s="237"/>
      <c r="E1193" s="234"/>
    </row>
    <row r="1194">
      <c r="A1194" s="237"/>
      <c r="E1194" s="234"/>
    </row>
    <row r="1195">
      <c r="A1195" s="237"/>
      <c r="E1195" s="234"/>
    </row>
    <row r="1196">
      <c r="A1196" s="237"/>
      <c r="E1196" s="234"/>
    </row>
    <row r="1197">
      <c r="A1197" s="237"/>
      <c r="E1197" s="234"/>
    </row>
    <row r="1198">
      <c r="A1198" s="237"/>
      <c r="E1198" s="234"/>
    </row>
    <row r="1199">
      <c r="A1199" s="237"/>
      <c r="E1199" s="234"/>
    </row>
    <row r="1200">
      <c r="A1200" s="237"/>
      <c r="E1200" s="234"/>
    </row>
    <row r="1201">
      <c r="A1201" s="237"/>
      <c r="E1201" s="234"/>
    </row>
    <row r="1202">
      <c r="A1202" s="237"/>
      <c r="E1202" s="234"/>
    </row>
    <row r="1203">
      <c r="A1203" s="237"/>
      <c r="E1203" s="234"/>
    </row>
    <row r="1204">
      <c r="A1204" s="237"/>
      <c r="E1204" s="234"/>
    </row>
    <row r="1205">
      <c r="A1205" s="237"/>
      <c r="E1205" s="234"/>
    </row>
    <row r="1206">
      <c r="A1206" s="237"/>
      <c r="E1206" s="234"/>
    </row>
    <row r="1207">
      <c r="A1207" s="237"/>
      <c r="E1207" s="234"/>
    </row>
    <row r="1208">
      <c r="A1208" s="237"/>
      <c r="E1208" s="234"/>
    </row>
    <row r="1209">
      <c r="A1209" s="237"/>
      <c r="E1209" s="234"/>
    </row>
    <row r="1210">
      <c r="A1210" s="237"/>
      <c r="E1210" s="234"/>
    </row>
    <row r="1211">
      <c r="A1211" s="237"/>
      <c r="E1211" s="234"/>
    </row>
    <row r="1212">
      <c r="A1212" s="237"/>
      <c r="E1212" s="234"/>
    </row>
    <row r="1213">
      <c r="A1213" s="237"/>
      <c r="E1213" s="234"/>
    </row>
    <row r="1214">
      <c r="A1214" s="237"/>
      <c r="E1214" s="234"/>
    </row>
    <row r="1215">
      <c r="A1215" s="237"/>
      <c r="E1215" s="234"/>
    </row>
    <row r="1216">
      <c r="A1216" s="237"/>
      <c r="E1216" s="234"/>
    </row>
    <row r="1217">
      <c r="A1217" s="237"/>
      <c r="E1217" s="234"/>
    </row>
    <row r="1218">
      <c r="A1218" s="237"/>
      <c r="E1218" s="234"/>
    </row>
    <row r="1219">
      <c r="A1219" s="237"/>
      <c r="E1219" s="234"/>
    </row>
    <row r="1220">
      <c r="A1220" s="237"/>
      <c r="E1220" s="234"/>
    </row>
    <row r="1221">
      <c r="A1221" s="237"/>
      <c r="E1221" s="234"/>
    </row>
    <row r="1222">
      <c r="A1222" s="237"/>
      <c r="E1222" s="234"/>
    </row>
    <row r="1223">
      <c r="A1223" s="237"/>
      <c r="E1223" s="234"/>
    </row>
    <row r="1224">
      <c r="A1224" s="237"/>
      <c r="E1224" s="234"/>
    </row>
    <row r="1225">
      <c r="A1225" s="237"/>
      <c r="E1225" s="234"/>
    </row>
    <row r="1226">
      <c r="A1226" s="237"/>
      <c r="E1226" s="234"/>
    </row>
    <row r="1227">
      <c r="A1227" s="237"/>
      <c r="E1227" s="234"/>
    </row>
    <row r="1228">
      <c r="A1228" s="237"/>
      <c r="E1228" s="234"/>
    </row>
    <row r="1229">
      <c r="A1229" s="237"/>
      <c r="E1229" s="234"/>
    </row>
    <row r="1230">
      <c r="A1230" s="237"/>
      <c r="E1230" s="234"/>
    </row>
    <row r="1231">
      <c r="A1231" s="237"/>
      <c r="E1231" s="234"/>
    </row>
    <row r="1232">
      <c r="A1232" s="237"/>
      <c r="E1232" s="234"/>
    </row>
    <row r="1233">
      <c r="A1233" s="237"/>
      <c r="E1233" s="234"/>
    </row>
    <row r="1234">
      <c r="A1234" s="237"/>
      <c r="E1234" s="234"/>
    </row>
    <row r="1235">
      <c r="A1235" s="237"/>
      <c r="E1235" s="234"/>
    </row>
    <row r="1236">
      <c r="A1236" s="237"/>
      <c r="E1236" s="234"/>
    </row>
    <row r="1237">
      <c r="A1237" s="237"/>
      <c r="E1237" s="234"/>
    </row>
    <row r="1238">
      <c r="A1238" s="237"/>
      <c r="E1238" s="234"/>
    </row>
    <row r="1239">
      <c r="A1239" s="237"/>
      <c r="E1239" s="234"/>
    </row>
    <row r="1240">
      <c r="A1240" s="237"/>
      <c r="E1240" s="234"/>
    </row>
    <row r="1241">
      <c r="A1241" s="237"/>
      <c r="E1241" s="234"/>
    </row>
    <row r="1242">
      <c r="A1242" s="237"/>
      <c r="E1242" s="234"/>
    </row>
    <row r="1243">
      <c r="A1243" s="237"/>
      <c r="E1243" s="234"/>
    </row>
    <row r="1244">
      <c r="A1244" s="237"/>
      <c r="E1244" s="234"/>
    </row>
    <row r="1245">
      <c r="A1245" s="237"/>
      <c r="E1245" s="234"/>
    </row>
    <row r="1246">
      <c r="A1246" s="237"/>
      <c r="E1246" s="234"/>
    </row>
    <row r="1247">
      <c r="A1247" s="237"/>
      <c r="E1247" s="234"/>
    </row>
    <row r="1248">
      <c r="A1248" s="237"/>
      <c r="E1248" s="234"/>
    </row>
    <row r="1249">
      <c r="A1249" s="237"/>
      <c r="E1249" s="234"/>
    </row>
    <row r="1250">
      <c r="A1250" s="237"/>
      <c r="E1250" s="234"/>
    </row>
    <row r="1251">
      <c r="A1251" s="237"/>
      <c r="E1251" s="234"/>
    </row>
    <row r="1252">
      <c r="A1252" s="237"/>
      <c r="E1252" s="234"/>
    </row>
    <row r="1253">
      <c r="A1253" s="237"/>
      <c r="E1253" s="234"/>
    </row>
    <row r="1254">
      <c r="A1254" s="237"/>
      <c r="E1254" s="234"/>
    </row>
    <row r="1255">
      <c r="A1255" s="237"/>
      <c r="E1255" s="234"/>
    </row>
    <row r="1256">
      <c r="A1256" s="237"/>
      <c r="E1256" s="234"/>
    </row>
    <row r="1257">
      <c r="A1257" s="237"/>
      <c r="E1257" s="234"/>
    </row>
    <row r="1258">
      <c r="A1258" s="237"/>
      <c r="E1258" s="234"/>
    </row>
    <row r="1259">
      <c r="A1259" s="237"/>
      <c r="E1259" s="234"/>
    </row>
    <row r="1260">
      <c r="A1260" s="237"/>
      <c r="E1260" s="234"/>
    </row>
    <row r="1261">
      <c r="A1261" s="237"/>
      <c r="E1261" s="234"/>
    </row>
    <row r="1262">
      <c r="A1262" s="237"/>
      <c r="E1262" s="234"/>
    </row>
    <row r="1263">
      <c r="A1263" s="237"/>
      <c r="E1263" s="234"/>
    </row>
    <row r="1264">
      <c r="A1264" s="237"/>
      <c r="E1264" s="234"/>
    </row>
    <row r="1265">
      <c r="A1265" s="237"/>
      <c r="E1265" s="234"/>
    </row>
    <row r="1266">
      <c r="A1266" s="237"/>
      <c r="E1266" s="234"/>
    </row>
    <row r="1267">
      <c r="A1267" s="237"/>
      <c r="E1267" s="234"/>
    </row>
    <row r="1268">
      <c r="A1268" s="237"/>
      <c r="E1268" s="234"/>
    </row>
    <row r="1269">
      <c r="A1269" s="237"/>
      <c r="E1269" s="234"/>
    </row>
    <row r="1270">
      <c r="A1270" s="237"/>
      <c r="E1270" s="234"/>
    </row>
    <row r="1271">
      <c r="A1271" s="237"/>
      <c r="E1271" s="234"/>
    </row>
    <row r="1272">
      <c r="A1272" s="237"/>
      <c r="E1272" s="234"/>
    </row>
    <row r="1273">
      <c r="A1273" s="237"/>
      <c r="E1273" s="234"/>
    </row>
    <row r="1274">
      <c r="A1274" s="237"/>
      <c r="E1274" s="234"/>
    </row>
    <row r="1275">
      <c r="A1275" s="237"/>
      <c r="E1275" s="234"/>
    </row>
    <row r="1276">
      <c r="A1276" s="237"/>
      <c r="E1276" s="234"/>
    </row>
    <row r="1277">
      <c r="A1277" s="237"/>
      <c r="E1277" s="234"/>
    </row>
    <row r="1278">
      <c r="A1278" s="237"/>
      <c r="E1278" s="234"/>
    </row>
    <row r="1279">
      <c r="A1279" s="237"/>
      <c r="E1279" s="234"/>
    </row>
    <row r="1280">
      <c r="A1280" s="237"/>
      <c r="E1280" s="234"/>
    </row>
    <row r="1281">
      <c r="A1281" s="237"/>
      <c r="E1281" s="234"/>
    </row>
    <row r="1282">
      <c r="A1282" s="237"/>
      <c r="E1282" s="234"/>
    </row>
    <row r="1283">
      <c r="A1283" s="237"/>
      <c r="E1283" s="234"/>
    </row>
    <row r="1284">
      <c r="A1284" s="237"/>
      <c r="E1284" s="234"/>
    </row>
    <row r="1285">
      <c r="A1285" s="237"/>
      <c r="E1285" s="234"/>
    </row>
    <row r="1286">
      <c r="A1286" s="237"/>
      <c r="E1286" s="234"/>
    </row>
    <row r="1287">
      <c r="A1287" s="237"/>
      <c r="E1287" s="234"/>
    </row>
    <row r="1288">
      <c r="A1288" s="237"/>
      <c r="E1288" s="234"/>
    </row>
    <row r="1289">
      <c r="A1289" s="237"/>
      <c r="E1289" s="234"/>
    </row>
    <row r="1290">
      <c r="A1290" s="237"/>
      <c r="E1290" s="234"/>
    </row>
    <row r="1291">
      <c r="A1291" s="237"/>
      <c r="E1291" s="234"/>
    </row>
    <row r="1292">
      <c r="A1292" s="237"/>
      <c r="E1292" s="234"/>
    </row>
    <row r="1293">
      <c r="A1293" s="237"/>
      <c r="E1293" s="234"/>
    </row>
    <row r="1294">
      <c r="A1294" s="237"/>
      <c r="E1294" s="234"/>
    </row>
    <row r="1295">
      <c r="A1295" s="237"/>
      <c r="E1295" s="234"/>
    </row>
    <row r="1296">
      <c r="A1296" s="237"/>
      <c r="E1296" s="234"/>
    </row>
    <row r="1297">
      <c r="A1297" s="237"/>
      <c r="E1297" s="234"/>
    </row>
    <row r="1298">
      <c r="A1298" s="237"/>
      <c r="E1298" s="234"/>
    </row>
    <row r="1299">
      <c r="A1299" s="237"/>
      <c r="E1299" s="234"/>
    </row>
    <row r="1300">
      <c r="A1300" s="237"/>
      <c r="E1300" s="234"/>
    </row>
    <row r="1301">
      <c r="A1301" s="237"/>
      <c r="E1301" s="234"/>
    </row>
    <row r="1302">
      <c r="A1302" s="237"/>
      <c r="E1302" s="234"/>
    </row>
    <row r="1303">
      <c r="A1303" s="237"/>
      <c r="E1303" s="234"/>
    </row>
    <row r="1304">
      <c r="A1304" s="237"/>
      <c r="E1304" s="234"/>
    </row>
    <row r="1305">
      <c r="A1305" s="237"/>
      <c r="E1305" s="234"/>
    </row>
    <row r="1306">
      <c r="A1306" s="237"/>
      <c r="E1306" s="234"/>
    </row>
    <row r="1307">
      <c r="A1307" s="237"/>
      <c r="E1307" s="234"/>
    </row>
    <row r="1308">
      <c r="A1308" s="237"/>
      <c r="E1308" s="234"/>
    </row>
    <row r="1309">
      <c r="A1309" s="237"/>
      <c r="E1309" s="234"/>
    </row>
    <row r="1310">
      <c r="A1310" s="237"/>
      <c r="E1310" s="234"/>
    </row>
    <row r="1311">
      <c r="A1311" s="237"/>
      <c r="E1311" s="234"/>
    </row>
    <row r="1312">
      <c r="A1312" s="237"/>
      <c r="E1312" s="234"/>
    </row>
    <row r="1313">
      <c r="A1313" s="237"/>
      <c r="E1313" s="234"/>
    </row>
    <row r="1314">
      <c r="A1314" s="237"/>
      <c r="E1314" s="234"/>
    </row>
    <row r="1315">
      <c r="A1315" s="237"/>
      <c r="E1315" s="234"/>
    </row>
    <row r="1316">
      <c r="A1316" s="237"/>
      <c r="E1316" s="234"/>
    </row>
    <row r="1317">
      <c r="A1317" s="237"/>
      <c r="E1317" s="234"/>
    </row>
    <row r="1318">
      <c r="A1318" s="237"/>
      <c r="E1318" s="234"/>
    </row>
    <row r="1319">
      <c r="A1319" s="237"/>
      <c r="E1319" s="234"/>
    </row>
    <row r="1320">
      <c r="A1320" s="237"/>
      <c r="E1320" s="234"/>
    </row>
    <row r="1321">
      <c r="A1321" s="237"/>
      <c r="E1321" s="234"/>
    </row>
    <row r="1322">
      <c r="A1322" s="237"/>
      <c r="E1322" s="234"/>
    </row>
    <row r="1323">
      <c r="A1323" s="237"/>
      <c r="E1323" s="234"/>
    </row>
    <row r="1324">
      <c r="A1324" s="237"/>
      <c r="E1324" s="234"/>
    </row>
    <row r="1325">
      <c r="A1325" s="237"/>
      <c r="E1325" s="234"/>
    </row>
    <row r="1326">
      <c r="A1326" s="237"/>
      <c r="E1326" s="234"/>
    </row>
    <row r="1327">
      <c r="A1327" s="237"/>
      <c r="E1327" s="234"/>
    </row>
    <row r="1328">
      <c r="A1328" s="237"/>
      <c r="E1328" s="234"/>
    </row>
    <row r="1329">
      <c r="A1329" s="237"/>
      <c r="E1329" s="234"/>
    </row>
    <row r="1330">
      <c r="A1330" s="237"/>
      <c r="E1330" s="234"/>
    </row>
    <row r="1331">
      <c r="A1331" s="237"/>
      <c r="E1331" s="234"/>
    </row>
    <row r="1332">
      <c r="A1332" s="237"/>
      <c r="E1332" s="234"/>
    </row>
    <row r="1333">
      <c r="A1333" s="237"/>
      <c r="E1333" s="234"/>
    </row>
    <row r="1334">
      <c r="A1334" s="237"/>
      <c r="E1334" s="234"/>
    </row>
    <row r="1335">
      <c r="A1335" s="237"/>
      <c r="E1335" s="234"/>
    </row>
    <row r="1336">
      <c r="A1336" s="237"/>
      <c r="E1336" s="234"/>
    </row>
    <row r="1337">
      <c r="A1337" s="237"/>
      <c r="E1337" s="234"/>
    </row>
    <row r="1338">
      <c r="A1338" s="237"/>
      <c r="E1338" s="234"/>
    </row>
    <row r="1339">
      <c r="A1339" s="237"/>
      <c r="E1339" s="234"/>
    </row>
    <row r="1340">
      <c r="A1340" s="237"/>
      <c r="E1340" s="234"/>
    </row>
    <row r="1341">
      <c r="A1341" s="237"/>
      <c r="E1341" s="234"/>
    </row>
    <row r="1342">
      <c r="A1342" s="237"/>
      <c r="E1342" s="234"/>
    </row>
    <row r="1343">
      <c r="A1343" s="237"/>
      <c r="E1343" s="234"/>
    </row>
    <row r="1344">
      <c r="A1344" s="237"/>
      <c r="E1344" s="234"/>
    </row>
    <row r="1345">
      <c r="A1345" s="237"/>
      <c r="E1345" s="234"/>
    </row>
    <row r="1346">
      <c r="A1346" s="237"/>
      <c r="E1346" s="234"/>
    </row>
    <row r="1347">
      <c r="A1347" s="237"/>
      <c r="E1347" s="234"/>
    </row>
    <row r="1348">
      <c r="A1348" s="237"/>
      <c r="E1348" s="234"/>
    </row>
    <row r="1349">
      <c r="A1349" s="237"/>
      <c r="E1349" s="234"/>
    </row>
    <row r="1350">
      <c r="A1350" s="237"/>
      <c r="E1350" s="234"/>
    </row>
    <row r="1351">
      <c r="A1351" s="237"/>
      <c r="E1351" s="234"/>
    </row>
    <row r="1352">
      <c r="A1352" s="237"/>
      <c r="E1352" s="234"/>
    </row>
    <row r="1353">
      <c r="A1353" s="237"/>
      <c r="E1353" s="234"/>
    </row>
    <row r="1354">
      <c r="A1354" s="237"/>
      <c r="E1354" s="234"/>
    </row>
    <row r="1355">
      <c r="A1355" s="237"/>
      <c r="E1355" s="234"/>
    </row>
    <row r="1356">
      <c r="A1356" s="237"/>
      <c r="E1356" s="234"/>
    </row>
    <row r="1357">
      <c r="A1357" s="237"/>
      <c r="E1357" s="234"/>
    </row>
    <row r="1358">
      <c r="A1358" s="237"/>
      <c r="E1358" s="234"/>
    </row>
    <row r="1359">
      <c r="A1359" s="237"/>
      <c r="E1359" s="234"/>
    </row>
    <row r="1360">
      <c r="A1360" s="237"/>
      <c r="E1360" s="234"/>
    </row>
    <row r="1361">
      <c r="A1361" s="237"/>
      <c r="E1361" s="234"/>
    </row>
    <row r="1362">
      <c r="A1362" s="237"/>
      <c r="E1362" s="234"/>
    </row>
    <row r="1363">
      <c r="A1363" s="237"/>
      <c r="E1363" s="234"/>
    </row>
    <row r="1364">
      <c r="A1364" s="237"/>
      <c r="E1364" s="234"/>
    </row>
    <row r="1365">
      <c r="A1365" s="237"/>
      <c r="E1365" s="234"/>
    </row>
    <row r="1366">
      <c r="A1366" s="237"/>
      <c r="E1366" s="234"/>
    </row>
    <row r="1367">
      <c r="A1367" s="237"/>
      <c r="E1367" s="234"/>
    </row>
    <row r="1368">
      <c r="A1368" s="237"/>
      <c r="E1368" s="234"/>
    </row>
    <row r="1369">
      <c r="A1369" s="237"/>
      <c r="E1369" s="234"/>
    </row>
    <row r="1370">
      <c r="A1370" s="237"/>
      <c r="E1370" s="234"/>
    </row>
    <row r="1371">
      <c r="A1371" s="237"/>
      <c r="E1371" s="234"/>
    </row>
    <row r="1372">
      <c r="A1372" s="237"/>
      <c r="E1372" s="234"/>
    </row>
    <row r="1373">
      <c r="A1373" s="237"/>
      <c r="E1373" s="234"/>
    </row>
    <row r="1374">
      <c r="A1374" s="237"/>
      <c r="E1374" s="234"/>
    </row>
    <row r="1375">
      <c r="A1375" s="237"/>
      <c r="E1375" s="234"/>
    </row>
    <row r="1376">
      <c r="A1376" s="237"/>
      <c r="E1376" s="234"/>
    </row>
    <row r="1377">
      <c r="A1377" s="237"/>
      <c r="E1377" s="234"/>
    </row>
    <row r="1378">
      <c r="A1378" s="237"/>
      <c r="E1378" s="234"/>
    </row>
    <row r="1379">
      <c r="A1379" s="237"/>
      <c r="E1379" s="234"/>
    </row>
    <row r="1380">
      <c r="A1380" s="237"/>
      <c r="E1380" s="234"/>
    </row>
    <row r="1381">
      <c r="A1381" s="237"/>
      <c r="E1381" s="234"/>
    </row>
    <row r="1382">
      <c r="A1382" s="237"/>
      <c r="E1382" s="234"/>
    </row>
    <row r="1383">
      <c r="A1383" s="237"/>
      <c r="E1383" s="234"/>
    </row>
    <row r="1384">
      <c r="A1384" s="237"/>
      <c r="E1384" s="234"/>
    </row>
    <row r="1385">
      <c r="A1385" s="237"/>
      <c r="E1385" s="234"/>
    </row>
    <row r="1386">
      <c r="A1386" s="237"/>
      <c r="E1386" s="234"/>
    </row>
    <row r="1387">
      <c r="A1387" s="237"/>
      <c r="E1387" s="234"/>
    </row>
    <row r="1388">
      <c r="A1388" s="237"/>
      <c r="E1388" s="234"/>
    </row>
    <row r="1389">
      <c r="A1389" s="237"/>
      <c r="E1389" s="234"/>
    </row>
    <row r="1390">
      <c r="A1390" s="237"/>
      <c r="E1390" s="234"/>
    </row>
    <row r="1391">
      <c r="A1391" s="237"/>
      <c r="E1391" s="234"/>
    </row>
    <row r="1392">
      <c r="A1392" s="237"/>
      <c r="E1392" s="234"/>
    </row>
    <row r="1393">
      <c r="A1393" s="237"/>
      <c r="E1393" s="234"/>
    </row>
    <row r="1394">
      <c r="A1394" s="237"/>
      <c r="E1394" s="234"/>
    </row>
    <row r="1395">
      <c r="A1395" s="237"/>
      <c r="E1395" s="234"/>
    </row>
    <row r="1396">
      <c r="A1396" s="237"/>
      <c r="E1396" s="234"/>
    </row>
    <row r="1397">
      <c r="A1397" s="237"/>
      <c r="E1397" s="234"/>
    </row>
    <row r="1398">
      <c r="A1398" s="237"/>
      <c r="E1398" s="234"/>
    </row>
    <row r="1399">
      <c r="A1399" s="237"/>
      <c r="E1399" s="234"/>
    </row>
    <row r="1400">
      <c r="A1400" s="237"/>
      <c r="E1400" s="234"/>
    </row>
    <row r="1401">
      <c r="A1401" s="237"/>
      <c r="E1401" s="234"/>
    </row>
    <row r="1402">
      <c r="A1402" s="237"/>
      <c r="E1402" s="234"/>
    </row>
    <row r="1403">
      <c r="A1403" s="237"/>
      <c r="E1403" s="234"/>
    </row>
    <row r="1404">
      <c r="A1404" s="237"/>
      <c r="E1404" s="234"/>
    </row>
    <row r="1405">
      <c r="A1405" s="237"/>
      <c r="E1405" s="234"/>
    </row>
    <row r="1406">
      <c r="A1406" s="237"/>
      <c r="E1406" s="234"/>
    </row>
    <row r="1407">
      <c r="A1407" s="237"/>
      <c r="E1407" s="234"/>
    </row>
    <row r="1408">
      <c r="A1408" s="237"/>
      <c r="E1408" s="234"/>
    </row>
    <row r="1409">
      <c r="A1409" s="237"/>
      <c r="E1409" s="234"/>
    </row>
    <row r="1410">
      <c r="A1410" s="237"/>
      <c r="E1410" s="234"/>
    </row>
    <row r="1411">
      <c r="A1411" s="237"/>
      <c r="E1411" s="234"/>
    </row>
    <row r="1412">
      <c r="A1412" s="237"/>
      <c r="E1412" s="234"/>
    </row>
    <row r="1413">
      <c r="A1413" s="237"/>
      <c r="E1413" s="234"/>
    </row>
    <row r="1414">
      <c r="A1414" s="237"/>
      <c r="E1414" s="234"/>
    </row>
    <row r="1415">
      <c r="A1415" s="237"/>
      <c r="E1415" s="234"/>
    </row>
    <row r="1416">
      <c r="A1416" s="237"/>
      <c r="E1416" s="234"/>
    </row>
    <row r="1417">
      <c r="A1417" s="237"/>
      <c r="E1417" s="234"/>
    </row>
    <row r="1418">
      <c r="A1418" s="237"/>
      <c r="E1418" s="234"/>
    </row>
    <row r="1419">
      <c r="A1419" s="237"/>
      <c r="E1419" s="234"/>
    </row>
    <row r="1420">
      <c r="A1420" s="237"/>
      <c r="E1420" s="234"/>
    </row>
    <row r="1421">
      <c r="A1421" s="237"/>
      <c r="E1421" s="234"/>
    </row>
    <row r="1422">
      <c r="A1422" s="237"/>
      <c r="E1422" s="234"/>
    </row>
    <row r="1423">
      <c r="A1423" s="237"/>
      <c r="E1423" s="234"/>
    </row>
    <row r="1424">
      <c r="A1424" s="237"/>
      <c r="E1424" s="234"/>
    </row>
    <row r="1425">
      <c r="A1425" s="237"/>
      <c r="E1425" s="234"/>
    </row>
    <row r="1426">
      <c r="A1426" s="237"/>
      <c r="E1426" s="234"/>
    </row>
    <row r="1427">
      <c r="A1427" s="237"/>
      <c r="E1427" s="234"/>
    </row>
    <row r="1428">
      <c r="A1428" s="237"/>
      <c r="E1428" s="234"/>
    </row>
    <row r="1429">
      <c r="A1429" s="237"/>
      <c r="E1429" s="234"/>
    </row>
    <row r="1430">
      <c r="A1430" s="237"/>
      <c r="E1430" s="234"/>
    </row>
    <row r="1431">
      <c r="A1431" s="237"/>
      <c r="E1431" s="234"/>
    </row>
    <row r="1432">
      <c r="A1432" s="237"/>
      <c r="E1432" s="234"/>
    </row>
    <row r="1433">
      <c r="A1433" s="237"/>
      <c r="E1433" s="234"/>
    </row>
    <row r="1434">
      <c r="A1434" s="237"/>
      <c r="E1434" s="234"/>
    </row>
    <row r="1435">
      <c r="A1435" s="237"/>
      <c r="E1435" s="234"/>
    </row>
    <row r="1436">
      <c r="A1436" s="237"/>
      <c r="E1436" s="234"/>
    </row>
    <row r="1437">
      <c r="A1437" s="237"/>
      <c r="E1437" s="234"/>
    </row>
    <row r="1438">
      <c r="A1438" s="237"/>
      <c r="E1438" s="234"/>
    </row>
    <row r="1439">
      <c r="A1439" s="237"/>
      <c r="E1439" s="234"/>
    </row>
    <row r="1440">
      <c r="A1440" s="237"/>
      <c r="E1440" s="234"/>
    </row>
    <row r="1441">
      <c r="A1441" s="237"/>
      <c r="E1441" s="234"/>
    </row>
    <row r="1442">
      <c r="A1442" s="237"/>
      <c r="E1442" s="234"/>
    </row>
    <row r="1443">
      <c r="A1443" s="237"/>
      <c r="E1443" s="234"/>
    </row>
    <row r="1444">
      <c r="A1444" s="237"/>
      <c r="E1444" s="234"/>
    </row>
    <row r="1445">
      <c r="A1445" s="237"/>
      <c r="E1445" s="234"/>
    </row>
    <row r="1446">
      <c r="A1446" s="237"/>
      <c r="E1446" s="234"/>
    </row>
    <row r="1447">
      <c r="A1447" s="237"/>
      <c r="E1447" s="234"/>
    </row>
    <row r="1448">
      <c r="A1448" s="237"/>
      <c r="E1448" s="234"/>
    </row>
    <row r="1449">
      <c r="A1449" s="237"/>
      <c r="E1449" s="234"/>
    </row>
    <row r="1450">
      <c r="A1450" s="237"/>
      <c r="E1450" s="234"/>
    </row>
    <row r="1451">
      <c r="A1451" s="237"/>
      <c r="E1451" s="234"/>
    </row>
    <row r="1452">
      <c r="A1452" s="237"/>
      <c r="E1452" s="234"/>
    </row>
    <row r="1453">
      <c r="A1453" s="237"/>
      <c r="E1453" s="234"/>
    </row>
    <row r="1454">
      <c r="A1454" s="237"/>
      <c r="E1454" s="234"/>
    </row>
    <row r="1455">
      <c r="A1455" s="237"/>
      <c r="E1455" s="234"/>
    </row>
    <row r="1456">
      <c r="A1456" s="237"/>
      <c r="E1456" s="234"/>
    </row>
    <row r="1457">
      <c r="A1457" s="237"/>
      <c r="E1457" s="234"/>
    </row>
    <row r="1458">
      <c r="A1458" s="237"/>
      <c r="E1458" s="234"/>
    </row>
    <row r="1459">
      <c r="A1459" s="237"/>
      <c r="E1459" s="234"/>
    </row>
    <row r="1460">
      <c r="A1460" s="237"/>
      <c r="E1460" s="234"/>
    </row>
    <row r="1461">
      <c r="A1461" s="237"/>
      <c r="E1461" s="234"/>
    </row>
    <row r="1462">
      <c r="A1462" s="237"/>
      <c r="E1462" s="234"/>
    </row>
    <row r="1463">
      <c r="A1463" s="237"/>
      <c r="E1463" s="234"/>
    </row>
    <row r="1464">
      <c r="A1464" s="237"/>
      <c r="E1464" s="234"/>
    </row>
    <row r="1465">
      <c r="A1465" s="237"/>
      <c r="E1465" s="234"/>
    </row>
    <row r="1466">
      <c r="A1466" s="237"/>
      <c r="E1466" s="234"/>
    </row>
    <row r="1467">
      <c r="A1467" s="237"/>
      <c r="E1467" s="234"/>
    </row>
    <row r="1468">
      <c r="A1468" s="237"/>
      <c r="E1468" s="234"/>
    </row>
    <row r="1469">
      <c r="A1469" s="237"/>
      <c r="E1469" s="234"/>
    </row>
    <row r="1470">
      <c r="A1470" s="237"/>
      <c r="E1470" s="234"/>
    </row>
    <row r="1471">
      <c r="A1471" s="237"/>
      <c r="E1471" s="234"/>
    </row>
    <row r="1472">
      <c r="A1472" s="237"/>
      <c r="E1472" s="234"/>
    </row>
    <row r="1473">
      <c r="A1473" s="237"/>
      <c r="E1473" s="234"/>
    </row>
    <row r="1474">
      <c r="A1474" s="237"/>
      <c r="E1474" s="234"/>
    </row>
    <row r="1475">
      <c r="A1475" s="237"/>
      <c r="E1475" s="234"/>
    </row>
    <row r="1476">
      <c r="A1476" s="237"/>
      <c r="E1476" s="234"/>
    </row>
    <row r="1477">
      <c r="A1477" s="237"/>
      <c r="E1477" s="234"/>
    </row>
    <row r="1478">
      <c r="A1478" s="237"/>
      <c r="E1478" s="234"/>
    </row>
    <row r="1479">
      <c r="A1479" s="237"/>
      <c r="E1479" s="234"/>
    </row>
    <row r="1480">
      <c r="A1480" s="237"/>
      <c r="E1480" s="234"/>
    </row>
    <row r="1481">
      <c r="A1481" s="237"/>
      <c r="E1481" s="234"/>
    </row>
    <row r="1482">
      <c r="A1482" s="237"/>
      <c r="E1482" s="234"/>
    </row>
    <row r="1483">
      <c r="A1483" s="237"/>
      <c r="E1483" s="234"/>
    </row>
    <row r="1484">
      <c r="A1484" s="237"/>
      <c r="E1484" s="234"/>
    </row>
    <row r="1485">
      <c r="A1485" s="237"/>
      <c r="E1485" s="234"/>
    </row>
    <row r="1486">
      <c r="A1486" s="237"/>
      <c r="E1486" s="234"/>
    </row>
    <row r="1487">
      <c r="A1487" s="237"/>
      <c r="E1487" s="234"/>
    </row>
    <row r="1488">
      <c r="A1488" s="237"/>
      <c r="E1488" s="234"/>
    </row>
    <row r="1489">
      <c r="A1489" s="237"/>
      <c r="E1489" s="234"/>
    </row>
    <row r="1490">
      <c r="A1490" s="237"/>
      <c r="E1490" s="234"/>
    </row>
    <row r="1491">
      <c r="A1491" s="237"/>
      <c r="E1491" s="234"/>
    </row>
    <row r="1492">
      <c r="A1492" s="237"/>
      <c r="E1492" s="234"/>
    </row>
    <row r="1493">
      <c r="A1493" s="237"/>
      <c r="E1493" s="234"/>
    </row>
    <row r="1494">
      <c r="A1494" s="237"/>
      <c r="E1494" s="234"/>
    </row>
    <row r="1495">
      <c r="A1495" s="237"/>
      <c r="E1495" s="234"/>
    </row>
    <row r="1496">
      <c r="A1496" s="237"/>
      <c r="E1496" s="234"/>
    </row>
    <row r="1497">
      <c r="A1497" s="237"/>
      <c r="E1497" s="234"/>
    </row>
    <row r="1498">
      <c r="A1498" s="237"/>
      <c r="E1498" s="234"/>
    </row>
    <row r="1499">
      <c r="A1499" s="237"/>
      <c r="E1499" s="234"/>
    </row>
    <row r="1500">
      <c r="A1500" s="237"/>
      <c r="E1500" s="234"/>
    </row>
    <row r="1501">
      <c r="A1501" s="237"/>
      <c r="E1501" s="234"/>
    </row>
    <row r="1502">
      <c r="A1502" s="237"/>
      <c r="E1502" s="234"/>
    </row>
    <row r="1503">
      <c r="A1503" s="237"/>
      <c r="E1503" s="234"/>
    </row>
    <row r="1504">
      <c r="A1504" s="237"/>
      <c r="E1504" s="234"/>
    </row>
    <row r="1505">
      <c r="A1505" s="237"/>
      <c r="E1505" s="234"/>
    </row>
    <row r="1506">
      <c r="A1506" s="237"/>
      <c r="E1506" s="234"/>
    </row>
    <row r="1507">
      <c r="A1507" s="237"/>
      <c r="E1507" s="234"/>
    </row>
    <row r="1508">
      <c r="A1508" s="237"/>
      <c r="E1508" s="234"/>
    </row>
    <row r="1509">
      <c r="A1509" s="237"/>
      <c r="E1509" s="234"/>
    </row>
    <row r="1510">
      <c r="A1510" s="237"/>
      <c r="E1510" s="234"/>
    </row>
    <row r="1511">
      <c r="A1511" s="237"/>
      <c r="E1511" s="234"/>
    </row>
    <row r="1512">
      <c r="A1512" s="237"/>
      <c r="E1512" s="234"/>
    </row>
    <row r="1513">
      <c r="A1513" s="237"/>
      <c r="E1513" s="234"/>
    </row>
    <row r="1514">
      <c r="A1514" s="237"/>
      <c r="E1514" s="234"/>
    </row>
    <row r="1515">
      <c r="A1515" s="237"/>
      <c r="E1515" s="234"/>
    </row>
    <row r="1516">
      <c r="A1516" s="237"/>
      <c r="E1516" s="234"/>
    </row>
    <row r="1517">
      <c r="A1517" s="237"/>
      <c r="E1517" s="234"/>
    </row>
    <row r="1518">
      <c r="A1518" s="237"/>
      <c r="E1518" s="234"/>
    </row>
    <row r="1519">
      <c r="A1519" s="237"/>
      <c r="E1519" s="234"/>
    </row>
    <row r="1520">
      <c r="A1520" s="237"/>
      <c r="E1520" s="234"/>
    </row>
    <row r="1521">
      <c r="A1521" s="237"/>
      <c r="E1521" s="234"/>
    </row>
    <row r="1522">
      <c r="A1522" s="237"/>
      <c r="E1522" s="234"/>
    </row>
    <row r="1523">
      <c r="A1523" s="237"/>
      <c r="E1523" s="234"/>
    </row>
    <row r="1524">
      <c r="A1524" s="237"/>
      <c r="E1524" s="234"/>
    </row>
    <row r="1525">
      <c r="A1525" s="237"/>
      <c r="E1525" s="234"/>
    </row>
    <row r="1526">
      <c r="A1526" s="237"/>
      <c r="E1526" s="234"/>
    </row>
    <row r="1527">
      <c r="A1527" s="237"/>
      <c r="E1527" s="234"/>
    </row>
    <row r="1528">
      <c r="A1528" s="237"/>
      <c r="E1528" s="234"/>
    </row>
    <row r="1529">
      <c r="A1529" s="237"/>
      <c r="E1529" s="234"/>
    </row>
    <row r="1530">
      <c r="A1530" s="237"/>
      <c r="E1530" s="234"/>
    </row>
    <row r="1531">
      <c r="A1531" s="237"/>
      <c r="E1531" s="234"/>
    </row>
    <row r="1532">
      <c r="A1532" s="237"/>
      <c r="E1532" s="234"/>
    </row>
    <row r="1533">
      <c r="A1533" s="237"/>
      <c r="E1533" s="234"/>
    </row>
    <row r="1534">
      <c r="A1534" s="237"/>
      <c r="E1534" s="234"/>
    </row>
    <row r="1535">
      <c r="A1535" s="237"/>
      <c r="E1535" s="234"/>
    </row>
    <row r="1536">
      <c r="A1536" s="237"/>
      <c r="E1536" s="234"/>
    </row>
    <row r="1537">
      <c r="A1537" s="237"/>
      <c r="E1537" s="234"/>
    </row>
    <row r="1538">
      <c r="A1538" s="237"/>
      <c r="E1538" s="234"/>
    </row>
    <row r="1539">
      <c r="A1539" s="237"/>
      <c r="E1539" s="234"/>
    </row>
    <row r="1540">
      <c r="A1540" s="237"/>
      <c r="E1540" s="234"/>
    </row>
    <row r="1541">
      <c r="A1541" s="237"/>
      <c r="E1541" s="234"/>
    </row>
    <row r="1542">
      <c r="A1542" s="237"/>
      <c r="E1542" s="234"/>
    </row>
    <row r="1543">
      <c r="A1543" s="237"/>
      <c r="E1543" s="234"/>
    </row>
    <row r="1544">
      <c r="A1544" s="237"/>
      <c r="E1544" s="234"/>
    </row>
    <row r="1545">
      <c r="A1545" s="237"/>
      <c r="E1545" s="234"/>
    </row>
    <row r="1546">
      <c r="A1546" s="237"/>
      <c r="E1546" s="234"/>
    </row>
    <row r="1547">
      <c r="A1547" s="237"/>
      <c r="E1547" s="234"/>
    </row>
    <row r="1548">
      <c r="A1548" s="237"/>
      <c r="E1548" s="234"/>
    </row>
    <row r="1549">
      <c r="A1549" s="237"/>
      <c r="E1549" s="234"/>
    </row>
    <row r="1550">
      <c r="A1550" s="237"/>
      <c r="E1550" s="234"/>
    </row>
    <row r="1551">
      <c r="A1551" s="237"/>
      <c r="E1551" s="234"/>
    </row>
    <row r="1552">
      <c r="A1552" s="237"/>
      <c r="E1552" s="234"/>
    </row>
    <row r="1553">
      <c r="A1553" s="237"/>
      <c r="E1553" s="234"/>
    </row>
    <row r="1554">
      <c r="A1554" s="237"/>
      <c r="E1554" s="234"/>
    </row>
    <row r="1555">
      <c r="A1555" s="237"/>
      <c r="E1555" s="234"/>
    </row>
    <row r="1556">
      <c r="A1556" s="237"/>
      <c r="E1556" s="234"/>
    </row>
    <row r="1557">
      <c r="A1557" s="237"/>
      <c r="E1557" s="234"/>
    </row>
    <row r="1558">
      <c r="A1558" s="237"/>
      <c r="E1558" s="234"/>
    </row>
    <row r="1559">
      <c r="A1559" s="237"/>
      <c r="E1559" s="234"/>
    </row>
    <row r="1560">
      <c r="A1560" s="237"/>
      <c r="E1560" s="234"/>
    </row>
    <row r="1561">
      <c r="A1561" s="237"/>
      <c r="E1561" s="234"/>
    </row>
    <row r="1562">
      <c r="A1562" s="237"/>
      <c r="E1562" s="234"/>
    </row>
    <row r="1563">
      <c r="A1563" s="237"/>
      <c r="E1563" s="234"/>
    </row>
    <row r="1564">
      <c r="A1564" s="237"/>
      <c r="E1564" s="234"/>
    </row>
    <row r="1565">
      <c r="A1565" s="237"/>
      <c r="E1565" s="234"/>
    </row>
    <row r="1566">
      <c r="A1566" s="237"/>
      <c r="E1566" s="234"/>
    </row>
    <row r="1567">
      <c r="A1567" s="237"/>
      <c r="E1567" s="234"/>
    </row>
    <row r="1568">
      <c r="A1568" s="237"/>
      <c r="E1568" s="234"/>
    </row>
    <row r="1569">
      <c r="A1569" s="237"/>
      <c r="E1569" s="234"/>
    </row>
    <row r="1570">
      <c r="A1570" s="237"/>
      <c r="E1570" s="234"/>
    </row>
    <row r="1571">
      <c r="A1571" s="237"/>
      <c r="E1571" s="234"/>
    </row>
    <row r="1572">
      <c r="A1572" s="237"/>
      <c r="E1572" s="234"/>
    </row>
    <row r="1573">
      <c r="A1573" s="237"/>
      <c r="E1573" s="234"/>
    </row>
    <row r="1574">
      <c r="A1574" s="237"/>
      <c r="E1574" s="234"/>
    </row>
    <row r="1575">
      <c r="A1575" s="237"/>
      <c r="E1575" s="234"/>
    </row>
    <row r="1576">
      <c r="A1576" s="237"/>
      <c r="E1576" s="234"/>
    </row>
    <row r="1577">
      <c r="A1577" s="237"/>
      <c r="E1577" s="234"/>
    </row>
    <row r="1578">
      <c r="A1578" s="237"/>
      <c r="E1578" s="234"/>
    </row>
    <row r="1579">
      <c r="A1579" s="237"/>
      <c r="E1579" s="234"/>
    </row>
    <row r="1580">
      <c r="A1580" s="237"/>
      <c r="E1580" s="234"/>
    </row>
    <row r="1581">
      <c r="A1581" s="237"/>
      <c r="E1581" s="234"/>
    </row>
    <row r="1582">
      <c r="A1582" s="237"/>
      <c r="E1582" s="234"/>
    </row>
    <row r="1583">
      <c r="A1583" s="237"/>
      <c r="E1583" s="234"/>
    </row>
    <row r="1584">
      <c r="A1584" s="237"/>
      <c r="E1584" s="234"/>
    </row>
    <row r="1585">
      <c r="A1585" s="237"/>
      <c r="E1585" s="234"/>
    </row>
    <row r="1586">
      <c r="A1586" s="237"/>
      <c r="E1586" s="234"/>
    </row>
    <row r="1587">
      <c r="A1587" s="237"/>
      <c r="E1587" s="234"/>
    </row>
    <row r="1588">
      <c r="A1588" s="237"/>
      <c r="E1588" s="234"/>
    </row>
    <row r="1589">
      <c r="A1589" s="237"/>
      <c r="E1589" s="234"/>
    </row>
    <row r="1590">
      <c r="A1590" s="237"/>
      <c r="E1590" s="234"/>
    </row>
    <row r="1591">
      <c r="A1591" s="237"/>
      <c r="E1591" s="234"/>
    </row>
    <row r="1592">
      <c r="A1592" s="237"/>
      <c r="E1592" s="234"/>
    </row>
    <row r="1593">
      <c r="A1593" s="237"/>
      <c r="E1593" s="234"/>
    </row>
    <row r="1594">
      <c r="A1594" s="237"/>
      <c r="E1594" s="234"/>
    </row>
    <row r="1595">
      <c r="A1595" s="237"/>
      <c r="E1595" s="234"/>
    </row>
    <row r="1596">
      <c r="A1596" s="237"/>
      <c r="E1596" s="234"/>
    </row>
    <row r="1597">
      <c r="A1597" s="237"/>
      <c r="E1597" s="234"/>
    </row>
    <row r="1598">
      <c r="A1598" s="237"/>
      <c r="E1598" s="234"/>
    </row>
    <row r="1599">
      <c r="A1599" s="237"/>
      <c r="E1599" s="234"/>
    </row>
    <row r="1600">
      <c r="A1600" s="237"/>
      <c r="E1600" s="234"/>
    </row>
    <row r="1601">
      <c r="A1601" s="237"/>
      <c r="E1601" s="234"/>
    </row>
    <row r="1602">
      <c r="A1602" s="237"/>
      <c r="E1602" s="234"/>
    </row>
    <row r="1603">
      <c r="A1603" s="237"/>
      <c r="E1603" s="234"/>
    </row>
    <row r="1604">
      <c r="A1604" s="237"/>
      <c r="E1604" s="234"/>
    </row>
    <row r="1605">
      <c r="A1605" s="237"/>
      <c r="E1605" s="234"/>
    </row>
    <row r="1606">
      <c r="A1606" s="237"/>
      <c r="E1606" s="234"/>
    </row>
    <row r="1607">
      <c r="A1607" s="237"/>
      <c r="E1607" s="234"/>
    </row>
    <row r="1608">
      <c r="A1608" s="237"/>
      <c r="E1608" s="234"/>
    </row>
    <row r="1609">
      <c r="A1609" s="237"/>
      <c r="E1609" s="234"/>
    </row>
    <row r="1610">
      <c r="A1610" s="237"/>
      <c r="E1610" s="234"/>
    </row>
    <row r="1611">
      <c r="A1611" s="237"/>
      <c r="E1611" s="234"/>
    </row>
    <row r="1612">
      <c r="A1612" s="237"/>
      <c r="E1612" s="234"/>
    </row>
    <row r="1613">
      <c r="A1613" s="237"/>
      <c r="E1613" s="234"/>
    </row>
    <row r="1614">
      <c r="A1614" s="237"/>
      <c r="E1614" s="234"/>
    </row>
    <row r="1615">
      <c r="A1615" s="237"/>
      <c r="E1615" s="234"/>
    </row>
    <row r="1616">
      <c r="A1616" s="237"/>
      <c r="E1616" s="234"/>
    </row>
    <row r="1617">
      <c r="A1617" s="237"/>
      <c r="E1617" s="234"/>
    </row>
    <row r="1618">
      <c r="A1618" s="237"/>
      <c r="E1618" s="234"/>
    </row>
    <row r="1619">
      <c r="A1619" s="237"/>
      <c r="E1619" s="234"/>
    </row>
    <row r="1620">
      <c r="A1620" s="237"/>
      <c r="E1620" s="234"/>
    </row>
    <row r="1621">
      <c r="A1621" s="237"/>
      <c r="E1621" s="234"/>
    </row>
    <row r="1622">
      <c r="A1622" s="237"/>
      <c r="E1622" s="234"/>
    </row>
    <row r="1623">
      <c r="A1623" s="237"/>
      <c r="E1623" s="234"/>
    </row>
    <row r="1624">
      <c r="A1624" s="237"/>
      <c r="E1624" s="234"/>
    </row>
    <row r="1625">
      <c r="A1625" s="237"/>
      <c r="E1625" s="234"/>
    </row>
    <row r="1626">
      <c r="A1626" s="237"/>
      <c r="E1626" s="234"/>
    </row>
    <row r="1627">
      <c r="A1627" s="237"/>
      <c r="E1627" s="234"/>
    </row>
    <row r="1628">
      <c r="A1628" s="237"/>
      <c r="E1628" s="234"/>
    </row>
    <row r="1629">
      <c r="A1629" s="237"/>
      <c r="E1629" s="234"/>
    </row>
    <row r="1630">
      <c r="A1630" s="237"/>
      <c r="E1630" s="234"/>
    </row>
    <row r="1631">
      <c r="A1631" s="237"/>
      <c r="E1631" s="234"/>
    </row>
    <row r="1632">
      <c r="A1632" s="237"/>
      <c r="E1632" s="234"/>
    </row>
    <row r="1633">
      <c r="A1633" s="237"/>
      <c r="E1633" s="234"/>
    </row>
    <row r="1634">
      <c r="A1634" s="237"/>
      <c r="E1634" s="234"/>
    </row>
    <row r="1635">
      <c r="A1635" s="237"/>
      <c r="E1635" s="234"/>
    </row>
    <row r="1636">
      <c r="A1636" s="237"/>
      <c r="E1636" s="234"/>
    </row>
    <row r="1637">
      <c r="A1637" s="237"/>
      <c r="E1637" s="234"/>
    </row>
    <row r="1638">
      <c r="A1638" s="237"/>
      <c r="E1638" s="234"/>
    </row>
    <row r="1639">
      <c r="A1639" s="237"/>
      <c r="E1639" s="234"/>
    </row>
    <row r="1640">
      <c r="A1640" s="237"/>
      <c r="E1640" s="234"/>
    </row>
    <row r="1641">
      <c r="A1641" s="237"/>
      <c r="E1641" s="234"/>
    </row>
    <row r="1642">
      <c r="A1642" s="237"/>
      <c r="E1642" s="234"/>
    </row>
    <row r="1643">
      <c r="A1643" s="237"/>
      <c r="E1643" s="234"/>
    </row>
    <row r="1644">
      <c r="A1644" s="237"/>
      <c r="E1644" s="234"/>
    </row>
    <row r="1645">
      <c r="A1645" s="237"/>
      <c r="E1645" s="234"/>
    </row>
    <row r="1646">
      <c r="A1646" s="237"/>
      <c r="E1646" s="234"/>
    </row>
    <row r="1647">
      <c r="A1647" s="237"/>
      <c r="E1647" s="234"/>
    </row>
    <row r="1648">
      <c r="A1648" s="237"/>
      <c r="E1648" s="234"/>
    </row>
    <row r="1649">
      <c r="A1649" s="237"/>
      <c r="E1649" s="234"/>
    </row>
    <row r="1650">
      <c r="A1650" s="237"/>
      <c r="E1650" s="234"/>
    </row>
    <row r="1651">
      <c r="A1651" s="237"/>
      <c r="E1651" s="234"/>
    </row>
    <row r="1652">
      <c r="A1652" s="237"/>
      <c r="E1652" s="234"/>
    </row>
    <row r="1653">
      <c r="A1653" s="237"/>
      <c r="E1653" s="234"/>
    </row>
    <row r="1654">
      <c r="A1654" s="237"/>
      <c r="E1654" s="234"/>
    </row>
    <row r="1655">
      <c r="A1655" s="237"/>
      <c r="E1655" s="234"/>
    </row>
    <row r="1656">
      <c r="A1656" s="237"/>
      <c r="E1656" s="234"/>
    </row>
    <row r="1657">
      <c r="A1657" s="237"/>
      <c r="E1657" s="234"/>
    </row>
    <row r="1658">
      <c r="A1658" s="237"/>
      <c r="E1658" s="234"/>
    </row>
    <row r="1659">
      <c r="A1659" s="237"/>
      <c r="E1659" s="234"/>
    </row>
    <row r="1660">
      <c r="A1660" s="237"/>
      <c r="E1660" s="234"/>
    </row>
    <row r="1661">
      <c r="A1661" s="237"/>
      <c r="E1661" s="234"/>
    </row>
    <row r="1662">
      <c r="A1662" s="237"/>
      <c r="E1662" s="234"/>
    </row>
    <row r="1663">
      <c r="A1663" s="237"/>
      <c r="E1663" s="234"/>
    </row>
    <row r="1664">
      <c r="A1664" s="237"/>
      <c r="E1664" s="234"/>
    </row>
    <row r="1665">
      <c r="A1665" s="237"/>
      <c r="E1665" s="234"/>
    </row>
    <row r="1666">
      <c r="A1666" s="237"/>
      <c r="E1666" s="234"/>
    </row>
    <row r="1667">
      <c r="A1667" s="237"/>
      <c r="E1667" s="234"/>
    </row>
    <row r="1668">
      <c r="A1668" s="237"/>
      <c r="E1668" s="234"/>
    </row>
    <row r="1669">
      <c r="A1669" s="237"/>
      <c r="E1669" s="234"/>
    </row>
    <row r="1670">
      <c r="A1670" s="237"/>
      <c r="E1670" s="234"/>
    </row>
    <row r="1671">
      <c r="A1671" s="237"/>
      <c r="E1671" s="234"/>
    </row>
    <row r="1672">
      <c r="A1672" s="237"/>
      <c r="E1672" s="234"/>
    </row>
    <row r="1673">
      <c r="A1673" s="237"/>
      <c r="E1673" s="234"/>
    </row>
    <row r="1674">
      <c r="A1674" s="237"/>
      <c r="E1674" s="234"/>
    </row>
    <row r="1675">
      <c r="A1675" s="237"/>
      <c r="E1675" s="234"/>
    </row>
    <row r="1676">
      <c r="A1676" s="237"/>
      <c r="E1676" s="234"/>
    </row>
    <row r="1677">
      <c r="A1677" s="237"/>
      <c r="E1677" s="234"/>
    </row>
    <row r="1678">
      <c r="A1678" s="237"/>
      <c r="E1678" s="234"/>
    </row>
    <row r="1679">
      <c r="A1679" s="237"/>
      <c r="E1679" s="234"/>
    </row>
    <row r="1680">
      <c r="A1680" s="237"/>
      <c r="E1680" s="234"/>
    </row>
    <row r="1681">
      <c r="A1681" s="237"/>
      <c r="E1681" s="234"/>
    </row>
    <row r="1682">
      <c r="A1682" s="237"/>
      <c r="E1682" s="234"/>
    </row>
    <row r="1683">
      <c r="A1683" s="237"/>
      <c r="E1683" s="234"/>
    </row>
    <row r="1684">
      <c r="A1684" s="237"/>
      <c r="E1684" s="234"/>
    </row>
    <row r="1685">
      <c r="A1685" s="237"/>
      <c r="E1685" s="234"/>
    </row>
    <row r="1686">
      <c r="A1686" s="237"/>
      <c r="E1686" s="234"/>
    </row>
    <row r="1687">
      <c r="A1687" s="237"/>
      <c r="E1687" s="234"/>
    </row>
    <row r="1688">
      <c r="A1688" s="237"/>
      <c r="E1688" s="234"/>
    </row>
    <row r="1689">
      <c r="A1689" s="237"/>
      <c r="E1689" s="234"/>
    </row>
    <row r="1690">
      <c r="A1690" s="237"/>
      <c r="E1690" s="234"/>
    </row>
    <row r="1691">
      <c r="A1691" s="237"/>
      <c r="E1691" s="234"/>
    </row>
    <row r="1692">
      <c r="A1692" s="237"/>
      <c r="E1692" s="234"/>
    </row>
    <row r="1693">
      <c r="A1693" s="237"/>
      <c r="E1693" s="234"/>
    </row>
    <row r="1694">
      <c r="A1694" s="237"/>
      <c r="E1694" s="234"/>
    </row>
    <row r="1695">
      <c r="A1695" s="237"/>
      <c r="E1695" s="234"/>
    </row>
    <row r="1696">
      <c r="A1696" s="237"/>
      <c r="E1696" s="234"/>
    </row>
    <row r="1697">
      <c r="A1697" s="237"/>
      <c r="E1697" s="234"/>
    </row>
    <row r="1698">
      <c r="A1698" s="237"/>
      <c r="E1698" s="234"/>
    </row>
    <row r="1699">
      <c r="A1699" s="237"/>
      <c r="E1699" s="234"/>
    </row>
    <row r="1700">
      <c r="A1700" s="237"/>
      <c r="E1700" s="234"/>
    </row>
    <row r="1701">
      <c r="A1701" s="237"/>
      <c r="E1701" s="234"/>
    </row>
    <row r="1702">
      <c r="A1702" s="237"/>
      <c r="E1702" s="234"/>
    </row>
    <row r="1703">
      <c r="A1703" s="237"/>
      <c r="E1703" s="234"/>
    </row>
    <row r="1704">
      <c r="A1704" s="237"/>
      <c r="E1704" s="234"/>
    </row>
    <row r="1705">
      <c r="A1705" s="237"/>
      <c r="E1705" s="234"/>
    </row>
    <row r="1706">
      <c r="A1706" s="237"/>
      <c r="E1706" s="234"/>
    </row>
    <row r="1707">
      <c r="A1707" s="237"/>
      <c r="E1707" s="234"/>
    </row>
    <row r="1708">
      <c r="A1708" s="237"/>
      <c r="E1708" s="234"/>
    </row>
    <row r="1709">
      <c r="A1709" s="237"/>
      <c r="E1709" s="234"/>
    </row>
    <row r="1710">
      <c r="A1710" s="237"/>
      <c r="E1710" s="234"/>
    </row>
    <row r="1711">
      <c r="A1711" s="237"/>
      <c r="E1711" s="234"/>
    </row>
    <row r="1712">
      <c r="A1712" s="237"/>
      <c r="E1712" s="234"/>
    </row>
    <row r="1713">
      <c r="A1713" s="237"/>
      <c r="E1713" s="234"/>
    </row>
    <row r="1714">
      <c r="A1714" s="237"/>
      <c r="E1714" s="234"/>
    </row>
    <row r="1715">
      <c r="A1715" s="237"/>
      <c r="E1715" s="234"/>
    </row>
    <row r="1716">
      <c r="A1716" s="237"/>
      <c r="E1716" s="234"/>
    </row>
    <row r="1717">
      <c r="A1717" s="237"/>
      <c r="E1717" s="234"/>
    </row>
    <row r="1718">
      <c r="A1718" s="237"/>
      <c r="E1718" s="234"/>
    </row>
    <row r="1719">
      <c r="A1719" s="237"/>
      <c r="E1719" s="234"/>
    </row>
    <row r="1720">
      <c r="A1720" s="237"/>
      <c r="E1720" s="234"/>
    </row>
    <row r="1721">
      <c r="A1721" s="237"/>
      <c r="E1721" s="234"/>
    </row>
    <row r="1722">
      <c r="A1722" s="237"/>
      <c r="E1722" s="234"/>
    </row>
    <row r="1723">
      <c r="A1723" s="237"/>
      <c r="E1723" s="234"/>
    </row>
    <row r="1724">
      <c r="A1724" s="237"/>
      <c r="E1724" s="234"/>
    </row>
    <row r="1725">
      <c r="A1725" s="237"/>
      <c r="E1725" s="234"/>
    </row>
    <row r="1726">
      <c r="A1726" s="237"/>
      <c r="E1726" s="234"/>
    </row>
    <row r="1727">
      <c r="A1727" s="237"/>
      <c r="E1727" s="234"/>
    </row>
    <row r="1728">
      <c r="A1728" s="237"/>
      <c r="E1728" s="234"/>
    </row>
    <row r="1729">
      <c r="A1729" s="237"/>
      <c r="E1729" s="234"/>
    </row>
    <row r="1730">
      <c r="A1730" s="237"/>
      <c r="E1730" s="234"/>
    </row>
    <row r="1731">
      <c r="A1731" s="237"/>
      <c r="E1731" s="234"/>
    </row>
    <row r="1732">
      <c r="A1732" s="237"/>
      <c r="E1732" s="234"/>
    </row>
    <row r="1733">
      <c r="A1733" s="237"/>
      <c r="E1733" s="234"/>
    </row>
    <row r="1734">
      <c r="A1734" s="237"/>
      <c r="E1734" s="234"/>
    </row>
    <row r="1735">
      <c r="A1735" s="237"/>
      <c r="E1735" s="234"/>
    </row>
    <row r="1736">
      <c r="A1736" s="237"/>
      <c r="E1736" s="234"/>
    </row>
    <row r="1737">
      <c r="A1737" s="237"/>
      <c r="E1737" s="234"/>
    </row>
    <row r="1738">
      <c r="A1738" s="237"/>
      <c r="E1738" s="234"/>
    </row>
    <row r="1739">
      <c r="A1739" s="237"/>
      <c r="E1739" s="234"/>
    </row>
    <row r="1740">
      <c r="A1740" s="237"/>
      <c r="E1740" s="234"/>
    </row>
    <row r="1741">
      <c r="A1741" s="237"/>
      <c r="E1741" s="234"/>
    </row>
    <row r="1742">
      <c r="A1742" s="237"/>
      <c r="E1742" s="234"/>
    </row>
    <row r="1743">
      <c r="A1743" s="237"/>
      <c r="E1743" s="234"/>
    </row>
    <row r="1744">
      <c r="A1744" s="237"/>
      <c r="E1744" s="234"/>
    </row>
    <row r="1745">
      <c r="A1745" s="237"/>
      <c r="E1745" s="234"/>
    </row>
    <row r="1746">
      <c r="A1746" s="237"/>
      <c r="E1746" s="234"/>
    </row>
    <row r="1747">
      <c r="A1747" s="237"/>
      <c r="E1747" s="234"/>
    </row>
    <row r="1748">
      <c r="A1748" s="237"/>
      <c r="E1748" s="234"/>
    </row>
    <row r="1749">
      <c r="A1749" s="237"/>
      <c r="E1749" s="234"/>
    </row>
    <row r="1750">
      <c r="A1750" s="237"/>
      <c r="E1750" s="234"/>
    </row>
    <row r="1751">
      <c r="A1751" s="237"/>
      <c r="E1751" s="234"/>
    </row>
    <row r="1752">
      <c r="A1752" s="237"/>
      <c r="E1752" s="234"/>
    </row>
    <row r="1753">
      <c r="A1753" s="237"/>
      <c r="E1753" s="234"/>
    </row>
    <row r="1754">
      <c r="A1754" s="237"/>
      <c r="E1754" s="234"/>
    </row>
    <row r="1755">
      <c r="A1755" s="237"/>
      <c r="E1755" s="234"/>
    </row>
    <row r="1756">
      <c r="A1756" s="237"/>
      <c r="E1756" s="234"/>
    </row>
    <row r="1757">
      <c r="A1757" s="237"/>
      <c r="E1757" s="234"/>
    </row>
    <row r="1758">
      <c r="A1758" s="237"/>
      <c r="E1758" s="234"/>
    </row>
    <row r="1759">
      <c r="A1759" s="237"/>
      <c r="E1759" s="234"/>
    </row>
    <row r="1760">
      <c r="A1760" s="237"/>
      <c r="E1760" s="234"/>
    </row>
    <row r="1761">
      <c r="A1761" s="237"/>
      <c r="E1761" s="234"/>
    </row>
    <row r="1762">
      <c r="A1762" s="237"/>
      <c r="E1762" s="234"/>
    </row>
    <row r="1763">
      <c r="A1763" s="237"/>
      <c r="E1763" s="234"/>
    </row>
    <row r="1764">
      <c r="A1764" s="237"/>
      <c r="E1764" s="234"/>
    </row>
    <row r="1765">
      <c r="A1765" s="237"/>
      <c r="E1765" s="234"/>
    </row>
    <row r="1766">
      <c r="A1766" s="237"/>
      <c r="E1766" s="234"/>
    </row>
    <row r="1767">
      <c r="A1767" s="237"/>
      <c r="E1767" s="234"/>
    </row>
    <row r="1768">
      <c r="A1768" s="237"/>
      <c r="E1768" s="234"/>
    </row>
    <row r="1769">
      <c r="A1769" s="237"/>
      <c r="E1769" s="234"/>
    </row>
    <row r="1770">
      <c r="A1770" s="237"/>
      <c r="E1770" s="234"/>
    </row>
    <row r="1771">
      <c r="A1771" s="237"/>
      <c r="E1771" s="234"/>
    </row>
    <row r="1772">
      <c r="A1772" s="237"/>
      <c r="E1772" s="234"/>
    </row>
    <row r="1773">
      <c r="A1773" s="237"/>
      <c r="E1773" s="234"/>
    </row>
    <row r="1774">
      <c r="A1774" s="237"/>
      <c r="E1774" s="234"/>
    </row>
    <row r="1775">
      <c r="A1775" s="237"/>
      <c r="E1775" s="234"/>
    </row>
    <row r="1776">
      <c r="A1776" s="237"/>
      <c r="E1776" s="234"/>
    </row>
    <row r="1777">
      <c r="A1777" s="237"/>
      <c r="E1777" s="234"/>
    </row>
    <row r="1778">
      <c r="A1778" s="237"/>
      <c r="E1778" s="234"/>
    </row>
    <row r="1779">
      <c r="A1779" s="237"/>
      <c r="E1779" s="234"/>
    </row>
    <row r="1780">
      <c r="A1780" s="237"/>
      <c r="E1780" s="234"/>
    </row>
    <row r="1781">
      <c r="A1781" s="237"/>
      <c r="E1781" s="234"/>
    </row>
    <row r="1782">
      <c r="A1782" s="237"/>
      <c r="E1782" s="234"/>
    </row>
    <row r="1783">
      <c r="A1783" s="237"/>
      <c r="E1783" s="234"/>
    </row>
    <row r="1784">
      <c r="A1784" s="237"/>
      <c r="E1784" s="234"/>
    </row>
    <row r="1785">
      <c r="A1785" s="237"/>
      <c r="E1785" s="234"/>
    </row>
    <row r="1786">
      <c r="A1786" s="237"/>
      <c r="E1786" s="234"/>
    </row>
    <row r="1787">
      <c r="A1787" s="237"/>
      <c r="E1787" s="234"/>
    </row>
    <row r="1788">
      <c r="A1788" s="237"/>
      <c r="E1788" s="234"/>
    </row>
    <row r="1789">
      <c r="A1789" s="237"/>
      <c r="E1789" s="234"/>
    </row>
    <row r="1790">
      <c r="A1790" s="237"/>
      <c r="E1790" s="234"/>
    </row>
    <row r="1791">
      <c r="A1791" s="237"/>
      <c r="E1791" s="234"/>
    </row>
    <row r="1792">
      <c r="A1792" s="237"/>
      <c r="E1792" s="234"/>
    </row>
    <row r="1793">
      <c r="A1793" s="237"/>
      <c r="E1793" s="234"/>
    </row>
    <row r="1794">
      <c r="A1794" s="237"/>
      <c r="E1794" s="234"/>
    </row>
    <row r="1795">
      <c r="A1795" s="237"/>
      <c r="E1795" s="234"/>
    </row>
    <row r="1796">
      <c r="A1796" s="237"/>
      <c r="E1796" s="234"/>
    </row>
    <row r="1797">
      <c r="A1797" s="237"/>
      <c r="E1797" s="234"/>
    </row>
    <row r="1798">
      <c r="A1798" s="237"/>
      <c r="E1798" s="234"/>
    </row>
    <row r="1799">
      <c r="A1799" s="237"/>
      <c r="E1799" s="234"/>
    </row>
    <row r="1800">
      <c r="A1800" s="237"/>
      <c r="E1800" s="234"/>
    </row>
    <row r="1801">
      <c r="A1801" s="237"/>
      <c r="E1801" s="234"/>
    </row>
    <row r="1802">
      <c r="A1802" s="237"/>
      <c r="E1802" s="234"/>
    </row>
    <row r="1803">
      <c r="A1803" s="237"/>
      <c r="E1803" s="234"/>
    </row>
    <row r="1804">
      <c r="A1804" s="237"/>
      <c r="E1804" s="234"/>
    </row>
    <row r="1805">
      <c r="A1805" s="237"/>
      <c r="E1805" s="234"/>
    </row>
    <row r="1806">
      <c r="A1806" s="237"/>
      <c r="E1806" s="234"/>
    </row>
    <row r="1807">
      <c r="A1807" s="237"/>
      <c r="E1807" s="234"/>
    </row>
    <row r="1808">
      <c r="A1808" s="237"/>
      <c r="E1808" s="234"/>
    </row>
    <row r="1809">
      <c r="A1809" s="237"/>
      <c r="E1809" s="234"/>
    </row>
    <row r="1810">
      <c r="A1810" s="237"/>
      <c r="E1810" s="234"/>
    </row>
    <row r="1811">
      <c r="A1811" s="237"/>
      <c r="E1811" s="234"/>
    </row>
    <row r="1812">
      <c r="A1812" s="237"/>
      <c r="E1812" s="234"/>
    </row>
    <row r="1813">
      <c r="A1813" s="237"/>
      <c r="E1813" s="234"/>
    </row>
    <row r="1814">
      <c r="A1814" s="237"/>
      <c r="E1814" s="234"/>
    </row>
    <row r="1815">
      <c r="A1815" s="237"/>
      <c r="E1815" s="234"/>
    </row>
    <row r="1816">
      <c r="A1816" s="237"/>
      <c r="E1816" s="234"/>
    </row>
    <row r="1817">
      <c r="A1817" s="237"/>
      <c r="E1817" s="234"/>
    </row>
    <row r="1818">
      <c r="A1818" s="237"/>
      <c r="E1818" s="234"/>
    </row>
    <row r="1819">
      <c r="A1819" s="237"/>
      <c r="E1819" s="234"/>
    </row>
    <row r="1820">
      <c r="A1820" s="237"/>
      <c r="E1820" s="234"/>
    </row>
    <row r="1821">
      <c r="A1821" s="237"/>
      <c r="E1821" s="234"/>
    </row>
    <row r="1822">
      <c r="A1822" s="237"/>
      <c r="E1822" s="234"/>
    </row>
    <row r="1823">
      <c r="A1823" s="237"/>
      <c r="E1823" s="234"/>
    </row>
    <row r="1824">
      <c r="A1824" s="237"/>
      <c r="E1824" s="234"/>
    </row>
    <row r="1825">
      <c r="A1825" s="237"/>
      <c r="E1825" s="234"/>
    </row>
    <row r="1826">
      <c r="A1826" s="237"/>
      <c r="E1826" s="234"/>
    </row>
    <row r="1827">
      <c r="A1827" s="237"/>
      <c r="E1827" s="234"/>
    </row>
    <row r="1828">
      <c r="A1828" s="237"/>
      <c r="E1828" s="234"/>
    </row>
    <row r="1829">
      <c r="A1829" s="237"/>
      <c r="E1829" s="234"/>
    </row>
    <row r="1830">
      <c r="A1830" s="237"/>
      <c r="E1830" s="234"/>
    </row>
    <row r="1831">
      <c r="A1831" s="237"/>
      <c r="E1831" s="234"/>
    </row>
    <row r="1832">
      <c r="A1832" s="237"/>
      <c r="E1832" s="234"/>
    </row>
    <row r="1833">
      <c r="A1833" s="237"/>
      <c r="E1833" s="234"/>
    </row>
    <row r="1834">
      <c r="A1834" s="237"/>
      <c r="E1834" s="234"/>
    </row>
    <row r="1835">
      <c r="A1835" s="237"/>
      <c r="E1835" s="234"/>
    </row>
    <row r="1836">
      <c r="A1836" s="237"/>
      <c r="E1836" s="234"/>
    </row>
    <row r="1837">
      <c r="A1837" s="237"/>
      <c r="E1837" s="234"/>
    </row>
    <row r="1838">
      <c r="A1838" s="237"/>
      <c r="E1838" s="234"/>
    </row>
    <row r="1839">
      <c r="A1839" s="237"/>
      <c r="E1839" s="234"/>
    </row>
    <row r="1840">
      <c r="A1840" s="237"/>
      <c r="E1840" s="234"/>
    </row>
    <row r="1841">
      <c r="A1841" s="237"/>
      <c r="E1841" s="234"/>
    </row>
    <row r="1842">
      <c r="A1842" s="237"/>
      <c r="E1842" s="234"/>
    </row>
    <row r="1843">
      <c r="A1843" s="237"/>
      <c r="E1843" s="234"/>
    </row>
    <row r="1844">
      <c r="A1844" s="237"/>
      <c r="E1844" s="234"/>
    </row>
    <row r="1845">
      <c r="A1845" s="237"/>
      <c r="E1845" s="234"/>
    </row>
    <row r="1846">
      <c r="A1846" s="237"/>
      <c r="E1846" s="234"/>
    </row>
    <row r="1847">
      <c r="A1847" s="237"/>
      <c r="E1847" s="234"/>
    </row>
    <row r="1848">
      <c r="A1848" s="237"/>
      <c r="E1848" s="234"/>
    </row>
    <row r="1849">
      <c r="A1849" s="237"/>
      <c r="E1849" s="234"/>
    </row>
    <row r="1850">
      <c r="A1850" s="237"/>
      <c r="E1850" s="234"/>
    </row>
    <row r="1851">
      <c r="A1851" s="237"/>
      <c r="E1851" s="234"/>
    </row>
    <row r="1852">
      <c r="A1852" s="237"/>
      <c r="E1852" s="234"/>
    </row>
    <row r="1853">
      <c r="A1853" s="237"/>
      <c r="E1853" s="234"/>
    </row>
    <row r="1854">
      <c r="A1854" s="237"/>
      <c r="E1854" s="234"/>
    </row>
    <row r="1855">
      <c r="A1855" s="237"/>
      <c r="E1855" s="234"/>
    </row>
    <row r="1856">
      <c r="A1856" s="237"/>
      <c r="E1856" s="234"/>
    </row>
    <row r="1857">
      <c r="A1857" s="237"/>
      <c r="E1857" s="234"/>
    </row>
    <row r="1858">
      <c r="A1858" s="237"/>
      <c r="E1858" s="234"/>
    </row>
    <row r="1859">
      <c r="A1859" s="237"/>
      <c r="E1859" s="234"/>
    </row>
    <row r="1860">
      <c r="A1860" s="237"/>
      <c r="E1860" s="234"/>
    </row>
    <row r="1861">
      <c r="A1861" s="237"/>
      <c r="E1861" s="234"/>
    </row>
    <row r="1862">
      <c r="A1862" s="237"/>
      <c r="E1862" s="234"/>
    </row>
    <row r="1863">
      <c r="A1863" s="237"/>
      <c r="E1863" s="234"/>
    </row>
    <row r="1864">
      <c r="A1864" s="237"/>
      <c r="E1864" s="234"/>
    </row>
    <row r="1865">
      <c r="A1865" s="237"/>
      <c r="E1865" s="234"/>
    </row>
    <row r="1866">
      <c r="A1866" s="237"/>
      <c r="E1866" s="234"/>
    </row>
    <row r="1867">
      <c r="A1867" s="237"/>
      <c r="E1867" s="234"/>
    </row>
    <row r="1868">
      <c r="A1868" s="237"/>
      <c r="E1868" s="234"/>
    </row>
    <row r="1869">
      <c r="A1869" s="237"/>
      <c r="E1869" s="234"/>
    </row>
    <row r="1870">
      <c r="A1870" s="237"/>
      <c r="E1870" s="234"/>
    </row>
    <row r="1871">
      <c r="A1871" s="237"/>
      <c r="E1871" s="234"/>
    </row>
    <row r="1872">
      <c r="A1872" s="237"/>
      <c r="E1872" s="234"/>
    </row>
    <row r="1873">
      <c r="A1873" s="237"/>
      <c r="E1873" s="234"/>
    </row>
    <row r="1874">
      <c r="A1874" s="237"/>
      <c r="E1874" s="234"/>
    </row>
    <row r="1875">
      <c r="A1875" s="237"/>
      <c r="E1875" s="234"/>
    </row>
    <row r="1876">
      <c r="A1876" s="237"/>
      <c r="E1876" s="234"/>
    </row>
    <row r="1877">
      <c r="A1877" s="237"/>
      <c r="E1877" s="234"/>
    </row>
    <row r="1878">
      <c r="A1878" s="237"/>
      <c r="E1878" s="234"/>
    </row>
    <row r="1879">
      <c r="A1879" s="237"/>
      <c r="E1879" s="234"/>
    </row>
    <row r="1880">
      <c r="A1880" s="237"/>
      <c r="E1880" s="234"/>
    </row>
    <row r="1881">
      <c r="A1881" s="237"/>
      <c r="E1881" s="234"/>
    </row>
    <row r="1882">
      <c r="A1882" s="237"/>
      <c r="E1882" s="234"/>
    </row>
    <row r="1883">
      <c r="A1883" s="237"/>
      <c r="E1883" s="234"/>
    </row>
    <row r="1884">
      <c r="A1884" s="237"/>
      <c r="E1884" s="234"/>
    </row>
    <row r="1885">
      <c r="A1885" s="237"/>
      <c r="E1885" s="234"/>
    </row>
    <row r="1886">
      <c r="A1886" s="237"/>
      <c r="E1886" s="234"/>
    </row>
    <row r="1887">
      <c r="A1887" s="237"/>
      <c r="E1887" s="234"/>
    </row>
    <row r="1888">
      <c r="A1888" s="237"/>
      <c r="E1888" s="234"/>
    </row>
    <row r="1889">
      <c r="A1889" s="237"/>
      <c r="E1889" s="234"/>
    </row>
    <row r="1890">
      <c r="A1890" s="237"/>
      <c r="E1890" s="234"/>
    </row>
    <row r="1891">
      <c r="A1891" s="237"/>
      <c r="E1891" s="234"/>
    </row>
    <row r="1892">
      <c r="A1892" s="237"/>
      <c r="E1892" s="234"/>
    </row>
    <row r="1893">
      <c r="A1893" s="237"/>
      <c r="E1893" s="234"/>
    </row>
    <row r="1894">
      <c r="A1894" s="237"/>
      <c r="E1894" s="234"/>
    </row>
    <row r="1895">
      <c r="A1895" s="237"/>
      <c r="E1895" s="234"/>
    </row>
    <row r="1896">
      <c r="A1896" s="237"/>
      <c r="E1896" s="234"/>
    </row>
    <row r="1897">
      <c r="A1897" s="237"/>
      <c r="E1897" s="234"/>
    </row>
    <row r="1898">
      <c r="A1898" s="237"/>
      <c r="E1898" s="234"/>
    </row>
    <row r="1899">
      <c r="A1899" s="237"/>
      <c r="E1899" s="234"/>
    </row>
    <row r="1900">
      <c r="A1900" s="237"/>
      <c r="E1900" s="234"/>
    </row>
    <row r="1901">
      <c r="A1901" s="237"/>
      <c r="E1901" s="234"/>
    </row>
    <row r="1902">
      <c r="A1902" s="237"/>
      <c r="E1902" s="234"/>
    </row>
    <row r="1903">
      <c r="A1903" s="237"/>
      <c r="E1903" s="234"/>
    </row>
    <row r="1904">
      <c r="A1904" s="237"/>
      <c r="E1904" s="234"/>
    </row>
    <row r="1905">
      <c r="A1905" s="237"/>
      <c r="E1905" s="234"/>
    </row>
    <row r="1906">
      <c r="A1906" s="237"/>
      <c r="E1906" s="234"/>
    </row>
    <row r="1907">
      <c r="A1907" s="237"/>
      <c r="E1907" s="234"/>
    </row>
    <row r="1908">
      <c r="A1908" s="237"/>
      <c r="E1908" s="234"/>
    </row>
    <row r="1909">
      <c r="A1909" s="237"/>
      <c r="E1909" s="234"/>
    </row>
    <row r="1910">
      <c r="A1910" s="237"/>
      <c r="E1910" s="234"/>
    </row>
    <row r="1911">
      <c r="A1911" s="237"/>
      <c r="E1911" s="234"/>
    </row>
    <row r="1912">
      <c r="A1912" s="237"/>
      <c r="E1912" s="234"/>
    </row>
    <row r="1913">
      <c r="A1913" s="237"/>
      <c r="E1913" s="234"/>
    </row>
    <row r="1914">
      <c r="A1914" s="237"/>
      <c r="E1914" s="234"/>
    </row>
    <row r="1915">
      <c r="A1915" s="237"/>
      <c r="E1915" s="234"/>
    </row>
    <row r="1916">
      <c r="A1916" s="237"/>
      <c r="E1916" s="234"/>
    </row>
    <row r="1917">
      <c r="A1917" s="237"/>
      <c r="E1917" s="234"/>
    </row>
    <row r="1918">
      <c r="A1918" s="237"/>
      <c r="E1918" s="234"/>
    </row>
    <row r="1919">
      <c r="A1919" s="237"/>
      <c r="E1919" s="234"/>
    </row>
    <row r="1920">
      <c r="A1920" s="237"/>
      <c r="E1920" s="234"/>
    </row>
    <row r="1921">
      <c r="A1921" s="237"/>
      <c r="E1921" s="234"/>
    </row>
    <row r="1922">
      <c r="A1922" s="237"/>
      <c r="E1922" s="234"/>
    </row>
    <row r="1923">
      <c r="A1923" s="237"/>
      <c r="E1923" s="234"/>
    </row>
    <row r="1924">
      <c r="A1924" s="237"/>
      <c r="E1924" s="234"/>
    </row>
    <row r="1925">
      <c r="A1925" s="237"/>
      <c r="E1925" s="234"/>
    </row>
    <row r="1926">
      <c r="A1926" s="237"/>
      <c r="E1926" s="234"/>
    </row>
    <row r="1927">
      <c r="A1927" s="237"/>
      <c r="E1927" s="234"/>
    </row>
    <row r="1928">
      <c r="A1928" s="237"/>
      <c r="E1928" s="234"/>
    </row>
    <row r="1929">
      <c r="A1929" s="237"/>
      <c r="E1929" s="234"/>
    </row>
    <row r="1930">
      <c r="A1930" s="237"/>
      <c r="E1930" s="234"/>
    </row>
    <row r="1931">
      <c r="A1931" s="237"/>
      <c r="E1931" s="234"/>
    </row>
    <row r="1932">
      <c r="A1932" s="237"/>
      <c r="E1932" s="234"/>
    </row>
    <row r="1933">
      <c r="A1933" s="237"/>
      <c r="E1933" s="234"/>
    </row>
    <row r="1934">
      <c r="A1934" s="237"/>
      <c r="E1934" s="234"/>
    </row>
    <row r="1935">
      <c r="A1935" s="237"/>
      <c r="E1935" s="234"/>
    </row>
    <row r="1936">
      <c r="A1936" s="237"/>
      <c r="E1936" s="234"/>
    </row>
    <row r="1937">
      <c r="A1937" s="237"/>
      <c r="E1937" s="234"/>
    </row>
    <row r="1938">
      <c r="A1938" s="237"/>
      <c r="E1938" s="234"/>
    </row>
    <row r="1939">
      <c r="A1939" s="237"/>
      <c r="E1939" s="234"/>
    </row>
    <row r="1940">
      <c r="A1940" s="237"/>
      <c r="E1940" s="234"/>
    </row>
    <row r="1941">
      <c r="A1941" s="237"/>
      <c r="E1941" s="234"/>
    </row>
    <row r="1942">
      <c r="A1942" s="237"/>
      <c r="E1942" s="234"/>
    </row>
    <row r="1943">
      <c r="A1943" s="237"/>
      <c r="E1943" s="234"/>
    </row>
    <row r="1944">
      <c r="A1944" s="237"/>
      <c r="E1944" s="234"/>
    </row>
    <row r="1945">
      <c r="A1945" s="237"/>
      <c r="E1945" s="234"/>
    </row>
    <row r="1946">
      <c r="A1946" s="237"/>
      <c r="E1946" s="234"/>
    </row>
    <row r="1947">
      <c r="A1947" s="237"/>
      <c r="E1947" s="234"/>
    </row>
    <row r="1948">
      <c r="A1948" s="237"/>
      <c r="E1948" s="234"/>
    </row>
    <row r="1949">
      <c r="A1949" s="237"/>
      <c r="E1949" s="234"/>
    </row>
    <row r="1950">
      <c r="A1950" s="237"/>
      <c r="E1950" s="234"/>
    </row>
    <row r="1951">
      <c r="A1951" s="237"/>
      <c r="E1951" s="234"/>
    </row>
    <row r="1952">
      <c r="A1952" s="237"/>
      <c r="E1952" s="234"/>
    </row>
    <row r="1953">
      <c r="A1953" s="237"/>
      <c r="E1953" s="234"/>
    </row>
    <row r="1954">
      <c r="A1954" s="237"/>
      <c r="E1954" s="234"/>
    </row>
    <row r="1955">
      <c r="A1955" s="237"/>
      <c r="E1955" s="234"/>
    </row>
    <row r="1956">
      <c r="A1956" s="237"/>
      <c r="E1956" s="234"/>
    </row>
    <row r="1957">
      <c r="A1957" s="237"/>
      <c r="E1957" s="234"/>
    </row>
    <row r="1958">
      <c r="A1958" s="237"/>
      <c r="E1958" s="234"/>
    </row>
    <row r="1959">
      <c r="A1959" s="237"/>
      <c r="E1959" s="234"/>
    </row>
    <row r="1960">
      <c r="A1960" s="237"/>
      <c r="E1960" s="234"/>
    </row>
    <row r="1961">
      <c r="A1961" s="237"/>
      <c r="E1961" s="234"/>
    </row>
    <row r="1962">
      <c r="A1962" s="237"/>
      <c r="E1962" s="234"/>
    </row>
    <row r="1963">
      <c r="A1963" s="237"/>
      <c r="E1963" s="234"/>
    </row>
    <row r="1964">
      <c r="A1964" s="237"/>
      <c r="E1964" s="234"/>
    </row>
    <row r="1965">
      <c r="A1965" s="237"/>
      <c r="E1965" s="234"/>
    </row>
    <row r="1966">
      <c r="A1966" s="237"/>
      <c r="E1966" s="234"/>
    </row>
    <row r="1967">
      <c r="A1967" s="237"/>
      <c r="E1967" s="234"/>
    </row>
    <row r="1968">
      <c r="A1968" s="237"/>
      <c r="E1968" s="234"/>
    </row>
    <row r="1969">
      <c r="A1969" s="237"/>
      <c r="E1969" s="234"/>
    </row>
    <row r="1970">
      <c r="A1970" s="237"/>
      <c r="E1970" s="234"/>
    </row>
    <row r="1971">
      <c r="A1971" s="237"/>
      <c r="E1971" s="234"/>
    </row>
    <row r="1972">
      <c r="A1972" s="237"/>
      <c r="E1972" s="234"/>
    </row>
    <row r="1973">
      <c r="A1973" s="237"/>
      <c r="E1973" s="234"/>
    </row>
    <row r="1974">
      <c r="A1974" s="237"/>
      <c r="E1974" s="234"/>
    </row>
    <row r="1975">
      <c r="A1975" s="237"/>
      <c r="E1975" s="234"/>
    </row>
    <row r="1976">
      <c r="A1976" s="237"/>
      <c r="E1976" s="234"/>
    </row>
    <row r="1977">
      <c r="A1977" s="237"/>
      <c r="E1977" s="234"/>
    </row>
    <row r="1978">
      <c r="A1978" s="237"/>
      <c r="E1978" s="234"/>
    </row>
    <row r="1979">
      <c r="A1979" s="237"/>
      <c r="E1979" s="234"/>
    </row>
    <row r="1980">
      <c r="A1980" s="237"/>
      <c r="E1980" s="234"/>
    </row>
    <row r="1981">
      <c r="A1981" s="237"/>
      <c r="E1981" s="234"/>
    </row>
    <row r="1982">
      <c r="A1982" s="237"/>
      <c r="E1982" s="234"/>
    </row>
    <row r="1983">
      <c r="A1983" s="237"/>
      <c r="E1983" s="234"/>
    </row>
    <row r="1984">
      <c r="A1984" s="237"/>
      <c r="E1984" s="234"/>
    </row>
    <row r="1985">
      <c r="A1985" s="237"/>
      <c r="E1985" s="234"/>
    </row>
    <row r="1986">
      <c r="A1986" s="237"/>
      <c r="E1986" s="234"/>
    </row>
    <row r="1987">
      <c r="A1987" s="237"/>
      <c r="E1987" s="234"/>
    </row>
    <row r="1988">
      <c r="A1988" s="237"/>
      <c r="E1988" s="234"/>
    </row>
    <row r="1989">
      <c r="A1989" s="237"/>
      <c r="E1989" s="234"/>
    </row>
    <row r="1990">
      <c r="A1990" s="237"/>
      <c r="E1990" s="234"/>
    </row>
    <row r="1991">
      <c r="A1991" s="237"/>
      <c r="E1991" s="234"/>
    </row>
    <row r="1992">
      <c r="A1992" s="237"/>
      <c r="E1992" s="234"/>
    </row>
    <row r="1993">
      <c r="A1993" s="237"/>
      <c r="E1993" s="234"/>
    </row>
    <row r="1994">
      <c r="A1994" s="237"/>
      <c r="E1994" s="234"/>
    </row>
    <row r="1995">
      <c r="A1995" s="237"/>
      <c r="E1995" s="234"/>
    </row>
    <row r="1996">
      <c r="A1996" s="237"/>
      <c r="E1996" s="234"/>
    </row>
    <row r="1997">
      <c r="A1997" s="237"/>
      <c r="E1997" s="234"/>
    </row>
    <row r="1998">
      <c r="A1998" s="237"/>
      <c r="E1998" s="234"/>
    </row>
    <row r="1999">
      <c r="A1999" s="237"/>
      <c r="E1999" s="234"/>
    </row>
    <row r="2000">
      <c r="A2000" s="237"/>
      <c r="E2000" s="234"/>
    </row>
    <row r="2001">
      <c r="A2001" s="237"/>
      <c r="E2001" s="234"/>
    </row>
    <row r="2002">
      <c r="A2002" s="237"/>
      <c r="E2002" s="234"/>
    </row>
    <row r="2003">
      <c r="A2003" s="237"/>
      <c r="E2003" s="234"/>
    </row>
    <row r="2004">
      <c r="A2004" s="237"/>
      <c r="E2004" s="234"/>
    </row>
    <row r="2005">
      <c r="A2005" s="237"/>
      <c r="E2005" s="234"/>
    </row>
    <row r="2006">
      <c r="A2006" s="237"/>
      <c r="E2006" s="234"/>
    </row>
    <row r="2007">
      <c r="A2007" s="237"/>
      <c r="E2007" s="234"/>
    </row>
    <row r="2008">
      <c r="A2008" s="237"/>
      <c r="E2008" s="234"/>
    </row>
    <row r="2009">
      <c r="A2009" s="237"/>
      <c r="E2009" s="234"/>
    </row>
    <row r="2010">
      <c r="A2010" s="237"/>
      <c r="E2010" s="234"/>
    </row>
    <row r="2011">
      <c r="A2011" s="237"/>
      <c r="E2011" s="234"/>
    </row>
    <row r="2012">
      <c r="A2012" s="237"/>
      <c r="E2012" s="234"/>
    </row>
    <row r="2013">
      <c r="A2013" s="237"/>
      <c r="E2013" s="234"/>
    </row>
    <row r="2014">
      <c r="A2014" s="237"/>
      <c r="E2014" s="234"/>
    </row>
    <row r="2015">
      <c r="A2015" s="237"/>
      <c r="E2015" s="234"/>
    </row>
    <row r="2016">
      <c r="A2016" s="237"/>
      <c r="E2016" s="234"/>
    </row>
    <row r="2017">
      <c r="A2017" s="237"/>
      <c r="E2017" s="234"/>
    </row>
    <row r="2018">
      <c r="A2018" s="237"/>
      <c r="E2018" s="234"/>
    </row>
    <row r="2019">
      <c r="A2019" s="237"/>
      <c r="E2019" s="234"/>
    </row>
    <row r="2020">
      <c r="A2020" s="237"/>
      <c r="E2020" s="234"/>
    </row>
    <row r="2021">
      <c r="A2021" s="237"/>
      <c r="E2021" s="234"/>
    </row>
    <row r="2022">
      <c r="A2022" s="237"/>
      <c r="E2022" s="234"/>
    </row>
    <row r="2023">
      <c r="A2023" s="237"/>
      <c r="E2023" s="234"/>
    </row>
    <row r="2024">
      <c r="A2024" s="237"/>
      <c r="E2024" s="234"/>
    </row>
    <row r="2025">
      <c r="A2025" s="237"/>
      <c r="E2025" s="234"/>
    </row>
    <row r="2026">
      <c r="A2026" s="237"/>
      <c r="E2026" s="234"/>
    </row>
    <row r="2027">
      <c r="A2027" s="237"/>
      <c r="E2027" s="234"/>
    </row>
    <row r="2028">
      <c r="A2028" s="237"/>
      <c r="E2028" s="234"/>
    </row>
    <row r="2029">
      <c r="A2029" s="237"/>
      <c r="E2029" s="234"/>
    </row>
    <row r="2030">
      <c r="A2030" s="237"/>
      <c r="E2030" s="234"/>
    </row>
    <row r="2031">
      <c r="A2031" s="237"/>
      <c r="E2031" s="234"/>
    </row>
    <row r="2032">
      <c r="A2032" s="237"/>
      <c r="E2032" s="234"/>
    </row>
    <row r="2033">
      <c r="A2033" s="237"/>
      <c r="E2033" s="234"/>
    </row>
    <row r="2034">
      <c r="A2034" s="237"/>
      <c r="E2034" s="234"/>
    </row>
    <row r="2035">
      <c r="A2035" s="237"/>
      <c r="E2035" s="234"/>
    </row>
    <row r="2036">
      <c r="A2036" s="237"/>
      <c r="E2036" s="234"/>
    </row>
    <row r="2037">
      <c r="A2037" s="237"/>
      <c r="E2037" s="234"/>
    </row>
    <row r="2038">
      <c r="A2038" s="237"/>
      <c r="E2038" s="234"/>
    </row>
    <row r="2039">
      <c r="A2039" s="237"/>
      <c r="E2039" s="234"/>
    </row>
    <row r="2040">
      <c r="A2040" s="237"/>
      <c r="E2040" s="234"/>
    </row>
    <row r="2041">
      <c r="A2041" s="237"/>
      <c r="E2041" s="234"/>
    </row>
    <row r="2042">
      <c r="A2042" s="237"/>
      <c r="E2042" s="234"/>
    </row>
    <row r="2043">
      <c r="A2043" s="237"/>
      <c r="E2043" s="234"/>
    </row>
    <row r="2044">
      <c r="A2044" s="237"/>
      <c r="E2044" s="234"/>
    </row>
    <row r="2045">
      <c r="A2045" s="237"/>
      <c r="E2045" s="234"/>
    </row>
    <row r="2046">
      <c r="A2046" s="237"/>
      <c r="E2046" s="234"/>
    </row>
    <row r="2047">
      <c r="A2047" s="237"/>
      <c r="E2047" s="234"/>
    </row>
    <row r="2048">
      <c r="A2048" s="237"/>
      <c r="E2048" s="234"/>
    </row>
    <row r="2049">
      <c r="A2049" s="237"/>
      <c r="E2049" s="234"/>
    </row>
    <row r="2050">
      <c r="A2050" s="237"/>
      <c r="E2050" s="234"/>
    </row>
    <row r="2051">
      <c r="A2051" s="237"/>
      <c r="E2051" s="234"/>
    </row>
    <row r="2052">
      <c r="A2052" s="237"/>
      <c r="E2052" s="234"/>
    </row>
    <row r="2053">
      <c r="A2053" s="237"/>
      <c r="E2053" s="234"/>
    </row>
    <row r="2054">
      <c r="A2054" s="237"/>
      <c r="E2054" s="234"/>
    </row>
    <row r="2055">
      <c r="A2055" s="237"/>
      <c r="E2055" s="234"/>
    </row>
    <row r="2056">
      <c r="A2056" s="237"/>
      <c r="E2056" s="234"/>
    </row>
    <row r="2057">
      <c r="A2057" s="237"/>
      <c r="E2057" s="234"/>
    </row>
    <row r="2058">
      <c r="A2058" s="237"/>
      <c r="E2058" s="234"/>
    </row>
    <row r="2059">
      <c r="A2059" s="237"/>
      <c r="E2059" s="234"/>
    </row>
    <row r="2060">
      <c r="A2060" s="237"/>
      <c r="E2060" s="234"/>
    </row>
    <row r="2061">
      <c r="A2061" s="237"/>
      <c r="E2061" s="234"/>
    </row>
    <row r="2062">
      <c r="A2062" s="237"/>
      <c r="E2062" s="234"/>
    </row>
    <row r="2063">
      <c r="A2063" s="237"/>
      <c r="E2063" s="234"/>
    </row>
    <row r="2064">
      <c r="A2064" s="237"/>
      <c r="E2064" s="234"/>
    </row>
    <row r="2065">
      <c r="A2065" s="237"/>
      <c r="E2065" s="234"/>
    </row>
    <row r="2066">
      <c r="A2066" s="237"/>
      <c r="E2066" s="234"/>
    </row>
    <row r="2067">
      <c r="A2067" s="237"/>
      <c r="E2067" s="234"/>
    </row>
    <row r="2068">
      <c r="A2068" s="237"/>
      <c r="E2068" s="234"/>
    </row>
    <row r="2069">
      <c r="A2069" s="237"/>
      <c r="E2069" s="234"/>
    </row>
    <row r="2070">
      <c r="A2070" s="237"/>
      <c r="E2070" s="234"/>
    </row>
    <row r="2071">
      <c r="A2071" s="237"/>
      <c r="E2071" s="234"/>
    </row>
    <row r="2072">
      <c r="A2072" s="237"/>
      <c r="E2072" s="234"/>
    </row>
    <row r="2073">
      <c r="A2073" s="237"/>
      <c r="E2073" s="234"/>
    </row>
    <row r="2074">
      <c r="A2074" s="237"/>
      <c r="E2074" s="234"/>
    </row>
    <row r="2075">
      <c r="A2075" s="237"/>
      <c r="E2075" s="234"/>
    </row>
    <row r="2076">
      <c r="A2076" s="237"/>
      <c r="E2076" s="234"/>
    </row>
    <row r="2077">
      <c r="A2077" s="237"/>
      <c r="E2077" s="234"/>
    </row>
    <row r="2078">
      <c r="A2078" s="237"/>
      <c r="E2078" s="234"/>
    </row>
    <row r="2079">
      <c r="A2079" s="237"/>
      <c r="E2079" s="234"/>
    </row>
    <row r="2080">
      <c r="A2080" s="237"/>
      <c r="E2080" s="234"/>
    </row>
    <row r="2081">
      <c r="A2081" s="237"/>
      <c r="E2081" s="234"/>
    </row>
    <row r="2082">
      <c r="A2082" s="237"/>
      <c r="E2082" s="234"/>
    </row>
    <row r="2083">
      <c r="A2083" s="237"/>
      <c r="E2083" s="234"/>
    </row>
    <row r="2084">
      <c r="A2084" s="237"/>
      <c r="E2084" s="234"/>
    </row>
    <row r="2085">
      <c r="A2085" s="237"/>
      <c r="E2085" s="234"/>
    </row>
    <row r="2086">
      <c r="A2086" s="237"/>
      <c r="E2086" s="234"/>
    </row>
    <row r="2087">
      <c r="A2087" s="237"/>
      <c r="E2087" s="234"/>
    </row>
    <row r="2088">
      <c r="A2088" s="237"/>
      <c r="E2088" s="234"/>
    </row>
    <row r="2089">
      <c r="A2089" s="237"/>
      <c r="E2089" s="234"/>
    </row>
    <row r="2090">
      <c r="A2090" s="237"/>
      <c r="E2090" s="234"/>
    </row>
    <row r="2091">
      <c r="A2091" s="237"/>
      <c r="E2091" s="234"/>
    </row>
    <row r="2092">
      <c r="A2092" s="237"/>
      <c r="E2092" s="234"/>
    </row>
    <row r="2093">
      <c r="A2093" s="237"/>
      <c r="E2093" s="234"/>
    </row>
    <row r="2094">
      <c r="A2094" s="237"/>
      <c r="E2094" s="234"/>
    </row>
    <row r="2095">
      <c r="A2095" s="237"/>
      <c r="E2095" s="234"/>
    </row>
    <row r="2096">
      <c r="A2096" s="237"/>
      <c r="E2096" s="234"/>
    </row>
    <row r="2097">
      <c r="A2097" s="237"/>
      <c r="E2097" s="234"/>
    </row>
    <row r="2098">
      <c r="A2098" s="237"/>
      <c r="E2098" s="234"/>
    </row>
    <row r="2099">
      <c r="A2099" s="237"/>
      <c r="E2099" s="234"/>
    </row>
    <row r="2100">
      <c r="A2100" s="237"/>
      <c r="E2100" s="234"/>
    </row>
    <row r="2101">
      <c r="A2101" s="237"/>
      <c r="E2101" s="234"/>
    </row>
    <row r="2102">
      <c r="A2102" s="237"/>
      <c r="E2102" s="234"/>
    </row>
    <row r="2103">
      <c r="A2103" s="237"/>
      <c r="E2103" s="234"/>
    </row>
    <row r="2104">
      <c r="A2104" s="237"/>
      <c r="E2104" s="234"/>
    </row>
    <row r="2105">
      <c r="A2105" s="237"/>
      <c r="E2105" s="234"/>
    </row>
    <row r="2106">
      <c r="A2106" s="237"/>
      <c r="E2106" s="234"/>
    </row>
    <row r="2107">
      <c r="A2107" s="237"/>
      <c r="E2107" s="234"/>
    </row>
    <row r="2108">
      <c r="A2108" s="237"/>
      <c r="E2108" s="234"/>
    </row>
    <row r="2109">
      <c r="A2109" s="237"/>
      <c r="E2109" s="234"/>
    </row>
    <row r="2110">
      <c r="A2110" s="237"/>
      <c r="E2110" s="234"/>
    </row>
    <row r="2111">
      <c r="A2111" s="237"/>
      <c r="E2111" s="234"/>
    </row>
    <row r="2112">
      <c r="A2112" s="237"/>
      <c r="E2112" s="234"/>
    </row>
    <row r="2113">
      <c r="A2113" s="237"/>
      <c r="E2113" s="234"/>
    </row>
    <row r="2114">
      <c r="A2114" s="237"/>
      <c r="E2114" s="234"/>
    </row>
    <row r="2115">
      <c r="A2115" s="237"/>
      <c r="E2115" s="234"/>
    </row>
    <row r="2116">
      <c r="A2116" s="237"/>
      <c r="E2116" s="234"/>
    </row>
    <row r="2117">
      <c r="A2117" s="237"/>
      <c r="E2117" s="234"/>
    </row>
    <row r="2118">
      <c r="A2118" s="237"/>
      <c r="E2118" s="234"/>
    </row>
    <row r="2119">
      <c r="A2119" s="237"/>
      <c r="E2119" s="234"/>
    </row>
    <row r="2120">
      <c r="A2120" s="237"/>
      <c r="E2120" s="234"/>
    </row>
    <row r="2121">
      <c r="A2121" s="237"/>
      <c r="E2121" s="234"/>
    </row>
    <row r="2122">
      <c r="A2122" s="237"/>
      <c r="E2122" s="234"/>
    </row>
    <row r="2123">
      <c r="A2123" s="237"/>
      <c r="E2123" s="234"/>
    </row>
    <row r="2124">
      <c r="A2124" s="237"/>
      <c r="E2124" s="234"/>
    </row>
    <row r="2125">
      <c r="A2125" s="237"/>
      <c r="E2125" s="234"/>
    </row>
    <row r="2126">
      <c r="A2126" s="237"/>
      <c r="E2126" s="234"/>
    </row>
    <row r="2127">
      <c r="A2127" s="237"/>
      <c r="E2127" s="234"/>
    </row>
    <row r="2128">
      <c r="A2128" s="237"/>
      <c r="E2128" s="234"/>
    </row>
    <row r="2129">
      <c r="A2129" s="237"/>
      <c r="E2129" s="234"/>
    </row>
    <row r="2130">
      <c r="A2130" s="237"/>
      <c r="E2130" s="234"/>
    </row>
    <row r="2131">
      <c r="A2131" s="237"/>
      <c r="E2131" s="234"/>
    </row>
    <row r="2132">
      <c r="A2132" s="237"/>
      <c r="E2132" s="234"/>
    </row>
    <row r="2133">
      <c r="A2133" s="237"/>
      <c r="E2133" s="234"/>
    </row>
    <row r="2134">
      <c r="A2134" s="237"/>
      <c r="E2134" s="234"/>
    </row>
    <row r="2135">
      <c r="A2135" s="237"/>
      <c r="E2135" s="234"/>
    </row>
    <row r="2136">
      <c r="A2136" s="237"/>
      <c r="E2136" s="234"/>
    </row>
    <row r="2137">
      <c r="A2137" s="237"/>
      <c r="E2137" s="234"/>
    </row>
    <row r="2138">
      <c r="A2138" s="237"/>
      <c r="E2138" s="234"/>
    </row>
    <row r="2139">
      <c r="A2139" s="237"/>
      <c r="E2139" s="234"/>
    </row>
    <row r="2140">
      <c r="A2140" s="237"/>
      <c r="E2140" s="234"/>
    </row>
    <row r="2141">
      <c r="A2141" s="237"/>
      <c r="E2141" s="234"/>
    </row>
    <row r="2142">
      <c r="A2142" s="237"/>
      <c r="E2142" s="234"/>
    </row>
    <row r="2143">
      <c r="A2143" s="237"/>
      <c r="E2143" s="234"/>
    </row>
    <row r="2144">
      <c r="A2144" s="237"/>
      <c r="E2144" s="234"/>
    </row>
    <row r="2145">
      <c r="A2145" s="237"/>
      <c r="E2145" s="234"/>
    </row>
    <row r="2146">
      <c r="A2146" s="237"/>
      <c r="E2146" s="234"/>
    </row>
    <row r="2147">
      <c r="A2147" s="237"/>
      <c r="E2147" s="234"/>
    </row>
    <row r="2148">
      <c r="A2148" s="237"/>
      <c r="E2148" s="234"/>
    </row>
    <row r="2149">
      <c r="A2149" s="237"/>
      <c r="E2149" s="234"/>
    </row>
    <row r="2150">
      <c r="A2150" s="237"/>
      <c r="E2150" s="234"/>
    </row>
    <row r="2151">
      <c r="A2151" s="237"/>
      <c r="E2151" s="234"/>
    </row>
    <row r="2152">
      <c r="A2152" s="237"/>
      <c r="E2152" s="234"/>
    </row>
    <row r="2153">
      <c r="A2153" s="237"/>
      <c r="E2153" s="234"/>
    </row>
    <row r="2154">
      <c r="A2154" s="237"/>
      <c r="E2154" s="234"/>
    </row>
    <row r="2155">
      <c r="A2155" s="237"/>
      <c r="E2155" s="234"/>
    </row>
    <row r="2156">
      <c r="A2156" s="237"/>
      <c r="E2156" s="234"/>
    </row>
    <row r="2157">
      <c r="A2157" s="237"/>
      <c r="E2157" s="234"/>
    </row>
    <row r="2158">
      <c r="A2158" s="237"/>
      <c r="E2158" s="234"/>
    </row>
    <row r="2159">
      <c r="A2159" s="237"/>
      <c r="E2159" s="234"/>
    </row>
    <row r="2160">
      <c r="A2160" s="237"/>
      <c r="E2160" s="234"/>
    </row>
    <row r="2161">
      <c r="A2161" s="237"/>
      <c r="E2161" s="234"/>
    </row>
    <row r="2162">
      <c r="A2162" s="237"/>
      <c r="E2162" s="234"/>
    </row>
    <row r="2163">
      <c r="A2163" s="237"/>
      <c r="E2163" s="234"/>
    </row>
    <row r="2164">
      <c r="A2164" s="237"/>
      <c r="E2164" s="234"/>
    </row>
    <row r="2165">
      <c r="A2165" s="237"/>
      <c r="E2165" s="234"/>
    </row>
    <row r="2166">
      <c r="A2166" s="237"/>
      <c r="E2166" s="234"/>
    </row>
    <row r="2167">
      <c r="A2167" s="237"/>
      <c r="E2167" s="234"/>
    </row>
    <row r="2168">
      <c r="A2168" s="237"/>
      <c r="E2168" s="234"/>
    </row>
    <row r="2169">
      <c r="A2169" s="237"/>
      <c r="E2169" s="234"/>
    </row>
    <row r="2170">
      <c r="A2170" s="237"/>
      <c r="E2170" s="234"/>
    </row>
    <row r="2171">
      <c r="A2171" s="237"/>
      <c r="E2171" s="234"/>
    </row>
    <row r="2172">
      <c r="A2172" s="237"/>
      <c r="E2172" s="234"/>
    </row>
    <row r="2173">
      <c r="A2173" s="237"/>
      <c r="E2173" s="234"/>
    </row>
    <row r="2174">
      <c r="A2174" s="237"/>
      <c r="E2174" s="234"/>
    </row>
    <row r="2175">
      <c r="A2175" s="237"/>
      <c r="E2175" s="234"/>
    </row>
    <row r="2176">
      <c r="A2176" s="237"/>
      <c r="E2176" s="234"/>
    </row>
    <row r="2177">
      <c r="A2177" s="237"/>
      <c r="E2177" s="234"/>
    </row>
    <row r="2178">
      <c r="A2178" s="237"/>
      <c r="E2178" s="234"/>
    </row>
    <row r="2179">
      <c r="A2179" s="237"/>
      <c r="E2179" s="234"/>
    </row>
    <row r="2180">
      <c r="A2180" s="237"/>
      <c r="E2180" s="234"/>
    </row>
    <row r="2181">
      <c r="A2181" s="237"/>
      <c r="E2181" s="234"/>
    </row>
    <row r="2182">
      <c r="A2182" s="237"/>
      <c r="E2182" s="234"/>
    </row>
    <row r="2183">
      <c r="A2183" s="237"/>
      <c r="E2183" s="234"/>
    </row>
    <row r="2184">
      <c r="A2184" s="237"/>
      <c r="E2184" s="234"/>
    </row>
    <row r="2185">
      <c r="A2185" s="237"/>
      <c r="E2185" s="234"/>
    </row>
    <row r="2186">
      <c r="A2186" s="237"/>
      <c r="E2186" s="234"/>
    </row>
    <row r="2187">
      <c r="A2187" s="237"/>
      <c r="E2187" s="234"/>
    </row>
    <row r="2188">
      <c r="A2188" s="237"/>
      <c r="E2188" s="234"/>
    </row>
    <row r="2189">
      <c r="A2189" s="237"/>
      <c r="E2189" s="234"/>
    </row>
    <row r="2190">
      <c r="A2190" s="237"/>
      <c r="E2190" s="234"/>
    </row>
    <row r="2191">
      <c r="A2191" s="237"/>
      <c r="E2191" s="234"/>
    </row>
    <row r="2192">
      <c r="A2192" s="237"/>
      <c r="E2192" s="234"/>
    </row>
    <row r="2193">
      <c r="A2193" s="237"/>
      <c r="E2193" s="234"/>
    </row>
    <row r="2194">
      <c r="A2194" s="237"/>
      <c r="E2194" s="234"/>
    </row>
    <row r="2195">
      <c r="A2195" s="237"/>
      <c r="E2195" s="234"/>
    </row>
    <row r="2196">
      <c r="A2196" s="237"/>
      <c r="E2196" s="234"/>
    </row>
    <row r="2197">
      <c r="A2197" s="237"/>
      <c r="E2197" s="234"/>
    </row>
    <row r="2198">
      <c r="A2198" s="237"/>
      <c r="E2198" s="234"/>
    </row>
    <row r="2199">
      <c r="A2199" s="237"/>
      <c r="E2199" s="234"/>
    </row>
    <row r="2200">
      <c r="A2200" s="237"/>
      <c r="E2200" s="234"/>
    </row>
    <row r="2201">
      <c r="A2201" s="237"/>
      <c r="E2201" s="234"/>
    </row>
    <row r="2202">
      <c r="A2202" s="237"/>
      <c r="E2202" s="234"/>
    </row>
    <row r="2203">
      <c r="A2203" s="237"/>
      <c r="E2203" s="234"/>
    </row>
    <row r="2204">
      <c r="A2204" s="237"/>
      <c r="E2204" s="234"/>
    </row>
    <row r="2205">
      <c r="A2205" s="237"/>
      <c r="E2205" s="234"/>
    </row>
    <row r="2206">
      <c r="A2206" s="237"/>
      <c r="E2206" s="234"/>
    </row>
    <row r="2207">
      <c r="A2207" s="237"/>
      <c r="E2207" s="234"/>
    </row>
    <row r="2208">
      <c r="A2208" s="237"/>
      <c r="E2208" s="234"/>
    </row>
    <row r="2209">
      <c r="A2209" s="237"/>
      <c r="E2209" s="234"/>
    </row>
    <row r="2210">
      <c r="A2210" s="237"/>
      <c r="E2210" s="234"/>
    </row>
    <row r="2211">
      <c r="A2211" s="237"/>
      <c r="E2211" s="234"/>
    </row>
    <row r="2212">
      <c r="A2212" s="237"/>
      <c r="E2212" s="234"/>
    </row>
    <row r="2213">
      <c r="A2213" s="237"/>
      <c r="E2213" s="234"/>
    </row>
    <row r="2214">
      <c r="A2214" s="237"/>
      <c r="E2214" s="234"/>
    </row>
    <row r="2215">
      <c r="A2215" s="237"/>
      <c r="E2215" s="234"/>
    </row>
    <row r="2216">
      <c r="A2216" s="237"/>
      <c r="E2216" s="234"/>
    </row>
    <row r="2217">
      <c r="A2217" s="237"/>
      <c r="E2217" s="234"/>
    </row>
    <row r="2218">
      <c r="A2218" s="237"/>
      <c r="E2218" s="234"/>
    </row>
    <row r="2219">
      <c r="A2219" s="237"/>
      <c r="E2219" s="234"/>
    </row>
    <row r="2220">
      <c r="A2220" s="237"/>
      <c r="E2220" s="234"/>
    </row>
    <row r="2221">
      <c r="A2221" s="237"/>
      <c r="E2221" s="234"/>
    </row>
    <row r="2222">
      <c r="A2222" s="237"/>
      <c r="E2222" s="234"/>
    </row>
    <row r="2223">
      <c r="A2223" s="237"/>
      <c r="E2223" s="234"/>
    </row>
    <row r="2224">
      <c r="A2224" s="237"/>
      <c r="E2224" s="234"/>
    </row>
    <row r="2225">
      <c r="A2225" s="237"/>
      <c r="E2225" s="234"/>
    </row>
    <row r="2226">
      <c r="A2226" s="237"/>
      <c r="E2226" s="234"/>
    </row>
    <row r="2227">
      <c r="A2227" s="237"/>
      <c r="E2227" s="234"/>
    </row>
    <row r="2228">
      <c r="A2228" s="237"/>
      <c r="E2228" s="234"/>
    </row>
    <row r="2229">
      <c r="A2229" s="237"/>
      <c r="E2229" s="234"/>
    </row>
    <row r="2230">
      <c r="A2230" s="237"/>
      <c r="E2230" s="234"/>
    </row>
    <row r="2231">
      <c r="A2231" s="237"/>
      <c r="E2231" s="234"/>
    </row>
    <row r="2232">
      <c r="A2232" s="237"/>
      <c r="E2232" s="234"/>
    </row>
    <row r="2233">
      <c r="A2233" s="237"/>
      <c r="E2233" s="234"/>
    </row>
    <row r="2234">
      <c r="A2234" s="237"/>
      <c r="E2234" s="234"/>
    </row>
    <row r="2235">
      <c r="A2235" s="237"/>
      <c r="E2235" s="234"/>
    </row>
    <row r="2236">
      <c r="A2236" s="237"/>
      <c r="E2236" s="234"/>
    </row>
    <row r="2237">
      <c r="A2237" s="237"/>
      <c r="E2237" s="234"/>
    </row>
    <row r="2238">
      <c r="A2238" s="237"/>
      <c r="E2238" s="234"/>
    </row>
    <row r="2239">
      <c r="A2239" s="237"/>
      <c r="E2239" s="234"/>
    </row>
    <row r="2240">
      <c r="A2240" s="237"/>
      <c r="E2240" s="234"/>
    </row>
    <row r="2241">
      <c r="A2241" s="237"/>
      <c r="E2241" s="234"/>
    </row>
    <row r="2242">
      <c r="A2242" s="237"/>
      <c r="E2242" s="234"/>
    </row>
    <row r="2243">
      <c r="A2243" s="237"/>
      <c r="E2243" s="234"/>
    </row>
    <row r="2244">
      <c r="A2244" s="237"/>
      <c r="E2244" s="234"/>
    </row>
    <row r="2245">
      <c r="A2245" s="237"/>
      <c r="E2245" s="234"/>
    </row>
    <row r="2246">
      <c r="A2246" s="237"/>
      <c r="E2246" s="234"/>
    </row>
    <row r="2247">
      <c r="A2247" s="237"/>
      <c r="E2247" s="234"/>
    </row>
    <row r="2248">
      <c r="A2248" s="237"/>
      <c r="E2248" s="234"/>
    </row>
    <row r="2249">
      <c r="A2249" s="237"/>
      <c r="E2249" s="234"/>
    </row>
    <row r="2250">
      <c r="A2250" s="237"/>
      <c r="E2250" s="234"/>
    </row>
    <row r="2251">
      <c r="A2251" s="237"/>
      <c r="E2251" s="234"/>
    </row>
    <row r="2252">
      <c r="A2252" s="237"/>
      <c r="E2252" s="234"/>
    </row>
    <row r="2253">
      <c r="A2253" s="237"/>
      <c r="E2253" s="234"/>
    </row>
    <row r="2254">
      <c r="A2254" s="237"/>
      <c r="E2254" s="234"/>
    </row>
    <row r="2255">
      <c r="A2255" s="237"/>
      <c r="E2255" s="234"/>
    </row>
    <row r="2256">
      <c r="A2256" s="237"/>
      <c r="E2256" s="234"/>
    </row>
    <row r="2257">
      <c r="A2257" s="237"/>
      <c r="E2257" s="234"/>
    </row>
    <row r="2258">
      <c r="A2258" s="237"/>
      <c r="E2258" s="234"/>
    </row>
    <row r="2259">
      <c r="A2259" s="237"/>
      <c r="E2259" s="234"/>
    </row>
    <row r="2260">
      <c r="A2260" s="237"/>
      <c r="E2260" s="234"/>
    </row>
    <row r="2261">
      <c r="A2261" s="237"/>
      <c r="E2261" s="234"/>
    </row>
    <row r="2262">
      <c r="A2262" s="237"/>
      <c r="E2262" s="234"/>
    </row>
    <row r="2263">
      <c r="A2263" s="237"/>
      <c r="E2263" s="234"/>
    </row>
    <row r="2264">
      <c r="A2264" s="237"/>
      <c r="E2264" s="234"/>
    </row>
    <row r="2265">
      <c r="A2265" s="237"/>
      <c r="E2265" s="234"/>
    </row>
    <row r="2266">
      <c r="A2266" s="237"/>
      <c r="E2266" s="234"/>
    </row>
    <row r="2267">
      <c r="A2267" s="237"/>
      <c r="E2267" s="234"/>
    </row>
    <row r="2268">
      <c r="A2268" s="237"/>
      <c r="E2268" s="234"/>
    </row>
    <row r="2269">
      <c r="A2269" s="237"/>
      <c r="E2269" s="234"/>
    </row>
    <row r="2270">
      <c r="A2270" s="237"/>
      <c r="E2270" s="234"/>
    </row>
    <row r="2271">
      <c r="A2271" s="237"/>
      <c r="E2271" s="234"/>
    </row>
    <row r="2272">
      <c r="A2272" s="237"/>
      <c r="E2272" s="234"/>
    </row>
    <row r="2273">
      <c r="A2273" s="237"/>
      <c r="E2273" s="234"/>
    </row>
    <row r="2274">
      <c r="A2274" s="237"/>
      <c r="E2274" s="234"/>
    </row>
    <row r="2275">
      <c r="A2275" s="237"/>
      <c r="E2275" s="234"/>
    </row>
    <row r="2276">
      <c r="A2276" s="237"/>
      <c r="E2276" s="234"/>
    </row>
    <row r="2277">
      <c r="A2277" s="237"/>
      <c r="E2277" s="234"/>
    </row>
    <row r="2278">
      <c r="A2278" s="237"/>
      <c r="E2278" s="234"/>
    </row>
    <row r="2279">
      <c r="A2279" s="237"/>
      <c r="E2279" s="234"/>
    </row>
    <row r="2280">
      <c r="A2280" s="237"/>
      <c r="E2280" s="234"/>
    </row>
    <row r="2281">
      <c r="A2281" s="237"/>
      <c r="E2281" s="234"/>
    </row>
    <row r="2282">
      <c r="A2282" s="237"/>
      <c r="E2282" s="234"/>
    </row>
    <row r="2283">
      <c r="A2283" s="237"/>
      <c r="E2283" s="234"/>
    </row>
    <row r="2284">
      <c r="A2284" s="237"/>
      <c r="E2284" s="234"/>
    </row>
    <row r="2285">
      <c r="A2285" s="237"/>
      <c r="E2285" s="234"/>
    </row>
    <row r="2286">
      <c r="A2286" s="237"/>
      <c r="E2286" s="234"/>
    </row>
    <row r="2287">
      <c r="A2287" s="237"/>
      <c r="E2287" s="234"/>
    </row>
    <row r="2288">
      <c r="A2288" s="237"/>
      <c r="E2288" s="234"/>
    </row>
    <row r="2289">
      <c r="A2289" s="237"/>
      <c r="E2289" s="234"/>
    </row>
    <row r="2290">
      <c r="A2290" s="237"/>
      <c r="E2290" s="234"/>
    </row>
    <row r="2291">
      <c r="A2291" s="237"/>
      <c r="E2291" s="234"/>
    </row>
    <row r="2292">
      <c r="A2292" s="237"/>
      <c r="E2292" s="234"/>
    </row>
    <row r="2293">
      <c r="A2293" s="237"/>
      <c r="E2293" s="234"/>
    </row>
    <row r="2294">
      <c r="A2294" s="237"/>
      <c r="E2294" s="234"/>
    </row>
    <row r="2295">
      <c r="A2295" s="237"/>
      <c r="E2295" s="234"/>
    </row>
    <row r="2296">
      <c r="A2296" s="237"/>
      <c r="E2296" s="234"/>
    </row>
    <row r="2297">
      <c r="A2297" s="237"/>
      <c r="E2297" s="234"/>
    </row>
    <row r="2298">
      <c r="A2298" s="237"/>
      <c r="E2298" s="234"/>
    </row>
    <row r="2299">
      <c r="A2299" s="237"/>
      <c r="E2299" s="234"/>
    </row>
    <row r="2300">
      <c r="A2300" s="237"/>
      <c r="E2300" s="234"/>
    </row>
    <row r="2301">
      <c r="A2301" s="237"/>
      <c r="E2301" s="234"/>
    </row>
    <row r="2302">
      <c r="A2302" s="237"/>
      <c r="E2302" s="234"/>
    </row>
    <row r="2303">
      <c r="A2303" s="237"/>
      <c r="E2303" s="234"/>
    </row>
    <row r="2304">
      <c r="A2304" s="237"/>
      <c r="E2304" s="234"/>
    </row>
    <row r="2305">
      <c r="A2305" s="237"/>
      <c r="E2305" s="234"/>
    </row>
    <row r="2306">
      <c r="A2306" s="237"/>
      <c r="E2306" s="234"/>
    </row>
    <row r="2307">
      <c r="A2307" s="237"/>
      <c r="E2307" s="234"/>
    </row>
    <row r="2308">
      <c r="A2308" s="237"/>
      <c r="E2308" s="234"/>
    </row>
    <row r="2309">
      <c r="A2309" s="237"/>
      <c r="E2309" s="234"/>
    </row>
    <row r="2310">
      <c r="A2310" s="237"/>
      <c r="E2310" s="234"/>
    </row>
    <row r="2311">
      <c r="A2311" s="237"/>
      <c r="E2311" s="234"/>
    </row>
    <row r="2312">
      <c r="A2312" s="237"/>
      <c r="E2312" s="234"/>
    </row>
    <row r="2313">
      <c r="A2313" s="237"/>
      <c r="E2313" s="234"/>
    </row>
    <row r="2314">
      <c r="A2314" s="237"/>
      <c r="E2314" s="234"/>
    </row>
    <row r="2315">
      <c r="A2315" s="237"/>
      <c r="E2315" s="234"/>
    </row>
    <row r="2316">
      <c r="A2316" s="237"/>
      <c r="E2316" s="234"/>
    </row>
    <row r="2317">
      <c r="A2317" s="237"/>
      <c r="E2317" s="234"/>
    </row>
    <row r="2318">
      <c r="A2318" s="237"/>
      <c r="E2318" s="234"/>
    </row>
    <row r="2319">
      <c r="A2319" s="237"/>
      <c r="E2319" s="234"/>
    </row>
    <row r="2320">
      <c r="A2320" s="237"/>
      <c r="E2320" s="234"/>
    </row>
    <row r="2321">
      <c r="A2321" s="237"/>
      <c r="E2321" s="234"/>
    </row>
    <row r="2322">
      <c r="A2322" s="237"/>
      <c r="E2322" s="234"/>
    </row>
    <row r="2323">
      <c r="A2323" s="237"/>
      <c r="E2323" s="234"/>
    </row>
    <row r="2324">
      <c r="A2324" s="237"/>
      <c r="E2324" s="234"/>
    </row>
    <row r="2325">
      <c r="A2325" s="237"/>
      <c r="E2325" s="234"/>
    </row>
    <row r="2326">
      <c r="A2326" s="237"/>
      <c r="E2326" s="234"/>
    </row>
    <row r="2327">
      <c r="A2327" s="237"/>
      <c r="E2327" s="234"/>
    </row>
    <row r="2328">
      <c r="A2328" s="237"/>
      <c r="E2328" s="234"/>
    </row>
    <row r="2329">
      <c r="A2329" s="237"/>
      <c r="E2329" s="234"/>
    </row>
    <row r="2330">
      <c r="A2330" s="237"/>
      <c r="E2330" s="234"/>
    </row>
    <row r="2331">
      <c r="A2331" s="237"/>
      <c r="E2331" s="234"/>
    </row>
    <row r="2332">
      <c r="A2332" s="237"/>
      <c r="E2332" s="234"/>
    </row>
    <row r="2333">
      <c r="A2333" s="237"/>
      <c r="E2333" s="234"/>
    </row>
    <row r="2334">
      <c r="A2334" s="237"/>
      <c r="E2334" s="234"/>
    </row>
    <row r="2335">
      <c r="A2335" s="237"/>
      <c r="E2335" s="234"/>
    </row>
    <row r="2336">
      <c r="A2336" s="237"/>
      <c r="E2336" s="234"/>
    </row>
    <row r="2337">
      <c r="A2337" s="237"/>
      <c r="E2337" s="234"/>
    </row>
    <row r="2338">
      <c r="A2338" s="237"/>
      <c r="E2338" s="234"/>
    </row>
    <row r="2339">
      <c r="A2339" s="237"/>
      <c r="E2339" s="234"/>
    </row>
    <row r="2340">
      <c r="A2340" s="237"/>
      <c r="E2340" s="234"/>
    </row>
    <row r="2341">
      <c r="A2341" s="237"/>
      <c r="E2341" s="234"/>
    </row>
    <row r="2342">
      <c r="A2342" s="237"/>
      <c r="E2342" s="234"/>
    </row>
    <row r="2343">
      <c r="A2343" s="237"/>
      <c r="E2343" s="234"/>
    </row>
    <row r="2344">
      <c r="A2344" s="237"/>
      <c r="E2344" s="234"/>
    </row>
    <row r="2345">
      <c r="A2345" s="237"/>
      <c r="E2345" s="234"/>
    </row>
    <row r="2346">
      <c r="A2346" s="237"/>
      <c r="E2346" s="234"/>
    </row>
    <row r="2347">
      <c r="A2347" s="237"/>
      <c r="E2347" s="234"/>
    </row>
    <row r="2348">
      <c r="A2348" s="237"/>
      <c r="E2348" s="234"/>
    </row>
    <row r="2349">
      <c r="A2349" s="237"/>
      <c r="E2349" s="234"/>
    </row>
    <row r="2350">
      <c r="A2350" s="237"/>
      <c r="E2350" s="234"/>
    </row>
    <row r="2351">
      <c r="A2351" s="237"/>
      <c r="E2351" s="234"/>
    </row>
    <row r="2352">
      <c r="A2352" s="237"/>
      <c r="E2352" s="234"/>
    </row>
    <row r="2353">
      <c r="A2353" s="237"/>
      <c r="E2353" s="234"/>
    </row>
    <row r="2354">
      <c r="A2354" s="237"/>
      <c r="E2354" s="234"/>
    </row>
    <row r="2355">
      <c r="A2355" s="237"/>
      <c r="E2355" s="234"/>
    </row>
    <row r="2356">
      <c r="A2356" s="237"/>
      <c r="E2356" s="234"/>
    </row>
    <row r="2357">
      <c r="A2357" s="237"/>
      <c r="E2357" s="234"/>
    </row>
    <row r="2358">
      <c r="A2358" s="237"/>
      <c r="E2358" s="234"/>
    </row>
    <row r="2359">
      <c r="A2359" s="237"/>
      <c r="E2359" s="234"/>
    </row>
    <row r="2360">
      <c r="A2360" s="237"/>
      <c r="E2360" s="234"/>
    </row>
    <row r="2361">
      <c r="A2361" s="237"/>
      <c r="E2361" s="234"/>
    </row>
    <row r="2362">
      <c r="A2362" s="237"/>
      <c r="E2362" s="234"/>
    </row>
    <row r="2363">
      <c r="A2363" s="237"/>
      <c r="E2363" s="234"/>
    </row>
    <row r="2364">
      <c r="A2364" s="237"/>
      <c r="E2364" s="234"/>
    </row>
    <row r="2365">
      <c r="A2365" s="237"/>
      <c r="E2365" s="234"/>
    </row>
    <row r="2366">
      <c r="A2366" s="237"/>
      <c r="E2366" s="234"/>
    </row>
    <row r="2367">
      <c r="A2367" s="237"/>
      <c r="E2367" s="234"/>
    </row>
    <row r="2368">
      <c r="A2368" s="237"/>
      <c r="E2368" s="234"/>
    </row>
    <row r="2369">
      <c r="A2369" s="237"/>
      <c r="E2369" s="234"/>
    </row>
    <row r="2370">
      <c r="A2370" s="237"/>
      <c r="E2370" s="234"/>
    </row>
    <row r="2371">
      <c r="A2371" s="237"/>
      <c r="E2371" s="234"/>
    </row>
    <row r="2372">
      <c r="A2372" s="237"/>
      <c r="E2372" s="234"/>
    </row>
    <row r="2373">
      <c r="A2373" s="237"/>
      <c r="E2373" s="234"/>
    </row>
    <row r="2374">
      <c r="A2374" s="237"/>
      <c r="E2374" s="234"/>
    </row>
    <row r="2375">
      <c r="A2375" s="237"/>
      <c r="E2375" s="234"/>
    </row>
    <row r="2376">
      <c r="A2376" s="237"/>
      <c r="E2376" s="234"/>
    </row>
    <row r="2377">
      <c r="A2377" s="237"/>
      <c r="E2377" s="234"/>
    </row>
    <row r="2378">
      <c r="A2378" s="237"/>
      <c r="E2378" s="234"/>
    </row>
    <row r="2379">
      <c r="A2379" s="237"/>
      <c r="E2379" s="234"/>
    </row>
    <row r="2380">
      <c r="A2380" s="237"/>
      <c r="E2380" s="234"/>
    </row>
    <row r="2381">
      <c r="A2381" s="237"/>
      <c r="E2381" s="234"/>
    </row>
    <row r="2382">
      <c r="A2382" s="237"/>
      <c r="E2382" s="234"/>
    </row>
    <row r="2383">
      <c r="A2383" s="237"/>
      <c r="E2383" s="234"/>
    </row>
    <row r="2384">
      <c r="A2384" s="237"/>
      <c r="E2384" s="234"/>
    </row>
    <row r="2385">
      <c r="A2385" s="237"/>
      <c r="E2385" s="234"/>
    </row>
    <row r="2386">
      <c r="A2386" s="237"/>
      <c r="E2386" s="234"/>
    </row>
    <row r="2387">
      <c r="A2387" s="237"/>
      <c r="E2387" s="234"/>
    </row>
    <row r="2388">
      <c r="A2388" s="237"/>
      <c r="E2388" s="234"/>
    </row>
    <row r="2389">
      <c r="A2389" s="237"/>
      <c r="E2389" s="234"/>
    </row>
    <row r="2390">
      <c r="A2390" s="237"/>
      <c r="E2390" s="234"/>
    </row>
    <row r="2391">
      <c r="A2391" s="237"/>
      <c r="E2391" s="234"/>
    </row>
    <row r="2392">
      <c r="A2392" s="237"/>
      <c r="E2392" s="234"/>
    </row>
    <row r="2393">
      <c r="A2393" s="237"/>
      <c r="E2393" s="234"/>
    </row>
    <row r="2394">
      <c r="A2394" s="237"/>
      <c r="E2394" s="234"/>
    </row>
    <row r="2395">
      <c r="A2395" s="237"/>
      <c r="E2395" s="234"/>
    </row>
    <row r="2396">
      <c r="A2396" s="237"/>
      <c r="E2396" s="234"/>
    </row>
    <row r="2397">
      <c r="A2397" s="237"/>
      <c r="E2397" s="234"/>
    </row>
    <row r="2398">
      <c r="A2398" s="237"/>
      <c r="E2398" s="234"/>
    </row>
    <row r="2399">
      <c r="A2399" s="237"/>
      <c r="E2399" s="234"/>
    </row>
    <row r="2400">
      <c r="A2400" s="237"/>
      <c r="E2400" s="234"/>
    </row>
    <row r="2401">
      <c r="A2401" s="237"/>
      <c r="E2401" s="234"/>
    </row>
    <row r="2402">
      <c r="A2402" s="237"/>
      <c r="E2402" s="234"/>
    </row>
    <row r="2403">
      <c r="A2403" s="237"/>
      <c r="E2403" s="234"/>
    </row>
    <row r="2404">
      <c r="A2404" s="237"/>
      <c r="E2404" s="234"/>
    </row>
    <row r="2405">
      <c r="A2405" s="237"/>
      <c r="E2405" s="234"/>
    </row>
    <row r="2406">
      <c r="A2406" s="237"/>
      <c r="E2406" s="234"/>
    </row>
    <row r="2407">
      <c r="A2407" s="237"/>
      <c r="E2407" s="234"/>
    </row>
    <row r="2408">
      <c r="A2408" s="237"/>
      <c r="E2408" s="234"/>
    </row>
    <row r="2409">
      <c r="A2409" s="237"/>
      <c r="E2409" s="234"/>
    </row>
    <row r="2410">
      <c r="A2410" s="237"/>
      <c r="E2410" s="234"/>
    </row>
    <row r="2411">
      <c r="A2411" s="237"/>
      <c r="E2411" s="234"/>
    </row>
    <row r="2412">
      <c r="A2412" s="237"/>
      <c r="E2412" s="234"/>
    </row>
    <row r="2413">
      <c r="A2413" s="237"/>
      <c r="E2413" s="234"/>
    </row>
    <row r="2414">
      <c r="A2414" s="237"/>
      <c r="E2414" s="234"/>
    </row>
    <row r="2415">
      <c r="A2415" s="237"/>
      <c r="E2415" s="234"/>
    </row>
    <row r="2416">
      <c r="A2416" s="237"/>
      <c r="E2416" s="234"/>
    </row>
    <row r="2417">
      <c r="A2417" s="237"/>
      <c r="E2417" s="234"/>
    </row>
    <row r="2418">
      <c r="A2418" s="237"/>
      <c r="E2418" s="234"/>
    </row>
    <row r="2419">
      <c r="A2419" s="237"/>
      <c r="E2419" s="234"/>
    </row>
    <row r="2420">
      <c r="A2420" s="237"/>
      <c r="E2420" s="234"/>
    </row>
    <row r="2421">
      <c r="A2421" s="237"/>
      <c r="E2421" s="234"/>
    </row>
    <row r="2422">
      <c r="A2422" s="237"/>
      <c r="E2422" s="234"/>
    </row>
    <row r="2423">
      <c r="A2423" s="237"/>
      <c r="E2423" s="234"/>
    </row>
    <row r="2424">
      <c r="A2424" s="237"/>
      <c r="E2424" s="234"/>
    </row>
    <row r="2425">
      <c r="A2425" s="237"/>
      <c r="E2425" s="234"/>
    </row>
    <row r="2426">
      <c r="A2426" s="237"/>
      <c r="E2426" s="234"/>
    </row>
    <row r="2427">
      <c r="A2427" s="237"/>
      <c r="E2427" s="234"/>
    </row>
    <row r="2428">
      <c r="A2428" s="237"/>
      <c r="E2428" s="234"/>
    </row>
    <row r="2429">
      <c r="A2429" s="237"/>
      <c r="E2429" s="234"/>
    </row>
    <row r="2430">
      <c r="A2430" s="237"/>
      <c r="E2430" s="234"/>
    </row>
    <row r="2431">
      <c r="A2431" s="237"/>
      <c r="E2431" s="234"/>
    </row>
    <row r="2432">
      <c r="A2432" s="237"/>
      <c r="E2432" s="234"/>
    </row>
    <row r="2433">
      <c r="A2433" s="237"/>
      <c r="E2433" s="234"/>
    </row>
    <row r="2434">
      <c r="A2434" s="237"/>
      <c r="E2434" s="234"/>
    </row>
    <row r="2435">
      <c r="A2435" s="237"/>
      <c r="E2435" s="234"/>
    </row>
    <row r="2436">
      <c r="A2436" s="237"/>
      <c r="E2436" s="234"/>
    </row>
    <row r="2437">
      <c r="A2437" s="237"/>
      <c r="E2437" s="234"/>
    </row>
    <row r="2438">
      <c r="A2438" s="237"/>
      <c r="E2438" s="234"/>
    </row>
    <row r="2439">
      <c r="A2439" s="237"/>
      <c r="E2439" s="234"/>
    </row>
    <row r="2440">
      <c r="A2440" s="237"/>
      <c r="E2440" s="234"/>
    </row>
    <row r="2441">
      <c r="A2441" s="237"/>
      <c r="E2441" s="234"/>
    </row>
    <row r="2442">
      <c r="A2442" s="237"/>
      <c r="E2442" s="234"/>
    </row>
    <row r="2443">
      <c r="A2443" s="237"/>
      <c r="E2443" s="234"/>
    </row>
    <row r="2444">
      <c r="A2444" s="237"/>
      <c r="E2444" s="234"/>
    </row>
    <row r="2445">
      <c r="A2445" s="237"/>
      <c r="E2445" s="234"/>
    </row>
    <row r="2446">
      <c r="A2446" s="237"/>
      <c r="E2446" s="234"/>
    </row>
    <row r="2447">
      <c r="A2447" s="237"/>
      <c r="E2447" s="234"/>
    </row>
    <row r="2448">
      <c r="A2448" s="237"/>
      <c r="E2448" s="234"/>
    </row>
    <row r="2449">
      <c r="A2449" s="237"/>
      <c r="E2449" s="234"/>
    </row>
    <row r="2450">
      <c r="A2450" s="237"/>
      <c r="E2450" s="234"/>
    </row>
    <row r="2451">
      <c r="A2451" s="237"/>
      <c r="E2451" s="234"/>
    </row>
    <row r="2452">
      <c r="A2452" s="237"/>
      <c r="E2452" s="234"/>
    </row>
    <row r="2453">
      <c r="A2453" s="237"/>
      <c r="E2453" s="234"/>
    </row>
    <row r="2454">
      <c r="A2454" s="237"/>
      <c r="E2454" s="234"/>
    </row>
    <row r="2455">
      <c r="A2455" s="237"/>
      <c r="E2455" s="234"/>
    </row>
    <row r="2456">
      <c r="A2456" s="237"/>
      <c r="E2456" s="234"/>
    </row>
    <row r="2457">
      <c r="A2457" s="237"/>
      <c r="E2457" s="234"/>
    </row>
    <row r="2458">
      <c r="A2458" s="237"/>
      <c r="E2458" s="234"/>
    </row>
    <row r="2459">
      <c r="A2459" s="237"/>
      <c r="E2459" s="234"/>
    </row>
    <row r="2460">
      <c r="A2460" s="237"/>
      <c r="E2460" s="234"/>
    </row>
    <row r="2461">
      <c r="A2461" s="237"/>
      <c r="E2461" s="234"/>
    </row>
    <row r="2462">
      <c r="A2462" s="237"/>
      <c r="E2462" s="234"/>
    </row>
    <row r="2463">
      <c r="A2463" s="237"/>
      <c r="E2463" s="234"/>
    </row>
    <row r="2464">
      <c r="A2464" s="237"/>
      <c r="E2464" s="234"/>
    </row>
    <row r="2465">
      <c r="A2465" s="237"/>
      <c r="E2465" s="234"/>
    </row>
    <row r="2466">
      <c r="A2466" s="237"/>
      <c r="E2466" s="234"/>
    </row>
    <row r="2467">
      <c r="A2467" s="237"/>
      <c r="E2467" s="234"/>
    </row>
    <row r="2468">
      <c r="A2468" s="237"/>
      <c r="E2468" s="234"/>
    </row>
    <row r="2469">
      <c r="A2469" s="237"/>
      <c r="E2469" s="234"/>
    </row>
    <row r="2470">
      <c r="A2470" s="237"/>
      <c r="E2470" s="234"/>
    </row>
    <row r="2471">
      <c r="A2471" s="237"/>
      <c r="E2471" s="234"/>
    </row>
    <row r="2472">
      <c r="A2472" s="237"/>
      <c r="E2472" s="234"/>
    </row>
    <row r="2473">
      <c r="A2473" s="237"/>
      <c r="E2473" s="234"/>
    </row>
    <row r="2474">
      <c r="A2474" s="237"/>
      <c r="E2474" s="234"/>
    </row>
    <row r="2475">
      <c r="A2475" s="237"/>
      <c r="E2475" s="234"/>
    </row>
    <row r="2476">
      <c r="A2476" s="237"/>
      <c r="E2476" s="234"/>
    </row>
    <row r="2477">
      <c r="A2477" s="237"/>
      <c r="E2477" s="234"/>
    </row>
    <row r="2478">
      <c r="A2478" s="237"/>
      <c r="E2478" s="234"/>
    </row>
    <row r="2479">
      <c r="A2479" s="237"/>
      <c r="E2479" s="234"/>
    </row>
    <row r="2480">
      <c r="A2480" s="237"/>
      <c r="E2480" s="234"/>
    </row>
    <row r="2481">
      <c r="A2481" s="237"/>
      <c r="E2481" s="234"/>
    </row>
    <row r="2482">
      <c r="A2482" s="237"/>
      <c r="E2482" s="234"/>
    </row>
    <row r="2483">
      <c r="A2483" s="237"/>
      <c r="E2483" s="234"/>
    </row>
    <row r="2484">
      <c r="A2484" s="237"/>
      <c r="E2484" s="234"/>
    </row>
    <row r="2485">
      <c r="A2485" s="237"/>
      <c r="E2485" s="234"/>
    </row>
    <row r="2486">
      <c r="A2486" s="237"/>
      <c r="E2486" s="234"/>
    </row>
    <row r="2487">
      <c r="A2487" s="237"/>
      <c r="E2487" s="234"/>
    </row>
    <row r="2488">
      <c r="A2488" s="237"/>
      <c r="E2488" s="234"/>
    </row>
    <row r="2489">
      <c r="A2489" s="237"/>
      <c r="E2489" s="234"/>
    </row>
    <row r="2490">
      <c r="A2490" s="237"/>
      <c r="E2490" s="234"/>
    </row>
    <row r="2491">
      <c r="A2491" s="237"/>
      <c r="E2491" s="234"/>
    </row>
    <row r="2492">
      <c r="A2492" s="237"/>
      <c r="E2492" s="234"/>
    </row>
    <row r="2493">
      <c r="A2493" s="237"/>
      <c r="E2493" s="234"/>
    </row>
    <row r="2494">
      <c r="A2494" s="237"/>
      <c r="E2494" s="234"/>
    </row>
    <row r="2495">
      <c r="A2495" s="237"/>
      <c r="E2495" s="234"/>
    </row>
    <row r="2496">
      <c r="A2496" s="237"/>
      <c r="E2496" s="234"/>
    </row>
    <row r="2497">
      <c r="A2497" s="237"/>
      <c r="E2497" s="234"/>
    </row>
    <row r="2498">
      <c r="A2498" s="237"/>
      <c r="E2498" s="234"/>
    </row>
    <row r="2499">
      <c r="A2499" s="237"/>
      <c r="E2499" s="234"/>
    </row>
    <row r="2500">
      <c r="A2500" s="237"/>
      <c r="E2500" s="234"/>
    </row>
    <row r="2501">
      <c r="A2501" s="237"/>
      <c r="E2501" s="234"/>
    </row>
    <row r="2502">
      <c r="A2502" s="237"/>
      <c r="E2502" s="234"/>
    </row>
    <row r="2503">
      <c r="A2503" s="237"/>
      <c r="E2503" s="234"/>
    </row>
    <row r="2504">
      <c r="A2504" s="237"/>
      <c r="E2504" s="234"/>
    </row>
    <row r="2505">
      <c r="A2505" s="237"/>
      <c r="E2505" s="234"/>
    </row>
    <row r="2506">
      <c r="A2506" s="237"/>
      <c r="E2506" s="234"/>
    </row>
    <row r="2507">
      <c r="A2507" s="237"/>
      <c r="E2507" s="234"/>
    </row>
    <row r="2508">
      <c r="A2508" s="237"/>
      <c r="E2508" s="234"/>
    </row>
    <row r="2509">
      <c r="A2509" s="237"/>
      <c r="E2509" s="234"/>
    </row>
    <row r="2510">
      <c r="A2510" s="237"/>
      <c r="E2510" s="234"/>
    </row>
    <row r="2511">
      <c r="A2511" s="237"/>
      <c r="E2511" s="234"/>
    </row>
    <row r="2512">
      <c r="A2512" s="237"/>
      <c r="E2512" s="234"/>
    </row>
    <row r="2513">
      <c r="A2513" s="237"/>
      <c r="E2513" s="234"/>
    </row>
    <row r="2514">
      <c r="A2514" s="237"/>
      <c r="E2514" s="234"/>
    </row>
    <row r="2515">
      <c r="A2515" s="237"/>
      <c r="E2515" s="234"/>
    </row>
    <row r="2516">
      <c r="A2516" s="237"/>
      <c r="E2516" s="234"/>
    </row>
    <row r="2517">
      <c r="A2517" s="237"/>
      <c r="E2517" s="234"/>
    </row>
    <row r="2518">
      <c r="A2518" s="237"/>
      <c r="E2518" s="234"/>
    </row>
    <row r="2519">
      <c r="A2519" s="237"/>
      <c r="E2519" s="234"/>
    </row>
    <row r="2520">
      <c r="A2520" s="237"/>
      <c r="E2520" s="234"/>
    </row>
    <row r="2521">
      <c r="A2521" s="237"/>
      <c r="E2521" s="234"/>
    </row>
    <row r="2522">
      <c r="A2522" s="237"/>
      <c r="E2522" s="234"/>
    </row>
    <row r="2523">
      <c r="A2523" s="237"/>
      <c r="E2523" s="234"/>
    </row>
    <row r="2524">
      <c r="A2524" s="237"/>
      <c r="E2524" s="234"/>
    </row>
    <row r="2525">
      <c r="A2525" s="237"/>
      <c r="E2525" s="234"/>
    </row>
    <row r="2526">
      <c r="A2526" s="237"/>
      <c r="E2526" s="234"/>
    </row>
    <row r="2527">
      <c r="A2527" s="237"/>
      <c r="E2527" s="234"/>
    </row>
    <row r="2528">
      <c r="A2528" s="237"/>
      <c r="E2528" s="234"/>
    </row>
    <row r="2529">
      <c r="A2529" s="237"/>
      <c r="E2529" s="234"/>
    </row>
    <row r="2530">
      <c r="A2530" s="237"/>
      <c r="E2530" s="234"/>
    </row>
    <row r="2531">
      <c r="A2531" s="237"/>
      <c r="E2531" s="234"/>
    </row>
    <row r="2532">
      <c r="A2532" s="237"/>
      <c r="E2532" s="234"/>
    </row>
    <row r="2533">
      <c r="A2533" s="237"/>
      <c r="E2533" s="234"/>
    </row>
    <row r="2534">
      <c r="A2534" s="237"/>
      <c r="E2534" s="234"/>
    </row>
    <row r="2535">
      <c r="A2535" s="237"/>
      <c r="E2535" s="234"/>
    </row>
    <row r="2536">
      <c r="A2536" s="237"/>
      <c r="E2536" s="234"/>
    </row>
    <row r="2537">
      <c r="A2537" s="237"/>
      <c r="E2537" s="234"/>
    </row>
    <row r="2538">
      <c r="A2538" s="237"/>
      <c r="E2538" s="234"/>
    </row>
    <row r="2539">
      <c r="A2539" s="237"/>
      <c r="E2539" s="234"/>
    </row>
    <row r="2540">
      <c r="A2540" s="237"/>
      <c r="E2540" s="234"/>
    </row>
    <row r="2541">
      <c r="A2541" s="237"/>
      <c r="E2541" s="234"/>
    </row>
    <row r="2542">
      <c r="A2542" s="237"/>
      <c r="E2542" s="234"/>
    </row>
    <row r="2543">
      <c r="A2543" s="237"/>
      <c r="E2543" s="234"/>
    </row>
    <row r="2544">
      <c r="A2544" s="237"/>
      <c r="E2544" s="234"/>
    </row>
    <row r="2545">
      <c r="A2545" s="237"/>
      <c r="E2545" s="234"/>
    </row>
    <row r="2546">
      <c r="A2546" s="237"/>
      <c r="E2546" s="234"/>
    </row>
    <row r="2547">
      <c r="A2547" s="237"/>
      <c r="E2547" s="234"/>
    </row>
    <row r="2548">
      <c r="A2548" s="237"/>
      <c r="E2548" s="234"/>
    </row>
    <row r="2549">
      <c r="A2549" s="237"/>
      <c r="E2549" s="234"/>
    </row>
    <row r="2550">
      <c r="A2550" s="237"/>
      <c r="E2550" s="234"/>
    </row>
    <row r="2551">
      <c r="A2551" s="237"/>
      <c r="E2551" s="234"/>
    </row>
    <row r="2552">
      <c r="A2552" s="237"/>
      <c r="E2552" s="234"/>
    </row>
    <row r="2553">
      <c r="A2553" s="237"/>
      <c r="E2553" s="234"/>
    </row>
    <row r="2554">
      <c r="A2554" s="237"/>
      <c r="E2554" s="234"/>
    </row>
    <row r="2555">
      <c r="A2555" s="237"/>
      <c r="E2555" s="234"/>
    </row>
    <row r="2556">
      <c r="A2556" s="237"/>
      <c r="E2556" s="234"/>
    </row>
    <row r="2557">
      <c r="A2557" s="237"/>
      <c r="E2557" s="234"/>
    </row>
    <row r="2558">
      <c r="A2558" s="237"/>
      <c r="E2558" s="234"/>
    </row>
    <row r="2559">
      <c r="A2559" s="237"/>
      <c r="E2559" s="234"/>
    </row>
    <row r="2560">
      <c r="A2560" s="237"/>
      <c r="E2560" s="234"/>
    </row>
    <row r="2561">
      <c r="A2561" s="237"/>
      <c r="E2561" s="234"/>
    </row>
    <row r="2562">
      <c r="A2562" s="237"/>
      <c r="E2562" s="234"/>
    </row>
    <row r="2563">
      <c r="A2563" s="237"/>
      <c r="E2563" s="234"/>
    </row>
    <row r="2564">
      <c r="A2564" s="237"/>
      <c r="E2564" s="234"/>
    </row>
    <row r="2565">
      <c r="A2565" s="237"/>
      <c r="E2565" s="234"/>
    </row>
    <row r="2566">
      <c r="A2566" s="237"/>
      <c r="E2566" s="234"/>
    </row>
    <row r="2567">
      <c r="A2567" s="237"/>
      <c r="E2567" s="234"/>
    </row>
    <row r="2568">
      <c r="A2568" s="237"/>
      <c r="E2568" s="234"/>
    </row>
    <row r="2569">
      <c r="A2569" s="237"/>
      <c r="E2569" s="234"/>
    </row>
    <row r="2570">
      <c r="A2570" s="237"/>
      <c r="E2570" s="234"/>
    </row>
    <row r="2571">
      <c r="A2571" s="237"/>
      <c r="E2571" s="234"/>
    </row>
    <row r="2572">
      <c r="A2572" s="237"/>
      <c r="E2572" s="234"/>
    </row>
    <row r="2573">
      <c r="A2573" s="237"/>
      <c r="E2573" s="234"/>
    </row>
    <row r="2574">
      <c r="A2574" s="237"/>
      <c r="E2574" s="234"/>
    </row>
    <row r="2575">
      <c r="A2575" s="237"/>
      <c r="E2575" s="234"/>
    </row>
    <row r="2576">
      <c r="A2576" s="237"/>
      <c r="E2576" s="234"/>
    </row>
    <row r="2577">
      <c r="A2577" s="237"/>
      <c r="E2577" s="234"/>
    </row>
    <row r="2578">
      <c r="A2578" s="237"/>
      <c r="E2578" s="234"/>
    </row>
    <row r="2579">
      <c r="A2579" s="237"/>
      <c r="E2579" s="234"/>
    </row>
    <row r="2580">
      <c r="A2580" s="237"/>
      <c r="E2580" s="234"/>
    </row>
    <row r="2581">
      <c r="A2581" s="237"/>
      <c r="E2581" s="234"/>
    </row>
    <row r="2582">
      <c r="A2582" s="237"/>
      <c r="E2582" s="234"/>
    </row>
    <row r="2583">
      <c r="A2583" s="237"/>
      <c r="E2583" s="234"/>
    </row>
    <row r="2584">
      <c r="A2584" s="237"/>
      <c r="E2584" s="234"/>
    </row>
    <row r="2585">
      <c r="A2585" s="237"/>
      <c r="E2585" s="234"/>
    </row>
    <row r="2586">
      <c r="A2586" s="237"/>
      <c r="E2586" s="234"/>
    </row>
    <row r="2587">
      <c r="A2587" s="237"/>
      <c r="E2587" s="234"/>
    </row>
    <row r="2588">
      <c r="A2588" s="237"/>
      <c r="E2588" s="234"/>
    </row>
    <row r="2589">
      <c r="A2589" s="237"/>
      <c r="E2589" s="234"/>
    </row>
    <row r="2590">
      <c r="A2590" s="237"/>
      <c r="E2590" s="234"/>
    </row>
    <row r="2591">
      <c r="A2591" s="237"/>
      <c r="E2591" s="234"/>
    </row>
    <row r="2592">
      <c r="A2592" s="237"/>
      <c r="E2592" s="234"/>
    </row>
    <row r="2593">
      <c r="A2593" s="237"/>
      <c r="E2593" s="234"/>
    </row>
    <row r="2594">
      <c r="A2594" s="237"/>
      <c r="E2594" s="234"/>
    </row>
    <row r="2595">
      <c r="A2595" s="237"/>
      <c r="E2595" s="234"/>
    </row>
    <row r="2596">
      <c r="A2596" s="237"/>
      <c r="E2596" s="234"/>
    </row>
    <row r="2597">
      <c r="A2597" s="237"/>
      <c r="E2597" s="234"/>
    </row>
    <row r="2598">
      <c r="A2598" s="237"/>
      <c r="E2598" s="234"/>
    </row>
    <row r="2599">
      <c r="A2599" s="237"/>
      <c r="E2599" s="234"/>
    </row>
    <row r="2600">
      <c r="A2600" s="237"/>
      <c r="E2600" s="234"/>
    </row>
    <row r="2601">
      <c r="A2601" s="237"/>
      <c r="E2601" s="234"/>
    </row>
    <row r="2602">
      <c r="A2602" s="237"/>
      <c r="E2602" s="234"/>
    </row>
    <row r="2603">
      <c r="A2603" s="237"/>
      <c r="E2603" s="234"/>
    </row>
    <row r="2604">
      <c r="A2604" s="237"/>
      <c r="E2604" s="234"/>
    </row>
    <row r="2605">
      <c r="A2605" s="237"/>
      <c r="E2605" s="234"/>
    </row>
    <row r="2606">
      <c r="A2606" s="237"/>
      <c r="E2606" s="234"/>
    </row>
    <row r="2607">
      <c r="A2607" s="237"/>
      <c r="E2607" s="234"/>
    </row>
    <row r="2608">
      <c r="A2608" s="237"/>
      <c r="E2608" s="234"/>
    </row>
    <row r="2609">
      <c r="A2609" s="237"/>
      <c r="E2609" s="234"/>
    </row>
    <row r="2610">
      <c r="A2610" s="237"/>
      <c r="E2610" s="234"/>
    </row>
    <row r="2611">
      <c r="A2611" s="237"/>
      <c r="E2611" s="234"/>
    </row>
    <row r="2612">
      <c r="A2612" s="237"/>
      <c r="E2612" s="234"/>
    </row>
    <row r="2613">
      <c r="A2613" s="237"/>
      <c r="E2613" s="234"/>
    </row>
    <row r="2614">
      <c r="A2614" s="237"/>
      <c r="E2614" s="234"/>
    </row>
    <row r="2615">
      <c r="A2615" s="237"/>
      <c r="E2615" s="234"/>
    </row>
    <row r="2616">
      <c r="A2616" s="237"/>
      <c r="E2616" s="234"/>
    </row>
    <row r="2617">
      <c r="A2617" s="237"/>
      <c r="E2617" s="234"/>
    </row>
    <row r="2618">
      <c r="A2618" s="237"/>
      <c r="E2618" s="234"/>
    </row>
    <row r="2619">
      <c r="A2619" s="237"/>
      <c r="E2619" s="234"/>
    </row>
    <row r="2620">
      <c r="A2620" s="237"/>
      <c r="E2620" s="234"/>
    </row>
    <row r="2621">
      <c r="A2621" s="237"/>
      <c r="E2621" s="234"/>
    </row>
    <row r="2622">
      <c r="A2622" s="237"/>
      <c r="E2622" s="234"/>
    </row>
    <row r="2623">
      <c r="A2623" s="237"/>
      <c r="E2623" s="234"/>
    </row>
    <row r="2624">
      <c r="A2624" s="237"/>
      <c r="E2624" s="234"/>
    </row>
    <row r="2625">
      <c r="A2625" s="237"/>
      <c r="E2625" s="234"/>
    </row>
    <row r="2626">
      <c r="A2626" s="237"/>
      <c r="E2626" s="234"/>
    </row>
    <row r="2627">
      <c r="A2627" s="237"/>
      <c r="E2627" s="234"/>
    </row>
    <row r="2628">
      <c r="A2628" s="237"/>
      <c r="E2628" s="234"/>
    </row>
    <row r="2629">
      <c r="A2629" s="237"/>
      <c r="E2629" s="234"/>
    </row>
    <row r="2630">
      <c r="A2630" s="237"/>
      <c r="E2630" s="234"/>
    </row>
    <row r="2631">
      <c r="A2631" s="237"/>
      <c r="E2631" s="234"/>
    </row>
    <row r="2632">
      <c r="A2632" s="237"/>
      <c r="E2632" s="234"/>
    </row>
    <row r="2633">
      <c r="A2633" s="237"/>
      <c r="E2633" s="234"/>
    </row>
    <row r="2634">
      <c r="A2634" s="237"/>
      <c r="E2634" s="234"/>
    </row>
    <row r="2635">
      <c r="A2635" s="237"/>
      <c r="E2635" s="234"/>
    </row>
    <row r="2636">
      <c r="A2636" s="237"/>
      <c r="E2636" s="234"/>
    </row>
    <row r="2637">
      <c r="A2637" s="237"/>
      <c r="E2637" s="234"/>
    </row>
    <row r="2638">
      <c r="A2638" s="237"/>
      <c r="E2638" s="234"/>
    </row>
    <row r="2639">
      <c r="A2639" s="237"/>
      <c r="E2639" s="234"/>
    </row>
    <row r="2640">
      <c r="A2640" s="237"/>
      <c r="E2640" s="234"/>
    </row>
    <row r="2641">
      <c r="A2641" s="237"/>
      <c r="E2641" s="234"/>
    </row>
    <row r="2642">
      <c r="A2642" s="237"/>
      <c r="E2642" s="234"/>
    </row>
    <row r="2643">
      <c r="A2643" s="237"/>
      <c r="E2643" s="234"/>
    </row>
    <row r="2644">
      <c r="A2644" s="237"/>
      <c r="E2644" s="234"/>
    </row>
    <row r="2645">
      <c r="A2645" s="237"/>
      <c r="E2645" s="234"/>
    </row>
    <row r="2646">
      <c r="A2646" s="237"/>
      <c r="E2646" s="234"/>
    </row>
    <row r="2647">
      <c r="A2647" s="237"/>
      <c r="E2647" s="234"/>
    </row>
    <row r="2648">
      <c r="A2648" s="237"/>
      <c r="E2648" s="234"/>
    </row>
    <row r="2649">
      <c r="A2649" s="237"/>
      <c r="E2649" s="234"/>
    </row>
    <row r="2650">
      <c r="A2650" s="237"/>
      <c r="E2650" s="234"/>
    </row>
    <row r="2651">
      <c r="A2651" s="237"/>
      <c r="E2651" s="234"/>
    </row>
    <row r="2652">
      <c r="A2652" s="237"/>
      <c r="E2652" s="234"/>
    </row>
    <row r="2653">
      <c r="A2653" s="237"/>
      <c r="E2653" s="234"/>
    </row>
    <row r="2654">
      <c r="A2654" s="237"/>
      <c r="E2654" s="234"/>
    </row>
    <row r="2655">
      <c r="A2655" s="237"/>
      <c r="E2655" s="234"/>
    </row>
    <row r="2656">
      <c r="A2656" s="237"/>
      <c r="E2656" s="234"/>
    </row>
    <row r="2657">
      <c r="A2657" s="237"/>
      <c r="E2657" s="234"/>
    </row>
    <row r="2658">
      <c r="A2658" s="237"/>
      <c r="E2658" s="234"/>
    </row>
    <row r="2659">
      <c r="A2659" s="237"/>
      <c r="E2659" s="234"/>
    </row>
    <row r="2660">
      <c r="A2660" s="237"/>
      <c r="E2660" s="234"/>
    </row>
    <row r="2661">
      <c r="A2661" s="237"/>
      <c r="E2661" s="234"/>
    </row>
    <row r="2662">
      <c r="A2662" s="237"/>
      <c r="E2662" s="234"/>
    </row>
    <row r="2663">
      <c r="A2663" s="237"/>
      <c r="E2663" s="234"/>
    </row>
    <row r="2664">
      <c r="A2664" s="237"/>
      <c r="E2664" s="234"/>
    </row>
    <row r="2665">
      <c r="A2665" s="237"/>
      <c r="E2665" s="234"/>
    </row>
    <row r="2666">
      <c r="A2666" s="237"/>
      <c r="E2666" s="234"/>
    </row>
    <row r="2667">
      <c r="A2667" s="237"/>
      <c r="E2667" s="234"/>
    </row>
    <row r="2668">
      <c r="A2668" s="237"/>
      <c r="E2668" s="234"/>
    </row>
    <row r="2669">
      <c r="A2669" s="237"/>
      <c r="E2669" s="234"/>
    </row>
    <row r="2670">
      <c r="A2670" s="237"/>
      <c r="E2670" s="234"/>
    </row>
    <row r="2671">
      <c r="A2671" s="237"/>
      <c r="E2671" s="234"/>
    </row>
    <row r="2672">
      <c r="A2672" s="237"/>
      <c r="E2672" s="234"/>
    </row>
    <row r="2673">
      <c r="A2673" s="237"/>
      <c r="E2673" s="234"/>
    </row>
    <row r="2674">
      <c r="A2674" s="237"/>
      <c r="E2674" s="234"/>
    </row>
    <row r="2675">
      <c r="A2675" s="237"/>
      <c r="E2675" s="234"/>
    </row>
    <row r="2676">
      <c r="A2676" s="237"/>
      <c r="E2676" s="234"/>
    </row>
    <row r="2677">
      <c r="A2677" s="237"/>
      <c r="E2677" s="234"/>
    </row>
    <row r="2678">
      <c r="A2678" s="237"/>
      <c r="E2678" s="234"/>
    </row>
    <row r="2679">
      <c r="A2679" s="237"/>
      <c r="E2679" s="234"/>
    </row>
    <row r="2680">
      <c r="A2680" s="237"/>
      <c r="E2680" s="234"/>
    </row>
    <row r="2681">
      <c r="A2681" s="237"/>
      <c r="E2681" s="234"/>
    </row>
    <row r="2682">
      <c r="A2682" s="237"/>
      <c r="E2682" s="234"/>
    </row>
    <row r="2683">
      <c r="A2683" s="237"/>
      <c r="E2683" s="234"/>
    </row>
    <row r="2684">
      <c r="A2684" s="237"/>
      <c r="E2684" s="234"/>
    </row>
    <row r="2685">
      <c r="A2685" s="237"/>
      <c r="E2685" s="234"/>
    </row>
    <row r="2686">
      <c r="A2686" s="237"/>
      <c r="E2686" s="234"/>
    </row>
    <row r="2687">
      <c r="A2687" s="237"/>
      <c r="E2687" s="234"/>
    </row>
    <row r="2688">
      <c r="A2688" s="237"/>
      <c r="E2688" s="234"/>
    </row>
    <row r="2689">
      <c r="A2689" s="237"/>
      <c r="E2689" s="234"/>
    </row>
    <row r="2690">
      <c r="A2690" s="237"/>
      <c r="E2690" s="234"/>
    </row>
    <row r="2691">
      <c r="A2691" s="237"/>
      <c r="E2691" s="234"/>
    </row>
    <row r="2692">
      <c r="A2692" s="237"/>
      <c r="E2692" s="234"/>
    </row>
    <row r="2693">
      <c r="A2693" s="237"/>
      <c r="E2693" s="234"/>
    </row>
    <row r="2694">
      <c r="A2694" s="237"/>
      <c r="E2694" s="234"/>
    </row>
    <row r="2695">
      <c r="A2695" s="237"/>
      <c r="E2695" s="234"/>
    </row>
    <row r="2696">
      <c r="A2696" s="237"/>
      <c r="E2696" s="234"/>
    </row>
    <row r="2697">
      <c r="A2697" s="237"/>
      <c r="E2697" s="234"/>
    </row>
    <row r="2698">
      <c r="A2698" s="237"/>
      <c r="E2698" s="234"/>
    </row>
    <row r="2699">
      <c r="A2699" s="237"/>
      <c r="E2699" s="234"/>
    </row>
    <row r="2700">
      <c r="A2700" s="237"/>
      <c r="E2700" s="234"/>
    </row>
    <row r="2701">
      <c r="A2701" s="237"/>
      <c r="E2701" s="234"/>
    </row>
    <row r="2702">
      <c r="A2702" s="237"/>
      <c r="E2702" s="234"/>
    </row>
    <row r="2703">
      <c r="A2703" s="237"/>
      <c r="E2703" s="234"/>
    </row>
    <row r="2704">
      <c r="A2704" s="237"/>
      <c r="E2704" s="234"/>
    </row>
    <row r="2705">
      <c r="A2705" s="237"/>
      <c r="E2705" s="234"/>
    </row>
    <row r="2706">
      <c r="A2706" s="237"/>
      <c r="E2706" s="234"/>
    </row>
    <row r="2707">
      <c r="A2707" s="237"/>
      <c r="E2707" s="234"/>
    </row>
    <row r="2708">
      <c r="A2708" s="237"/>
      <c r="E2708" s="234"/>
    </row>
    <row r="2709">
      <c r="A2709" s="237"/>
      <c r="E2709" s="234"/>
    </row>
    <row r="2710">
      <c r="A2710" s="237"/>
      <c r="E2710" s="234"/>
    </row>
    <row r="2711">
      <c r="A2711" s="237"/>
      <c r="E2711" s="234"/>
    </row>
    <row r="2712">
      <c r="A2712" s="237"/>
      <c r="E2712" s="234"/>
    </row>
    <row r="2713">
      <c r="A2713" s="237"/>
      <c r="E2713" s="234"/>
    </row>
    <row r="2714">
      <c r="A2714" s="237"/>
      <c r="E2714" s="234"/>
    </row>
    <row r="2715">
      <c r="A2715" s="237"/>
      <c r="E2715" s="234"/>
    </row>
    <row r="2716">
      <c r="A2716" s="237"/>
      <c r="E2716" s="234"/>
    </row>
    <row r="2717">
      <c r="A2717" s="237"/>
      <c r="E2717" s="234"/>
    </row>
    <row r="2718">
      <c r="A2718" s="237"/>
      <c r="E2718" s="234"/>
    </row>
    <row r="2719">
      <c r="A2719" s="237"/>
      <c r="E2719" s="234"/>
    </row>
    <row r="2720">
      <c r="A2720" s="237"/>
      <c r="E2720" s="234"/>
    </row>
    <row r="2721">
      <c r="A2721" s="237"/>
      <c r="E2721" s="234"/>
    </row>
    <row r="2722">
      <c r="A2722" s="237"/>
      <c r="E2722" s="234"/>
    </row>
    <row r="2723">
      <c r="A2723" s="237"/>
      <c r="E2723" s="234"/>
    </row>
    <row r="2724">
      <c r="A2724" s="237"/>
      <c r="E2724" s="234"/>
    </row>
    <row r="2725">
      <c r="A2725" s="237"/>
      <c r="E2725" s="234"/>
    </row>
    <row r="2726">
      <c r="A2726" s="237"/>
      <c r="E2726" s="234"/>
    </row>
    <row r="2727">
      <c r="A2727" s="237"/>
      <c r="E2727" s="234"/>
    </row>
    <row r="2728">
      <c r="A2728" s="237"/>
      <c r="E2728" s="234"/>
    </row>
    <row r="2729">
      <c r="A2729" s="237"/>
      <c r="E2729" s="234"/>
    </row>
    <row r="2730">
      <c r="A2730" s="237"/>
      <c r="E2730" s="234"/>
    </row>
    <row r="2731">
      <c r="A2731" s="237"/>
      <c r="E2731" s="234"/>
    </row>
    <row r="2732">
      <c r="A2732" s="237"/>
      <c r="E2732" s="234"/>
    </row>
    <row r="2733">
      <c r="A2733" s="237"/>
      <c r="E2733" s="234"/>
    </row>
    <row r="2734">
      <c r="A2734" s="237"/>
      <c r="E2734" s="234"/>
    </row>
    <row r="2735">
      <c r="A2735" s="237"/>
      <c r="E2735" s="234"/>
    </row>
    <row r="2736">
      <c r="A2736" s="237"/>
      <c r="E2736" s="234"/>
    </row>
    <row r="2737">
      <c r="A2737" s="237"/>
      <c r="E2737" s="234"/>
    </row>
    <row r="2738">
      <c r="A2738" s="237"/>
      <c r="E2738" s="234"/>
    </row>
    <row r="2739">
      <c r="A2739" s="237"/>
      <c r="E2739" s="234"/>
    </row>
    <row r="2740">
      <c r="A2740" s="237"/>
      <c r="E2740" s="234"/>
    </row>
    <row r="2741">
      <c r="A2741" s="237"/>
      <c r="E2741" s="234"/>
    </row>
    <row r="2742">
      <c r="A2742" s="237"/>
      <c r="E2742" s="234"/>
    </row>
    <row r="2743">
      <c r="A2743" s="237"/>
      <c r="E2743" s="234"/>
    </row>
    <row r="2744">
      <c r="A2744" s="237"/>
      <c r="E2744" s="234"/>
    </row>
    <row r="2745">
      <c r="A2745" s="237"/>
      <c r="E2745" s="234"/>
    </row>
    <row r="2746">
      <c r="A2746" s="237"/>
      <c r="E2746" s="234"/>
    </row>
    <row r="2747">
      <c r="A2747" s="237"/>
      <c r="E2747" s="234"/>
    </row>
    <row r="2748">
      <c r="A2748" s="237"/>
      <c r="E2748" s="234"/>
    </row>
    <row r="2749">
      <c r="A2749" s="237"/>
      <c r="E2749" s="234"/>
    </row>
    <row r="2750">
      <c r="A2750" s="237"/>
      <c r="E2750" s="234"/>
    </row>
    <row r="2751">
      <c r="A2751" s="237"/>
      <c r="E2751" s="234"/>
    </row>
    <row r="2752">
      <c r="A2752" s="237"/>
      <c r="E2752" s="234"/>
    </row>
    <row r="2753">
      <c r="A2753" s="237"/>
      <c r="E2753" s="234"/>
    </row>
    <row r="2754">
      <c r="A2754" s="237"/>
      <c r="E2754" s="234"/>
    </row>
    <row r="2755">
      <c r="A2755" s="237"/>
      <c r="E2755" s="234"/>
    </row>
    <row r="2756">
      <c r="A2756" s="237"/>
      <c r="E2756" s="234"/>
    </row>
    <row r="2757">
      <c r="A2757" s="237"/>
      <c r="E2757" s="234"/>
    </row>
    <row r="2758">
      <c r="A2758" s="237"/>
      <c r="E2758" s="234"/>
    </row>
    <row r="2759">
      <c r="A2759" s="237"/>
      <c r="E2759" s="234"/>
    </row>
    <row r="2760">
      <c r="A2760" s="237"/>
      <c r="E2760" s="234"/>
    </row>
    <row r="2761">
      <c r="A2761" s="237"/>
      <c r="E2761" s="234"/>
    </row>
    <row r="2762">
      <c r="A2762" s="237"/>
      <c r="E2762" s="234"/>
    </row>
    <row r="2763">
      <c r="A2763" s="237"/>
      <c r="E2763" s="234"/>
    </row>
    <row r="2764">
      <c r="A2764" s="237"/>
      <c r="E2764" s="234"/>
    </row>
    <row r="2765">
      <c r="A2765" s="237"/>
      <c r="E2765" s="234"/>
    </row>
    <row r="2766">
      <c r="A2766" s="237"/>
      <c r="E2766" s="234"/>
    </row>
    <row r="2767">
      <c r="A2767" s="237"/>
      <c r="E2767" s="234"/>
    </row>
    <row r="2768">
      <c r="A2768" s="237"/>
      <c r="E2768" s="234"/>
    </row>
    <row r="2769">
      <c r="A2769" s="237"/>
      <c r="E2769" s="234"/>
    </row>
    <row r="2770">
      <c r="A2770" s="237"/>
      <c r="E2770" s="234"/>
    </row>
    <row r="2771">
      <c r="A2771" s="237"/>
      <c r="E2771" s="234"/>
    </row>
    <row r="2772">
      <c r="A2772" s="237"/>
      <c r="E2772" s="234"/>
    </row>
    <row r="2773">
      <c r="A2773" s="237"/>
      <c r="E2773" s="234"/>
    </row>
    <row r="2774">
      <c r="A2774" s="237"/>
      <c r="E2774" s="234"/>
    </row>
    <row r="2775">
      <c r="A2775" s="237"/>
      <c r="E2775" s="234"/>
    </row>
    <row r="2776">
      <c r="A2776" s="237"/>
      <c r="E2776" s="234"/>
    </row>
    <row r="2777">
      <c r="A2777" s="237"/>
      <c r="E2777" s="234"/>
    </row>
    <row r="2778">
      <c r="A2778" s="237"/>
      <c r="E2778" s="234"/>
    </row>
    <row r="2779">
      <c r="A2779" s="237"/>
      <c r="E2779" s="234"/>
    </row>
    <row r="2780">
      <c r="A2780" s="237"/>
      <c r="E2780" s="234"/>
    </row>
    <row r="2781">
      <c r="A2781" s="237"/>
      <c r="E2781" s="234"/>
    </row>
    <row r="2782">
      <c r="A2782" s="237"/>
      <c r="E2782" s="234"/>
    </row>
    <row r="2783">
      <c r="A2783" s="237"/>
      <c r="E2783" s="234"/>
    </row>
    <row r="2784">
      <c r="A2784" s="237"/>
      <c r="E2784" s="234"/>
    </row>
    <row r="2785">
      <c r="A2785" s="237"/>
      <c r="E2785" s="234"/>
    </row>
    <row r="2786">
      <c r="A2786" s="237"/>
      <c r="E2786" s="234"/>
    </row>
    <row r="2787">
      <c r="A2787" s="237"/>
      <c r="E2787" s="234"/>
    </row>
    <row r="2788">
      <c r="A2788" s="237"/>
      <c r="E2788" s="234"/>
    </row>
    <row r="2789">
      <c r="A2789" s="237"/>
      <c r="E2789" s="234"/>
    </row>
    <row r="2790">
      <c r="A2790" s="237"/>
      <c r="E2790" s="234"/>
    </row>
    <row r="2791">
      <c r="A2791" s="237"/>
      <c r="E2791" s="234"/>
    </row>
    <row r="2792">
      <c r="A2792" s="237"/>
      <c r="E2792" s="234"/>
    </row>
    <row r="2793">
      <c r="A2793" s="237"/>
      <c r="E2793" s="234"/>
    </row>
    <row r="2794">
      <c r="A2794" s="237"/>
      <c r="E2794" s="234"/>
    </row>
    <row r="2795">
      <c r="A2795" s="237"/>
      <c r="E2795" s="234"/>
    </row>
    <row r="2796">
      <c r="A2796" s="237"/>
      <c r="E2796" s="234"/>
    </row>
    <row r="2797">
      <c r="A2797" s="237"/>
      <c r="E2797" s="234"/>
    </row>
    <row r="2798">
      <c r="A2798" s="237"/>
      <c r="E2798" s="234"/>
    </row>
    <row r="2799">
      <c r="A2799" s="237"/>
      <c r="E2799" s="234"/>
    </row>
    <row r="2800">
      <c r="A2800" s="237"/>
      <c r="E2800" s="234"/>
    </row>
    <row r="2801">
      <c r="A2801" s="237"/>
      <c r="E2801" s="234"/>
    </row>
    <row r="2802">
      <c r="A2802" s="237"/>
      <c r="E2802" s="234"/>
    </row>
    <row r="2803">
      <c r="A2803" s="237"/>
      <c r="E2803" s="234"/>
    </row>
    <row r="2804">
      <c r="A2804" s="237"/>
      <c r="E2804" s="234"/>
    </row>
    <row r="2805">
      <c r="A2805" s="237"/>
      <c r="E2805" s="234"/>
    </row>
    <row r="2806">
      <c r="A2806" s="237"/>
      <c r="E2806" s="234"/>
    </row>
    <row r="2807">
      <c r="A2807" s="237"/>
      <c r="E2807" s="234"/>
    </row>
    <row r="2808">
      <c r="A2808" s="237"/>
      <c r="E2808" s="234"/>
    </row>
    <row r="2809">
      <c r="A2809" s="237"/>
      <c r="E2809" s="234"/>
    </row>
    <row r="2810">
      <c r="A2810" s="237"/>
      <c r="E2810" s="234"/>
    </row>
    <row r="2811">
      <c r="A2811" s="237"/>
      <c r="E2811" s="234"/>
    </row>
    <row r="2812">
      <c r="A2812" s="237"/>
      <c r="E2812" s="234"/>
    </row>
    <row r="2813">
      <c r="A2813" s="237"/>
      <c r="E2813" s="234"/>
    </row>
    <row r="2814">
      <c r="A2814" s="237"/>
      <c r="E2814" s="234"/>
    </row>
    <row r="2815">
      <c r="A2815" s="237"/>
      <c r="E2815" s="234"/>
    </row>
    <row r="2816">
      <c r="A2816" s="237"/>
      <c r="E2816" s="234"/>
    </row>
    <row r="2817">
      <c r="A2817" s="237"/>
      <c r="E2817" s="234"/>
    </row>
    <row r="2818">
      <c r="A2818" s="237"/>
      <c r="E2818" s="234"/>
    </row>
    <row r="2819">
      <c r="A2819" s="237"/>
      <c r="E2819" s="234"/>
    </row>
    <row r="2820">
      <c r="A2820" s="237"/>
      <c r="E2820" s="234"/>
    </row>
    <row r="2821">
      <c r="A2821" s="237"/>
      <c r="E2821" s="234"/>
    </row>
    <row r="2822">
      <c r="A2822" s="237"/>
      <c r="E2822" s="234"/>
    </row>
    <row r="2823">
      <c r="A2823" s="237"/>
      <c r="E2823" s="234"/>
    </row>
    <row r="2824">
      <c r="A2824" s="237"/>
      <c r="E2824" s="234"/>
    </row>
    <row r="2825">
      <c r="A2825" s="237"/>
      <c r="E2825" s="234"/>
    </row>
    <row r="2826">
      <c r="A2826" s="237"/>
      <c r="E2826" s="234"/>
    </row>
    <row r="2827">
      <c r="A2827" s="237"/>
      <c r="E2827" s="234"/>
    </row>
    <row r="2828">
      <c r="A2828" s="237"/>
      <c r="E2828" s="234"/>
    </row>
    <row r="2829">
      <c r="A2829" s="237"/>
      <c r="E2829" s="234"/>
    </row>
    <row r="2830">
      <c r="A2830" s="237"/>
      <c r="E2830" s="234"/>
    </row>
    <row r="2831">
      <c r="A2831" s="237"/>
      <c r="E2831" s="234"/>
    </row>
    <row r="2832">
      <c r="A2832" s="237"/>
      <c r="E2832" s="234"/>
    </row>
    <row r="2833">
      <c r="A2833" s="237"/>
      <c r="E2833" s="234"/>
    </row>
    <row r="2834">
      <c r="A2834" s="237"/>
      <c r="E2834" s="234"/>
    </row>
    <row r="2835">
      <c r="A2835" s="237"/>
      <c r="E2835" s="234"/>
    </row>
    <row r="2836">
      <c r="A2836" s="237"/>
      <c r="E2836" s="234"/>
    </row>
    <row r="2837">
      <c r="A2837" s="237"/>
      <c r="E2837" s="234"/>
    </row>
    <row r="2838">
      <c r="A2838" s="237"/>
      <c r="E2838" s="234"/>
    </row>
    <row r="2839">
      <c r="A2839" s="237"/>
      <c r="E2839" s="234"/>
    </row>
    <row r="2840">
      <c r="A2840" s="237"/>
      <c r="E2840" s="234"/>
    </row>
    <row r="2841">
      <c r="A2841" s="237"/>
      <c r="E2841" s="234"/>
    </row>
    <row r="2842">
      <c r="A2842" s="237"/>
      <c r="E2842" s="234"/>
    </row>
    <row r="2843">
      <c r="A2843" s="237"/>
      <c r="E2843" s="234"/>
    </row>
    <row r="2844">
      <c r="A2844" s="237"/>
      <c r="E2844" s="234"/>
    </row>
    <row r="2845">
      <c r="A2845" s="237"/>
      <c r="E2845" s="234"/>
    </row>
    <row r="2846">
      <c r="A2846" s="237"/>
      <c r="E2846" s="234"/>
    </row>
    <row r="2847">
      <c r="A2847" s="237"/>
      <c r="E2847" s="234"/>
    </row>
    <row r="2848">
      <c r="A2848" s="237"/>
      <c r="E2848" s="234"/>
    </row>
    <row r="2849">
      <c r="A2849" s="237"/>
      <c r="E2849" s="234"/>
    </row>
    <row r="2850">
      <c r="A2850" s="237"/>
      <c r="E2850" s="234"/>
    </row>
    <row r="2851">
      <c r="A2851" s="237"/>
      <c r="E2851" s="234"/>
    </row>
    <row r="2852">
      <c r="A2852" s="237"/>
      <c r="E2852" s="234"/>
    </row>
    <row r="2853">
      <c r="A2853" s="237"/>
      <c r="E2853" s="234"/>
    </row>
    <row r="2854">
      <c r="A2854" s="237"/>
      <c r="E2854" s="234"/>
    </row>
    <row r="2855">
      <c r="A2855" s="237"/>
      <c r="E2855" s="234"/>
    </row>
    <row r="2856">
      <c r="A2856" s="237"/>
      <c r="E2856" s="234"/>
    </row>
    <row r="2857">
      <c r="A2857" s="237"/>
      <c r="E2857" s="234"/>
    </row>
    <row r="2858">
      <c r="A2858" s="237"/>
      <c r="E2858" s="234"/>
    </row>
    <row r="2859">
      <c r="A2859" s="237"/>
      <c r="E2859" s="234"/>
    </row>
    <row r="2860">
      <c r="A2860" s="237"/>
      <c r="E2860" s="234"/>
    </row>
    <row r="2861">
      <c r="A2861" s="237"/>
      <c r="E2861" s="234"/>
    </row>
    <row r="2862">
      <c r="A2862" s="237"/>
      <c r="E2862" s="234"/>
    </row>
    <row r="2863">
      <c r="A2863" s="237"/>
      <c r="E2863" s="234"/>
    </row>
    <row r="2864">
      <c r="A2864" s="237"/>
      <c r="E2864" s="234"/>
    </row>
    <row r="2865">
      <c r="A2865" s="237"/>
      <c r="E2865" s="234"/>
    </row>
    <row r="2866">
      <c r="A2866" s="237"/>
      <c r="E2866" s="234"/>
    </row>
    <row r="2867">
      <c r="A2867" s="237"/>
      <c r="E2867" s="234"/>
    </row>
    <row r="2868">
      <c r="A2868" s="237"/>
      <c r="E2868" s="234"/>
    </row>
    <row r="2869">
      <c r="A2869" s="237"/>
      <c r="E2869" s="234"/>
    </row>
    <row r="2870">
      <c r="A2870" s="237"/>
      <c r="E2870" s="234"/>
    </row>
    <row r="2871">
      <c r="A2871" s="237"/>
      <c r="E2871" s="234"/>
    </row>
    <row r="2872">
      <c r="A2872" s="237"/>
      <c r="E2872" s="234"/>
    </row>
    <row r="2873">
      <c r="A2873" s="237"/>
      <c r="E2873" s="234"/>
    </row>
    <row r="2874">
      <c r="A2874" s="237"/>
      <c r="E2874" s="234"/>
    </row>
    <row r="2875">
      <c r="A2875" s="237"/>
      <c r="E2875" s="234"/>
    </row>
    <row r="2876">
      <c r="A2876" s="237"/>
      <c r="E2876" s="234"/>
    </row>
    <row r="2877">
      <c r="A2877" s="237"/>
      <c r="E2877" s="234"/>
    </row>
    <row r="2878">
      <c r="A2878" s="237"/>
      <c r="E2878" s="234"/>
    </row>
    <row r="2879">
      <c r="A2879" s="237"/>
      <c r="E2879" s="234"/>
    </row>
    <row r="2880">
      <c r="A2880" s="237"/>
      <c r="E2880" s="234"/>
    </row>
    <row r="2881">
      <c r="A2881" s="237"/>
      <c r="E2881" s="234"/>
    </row>
    <row r="2882">
      <c r="A2882" s="237"/>
      <c r="E2882" s="234"/>
    </row>
    <row r="2883">
      <c r="A2883" s="237"/>
      <c r="E2883" s="234"/>
    </row>
    <row r="2884">
      <c r="A2884" s="237"/>
      <c r="E2884" s="234"/>
    </row>
    <row r="2885">
      <c r="A2885" s="237"/>
      <c r="E2885" s="234"/>
    </row>
    <row r="2886">
      <c r="A2886" s="237"/>
      <c r="E2886" s="234"/>
    </row>
    <row r="2887">
      <c r="A2887" s="237"/>
      <c r="E2887" s="234"/>
    </row>
    <row r="2888">
      <c r="A2888" s="237"/>
      <c r="E2888" s="234"/>
    </row>
    <row r="2889">
      <c r="A2889" s="237"/>
      <c r="E2889" s="234"/>
    </row>
    <row r="2890">
      <c r="A2890" s="237"/>
      <c r="E2890" s="234"/>
    </row>
    <row r="2891">
      <c r="A2891" s="237"/>
      <c r="E2891" s="234"/>
    </row>
    <row r="2892">
      <c r="A2892" s="237"/>
      <c r="E2892" s="234"/>
    </row>
    <row r="2893">
      <c r="A2893" s="237"/>
      <c r="E2893" s="234"/>
    </row>
    <row r="2894">
      <c r="A2894" s="237"/>
      <c r="E2894" s="234"/>
    </row>
    <row r="2895">
      <c r="A2895" s="237"/>
      <c r="E2895" s="234"/>
    </row>
    <row r="2896">
      <c r="A2896" s="237"/>
      <c r="E2896" s="234"/>
    </row>
    <row r="2897">
      <c r="A2897" s="237"/>
      <c r="E2897" s="234"/>
    </row>
    <row r="2898">
      <c r="A2898" s="237"/>
      <c r="E2898" s="234"/>
    </row>
    <row r="2899">
      <c r="A2899" s="237"/>
      <c r="E2899" s="234"/>
    </row>
    <row r="2900">
      <c r="A2900" s="237"/>
      <c r="E2900" s="234"/>
    </row>
    <row r="2901">
      <c r="A2901" s="237"/>
      <c r="E2901" s="234"/>
    </row>
    <row r="2902">
      <c r="A2902" s="237"/>
      <c r="E2902" s="234"/>
    </row>
    <row r="2903">
      <c r="A2903" s="237"/>
      <c r="E2903" s="234"/>
    </row>
    <row r="2904">
      <c r="A2904" s="237"/>
      <c r="E2904" s="234"/>
    </row>
    <row r="2905">
      <c r="A2905" s="237"/>
      <c r="E2905" s="234"/>
    </row>
    <row r="2906">
      <c r="A2906" s="237"/>
      <c r="E2906" s="234"/>
    </row>
    <row r="2907">
      <c r="A2907" s="237"/>
      <c r="E2907" s="234"/>
    </row>
    <row r="2908">
      <c r="A2908" s="237"/>
      <c r="E2908" s="234"/>
    </row>
    <row r="2909">
      <c r="A2909" s="237"/>
      <c r="E2909" s="234"/>
    </row>
    <row r="2910">
      <c r="A2910" s="237"/>
      <c r="E2910" s="234"/>
    </row>
    <row r="2911">
      <c r="A2911" s="237"/>
      <c r="E2911" s="234"/>
    </row>
    <row r="2912">
      <c r="A2912" s="237"/>
      <c r="E2912" s="234"/>
    </row>
    <row r="2913">
      <c r="A2913" s="237"/>
      <c r="E2913" s="234"/>
    </row>
    <row r="2914">
      <c r="A2914" s="237"/>
      <c r="E2914" s="234"/>
    </row>
    <row r="2915">
      <c r="A2915" s="237"/>
      <c r="E2915" s="234"/>
    </row>
    <row r="2916">
      <c r="A2916" s="237"/>
      <c r="E2916" s="234"/>
    </row>
    <row r="2917">
      <c r="A2917" s="237"/>
      <c r="E2917" s="234"/>
    </row>
    <row r="2918">
      <c r="A2918" s="237"/>
      <c r="E2918" s="234"/>
    </row>
    <row r="2919">
      <c r="A2919" s="237"/>
      <c r="E2919" s="234"/>
    </row>
    <row r="2920">
      <c r="A2920" s="237"/>
      <c r="E2920" s="234"/>
    </row>
    <row r="2921">
      <c r="A2921" s="237"/>
      <c r="E2921" s="234"/>
    </row>
    <row r="2922">
      <c r="A2922" s="237"/>
      <c r="E2922" s="234"/>
    </row>
    <row r="2923">
      <c r="A2923" s="237"/>
      <c r="E2923" s="234"/>
    </row>
    <row r="2924">
      <c r="A2924" s="237"/>
      <c r="E2924" s="234"/>
    </row>
    <row r="2925">
      <c r="A2925" s="237"/>
      <c r="E2925" s="234"/>
    </row>
    <row r="2926">
      <c r="A2926" s="237"/>
      <c r="E2926" s="234"/>
    </row>
    <row r="2927">
      <c r="A2927" s="237"/>
      <c r="E2927" s="234"/>
    </row>
    <row r="2928">
      <c r="A2928" s="237"/>
      <c r="E2928" s="234"/>
    </row>
    <row r="2929">
      <c r="A2929" s="237"/>
      <c r="E2929" s="234"/>
    </row>
    <row r="2930">
      <c r="A2930" s="237"/>
      <c r="E2930" s="234"/>
    </row>
    <row r="2931">
      <c r="A2931" s="237"/>
      <c r="E2931" s="234"/>
    </row>
    <row r="2932">
      <c r="A2932" s="237"/>
      <c r="E2932" s="234"/>
    </row>
    <row r="2933">
      <c r="A2933" s="237"/>
      <c r="E2933" s="234"/>
    </row>
    <row r="2934">
      <c r="A2934" s="237"/>
      <c r="E2934" s="234"/>
    </row>
    <row r="2935">
      <c r="A2935" s="237"/>
      <c r="E2935" s="234"/>
    </row>
    <row r="2936">
      <c r="A2936" s="237"/>
      <c r="E2936" s="234"/>
    </row>
    <row r="2937">
      <c r="A2937" s="237"/>
      <c r="E2937" s="234"/>
    </row>
    <row r="2938">
      <c r="A2938" s="237"/>
      <c r="E2938" s="234"/>
    </row>
    <row r="2939">
      <c r="A2939" s="237"/>
      <c r="E2939" s="234"/>
    </row>
    <row r="2940">
      <c r="A2940" s="237"/>
      <c r="E2940" s="234"/>
    </row>
    <row r="2941">
      <c r="A2941" s="237"/>
      <c r="E2941" s="234"/>
    </row>
    <row r="2942">
      <c r="A2942" s="237"/>
      <c r="E2942" s="234"/>
    </row>
    <row r="2943">
      <c r="A2943" s="237"/>
      <c r="E2943" s="234"/>
    </row>
    <row r="2944">
      <c r="A2944" s="237"/>
      <c r="E2944" s="234"/>
    </row>
    <row r="2945">
      <c r="A2945" s="237"/>
      <c r="E2945" s="234"/>
    </row>
    <row r="2946">
      <c r="A2946" s="237"/>
      <c r="E2946" s="234"/>
    </row>
    <row r="2947">
      <c r="A2947" s="237"/>
      <c r="E2947" s="234"/>
    </row>
    <row r="2948">
      <c r="A2948" s="237"/>
      <c r="E2948" s="234"/>
    </row>
    <row r="2949">
      <c r="A2949" s="237"/>
      <c r="E2949" s="234"/>
    </row>
    <row r="2950">
      <c r="A2950" s="237"/>
      <c r="E2950" s="234"/>
    </row>
    <row r="2951">
      <c r="A2951" s="237"/>
      <c r="E2951" s="234"/>
    </row>
    <row r="2952">
      <c r="A2952" s="237"/>
      <c r="E2952" s="234"/>
    </row>
    <row r="2953">
      <c r="A2953" s="237"/>
      <c r="E2953" s="234"/>
    </row>
    <row r="2954">
      <c r="A2954" s="237"/>
      <c r="E2954" s="234"/>
    </row>
    <row r="2955">
      <c r="A2955" s="237"/>
      <c r="E2955" s="234"/>
    </row>
    <row r="2956">
      <c r="A2956" s="237"/>
      <c r="E2956" s="234"/>
    </row>
    <row r="2957">
      <c r="A2957" s="237"/>
      <c r="E2957" s="234"/>
    </row>
    <row r="2958">
      <c r="A2958" s="237"/>
      <c r="E2958" s="234"/>
    </row>
    <row r="2959">
      <c r="A2959" s="237"/>
      <c r="E2959" s="234"/>
    </row>
    <row r="2960">
      <c r="A2960" s="237"/>
      <c r="E2960" s="234"/>
    </row>
    <row r="2961">
      <c r="A2961" s="237"/>
      <c r="E2961" s="234"/>
    </row>
    <row r="2962">
      <c r="A2962" s="237"/>
      <c r="E2962" s="234"/>
    </row>
    <row r="2963">
      <c r="A2963" s="237"/>
      <c r="E2963" s="234"/>
    </row>
    <row r="2964">
      <c r="A2964" s="237"/>
      <c r="E2964" s="234"/>
    </row>
    <row r="2965">
      <c r="A2965" s="237"/>
      <c r="E2965" s="234"/>
    </row>
    <row r="2966">
      <c r="A2966" s="237"/>
      <c r="E2966" s="234"/>
    </row>
    <row r="2967">
      <c r="A2967" s="237"/>
      <c r="E2967" s="234"/>
    </row>
    <row r="2968">
      <c r="A2968" s="237"/>
      <c r="E2968" s="234"/>
    </row>
    <row r="2969">
      <c r="A2969" s="237"/>
      <c r="E2969" s="234"/>
    </row>
    <row r="2970">
      <c r="A2970" s="237"/>
      <c r="E2970" s="234"/>
    </row>
    <row r="2971">
      <c r="A2971" s="237"/>
      <c r="E2971" s="234"/>
    </row>
    <row r="2972">
      <c r="A2972" s="237"/>
      <c r="E2972" s="234"/>
    </row>
    <row r="2973">
      <c r="A2973" s="237"/>
      <c r="E2973" s="234"/>
    </row>
    <row r="2974">
      <c r="A2974" s="237"/>
      <c r="E2974" s="234"/>
    </row>
    <row r="2975">
      <c r="A2975" s="237"/>
      <c r="E2975" s="234"/>
    </row>
    <row r="2976">
      <c r="A2976" s="237"/>
      <c r="E2976" s="234"/>
    </row>
    <row r="2977">
      <c r="A2977" s="237"/>
      <c r="E2977" s="234"/>
    </row>
    <row r="2978">
      <c r="A2978" s="237"/>
      <c r="E2978" s="234"/>
    </row>
    <row r="2979">
      <c r="A2979" s="237"/>
      <c r="E2979" s="234"/>
    </row>
    <row r="2980">
      <c r="A2980" s="237"/>
      <c r="E2980" s="234"/>
    </row>
    <row r="2981">
      <c r="A2981" s="237"/>
      <c r="E2981" s="234"/>
    </row>
    <row r="2982">
      <c r="A2982" s="237"/>
      <c r="E2982" s="234"/>
    </row>
    <row r="2983">
      <c r="A2983" s="237"/>
      <c r="E2983" s="234"/>
    </row>
    <row r="2984">
      <c r="A2984" s="237"/>
      <c r="E2984" s="234"/>
    </row>
    <row r="2985">
      <c r="A2985" s="237"/>
      <c r="E2985" s="234"/>
    </row>
    <row r="2986">
      <c r="A2986" s="237"/>
      <c r="E2986" s="234"/>
    </row>
    <row r="2987">
      <c r="A2987" s="237"/>
      <c r="E2987" s="234"/>
    </row>
    <row r="2988">
      <c r="A2988" s="237"/>
      <c r="E2988" s="234"/>
    </row>
    <row r="2989">
      <c r="A2989" s="237"/>
      <c r="E2989" s="234"/>
    </row>
    <row r="2990">
      <c r="A2990" s="237"/>
      <c r="E2990" s="234"/>
    </row>
    <row r="2991">
      <c r="A2991" s="237"/>
      <c r="E2991" s="234"/>
    </row>
    <row r="2992">
      <c r="A2992" s="237"/>
      <c r="E2992" s="234"/>
    </row>
    <row r="2993">
      <c r="A2993" s="237"/>
      <c r="E2993" s="234"/>
    </row>
    <row r="2994">
      <c r="A2994" s="237"/>
      <c r="E2994" s="234"/>
    </row>
    <row r="2995">
      <c r="A2995" s="237"/>
      <c r="E2995" s="234"/>
    </row>
    <row r="2996">
      <c r="A2996" s="237"/>
      <c r="E2996" s="234"/>
    </row>
    <row r="2997">
      <c r="A2997" s="237"/>
      <c r="E2997" s="234"/>
    </row>
    <row r="2998">
      <c r="A2998" s="237"/>
      <c r="E2998" s="234"/>
    </row>
    <row r="2999">
      <c r="A2999" s="237"/>
      <c r="E2999" s="234"/>
    </row>
    <row r="3000">
      <c r="A3000" s="237"/>
      <c r="E3000" s="234"/>
    </row>
    <row r="3001">
      <c r="A3001" s="237"/>
      <c r="E3001" s="234"/>
    </row>
    <row r="3002">
      <c r="A3002" s="237"/>
      <c r="E3002" s="234"/>
    </row>
    <row r="3003">
      <c r="A3003" s="237"/>
      <c r="E3003" s="234"/>
    </row>
    <row r="3004">
      <c r="A3004" s="237"/>
      <c r="E3004" s="234"/>
    </row>
    <row r="3005">
      <c r="A3005" s="237"/>
      <c r="E3005" s="234"/>
    </row>
    <row r="3006">
      <c r="A3006" s="237"/>
      <c r="E3006" s="234"/>
    </row>
    <row r="3007">
      <c r="A3007" s="237"/>
      <c r="E3007" s="234"/>
    </row>
    <row r="3008">
      <c r="A3008" s="237"/>
      <c r="E3008" s="234"/>
    </row>
    <row r="3009">
      <c r="A3009" s="237"/>
      <c r="E3009" s="234"/>
    </row>
    <row r="3010">
      <c r="A3010" s="237"/>
      <c r="E3010" s="234"/>
    </row>
    <row r="3011">
      <c r="A3011" s="237"/>
      <c r="E3011" s="234"/>
    </row>
    <row r="3012">
      <c r="A3012" s="237"/>
      <c r="E3012" s="234"/>
    </row>
    <row r="3013">
      <c r="A3013" s="237"/>
      <c r="E3013" s="234"/>
    </row>
    <row r="3014">
      <c r="A3014" s="237"/>
      <c r="E3014" s="234"/>
    </row>
    <row r="3015">
      <c r="A3015" s="237"/>
      <c r="E3015" s="234"/>
    </row>
    <row r="3016">
      <c r="A3016" s="237"/>
      <c r="E3016" s="234"/>
    </row>
    <row r="3017">
      <c r="A3017" s="237"/>
      <c r="E3017" s="234"/>
    </row>
    <row r="3018">
      <c r="A3018" s="237"/>
      <c r="E3018" s="234"/>
    </row>
    <row r="3019">
      <c r="A3019" s="237"/>
      <c r="E3019" s="234"/>
    </row>
    <row r="3020">
      <c r="A3020" s="237"/>
      <c r="E3020" s="234"/>
    </row>
    <row r="3021">
      <c r="A3021" s="237"/>
      <c r="E3021" s="234"/>
    </row>
    <row r="3022">
      <c r="A3022" s="237"/>
      <c r="E3022" s="234"/>
    </row>
    <row r="3023">
      <c r="A3023" s="237"/>
      <c r="E3023" s="234"/>
    </row>
    <row r="3024">
      <c r="A3024" s="237"/>
      <c r="E3024" s="234"/>
    </row>
    <row r="3025">
      <c r="A3025" s="237"/>
      <c r="E3025" s="234"/>
    </row>
    <row r="3026">
      <c r="A3026" s="237"/>
      <c r="E3026" s="234"/>
    </row>
    <row r="3027">
      <c r="A3027" s="237"/>
      <c r="E3027" s="234"/>
    </row>
    <row r="3028">
      <c r="A3028" s="237"/>
      <c r="E3028" s="234"/>
    </row>
    <row r="3029">
      <c r="A3029" s="237"/>
      <c r="E3029" s="234"/>
    </row>
    <row r="3030">
      <c r="A3030" s="237"/>
      <c r="E3030" s="234"/>
    </row>
    <row r="3031">
      <c r="A3031" s="237"/>
      <c r="E3031" s="234"/>
    </row>
    <row r="3032">
      <c r="A3032" s="237"/>
      <c r="E3032" s="234"/>
    </row>
    <row r="3033">
      <c r="A3033" s="237"/>
      <c r="E3033" s="234"/>
    </row>
    <row r="3034">
      <c r="A3034" s="237"/>
      <c r="E3034" s="234"/>
    </row>
    <row r="3035">
      <c r="A3035" s="237"/>
      <c r="E3035" s="234"/>
    </row>
    <row r="3036">
      <c r="A3036" s="237"/>
      <c r="E3036" s="234"/>
    </row>
    <row r="3037">
      <c r="A3037" s="237"/>
      <c r="E3037" s="234"/>
    </row>
    <row r="3038">
      <c r="A3038" s="237"/>
      <c r="E3038" s="234"/>
    </row>
    <row r="3039">
      <c r="A3039" s="237"/>
      <c r="E3039" s="234"/>
    </row>
    <row r="3040">
      <c r="A3040" s="237"/>
      <c r="E3040" s="234"/>
    </row>
    <row r="3041">
      <c r="A3041" s="237"/>
      <c r="E3041" s="234"/>
    </row>
    <row r="3042">
      <c r="A3042" s="237"/>
      <c r="E3042" s="234"/>
    </row>
    <row r="3043">
      <c r="A3043" s="237"/>
      <c r="E3043" s="234"/>
    </row>
    <row r="3044">
      <c r="A3044" s="237"/>
      <c r="E3044" s="234"/>
    </row>
    <row r="3045">
      <c r="A3045" s="237"/>
      <c r="E3045" s="234"/>
    </row>
    <row r="3046">
      <c r="A3046" s="237"/>
      <c r="E3046" s="234"/>
    </row>
    <row r="3047">
      <c r="A3047" s="237"/>
      <c r="E3047" s="234"/>
    </row>
    <row r="3048">
      <c r="A3048" s="237"/>
      <c r="E3048" s="234"/>
    </row>
    <row r="3049">
      <c r="A3049" s="237"/>
      <c r="E3049" s="234"/>
    </row>
    <row r="3050">
      <c r="A3050" s="237"/>
      <c r="E3050" s="234"/>
    </row>
    <row r="3051">
      <c r="A3051" s="237"/>
      <c r="E3051" s="234"/>
    </row>
    <row r="3052">
      <c r="A3052" s="237"/>
      <c r="E3052" s="234"/>
    </row>
    <row r="3053">
      <c r="A3053" s="237"/>
      <c r="E3053" s="234"/>
    </row>
    <row r="3054">
      <c r="A3054" s="237"/>
      <c r="E3054" s="234"/>
    </row>
    <row r="3055">
      <c r="A3055" s="237"/>
      <c r="E3055" s="234"/>
    </row>
    <row r="3056">
      <c r="A3056" s="237"/>
      <c r="E3056" s="234"/>
    </row>
    <row r="3057">
      <c r="A3057" s="237"/>
      <c r="E3057" s="234"/>
    </row>
    <row r="3058">
      <c r="A3058" s="237"/>
      <c r="E3058" s="234"/>
    </row>
    <row r="3059">
      <c r="A3059" s="237"/>
      <c r="E3059" s="234"/>
    </row>
    <row r="3060">
      <c r="A3060" s="237"/>
      <c r="E3060" s="234"/>
    </row>
    <row r="3061">
      <c r="A3061" s="237"/>
      <c r="E3061" s="234"/>
    </row>
    <row r="3062">
      <c r="A3062" s="237"/>
      <c r="E3062" s="234"/>
    </row>
    <row r="3063">
      <c r="A3063" s="237"/>
      <c r="E3063" s="234"/>
    </row>
    <row r="3064">
      <c r="A3064" s="237"/>
      <c r="E3064" s="234"/>
    </row>
    <row r="3065">
      <c r="A3065" s="237"/>
      <c r="E3065" s="234"/>
    </row>
    <row r="3066">
      <c r="A3066" s="237"/>
      <c r="E3066" s="234"/>
    </row>
    <row r="3067">
      <c r="A3067" s="237"/>
      <c r="E3067" s="234"/>
    </row>
    <row r="3068">
      <c r="A3068" s="237"/>
      <c r="E3068" s="234"/>
    </row>
    <row r="3069">
      <c r="A3069" s="237"/>
      <c r="E3069" s="234"/>
    </row>
    <row r="3070">
      <c r="A3070" s="237"/>
      <c r="E3070" s="234"/>
    </row>
    <row r="3071">
      <c r="A3071" s="237"/>
      <c r="E3071" s="234"/>
    </row>
    <row r="3072">
      <c r="A3072" s="237"/>
      <c r="E3072" s="234"/>
    </row>
    <row r="3073">
      <c r="A3073" s="237"/>
      <c r="E3073" s="234"/>
    </row>
    <row r="3074">
      <c r="A3074" s="237"/>
      <c r="E3074" s="234"/>
    </row>
    <row r="3075">
      <c r="A3075" s="237"/>
      <c r="E3075" s="234"/>
    </row>
    <row r="3076">
      <c r="A3076" s="237"/>
      <c r="E3076" s="234"/>
    </row>
    <row r="3077">
      <c r="A3077" s="237"/>
      <c r="E3077" s="234"/>
    </row>
    <row r="3078">
      <c r="A3078" s="237"/>
      <c r="E3078" s="234"/>
    </row>
    <row r="3079">
      <c r="A3079" s="237"/>
      <c r="E3079" s="234"/>
    </row>
    <row r="3080">
      <c r="A3080" s="237"/>
      <c r="E3080" s="234"/>
    </row>
    <row r="3081">
      <c r="A3081" s="237"/>
      <c r="E3081" s="234"/>
    </row>
    <row r="3082">
      <c r="A3082" s="237"/>
      <c r="E3082" s="234"/>
    </row>
    <row r="3083">
      <c r="A3083" s="237"/>
      <c r="E3083" s="234"/>
    </row>
    <row r="3084">
      <c r="A3084" s="237"/>
      <c r="E3084" s="234"/>
    </row>
    <row r="3085">
      <c r="A3085" s="237"/>
      <c r="E3085" s="234"/>
    </row>
    <row r="3086">
      <c r="A3086" s="237"/>
      <c r="E3086" s="234"/>
    </row>
    <row r="3087">
      <c r="A3087" s="237"/>
      <c r="E3087" s="234"/>
    </row>
    <row r="3088">
      <c r="A3088" s="237"/>
      <c r="E3088" s="234"/>
    </row>
    <row r="3089">
      <c r="A3089" s="237"/>
      <c r="E3089" s="234"/>
    </row>
    <row r="3090">
      <c r="A3090" s="237"/>
      <c r="E3090" s="234"/>
    </row>
    <row r="3091">
      <c r="A3091" s="237"/>
      <c r="E3091" s="234"/>
    </row>
    <row r="3092">
      <c r="A3092" s="237"/>
      <c r="E3092" s="234"/>
    </row>
    <row r="3093">
      <c r="A3093" s="237"/>
      <c r="E3093" s="234"/>
    </row>
    <row r="3094">
      <c r="A3094" s="237"/>
      <c r="E3094" s="234"/>
    </row>
    <row r="3095">
      <c r="A3095" s="237"/>
      <c r="E3095" s="234"/>
    </row>
    <row r="3096">
      <c r="A3096" s="237"/>
      <c r="E3096" s="234"/>
    </row>
    <row r="3097">
      <c r="A3097" s="237"/>
      <c r="E3097" s="234"/>
    </row>
    <row r="3098">
      <c r="A3098" s="237"/>
      <c r="E3098" s="234"/>
    </row>
    <row r="3099">
      <c r="A3099" s="237"/>
      <c r="E3099" s="234"/>
    </row>
    <row r="3100">
      <c r="A3100" s="237"/>
      <c r="E3100" s="234"/>
    </row>
    <row r="3101">
      <c r="A3101" s="237"/>
      <c r="E3101" s="234"/>
    </row>
    <row r="3102">
      <c r="A3102" s="237"/>
      <c r="E3102" s="234"/>
    </row>
    <row r="3103">
      <c r="A3103" s="237"/>
      <c r="E3103" s="234"/>
    </row>
    <row r="3104">
      <c r="A3104" s="237"/>
      <c r="E3104" s="234"/>
    </row>
    <row r="3105">
      <c r="A3105" s="237"/>
      <c r="E3105" s="234"/>
    </row>
    <row r="3106">
      <c r="A3106" s="237"/>
      <c r="E3106" s="234"/>
    </row>
    <row r="3107">
      <c r="A3107" s="237"/>
      <c r="E3107" s="234"/>
    </row>
    <row r="3108">
      <c r="A3108" s="237"/>
      <c r="E3108" s="234"/>
    </row>
    <row r="3109">
      <c r="A3109" s="237"/>
      <c r="E3109" s="234"/>
    </row>
    <row r="3110">
      <c r="A3110" s="237"/>
      <c r="E3110" s="234"/>
    </row>
    <row r="3111">
      <c r="A3111" s="237"/>
      <c r="E3111" s="234"/>
    </row>
    <row r="3112">
      <c r="A3112" s="237"/>
      <c r="E3112" s="234"/>
    </row>
    <row r="3113">
      <c r="A3113" s="237"/>
      <c r="E3113" s="234"/>
    </row>
    <row r="3114">
      <c r="A3114" s="237"/>
      <c r="E3114" s="234"/>
    </row>
    <row r="3115">
      <c r="A3115" s="237"/>
      <c r="E3115" s="234"/>
    </row>
    <row r="3116">
      <c r="A3116" s="237"/>
      <c r="E3116" s="234"/>
    </row>
    <row r="3117">
      <c r="A3117" s="237"/>
      <c r="E3117" s="234"/>
    </row>
    <row r="3118">
      <c r="A3118" s="237"/>
      <c r="E3118" s="234"/>
    </row>
    <row r="3119">
      <c r="A3119" s="237"/>
      <c r="E3119" s="234"/>
    </row>
    <row r="3120">
      <c r="A3120" s="237"/>
      <c r="E3120" s="234"/>
    </row>
    <row r="3121">
      <c r="A3121" s="237"/>
      <c r="E3121" s="234"/>
    </row>
    <row r="3122">
      <c r="A3122" s="237"/>
      <c r="E3122" s="234"/>
    </row>
    <row r="3123">
      <c r="A3123" s="237"/>
      <c r="E3123" s="234"/>
    </row>
    <row r="3124">
      <c r="A3124" s="237"/>
      <c r="E3124" s="234"/>
    </row>
    <row r="3125">
      <c r="A3125" s="237"/>
      <c r="E3125" s="234"/>
    </row>
    <row r="3126">
      <c r="A3126" s="237"/>
      <c r="E3126" s="234"/>
    </row>
    <row r="3127">
      <c r="A3127" s="237"/>
      <c r="E3127" s="234"/>
    </row>
    <row r="3128">
      <c r="A3128" s="237"/>
      <c r="E3128" s="234"/>
    </row>
    <row r="3129">
      <c r="A3129" s="237"/>
      <c r="E3129" s="234"/>
    </row>
    <row r="3130">
      <c r="A3130" s="237"/>
      <c r="E3130" s="234"/>
    </row>
    <row r="3131">
      <c r="A3131" s="237"/>
      <c r="E3131" s="234"/>
    </row>
    <row r="3132">
      <c r="A3132" s="237"/>
      <c r="E3132" s="234"/>
    </row>
    <row r="3133">
      <c r="A3133" s="237"/>
      <c r="E3133" s="234"/>
    </row>
    <row r="3134">
      <c r="A3134" s="237"/>
      <c r="E3134" s="234"/>
    </row>
    <row r="3135">
      <c r="A3135" s="237"/>
      <c r="E3135" s="234"/>
    </row>
    <row r="3136">
      <c r="A3136" s="237"/>
      <c r="E3136" s="234"/>
    </row>
    <row r="3137">
      <c r="A3137" s="237"/>
      <c r="E3137" s="234"/>
    </row>
    <row r="3138">
      <c r="A3138" s="237"/>
      <c r="E3138" s="234"/>
    </row>
    <row r="3139">
      <c r="A3139" s="237"/>
      <c r="E3139" s="234"/>
    </row>
    <row r="3140">
      <c r="A3140" s="237"/>
      <c r="E3140" s="234"/>
    </row>
    <row r="3141">
      <c r="A3141" s="237"/>
      <c r="E3141" s="234"/>
    </row>
    <row r="3142">
      <c r="A3142" s="237"/>
      <c r="E3142" s="234"/>
    </row>
    <row r="3143">
      <c r="A3143" s="237"/>
      <c r="E3143" s="234"/>
    </row>
    <row r="3144">
      <c r="A3144" s="237"/>
      <c r="E3144" s="234"/>
    </row>
    <row r="3145">
      <c r="A3145" s="237"/>
      <c r="E3145" s="234"/>
    </row>
    <row r="3146">
      <c r="A3146" s="237"/>
      <c r="E3146" s="234"/>
    </row>
    <row r="3147">
      <c r="A3147" s="237"/>
      <c r="E3147" s="234"/>
    </row>
    <row r="3148">
      <c r="A3148" s="237"/>
      <c r="E3148" s="234"/>
    </row>
    <row r="3149">
      <c r="A3149" s="237"/>
      <c r="E3149" s="234"/>
    </row>
    <row r="3150">
      <c r="A3150" s="237"/>
      <c r="E3150" s="234"/>
    </row>
    <row r="3151">
      <c r="A3151" s="237"/>
      <c r="E3151" s="234"/>
    </row>
    <row r="3152">
      <c r="A3152" s="237"/>
      <c r="E3152" s="234"/>
    </row>
    <row r="3153">
      <c r="A3153" s="237"/>
      <c r="E3153" s="234"/>
    </row>
    <row r="3154">
      <c r="A3154" s="237"/>
      <c r="E3154" s="234"/>
    </row>
    <row r="3155">
      <c r="A3155" s="237"/>
      <c r="E3155" s="234"/>
    </row>
    <row r="3156">
      <c r="A3156" s="237"/>
      <c r="E3156" s="234"/>
    </row>
    <row r="3157">
      <c r="A3157" s="237"/>
      <c r="E3157" s="234"/>
    </row>
    <row r="3158">
      <c r="A3158" s="237"/>
      <c r="E3158" s="234"/>
    </row>
    <row r="3159">
      <c r="A3159" s="237"/>
      <c r="E3159" s="234"/>
    </row>
    <row r="3160">
      <c r="A3160" s="237"/>
      <c r="E3160" s="234"/>
    </row>
    <row r="3161">
      <c r="A3161" s="237"/>
      <c r="E3161" s="234"/>
    </row>
    <row r="3162">
      <c r="A3162" s="237"/>
      <c r="E3162" s="234"/>
    </row>
    <row r="3163">
      <c r="A3163" s="237"/>
      <c r="E3163" s="234"/>
    </row>
    <row r="3164">
      <c r="A3164" s="237"/>
      <c r="E3164" s="234"/>
    </row>
    <row r="3165">
      <c r="A3165" s="237"/>
      <c r="E3165" s="234"/>
    </row>
    <row r="3166">
      <c r="A3166" s="237"/>
      <c r="E3166" s="234"/>
    </row>
    <row r="3167">
      <c r="A3167" s="237"/>
      <c r="E3167" s="234"/>
    </row>
    <row r="3168">
      <c r="A3168" s="237"/>
      <c r="E3168" s="234"/>
    </row>
    <row r="3169">
      <c r="A3169" s="237"/>
      <c r="E3169" s="234"/>
    </row>
    <row r="3170">
      <c r="A3170" s="237"/>
      <c r="E3170" s="234"/>
    </row>
    <row r="3171">
      <c r="A3171" s="237"/>
      <c r="E3171" s="234"/>
    </row>
    <row r="3172">
      <c r="A3172" s="237"/>
      <c r="E3172" s="234"/>
    </row>
    <row r="3173">
      <c r="A3173" s="237"/>
      <c r="E3173" s="234"/>
    </row>
    <row r="3174">
      <c r="A3174" s="237"/>
      <c r="E3174" s="234"/>
    </row>
    <row r="3175">
      <c r="A3175" s="237"/>
      <c r="E3175" s="234"/>
    </row>
    <row r="3176">
      <c r="A3176" s="237"/>
      <c r="E3176" s="234"/>
    </row>
    <row r="3177">
      <c r="A3177" s="237"/>
      <c r="E3177" s="234"/>
    </row>
    <row r="3178">
      <c r="A3178" s="237"/>
      <c r="E3178" s="234"/>
    </row>
    <row r="3179">
      <c r="A3179" s="237"/>
      <c r="E3179" s="234"/>
    </row>
    <row r="3180">
      <c r="A3180" s="237"/>
      <c r="E3180" s="234"/>
    </row>
    <row r="3181">
      <c r="A3181" s="237"/>
      <c r="E3181" s="234"/>
    </row>
    <row r="3182">
      <c r="A3182" s="237"/>
      <c r="E3182" s="234"/>
    </row>
    <row r="3183">
      <c r="A3183" s="237"/>
      <c r="E3183" s="234"/>
    </row>
    <row r="3184">
      <c r="A3184" s="237"/>
      <c r="E3184" s="234"/>
    </row>
    <row r="3185">
      <c r="A3185" s="237"/>
      <c r="E3185" s="234"/>
    </row>
    <row r="3186">
      <c r="A3186" s="237"/>
      <c r="E3186" s="234"/>
    </row>
    <row r="3187">
      <c r="A3187" s="237"/>
      <c r="E3187" s="234"/>
    </row>
    <row r="3188">
      <c r="A3188" s="237"/>
      <c r="E3188" s="234"/>
    </row>
    <row r="3189">
      <c r="A3189" s="237"/>
      <c r="E3189" s="234"/>
    </row>
    <row r="3190">
      <c r="A3190" s="237"/>
      <c r="E3190" s="234"/>
    </row>
    <row r="3191">
      <c r="A3191" s="237"/>
      <c r="E3191" s="234"/>
    </row>
    <row r="3192">
      <c r="A3192" s="237"/>
      <c r="E3192" s="234"/>
    </row>
    <row r="3193">
      <c r="A3193" s="237"/>
      <c r="E3193" s="234"/>
    </row>
    <row r="3194">
      <c r="A3194" s="237"/>
      <c r="E3194" s="234"/>
    </row>
    <row r="3195">
      <c r="A3195" s="237"/>
      <c r="E3195" s="234"/>
    </row>
    <row r="3196">
      <c r="A3196" s="237"/>
      <c r="E3196" s="234"/>
    </row>
    <row r="3197">
      <c r="A3197" s="237"/>
      <c r="E3197" s="234"/>
    </row>
    <row r="3198">
      <c r="A3198" s="237"/>
      <c r="E3198" s="234"/>
    </row>
    <row r="3199">
      <c r="A3199" s="237"/>
      <c r="E3199" s="234"/>
    </row>
    <row r="3200">
      <c r="A3200" s="237"/>
      <c r="E3200" s="234"/>
    </row>
    <row r="3201">
      <c r="A3201" s="237"/>
      <c r="E3201" s="234"/>
    </row>
    <row r="3202">
      <c r="A3202" s="237"/>
      <c r="E3202" s="234"/>
    </row>
    <row r="3203">
      <c r="A3203" s="237"/>
      <c r="E3203" s="234"/>
    </row>
    <row r="3204">
      <c r="A3204" s="237"/>
      <c r="E3204" s="234"/>
    </row>
    <row r="3205">
      <c r="A3205" s="237"/>
      <c r="E3205" s="234"/>
    </row>
    <row r="3206">
      <c r="A3206" s="237"/>
      <c r="E3206" s="234"/>
    </row>
    <row r="3207">
      <c r="A3207" s="237"/>
      <c r="E3207" s="234"/>
    </row>
    <row r="3208">
      <c r="A3208" s="237"/>
      <c r="E3208" s="234"/>
    </row>
    <row r="3209">
      <c r="A3209" s="237"/>
      <c r="E3209" s="234"/>
    </row>
    <row r="3210">
      <c r="A3210" s="237"/>
      <c r="E3210" s="234"/>
    </row>
    <row r="3211">
      <c r="A3211" s="237"/>
      <c r="E3211" s="234"/>
    </row>
    <row r="3212">
      <c r="A3212" s="237"/>
      <c r="E3212" s="234"/>
    </row>
    <row r="3213">
      <c r="A3213" s="237"/>
      <c r="E3213" s="234"/>
    </row>
    <row r="3214">
      <c r="A3214" s="237"/>
      <c r="E3214" s="234"/>
    </row>
    <row r="3215">
      <c r="A3215" s="237"/>
      <c r="E3215" s="234"/>
    </row>
    <row r="3216">
      <c r="A3216" s="237"/>
      <c r="E3216" s="234"/>
    </row>
    <row r="3217">
      <c r="A3217" s="237"/>
      <c r="E3217" s="234"/>
    </row>
    <row r="3218">
      <c r="A3218" s="237"/>
      <c r="E3218" s="234"/>
    </row>
    <row r="3219">
      <c r="A3219" s="237"/>
      <c r="E3219" s="234"/>
    </row>
    <row r="3220">
      <c r="A3220" s="237"/>
      <c r="E3220" s="234"/>
    </row>
    <row r="3221">
      <c r="A3221" s="237"/>
      <c r="E3221" s="234"/>
    </row>
    <row r="3222">
      <c r="A3222" s="237"/>
      <c r="E3222" s="234"/>
    </row>
    <row r="3223">
      <c r="A3223" s="237"/>
      <c r="E3223" s="234"/>
    </row>
    <row r="3224">
      <c r="A3224" s="237"/>
      <c r="E3224" s="234"/>
    </row>
    <row r="3225">
      <c r="A3225" s="237"/>
      <c r="E3225" s="234"/>
    </row>
    <row r="3226">
      <c r="A3226" s="237"/>
      <c r="E3226" s="234"/>
    </row>
    <row r="3227">
      <c r="A3227" s="237"/>
      <c r="E3227" s="234"/>
    </row>
    <row r="3228">
      <c r="A3228" s="237"/>
      <c r="E3228" s="234"/>
    </row>
    <row r="3229">
      <c r="A3229" s="237"/>
      <c r="E3229" s="234"/>
    </row>
    <row r="3230">
      <c r="A3230" s="237"/>
      <c r="E3230" s="234"/>
    </row>
    <row r="3231">
      <c r="A3231" s="237"/>
      <c r="E3231" s="234"/>
    </row>
    <row r="3232">
      <c r="A3232" s="237"/>
      <c r="E3232" s="234"/>
    </row>
    <row r="3233">
      <c r="A3233" s="237"/>
      <c r="E3233" s="234"/>
    </row>
    <row r="3234">
      <c r="A3234" s="237"/>
      <c r="E3234" s="234"/>
    </row>
    <row r="3235">
      <c r="A3235" s="237"/>
      <c r="E3235" s="234"/>
    </row>
    <row r="3236">
      <c r="A3236" s="237"/>
      <c r="E3236" s="234"/>
    </row>
    <row r="3237">
      <c r="A3237" s="237"/>
      <c r="E3237" s="234"/>
    </row>
    <row r="3238">
      <c r="A3238" s="237"/>
      <c r="E3238" s="234"/>
    </row>
    <row r="3239">
      <c r="A3239" s="237"/>
      <c r="E3239" s="234"/>
    </row>
    <row r="3240">
      <c r="A3240" s="237"/>
      <c r="E3240" s="234"/>
    </row>
    <row r="3241">
      <c r="A3241" s="237"/>
      <c r="E3241" s="234"/>
    </row>
    <row r="3242">
      <c r="A3242" s="237"/>
      <c r="E3242" s="234"/>
    </row>
    <row r="3243">
      <c r="A3243" s="237"/>
      <c r="E3243" s="234"/>
    </row>
    <row r="3244">
      <c r="A3244" s="237"/>
      <c r="E3244" s="234"/>
    </row>
    <row r="3245">
      <c r="A3245" s="237"/>
      <c r="E3245" s="234"/>
    </row>
    <row r="3246">
      <c r="A3246" s="237"/>
      <c r="E3246" s="234"/>
    </row>
    <row r="3247">
      <c r="A3247" s="237"/>
      <c r="E3247" s="234"/>
    </row>
    <row r="3248">
      <c r="A3248" s="237"/>
      <c r="E3248" s="234"/>
    </row>
    <row r="3249">
      <c r="A3249" s="237"/>
      <c r="E3249" s="234"/>
    </row>
    <row r="3250">
      <c r="A3250" s="237"/>
      <c r="E3250" s="234"/>
    </row>
    <row r="3251">
      <c r="A3251" s="237"/>
      <c r="E3251" s="234"/>
    </row>
    <row r="3252">
      <c r="A3252" s="237"/>
      <c r="E3252" s="234"/>
    </row>
    <row r="3253">
      <c r="A3253" s="237"/>
      <c r="E3253" s="234"/>
    </row>
    <row r="3254">
      <c r="A3254" s="237"/>
      <c r="E3254" s="234"/>
    </row>
    <row r="3255">
      <c r="A3255" s="237"/>
      <c r="E3255" s="234"/>
    </row>
    <row r="3256">
      <c r="A3256" s="237"/>
      <c r="E3256" s="234"/>
    </row>
    <row r="3257">
      <c r="A3257" s="237"/>
      <c r="E3257" s="234"/>
    </row>
    <row r="3258">
      <c r="A3258" s="237"/>
      <c r="E3258" s="234"/>
    </row>
    <row r="3259">
      <c r="A3259" s="237"/>
      <c r="E3259" s="234"/>
    </row>
    <row r="3260">
      <c r="A3260" s="237"/>
      <c r="E3260" s="234"/>
    </row>
    <row r="3261">
      <c r="A3261" s="237"/>
      <c r="E3261" s="234"/>
    </row>
    <row r="3262">
      <c r="A3262" s="237"/>
      <c r="E3262" s="234"/>
    </row>
    <row r="3263">
      <c r="A3263" s="237"/>
      <c r="E3263" s="234"/>
    </row>
    <row r="3264">
      <c r="A3264" s="237"/>
      <c r="E3264" s="234"/>
    </row>
    <row r="3265">
      <c r="A3265" s="237"/>
      <c r="E3265" s="234"/>
    </row>
    <row r="3266">
      <c r="A3266" s="237"/>
      <c r="E3266" s="234"/>
    </row>
    <row r="3267">
      <c r="A3267" s="237"/>
      <c r="E3267" s="234"/>
    </row>
    <row r="3268">
      <c r="A3268" s="237"/>
      <c r="E3268" s="234"/>
    </row>
    <row r="3269">
      <c r="A3269" s="237"/>
      <c r="E3269" s="234"/>
    </row>
    <row r="3270">
      <c r="A3270" s="237"/>
      <c r="E3270" s="234"/>
    </row>
    <row r="3271">
      <c r="A3271" s="237"/>
      <c r="E3271" s="234"/>
    </row>
    <row r="3272">
      <c r="A3272" s="237"/>
      <c r="E3272" s="234"/>
    </row>
    <row r="3273">
      <c r="A3273" s="237"/>
      <c r="E3273" s="234"/>
    </row>
    <row r="3274">
      <c r="A3274" s="237"/>
      <c r="E3274" s="234"/>
    </row>
    <row r="3275">
      <c r="A3275" s="237"/>
      <c r="E3275" s="234"/>
    </row>
    <row r="3276">
      <c r="A3276" s="237"/>
      <c r="E3276" s="234"/>
    </row>
    <row r="3277">
      <c r="A3277" s="237"/>
      <c r="E3277" s="234"/>
    </row>
    <row r="3278">
      <c r="A3278" s="237"/>
      <c r="E3278" s="234"/>
    </row>
    <row r="3279">
      <c r="A3279" s="237"/>
      <c r="E3279" s="234"/>
    </row>
    <row r="3280">
      <c r="A3280" s="237"/>
      <c r="E3280" s="234"/>
    </row>
    <row r="3281">
      <c r="A3281" s="237"/>
      <c r="E3281" s="234"/>
    </row>
    <row r="3282">
      <c r="A3282" s="237"/>
      <c r="E3282" s="234"/>
    </row>
    <row r="3283">
      <c r="A3283" s="237"/>
      <c r="E3283" s="234"/>
    </row>
    <row r="3284">
      <c r="A3284" s="237"/>
      <c r="E3284" s="234"/>
    </row>
    <row r="3285">
      <c r="A3285" s="237"/>
      <c r="E3285" s="234"/>
    </row>
    <row r="3286">
      <c r="A3286" s="237"/>
      <c r="E3286" s="234"/>
    </row>
    <row r="3287">
      <c r="A3287" s="237"/>
      <c r="E3287" s="234"/>
    </row>
    <row r="3288">
      <c r="A3288" s="237"/>
      <c r="E3288" s="234"/>
    </row>
    <row r="3289">
      <c r="A3289" s="237"/>
      <c r="E3289" s="234"/>
    </row>
    <row r="3290">
      <c r="A3290" s="237"/>
      <c r="E3290" s="234"/>
    </row>
    <row r="3291">
      <c r="A3291" s="237"/>
      <c r="E3291" s="234"/>
    </row>
    <row r="3292">
      <c r="A3292" s="237"/>
      <c r="E3292" s="234"/>
    </row>
    <row r="3293">
      <c r="A3293" s="237"/>
      <c r="E3293" s="234"/>
    </row>
    <row r="3294">
      <c r="A3294" s="237"/>
      <c r="E3294" s="234"/>
    </row>
    <row r="3295">
      <c r="A3295" s="237"/>
      <c r="E3295" s="234"/>
    </row>
    <row r="3296">
      <c r="A3296" s="237"/>
      <c r="E3296" s="234"/>
    </row>
    <row r="3297">
      <c r="A3297" s="237"/>
      <c r="E3297" s="234"/>
    </row>
    <row r="3298">
      <c r="A3298" s="237"/>
      <c r="E3298" s="234"/>
    </row>
    <row r="3299">
      <c r="A3299" s="237"/>
      <c r="E3299" s="234"/>
    </row>
    <row r="3300">
      <c r="A3300" s="237"/>
      <c r="E3300" s="234"/>
    </row>
    <row r="3301">
      <c r="A3301" s="237"/>
      <c r="E3301" s="234"/>
    </row>
    <row r="3302">
      <c r="A3302" s="237"/>
      <c r="E3302" s="234"/>
    </row>
    <row r="3303">
      <c r="A3303" s="237"/>
      <c r="E3303" s="234"/>
    </row>
    <row r="3304">
      <c r="A3304" s="237"/>
      <c r="E3304" s="234"/>
    </row>
    <row r="3305">
      <c r="A3305" s="237"/>
      <c r="E3305" s="234"/>
    </row>
    <row r="3306">
      <c r="A3306" s="237"/>
      <c r="E3306" s="234"/>
    </row>
    <row r="3307">
      <c r="A3307" s="237"/>
      <c r="E3307" s="234"/>
    </row>
    <row r="3308">
      <c r="A3308" s="237"/>
      <c r="E3308" s="234"/>
    </row>
    <row r="3309">
      <c r="A3309" s="237"/>
      <c r="E3309" s="234"/>
    </row>
    <row r="3310">
      <c r="A3310" s="237"/>
      <c r="E3310" s="234"/>
    </row>
    <row r="3311">
      <c r="A3311" s="237"/>
      <c r="E3311" s="234"/>
    </row>
    <row r="3312">
      <c r="A3312" s="237"/>
      <c r="E3312" s="234"/>
    </row>
    <row r="3313">
      <c r="A3313" s="237"/>
      <c r="E3313" s="234"/>
    </row>
    <row r="3314">
      <c r="A3314" s="237"/>
      <c r="E3314" s="234"/>
    </row>
    <row r="3315">
      <c r="A3315" s="237"/>
      <c r="E3315" s="234"/>
    </row>
    <row r="3316">
      <c r="A3316" s="237"/>
      <c r="E3316" s="234"/>
    </row>
    <row r="3317">
      <c r="A3317" s="237"/>
      <c r="E3317" s="234"/>
    </row>
    <row r="3318">
      <c r="A3318" s="237"/>
      <c r="E3318" s="234"/>
    </row>
    <row r="3319">
      <c r="A3319" s="237"/>
      <c r="E3319" s="234"/>
    </row>
    <row r="3320">
      <c r="A3320" s="237"/>
      <c r="E3320" s="234"/>
    </row>
    <row r="3321">
      <c r="A3321" s="237"/>
      <c r="E3321" s="234"/>
    </row>
    <row r="3322">
      <c r="A3322" s="237"/>
      <c r="E3322" s="234"/>
    </row>
    <row r="3323">
      <c r="A3323" s="237"/>
      <c r="E3323" s="234"/>
    </row>
    <row r="3324">
      <c r="A3324" s="237"/>
      <c r="E3324" s="234"/>
    </row>
    <row r="3325">
      <c r="A3325" s="237"/>
      <c r="E3325" s="234"/>
    </row>
    <row r="3326">
      <c r="A3326" s="237"/>
      <c r="E3326" s="234"/>
    </row>
    <row r="3327">
      <c r="A3327" s="237"/>
      <c r="E3327" s="234"/>
    </row>
    <row r="3328">
      <c r="A3328" s="237"/>
      <c r="E3328" s="234"/>
    </row>
    <row r="3329">
      <c r="A3329" s="237"/>
      <c r="E3329" s="234"/>
    </row>
    <row r="3330">
      <c r="A3330" s="237"/>
      <c r="E3330" s="234"/>
    </row>
    <row r="3331">
      <c r="A3331" s="237"/>
      <c r="E3331" s="234"/>
    </row>
    <row r="3332">
      <c r="A3332" s="237"/>
      <c r="E3332" s="234"/>
    </row>
    <row r="3333">
      <c r="A3333" s="237"/>
      <c r="E3333" s="234"/>
    </row>
    <row r="3334">
      <c r="A3334" s="237"/>
      <c r="E3334" s="234"/>
    </row>
    <row r="3335">
      <c r="A3335" s="237"/>
      <c r="E3335" s="234"/>
    </row>
    <row r="3336">
      <c r="A3336" s="237"/>
      <c r="E3336" s="234"/>
    </row>
    <row r="3337">
      <c r="A3337" s="237"/>
      <c r="E3337" s="234"/>
    </row>
    <row r="3338">
      <c r="A3338" s="237"/>
      <c r="E3338" s="234"/>
    </row>
    <row r="3339">
      <c r="A3339" s="237"/>
      <c r="E3339" s="234"/>
    </row>
    <row r="3340">
      <c r="A3340" s="237"/>
      <c r="E3340" s="234"/>
    </row>
    <row r="3341">
      <c r="A3341" s="237"/>
      <c r="E3341" s="234"/>
    </row>
    <row r="3342">
      <c r="A3342" s="237"/>
      <c r="E3342" s="234"/>
    </row>
    <row r="3343">
      <c r="A3343" s="237"/>
      <c r="E3343" s="234"/>
    </row>
    <row r="3344">
      <c r="A3344" s="237"/>
      <c r="E3344" s="234"/>
    </row>
    <row r="3345">
      <c r="A3345" s="237"/>
      <c r="E3345" s="234"/>
    </row>
    <row r="3346">
      <c r="A3346" s="237"/>
      <c r="E3346" s="234"/>
    </row>
    <row r="3347">
      <c r="A3347" s="237"/>
      <c r="E3347" s="234"/>
    </row>
    <row r="3348">
      <c r="A3348" s="237"/>
      <c r="E3348" s="234"/>
    </row>
    <row r="3349">
      <c r="A3349" s="237"/>
      <c r="E3349" s="234"/>
    </row>
    <row r="3350">
      <c r="A3350" s="237"/>
      <c r="E3350" s="234"/>
    </row>
    <row r="3351">
      <c r="A3351" s="237"/>
      <c r="E3351" s="234"/>
    </row>
    <row r="3352">
      <c r="A3352" s="237"/>
      <c r="E3352" s="234"/>
    </row>
    <row r="3353">
      <c r="A3353" s="237"/>
      <c r="E3353" s="234"/>
    </row>
    <row r="3354">
      <c r="A3354" s="237"/>
      <c r="E3354" s="234"/>
    </row>
    <row r="3355">
      <c r="A3355" s="237"/>
      <c r="E3355" s="234"/>
    </row>
    <row r="3356">
      <c r="A3356" s="237"/>
      <c r="E3356" s="234"/>
    </row>
    <row r="3357">
      <c r="A3357" s="237"/>
      <c r="E3357" s="234"/>
    </row>
    <row r="3358">
      <c r="A3358" s="237"/>
      <c r="E3358" s="234"/>
    </row>
    <row r="3359">
      <c r="A3359" s="237"/>
      <c r="E3359" s="234"/>
    </row>
    <row r="3360">
      <c r="A3360" s="237"/>
      <c r="E3360" s="234"/>
    </row>
    <row r="3361">
      <c r="A3361" s="237"/>
      <c r="E3361" s="234"/>
    </row>
    <row r="3362">
      <c r="A3362" s="237"/>
      <c r="E3362" s="234"/>
    </row>
    <row r="3363">
      <c r="A3363" s="237"/>
      <c r="E3363" s="234"/>
    </row>
    <row r="3364">
      <c r="A3364" s="237"/>
      <c r="E3364" s="234"/>
    </row>
    <row r="3365">
      <c r="A3365" s="237"/>
      <c r="E3365" s="234"/>
    </row>
    <row r="3366">
      <c r="A3366" s="237"/>
      <c r="E3366" s="234"/>
    </row>
    <row r="3367">
      <c r="A3367" s="237"/>
      <c r="E3367" s="234"/>
    </row>
    <row r="3368">
      <c r="A3368" s="237"/>
      <c r="E3368" s="234"/>
    </row>
    <row r="3369">
      <c r="A3369" s="237"/>
      <c r="E3369" s="234"/>
    </row>
    <row r="3370">
      <c r="A3370" s="237"/>
      <c r="E3370" s="234"/>
    </row>
    <row r="3371">
      <c r="A3371" s="237"/>
      <c r="E3371" s="234"/>
    </row>
    <row r="3372">
      <c r="A3372" s="237"/>
      <c r="E3372" s="234"/>
    </row>
    <row r="3373">
      <c r="A3373" s="237"/>
      <c r="E3373" s="234"/>
    </row>
    <row r="3374">
      <c r="A3374" s="237"/>
      <c r="E3374" s="234"/>
    </row>
    <row r="3375">
      <c r="A3375" s="237"/>
      <c r="E3375" s="234"/>
    </row>
    <row r="3376">
      <c r="A3376" s="237"/>
      <c r="E3376" s="234"/>
    </row>
    <row r="3377">
      <c r="A3377" s="237"/>
      <c r="E3377" s="234"/>
    </row>
    <row r="3378">
      <c r="A3378" s="237"/>
      <c r="E3378" s="234"/>
    </row>
    <row r="3379">
      <c r="A3379" s="237"/>
      <c r="E3379" s="234"/>
    </row>
    <row r="3380">
      <c r="A3380" s="237"/>
      <c r="E3380" s="234"/>
    </row>
    <row r="3381">
      <c r="A3381" s="237"/>
      <c r="E3381" s="234"/>
    </row>
    <row r="3382">
      <c r="A3382" s="237"/>
      <c r="E3382" s="234"/>
    </row>
    <row r="3383">
      <c r="A3383" s="237"/>
      <c r="E3383" s="234"/>
    </row>
    <row r="3384">
      <c r="A3384" s="237"/>
      <c r="E3384" s="234"/>
    </row>
    <row r="3385">
      <c r="A3385" s="237"/>
      <c r="E3385" s="234"/>
    </row>
    <row r="3386">
      <c r="A3386" s="237"/>
      <c r="E3386" s="234"/>
    </row>
    <row r="3387">
      <c r="A3387" s="237"/>
      <c r="E3387" s="234"/>
    </row>
    <row r="3388">
      <c r="A3388" s="237"/>
      <c r="E3388" s="234"/>
    </row>
    <row r="3389">
      <c r="A3389" s="237"/>
      <c r="E3389" s="234"/>
    </row>
    <row r="3390">
      <c r="A3390" s="237"/>
      <c r="E3390" s="234"/>
    </row>
    <row r="3391">
      <c r="A3391" s="237"/>
      <c r="E3391" s="234"/>
    </row>
    <row r="3392">
      <c r="A3392" s="237"/>
      <c r="E3392" s="234"/>
    </row>
    <row r="3393">
      <c r="A3393" s="237"/>
      <c r="E3393" s="234"/>
    </row>
    <row r="3394">
      <c r="A3394" s="237"/>
      <c r="E3394" s="234"/>
    </row>
    <row r="3395">
      <c r="A3395" s="237"/>
      <c r="E3395" s="234"/>
    </row>
    <row r="3396">
      <c r="A3396" s="237"/>
      <c r="E3396" s="234"/>
    </row>
    <row r="3397">
      <c r="A3397" s="237"/>
      <c r="E3397" s="234"/>
    </row>
    <row r="3398">
      <c r="A3398" s="237"/>
      <c r="E3398" s="234"/>
    </row>
    <row r="3399">
      <c r="A3399" s="237"/>
      <c r="E3399" s="234"/>
    </row>
    <row r="3400">
      <c r="A3400" s="237"/>
      <c r="E3400" s="234"/>
    </row>
    <row r="3401">
      <c r="A3401" s="237"/>
      <c r="E3401" s="234"/>
    </row>
    <row r="3402">
      <c r="A3402" s="237"/>
      <c r="E3402" s="234"/>
    </row>
    <row r="3403">
      <c r="A3403" s="237"/>
      <c r="E3403" s="234"/>
    </row>
    <row r="3404">
      <c r="A3404" s="237"/>
      <c r="E3404" s="234"/>
    </row>
    <row r="3405">
      <c r="A3405" s="237"/>
      <c r="E3405" s="234"/>
    </row>
    <row r="3406">
      <c r="A3406" s="237"/>
      <c r="E3406" s="234"/>
    </row>
    <row r="3407">
      <c r="A3407" s="237"/>
      <c r="E3407" s="234"/>
    </row>
    <row r="3408">
      <c r="A3408" s="237"/>
      <c r="E3408" s="234"/>
    </row>
    <row r="3409">
      <c r="A3409" s="237"/>
      <c r="E3409" s="234"/>
    </row>
    <row r="3410">
      <c r="A3410" s="237"/>
      <c r="E3410" s="234"/>
    </row>
    <row r="3411">
      <c r="A3411" s="237"/>
      <c r="E3411" s="234"/>
    </row>
    <row r="3412">
      <c r="A3412" s="237"/>
      <c r="E3412" s="234"/>
    </row>
    <row r="3413">
      <c r="A3413" s="237"/>
      <c r="E3413" s="234"/>
    </row>
    <row r="3414">
      <c r="A3414" s="237"/>
      <c r="E3414" s="234"/>
    </row>
    <row r="3415">
      <c r="A3415" s="237"/>
      <c r="E3415" s="234"/>
    </row>
    <row r="3416">
      <c r="A3416" s="237"/>
      <c r="E3416" s="234"/>
    </row>
    <row r="3417">
      <c r="A3417" s="237"/>
      <c r="E3417" s="234"/>
    </row>
    <row r="3418">
      <c r="A3418" s="237"/>
      <c r="E3418" s="234"/>
    </row>
    <row r="3419">
      <c r="A3419" s="237"/>
      <c r="E3419" s="234"/>
    </row>
    <row r="3420">
      <c r="A3420" s="237"/>
      <c r="E3420" s="234"/>
    </row>
    <row r="3421">
      <c r="A3421" s="237"/>
      <c r="E3421" s="234"/>
    </row>
    <row r="3422">
      <c r="A3422" s="237"/>
      <c r="E3422" s="234"/>
    </row>
    <row r="3423">
      <c r="A3423" s="237"/>
      <c r="E3423" s="234"/>
    </row>
    <row r="3424">
      <c r="A3424" s="237"/>
      <c r="E3424" s="234"/>
    </row>
    <row r="3425">
      <c r="A3425" s="237"/>
      <c r="E3425" s="234"/>
    </row>
    <row r="3426">
      <c r="A3426" s="237"/>
      <c r="E3426" s="234"/>
    </row>
    <row r="3427">
      <c r="A3427" s="237"/>
      <c r="E3427" s="234"/>
    </row>
    <row r="3428">
      <c r="A3428" s="237"/>
      <c r="E3428" s="234"/>
    </row>
    <row r="3429">
      <c r="A3429" s="237"/>
      <c r="E3429" s="234"/>
    </row>
    <row r="3430">
      <c r="A3430" s="237"/>
      <c r="E3430" s="234"/>
    </row>
    <row r="3431">
      <c r="A3431" s="237"/>
      <c r="E3431" s="234"/>
    </row>
    <row r="3432">
      <c r="A3432" s="237"/>
      <c r="E3432" s="234"/>
    </row>
    <row r="3433">
      <c r="A3433" s="237"/>
      <c r="E3433" s="234"/>
    </row>
    <row r="3434">
      <c r="A3434" s="237"/>
      <c r="E3434" s="234"/>
    </row>
    <row r="3435">
      <c r="A3435" s="237"/>
      <c r="E3435" s="234"/>
    </row>
    <row r="3436">
      <c r="A3436" s="237"/>
      <c r="E3436" s="234"/>
    </row>
    <row r="3437">
      <c r="A3437" s="237"/>
      <c r="E3437" s="234"/>
    </row>
    <row r="3438">
      <c r="A3438" s="237"/>
      <c r="E3438" s="234"/>
    </row>
    <row r="3439">
      <c r="A3439" s="237"/>
      <c r="E3439" s="234"/>
    </row>
    <row r="3440">
      <c r="A3440" s="237"/>
      <c r="E3440" s="234"/>
    </row>
    <row r="3441">
      <c r="A3441" s="237"/>
      <c r="E3441" s="234"/>
    </row>
    <row r="3442">
      <c r="A3442" s="237"/>
      <c r="E3442" s="234"/>
    </row>
    <row r="3443">
      <c r="A3443" s="237"/>
      <c r="E3443" s="234"/>
    </row>
    <row r="3444">
      <c r="A3444" s="237"/>
      <c r="E3444" s="234"/>
    </row>
    <row r="3445">
      <c r="A3445" s="237"/>
      <c r="E3445" s="234"/>
    </row>
    <row r="3446">
      <c r="A3446" s="237"/>
      <c r="E3446" s="234"/>
    </row>
    <row r="3447">
      <c r="A3447" s="237"/>
      <c r="E3447" s="234"/>
    </row>
    <row r="3448">
      <c r="A3448" s="237"/>
      <c r="E3448" s="234"/>
    </row>
    <row r="3449">
      <c r="A3449" s="237"/>
      <c r="E3449" s="234"/>
    </row>
    <row r="3450">
      <c r="A3450" s="237"/>
      <c r="E3450" s="234"/>
    </row>
    <row r="3451">
      <c r="A3451" s="237"/>
      <c r="E3451" s="234"/>
    </row>
    <row r="3452">
      <c r="A3452" s="237"/>
      <c r="E3452" s="234"/>
    </row>
    <row r="3453">
      <c r="A3453" s="237"/>
      <c r="E3453" s="234"/>
    </row>
    <row r="3454">
      <c r="A3454" s="237"/>
      <c r="E3454" s="234"/>
    </row>
    <row r="3455">
      <c r="A3455" s="237"/>
      <c r="E3455" s="234"/>
    </row>
    <row r="3456">
      <c r="A3456" s="237"/>
      <c r="E3456" s="234"/>
    </row>
    <row r="3457">
      <c r="A3457" s="237"/>
      <c r="E3457" s="234"/>
    </row>
    <row r="3458">
      <c r="A3458" s="237"/>
      <c r="E3458" s="234"/>
    </row>
    <row r="3459">
      <c r="A3459" s="237"/>
      <c r="E3459" s="234"/>
    </row>
    <row r="3460">
      <c r="A3460" s="237"/>
      <c r="E3460" s="234"/>
    </row>
    <row r="3461">
      <c r="A3461" s="237"/>
      <c r="E3461" s="234"/>
    </row>
    <row r="3462">
      <c r="A3462" s="237"/>
      <c r="E3462" s="234"/>
    </row>
    <row r="3463">
      <c r="A3463" s="237"/>
      <c r="E3463" s="234"/>
    </row>
    <row r="3464">
      <c r="A3464" s="237"/>
      <c r="E3464" s="234"/>
    </row>
    <row r="3465">
      <c r="A3465" s="237"/>
      <c r="E3465" s="234"/>
    </row>
    <row r="3466">
      <c r="A3466" s="237"/>
      <c r="E3466" s="234"/>
    </row>
    <row r="3467">
      <c r="A3467" s="237"/>
      <c r="E3467" s="234"/>
    </row>
    <row r="3468">
      <c r="A3468" s="237"/>
      <c r="E3468" s="234"/>
    </row>
    <row r="3469">
      <c r="A3469" s="237"/>
      <c r="E3469" s="234"/>
    </row>
    <row r="3470">
      <c r="A3470" s="237"/>
      <c r="E3470" s="234"/>
    </row>
    <row r="3471">
      <c r="A3471" s="237"/>
      <c r="E3471" s="234"/>
    </row>
    <row r="3472">
      <c r="A3472" s="237"/>
      <c r="E3472" s="234"/>
    </row>
    <row r="3473">
      <c r="A3473" s="237"/>
      <c r="E3473" s="234"/>
    </row>
    <row r="3474">
      <c r="A3474" s="237"/>
      <c r="E3474" s="234"/>
    </row>
    <row r="3475">
      <c r="A3475" s="237"/>
      <c r="E3475" s="234"/>
    </row>
    <row r="3476">
      <c r="A3476" s="237"/>
      <c r="E3476" s="234"/>
    </row>
    <row r="3477">
      <c r="A3477" s="237"/>
      <c r="E3477" s="234"/>
    </row>
    <row r="3478">
      <c r="A3478" s="237"/>
      <c r="E3478" s="234"/>
    </row>
    <row r="3479">
      <c r="A3479" s="237"/>
      <c r="E3479" s="234"/>
    </row>
    <row r="3480">
      <c r="A3480" s="237"/>
      <c r="E3480" s="234"/>
    </row>
    <row r="3481">
      <c r="A3481" s="237"/>
      <c r="E3481" s="234"/>
    </row>
    <row r="3482">
      <c r="A3482" s="237"/>
      <c r="E3482" s="234"/>
    </row>
    <row r="3483">
      <c r="A3483" s="237"/>
      <c r="E3483" s="234"/>
    </row>
    <row r="3484">
      <c r="A3484" s="237"/>
      <c r="E3484" s="234"/>
    </row>
    <row r="3485">
      <c r="A3485" s="237"/>
      <c r="E3485" s="234"/>
    </row>
    <row r="3486">
      <c r="A3486" s="237"/>
      <c r="E3486" s="234"/>
    </row>
    <row r="3487">
      <c r="A3487" s="237"/>
      <c r="E3487" s="234"/>
    </row>
    <row r="3488">
      <c r="A3488" s="237"/>
      <c r="E3488" s="234"/>
    </row>
    <row r="3489">
      <c r="A3489" s="237"/>
      <c r="E3489" s="234"/>
    </row>
    <row r="3490">
      <c r="A3490" s="237"/>
      <c r="E3490" s="234"/>
    </row>
    <row r="3491">
      <c r="A3491" s="237"/>
      <c r="E3491" s="234"/>
    </row>
    <row r="3492">
      <c r="A3492" s="237"/>
      <c r="E3492" s="234"/>
    </row>
    <row r="3493">
      <c r="A3493" s="237"/>
      <c r="E3493" s="234"/>
    </row>
    <row r="3494">
      <c r="A3494" s="237"/>
      <c r="E3494" s="234"/>
    </row>
    <row r="3495">
      <c r="A3495" s="237"/>
      <c r="E3495" s="234"/>
    </row>
    <row r="3496">
      <c r="A3496" s="237"/>
      <c r="E3496" s="234"/>
    </row>
    <row r="3497">
      <c r="A3497" s="237"/>
      <c r="E3497" s="234"/>
    </row>
    <row r="3498">
      <c r="A3498" s="237"/>
      <c r="E3498" s="234"/>
    </row>
    <row r="3499">
      <c r="A3499" s="237"/>
      <c r="E3499" s="234"/>
    </row>
    <row r="3500">
      <c r="A3500" s="237"/>
      <c r="E3500" s="234"/>
    </row>
    <row r="3501">
      <c r="A3501" s="237"/>
      <c r="E3501" s="234"/>
    </row>
    <row r="3502">
      <c r="A3502" s="237"/>
      <c r="E3502" s="234"/>
    </row>
    <row r="3503">
      <c r="A3503" s="237"/>
      <c r="E3503" s="234"/>
    </row>
    <row r="3504">
      <c r="A3504" s="237"/>
      <c r="E3504" s="234"/>
    </row>
    <row r="3505">
      <c r="A3505" s="237"/>
      <c r="E3505" s="234"/>
    </row>
    <row r="3506">
      <c r="A3506" s="237"/>
      <c r="E3506" s="234"/>
    </row>
    <row r="3507">
      <c r="A3507" s="237"/>
      <c r="E3507" s="234"/>
    </row>
    <row r="3508">
      <c r="A3508" s="237"/>
      <c r="E3508" s="234"/>
    </row>
    <row r="3509">
      <c r="A3509" s="237"/>
      <c r="E3509" s="234"/>
    </row>
    <row r="3510">
      <c r="A3510" s="237"/>
      <c r="E3510" s="234"/>
    </row>
    <row r="3511">
      <c r="A3511" s="237"/>
      <c r="E3511" s="234"/>
    </row>
    <row r="3512">
      <c r="A3512" s="237"/>
      <c r="E3512" s="234"/>
    </row>
    <row r="3513">
      <c r="A3513" s="237"/>
      <c r="E3513" s="234"/>
    </row>
    <row r="3514">
      <c r="A3514" s="237"/>
      <c r="E3514" s="234"/>
    </row>
    <row r="3515">
      <c r="A3515" s="237"/>
      <c r="E3515" s="234"/>
    </row>
    <row r="3516">
      <c r="A3516" s="237"/>
      <c r="E3516" s="234"/>
    </row>
    <row r="3517">
      <c r="A3517" s="237"/>
      <c r="E3517" s="234"/>
    </row>
    <row r="3518">
      <c r="A3518" s="237"/>
      <c r="E3518" s="234"/>
    </row>
    <row r="3519">
      <c r="A3519" s="237"/>
      <c r="E3519" s="234"/>
    </row>
    <row r="3520">
      <c r="A3520" s="237"/>
      <c r="E3520" s="234"/>
    </row>
    <row r="3521">
      <c r="A3521" s="237"/>
      <c r="E3521" s="234"/>
    </row>
    <row r="3522">
      <c r="A3522" s="237"/>
      <c r="E3522" s="234"/>
    </row>
    <row r="3523">
      <c r="A3523" s="237"/>
      <c r="E3523" s="234"/>
    </row>
    <row r="3524">
      <c r="A3524" s="237"/>
      <c r="E3524" s="234"/>
    </row>
    <row r="3525">
      <c r="A3525" s="237"/>
      <c r="E3525" s="234"/>
    </row>
    <row r="3526">
      <c r="A3526" s="237"/>
      <c r="E3526" s="234"/>
    </row>
    <row r="3527">
      <c r="A3527" s="237"/>
      <c r="E3527" s="234"/>
    </row>
    <row r="3528">
      <c r="A3528" s="237"/>
      <c r="E3528" s="234"/>
    </row>
    <row r="3529">
      <c r="A3529" s="237"/>
      <c r="E3529" s="234"/>
    </row>
    <row r="3530">
      <c r="A3530" s="237"/>
      <c r="E3530" s="234"/>
    </row>
    <row r="3531">
      <c r="A3531" s="237"/>
      <c r="E3531" s="234"/>
    </row>
    <row r="3532">
      <c r="A3532" s="237"/>
      <c r="E3532" s="234"/>
    </row>
    <row r="3533">
      <c r="A3533" s="237"/>
      <c r="E3533" s="234"/>
    </row>
    <row r="3534">
      <c r="A3534" s="237"/>
      <c r="E3534" s="234"/>
    </row>
    <row r="3535">
      <c r="A3535" s="237"/>
      <c r="E3535" s="234"/>
    </row>
    <row r="3536">
      <c r="A3536" s="237"/>
      <c r="E3536" s="234"/>
    </row>
    <row r="3537">
      <c r="A3537" s="237"/>
      <c r="E3537" s="234"/>
    </row>
    <row r="3538">
      <c r="A3538" s="237"/>
      <c r="E3538" s="234"/>
    </row>
    <row r="3539">
      <c r="A3539" s="237"/>
      <c r="E3539" s="234"/>
    </row>
    <row r="3540">
      <c r="A3540" s="237"/>
      <c r="E3540" s="234"/>
    </row>
    <row r="3541">
      <c r="A3541" s="237"/>
      <c r="E3541" s="234"/>
    </row>
    <row r="3542">
      <c r="A3542" s="237"/>
      <c r="E3542" s="234"/>
    </row>
    <row r="3543">
      <c r="A3543" s="237"/>
      <c r="E3543" s="234"/>
    </row>
    <row r="3544">
      <c r="A3544" s="237"/>
      <c r="E3544" s="234"/>
    </row>
    <row r="3545">
      <c r="A3545" s="237"/>
      <c r="E3545" s="234"/>
    </row>
    <row r="3546">
      <c r="A3546" s="237"/>
      <c r="E3546" s="234"/>
    </row>
    <row r="3547">
      <c r="A3547" s="237"/>
      <c r="E3547" s="234"/>
    </row>
    <row r="3548">
      <c r="A3548" s="237"/>
      <c r="E3548" s="234"/>
    </row>
    <row r="3549">
      <c r="A3549" s="237"/>
      <c r="E3549" s="234"/>
    </row>
    <row r="3550">
      <c r="A3550" s="237"/>
      <c r="E3550" s="234"/>
    </row>
    <row r="3551">
      <c r="A3551" s="237"/>
      <c r="E3551" s="234"/>
    </row>
    <row r="3552">
      <c r="A3552" s="237"/>
      <c r="E3552" s="234"/>
    </row>
    <row r="3553">
      <c r="A3553" s="237"/>
      <c r="E3553" s="234"/>
    </row>
    <row r="3554">
      <c r="A3554" s="237"/>
      <c r="E3554" s="234"/>
    </row>
    <row r="3555">
      <c r="A3555" s="237"/>
      <c r="E3555" s="234"/>
    </row>
    <row r="3556">
      <c r="A3556" s="237"/>
      <c r="E3556" s="234"/>
    </row>
    <row r="3557">
      <c r="A3557" s="237"/>
      <c r="E3557" s="234"/>
    </row>
    <row r="3558">
      <c r="A3558" s="237"/>
      <c r="E3558" s="234"/>
    </row>
    <row r="3559">
      <c r="A3559" s="237"/>
      <c r="E3559" s="234"/>
    </row>
    <row r="3560">
      <c r="A3560" s="237"/>
      <c r="E3560" s="234"/>
    </row>
    <row r="3561">
      <c r="A3561" s="237"/>
      <c r="E3561" s="234"/>
    </row>
    <row r="3562">
      <c r="A3562" s="237"/>
      <c r="E3562" s="234"/>
    </row>
    <row r="3563">
      <c r="A3563" s="237"/>
      <c r="E3563" s="234"/>
    </row>
    <row r="3564">
      <c r="A3564" s="237"/>
      <c r="E3564" s="234"/>
    </row>
    <row r="3565">
      <c r="A3565" s="237"/>
      <c r="E3565" s="234"/>
    </row>
    <row r="3566">
      <c r="A3566" s="237"/>
      <c r="E3566" s="234"/>
    </row>
    <row r="3567">
      <c r="A3567" s="237"/>
      <c r="E3567" s="234"/>
    </row>
    <row r="3568">
      <c r="A3568" s="237"/>
      <c r="E3568" s="234"/>
    </row>
    <row r="3569">
      <c r="A3569" s="237"/>
      <c r="E3569" s="234"/>
    </row>
    <row r="3570">
      <c r="A3570" s="237"/>
      <c r="E3570" s="234"/>
    </row>
    <row r="3571">
      <c r="A3571" s="237"/>
      <c r="E3571" s="234"/>
    </row>
    <row r="3572">
      <c r="A3572" s="237"/>
      <c r="E3572" s="234"/>
    </row>
    <row r="3573">
      <c r="A3573" s="237"/>
      <c r="E3573" s="234"/>
    </row>
    <row r="3574">
      <c r="A3574" s="237"/>
      <c r="E3574" s="234"/>
    </row>
    <row r="3575">
      <c r="A3575" s="237"/>
      <c r="E3575" s="234"/>
    </row>
    <row r="3576">
      <c r="A3576" s="237"/>
      <c r="E3576" s="234"/>
    </row>
    <row r="3577">
      <c r="A3577" s="237"/>
      <c r="E3577" s="234"/>
    </row>
    <row r="3578">
      <c r="A3578" s="237"/>
      <c r="E3578" s="234"/>
    </row>
    <row r="3579">
      <c r="A3579" s="237"/>
      <c r="E3579" s="234"/>
    </row>
    <row r="3580">
      <c r="A3580" s="237"/>
      <c r="E3580" s="234"/>
    </row>
    <row r="3581">
      <c r="A3581" s="237"/>
      <c r="E3581" s="234"/>
    </row>
    <row r="3582">
      <c r="A3582" s="237"/>
      <c r="E3582" s="234"/>
    </row>
    <row r="3583">
      <c r="A3583" s="237"/>
      <c r="E3583" s="234"/>
    </row>
    <row r="3584">
      <c r="A3584" s="237"/>
      <c r="E3584" s="234"/>
    </row>
    <row r="3585">
      <c r="A3585" s="237"/>
      <c r="E3585" s="234"/>
    </row>
    <row r="3586">
      <c r="A3586" s="237"/>
      <c r="E3586" s="234"/>
    </row>
    <row r="3587">
      <c r="A3587" s="237"/>
      <c r="E3587" s="234"/>
    </row>
    <row r="3588">
      <c r="A3588" s="237"/>
      <c r="E3588" s="234"/>
    </row>
    <row r="3589">
      <c r="A3589" s="237"/>
      <c r="E3589" s="234"/>
    </row>
    <row r="3590">
      <c r="A3590" s="237"/>
      <c r="E3590" s="234"/>
    </row>
    <row r="3591">
      <c r="A3591" s="237"/>
      <c r="E3591" s="234"/>
    </row>
    <row r="3592">
      <c r="A3592" s="237"/>
      <c r="E3592" s="234"/>
    </row>
    <row r="3593">
      <c r="A3593" s="237"/>
      <c r="E3593" s="234"/>
    </row>
    <row r="3594">
      <c r="A3594" s="237"/>
      <c r="E3594" s="234"/>
    </row>
    <row r="3595">
      <c r="A3595" s="237"/>
      <c r="E3595" s="234"/>
    </row>
    <row r="3596">
      <c r="A3596" s="237"/>
      <c r="E3596" s="234"/>
    </row>
    <row r="3597">
      <c r="A3597" s="237"/>
      <c r="E3597" s="234"/>
    </row>
    <row r="3598">
      <c r="A3598" s="237"/>
      <c r="E3598" s="234"/>
    </row>
    <row r="3599">
      <c r="A3599" s="237"/>
      <c r="E3599" s="234"/>
    </row>
    <row r="3600">
      <c r="A3600" s="237"/>
      <c r="E3600" s="234"/>
    </row>
    <row r="3601">
      <c r="A3601" s="237"/>
      <c r="E3601" s="234"/>
    </row>
    <row r="3602">
      <c r="A3602" s="237"/>
      <c r="E3602" s="234"/>
    </row>
    <row r="3603">
      <c r="A3603" s="237"/>
      <c r="E3603" s="234"/>
    </row>
    <row r="3604">
      <c r="A3604" s="237"/>
      <c r="E3604" s="234"/>
    </row>
    <row r="3605">
      <c r="A3605" s="237"/>
      <c r="E3605" s="234"/>
    </row>
    <row r="3606">
      <c r="A3606" s="237"/>
      <c r="E3606" s="234"/>
    </row>
    <row r="3607">
      <c r="A3607" s="237"/>
      <c r="E3607" s="234"/>
    </row>
    <row r="3608">
      <c r="A3608" s="237"/>
      <c r="E3608" s="234"/>
    </row>
    <row r="3609">
      <c r="A3609" s="237"/>
      <c r="E3609" s="234"/>
    </row>
    <row r="3610">
      <c r="A3610" s="237"/>
      <c r="E3610" s="234"/>
    </row>
    <row r="3611">
      <c r="A3611" s="237"/>
      <c r="E3611" s="234"/>
    </row>
    <row r="3612">
      <c r="A3612" s="237"/>
      <c r="E3612" s="234"/>
    </row>
    <row r="3613">
      <c r="A3613" s="237"/>
      <c r="E3613" s="234"/>
    </row>
    <row r="3614">
      <c r="A3614" s="237"/>
      <c r="E3614" s="234"/>
    </row>
    <row r="3615">
      <c r="A3615" s="237"/>
      <c r="E3615" s="234"/>
    </row>
    <row r="3616">
      <c r="A3616" s="237"/>
      <c r="E3616" s="234"/>
    </row>
    <row r="3617">
      <c r="A3617" s="237"/>
      <c r="E3617" s="234"/>
    </row>
    <row r="3618">
      <c r="A3618" s="237"/>
      <c r="E3618" s="234"/>
    </row>
    <row r="3619">
      <c r="A3619" s="237"/>
      <c r="E3619" s="234"/>
    </row>
    <row r="3620">
      <c r="A3620" s="237"/>
      <c r="E3620" s="234"/>
    </row>
    <row r="3621">
      <c r="A3621" s="237"/>
      <c r="E3621" s="234"/>
    </row>
    <row r="3622">
      <c r="A3622" s="237"/>
      <c r="E3622" s="234"/>
    </row>
    <row r="3623">
      <c r="A3623" s="237"/>
      <c r="E3623" s="234"/>
    </row>
    <row r="3624">
      <c r="A3624" s="237"/>
      <c r="E3624" s="234"/>
    </row>
    <row r="3625">
      <c r="A3625" s="237"/>
      <c r="E3625" s="234"/>
    </row>
    <row r="3626">
      <c r="A3626" s="237"/>
      <c r="E3626" s="234"/>
    </row>
    <row r="3627">
      <c r="A3627" s="237"/>
      <c r="E3627" s="234"/>
    </row>
    <row r="3628">
      <c r="A3628" s="237"/>
      <c r="E3628" s="234"/>
    </row>
    <row r="3629">
      <c r="A3629" s="237"/>
      <c r="E3629" s="234"/>
    </row>
    <row r="3630">
      <c r="A3630" s="237"/>
      <c r="E3630" s="234"/>
    </row>
    <row r="3631">
      <c r="A3631" s="237"/>
      <c r="E3631" s="234"/>
    </row>
    <row r="3632">
      <c r="A3632" s="237"/>
      <c r="E3632" s="234"/>
    </row>
    <row r="3633">
      <c r="A3633" s="237"/>
      <c r="E3633" s="234"/>
    </row>
    <row r="3634">
      <c r="A3634" s="237"/>
      <c r="E3634" s="234"/>
    </row>
    <row r="3635">
      <c r="A3635" s="237"/>
      <c r="E3635" s="234"/>
    </row>
    <row r="3636">
      <c r="A3636" s="237"/>
      <c r="E3636" s="234"/>
    </row>
    <row r="3637">
      <c r="A3637" s="237"/>
      <c r="E3637" s="234"/>
    </row>
    <row r="3638">
      <c r="A3638" s="237"/>
      <c r="E3638" s="234"/>
    </row>
    <row r="3639">
      <c r="A3639" s="237"/>
      <c r="E3639" s="234"/>
    </row>
    <row r="3640">
      <c r="A3640" s="237"/>
      <c r="E3640" s="234"/>
    </row>
    <row r="3641">
      <c r="A3641" s="237"/>
      <c r="E3641" s="234"/>
    </row>
    <row r="3642">
      <c r="A3642" s="237"/>
      <c r="E3642" s="234"/>
    </row>
    <row r="3643">
      <c r="A3643" s="237"/>
      <c r="E3643" s="234"/>
    </row>
    <row r="3644">
      <c r="A3644" s="237"/>
      <c r="E3644" s="234"/>
    </row>
    <row r="3645">
      <c r="A3645" s="237"/>
      <c r="E3645" s="234"/>
    </row>
    <row r="3646">
      <c r="A3646" s="237"/>
      <c r="E3646" s="234"/>
    </row>
    <row r="3647">
      <c r="A3647" s="237"/>
      <c r="E3647" s="234"/>
    </row>
    <row r="3648">
      <c r="A3648" s="237"/>
      <c r="E3648" s="234"/>
    </row>
    <row r="3649">
      <c r="A3649" s="237"/>
      <c r="E3649" s="234"/>
    </row>
    <row r="3650">
      <c r="A3650" s="237"/>
      <c r="E3650" s="234"/>
    </row>
    <row r="3651">
      <c r="A3651" s="237"/>
      <c r="E3651" s="234"/>
    </row>
    <row r="3652">
      <c r="A3652" s="237"/>
      <c r="E3652" s="234"/>
    </row>
    <row r="3653">
      <c r="A3653" s="237"/>
      <c r="E3653" s="234"/>
    </row>
    <row r="3654">
      <c r="A3654" s="237"/>
      <c r="E3654" s="234"/>
    </row>
    <row r="3655">
      <c r="A3655" s="237"/>
      <c r="E3655" s="234"/>
    </row>
    <row r="3656">
      <c r="A3656" s="237"/>
      <c r="E3656" s="234"/>
    </row>
    <row r="3657">
      <c r="A3657" s="237"/>
      <c r="E3657" s="234"/>
    </row>
    <row r="3658">
      <c r="A3658" s="237"/>
      <c r="E3658" s="234"/>
    </row>
    <row r="3659">
      <c r="A3659" s="237"/>
      <c r="E3659" s="234"/>
    </row>
    <row r="3660">
      <c r="A3660" s="237"/>
      <c r="E3660" s="234"/>
    </row>
    <row r="3661">
      <c r="A3661" s="237"/>
      <c r="E3661" s="234"/>
    </row>
    <row r="3662">
      <c r="A3662" s="237"/>
      <c r="E3662" s="234"/>
    </row>
    <row r="3663">
      <c r="A3663" s="237"/>
      <c r="E3663" s="234"/>
    </row>
    <row r="3664">
      <c r="A3664" s="237"/>
      <c r="E3664" s="234"/>
    </row>
    <row r="3665">
      <c r="A3665" s="237"/>
      <c r="E3665" s="234"/>
    </row>
    <row r="3666">
      <c r="A3666" s="237"/>
      <c r="E3666" s="234"/>
    </row>
    <row r="3667">
      <c r="A3667" s="237"/>
      <c r="E3667" s="234"/>
    </row>
    <row r="3668">
      <c r="A3668" s="237"/>
      <c r="E3668" s="234"/>
    </row>
    <row r="3669">
      <c r="A3669" s="237"/>
      <c r="E3669" s="234"/>
    </row>
    <row r="3670">
      <c r="A3670" s="237"/>
      <c r="E3670" s="234"/>
    </row>
    <row r="3671">
      <c r="A3671" s="237"/>
      <c r="E3671" s="234"/>
    </row>
    <row r="3672">
      <c r="A3672" s="237"/>
      <c r="E3672" s="234"/>
    </row>
    <row r="3673">
      <c r="A3673" s="237"/>
      <c r="E3673" s="234"/>
    </row>
    <row r="3674">
      <c r="A3674" s="237"/>
      <c r="E3674" s="234"/>
    </row>
    <row r="3675">
      <c r="A3675" s="237"/>
      <c r="E3675" s="234"/>
    </row>
    <row r="3676">
      <c r="A3676" s="237"/>
      <c r="E3676" s="234"/>
    </row>
    <row r="3677">
      <c r="A3677" s="237"/>
      <c r="E3677" s="234"/>
    </row>
    <row r="3678">
      <c r="A3678" s="237"/>
      <c r="E3678" s="234"/>
    </row>
    <row r="3679">
      <c r="A3679" s="237"/>
      <c r="E3679" s="234"/>
    </row>
    <row r="3680">
      <c r="A3680" s="237"/>
      <c r="E3680" s="234"/>
    </row>
    <row r="3681">
      <c r="A3681" s="237"/>
      <c r="E3681" s="234"/>
    </row>
    <row r="3682">
      <c r="A3682" s="237"/>
      <c r="E3682" s="234"/>
    </row>
    <row r="3683">
      <c r="A3683" s="237"/>
      <c r="E3683" s="234"/>
    </row>
    <row r="3684">
      <c r="A3684" s="237"/>
      <c r="E3684" s="234"/>
    </row>
    <row r="3685">
      <c r="A3685" s="237"/>
      <c r="E3685" s="234"/>
    </row>
    <row r="3686">
      <c r="A3686" s="237"/>
      <c r="E3686" s="234"/>
    </row>
    <row r="3687">
      <c r="A3687" s="237"/>
      <c r="E3687" s="234"/>
    </row>
    <row r="3688">
      <c r="A3688" s="237"/>
      <c r="E3688" s="234"/>
    </row>
    <row r="3689">
      <c r="A3689" s="237"/>
      <c r="E3689" s="234"/>
    </row>
    <row r="3690">
      <c r="A3690" s="237"/>
      <c r="E3690" s="234"/>
    </row>
    <row r="3691">
      <c r="A3691" s="237"/>
      <c r="E3691" s="234"/>
    </row>
    <row r="3692">
      <c r="A3692" s="237"/>
      <c r="E3692" s="234"/>
    </row>
    <row r="3693">
      <c r="A3693" s="237"/>
      <c r="E3693" s="234"/>
    </row>
    <row r="3694">
      <c r="A3694" s="237"/>
      <c r="E3694" s="234"/>
    </row>
    <row r="3695">
      <c r="A3695" s="237"/>
      <c r="E3695" s="234"/>
    </row>
    <row r="3696">
      <c r="A3696" s="237"/>
      <c r="E3696" s="234"/>
    </row>
    <row r="3697">
      <c r="A3697" s="237"/>
      <c r="E3697" s="234"/>
    </row>
    <row r="3698">
      <c r="A3698" s="237"/>
      <c r="E3698" s="234"/>
    </row>
    <row r="3699">
      <c r="A3699" s="237"/>
      <c r="E3699" s="234"/>
    </row>
    <row r="3700">
      <c r="A3700" s="237"/>
      <c r="E3700" s="234"/>
    </row>
    <row r="3701">
      <c r="A3701" s="237"/>
      <c r="E3701" s="234"/>
    </row>
    <row r="3702">
      <c r="A3702" s="237"/>
      <c r="E3702" s="234"/>
    </row>
    <row r="3703">
      <c r="A3703" s="237"/>
      <c r="E3703" s="234"/>
    </row>
    <row r="3704">
      <c r="A3704" s="237"/>
      <c r="E3704" s="234"/>
    </row>
    <row r="3705">
      <c r="A3705" s="237"/>
      <c r="E3705" s="234"/>
    </row>
    <row r="3706">
      <c r="A3706" s="237"/>
      <c r="E3706" s="234"/>
    </row>
    <row r="3707">
      <c r="A3707" s="237"/>
      <c r="E3707" s="234"/>
    </row>
    <row r="3708">
      <c r="A3708" s="237"/>
      <c r="E3708" s="234"/>
    </row>
    <row r="3709">
      <c r="A3709" s="237"/>
      <c r="E3709" s="234"/>
    </row>
    <row r="3710">
      <c r="A3710" s="237"/>
      <c r="E3710" s="234"/>
    </row>
    <row r="3711">
      <c r="A3711" s="237"/>
      <c r="E3711" s="234"/>
    </row>
    <row r="3712">
      <c r="A3712" s="237"/>
      <c r="E3712" s="234"/>
    </row>
    <row r="3713">
      <c r="A3713" s="237"/>
      <c r="E3713" s="234"/>
    </row>
    <row r="3714">
      <c r="A3714" s="237"/>
      <c r="E3714" s="234"/>
    </row>
    <row r="3715">
      <c r="A3715" s="237"/>
      <c r="E3715" s="234"/>
    </row>
    <row r="3716">
      <c r="A3716" s="237"/>
      <c r="E3716" s="234"/>
    </row>
    <row r="3717">
      <c r="A3717" s="237"/>
      <c r="E3717" s="234"/>
    </row>
    <row r="3718">
      <c r="A3718" s="237"/>
      <c r="E3718" s="234"/>
    </row>
    <row r="3719">
      <c r="A3719" s="237"/>
      <c r="E3719" s="234"/>
    </row>
    <row r="3720">
      <c r="A3720" s="237"/>
      <c r="E3720" s="234"/>
    </row>
    <row r="3721">
      <c r="A3721" s="237"/>
      <c r="E3721" s="234"/>
    </row>
    <row r="3722">
      <c r="A3722" s="237"/>
      <c r="E3722" s="234"/>
    </row>
    <row r="3723">
      <c r="A3723" s="237"/>
      <c r="E3723" s="234"/>
    </row>
    <row r="3724">
      <c r="A3724" s="237"/>
      <c r="E3724" s="234"/>
    </row>
    <row r="3725">
      <c r="A3725" s="237"/>
      <c r="E3725" s="234"/>
    </row>
    <row r="3726">
      <c r="A3726" s="237"/>
      <c r="E3726" s="234"/>
    </row>
    <row r="3727">
      <c r="A3727" s="237"/>
      <c r="E3727" s="234"/>
    </row>
    <row r="3728">
      <c r="A3728" s="237"/>
      <c r="E3728" s="234"/>
    </row>
    <row r="3729">
      <c r="A3729" s="237"/>
      <c r="E3729" s="234"/>
    </row>
    <row r="3730">
      <c r="A3730" s="237"/>
      <c r="E3730" s="234"/>
    </row>
    <row r="3731">
      <c r="A3731" s="237"/>
      <c r="E3731" s="234"/>
    </row>
    <row r="3732">
      <c r="A3732" s="237"/>
      <c r="E3732" s="234"/>
    </row>
    <row r="3733">
      <c r="A3733" s="237"/>
      <c r="E3733" s="234"/>
    </row>
    <row r="3734">
      <c r="A3734" s="237"/>
      <c r="E3734" s="234"/>
    </row>
    <row r="3735">
      <c r="A3735" s="237"/>
      <c r="E3735" s="234"/>
    </row>
    <row r="3736">
      <c r="A3736" s="237"/>
      <c r="E3736" s="234"/>
    </row>
    <row r="3737">
      <c r="A3737" s="237"/>
      <c r="E3737" s="234"/>
    </row>
    <row r="3738">
      <c r="A3738" s="237"/>
      <c r="E3738" s="234"/>
    </row>
    <row r="3739">
      <c r="A3739" s="237"/>
      <c r="E3739" s="234"/>
    </row>
    <row r="3740">
      <c r="A3740" s="237"/>
      <c r="E3740" s="234"/>
    </row>
    <row r="3741">
      <c r="A3741" s="237"/>
      <c r="E3741" s="234"/>
    </row>
    <row r="3742">
      <c r="A3742" s="237"/>
      <c r="E3742" s="234"/>
    </row>
    <row r="3743">
      <c r="A3743" s="237"/>
      <c r="E3743" s="234"/>
    </row>
    <row r="3744">
      <c r="A3744" s="237"/>
      <c r="E3744" s="234"/>
    </row>
    <row r="3745">
      <c r="A3745" s="237"/>
      <c r="E3745" s="234"/>
    </row>
    <row r="3746">
      <c r="A3746" s="237"/>
      <c r="E3746" s="234"/>
    </row>
    <row r="3747">
      <c r="A3747" s="237"/>
      <c r="E3747" s="234"/>
    </row>
    <row r="3748">
      <c r="A3748" s="237"/>
      <c r="E3748" s="234"/>
    </row>
    <row r="3749">
      <c r="A3749" s="237"/>
      <c r="E3749" s="234"/>
    </row>
    <row r="3750">
      <c r="A3750" s="237"/>
      <c r="E3750" s="234"/>
    </row>
    <row r="3751">
      <c r="A3751" s="237"/>
      <c r="E3751" s="234"/>
    </row>
    <row r="3752">
      <c r="A3752" s="237"/>
      <c r="E3752" s="234"/>
    </row>
    <row r="3753">
      <c r="A3753" s="237"/>
      <c r="E3753" s="234"/>
    </row>
    <row r="3754">
      <c r="A3754" s="237"/>
      <c r="E3754" s="234"/>
    </row>
    <row r="3755">
      <c r="A3755" s="237"/>
      <c r="E3755" s="234"/>
    </row>
    <row r="3756">
      <c r="A3756" s="237"/>
      <c r="E3756" s="234"/>
    </row>
    <row r="3757">
      <c r="A3757" s="237"/>
      <c r="E3757" s="234"/>
    </row>
    <row r="3758">
      <c r="A3758" s="237"/>
      <c r="E3758" s="234"/>
    </row>
    <row r="3759">
      <c r="A3759" s="237"/>
      <c r="E3759" s="234"/>
    </row>
    <row r="3760">
      <c r="A3760" s="237"/>
      <c r="E3760" s="234"/>
    </row>
    <row r="3761">
      <c r="A3761" s="237"/>
      <c r="E3761" s="234"/>
    </row>
    <row r="3762">
      <c r="A3762" s="237"/>
      <c r="E3762" s="234"/>
    </row>
    <row r="3763">
      <c r="A3763" s="237"/>
      <c r="E3763" s="234"/>
    </row>
    <row r="3764">
      <c r="A3764" s="237"/>
      <c r="E3764" s="234"/>
    </row>
    <row r="3765">
      <c r="A3765" s="237"/>
      <c r="E3765" s="234"/>
    </row>
    <row r="3766">
      <c r="A3766" s="237"/>
      <c r="E3766" s="234"/>
    </row>
    <row r="3767">
      <c r="A3767" s="237"/>
      <c r="E3767" s="234"/>
    </row>
    <row r="3768">
      <c r="A3768" s="237"/>
      <c r="E3768" s="234"/>
    </row>
    <row r="3769">
      <c r="A3769" s="237"/>
      <c r="E3769" s="234"/>
    </row>
    <row r="3770">
      <c r="A3770" s="237"/>
      <c r="E3770" s="234"/>
    </row>
    <row r="3771">
      <c r="A3771" s="237"/>
      <c r="E3771" s="234"/>
    </row>
    <row r="3772">
      <c r="A3772" s="237"/>
      <c r="E3772" s="234"/>
    </row>
    <row r="3773">
      <c r="A3773" s="237"/>
      <c r="E3773" s="234"/>
    </row>
    <row r="3774">
      <c r="A3774" s="237"/>
      <c r="E3774" s="234"/>
    </row>
    <row r="3775">
      <c r="A3775" s="237"/>
      <c r="E3775" s="234"/>
    </row>
    <row r="3776">
      <c r="A3776" s="237"/>
      <c r="E3776" s="234"/>
    </row>
    <row r="3777">
      <c r="A3777" s="237"/>
      <c r="E3777" s="234"/>
    </row>
    <row r="3778">
      <c r="A3778" s="237"/>
      <c r="E3778" s="234"/>
    </row>
    <row r="3779">
      <c r="A3779" s="237"/>
      <c r="E3779" s="234"/>
    </row>
    <row r="3780">
      <c r="A3780" s="237"/>
      <c r="E3780" s="234"/>
    </row>
    <row r="3781">
      <c r="A3781" s="237"/>
      <c r="E3781" s="234"/>
    </row>
    <row r="3782">
      <c r="A3782" s="237"/>
      <c r="E3782" s="234"/>
    </row>
    <row r="3783">
      <c r="A3783" s="237"/>
      <c r="E3783" s="234"/>
    </row>
    <row r="3784">
      <c r="A3784" s="237"/>
      <c r="E3784" s="234"/>
    </row>
    <row r="3785">
      <c r="A3785" s="237"/>
      <c r="E3785" s="234"/>
    </row>
    <row r="3786">
      <c r="A3786" s="237"/>
      <c r="E3786" s="234"/>
    </row>
    <row r="3787">
      <c r="A3787" s="237"/>
      <c r="E3787" s="234"/>
    </row>
    <row r="3788">
      <c r="A3788" s="237"/>
      <c r="E3788" s="234"/>
    </row>
    <row r="3789">
      <c r="A3789" s="237"/>
      <c r="E3789" s="234"/>
    </row>
    <row r="3790">
      <c r="A3790" s="237"/>
      <c r="E3790" s="234"/>
    </row>
    <row r="3791">
      <c r="A3791" s="237"/>
      <c r="E3791" s="234"/>
    </row>
    <row r="3792">
      <c r="A3792" s="237"/>
      <c r="E3792" s="234"/>
    </row>
    <row r="3793">
      <c r="A3793" s="237"/>
      <c r="E3793" s="234"/>
    </row>
    <row r="3794">
      <c r="A3794" s="237"/>
      <c r="E3794" s="234"/>
    </row>
    <row r="3795">
      <c r="A3795" s="237"/>
      <c r="E3795" s="234"/>
    </row>
    <row r="3796">
      <c r="A3796" s="237"/>
      <c r="E3796" s="234"/>
    </row>
    <row r="3797">
      <c r="A3797" s="237"/>
      <c r="E3797" s="234"/>
    </row>
    <row r="3798">
      <c r="A3798" s="237"/>
      <c r="E3798" s="234"/>
    </row>
    <row r="3799">
      <c r="A3799" s="237"/>
      <c r="E3799" s="234"/>
    </row>
    <row r="3800">
      <c r="A3800" s="237"/>
      <c r="E3800" s="234"/>
    </row>
    <row r="3801">
      <c r="A3801" s="237"/>
      <c r="E3801" s="234"/>
    </row>
    <row r="3802">
      <c r="A3802" s="237"/>
      <c r="E3802" s="234"/>
    </row>
    <row r="3803">
      <c r="A3803" s="237"/>
      <c r="E3803" s="234"/>
    </row>
    <row r="3804">
      <c r="A3804" s="237"/>
      <c r="E3804" s="234"/>
    </row>
    <row r="3805">
      <c r="A3805" s="237"/>
      <c r="E3805" s="234"/>
    </row>
    <row r="3806">
      <c r="A3806" s="237"/>
      <c r="E3806" s="234"/>
    </row>
    <row r="3807">
      <c r="A3807" s="237"/>
      <c r="E3807" s="234"/>
    </row>
    <row r="3808">
      <c r="A3808" s="237"/>
      <c r="E3808" s="234"/>
    </row>
    <row r="3809">
      <c r="A3809" s="237"/>
      <c r="E3809" s="234"/>
    </row>
    <row r="3810">
      <c r="A3810" s="237"/>
      <c r="E3810" s="234"/>
    </row>
    <row r="3811">
      <c r="A3811" s="237"/>
      <c r="E3811" s="234"/>
    </row>
    <row r="3812">
      <c r="A3812" s="237"/>
      <c r="E3812" s="234"/>
    </row>
    <row r="3813">
      <c r="A3813" s="237"/>
      <c r="E3813" s="234"/>
    </row>
    <row r="3814">
      <c r="A3814" s="237"/>
      <c r="E3814" s="234"/>
    </row>
    <row r="3815">
      <c r="A3815" s="237"/>
      <c r="E3815" s="234"/>
    </row>
    <row r="3816">
      <c r="A3816" s="237"/>
      <c r="E3816" s="234"/>
    </row>
    <row r="3817">
      <c r="A3817" s="237"/>
      <c r="E3817" s="234"/>
    </row>
    <row r="3818">
      <c r="A3818" s="237"/>
      <c r="E3818" s="234"/>
    </row>
    <row r="3819">
      <c r="A3819" s="237"/>
      <c r="E3819" s="234"/>
    </row>
    <row r="3820">
      <c r="A3820" s="237"/>
      <c r="E3820" s="234"/>
    </row>
    <row r="3821">
      <c r="A3821" s="237"/>
      <c r="E3821" s="234"/>
    </row>
    <row r="3822">
      <c r="A3822" s="237"/>
      <c r="E3822" s="234"/>
    </row>
    <row r="3823">
      <c r="A3823" s="237"/>
      <c r="E3823" s="234"/>
    </row>
    <row r="3824">
      <c r="A3824" s="237"/>
      <c r="E3824" s="234"/>
    </row>
    <row r="3825">
      <c r="A3825" s="237"/>
      <c r="E3825" s="234"/>
    </row>
    <row r="3826">
      <c r="A3826" s="237"/>
      <c r="E3826" s="234"/>
    </row>
    <row r="3827">
      <c r="A3827" s="237"/>
      <c r="E3827" s="234"/>
    </row>
    <row r="3828">
      <c r="A3828" s="237"/>
      <c r="E3828" s="234"/>
    </row>
    <row r="3829">
      <c r="A3829" s="237"/>
      <c r="E3829" s="234"/>
    </row>
    <row r="3830">
      <c r="A3830" s="237"/>
      <c r="E3830" s="234"/>
    </row>
    <row r="3831">
      <c r="A3831" s="237"/>
      <c r="E3831" s="234"/>
    </row>
    <row r="3832">
      <c r="A3832" s="237"/>
      <c r="E3832" s="234"/>
    </row>
    <row r="3833">
      <c r="A3833" s="237"/>
      <c r="E3833" s="234"/>
    </row>
    <row r="3834">
      <c r="A3834" s="237"/>
      <c r="E3834" s="234"/>
    </row>
    <row r="3835">
      <c r="A3835" s="237"/>
      <c r="E3835" s="234"/>
    </row>
    <row r="3836">
      <c r="A3836" s="237"/>
      <c r="E3836" s="234"/>
    </row>
    <row r="3837">
      <c r="A3837" s="237"/>
      <c r="E3837" s="234"/>
    </row>
    <row r="3838">
      <c r="A3838" s="237"/>
      <c r="E3838" s="234"/>
    </row>
    <row r="3839">
      <c r="A3839" s="237"/>
      <c r="E3839" s="234"/>
    </row>
    <row r="3840">
      <c r="A3840" s="237"/>
      <c r="E3840" s="234"/>
    </row>
    <row r="3841">
      <c r="A3841" s="237"/>
      <c r="E3841" s="234"/>
    </row>
    <row r="3842">
      <c r="A3842" s="237"/>
      <c r="E3842" s="234"/>
    </row>
    <row r="3843">
      <c r="A3843" s="237"/>
      <c r="E3843" s="234"/>
    </row>
    <row r="3844">
      <c r="A3844" s="237"/>
      <c r="E3844" s="234"/>
    </row>
    <row r="3845">
      <c r="A3845" s="237"/>
      <c r="E3845" s="234"/>
    </row>
    <row r="3846">
      <c r="A3846" s="237"/>
      <c r="E3846" s="234"/>
    </row>
    <row r="3847">
      <c r="A3847" s="237"/>
      <c r="E3847" s="234"/>
    </row>
    <row r="3848">
      <c r="A3848" s="237"/>
      <c r="E3848" s="234"/>
    </row>
    <row r="3849">
      <c r="A3849" s="237"/>
      <c r="E3849" s="234"/>
    </row>
    <row r="3850">
      <c r="A3850" s="237"/>
      <c r="E3850" s="234"/>
    </row>
    <row r="3851">
      <c r="A3851" s="237"/>
      <c r="E3851" s="234"/>
    </row>
    <row r="3852">
      <c r="A3852" s="237"/>
      <c r="E3852" s="234"/>
    </row>
    <row r="3853">
      <c r="A3853" s="237"/>
      <c r="E3853" s="234"/>
    </row>
    <row r="3854">
      <c r="A3854" s="237"/>
      <c r="E3854" s="234"/>
    </row>
    <row r="3855">
      <c r="A3855" s="237"/>
      <c r="E3855" s="234"/>
    </row>
    <row r="3856">
      <c r="A3856" s="237"/>
      <c r="E3856" s="234"/>
    </row>
    <row r="3857">
      <c r="A3857" s="237"/>
      <c r="E3857" s="234"/>
    </row>
    <row r="3858">
      <c r="A3858" s="237"/>
      <c r="E3858" s="234"/>
    </row>
    <row r="3859">
      <c r="A3859" s="237"/>
      <c r="E3859" s="234"/>
    </row>
    <row r="3860">
      <c r="A3860" s="237"/>
      <c r="E3860" s="234"/>
    </row>
    <row r="3861">
      <c r="A3861" s="237"/>
      <c r="E3861" s="234"/>
    </row>
    <row r="3862">
      <c r="A3862" s="237"/>
      <c r="E3862" s="234"/>
    </row>
    <row r="3863">
      <c r="A3863" s="237"/>
      <c r="E3863" s="234"/>
    </row>
    <row r="3864">
      <c r="A3864" s="237"/>
      <c r="E3864" s="234"/>
    </row>
    <row r="3865">
      <c r="A3865" s="237"/>
      <c r="E3865" s="234"/>
    </row>
    <row r="3866">
      <c r="A3866" s="237"/>
      <c r="E3866" s="234"/>
    </row>
    <row r="3867">
      <c r="A3867" s="237"/>
      <c r="E3867" s="234"/>
    </row>
    <row r="3868">
      <c r="A3868" s="237"/>
      <c r="E3868" s="234"/>
    </row>
    <row r="3869">
      <c r="A3869" s="237"/>
      <c r="E3869" s="234"/>
    </row>
    <row r="3870">
      <c r="A3870" s="237"/>
      <c r="E3870" s="234"/>
    </row>
    <row r="3871">
      <c r="A3871" s="237"/>
      <c r="E3871" s="234"/>
    </row>
    <row r="3872">
      <c r="A3872" s="237"/>
      <c r="E3872" s="234"/>
    </row>
    <row r="3873">
      <c r="A3873" s="237"/>
      <c r="E3873" s="234"/>
    </row>
    <row r="3874">
      <c r="A3874" s="237"/>
      <c r="E3874" s="234"/>
    </row>
    <row r="3875">
      <c r="A3875" s="237"/>
      <c r="E3875" s="234"/>
    </row>
    <row r="3876">
      <c r="A3876" s="237"/>
      <c r="E3876" s="234"/>
    </row>
    <row r="3877">
      <c r="A3877" s="237"/>
      <c r="E3877" s="234"/>
    </row>
    <row r="3878">
      <c r="A3878" s="237"/>
      <c r="E3878" s="234"/>
    </row>
    <row r="3879">
      <c r="A3879" s="237"/>
      <c r="E3879" s="234"/>
    </row>
    <row r="3880">
      <c r="A3880" s="237"/>
      <c r="E3880" s="234"/>
    </row>
    <row r="3881">
      <c r="A3881" s="237"/>
      <c r="E3881" s="234"/>
    </row>
    <row r="3882">
      <c r="A3882" s="237"/>
      <c r="E3882" s="234"/>
    </row>
    <row r="3883">
      <c r="A3883" s="237"/>
      <c r="E3883" s="234"/>
    </row>
    <row r="3884">
      <c r="A3884" s="237"/>
      <c r="E3884" s="234"/>
    </row>
    <row r="3885">
      <c r="A3885" s="237"/>
      <c r="E3885" s="234"/>
    </row>
    <row r="3886">
      <c r="A3886" s="237"/>
      <c r="E3886" s="234"/>
    </row>
    <row r="3887">
      <c r="A3887" s="237"/>
      <c r="E3887" s="234"/>
    </row>
    <row r="3888">
      <c r="A3888" s="237"/>
      <c r="E3888" s="234"/>
    </row>
    <row r="3889">
      <c r="A3889" s="237"/>
      <c r="E3889" s="234"/>
    </row>
    <row r="3890">
      <c r="A3890" s="237"/>
      <c r="E3890" s="234"/>
    </row>
    <row r="3891">
      <c r="A3891" s="237"/>
      <c r="E3891" s="234"/>
    </row>
    <row r="3892">
      <c r="A3892" s="237"/>
      <c r="E3892" s="234"/>
    </row>
    <row r="3893">
      <c r="A3893" s="237"/>
      <c r="E3893" s="234"/>
    </row>
    <row r="3894">
      <c r="A3894" s="237"/>
      <c r="E3894" s="234"/>
    </row>
    <row r="3895">
      <c r="A3895" s="237"/>
      <c r="E3895" s="234"/>
    </row>
    <row r="3896">
      <c r="A3896" s="237"/>
      <c r="E3896" s="234"/>
    </row>
    <row r="3897">
      <c r="A3897" s="237"/>
      <c r="E3897" s="234"/>
    </row>
    <row r="3898">
      <c r="A3898" s="237"/>
      <c r="E3898" s="234"/>
    </row>
    <row r="3899">
      <c r="A3899" s="237"/>
      <c r="E3899" s="234"/>
    </row>
    <row r="3900">
      <c r="A3900" s="237"/>
      <c r="E3900" s="234"/>
    </row>
    <row r="3901">
      <c r="A3901" s="237"/>
      <c r="E3901" s="234"/>
    </row>
    <row r="3902">
      <c r="A3902" s="237"/>
      <c r="E3902" s="234"/>
    </row>
    <row r="3903">
      <c r="A3903" s="237"/>
      <c r="E3903" s="234"/>
    </row>
    <row r="3904">
      <c r="A3904" s="237"/>
      <c r="E3904" s="234"/>
    </row>
    <row r="3905">
      <c r="A3905" s="237"/>
      <c r="E3905" s="234"/>
    </row>
    <row r="3906">
      <c r="A3906" s="237"/>
      <c r="E3906" s="234"/>
    </row>
    <row r="3907">
      <c r="A3907" s="237"/>
      <c r="E3907" s="234"/>
    </row>
    <row r="3908">
      <c r="A3908" s="237"/>
      <c r="E3908" s="234"/>
    </row>
    <row r="3909">
      <c r="A3909" s="237"/>
      <c r="E3909" s="234"/>
    </row>
    <row r="3910">
      <c r="A3910" s="237"/>
      <c r="E3910" s="234"/>
    </row>
    <row r="3911">
      <c r="A3911" s="237"/>
      <c r="E3911" s="234"/>
    </row>
    <row r="3912">
      <c r="A3912" s="237"/>
      <c r="E3912" s="234"/>
    </row>
    <row r="3913">
      <c r="A3913" s="237"/>
      <c r="E3913" s="234"/>
    </row>
    <row r="3914">
      <c r="A3914" s="237"/>
      <c r="E3914" s="234"/>
    </row>
    <row r="3915">
      <c r="A3915" s="237"/>
      <c r="E3915" s="234"/>
    </row>
    <row r="3916">
      <c r="A3916" s="237"/>
      <c r="E3916" s="234"/>
    </row>
    <row r="3917">
      <c r="A3917" s="237"/>
      <c r="E3917" s="234"/>
    </row>
    <row r="3918">
      <c r="A3918" s="237"/>
      <c r="E3918" s="234"/>
    </row>
    <row r="3919">
      <c r="A3919" s="237"/>
      <c r="E3919" s="234"/>
    </row>
    <row r="3920">
      <c r="A3920" s="237"/>
      <c r="E3920" s="234"/>
    </row>
    <row r="3921">
      <c r="A3921" s="237"/>
      <c r="E3921" s="234"/>
    </row>
    <row r="3922">
      <c r="A3922" s="237"/>
      <c r="E3922" s="234"/>
    </row>
    <row r="3923">
      <c r="A3923" s="237"/>
      <c r="E3923" s="234"/>
    </row>
    <row r="3924">
      <c r="A3924" s="237"/>
      <c r="E3924" s="234"/>
    </row>
    <row r="3925">
      <c r="A3925" s="237"/>
      <c r="E3925" s="234"/>
    </row>
    <row r="3926">
      <c r="A3926" s="237"/>
      <c r="E3926" s="234"/>
    </row>
    <row r="3927">
      <c r="A3927" s="237"/>
      <c r="E3927" s="234"/>
    </row>
    <row r="3928">
      <c r="A3928" s="237"/>
      <c r="E3928" s="234"/>
    </row>
    <row r="3929">
      <c r="A3929" s="237"/>
      <c r="E3929" s="234"/>
    </row>
    <row r="3930">
      <c r="A3930" s="237"/>
      <c r="E3930" s="234"/>
    </row>
    <row r="3931">
      <c r="A3931" s="237"/>
      <c r="E3931" s="234"/>
    </row>
    <row r="3932">
      <c r="A3932" s="237"/>
      <c r="E3932" s="234"/>
    </row>
    <row r="3933">
      <c r="A3933" s="237"/>
      <c r="E3933" s="234"/>
    </row>
    <row r="3934">
      <c r="A3934" s="237"/>
      <c r="E3934" s="234"/>
    </row>
    <row r="3935">
      <c r="A3935" s="237"/>
      <c r="E3935" s="234"/>
    </row>
    <row r="3936">
      <c r="A3936" s="237"/>
      <c r="E3936" s="234"/>
    </row>
    <row r="3937">
      <c r="A3937" s="237"/>
      <c r="E3937" s="234"/>
    </row>
    <row r="3938">
      <c r="A3938" s="237"/>
      <c r="E3938" s="234"/>
    </row>
    <row r="3939">
      <c r="A3939" s="237"/>
      <c r="E3939" s="234"/>
    </row>
    <row r="3940">
      <c r="A3940" s="237"/>
      <c r="E3940" s="234"/>
    </row>
    <row r="3941">
      <c r="A3941" s="237"/>
      <c r="E3941" s="234"/>
    </row>
    <row r="3942">
      <c r="A3942" s="237"/>
      <c r="E3942" s="234"/>
    </row>
    <row r="3943">
      <c r="A3943" s="237"/>
      <c r="E3943" s="234"/>
    </row>
    <row r="3944">
      <c r="A3944" s="237"/>
      <c r="E3944" s="234"/>
    </row>
    <row r="3945">
      <c r="A3945" s="237"/>
      <c r="E3945" s="234"/>
    </row>
    <row r="3946">
      <c r="A3946" s="237"/>
      <c r="E3946" s="234"/>
    </row>
    <row r="3947">
      <c r="A3947" s="237"/>
      <c r="E3947" s="234"/>
    </row>
    <row r="3948">
      <c r="A3948" s="237"/>
      <c r="E3948" s="234"/>
    </row>
    <row r="3949">
      <c r="A3949" s="237"/>
      <c r="E3949" s="234"/>
    </row>
    <row r="3950">
      <c r="A3950" s="237"/>
      <c r="E3950" s="234"/>
    </row>
    <row r="3951">
      <c r="A3951" s="237"/>
      <c r="E3951" s="234"/>
    </row>
    <row r="3952">
      <c r="A3952" s="237"/>
      <c r="E3952" s="234"/>
    </row>
    <row r="3953">
      <c r="A3953" s="237"/>
      <c r="E3953" s="234"/>
    </row>
    <row r="3954">
      <c r="A3954" s="237"/>
      <c r="E3954" s="234"/>
    </row>
    <row r="3955">
      <c r="A3955" s="237"/>
      <c r="E3955" s="234"/>
    </row>
    <row r="3956">
      <c r="A3956" s="237"/>
      <c r="E3956" s="234"/>
    </row>
    <row r="3957">
      <c r="A3957" s="237"/>
      <c r="E3957" s="234"/>
    </row>
    <row r="3958">
      <c r="A3958" s="237"/>
      <c r="E3958" s="234"/>
    </row>
    <row r="3959">
      <c r="A3959" s="237"/>
      <c r="E3959" s="234"/>
    </row>
    <row r="3960">
      <c r="A3960" s="237"/>
      <c r="E3960" s="234"/>
    </row>
    <row r="3961">
      <c r="A3961" s="237"/>
      <c r="E3961" s="234"/>
    </row>
    <row r="3962">
      <c r="A3962" s="237"/>
      <c r="E3962" s="234"/>
    </row>
    <row r="3963">
      <c r="A3963" s="237"/>
      <c r="E3963" s="234"/>
    </row>
    <row r="3964">
      <c r="A3964" s="237"/>
      <c r="E3964" s="234"/>
    </row>
    <row r="3965">
      <c r="A3965" s="237"/>
      <c r="E3965" s="234"/>
    </row>
    <row r="3966">
      <c r="A3966" s="237"/>
      <c r="E3966" s="234"/>
    </row>
    <row r="3967">
      <c r="A3967" s="237"/>
      <c r="E3967" s="234"/>
    </row>
    <row r="3968">
      <c r="A3968" s="237"/>
      <c r="E3968" s="234"/>
    </row>
    <row r="3969">
      <c r="A3969" s="237"/>
      <c r="E3969" s="234"/>
    </row>
    <row r="3970">
      <c r="A3970" s="237"/>
      <c r="E3970" s="234"/>
    </row>
    <row r="3971">
      <c r="A3971" s="237"/>
      <c r="E3971" s="234"/>
    </row>
    <row r="3972">
      <c r="A3972" s="237"/>
      <c r="E3972" s="234"/>
    </row>
    <row r="3973">
      <c r="A3973" s="237"/>
      <c r="E3973" s="234"/>
    </row>
    <row r="3974">
      <c r="A3974" s="237"/>
      <c r="E3974" s="234"/>
    </row>
    <row r="3975">
      <c r="A3975" s="237"/>
      <c r="E3975" s="234"/>
    </row>
    <row r="3976">
      <c r="A3976" s="237"/>
      <c r="E3976" s="234"/>
    </row>
    <row r="3977">
      <c r="A3977" s="237"/>
      <c r="E3977" s="234"/>
    </row>
    <row r="3978">
      <c r="A3978" s="237"/>
      <c r="E3978" s="234"/>
    </row>
    <row r="3979">
      <c r="A3979" s="237"/>
      <c r="E3979" s="234"/>
    </row>
    <row r="3980">
      <c r="A3980" s="237"/>
      <c r="E3980" s="234"/>
    </row>
    <row r="3981">
      <c r="A3981" s="237"/>
      <c r="E3981" s="234"/>
    </row>
    <row r="3982">
      <c r="A3982" s="237"/>
      <c r="E3982" s="234"/>
    </row>
    <row r="3983">
      <c r="A3983" s="237"/>
      <c r="E3983" s="234"/>
    </row>
    <row r="3984">
      <c r="A3984" s="237"/>
      <c r="E3984" s="234"/>
    </row>
    <row r="3985">
      <c r="A3985" s="237"/>
      <c r="E3985" s="234"/>
    </row>
    <row r="3986">
      <c r="A3986" s="237"/>
      <c r="E3986" s="234"/>
    </row>
    <row r="3987">
      <c r="A3987" s="237"/>
      <c r="E3987" s="234"/>
    </row>
    <row r="3988">
      <c r="A3988" s="237"/>
      <c r="E3988" s="234"/>
    </row>
    <row r="3989">
      <c r="A3989" s="237"/>
      <c r="E3989" s="234"/>
    </row>
    <row r="3990">
      <c r="A3990" s="237"/>
      <c r="E3990" s="234"/>
    </row>
    <row r="3991">
      <c r="A3991" s="237"/>
      <c r="E3991" s="234"/>
    </row>
    <row r="3992">
      <c r="A3992" s="237"/>
      <c r="E3992" s="234"/>
    </row>
    <row r="3993">
      <c r="A3993" s="237"/>
      <c r="E3993" s="234"/>
    </row>
    <row r="3994">
      <c r="A3994" s="237"/>
      <c r="E3994" s="234"/>
    </row>
    <row r="3995">
      <c r="A3995" s="237"/>
      <c r="E3995" s="234"/>
    </row>
    <row r="3996">
      <c r="A3996" s="237"/>
      <c r="E3996" s="234"/>
    </row>
    <row r="3997">
      <c r="A3997" s="237"/>
      <c r="E3997" s="234"/>
    </row>
    <row r="3998">
      <c r="A3998" s="237"/>
      <c r="E3998" s="234"/>
    </row>
    <row r="3999">
      <c r="A3999" s="237"/>
      <c r="E3999" s="234"/>
    </row>
    <row r="4000">
      <c r="A4000" s="237"/>
      <c r="E4000" s="234"/>
    </row>
    <row r="4001">
      <c r="A4001" s="237"/>
      <c r="E4001" s="234"/>
    </row>
    <row r="4002">
      <c r="A4002" s="237"/>
      <c r="E4002" s="234"/>
    </row>
    <row r="4003">
      <c r="A4003" s="237"/>
      <c r="E4003" s="234"/>
    </row>
    <row r="4004">
      <c r="A4004" s="237"/>
      <c r="E4004" s="234"/>
    </row>
    <row r="4005">
      <c r="A4005" s="237"/>
      <c r="E4005" s="234"/>
    </row>
    <row r="4006">
      <c r="A4006" s="237"/>
      <c r="E4006" s="234"/>
    </row>
    <row r="4007">
      <c r="A4007" s="237"/>
      <c r="E4007" s="234"/>
    </row>
    <row r="4008">
      <c r="A4008" s="237"/>
      <c r="E4008" s="234"/>
    </row>
    <row r="4009">
      <c r="A4009" s="237"/>
      <c r="E4009" s="234"/>
    </row>
    <row r="4010">
      <c r="A4010" s="237"/>
      <c r="E4010" s="234"/>
    </row>
    <row r="4011">
      <c r="A4011" s="237"/>
      <c r="E4011" s="234"/>
    </row>
    <row r="4012">
      <c r="A4012" s="237"/>
      <c r="E4012" s="234"/>
    </row>
    <row r="4013">
      <c r="A4013" s="237"/>
      <c r="E4013" s="234"/>
    </row>
    <row r="4014">
      <c r="A4014" s="237"/>
      <c r="E4014" s="234"/>
    </row>
    <row r="4015">
      <c r="A4015" s="237"/>
      <c r="E4015" s="234"/>
    </row>
    <row r="4016">
      <c r="A4016" s="237"/>
      <c r="E4016" s="234"/>
    </row>
    <row r="4017">
      <c r="A4017" s="237"/>
      <c r="E4017" s="234"/>
    </row>
    <row r="4018">
      <c r="A4018" s="237"/>
      <c r="E4018" s="234"/>
    </row>
    <row r="4019">
      <c r="A4019" s="237"/>
      <c r="E4019" s="234"/>
    </row>
    <row r="4020">
      <c r="A4020" s="237"/>
      <c r="E4020" s="234"/>
    </row>
    <row r="4021">
      <c r="A4021" s="237"/>
      <c r="E4021" s="234"/>
    </row>
    <row r="4022">
      <c r="A4022" s="237"/>
      <c r="E4022" s="234"/>
    </row>
    <row r="4023">
      <c r="A4023" s="237"/>
      <c r="E4023" s="234"/>
    </row>
    <row r="4024">
      <c r="A4024" s="237"/>
      <c r="E4024" s="234"/>
    </row>
    <row r="4025">
      <c r="A4025" s="237"/>
      <c r="E4025" s="234"/>
    </row>
    <row r="4026">
      <c r="A4026" s="237"/>
      <c r="E4026" s="234"/>
    </row>
    <row r="4027">
      <c r="A4027" s="237"/>
      <c r="E4027" s="234"/>
    </row>
    <row r="4028">
      <c r="A4028" s="237"/>
      <c r="E4028" s="234"/>
    </row>
    <row r="4029">
      <c r="A4029" s="237"/>
      <c r="E4029" s="234"/>
    </row>
    <row r="4030">
      <c r="A4030" s="237"/>
      <c r="E4030" s="234"/>
    </row>
    <row r="4031">
      <c r="A4031" s="237"/>
      <c r="E4031" s="234"/>
    </row>
    <row r="4032">
      <c r="A4032" s="237"/>
      <c r="E4032" s="234"/>
    </row>
    <row r="4033">
      <c r="A4033" s="237"/>
      <c r="E4033" s="234"/>
    </row>
    <row r="4034">
      <c r="A4034" s="237"/>
      <c r="E4034" s="234"/>
    </row>
    <row r="4035">
      <c r="A4035" s="237"/>
      <c r="E4035" s="234"/>
    </row>
    <row r="4036">
      <c r="A4036" s="237"/>
      <c r="E4036" s="234"/>
    </row>
    <row r="4037">
      <c r="A4037" s="237"/>
      <c r="E4037" s="234"/>
    </row>
    <row r="4038">
      <c r="A4038" s="237"/>
      <c r="E4038" s="234"/>
    </row>
    <row r="4039">
      <c r="A4039" s="237"/>
      <c r="E4039" s="234"/>
    </row>
    <row r="4040">
      <c r="A4040" s="237"/>
      <c r="E4040" s="234"/>
    </row>
    <row r="4041">
      <c r="A4041" s="237"/>
      <c r="E4041" s="234"/>
    </row>
    <row r="4042">
      <c r="A4042" s="237"/>
      <c r="E4042" s="234"/>
    </row>
    <row r="4043">
      <c r="A4043" s="237"/>
      <c r="E4043" s="234"/>
    </row>
    <row r="4044">
      <c r="A4044" s="237"/>
      <c r="E4044" s="234"/>
    </row>
    <row r="4045">
      <c r="A4045" s="237"/>
      <c r="E4045" s="234"/>
    </row>
    <row r="4046">
      <c r="A4046" s="237"/>
      <c r="E4046" s="234"/>
    </row>
    <row r="4047">
      <c r="A4047" s="237"/>
      <c r="E4047" s="234"/>
    </row>
    <row r="4048">
      <c r="A4048" s="237"/>
      <c r="E4048" s="234"/>
    </row>
    <row r="4049">
      <c r="A4049" s="237"/>
      <c r="E4049" s="234"/>
    </row>
    <row r="4050">
      <c r="A4050" s="237"/>
      <c r="E4050" s="234"/>
    </row>
    <row r="4051">
      <c r="A4051" s="237"/>
      <c r="E4051" s="234"/>
    </row>
    <row r="4052">
      <c r="A4052" s="237"/>
      <c r="E4052" s="234"/>
    </row>
    <row r="4053">
      <c r="A4053" s="237"/>
      <c r="E4053" s="234"/>
    </row>
    <row r="4054">
      <c r="A4054" s="237"/>
      <c r="E4054" s="234"/>
    </row>
    <row r="4055">
      <c r="A4055" s="237"/>
      <c r="E4055" s="234"/>
    </row>
    <row r="4056">
      <c r="A4056" s="237"/>
      <c r="E4056" s="234"/>
    </row>
    <row r="4057">
      <c r="A4057" s="237"/>
      <c r="E4057" s="234"/>
    </row>
    <row r="4058">
      <c r="A4058" s="237"/>
      <c r="E4058" s="234"/>
    </row>
    <row r="4059">
      <c r="A4059" s="237"/>
      <c r="E4059" s="234"/>
    </row>
    <row r="4060">
      <c r="A4060" s="237"/>
      <c r="E4060" s="234"/>
    </row>
    <row r="4061">
      <c r="A4061" s="237"/>
      <c r="E4061" s="234"/>
    </row>
    <row r="4062">
      <c r="A4062" s="237"/>
      <c r="E4062" s="234"/>
    </row>
    <row r="4063">
      <c r="A4063" s="237"/>
      <c r="E4063" s="234"/>
    </row>
    <row r="4064">
      <c r="A4064" s="237"/>
      <c r="E4064" s="234"/>
    </row>
    <row r="4065">
      <c r="A4065" s="237"/>
      <c r="E4065" s="234"/>
    </row>
    <row r="4066">
      <c r="A4066" s="237"/>
      <c r="E4066" s="234"/>
    </row>
    <row r="4067">
      <c r="A4067" s="237"/>
      <c r="E4067" s="234"/>
    </row>
    <row r="4068">
      <c r="A4068" s="237"/>
      <c r="E4068" s="234"/>
    </row>
    <row r="4069">
      <c r="A4069" s="237"/>
      <c r="E4069" s="234"/>
    </row>
    <row r="4070">
      <c r="A4070" s="237"/>
      <c r="E4070" s="234"/>
    </row>
    <row r="4071">
      <c r="A4071" s="237"/>
      <c r="E4071" s="234"/>
    </row>
    <row r="4072">
      <c r="A4072" s="237"/>
      <c r="E4072" s="234"/>
    </row>
    <row r="4073">
      <c r="A4073" s="237"/>
      <c r="E4073" s="234"/>
    </row>
    <row r="4074">
      <c r="A4074" s="237"/>
      <c r="E4074" s="234"/>
    </row>
    <row r="4075">
      <c r="A4075" s="237"/>
      <c r="E4075" s="234"/>
    </row>
    <row r="4076">
      <c r="A4076" s="237"/>
      <c r="E4076" s="234"/>
    </row>
    <row r="4077">
      <c r="A4077" s="237"/>
      <c r="E4077" s="234"/>
    </row>
    <row r="4078">
      <c r="A4078" s="237"/>
      <c r="E4078" s="234"/>
    </row>
    <row r="4079">
      <c r="A4079" s="237"/>
      <c r="E4079" s="234"/>
    </row>
    <row r="4080">
      <c r="A4080" s="237"/>
      <c r="E4080" s="234"/>
    </row>
    <row r="4081">
      <c r="A4081" s="237"/>
      <c r="E4081" s="234"/>
    </row>
    <row r="4082">
      <c r="A4082" s="237"/>
      <c r="E4082" s="234"/>
    </row>
    <row r="4083">
      <c r="A4083" s="237"/>
      <c r="E4083" s="234"/>
    </row>
    <row r="4084">
      <c r="A4084" s="237"/>
      <c r="E4084" s="234"/>
    </row>
    <row r="4085">
      <c r="A4085" s="237"/>
      <c r="E4085" s="234"/>
    </row>
    <row r="4086">
      <c r="A4086" s="237"/>
      <c r="E4086" s="234"/>
    </row>
    <row r="4087">
      <c r="A4087" s="237"/>
      <c r="E4087" s="234"/>
    </row>
    <row r="4088">
      <c r="A4088" s="237"/>
      <c r="E4088" s="234"/>
    </row>
    <row r="4089">
      <c r="A4089" s="237"/>
      <c r="E4089" s="234"/>
    </row>
    <row r="4090">
      <c r="A4090" s="237"/>
      <c r="E4090" s="234"/>
    </row>
    <row r="4091">
      <c r="A4091" s="237"/>
      <c r="E4091" s="234"/>
    </row>
    <row r="4092">
      <c r="A4092" s="237"/>
      <c r="E4092" s="234"/>
    </row>
    <row r="4093">
      <c r="A4093" s="237"/>
      <c r="E4093" s="234"/>
    </row>
    <row r="4094">
      <c r="A4094" s="237"/>
      <c r="E4094" s="234"/>
    </row>
    <row r="4095">
      <c r="A4095" s="237"/>
      <c r="E4095" s="234"/>
    </row>
    <row r="4096">
      <c r="A4096" s="237"/>
      <c r="E4096" s="234"/>
    </row>
    <row r="4097">
      <c r="A4097" s="237"/>
      <c r="E4097" s="234"/>
    </row>
    <row r="4098">
      <c r="A4098" s="237"/>
      <c r="E4098" s="234"/>
    </row>
    <row r="4099">
      <c r="A4099" s="237"/>
      <c r="E4099" s="234"/>
    </row>
    <row r="4100">
      <c r="A4100" s="237"/>
      <c r="E4100" s="234"/>
    </row>
    <row r="4101">
      <c r="A4101" s="237"/>
      <c r="E4101" s="234"/>
    </row>
    <row r="4102">
      <c r="A4102" s="237"/>
      <c r="E4102" s="234"/>
    </row>
    <row r="4103">
      <c r="A4103" s="237"/>
      <c r="E4103" s="234"/>
    </row>
    <row r="4104">
      <c r="A4104" s="237"/>
      <c r="E4104" s="234"/>
    </row>
    <row r="4105">
      <c r="A4105" s="237"/>
      <c r="E4105" s="234"/>
    </row>
    <row r="4106">
      <c r="A4106" s="237"/>
      <c r="E4106" s="234"/>
    </row>
    <row r="4107">
      <c r="A4107" s="237"/>
      <c r="E4107" s="234"/>
    </row>
    <row r="4108">
      <c r="A4108" s="237"/>
      <c r="E4108" s="234"/>
    </row>
    <row r="4109">
      <c r="A4109" s="237"/>
      <c r="E4109" s="234"/>
    </row>
    <row r="4110">
      <c r="A4110" s="237"/>
      <c r="E4110" s="234"/>
    </row>
    <row r="4111">
      <c r="A4111" s="237"/>
      <c r="E4111" s="234"/>
    </row>
    <row r="4112">
      <c r="A4112" s="237"/>
      <c r="E4112" s="234"/>
    </row>
    <row r="4113">
      <c r="A4113" s="237"/>
      <c r="E4113" s="234"/>
    </row>
    <row r="4114">
      <c r="A4114" s="237"/>
      <c r="E4114" s="234"/>
    </row>
    <row r="4115">
      <c r="A4115" s="237"/>
      <c r="E4115" s="234"/>
    </row>
    <row r="4116">
      <c r="A4116" s="237"/>
      <c r="E4116" s="234"/>
    </row>
    <row r="4117">
      <c r="A4117" s="237"/>
      <c r="E4117" s="234"/>
    </row>
    <row r="4118">
      <c r="A4118" s="237"/>
      <c r="E4118" s="234"/>
    </row>
    <row r="4119">
      <c r="A4119" s="237"/>
      <c r="E4119" s="234"/>
    </row>
    <row r="4120">
      <c r="A4120" s="237"/>
      <c r="E4120" s="234"/>
    </row>
    <row r="4121">
      <c r="A4121" s="237"/>
      <c r="E4121" s="234"/>
    </row>
    <row r="4122">
      <c r="A4122" s="237"/>
      <c r="E4122" s="234"/>
    </row>
    <row r="4123">
      <c r="A4123" s="237"/>
      <c r="E4123" s="234"/>
    </row>
    <row r="4124">
      <c r="A4124" s="237"/>
      <c r="E4124" s="234"/>
    </row>
    <row r="4125">
      <c r="A4125" s="237"/>
      <c r="E4125" s="234"/>
    </row>
    <row r="4126">
      <c r="A4126" s="237"/>
      <c r="E4126" s="234"/>
    </row>
    <row r="4127">
      <c r="A4127" s="237"/>
      <c r="E4127" s="234"/>
    </row>
    <row r="4128">
      <c r="A4128" s="237"/>
      <c r="E4128" s="234"/>
    </row>
    <row r="4129">
      <c r="A4129" s="237"/>
      <c r="E4129" s="234"/>
    </row>
    <row r="4130">
      <c r="A4130" s="237"/>
      <c r="E4130" s="234"/>
    </row>
    <row r="4131">
      <c r="A4131" s="237"/>
      <c r="E4131" s="234"/>
    </row>
    <row r="4132">
      <c r="A4132" s="237"/>
      <c r="E4132" s="234"/>
    </row>
    <row r="4133">
      <c r="A4133" s="237"/>
      <c r="E4133" s="234"/>
    </row>
    <row r="4134">
      <c r="A4134" s="237"/>
      <c r="E4134" s="234"/>
    </row>
    <row r="4135">
      <c r="A4135" s="237"/>
      <c r="E4135" s="234"/>
    </row>
    <row r="4136">
      <c r="A4136" s="237"/>
      <c r="E4136" s="234"/>
    </row>
    <row r="4137">
      <c r="A4137" s="237"/>
      <c r="E4137" s="234"/>
    </row>
    <row r="4138">
      <c r="A4138" s="237"/>
      <c r="E4138" s="234"/>
    </row>
    <row r="4139">
      <c r="A4139" s="237"/>
      <c r="E4139" s="234"/>
    </row>
    <row r="4140">
      <c r="A4140" s="237"/>
      <c r="E4140" s="234"/>
    </row>
    <row r="4141">
      <c r="A4141" s="237"/>
      <c r="E4141" s="234"/>
    </row>
    <row r="4142">
      <c r="A4142" s="237"/>
      <c r="E4142" s="234"/>
    </row>
    <row r="4143">
      <c r="A4143" s="237"/>
      <c r="E4143" s="234"/>
    </row>
    <row r="4144">
      <c r="A4144" s="237"/>
      <c r="E4144" s="234"/>
    </row>
    <row r="4145">
      <c r="A4145" s="237"/>
      <c r="E4145" s="234"/>
    </row>
    <row r="4146">
      <c r="A4146" s="237"/>
      <c r="E4146" s="234"/>
    </row>
    <row r="4147">
      <c r="A4147" s="237"/>
      <c r="E4147" s="234"/>
    </row>
    <row r="4148">
      <c r="A4148" s="237"/>
      <c r="E4148" s="234"/>
    </row>
    <row r="4149">
      <c r="A4149" s="237"/>
      <c r="E4149" s="234"/>
    </row>
    <row r="4150">
      <c r="A4150" s="237"/>
      <c r="E4150" s="234"/>
    </row>
    <row r="4151">
      <c r="A4151" s="237"/>
      <c r="E4151" s="234"/>
    </row>
    <row r="4152">
      <c r="A4152" s="237"/>
      <c r="E4152" s="234"/>
    </row>
    <row r="4153">
      <c r="A4153" s="237"/>
      <c r="E4153" s="234"/>
    </row>
    <row r="4154">
      <c r="A4154" s="237"/>
      <c r="E4154" s="234"/>
    </row>
    <row r="4155">
      <c r="A4155" s="237"/>
      <c r="E4155" s="234"/>
    </row>
    <row r="4156">
      <c r="A4156" s="237"/>
      <c r="E4156" s="234"/>
    </row>
    <row r="4157">
      <c r="A4157" s="237"/>
      <c r="E4157" s="234"/>
    </row>
    <row r="4158">
      <c r="A4158" s="237"/>
      <c r="E4158" s="234"/>
    </row>
    <row r="4159">
      <c r="A4159" s="237"/>
      <c r="E4159" s="234"/>
    </row>
    <row r="4160">
      <c r="A4160" s="237"/>
      <c r="E4160" s="234"/>
    </row>
    <row r="4161">
      <c r="A4161" s="237"/>
      <c r="E4161" s="234"/>
    </row>
    <row r="4162">
      <c r="A4162" s="237"/>
      <c r="E4162" s="234"/>
    </row>
    <row r="4163">
      <c r="A4163" s="237"/>
      <c r="E4163" s="234"/>
    </row>
    <row r="4164">
      <c r="A4164" s="237"/>
      <c r="E4164" s="234"/>
    </row>
    <row r="4165">
      <c r="A4165" s="237"/>
      <c r="E4165" s="234"/>
    </row>
    <row r="4166">
      <c r="A4166" s="237"/>
      <c r="E4166" s="234"/>
    </row>
    <row r="4167">
      <c r="A4167" s="237"/>
      <c r="E4167" s="234"/>
    </row>
    <row r="4168">
      <c r="A4168" s="237"/>
      <c r="E4168" s="234"/>
    </row>
    <row r="4169">
      <c r="A4169" s="237"/>
      <c r="E4169" s="234"/>
    </row>
    <row r="4170">
      <c r="A4170" s="237"/>
      <c r="E4170" s="234"/>
    </row>
    <row r="4171">
      <c r="A4171" s="237"/>
      <c r="E4171" s="234"/>
    </row>
    <row r="4172">
      <c r="A4172" s="237"/>
      <c r="E4172" s="234"/>
    </row>
    <row r="4173">
      <c r="A4173" s="237"/>
      <c r="E4173" s="234"/>
    </row>
    <row r="4174">
      <c r="A4174" s="237"/>
      <c r="E4174" s="234"/>
    </row>
    <row r="4175">
      <c r="A4175" s="237"/>
      <c r="E4175" s="234"/>
    </row>
    <row r="4176">
      <c r="A4176" s="237"/>
      <c r="E4176" s="234"/>
    </row>
    <row r="4177">
      <c r="A4177" s="237"/>
      <c r="E4177" s="234"/>
    </row>
    <row r="4178">
      <c r="A4178" s="237"/>
      <c r="E4178" s="234"/>
    </row>
    <row r="4179">
      <c r="A4179" s="237"/>
      <c r="E4179" s="234"/>
    </row>
    <row r="4180">
      <c r="A4180" s="237"/>
      <c r="E4180" s="234"/>
    </row>
    <row r="4181">
      <c r="A4181" s="237"/>
      <c r="E4181" s="234"/>
    </row>
    <row r="4182">
      <c r="A4182" s="237"/>
      <c r="E4182" s="234"/>
    </row>
    <row r="4183">
      <c r="A4183" s="237"/>
      <c r="E4183" s="234"/>
    </row>
    <row r="4184">
      <c r="A4184" s="237"/>
      <c r="E4184" s="234"/>
    </row>
    <row r="4185">
      <c r="A4185" s="237"/>
      <c r="E4185" s="234"/>
    </row>
    <row r="4186">
      <c r="A4186" s="237"/>
      <c r="E4186" s="234"/>
    </row>
    <row r="4187">
      <c r="A4187" s="237"/>
      <c r="E4187" s="234"/>
    </row>
    <row r="4188">
      <c r="A4188" s="237"/>
      <c r="E4188" s="234"/>
    </row>
    <row r="4189">
      <c r="A4189" s="237"/>
      <c r="E4189" s="234"/>
    </row>
    <row r="4190">
      <c r="A4190" s="237"/>
      <c r="E4190" s="234"/>
    </row>
    <row r="4191">
      <c r="A4191" s="237"/>
      <c r="E4191" s="234"/>
    </row>
    <row r="4192">
      <c r="A4192" s="237"/>
      <c r="E4192" s="234"/>
    </row>
    <row r="4193">
      <c r="A4193" s="237"/>
      <c r="E4193" s="234"/>
    </row>
    <row r="4194">
      <c r="A4194" s="237"/>
      <c r="E4194" s="234"/>
    </row>
    <row r="4195">
      <c r="A4195" s="237"/>
      <c r="E4195" s="234"/>
    </row>
    <row r="4196">
      <c r="A4196" s="237"/>
      <c r="E4196" s="234"/>
    </row>
    <row r="4197">
      <c r="A4197" s="237"/>
      <c r="E4197" s="234"/>
    </row>
    <row r="4198">
      <c r="A4198" s="237"/>
      <c r="E4198" s="234"/>
    </row>
    <row r="4199">
      <c r="A4199" s="237"/>
      <c r="E4199" s="234"/>
    </row>
    <row r="4200">
      <c r="A4200" s="237"/>
      <c r="E4200" s="234"/>
    </row>
    <row r="4201">
      <c r="A4201" s="237"/>
      <c r="E4201" s="234"/>
    </row>
    <row r="4202">
      <c r="A4202" s="237"/>
      <c r="E4202" s="234"/>
    </row>
    <row r="4203">
      <c r="A4203" s="237"/>
      <c r="E4203" s="234"/>
    </row>
    <row r="4204">
      <c r="A4204" s="237"/>
      <c r="E4204" s="234"/>
    </row>
    <row r="4205">
      <c r="A4205" s="237"/>
      <c r="E4205" s="234"/>
    </row>
    <row r="4206">
      <c r="A4206" s="237"/>
      <c r="E4206" s="234"/>
    </row>
    <row r="4207">
      <c r="A4207" s="237"/>
      <c r="E4207" s="234"/>
    </row>
    <row r="4208">
      <c r="A4208" s="237"/>
      <c r="E4208" s="234"/>
    </row>
    <row r="4209">
      <c r="A4209" s="237"/>
      <c r="E4209" s="234"/>
    </row>
    <row r="4210">
      <c r="A4210" s="237"/>
      <c r="E4210" s="234"/>
    </row>
    <row r="4211">
      <c r="A4211" s="237"/>
      <c r="E4211" s="234"/>
    </row>
    <row r="4212">
      <c r="A4212" s="237"/>
      <c r="E4212" s="234"/>
    </row>
    <row r="4213">
      <c r="A4213" s="237"/>
      <c r="E4213" s="234"/>
    </row>
    <row r="4214">
      <c r="A4214" s="237"/>
      <c r="E4214" s="234"/>
    </row>
    <row r="4215">
      <c r="A4215" s="237"/>
      <c r="E4215" s="234"/>
    </row>
    <row r="4216">
      <c r="A4216" s="237"/>
      <c r="E4216" s="234"/>
    </row>
    <row r="4217">
      <c r="A4217" s="237"/>
      <c r="E4217" s="234"/>
    </row>
    <row r="4218">
      <c r="A4218" s="237"/>
      <c r="E4218" s="234"/>
    </row>
    <row r="4219">
      <c r="A4219" s="237"/>
      <c r="E4219" s="234"/>
    </row>
    <row r="4220">
      <c r="A4220" s="237"/>
      <c r="E4220" s="234"/>
    </row>
    <row r="4221">
      <c r="A4221" s="237"/>
      <c r="E4221" s="234"/>
    </row>
    <row r="4222">
      <c r="A4222" s="237"/>
      <c r="E4222" s="234"/>
    </row>
    <row r="4223">
      <c r="A4223" s="237"/>
      <c r="E4223" s="234"/>
    </row>
    <row r="4224">
      <c r="A4224" s="237"/>
      <c r="E4224" s="234"/>
    </row>
    <row r="4225">
      <c r="A4225" s="237"/>
      <c r="E4225" s="234"/>
    </row>
    <row r="4226">
      <c r="A4226" s="237"/>
      <c r="E4226" s="234"/>
    </row>
    <row r="4227">
      <c r="A4227" s="237"/>
      <c r="E4227" s="234"/>
    </row>
    <row r="4228">
      <c r="A4228" s="237"/>
      <c r="E4228" s="234"/>
    </row>
    <row r="4229">
      <c r="A4229" s="237"/>
      <c r="E4229" s="234"/>
    </row>
    <row r="4230">
      <c r="A4230" s="237"/>
      <c r="E4230" s="234"/>
    </row>
    <row r="4231">
      <c r="A4231" s="237"/>
      <c r="E4231" s="234"/>
    </row>
    <row r="4232">
      <c r="A4232" s="237"/>
      <c r="E4232" s="234"/>
    </row>
    <row r="4233">
      <c r="A4233" s="237"/>
      <c r="E4233" s="234"/>
    </row>
    <row r="4234">
      <c r="A4234" s="237"/>
      <c r="E4234" s="234"/>
    </row>
    <row r="4235">
      <c r="A4235" s="237"/>
      <c r="E4235" s="234"/>
    </row>
    <row r="4236">
      <c r="A4236" s="237"/>
      <c r="E4236" s="234"/>
    </row>
    <row r="4237">
      <c r="A4237" s="237"/>
      <c r="E4237" s="234"/>
    </row>
    <row r="4238">
      <c r="A4238" s="237"/>
      <c r="E4238" s="234"/>
    </row>
    <row r="4239">
      <c r="A4239" s="237"/>
      <c r="E4239" s="234"/>
    </row>
    <row r="4240">
      <c r="A4240" s="237"/>
      <c r="E4240" s="234"/>
    </row>
    <row r="4241">
      <c r="A4241" s="237"/>
      <c r="E4241" s="234"/>
    </row>
    <row r="4242">
      <c r="A4242" s="237"/>
      <c r="E4242" s="234"/>
    </row>
    <row r="4243">
      <c r="A4243" s="237"/>
      <c r="E4243" s="234"/>
    </row>
    <row r="4244">
      <c r="A4244" s="237"/>
      <c r="E4244" s="234"/>
    </row>
    <row r="4245">
      <c r="A4245" s="237"/>
      <c r="E4245" s="234"/>
    </row>
    <row r="4246">
      <c r="A4246" s="237"/>
      <c r="E4246" s="234"/>
    </row>
    <row r="4247">
      <c r="A4247" s="237"/>
      <c r="E4247" s="234"/>
    </row>
    <row r="4248">
      <c r="A4248" s="237"/>
      <c r="E4248" s="234"/>
    </row>
    <row r="4249">
      <c r="A4249" s="237"/>
      <c r="E4249" s="234"/>
    </row>
    <row r="4250">
      <c r="A4250" s="237"/>
      <c r="E4250" s="234"/>
    </row>
    <row r="4251">
      <c r="A4251" s="237"/>
      <c r="E4251" s="234"/>
    </row>
    <row r="4252">
      <c r="A4252" s="237"/>
      <c r="E4252" s="234"/>
    </row>
    <row r="4253">
      <c r="A4253" s="237"/>
      <c r="E4253" s="234"/>
    </row>
    <row r="4254">
      <c r="A4254" s="237"/>
      <c r="E4254" s="234"/>
    </row>
    <row r="4255">
      <c r="A4255" s="237"/>
      <c r="E4255" s="234"/>
    </row>
    <row r="4256">
      <c r="A4256" s="237"/>
      <c r="E4256" s="234"/>
    </row>
    <row r="4257">
      <c r="A4257" s="237"/>
      <c r="E4257" s="234"/>
    </row>
    <row r="4258">
      <c r="A4258" s="237"/>
      <c r="E4258" s="234"/>
    </row>
    <row r="4259">
      <c r="A4259" s="237"/>
      <c r="E4259" s="234"/>
    </row>
    <row r="4260">
      <c r="A4260" s="237"/>
      <c r="E4260" s="234"/>
    </row>
    <row r="4261">
      <c r="A4261" s="237"/>
      <c r="E4261" s="234"/>
    </row>
    <row r="4262">
      <c r="A4262" s="237"/>
      <c r="E4262" s="234"/>
    </row>
    <row r="4263">
      <c r="A4263" s="237"/>
      <c r="E4263" s="234"/>
    </row>
    <row r="4264">
      <c r="A4264" s="237"/>
      <c r="E4264" s="234"/>
    </row>
    <row r="4265">
      <c r="A4265" s="237"/>
      <c r="E4265" s="234"/>
    </row>
    <row r="4266">
      <c r="A4266" s="237"/>
      <c r="E4266" s="234"/>
    </row>
    <row r="4267">
      <c r="A4267" s="237"/>
      <c r="E4267" s="234"/>
    </row>
    <row r="4268">
      <c r="A4268" s="237"/>
      <c r="E4268" s="234"/>
    </row>
    <row r="4269">
      <c r="A4269" s="237"/>
      <c r="E4269" s="234"/>
    </row>
    <row r="4270">
      <c r="A4270" s="237"/>
      <c r="E4270" s="234"/>
    </row>
    <row r="4271">
      <c r="A4271" s="237"/>
      <c r="E4271" s="234"/>
    </row>
    <row r="4272">
      <c r="A4272" s="237"/>
      <c r="E4272" s="234"/>
    </row>
    <row r="4273">
      <c r="A4273" s="237"/>
      <c r="E4273" s="234"/>
    </row>
    <row r="4274">
      <c r="A4274" s="237"/>
      <c r="E4274" s="234"/>
    </row>
    <row r="4275">
      <c r="A4275" s="237"/>
      <c r="E4275" s="234"/>
    </row>
    <row r="4276">
      <c r="A4276" s="237"/>
      <c r="E4276" s="234"/>
    </row>
    <row r="4277">
      <c r="A4277" s="237"/>
      <c r="E4277" s="234"/>
    </row>
    <row r="4278">
      <c r="A4278" s="237"/>
      <c r="E4278" s="234"/>
    </row>
    <row r="4279">
      <c r="A4279" s="237"/>
      <c r="E4279" s="234"/>
    </row>
    <row r="4280">
      <c r="A4280" s="237"/>
      <c r="E4280" s="234"/>
    </row>
    <row r="4281">
      <c r="A4281" s="237"/>
      <c r="E4281" s="234"/>
    </row>
    <row r="4282">
      <c r="A4282" s="237"/>
      <c r="E4282" s="234"/>
    </row>
    <row r="4283">
      <c r="A4283" s="237"/>
      <c r="E4283" s="234"/>
    </row>
    <row r="4284">
      <c r="A4284" s="237"/>
      <c r="E4284" s="234"/>
    </row>
    <row r="4285">
      <c r="A4285" s="237"/>
      <c r="E4285" s="234"/>
    </row>
    <row r="4286">
      <c r="A4286" s="237"/>
      <c r="E4286" s="234"/>
    </row>
    <row r="4287">
      <c r="A4287" s="237"/>
      <c r="E4287" s="234"/>
    </row>
    <row r="4288">
      <c r="A4288" s="237"/>
      <c r="E4288" s="234"/>
    </row>
    <row r="4289">
      <c r="A4289" s="237"/>
      <c r="E4289" s="234"/>
    </row>
    <row r="4290">
      <c r="A4290" s="237"/>
      <c r="E4290" s="234"/>
    </row>
    <row r="4291">
      <c r="A4291" s="237"/>
      <c r="E4291" s="234"/>
    </row>
    <row r="4292">
      <c r="A4292" s="237"/>
      <c r="E4292" s="234"/>
    </row>
    <row r="4293">
      <c r="A4293" s="237"/>
      <c r="E4293" s="234"/>
    </row>
    <row r="4294">
      <c r="A4294" s="237"/>
      <c r="E4294" s="234"/>
    </row>
    <row r="4295">
      <c r="A4295" s="237"/>
      <c r="E4295" s="234"/>
    </row>
    <row r="4296">
      <c r="A4296" s="237"/>
      <c r="E4296" s="234"/>
    </row>
    <row r="4297">
      <c r="A4297" s="237"/>
      <c r="E4297" s="234"/>
    </row>
    <row r="4298">
      <c r="A4298" s="237"/>
      <c r="E4298" s="234"/>
    </row>
    <row r="4299">
      <c r="A4299" s="237"/>
      <c r="E4299" s="234"/>
    </row>
    <row r="4300">
      <c r="A4300" s="237"/>
      <c r="E4300" s="234"/>
    </row>
    <row r="4301">
      <c r="A4301" s="237"/>
      <c r="E4301" s="234"/>
    </row>
    <row r="4302">
      <c r="A4302" s="237"/>
      <c r="E4302" s="234"/>
    </row>
    <row r="4303">
      <c r="A4303" s="237"/>
      <c r="E4303" s="234"/>
    </row>
    <row r="4304">
      <c r="A4304" s="237"/>
      <c r="E4304" s="234"/>
    </row>
    <row r="4305">
      <c r="A4305" s="237"/>
      <c r="E4305" s="234"/>
    </row>
    <row r="4306">
      <c r="A4306" s="237"/>
      <c r="E4306" s="234"/>
    </row>
    <row r="4307">
      <c r="A4307" s="237"/>
      <c r="E4307" s="234"/>
    </row>
    <row r="4308">
      <c r="A4308" s="237"/>
      <c r="E4308" s="234"/>
    </row>
    <row r="4309">
      <c r="A4309" s="237"/>
      <c r="E4309" s="234"/>
    </row>
    <row r="4310">
      <c r="A4310" s="237"/>
      <c r="E4310" s="234"/>
    </row>
    <row r="4311">
      <c r="A4311" s="237"/>
      <c r="E4311" s="234"/>
    </row>
    <row r="4312">
      <c r="A4312" s="237"/>
      <c r="E4312" s="234"/>
    </row>
    <row r="4313">
      <c r="A4313" s="237"/>
      <c r="E4313" s="234"/>
    </row>
    <row r="4314">
      <c r="A4314" s="237"/>
      <c r="E4314" s="234"/>
    </row>
    <row r="4315">
      <c r="A4315" s="237"/>
      <c r="E4315" s="234"/>
    </row>
    <row r="4316">
      <c r="A4316" s="237"/>
      <c r="E4316" s="234"/>
    </row>
    <row r="4317">
      <c r="A4317" s="237"/>
      <c r="E4317" s="234"/>
    </row>
    <row r="4318">
      <c r="A4318" s="237"/>
      <c r="E4318" s="234"/>
    </row>
    <row r="4319">
      <c r="A4319" s="237"/>
      <c r="E4319" s="234"/>
    </row>
    <row r="4320">
      <c r="A4320" s="237"/>
      <c r="E4320" s="234"/>
    </row>
    <row r="4321">
      <c r="A4321" s="237"/>
      <c r="E4321" s="234"/>
    </row>
    <row r="4322">
      <c r="A4322" s="237"/>
      <c r="E4322" s="234"/>
    </row>
    <row r="4323">
      <c r="A4323" s="237"/>
      <c r="E4323" s="234"/>
    </row>
    <row r="4324">
      <c r="A4324" s="237"/>
      <c r="E4324" s="234"/>
    </row>
    <row r="4325">
      <c r="A4325" s="237"/>
      <c r="E4325" s="234"/>
    </row>
    <row r="4326">
      <c r="A4326" s="237"/>
      <c r="E4326" s="234"/>
    </row>
    <row r="4327">
      <c r="A4327" s="237"/>
      <c r="E4327" s="234"/>
    </row>
    <row r="4328">
      <c r="A4328" s="237"/>
      <c r="E4328" s="234"/>
    </row>
    <row r="4329">
      <c r="A4329" s="237"/>
      <c r="E4329" s="234"/>
    </row>
    <row r="4330">
      <c r="A4330" s="237"/>
      <c r="E4330" s="234"/>
    </row>
    <row r="4331">
      <c r="A4331" s="237"/>
      <c r="E4331" s="234"/>
    </row>
    <row r="4332">
      <c r="A4332" s="237"/>
      <c r="E4332" s="234"/>
    </row>
    <row r="4333">
      <c r="A4333" s="237"/>
      <c r="E4333" s="234"/>
    </row>
    <row r="4334">
      <c r="A4334" s="237"/>
      <c r="E4334" s="234"/>
    </row>
    <row r="4335">
      <c r="A4335" s="237"/>
      <c r="E4335" s="234"/>
    </row>
    <row r="4336">
      <c r="A4336" s="237"/>
      <c r="E4336" s="234"/>
    </row>
    <row r="4337">
      <c r="A4337" s="237"/>
      <c r="E4337" s="234"/>
    </row>
    <row r="4338">
      <c r="A4338" s="237"/>
      <c r="E4338" s="234"/>
    </row>
    <row r="4339">
      <c r="A4339" s="237"/>
      <c r="E4339" s="234"/>
    </row>
    <row r="4340">
      <c r="A4340" s="237"/>
      <c r="E4340" s="234"/>
    </row>
    <row r="4341">
      <c r="A4341" s="237"/>
      <c r="E4341" s="234"/>
    </row>
    <row r="4342">
      <c r="A4342" s="237"/>
      <c r="E4342" s="234"/>
    </row>
    <row r="4343">
      <c r="A4343" s="237"/>
      <c r="E4343" s="234"/>
    </row>
    <row r="4344">
      <c r="A4344" s="237"/>
      <c r="E4344" s="234"/>
    </row>
    <row r="4345">
      <c r="A4345" s="237"/>
      <c r="E4345" s="234"/>
    </row>
    <row r="4346">
      <c r="A4346" s="237"/>
      <c r="E4346" s="234"/>
    </row>
    <row r="4347">
      <c r="A4347" s="237"/>
      <c r="E4347" s="234"/>
    </row>
    <row r="4348">
      <c r="A4348" s="237"/>
      <c r="E4348" s="234"/>
    </row>
    <row r="4349">
      <c r="A4349" s="237"/>
      <c r="E4349" s="234"/>
    </row>
    <row r="4350">
      <c r="A4350" s="237"/>
      <c r="E4350" s="234"/>
    </row>
    <row r="4351">
      <c r="A4351" s="237"/>
      <c r="E4351" s="234"/>
    </row>
    <row r="4352">
      <c r="A4352" s="237"/>
      <c r="E4352" s="234"/>
    </row>
    <row r="4353">
      <c r="A4353" s="237"/>
      <c r="E4353" s="234"/>
    </row>
    <row r="4354">
      <c r="A4354" s="237"/>
      <c r="E4354" s="234"/>
    </row>
    <row r="4355">
      <c r="A4355" s="237"/>
      <c r="E4355" s="234"/>
    </row>
    <row r="4356">
      <c r="A4356" s="237"/>
      <c r="E4356" s="234"/>
    </row>
    <row r="4357">
      <c r="A4357" s="237"/>
      <c r="E4357" s="234"/>
    </row>
    <row r="4358">
      <c r="A4358" s="237"/>
      <c r="E4358" s="234"/>
    </row>
    <row r="4359">
      <c r="A4359" s="237"/>
      <c r="E4359" s="234"/>
    </row>
    <row r="4360">
      <c r="A4360" s="237"/>
      <c r="E4360" s="234"/>
    </row>
    <row r="4361">
      <c r="A4361" s="237"/>
      <c r="E4361" s="234"/>
    </row>
    <row r="4362">
      <c r="A4362" s="237"/>
      <c r="E4362" s="234"/>
    </row>
    <row r="4363">
      <c r="A4363" s="237"/>
      <c r="E4363" s="234"/>
    </row>
    <row r="4364">
      <c r="A4364" s="237"/>
      <c r="E4364" s="234"/>
    </row>
    <row r="4365">
      <c r="A4365" s="237"/>
      <c r="E4365" s="234"/>
    </row>
    <row r="4366">
      <c r="A4366" s="237"/>
      <c r="E4366" s="234"/>
    </row>
    <row r="4367">
      <c r="A4367" s="237"/>
      <c r="E4367" s="234"/>
    </row>
    <row r="4368">
      <c r="A4368" s="237"/>
      <c r="E4368" s="234"/>
    </row>
    <row r="4369">
      <c r="A4369" s="237"/>
      <c r="E4369" s="234"/>
    </row>
    <row r="4370">
      <c r="A4370" s="237"/>
      <c r="E4370" s="234"/>
    </row>
    <row r="4371">
      <c r="A4371" s="237"/>
      <c r="E4371" s="234"/>
    </row>
    <row r="4372">
      <c r="A4372" s="237"/>
      <c r="E4372" s="234"/>
    </row>
    <row r="4373">
      <c r="A4373" s="237"/>
      <c r="E4373" s="234"/>
    </row>
    <row r="4374">
      <c r="A4374" s="237"/>
      <c r="E4374" s="234"/>
    </row>
    <row r="4375">
      <c r="A4375" s="237"/>
      <c r="E4375" s="234"/>
    </row>
    <row r="4376">
      <c r="A4376" s="237"/>
      <c r="E4376" s="234"/>
    </row>
    <row r="4377">
      <c r="A4377" s="237"/>
      <c r="E4377" s="234"/>
    </row>
    <row r="4378">
      <c r="A4378" s="237"/>
      <c r="E4378" s="234"/>
    </row>
    <row r="4379">
      <c r="A4379" s="237"/>
      <c r="E4379" s="234"/>
    </row>
    <row r="4380">
      <c r="A4380" s="237"/>
      <c r="E4380" s="234"/>
    </row>
    <row r="4381">
      <c r="A4381" s="237"/>
      <c r="E4381" s="234"/>
    </row>
    <row r="4382">
      <c r="A4382" s="237"/>
      <c r="E4382" s="234"/>
    </row>
    <row r="4383">
      <c r="A4383" s="237"/>
      <c r="E4383" s="234"/>
    </row>
    <row r="4384">
      <c r="A4384" s="237"/>
      <c r="E4384" s="234"/>
    </row>
    <row r="4385">
      <c r="A4385" s="237"/>
      <c r="E4385" s="234"/>
    </row>
    <row r="4386">
      <c r="A4386" s="237"/>
      <c r="E4386" s="234"/>
    </row>
    <row r="4387">
      <c r="A4387" s="237"/>
      <c r="E4387" s="234"/>
    </row>
    <row r="4388">
      <c r="A4388" s="237"/>
      <c r="E4388" s="234"/>
    </row>
    <row r="4389">
      <c r="A4389" s="237"/>
      <c r="E4389" s="234"/>
    </row>
    <row r="4390">
      <c r="A4390" s="237"/>
      <c r="E4390" s="234"/>
    </row>
    <row r="4391">
      <c r="A4391" s="237"/>
      <c r="E4391" s="234"/>
    </row>
    <row r="4392">
      <c r="A4392" s="237"/>
      <c r="E4392" s="234"/>
    </row>
    <row r="4393">
      <c r="A4393" s="237"/>
      <c r="E4393" s="234"/>
    </row>
    <row r="4394">
      <c r="A4394" s="237"/>
      <c r="E4394" s="234"/>
    </row>
    <row r="4395">
      <c r="A4395" s="237"/>
      <c r="E4395" s="234"/>
    </row>
    <row r="4396">
      <c r="A4396" s="237"/>
      <c r="E4396" s="234"/>
    </row>
    <row r="4397">
      <c r="A4397" s="237"/>
      <c r="E4397" s="234"/>
    </row>
    <row r="4398">
      <c r="A4398" s="237"/>
      <c r="E4398" s="234"/>
    </row>
    <row r="4399">
      <c r="A4399" s="237"/>
      <c r="E4399" s="234"/>
    </row>
    <row r="4400">
      <c r="A4400" s="237"/>
      <c r="E4400" s="234"/>
    </row>
    <row r="4401">
      <c r="A4401" s="237"/>
      <c r="E4401" s="234"/>
    </row>
    <row r="4402">
      <c r="A4402" s="237"/>
      <c r="E4402" s="234"/>
    </row>
    <row r="4403">
      <c r="A4403" s="237"/>
      <c r="E4403" s="234"/>
    </row>
    <row r="4404">
      <c r="A4404" s="237"/>
      <c r="E4404" s="234"/>
    </row>
    <row r="4405">
      <c r="A4405" s="237"/>
      <c r="E4405" s="234"/>
    </row>
    <row r="4406">
      <c r="A4406" s="237"/>
      <c r="E4406" s="234"/>
    </row>
    <row r="4407">
      <c r="A4407" s="237"/>
      <c r="E4407" s="234"/>
    </row>
    <row r="4408">
      <c r="A4408" s="237"/>
      <c r="E4408" s="234"/>
    </row>
    <row r="4409">
      <c r="A4409" s="237"/>
      <c r="E4409" s="234"/>
    </row>
    <row r="4410">
      <c r="A4410" s="237"/>
      <c r="E4410" s="234"/>
    </row>
    <row r="4411">
      <c r="A4411" s="237"/>
      <c r="E4411" s="234"/>
    </row>
    <row r="4412">
      <c r="A4412" s="237"/>
      <c r="E4412" s="234"/>
    </row>
    <row r="4413">
      <c r="A4413" s="237"/>
      <c r="E4413" s="234"/>
    </row>
    <row r="4414">
      <c r="A4414" s="237"/>
      <c r="E4414" s="234"/>
    </row>
    <row r="4415">
      <c r="A4415" s="237"/>
      <c r="E4415" s="234"/>
    </row>
    <row r="4416">
      <c r="A4416" s="237"/>
      <c r="E4416" s="234"/>
    </row>
    <row r="4417">
      <c r="A4417" s="237"/>
      <c r="E4417" s="234"/>
    </row>
    <row r="4418">
      <c r="A4418" s="237"/>
      <c r="E4418" s="234"/>
    </row>
    <row r="4419">
      <c r="A4419" s="237"/>
      <c r="E4419" s="234"/>
    </row>
    <row r="4420">
      <c r="A4420" s="237"/>
      <c r="E4420" s="234"/>
    </row>
    <row r="4421">
      <c r="A4421" s="237"/>
      <c r="E4421" s="234"/>
    </row>
    <row r="4422">
      <c r="A4422" s="237"/>
      <c r="E4422" s="234"/>
    </row>
    <row r="4423">
      <c r="A4423" s="237"/>
      <c r="E4423" s="234"/>
    </row>
    <row r="4424">
      <c r="A4424" s="237"/>
      <c r="E4424" s="234"/>
    </row>
    <row r="4425">
      <c r="A4425" s="237"/>
      <c r="E4425" s="234"/>
    </row>
    <row r="4426">
      <c r="A4426" s="237"/>
      <c r="E4426" s="234"/>
    </row>
    <row r="4427">
      <c r="A4427" s="237"/>
      <c r="E4427" s="234"/>
    </row>
    <row r="4428">
      <c r="A4428" s="237"/>
      <c r="E4428" s="234"/>
    </row>
    <row r="4429">
      <c r="A4429" s="237"/>
      <c r="E4429" s="234"/>
    </row>
    <row r="4430">
      <c r="A4430" s="237"/>
      <c r="E4430" s="234"/>
    </row>
    <row r="4431">
      <c r="A4431" s="237"/>
      <c r="E4431" s="234"/>
    </row>
    <row r="4432">
      <c r="A4432" s="237"/>
      <c r="E4432" s="234"/>
    </row>
    <row r="4433">
      <c r="A4433" s="237"/>
      <c r="E4433" s="234"/>
    </row>
    <row r="4434">
      <c r="A4434" s="237"/>
      <c r="E4434" s="234"/>
    </row>
    <row r="4435">
      <c r="A4435" s="237"/>
      <c r="E4435" s="234"/>
    </row>
    <row r="4436">
      <c r="A4436" s="237"/>
      <c r="E4436" s="234"/>
    </row>
    <row r="4437">
      <c r="A4437" s="237"/>
      <c r="E4437" s="234"/>
    </row>
    <row r="4438">
      <c r="A4438" s="237"/>
      <c r="E4438" s="234"/>
    </row>
    <row r="4439">
      <c r="A4439" s="237"/>
      <c r="E4439" s="234"/>
    </row>
    <row r="4440">
      <c r="A4440" s="237"/>
      <c r="E4440" s="234"/>
    </row>
    <row r="4441">
      <c r="A4441" s="237"/>
      <c r="E4441" s="234"/>
    </row>
    <row r="4442">
      <c r="A4442" s="237"/>
      <c r="E4442" s="234"/>
    </row>
    <row r="4443">
      <c r="A4443" s="237"/>
      <c r="E4443" s="234"/>
    </row>
    <row r="4444">
      <c r="A4444" s="237"/>
      <c r="E4444" s="234"/>
    </row>
    <row r="4445">
      <c r="A4445" s="237"/>
      <c r="E4445" s="234"/>
    </row>
    <row r="4446">
      <c r="A4446" s="237"/>
      <c r="E4446" s="234"/>
    </row>
    <row r="4447">
      <c r="A4447" s="237"/>
      <c r="E4447" s="234"/>
    </row>
    <row r="4448">
      <c r="A4448" s="237"/>
      <c r="E4448" s="234"/>
    </row>
    <row r="4449">
      <c r="A4449" s="237"/>
      <c r="E4449" s="234"/>
    </row>
    <row r="4450">
      <c r="A4450" s="237"/>
      <c r="E4450" s="234"/>
    </row>
    <row r="4451">
      <c r="A4451" s="237"/>
      <c r="E4451" s="234"/>
    </row>
    <row r="4452">
      <c r="A4452" s="237"/>
      <c r="E4452" s="234"/>
    </row>
    <row r="4453">
      <c r="A4453" s="237"/>
      <c r="E4453" s="234"/>
    </row>
    <row r="4454">
      <c r="A4454" s="237"/>
      <c r="E4454" s="234"/>
    </row>
    <row r="4455">
      <c r="A4455" s="237"/>
      <c r="E4455" s="234"/>
    </row>
    <row r="4456">
      <c r="A4456" s="237"/>
      <c r="E4456" s="234"/>
    </row>
    <row r="4457">
      <c r="A4457" s="237"/>
      <c r="E4457" s="234"/>
    </row>
    <row r="4458">
      <c r="A4458" s="237"/>
      <c r="E4458" s="234"/>
    </row>
    <row r="4459">
      <c r="A4459" s="237"/>
      <c r="E4459" s="234"/>
    </row>
    <row r="4460">
      <c r="A4460" s="237"/>
      <c r="E4460" s="234"/>
    </row>
    <row r="4461">
      <c r="A4461" s="237"/>
      <c r="E4461" s="234"/>
    </row>
    <row r="4462">
      <c r="A4462" s="237"/>
      <c r="E4462" s="234"/>
    </row>
    <row r="4463">
      <c r="A4463" s="237"/>
      <c r="E4463" s="234"/>
    </row>
    <row r="4464">
      <c r="A4464" s="237"/>
      <c r="E4464" s="234"/>
    </row>
    <row r="4465">
      <c r="A4465" s="237"/>
      <c r="E4465" s="234"/>
    </row>
    <row r="4466">
      <c r="A4466" s="237"/>
      <c r="E4466" s="234"/>
    </row>
    <row r="4467">
      <c r="A4467" s="237"/>
      <c r="E4467" s="234"/>
    </row>
    <row r="4468">
      <c r="A4468" s="237"/>
      <c r="E4468" s="234"/>
    </row>
    <row r="4469">
      <c r="A4469" s="237"/>
      <c r="E4469" s="234"/>
    </row>
    <row r="4470">
      <c r="A4470" s="237"/>
      <c r="E4470" s="234"/>
    </row>
    <row r="4471">
      <c r="A4471" s="237"/>
      <c r="E4471" s="234"/>
    </row>
    <row r="4472">
      <c r="A4472" s="237"/>
      <c r="E4472" s="234"/>
    </row>
    <row r="4473">
      <c r="A4473" s="237"/>
      <c r="E4473" s="234"/>
    </row>
    <row r="4474">
      <c r="A4474" s="237"/>
      <c r="E4474" s="234"/>
    </row>
    <row r="4475">
      <c r="A4475" s="237"/>
      <c r="E4475" s="234"/>
    </row>
    <row r="4476">
      <c r="A4476" s="237"/>
      <c r="E4476" s="234"/>
    </row>
    <row r="4477">
      <c r="A4477" s="237"/>
      <c r="E4477" s="234"/>
    </row>
    <row r="4478">
      <c r="A4478" s="237"/>
      <c r="E4478" s="234"/>
    </row>
    <row r="4479">
      <c r="A4479" s="237"/>
      <c r="E4479" s="234"/>
    </row>
    <row r="4480">
      <c r="A4480" s="237"/>
      <c r="E4480" s="234"/>
    </row>
    <row r="4481">
      <c r="A4481" s="237"/>
      <c r="E4481" s="234"/>
    </row>
    <row r="4482">
      <c r="A4482" s="237"/>
      <c r="E4482" s="234"/>
    </row>
    <row r="4483">
      <c r="A4483" s="237"/>
      <c r="E4483" s="234"/>
    </row>
    <row r="4484">
      <c r="A4484" s="237"/>
      <c r="E4484" s="234"/>
    </row>
    <row r="4485">
      <c r="A4485" s="237"/>
      <c r="E4485" s="234"/>
    </row>
    <row r="4486">
      <c r="A4486" s="237"/>
      <c r="E4486" s="234"/>
    </row>
    <row r="4487">
      <c r="A4487" s="237"/>
      <c r="E4487" s="234"/>
    </row>
    <row r="4488">
      <c r="A4488" s="237"/>
      <c r="E4488" s="234"/>
    </row>
    <row r="4489">
      <c r="A4489" s="237"/>
      <c r="E4489" s="234"/>
    </row>
    <row r="4490">
      <c r="A4490" s="237"/>
      <c r="E4490" s="234"/>
    </row>
    <row r="4491">
      <c r="A4491" s="237"/>
      <c r="E4491" s="234"/>
    </row>
    <row r="4492">
      <c r="A4492" s="237"/>
      <c r="E4492" s="234"/>
    </row>
    <row r="4493">
      <c r="A4493" s="237"/>
      <c r="E4493" s="234"/>
    </row>
    <row r="4494">
      <c r="A4494" s="237"/>
      <c r="E4494" s="234"/>
    </row>
    <row r="4495">
      <c r="A4495" s="237"/>
      <c r="E4495" s="234"/>
    </row>
    <row r="4496">
      <c r="A4496" s="237"/>
      <c r="E4496" s="234"/>
    </row>
    <row r="4497">
      <c r="A4497" s="237"/>
      <c r="E4497" s="234"/>
    </row>
    <row r="4498">
      <c r="A4498" s="237"/>
      <c r="E4498" s="234"/>
    </row>
    <row r="4499">
      <c r="A4499" s="237"/>
      <c r="E4499" s="234"/>
    </row>
    <row r="4500">
      <c r="A4500" s="237"/>
      <c r="E4500" s="234"/>
    </row>
    <row r="4501">
      <c r="A4501" s="237"/>
      <c r="E4501" s="234"/>
    </row>
    <row r="4502">
      <c r="A4502" s="237"/>
      <c r="E4502" s="234"/>
    </row>
    <row r="4503">
      <c r="A4503" s="237"/>
      <c r="E4503" s="234"/>
    </row>
    <row r="4504">
      <c r="A4504" s="237"/>
      <c r="E4504" s="234"/>
    </row>
    <row r="4505">
      <c r="A4505" s="237"/>
      <c r="E4505" s="234"/>
    </row>
    <row r="4506">
      <c r="A4506" s="237"/>
      <c r="E4506" s="234"/>
    </row>
    <row r="4507">
      <c r="A4507" s="237"/>
      <c r="E4507" s="234"/>
    </row>
    <row r="4508">
      <c r="A4508" s="237"/>
      <c r="E4508" s="234"/>
    </row>
    <row r="4509">
      <c r="A4509" s="237"/>
      <c r="E4509" s="234"/>
    </row>
    <row r="4510">
      <c r="A4510" s="237"/>
      <c r="E4510" s="234"/>
    </row>
    <row r="4511">
      <c r="A4511" s="237"/>
      <c r="E4511" s="234"/>
    </row>
    <row r="4512">
      <c r="A4512" s="237"/>
      <c r="E4512" s="234"/>
    </row>
    <row r="4513">
      <c r="A4513" s="237"/>
      <c r="E4513" s="234"/>
    </row>
    <row r="4514">
      <c r="A4514" s="237"/>
      <c r="E4514" s="234"/>
    </row>
    <row r="4515">
      <c r="A4515" s="237"/>
      <c r="E4515" s="234"/>
    </row>
    <row r="4516">
      <c r="A4516" s="237"/>
      <c r="E4516" s="234"/>
    </row>
    <row r="4517">
      <c r="A4517" s="237"/>
      <c r="E4517" s="234"/>
    </row>
    <row r="4518">
      <c r="A4518" s="237"/>
      <c r="E4518" s="234"/>
    </row>
    <row r="4519">
      <c r="A4519" s="237"/>
      <c r="E4519" s="234"/>
    </row>
    <row r="4520">
      <c r="A4520" s="237"/>
      <c r="E4520" s="234"/>
    </row>
    <row r="4521">
      <c r="A4521" s="237"/>
      <c r="E4521" s="234"/>
    </row>
    <row r="4522">
      <c r="A4522" s="237"/>
      <c r="E4522" s="234"/>
    </row>
    <row r="4523">
      <c r="A4523" s="237"/>
      <c r="E4523" s="234"/>
    </row>
    <row r="4524">
      <c r="A4524" s="237"/>
      <c r="E4524" s="234"/>
    </row>
    <row r="4525">
      <c r="A4525" s="237"/>
      <c r="E4525" s="234"/>
    </row>
    <row r="4526">
      <c r="A4526" s="237"/>
      <c r="E4526" s="234"/>
    </row>
    <row r="4527">
      <c r="A4527" s="237"/>
      <c r="E4527" s="234"/>
    </row>
    <row r="4528">
      <c r="A4528" s="237"/>
      <c r="E4528" s="234"/>
    </row>
    <row r="4529">
      <c r="A4529" s="237"/>
      <c r="E4529" s="234"/>
    </row>
    <row r="4530">
      <c r="A4530" s="237"/>
      <c r="E4530" s="234"/>
    </row>
    <row r="4531">
      <c r="A4531" s="237"/>
      <c r="E4531" s="234"/>
    </row>
    <row r="4532">
      <c r="A4532" s="237"/>
      <c r="E4532" s="234"/>
    </row>
    <row r="4533">
      <c r="A4533" s="237"/>
      <c r="E4533" s="234"/>
    </row>
    <row r="4534">
      <c r="A4534" s="237"/>
      <c r="E4534" s="234"/>
    </row>
    <row r="4535">
      <c r="A4535" s="237"/>
      <c r="E4535" s="234"/>
    </row>
    <row r="4536">
      <c r="A4536" s="237"/>
      <c r="E4536" s="234"/>
    </row>
    <row r="4537">
      <c r="A4537" s="237"/>
      <c r="E4537" s="234"/>
    </row>
    <row r="4538">
      <c r="A4538" s="237"/>
      <c r="E4538" s="234"/>
    </row>
    <row r="4539">
      <c r="A4539" s="237"/>
      <c r="E4539" s="234"/>
    </row>
    <row r="4540">
      <c r="A4540" s="237"/>
      <c r="E4540" s="234"/>
    </row>
    <row r="4541">
      <c r="A4541" s="237"/>
      <c r="E4541" s="234"/>
    </row>
    <row r="4542">
      <c r="A4542" s="237"/>
      <c r="E4542" s="234"/>
    </row>
    <row r="4543">
      <c r="A4543" s="237"/>
      <c r="E4543" s="234"/>
    </row>
    <row r="4544">
      <c r="A4544" s="237"/>
      <c r="E4544" s="234"/>
    </row>
    <row r="4545">
      <c r="A4545" s="237"/>
      <c r="E4545" s="234"/>
    </row>
    <row r="4546">
      <c r="A4546" s="237"/>
      <c r="E4546" s="234"/>
    </row>
    <row r="4547">
      <c r="A4547" s="237"/>
      <c r="E4547" s="234"/>
    </row>
    <row r="4548">
      <c r="A4548" s="237"/>
      <c r="E4548" s="234"/>
    </row>
    <row r="4549">
      <c r="A4549" s="237"/>
      <c r="E4549" s="234"/>
    </row>
    <row r="4550">
      <c r="A4550" s="237"/>
      <c r="E4550" s="234"/>
    </row>
    <row r="4551">
      <c r="A4551" s="237"/>
      <c r="E4551" s="234"/>
    </row>
    <row r="4552">
      <c r="A4552" s="237"/>
      <c r="E4552" s="234"/>
    </row>
    <row r="4553">
      <c r="A4553" s="237"/>
      <c r="E4553" s="234"/>
    </row>
    <row r="4554">
      <c r="A4554" s="237"/>
      <c r="E4554" s="234"/>
    </row>
    <row r="4555">
      <c r="A4555" s="237"/>
      <c r="E4555" s="234"/>
    </row>
    <row r="4556">
      <c r="A4556" s="237"/>
      <c r="E4556" s="234"/>
    </row>
    <row r="4557">
      <c r="A4557" s="237"/>
      <c r="E4557" s="234"/>
    </row>
    <row r="4558">
      <c r="A4558" s="237"/>
      <c r="E4558" s="234"/>
    </row>
    <row r="4559">
      <c r="A4559" s="237"/>
      <c r="E4559" s="234"/>
    </row>
    <row r="4560">
      <c r="A4560" s="237"/>
      <c r="E4560" s="234"/>
    </row>
    <row r="4561">
      <c r="A4561" s="237"/>
      <c r="E4561" s="234"/>
    </row>
    <row r="4562">
      <c r="A4562" s="237"/>
      <c r="E4562" s="234"/>
    </row>
    <row r="4563">
      <c r="A4563" s="237"/>
      <c r="E4563" s="234"/>
    </row>
    <row r="4564">
      <c r="A4564" s="237"/>
      <c r="E4564" s="234"/>
    </row>
    <row r="4565">
      <c r="A4565" s="237"/>
      <c r="E4565" s="234"/>
    </row>
    <row r="4566">
      <c r="A4566" s="237"/>
      <c r="E4566" s="234"/>
    </row>
    <row r="4567">
      <c r="A4567" s="237"/>
      <c r="E4567" s="234"/>
    </row>
    <row r="4568">
      <c r="A4568" s="237"/>
      <c r="E4568" s="234"/>
    </row>
    <row r="4569">
      <c r="A4569" s="237"/>
      <c r="E4569" s="234"/>
    </row>
    <row r="4570">
      <c r="A4570" s="237"/>
      <c r="E4570" s="234"/>
    </row>
    <row r="4571">
      <c r="A4571" s="237"/>
      <c r="E4571" s="234"/>
    </row>
    <row r="4572">
      <c r="A4572" s="237"/>
      <c r="E4572" s="234"/>
    </row>
    <row r="4573">
      <c r="A4573" s="237"/>
      <c r="E4573" s="234"/>
    </row>
    <row r="4574">
      <c r="A4574" s="237"/>
      <c r="E4574" s="234"/>
    </row>
    <row r="4575">
      <c r="A4575" s="237"/>
      <c r="E4575" s="234"/>
    </row>
    <row r="4576">
      <c r="A4576" s="237"/>
      <c r="E4576" s="234"/>
    </row>
    <row r="4577">
      <c r="A4577" s="237"/>
      <c r="E4577" s="234"/>
    </row>
    <row r="4578">
      <c r="A4578" s="237"/>
      <c r="E4578" s="234"/>
    </row>
    <row r="4579">
      <c r="A4579" s="237"/>
      <c r="E4579" s="234"/>
    </row>
    <row r="4580">
      <c r="A4580" s="237"/>
      <c r="E4580" s="234"/>
    </row>
    <row r="4581">
      <c r="A4581" s="237"/>
      <c r="E4581" s="234"/>
    </row>
    <row r="4582">
      <c r="A4582" s="237"/>
      <c r="E4582" s="234"/>
    </row>
    <row r="4583">
      <c r="A4583" s="237"/>
      <c r="E4583" s="234"/>
    </row>
    <row r="4584">
      <c r="A4584" s="237"/>
      <c r="E4584" s="234"/>
    </row>
    <row r="4585">
      <c r="A4585" s="237"/>
      <c r="E4585" s="234"/>
    </row>
    <row r="4586">
      <c r="A4586" s="237"/>
      <c r="E4586" s="234"/>
    </row>
    <row r="4587">
      <c r="A4587" s="237"/>
      <c r="E4587" s="234"/>
    </row>
    <row r="4588">
      <c r="A4588" s="237"/>
      <c r="E4588" s="234"/>
    </row>
    <row r="4589">
      <c r="A4589" s="237"/>
      <c r="E4589" s="234"/>
    </row>
    <row r="4590">
      <c r="A4590" s="237"/>
      <c r="E4590" s="234"/>
    </row>
    <row r="4591">
      <c r="A4591" s="237"/>
      <c r="E4591" s="234"/>
    </row>
    <row r="4592">
      <c r="A4592" s="237"/>
      <c r="E4592" s="234"/>
    </row>
    <row r="4593">
      <c r="A4593" s="237"/>
      <c r="E4593" s="234"/>
    </row>
    <row r="4594">
      <c r="A4594" s="237"/>
      <c r="E4594" s="234"/>
    </row>
    <row r="4595">
      <c r="A4595" s="237"/>
      <c r="E4595" s="234"/>
    </row>
    <row r="4596">
      <c r="A4596" s="237"/>
      <c r="E4596" s="234"/>
    </row>
    <row r="4597">
      <c r="A4597" s="237"/>
      <c r="E4597" s="234"/>
    </row>
    <row r="4598">
      <c r="A4598" s="237"/>
      <c r="E4598" s="234"/>
    </row>
    <row r="4599">
      <c r="A4599" s="237"/>
      <c r="E4599" s="234"/>
    </row>
    <row r="4600">
      <c r="A4600" s="237"/>
      <c r="E4600" s="234"/>
    </row>
    <row r="4601">
      <c r="A4601" s="237"/>
      <c r="E4601" s="234"/>
    </row>
    <row r="4602">
      <c r="A4602" s="237"/>
      <c r="E4602" s="234"/>
    </row>
    <row r="4603">
      <c r="A4603" s="237"/>
      <c r="E4603" s="234"/>
    </row>
    <row r="4604">
      <c r="A4604" s="237"/>
      <c r="E4604" s="234"/>
    </row>
    <row r="4605">
      <c r="A4605" s="237"/>
      <c r="E4605" s="234"/>
    </row>
    <row r="4606">
      <c r="A4606" s="237"/>
      <c r="E4606" s="234"/>
    </row>
    <row r="4607">
      <c r="A4607" s="237"/>
      <c r="E4607" s="234"/>
    </row>
    <row r="4608">
      <c r="A4608" s="237"/>
      <c r="E4608" s="234"/>
    </row>
    <row r="4609">
      <c r="A4609" s="237"/>
      <c r="E4609" s="234"/>
    </row>
    <row r="4610">
      <c r="A4610" s="237"/>
      <c r="E4610" s="234"/>
    </row>
    <row r="4611">
      <c r="A4611" s="237"/>
      <c r="E4611" s="234"/>
    </row>
    <row r="4612">
      <c r="A4612" s="237"/>
      <c r="E4612" s="234"/>
    </row>
    <row r="4613">
      <c r="A4613" s="237"/>
      <c r="E4613" s="234"/>
    </row>
    <row r="4614">
      <c r="A4614" s="237"/>
      <c r="E4614" s="234"/>
    </row>
    <row r="4615">
      <c r="A4615" s="237"/>
      <c r="E4615" s="234"/>
    </row>
    <row r="4616">
      <c r="A4616" s="237"/>
      <c r="E4616" s="234"/>
    </row>
    <row r="4617">
      <c r="A4617" s="237"/>
      <c r="E4617" s="234"/>
    </row>
    <row r="4618">
      <c r="A4618" s="237"/>
      <c r="E4618" s="234"/>
    </row>
    <row r="4619">
      <c r="A4619" s="237"/>
      <c r="E4619" s="234"/>
    </row>
    <row r="4620">
      <c r="A4620" s="237"/>
      <c r="E4620" s="234"/>
    </row>
    <row r="4621">
      <c r="A4621" s="237"/>
      <c r="E4621" s="234"/>
    </row>
    <row r="4622">
      <c r="A4622" s="237"/>
      <c r="E4622" s="234"/>
    </row>
    <row r="4623">
      <c r="A4623" s="237"/>
      <c r="E4623" s="234"/>
    </row>
    <row r="4624">
      <c r="A4624" s="237"/>
      <c r="E4624" s="234"/>
    </row>
    <row r="4625">
      <c r="A4625" s="237"/>
      <c r="E4625" s="234"/>
    </row>
    <row r="4626">
      <c r="A4626" s="237"/>
      <c r="E4626" s="234"/>
    </row>
    <row r="4627">
      <c r="A4627" s="237"/>
      <c r="E4627" s="234"/>
    </row>
    <row r="4628">
      <c r="A4628" s="237"/>
      <c r="E4628" s="234"/>
    </row>
    <row r="4629">
      <c r="A4629" s="237"/>
      <c r="E4629" s="234"/>
    </row>
    <row r="4630">
      <c r="A4630" s="237"/>
      <c r="E4630" s="234"/>
    </row>
    <row r="4631">
      <c r="A4631" s="237"/>
      <c r="E4631" s="234"/>
    </row>
    <row r="4632">
      <c r="A4632" s="237"/>
      <c r="E4632" s="234"/>
    </row>
    <row r="4633">
      <c r="A4633" s="237"/>
      <c r="E4633" s="234"/>
    </row>
    <row r="4634">
      <c r="A4634" s="237"/>
      <c r="E4634" s="234"/>
    </row>
    <row r="4635">
      <c r="A4635" s="237"/>
      <c r="E4635" s="234"/>
    </row>
    <row r="4636">
      <c r="A4636" s="237"/>
      <c r="E4636" s="234"/>
    </row>
    <row r="4637">
      <c r="A4637" s="237"/>
      <c r="E4637" s="234"/>
    </row>
    <row r="4638">
      <c r="A4638" s="237"/>
      <c r="E4638" s="234"/>
    </row>
    <row r="4639">
      <c r="A4639" s="237"/>
      <c r="E4639" s="234"/>
    </row>
    <row r="4640">
      <c r="A4640" s="237"/>
      <c r="E4640" s="234"/>
    </row>
    <row r="4641">
      <c r="A4641" s="237"/>
      <c r="E4641" s="234"/>
    </row>
    <row r="4642">
      <c r="A4642" s="237"/>
      <c r="E4642" s="234"/>
    </row>
    <row r="4643">
      <c r="A4643" s="237"/>
      <c r="E4643" s="234"/>
    </row>
    <row r="4644">
      <c r="A4644" s="237"/>
      <c r="E4644" s="234"/>
    </row>
    <row r="4645">
      <c r="A4645" s="237"/>
      <c r="E4645" s="234"/>
    </row>
    <row r="4646">
      <c r="A4646" s="237"/>
      <c r="E4646" s="234"/>
    </row>
    <row r="4647">
      <c r="A4647" s="237"/>
      <c r="E4647" s="234"/>
    </row>
    <row r="4648">
      <c r="A4648" s="237"/>
      <c r="E4648" s="234"/>
    </row>
    <row r="4649">
      <c r="A4649" s="237"/>
      <c r="E4649" s="234"/>
    </row>
    <row r="4650">
      <c r="A4650" s="237"/>
      <c r="E4650" s="234"/>
    </row>
    <row r="4651">
      <c r="A4651" s="237"/>
      <c r="E4651" s="234"/>
    </row>
    <row r="4652">
      <c r="A4652" s="237"/>
      <c r="E4652" s="234"/>
    </row>
    <row r="4653">
      <c r="A4653" s="237"/>
      <c r="E4653" s="234"/>
    </row>
    <row r="4654">
      <c r="A4654" s="237"/>
      <c r="E4654" s="234"/>
    </row>
    <row r="4655">
      <c r="A4655" s="237"/>
      <c r="E4655" s="234"/>
    </row>
    <row r="4656">
      <c r="A4656" s="237"/>
      <c r="E4656" s="234"/>
    </row>
    <row r="4657">
      <c r="A4657" s="237"/>
      <c r="E4657" s="234"/>
    </row>
    <row r="4658">
      <c r="A4658" s="237"/>
      <c r="E4658" s="234"/>
    </row>
    <row r="4659">
      <c r="A4659" s="237"/>
      <c r="E4659" s="234"/>
    </row>
    <row r="4660">
      <c r="A4660" s="237"/>
      <c r="E4660" s="234"/>
    </row>
    <row r="4661">
      <c r="A4661" s="237"/>
      <c r="E4661" s="234"/>
    </row>
    <row r="4662">
      <c r="A4662" s="237"/>
      <c r="E4662" s="234"/>
    </row>
    <row r="4663">
      <c r="A4663" s="237"/>
      <c r="E4663" s="234"/>
    </row>
    <row r="4664">
      <c r="A4664" s="237"/>
      <c r="E4664" s="234"/>
    </row>
    <row r="4665">
      <c r="A4665" s="237"/>
      <c r="E4665" s="234"/>
    </row>
    <row r="4666">
      <c r="A4666" s="237"/>
      <c r="E4666" s="234"/>
    </row>
    <row r="4667">
      <c r="A4667" s="237"/>
      <c r="E4667" s="234"/>
    </row>
    <row r="4668">
      <c r="A4668" s="237"/>
      <c r="E4668" s="234"/>
    </row>
    <row r="4669">
      <c r="A4669" s="237"/>
      <c r="E4669" s="234"/>
    </row>
    <row r="4670">
      <c r="A4670" s="237"/>
      <c r="E4670" s="234"/>
    </row>
    <row r="4671">
      <c r="A4671" s="237"/>
      <c r="E4671" s="234"/>
    </row>
    <row r="4672">
      <c r="A4672" s="237"/>
      <c r="E4672" s="234"/>
    </row>
    <row r="4673">
      <c r="A4673" s="237"/>
      <c r="E4673" s="234"/>
    </row>
    <row r="4674">
      <c r="A4674" s="237"/>
      <c r="E4674" s="234"/>
    </row>
    <row r="4675">
      <c r="A4675" s="237"/>
      <c r="E4675" s="234"/>
    </row>
    <row r="4676">
      <c r="A4676" s="237"/>
      <c r="E4676" s="234"/>
    </row>
    <row r="4677">
      <c r="A4677" s="237"/>
      <c r="E4677" s="234"/>
    </row>
    <row r="4678">
      <c r="A4678" s="237"/>
      <c r="E4678" s="234"/>
    </row>
    <row r="4679">
      <c r="A4679" s="237"/>
      <c r="E4679" s="234"/>
    </row>
    <row r="4680">
      <c r="A4680" s="237"/>
      <c r="E4680" s="234"/>
    </row>
    <row r="4681">
      <c r="A4681" s="237"/>
      <c r="E4681" s="234"/>
    </row>
    <row r="4682">
      <c r="A4682" s="237"/>
      <c r="E4682" s="234"/>
    </row>
    <row r="4683">
      <c r="A4683" s="237"/>
      <c r="E4683" s="234"/>
    </row>
    <row r="4684">
      <c r="A4684" s="237"/>
      <c r="E4684" s="234"/>
    </row>
    <row r="4685">
      <c r="A4685" s="237"/>
      <c r="E4685" s="234"/>
    </row>
    <row r="4686">
      <c r="A4686" s="237"/>
      <c r="E4686" s="234"/>
    </row>
    <row r="4687">
      <c r="A4687" s="237"/>
      <c r="E4687" s="234"/>
    </row>
    <row r="4688">
      <c r="A4688" s="237"/>
      <c r="E4688" s="234"/>
    </row>
    <row r="4689">
      <c r="A4689" s="237"/>
      <c r="E4689" s="234"/>
    </row>
    <row r="4690">
      <c r="A4690" s="237"/>
      <c r="E4690" s="234"/>
    </row>
    <row r="4691">
      <c r="A4691" s="237"/>
      <c r="E4691" s="234"/>
    </row>
    <row r="4692">
      <c r="A4692" s="237"/>
      <c r="E4692" s="234"/>
    </row>
    <row r="4693">
      <c r="A4693" s="237"/>
      <c r="E4693" s="234"/>
    </row>
    <row r="4694">
      <c r="A4694" s="237"/>
      <c r="E4694" s="234"/>
    </row>
    <row r="4695">
      <c r="A4695" s="237"/>
      <c r="E4695" s="234"/>
    </row>
    <row r="4696">
      <c r="A4696" s="237"/>
      <c r="E4696" s="234"/>
    </row>
    <row r="4697">
      <c r="A4697" s="237"/>
      <c r="E4697" s="234"/>
    </row>
    <row r="4698">
      <c r="A4698" s="237"/>
      <c r="E4698" s="234"/>
    </row>
    <row r="4699">
      <c r="A4699" s="237"/>
      <c r="E4699" s="234"/>
    </row>
    <row r="4700">
      <c r="A4700" s="237"/>
      <c r="E4700" s="234"/>
    </row>
    <row r="4701">
      <c r="A4701" s="237"/>
      <c r="E4701" s="234"/>
    </row>
    <row r="4702">
      <c r="A4702" s="237"/>
      <c r="E4702" s="234"/>
    </row>
    <row r="4703">
      <c r="A4703" s="237"/>
      <c r="E4703" s="234"/>
    </row>
    <row r="4704">
      <c r="A4704" s="237"/>
      <c r="E4704" s="234"/>
    </row>
    <row r="4705">
      <c r="A4705" s="237"/>
      <c r="E4705" s="234"/>
    </row>
    <row r="4706">
      <c r="A4706" s="237"/>
      <c r="E4706" s="234"/>
    </row>
    <row r="4707">
      <c r="A4707" s="237"/>
      <c r="E4707" s="234"/>
    </row>
    <row r="4708">
      <c r="A4708" s="237"/>
      <c r="E4708" s="234"/>
    </row>
    <row r="4709">
      <c r="A4709" s="237"/>
      <c r="E4709" s="234"/>
    </row>
    <row r="4710">
      <c r="A4710" s="237"/>
      <c r="E4710" s="234"/>
    </row>
    <row r="4711">
      <c r="A4711" s="237"/>
      <c r="E4711" s="234"/>
    </row>
    <row r="4712">
      <c r="A4712" s="237"/>
      <c r="E4712" s="234"/>
    </row>
    <row r="4713">
      <c r="A4713" s="237"/>
      <c r="E4713" s="234"/>
    </row>
    <row r="4714">
      <c r="A4714" s="237"/>
      <c r="E4714" s="234"/>
    </row>
    <row r="4715">
      <c r="A4715" s="237"/>
      <c r="E4715" s="234"/>
    </row>
    <row r="4716">
      <c r="A4716" s="237"/>
      <c r="E4716" s="234"/>
    </row>
    <row r="4717">
      <c r="A4717" s="237"/>
      <c r="E4717" s="234"/>
    </row>
    <row r="4718">
      <c r="A4718" s="237"/>
      <c r="E4718" s="234"/>
    </row>
    <row r="4719">
      <c r="A4719" s="237"/>
      <c r="E4719" s="234"/>
    </row>
    <row r="4720">
      <c r="A4720" s="237"/>
      <c r="E4720" s="234"/>
    </row>
    <row r="4721">
      <c r="A4721" s="237"/>
      <c r="E4721" s="234"/>
    </row>
    <row r="4722">
      <c r="A4722" s="237"/>
      <c r="E4722" s="234"/>
    </row>
    <row r="4723">
      <c r="A4723" s="237"/>
      <c r="E4723" s="234"/>
    </row>
    <row r="4724">
      <c r="A4724" s="237"/>
      <c r="E4724" s="234"/>
    </row>
    <row r="4725">
      <c r="A4725" s="237"/>
      <c r="E4725" s="234"/>
    </row>
    <row r="4726">
      <c r="A4726" s="237"/>
      <c r="E4726" s="234"/>
    </row>
    <row r="4727">
      <c r="A4727" s="237"/>
      <c r="E4727" s="234"/>
    </row>
    <row r="4728">
      <c r="A4728" s="237"/>
      <c r="E4728" s="234"/>
    </row>
    <row r="4729">
      <c r="A4729" s="237"/>
      <c r="E4729" s="234"/>
    </row>
    <row r="4730">
      <c r="A4730" s="237"/>
      <c r="E4730" s="234"/>
    </row>
    <row r="4731">
      <c r="A4731" s="237"/>
      <c r="E4731" s="234"/>
    </row>
    <row r="4732">
      <c r="A4732" s="237"/>
      <c r="E4732" s="234"/>
    </row>
    <row r="4733">
      <c r="A4733" s="237"/>
      <c r="E4733" s="234"/>
    </row>
    <row r="4734">
      <c r="A4734" s="237"/>
      <c r="E4734" s="234"/>
    </row>
    <row r="4735">
      <c r="A4735" s="237"/>
      <c r="E4735" s="234"/>
    </row>
    <row r="4736">
      <c r="A4736" s="237"/>
      <c r="E4736" s="234"/>
    </row>
    <row r="4737">
      <c r="A4737" s="237"/>
      <c r="E4737" s="234"/>
    </row>
    <row r="4738">
      <c r="A4738" s="237"/>
      <c r="E4738" s="234"/>
    </row>
    <row r="4739">
      <c r="A4739" s="237"/>
      <c r="E4739" s="234"/>
    </row>
    <row r="4740">
      <c r="A4740" s="237"/>
      <c r="E4740" s="234"/>
    </row>
    <row r="4741">
      <c r="A4741" s="237"/>
      <c r="E4741" s="234"/>
    </row>
    <row r="4742">
      <c r="A4742" s="237"/>
      <c r="E4742" s="234"/>
    </row>
    <row r="4743">
      <c r="A4743" s="237"/>
      <c r="E4743" s="234"/>
    </row>
    <row r="4744">
      <c r="A4744" s="237"/>
      <c r="E4744" s="234"/>
    </row>
    <row r="4745">
      <c r="A4745" s="237"/>
      <c r="E4745" s="234"/>
    </row>
    <row r="4746">
      <c r="A4746" s="237"/>
      <c r="E4746" s="234"/>
    </row>
    <row r="4747">
      <c r="A4747" s="237"/>
      <c r="E4747" s="234"/>
    </row>
    <row r="4748">
      <c r="A4748" s="237"/>
      <c r="E4748" s="234"/>
    </row>
    <row r="4749">
      <c r="A4749" s="237"/>
      <c r="E4749" s="234"/>
    </row>
    <row r="4750">
      <c r="A4750" s="237"/>
      <c r="E4750" s="234"/>
    </row>
    <row r="4751">
      <c r="A4751" s="237"/>
      <c r="E4751" s="234"/>
    </row>
    <row r="4752">
      <c r="A4752" s="237"/>
      <c r="E4752" s="234"/>
    </row>
    <row r="4753">
      <c r="A4753" s="237"/>
      <c r="E4753" s="234"/>
    </row>
    <row r="4754">
      <c r="A4754" s="237"/>
      <c r="E4754" s="234"/>
    </row>
    <row r="4755">
      <c r="A4755" s="237"/>
      <c r="E4755" s="234"/>
    </row>
    <row r="4756">
      <c r="A4756" s="237"/>
      <c r="E4756" s="234"/>
    </row>
    <row r="4757">
      <c r="A4757" s="237"/>
      <c r="E4757" s="234"/>
    </row>
    <row r="4758">
      <c r="A4758" s="237"/>
      <c r="E4758" s="234"/>
    </row>
    <row r="4759">
      <c r="A4759" s="237"/>
      <c r="E4759" s="234"/>
    </row>
    <row r="4760">
      <c r="A4760" s="237"/>
      <c r="E4760" s="234"/>
    </row>
    <row r="4761">
      <c r="A4761" s="237"/>
      <c r="E4761" s="234"/>
    </row>
    <row r="4762">
      <c r="A4762" s="237"/>
      <c r="E4762" s="234"/>
    </row>
    <row r="4763">
      <c r="A4763" s="237"/>
      <c r="E4763" s="234"/>
    </row>
    <row r="4764">
      <c r="A4764" s="237"/>
      <c r="E4764" s="234"/>
    </row>
    <row r="4765">
      <c r="A4765" s="237"/>
      <c r="E4765" s="234"/>
    </row>
    <row r="4766">
      <c r="A4766" s="237"/>
      <c r="E4766" s="234"/>
    </row>
    <row r="4767">
      <c r="A4767" s="237"/>
      <c r="E4767" s="234"/>
    </row>
    <row r="4768">
      <c r="A4768" s="237"/>
      <c r="E4768" s="234"/>
    </row>
    <row r="4769">
      <c r="A4769" s="237"/>
      <c r="E4769" s="234"/>
    </row>
    <row r="4770">
      <c r="A4770" s="237"/>
      <c r="E4770" s="234"/>
    </row>
    <row r="4771">
      <c r="A4771" s="237"/>
      <c r="E4771" s="234"/>
    </row>
    <row r="4772">
      <c r="A4772" s="237"/>
      <c r="E4772" s="234"/>
    </row>
    <row r="4773">
      <c r="A4773" s="237"/>
      <c r="E4773" s="234"/>
    </row>
    <row r="4774">
      <c r="A4774" s="237"/>
      <c r="E4774" s="234"/>
    </row>
    <row r="4775">
      <c r="A4775" s="237"/>
      <c r="E4775" s="234"/>
    </row>
    <row r="4776">
      <c r="A4776" s="237"/>
      <c r="E4776" s="234"/>
    </row>
    <row r="4777">
      <c r="A4777" s="237"/>
      <c r="E4777" s="234"/>
    </row>
    <row r="4778">
      <c r="A4778" s="237"/>
      <c r="E4778" s="234"/>
    </row>
    <row r="4779">
      <c r="A4779" s="237"/>
      <c r="E4779" s="234"/>
    </row>
    <row r="4780">
      <c r="A4780" s="237"/>
      <c r="E4780" s="234"/>
    </row>
    <row r="4781">
      <c r="A4781" s="237"/>
      <c r="E4781" s="234"/>
    </row>
    <row r="4782">
      <c r="A4782" s="237"/>
      <c r="E4782" s="234"/>
    </row>
    <row r="4783">
      <c r="A4783" s="237"/>
      <c r="E4783" s="234"/>
    </row>
    <row r="4784">
      <c r="A4784" s="237"/>
      <c r="E4784" s="234"/>
    </row>
    <row r="4785">
      <c r="A4785" s="237"/>
      <c r="E4785" s="234"/>
    </row>
    <row r="4786">
      <c r="A4786" s="237"/>
      <c r="E4786" s="234"/>
    </row>
    <row r="4787">
      <c r="A4787" s="237"/>
      <c r="E4787" s="234"/>
    </row>
    <row r="4788">
      <c r="A4788" s="237"/>
      <c r="E4788" s="234"/>
    </row>
    <row r="4789">
      <c r="A4789" s="237"/>
      <c r="E4789" s="234"/>
    </row>
    <row r="4790">
      <c r="A4790" s="237"/>
      <c r="E4790" s="234"/>
    </row>
    <row r="4791">
      <c r="A4791" s="237"/>
      <c r="E4791" s="234"/>
    </row>
    <row r="4792">
      <c r="A4792" s="237"/>
      <c r="E4792" s="234"/>
    </row>
    <row r="4793">
      <c r="A4793" s="237"/>
      <c r="E4793" s="234"/>
    </row>
    <row r="4794">
      <c r="A4794" s="237"/>
      <c r="E4794" s="234"/>
    </row>
    <row r="4795">
      <c r="A4795" s="237"/>
      <c r="E4795" s="234"/>
    </row>
    <row r="4796">
      <c r="A4796" s="237"/>
      <c r="E4796" s="234"/>
    </row>
    <row r="4797">
      <c r="A4797" s="237"/>
      <c r="E4797" s="234"/>
    </row>
    <row r="4798">
      <c r="A4798" s="237"/>
      <c r="E4798" s="234"/>
    </row>
    <row r="4799">
      <c r="A4799" s="237"/>
      <c r="E4799" s="234"/>
    </row>
    <row r="4800">
      <c r="A4800" s="237"/>
      <c r="E4800" s="234"/>
    </row>
    <row r="4801">
      <c r="A4801" s="237"/>
      <c r="E4801" s="234"/>
    </row>
    <row r="4802">
      <c r="A4802" s="237"/>
      <c r="E4802" s="234"/>
    </row>
    <row r="4803">
      <c r="A4803" s="237"/>
      <c r="E4803" s="234"/>
    </row>
    <row r="4804">
      <c r="A4804" s="237"/>
      <c r="E4804" s="234"/>
    </row>
    <row r="4805">
      <c r="A4805" s="237"/>
      <c r="E4805" s="234"/>
    </row>
    <row r="4806">
      <c r="A4806" s="237"/>
      <c r="E4806" s="234"/>
    </row>
    <row r="4807">
      <c r="A4807" s="237"/>
      <c r="E4807" s="234"/>
    </row>
    <row r="4808">
      <c r="A4808" s="237"/>
      <c r="E4808" s="234"/>
    </row>
    <row r="4809">
      <c r="A4809" s="237"/>
      <c r="E4809" s="234"/>
    </row>
    <row r="4810">
      <c r="A4810" s="237"/>
      <c r="E4810" s="234"/>
    </row>
    <row r="4811">
      <c r="A4811" s="237"/>
      <c r="E4811" s="234"/>
    </row>
    <row r="4812">
      <c r="A4812" s="237"/>
      <c r="E4812" s="234"/>
    </row>
    <row r="4813">
      <c r="A4813" s="237"/>
      <c r="E4813" s="234"/>
    </row>
    <row r="4814">
      <c r="A4814" s="237"/>
      <c r="E4814" s="234"/>
    </row>
    <row r="4815">
      <c r="A4815" s="237"/>
      <c r="E4815" s="234"/>
    </row>
    <row r="4816">
      <c r="A4816" s="237"/>
      <c r="E4816" s="234"/>
    </row>
    <row r="4817">
      <c r="A4817" s="237"/>
      <c r="E4817" s="234"/>
    </row>
    <row r="4818">
      <c r="A4818" s="237"/>
      <c r="E4818" s="234"/>
    </row>
    <row r="4819">
      <c r="A4819" s="237"/>
      <c r="E4819" s="234"/>
    </row>
    <row r="4820">
      <c r="A4820" s="237"/>
      <c r="E4820" s="234"/>
    </row>
    <row r="4821">
      <c r="A4821" s="237"/>
      <c r="E4821" s="234"/>
    </row>
    <row r="4822">
      <c r="A4822" s="237"/>
      <c r="E4822" s="234"/>
    </row>
    <row r="4823">
      <c r="A4823" s="237"/>
      <c r="E4823" s="234"/>
    </row>
    <row r="4824">
      <c r="A4824" s="237"/>
      <c r="E4824" s="234"/>
    </row>
    <row r="4825">
      <c r="A4825" s="237"/>
      <c r="E4825" s="234"/>
    </row>
    <row r="4826">
      <c r="A4826" s="237"/>
      <c r="E4826" s="234"/>
    </row>
    <row r="4827">
      <c r="A4827" s="237"/>
      <c r="E4827" s="234"/>
    </row>
    <row r="4828">
      <c r="A4828" s="237"/>
      <c r="E4828" s="234"/>
    </row>
    <row r="4829">
      <c r="A4829" s="237"/>
      <c r="E4829" s="234"/>
    </row>
    <row r="4830">
      <c r="A4830" s="237"/>
      <c r="E4830" s="234"/>
    </row>
    <row r="4831">
      <c r="A4831" s="237"/>
      <c r="E4831" s="234"/>
    </row>
    <row r="4832">
      <c r="A4832" s="237"/>
      <c r="E4832" s="234"/>
    </row>
    <row r="4833">
      <c r="A4833" s="237"/>
      <c r="E4833" s="234"/>
    </row>
    <row r="4834">
      <c r="A4834" s="237"/>
      <c r="E4834" s="234"/>
    </row>
    <row r="4835">
      <c r="A4835" s="237"/>
      <c r="E4835" s="234"/>
    </row>
    <row r="4836">
      <c r="A4836" s="237"/>
      <c r="E4836" s="234"/>
    </row>
    <row r="4837">
      <c r="A4837" s="237"/>
      <c r="E4837" s="234"/>
    </row>
    <row r="4838">
      <c r="A4838" s="237"/>
      <c r="E4838" s="234"/>
    </row>
    <row r="4839">
      <c r="A4839" s="237"/>
      <c r="E4839" s="234"/>
    </row>
    <row r="4840">
      <c r="A4840" s="237"/>
      <c r="E4840" s="234"/>
    </row>
    <row r="4841">
      <c r="A4841" s="237"/>
      <c r="E4841" s="234"/>
    </row>
    <row r="4842">
      <c r="A4842" s="237"/>
      <c r="E4842" s="234"/>
    </row>
    <row r="4843">
      <c r="A4843" s="237"/>
      <c r="E4843" s="234"/>
    </row>
    <row r="4844">
      <c r="A4844" s="237"/>
      <c r="E4844" s="234"/>
    </row>
    <row r="4845">
      <c r="A4845" s="237"/>
      <c r="E4845" s="234"/>
    </row>
    <row r="4846">
      <c r="A4846" s="237"/>
      <c r="E4846" s="234"/>
    </row>
    <row r="4847">
      <c r="A4847" s="237"/>
      <c r="E4847" s="234"/>
    </row>
    <row r="4848">
      <c r="A4848" s="237"/>
      <c r="E4848" s="234"/>
    </row>
    <row r="4849">
      <c r="A4849" s="237"/>
      <c r="E4849" s="234"/>
    </row>
    <row r="4850">
      <c r="A4850" s="237"/>
      <c r="E4850" s="234"/>
    </row>
    <row r="4851">
      <c r="A4851" s="237"/>
      <c r="E4851" s="234"/>
    </row>
    <row r="4852">
      <c r="A4852" s="237"/>
      <c r="E4852" s="234"/>
    </row>
    <row r="4853">
      <c r="A4853" s="237"/>
      <c r="E4853" s="234"/>
    </row>
    <row r="4854">
      <c r="A4854" s="237"/>
      <c r="E4854" s="234"/>
    </row>
    <row r="4855">
      <c r="A4855" s="237"/>
      <c r="E4855" s="234"/>
    </row>
    <row r="4856">
      <c r="A4856" s="237"/>
      <c r="E4856" s="234"/>
    </row>
    <row r="4857">
      <c r="A4857" s="237"/>
      <c r="E4857" s="234"/>
    </row>
    <row r="4858">
      <c r="A4858" s="237"/>
      <c r="E4858" s="234"/>
    </row>
    <row r="4859">
      <c r="A4859" s="237"/>
      <c r="E4859" s="234"/>
    </row>
    <row r="4860">
      <c r="A4860" s="237"/>
      <c r="E4860" s="234"/>
    </row>
    <row r="4861">
      <c r="A4861" s="237"/>
      <c r="E4861" s="234"/>
    </row>
    <row r="4862">
      <c r="A4862" s="237"/>
      <c r="E4862" s="234"/>
    </row>
    <row r="4863">
      <c r="A4863" s="237"/>
      <c r="E4863" s="234"/>
    </row>
    <row r="4864">
      <c r="A4864" s="237"/>
      <c r="E4864" s="234"/>
    </row>
    <row r="4865">
      <c r="A4865" s="237"/>
      <c r="E4865" s="234"/>
    </row>
    <row r="4866">
      <c r="A4866" s="237"/>
      <c r="E4866" s="234"/>
    </row>
    <row r="4867">
      <c r="A4867" s="237"/>
      <c r="E4867" s="234"/>
    </row>
    <row r="4868">
      <c r="A4868" s="237"/>
      <c r="E4868" s="234"/>
    </row>
    <row r="4869">
      <c r="A4869" s="237"/>
      <c r="E4869" s="234"/>
    </row>
    <row r="4870">
      <c r="A4870" s="237"/>
      <c r="E4870" s="234"/>
    </row>
    <row r="4871">
      <c r="A4871" s="237"/>
      <c r="E4871" s="234"/>
    </row>
    <row r="4872">
      <c r="A4872" s="237"/>
      <c r="E4872" s="234"/>
    </row>
    <row r="4873">
      <c r="A4873" s="237"/>
      <c r="E4873" s="234"/>
    </row>
    <row r="4874">
      <c r="A4874" s="237"/>
      <c r="E4874" s="234"/>
    </row>
    <row r="4875">
      <c r="A4875" s="237"/>
      <c r="E4875" s="234"/>
    </row>
    <row r="4876">
      <c r="A4876" s="237"/>
      <c r="E4876" s="234"/>
    </row>
    <row r="4877">
      <c r="A4877" s="237"/>
      <c r="E4877" s="234"/>
    </row>
    <row r="4878">
      <c r="A4878" s="237"/>
      <c r="E4878" s="234"/>
    </row>
    <row r="4879">
      <c r="A4879" s="237"/>
      <c r="E4879" s="234"/>
    </row>
    <row r="4880">
      <c r="A4880" s="237"/>
      <c r="E4880" s="234"/>
    </row>
    <row r="4881">
      <c r="A4881" s="237"/>
      <c r="E4881" s="234"/>
    </row>
    <row r="4882">
      <c r="A4882" s="237"/>
      <c r="E4882" s="234"/>
    </row>
    <row r="4883">
      <c r="A4883" s="237"/>
      <c r="E4883" s="234"/>
    </row>
    <row r="4884">
      <c r="A4884" s="237"/>
      <c r="E4884" s="234"/>
    </row>
    <row r="4885">
      <c r="A4885" s="237"/>
      <c r="E4885" s="234"/>
    </row>
    <row r="4886">
      <c r="A4886" s="237"/>
      <c r="E4886" s="234"/>
    </row>
    <row r="4887">
      <c r="A4887" s="237"/>
      <c r="E4887" s="234"/>
    </row>
    <row r="4888">
      <c r="A4888" s="237"/>
      <c r="E4888" s="234"/>
    </row>
    <row r="4889">
      <c r="A4889" s="237"/>
      <c r="E4889" s="234"/>
    </row>
    <row r="4890">
      <c r="A4890" s="237"/>
      <c r="E4890" s="234"/>
    </row>
    <row r="4891">
      <c r="A4891" s="237"/>
      <c r="E4891" s="234"/>
    </row>
    <row r="4892">
      <c r="A4892" s="237"/>
      <c r="E4892" s="234"/>
    </row>
    <row r="4893">
      <c r="A4893" s="237"/>
      <c r="E4893" s="234"/>
    </row>
    <row r="4894">
      <c r="A4894" s="237"/>
      <c r="E4894" s="234"/>
    </row>
    <row r="4895">
      <c r="A4895" s="237"/>
      <c r="E4895" s="234"/>
    </row>
    <row r="4896">
      <c r="A4896" s="237"/>
      <c r="E4896" s="234"/>
    </row>
    <row r="4897">
      <c r="A4897" s="237"/>
      <c r="E4897" s="234"/>
    </row>
    <row r="4898">
      <c r="A4898" s="237"/>
      <c r="E4898" s="234"/>
    </row>
    <row r="4899">
      <c r="A4899" s="237"/>
      <c r="E4899" s="234"/>
    </row>
    <row r="4900">
      <c r="A4900" s="237"/>
      <c r="E4900" s="234"/>
    </row>
    <row r="4901">
      <c r="A4901" s="237"/>
      <c r="E4901" s="234"/>
    </row>
    <row r="4902">
      <c r="A4902" s="237"/>
      <c r="E4902" s="234"/>
    </row>
    <row r="4903">
      <c r="A4903" s="237"/>
      <c r="E4903" s="234"/>
    </row>
    <row r="4904">
      <c r="A4904" s="237"/>
      <c r="E4904" s="234"/>
    </row>
    <row r="4905">
      <c r="A4905" s="237"/>
      <c r="E4905" s="234"/>
    </row>
    <row r="4906">
      <c r="A4906" s="237"/>
      <c r="E4906" s="234"/>
    </row>
    <row r="4907">
      <c r="A4907" s="237"/>
      <c r="E4907" s="234"/>
    </row>
    <row r="4908">
      <c r="A4908" s="237"/>
      <c r="E4908" s="234"/>
    </row>
    <row r="4909">
      <c r="A4909" s="237"/>
      <c r="E4909" s="234"/>
    </row>
    <row r="4910">
      <c r="A4910" s="237"/>
      <c r="E4910" s="234"/>
    </row>
    <row r="4911">
      <c r="A4911" s="237"/>
      <c r="E4911" s="234"/>
    </row>
    <row r="4912">
      <c r="A4912" s="237"/>
      <c r="E4912" s="234"/>
    </row>
    <row r="4913">
      <c r="A4913" s="237"/>
      <c r="E4913" s="234"/>
    </row>
    <row r="4914">
      <c r="A4914" s="237"/>
      <c r="E4914" s="234"/>
    </row>
    <row r="4915">
      <c r="A4915" s="237"/>
      <c r="E4915" s="234"/>
    </row>
    <row r="4916">
      <c r="A4916" s="237"/>
      <c r="E4916" s="234"/>
    </row>
    <row r="4917">
      <c r="A4917" s="237"/>
      <c r="E4917" s="234"/>
    </row>
    <row r="4918">
      <c r="A4918" s="237"/>
      <c r="E4918" s="234"/>
    </row>
    <row r="4919">
      <c r="A4919" s="237"/>
      <c r="E4919" s="234"/>
    </row>
    <row r="4920">
      <c r="A4920" s="237"/>
      <c r="E4920" s="234"/>
    </row>
    <row r="4921">
      <c r="A4921" s="237"/>
      <c r="E4921" s="234"/>
    </row>
    <row r="4922">
      <c r="A4922" s="237"/>
      <c r="E4922" s="234"/>
    </row>
    <row r="4923">
      <c r="A4923" s="237"/>
      <c r="E4923" s="234"/>
    </row>
    <row r="4924">
      <c r="A4924" s="237"/>
      <c r="E4924" s="234"/>
    </row>
    <row r="4925">
      <c r="A4925" s="237"/>
      <c r="E4925" s="234"/>
    </row>
    <row r="4926">
      <c r="A4926" s="237"/>
      <c r="E4926" s="234"/>
    </row>
    <row r="4927">
      <c r="A4927" s="237"/>
      <c r="E4927" s="234"/>
    </row>
    <row r="4928">
      <c r="A4928" s="237"/>
      <c r="E4928" s="234"/>
    </row>
    <row r="4929">
      <c r="A4929" s="237"/>
      <c r="E4929" s="234"/>
    </row>
    <row r="4930">
      <c r="A4930" s="237"/>
      <c r="E4930" s="234"/>
    </row>
    <row r="4931">
      <c r="A4931" s="237"/>
      <c r="E4931" s="234"/>
    </row>
    <row r="4932">
      <c r="A4932" s="237"/>
      <c r="E4932" s="234"/>
    </row>
    <row r="4933">
      <c r="A4933" s="237"/>
      <c r="E4933" s="234"/>
    </row>
    <row r="4934">
      <c r="A4934" s="237"/>
      <c r="E4934" s="234"/>
    </row>
    <row r="4935">
      <c r="A4935" s="237"/>
      <c r="E4935" s="234"/>
    </row>
    <row r="4936">
      <c r="A4936" s="237"/>
      <c r="E4936" s="234"/>
    </row>
    <row r="4937">
      <c r="A4937" s="237"/>
      <c r="E4937" s="234"/>
    </row>
    <row r="4938">
      <c r="A4938" s="237"/>
      <c r="E4938" s="234"/>
    </row>
    <row r="4939">
      <c r="A4939" s="237"/>
      <c r="E4939" s="234"/>
    </row>
    <row r="4940">
      <c r="A4940" s="237"/>
      <c r="E4940" s="234"/>
    </row>
    <row r="4941">
      <c r="A4941" s="237"/>
      <c r="E4941" s="234"/>
    </row>
    <row r="4942">
      <c r="A4942" s="237"/>
      <c r="E4942" s="234"/>
    </row>
    <row r="4943">
      <c r="A4943" s="237"/>
      <c r="E4943" s="234"/>
    </row>
    <row r="4944">
      <c r="A4944" s="237"/>
      <c r="E4944" s="234"/>
    </row>
    <row r="4945">
      <c r="A4945" s="237"/>
      <c r="E4945" s="234"/>
    </row>
    <row r="4946">
      <c r="A4946" s="237"/>
      <c r="E4946" s="234"/>
    </row>
    <row r="4947">
      <c r="A4947" s="237"/>
      <c r="E4947" s="234"/>
    </row>
    <row r="4948">
      <c r="A4948" s="237"/>
      <c r="E4948" s="234"/>
    </row>
    <row r="4949">
      <c r="A4949" s="237"/>
      <c r="E4949" s="234"/>
    </row>
    <row r="4950">
      <c r="A4950" s="237"/>
      <c r="E4950" s="234"/>
    </row>
    <row r="4951">
      <c r="A4951" s="237"/>
      <c r="E4951" s="234"/>
    </row>
    <row r="4952">
      <c r="A4952" s="237"/>
      <c r="E4952" s="234"/>
    </row>
    <row r="4953">
      <c r="A4953" s="237"/>
      <c r="E4953" s="234"/>
    </row>
    <row r="4954">
      <c r="A4954" s="237"/>
      <c r="E4954" s="234"/>
    </row>
    <row r="4955">
      <c r="A4955" s="237"/>
      <c r="E4955" s="234"/>
    </row>
    <row r="4956">
      <c r="A4956" s="237"/>
      <c r="E4956" s="234"/>
    </row>
    <row r="4957">
      <c r="A4957" s="237"/>
      <c r="E4957" s="234"/>
    </row>
    <row r="4958">
      <c r="A4958" s="237"/>
      <c r="E4958" s="234"/>
    </row>
    <row r="4959">
      <c r="A4959" s="237"/>
      <c r="E4959" s="234"/>
    </row>
    <row r="4960">
      <c r="A4960" s="237"/>
      <c r="E4960" s="234"/>
    </row>
    <row r="4961">
      <c r="A4961" s="237"/>
      <c r="E4961" s="234"/>
    </row>
    <row r="4962">
      <c r="A4962" s="237"/>
      <c r="E4962" s="234"/>
    </row>
    <row r="4963">
      <c r="A4963" s="237"/>
      <c r="E4963" s="234"/>
    </row>
    <row r="4964">
      <c r="A4964" s="237"/>
      <c r="E4964" s="234"/>
    </row>
    <row r="4965">
      <c r="A4965" s="237"/>
      <c r="E4965" s="234"/>
    </row>
    <row r="4966">
      <c r="A4966" s="237"/>
      <c r="E4966" s="234"/>
    </row>
    <row r="4967">
      <c r="A4967" s="237"/>
      <c r="E4967" s="234"/>
    </row>
    <row r="4968">
      <c r="A4968" s="237"/>
      <c r="E4968" s="234"/>
    </row>
    <row r="4969">
      <c r="A4969" s="237"/>
      <c r="E4969" s="234"/>
    </row>
    <row r="4970">
      <c r="A4970" s="237"/>
      <c r="E4970" s="234"/>
    </row>
    <row r="4971">
      <c r="A4971" s="237"/>
      <c r="E4971" s="234"/>
    </row>
    <row r="4972">
      <c r="A4972" s="237"/>
      <c r="E4972" s="234"/>
    </row>
    <row r="4973">
      <c r="A4973" s="237"/>
      <c r="E4973" s="234"/>
    </row>
    <row r="4974">
      <c r="A4974" s="237"/>
      <c r="E4974" s="234"/>
    </row>
    <row r="4975">
      <c r="A4975" s="237"/>
      <c r="E4975" s="234"/>
    </row>
    <row r="4976">
      <c r="A4976" s="237"/>
      <c r="E4976" s="234"/>
    </row>
    <row r="4977">
      <c r="A4977" s="237"/>
      <c r="E4977" s="234"/>
    </row>
    <row r="4978">
      <c r="A4978" s="237"/>
      <c r="E4978" s="234"/>
    </row>
    <row r="4979">
      <c r="A4979" s="237"/>
      <c r="E4979" s="234"/>
    </row>
    <row r="4980">
      <c r="A4980" s="237"/>
      <c r="E4980" s="234"/>
    </row>
    <row r="4981">
      <c r="A4981" s="237"/>
      <c r="E4981" s="234"/>
    </row>
    <row r="4982">
      <c r="A4982" s="237"/>
      <c r="E4982" s="234"/>
    </row>
    <row r="4983">
      <c r="A4983" s="237"/>
      <c r="E4983" s="234"/>
    </row>
    <row r="4984">
      <c r="A4984" s="237"/>
      <c r="E4984" s="234"/>
    </row>
    <row r="4985">
      <c r="A4985" s="237"/>
      <c r="E4985" s="234"/>
    </row>
    <row r="4986">
      <c r="A4986" s="237"/>
      <c r="E4986" s="234"/>
    </row>
    <row r="4987">
      <c r="A4987" s="237"/>
      <c r="E4987" s="234"/>
    </row>
    <row r="4988">
      <c r="A4988" s="237"/>
      <c r="E4988" s="234"/>
    </row>
    <row r="4989">
      <c r="A4989" s="237"/>
      <c r="E4989" s="234"/>
    </row>
    <row r="4990">
      <c r="A4990" s="237"/>
      <c r="E4990" s="234"/>
    </row>
    <row r="4991">
      <c r="A4991" s="237"/>
      <c r="E4991" s="234"/>
    </row>
    <row r="4992">
      <c r="A4992" s="237"/>
      <c r="E4992" s="234"/>
    </row>
    <row r="4993">
      <c r="A4993" s="237"/>
      <c r="E4993" s="234"/>
    </row>
    <row r="4994">
      <c r="A4994" s="237"/>
      <c r="E4994" s="234"/>
    </row>
    <row r="4995">
      <c r="A4995" s="237"/>
      <c r="E4995" s="234"/>
    </row>
    <row r="4996">
      <c r="A4996" s="237"/>
      <c r="E4996" s="234"/>
    </row>
    <row r="4997">
      <c r="A4997" s="237"/>
      <c r="E4997" s="234"/>
    </row>
    <row r="4998">
      <c r="A4998" s="237"/>
      <c r="E4998" s="234"/>
    </row>
    <row r="4999">
      <c r="A4999" s="237"/>
      <c r="E4999" s="234"/>
    </row>
    <row r="5000">
      <c r="A5000" s="237"/>
      <c r="E5000" s="234"/>
    </row>
    <row r="5001">
      <c r="A5001" s="237"/>
      <c r="E5001" s="234"/>
    </row>
    <row r="5002">
      <c r="A5002" s="237"/>
      <c r="E5002" s="234"/>
    </row>
    <row r="5003">
      <c r="A5003" s="237"/>
      <c r="E5003" s="234"/>
    </row>
    <row r="5004">
      <c r="A5004" s="237"/>
      <c r="E5004" s="234"/>
    </row>
    <row r="5005">
      <c r="A5005" s="237"/>
      <c r="E5005" s="234"/>
    </row>
    <row r="5006">
      <c r="A5006" s="237"/>
      <c r="E5006" s="234"/>
    </row>
    <row r="5007">
      <c r="A5007" s="237"/>
      <c r="E5007" s="234"/>
    </row>
    <row r="5008">
      <c r="A5008" s="237"/>
      <c r="E5008" s="234"/>
    </row>
    <row r="5009">
      <c r="A5009" s="237"/>
      <c r="E5009" s="234"/>
    </row>
    <row r="5010">
      <c r="A5010" s="237"/>
      <c r="E5010" s="234"/>
    </row>
    <row r="5011">
      <c r="A5011" s="237"/>
      <c r="E5011" s="234"/>
    </row>
    <row r="5012">
      <c r="A5012" s="237"/>
      <c r="E5012" s="234"/>
    </row>
    <row r="5013">
      <c r="A5013" s="237"/>
      <c r="E5013" s="234"/>
    </row>
    <row r="5014">
      <c r="A5014" s="237"/>
      <c r="E5014" s="234"/>
    </row>
    <row r="5015">
      <c r="A5015" s="237"/>
      <c r="E5015" s="234"/>
    </row>
    <row r="5016">
      <c r="A5016" s="237"/>
      <c r="E5016" s="234"/>
    </row>
    <row r="5017">
      <c r="A5017" s="237"/>
      <c r="E5017" s="234"/>
    </row>
    <row r="5018">
      <c r="A5018" s="237"/>
      <c r="E5018" s="234"/>
    </row>
    <row r="5019">
      <c r="A5019" s="237"/>
      <c r="E5019" s="234"/>
    </row>
    <row r="5020">
      <c r="A5020" s="237"/>
      <c r="E5020" s="234"/>
    </row>
    <row r="5021">
      <c r="A5021" s="237"/>
      <c r="E5021" s="234"/>
    </row>
    <row r="5022">
      <c r="A5022" s="237"/>
      <c r="E5022" s="234"/>
    </row>
    <row r="5023">
      <c r="A5023" s="237"/>
      <c r="E5023" s="234"/>
    </row>
    <row r="5024">
      <c r="A5024" s="237"/>
      <c r="E5024" s="234"/>
    </row>
    <row r="5025">
      <c r="A5025" s="237"/>
      <c r="E5025" s="234"/>
    </row>
    <row r="5026">
      <c r="A5026" s="237"/>
      <c r="E5026" s="234"/>
    </row>
    <row r="5027">
      <c r="A5027" s="237"/>
      <c r="E5027" s="234"/>
    </row>
    <row r="5028">
      <c r="A5028" s="237"/>
      <c r="E5028" s="234"/>
    </row>
    <row r="5029">
      <c r="A5029" s="237"/>
      <c r="E5029" s="234"/>
    </row>
    <row r="5030">
      <c r="A5030" s="237"/>
      <c r="E5030" s="234"/>
    </row>
    <row r="5031">
      <c r="A5031" s="237"/>
      <c r="E5031" s="234"/>
    </row>
    <row r="5032">
      <c r="A5032" s="237"/>
      <c r="E5032" s="234"/>
    </row>
    <row r="5033">
      <c r="A5033" s="237"/>
      <c r="E5033" s="234"/>
    </row>
    <row r="5034">
      <c r="A5034" s="237"/>
      <c r="E5034" s="234"/>
    </row>
    <row r="5035">
      <c r="A5035" s="237"/>
      <c r="E5035" s="234"/>
    </row>
    <row r="5036">
      <c r="A5036" s="237"/>
      <c r="E5036" s="234"/>
    </row>
    <row r="5037">
      <c r="A5037" s="237"/>
      <c r="E5037" s="234"/>
    </row>
    <row r="5038">
      <c r="A5038" s="237"/>
      <c r="E5038" s="234"/>
    </row>
    <row r="5039">
      <c r="A5039" s="237"/>
      <c r="E5039" s="234"/>
    </row>
    <row r="5040">
      <c r="A5040" s="237"/>
      <c r="E5040" s="234"/>
    </row>
    <row r="5041">
      <c r="A5041" s="237"/>
      <c r="E5041" s="234"/>
    </row>
    <row r="5042">
      <c r="A5042" s="237"/>
      <c r="E5042" s="234"/>
    </row>
    <row r="5043">
      <c r="A5043" s="237"/>
      <c r="E5043" s="234"/>
    </row>
    <row r="5044">
      <c r="A5044" s="237"/>
      <c r="E5044" s="234"/>
    </row>
    <row r="5045">
      <c r="A5045" s="237"/>
      <c r="E5045" s="234"/>
    </row>
    <row r="5046">
      <c r="A5046" s="237"/>
      <c r="E5046" s="234"/>
    </row>
    <row r="5047">
      <c r="A5047" s="237"/>
      <c r="E5047" s="234"/>
    </row>
    <row r="5048">
      <c r="A5048" s="237"/>
      <c r="E5048" s="234"/>
    </row>
    <row r="5049">
      <c r="A5049" s="237"/>
      <c r="E5049" s="234"/>
    </row>
    <row r="5050">
      <c r="A5050" s="237"/>
      <c r="E5050" s="234"/>
    </row>
    <row r="5051">
      <c r="A5051" s="237"/>
      <c r="E5051" s="234"/>
    </row>
    <row r="5052">
      <c r="A5052" s="237"/>
      <c r="E5052" s="234"/>
    </row>
    <row r="5053">
      <c r="A5053" s="237"/>
      <c r="E5053" s="234"/>
    </row>
    <row r="5054">
      <c r="A5054" s="237"/>
      <c r="E5054" s="234"/>
    </row>
    <row r="5055">
      <c r="A5055" s="237"/>
      <c r="E5055" s="234"/>
    </row>
    <row r="5056">
      <c r="A5056" s="237"/>
      <c r="E5056" s="234"/>
    </row>
    <row r="5057">
      <c r="A5057" s="237"/>
      <c r="E5057" s="234"/>
    </row>
    <row r="5058">
      <c r="A5058" s="237"/>
      <c r="E5058" s="234"/>
    </row>
    <row r="5059">
      <c r="A5059" s="237"/>
      <c r="E5059" s="234"/>
    </row>
    <row r="5060">
      <c r="A5060" s="237"/>
      <c r="E5060" s="234"/>
    </row>
    <row r="5061">
      <c r="A5061" s="237"/>
      <c r="E5061" s="234"/>
    </row>
    <row r="5062">
      <c r="A5062" s="237"/>
      <c r="E5062" s="234"/>
    </row>
    <row r="5063">
      <c r="A5063" s="237"/>
      <c r="E5063" s="234"/>
    </row>
    <row r="5064">
      <c r="A5064" s="237"/>
      <c r="E5064" s="234"/>
    </row>
    <row r="5065">
      <c r="A5065" s="237"/>
      <c r="E5065" s="234"/>
    </row>
    <row r="5066">
      <c r="A5066" s="237"/>
      <c r="E5066" s="234"/>
    </row>
    <row r="5067">
      <c r="A5067" s="237"/>
      <c r="E5067" s="234"/>
    </row>
    <row r="5068">
      <c r="A5068" s="237"/>
      <c r="E5068" s="234"/>
    </row>
    <row r="5069">
      <c r="A5069" s="237"/>
      <c r="E5069" s="234"/>
    </row>
    <row r="5070">
      <c r="A5070" s="237"/>
      <c r="E5070" s="234"/>
    </row>
    <row r="5071">
      <c r="A5071" s="237"/>
      <c r="E5071" s="234"/>
    </row>
    <row r="5072">
      <c r="A5072" s="237"/>
      <c r="E5072" s="234"/>
    </row>
    <row r="5073">
      <c r="A5073" s="237"/>
      <c r="E5073" s="234"/>
    </row>
    <row r="5074">
      <c r="A5074" s="237"/>
      <c r="E5074" s="234"/>
    </row>
    <row r="5075">
      <c r="A5075" s="237"/>
      <c r="E5075" s="234"/>
    </row>
    <row r="5076">
      <c r="A5076" s="237"/>
      <c r="E5076" s="234"/>
    </row>
    <row r="5077">
      <c r="A5077" s="237"/>
      <c r="E5077" s="234"/>
    </row>
    <row r="5078">
      <c r="A5078" s="237"/>
      <c r="E5078" s="234"/>
    </row>
    <row r="5079">
      <c r="A5079" s="237"/>
      <c r="E5079" s="234"/>
    </row>
    <row r="5080">
      <c r="A5080" s="237"/>
      <c r="E5080" s="234"/>
    </row>
    <row r="5081">
      <c r="A5081" s="237"/>
      <c r="E5081" s="234"/>
    </row>
    <row r="5082">
      <c r="A5082" s="237"/>
      <c r="E5082" s="234"/>
    </row>
    <row r="5083">
      <c r="A5083" s="237"/>
      <c r="E5083" s="234"/>
    </row>
    <row r="5084">
      <c r="A5084" s="237"/>
      <c r="E5084" s="234"/>
    </row>
    <row r="5085">
      <c r="A5085" s="237"/>
      <c r="E5085" s="234"/>
    </row>
    <row r="5086">
      <c r="A5086" s="237"/>
      <c r="E5086" s="234"/>
    </row>
    <row r="5087">
      <c r="A5087" s="237"/>
      <c r="E5087" s="234"/>
    </row>
    <row r="5088">
      <c r="A5088" s="237"/>
      <c r="E5088" s="234"/>
    </row>
    <row r="5089">
      <c r="A5089" s="237"/>
      <c r="E5089" s="234"/>
    </row>
    <row r="5090">
      <c r="A5090" s="237"/>
      <c r="E5090" s="234"/>
    </row>
    <row r="5091">
      <c r="A5091" s="237"/>
      <c r="E5091" s="234"/>
    </row>
    <row r="5092">
      <c r="A5092" s="237"/>
      <c r="E5092" s="234"/>
    </row>
    <row r="5093">
      <c r="A5093" s="237"/>
      <c r="E5093" s="234"/>
    </row>
    <row r="5094">
      <c r="A5094" s="237"/>
      <c r="E5094" s="234"/>
    </row>
    <row r="5095">
      <c r="A5095" s="237"/>
      <c r="E5095" s="234"/>
    </row>
    <row r="5096">
      <c r="A5096" s="237"/>
      <c r="E5096" s="234"/>
    </row>
    <row r="5097">
      <c r="A5097" s="237"/>
      <c r="E5097" s="234"/>
    </row>
    <row r="5098">
      <c r="A5098" s="237"/>
      <c r="E5098" s="234"/>
    </row>
    <row r="5099">
      <c r="A5099" s="237"/>
      <c r="E5099" s="234"/>
    </row>
    <row r="5100">
      <c r="A5100" s="237"/>
      <c r="E5100" s="234"/>
    </row>
    <row r="5101">
      <c r="A5101" s="237"/>
      <c r="E5101" s="234"/>
    </row>
    <row r="5102">
      <c r="A5102" s="237"/>
      <c r="E5102" s="234"/>
    </row>
    <row r="5103">
      <c r="A5103" s="237"/>
      <c r="E5103" s="234"/>
    </row>
    <row r="5104">
      <c r="A5104" s="237"/>
      <c r="E5104" s="234"/>
    </row>
    <row r="5105">
      <c r="A5105" s="237"/>
      <c r="E5105" s="234"/>
    </row>
    <row r="5106">
      <c r="A5106" s="237"/>
      <c r="E5106" s="234"/>
    </row>
    <row r="5107">
      <c r="A5107" s="237"/>
      <c r="E5107" s="234"/>
    </row>
    <row r="5108">
      <c r="A5108" s="237"/>
      <c r="E5108" s="234"/>
    </row>
    <row r="5109">
      <c r="A5109" s="237"/>
      <c r="E5109" s="234"/>
    </row>
    <row r="5110">
      <c r="A5110" s="237"/>
      <c r="E5110" s="234"/>
    </row>
    <row r="5111">
      <c r="A5111" s="237"/>
      <c r="E5111" s="234"/>
    </row>
    <row r="5112">
      <c r="A5112" s="237"/>
      <c r="E5112" s="234"/>
    </row>
    <row r="5113">
      <c r="A5113" s="237"/>
      <c r="E5113" s="234"/>
    </row>
    <row r="5114">
      <c r="A5114" s="237"/>
      <c r="E5114" s="234"/>
    </row>
    <row r="5115">
      <c r="A5115" s="237"/>
      <c r="E5115" s="234"/>
    </row>
    <row r="5116">
      <c r="A5116" s="237"/>
      <c r="E5116" s="234"/>
    </row>
    <row r="5117">
      <c r="A5117" s="237"/>
      <c r="E5117" s="234"/>
    </row>
    <row r="5118">
      <c r="A5118" s="237"/>
      <c r="E5118" s="234"/>
    </row>
    <row r="5119">
      <c r="A5119" s="237"/>
      <c r="E5119" s="234"/>
    </row>
    <row r="5120">
      <c r="A5120" s="237"/>
      <c r="E5120" s="234"/>
    </row>
    <row r="5121">
      <c r="A5121" s="237"/>
      <c r="E5121" s="234"/>
    </row>
    <row r="5122">
      <c r="A5122" s="237"/>
      <c r="E5122" s="234"/>
    </row>
    <row r="5123">
      <c r="A5123" s="237"/>
      <c r="E5123" s="234"/>
    </row>
    <row r="5124">
      <c r="A5124" s="237"/>
      <c r="E5124" s="234"/>
    </row>
    <row r="5125">
      <c r="A5125" s="237"/>
      <c r="E5125" s="234"/>
    </row>
    <row r="5126">
      <c r="A5126" s="237"/>
      <c r="E5126" s="234"/>
    </row>
    <row r="5127">
      <c r="A5127" s="237"/>
      <c r="E5127" s="234"/>
    </row>
    <row r="5128">
      <c r="A5128" s="237"/>
      <c r="E5128" s="234"/>
    </row>
    <row r="5129">
      <c r="A5129" s="237"/>
      <c r="E5129" s="234"/>
    </row>
    <row r="5130">
      <c r="A5130" s="237"/>
      <c r="E5130" s="234"/>
    </row>
    <row r="5131">
      <c r="A5131" s="237"/>
      <c r="E5131" s="234"/>
    </row>
    <row r="5132">
      <c r="A5132" s="237"/>
      <c r="E5132" s="234"/>
    </row>
    <row r="5133">
      <c r="A5133" s="237"/>
      <c r="E5133" s="234"/>
    </row>
    <row r="5134">
      <c r="A5134" s="237"/>
      <c r="E5134" s="234"/>
    </row>
    <row r="5135">
      <c r="A5135" s="237"/>
      <c r="E5135" s="234"/>
    </row>
    <row r="5136">
      <c r="A5136" s="237"/>
      <c r="E5136" s="234"/>
    </row>
    <row r="5137">
      <c r="A5137" s="237"/>
      <c r="E5137" s="234"/>
    </row>
    <row r="5138">
      <c r="A5138" s="237"/>
      <c r="E5138" s="234"/>
    </row>
    <row r="5139">
      <c r="A5139" s="237"/>
      <c r="E5139" s="234"/>
    </row>
    <row r="5140">
      <c r="A5140" s="237"/>
      <c r="E5140" s="234"/>
    </row>
    <row r="5141">
      <c r="A5141" s="237"/>
      <c r="E5141" s="234"/>
    </row>
    <row r="5142">
      <c r="A5142" s="237"/>
      <c r="E5142" s="234"/>
    </row>
    <row r="5143">
      <c r="A5143" s="237"/>
      <c r="E5143" s="234"/>
    </row>
    <row r="5144">
      <c r="A5144" s="237"/>
      <c r="E5144" s="234"/>
    </row>
    <row r="5145">
      <c r="A5145" s="237"/>
      <c r="E5145" s="234"/>
    </row>
    <row r="5146">
      <c r="A5146" s="237"/>
      <c r="E5146" s="234"/>
    </row>
    <row r="5147">
      <c r="A5147" s="237"/>
      <c r="E5147" s="234"/>
    </row>
    <row r="5148">
      <c r="A5148" s="237"/>
      <c r="E5148" s="234"/>
    </row>
    <row r="5149">
      <c r="A5149" s="237"/>
      <c r="E5149" s="234"/>
    </row>
    <row r="5150">
      <c r="A5150" s="237"/>
      <c r="E5150" s="234"/>
    </row>
    <row r="5151">
      <c r="A5151" s="237"/>
      <c r="E5151" s="234"/>
    </row>
    <row r="5152">
      <c r="A5152" s="237"/>
      <c r="E5152" s="234"/>
    </row>
    <row r="5153">
      <c r="A5153" s="237"/>
      <c r="E5153" s="234"/>
    </row>
    <row r="5154">
      <c r="A5154" s="237"/>
      <c r="E5154" s="234"/>
    </row>
    <row r="5155">
      <c r="A5155" s="237"/>
      <c r="E5155" s="234"/>
    </row>
    <row r="5156">
      <c r="A5156" s="237"/>
      <c r="E5156" s="234"/>
    </row>
    <row r="5157">
      <c r="A5157" s="237"/>
      <c r="E5157" s="234"/>
    </row>
    <row r="5158">
      <c r="A5158" s="237"/>
      <c r="E5158" s="234"/>
    </row>
    <row r="5159">
      <c r="A5159" s="237"/>
      <c r="E5159" s="234"/>
    </row>
    <row r="5160">
      <c r="A5160" s="237"/>
      <c r="E5160" s="234"/>
    </row>
    <row r="5161">
      <c r="A5161" s="237"/>
      <c r="E5161" s="234"/>
    </row>
    <row r="5162">
      <c r="A5162" s="237"/>
      <c r="E5162" s="234"/>
    </row>
    <row r="5163">
      <c r="A5163" s="237"/>
      <c r="E5163" s="234"/>
    </row>
    <row r="5164">
      <c r="A5164" s="237"/>
      <c r="E5164" s="234"/>
    </row>
    <row r="5165">
      <c r="A5165" s="237"/>
      <c r="E5165" s="234"/>
    </row>
    <row r="5166">
      <c r="A5166" s="237"/>
      <c r="E5166" s="234"/>
    </row>
    <row r="5167">
      <c r="A5167" s="237"/>
      <c r="E5167" s="234"/>
    </row>
    <row r="5168">
      <c r="A5168" s="237"/>
      <c r="E5168" s="234"/>
    </row>
    <row r="5169">
      <c r="A5169" s="237"/>
      <c r="E5169" s="234"/>
    </row>
    <row r="5170">
      <c r="A5170" s="237"/>
      <c r="E5170" s="234"/>
    </row>
    <row r="5171">
      <c r="A5171" s="237"/>
      <c r="E5171" s="234"/>
    </row>
    <row r="5172">
      <c r="A5172" s="237"/>
      <c r="E5172" s="234"/>
    </row>
    <row r="5173">
      <c r="A5173" s="237"/>
      <c r="E5173" s="234"/>
    </row>
    <row r="5174">
      <c r="A5174" s="237"/>
      <c r="E5174" s="234"/>
    </row>
    <row r="5175">
      <c r="A5175" s="237"/>
      <c r="E5175" s="234"/>
    </row>
    <row r="5176">
      <c r="A5176" s="237"/>
      <c r="E5176" s="234"/>
    </row>
    <row r="5177">
      <c r="A5177" s="237"/>
      <c r="E5177" s="234"/>
    </row>
    <row r="5178">
      <c r="A5178" s="237"/>
      <c r="E5178" s="234"/>
    </row>
    <row r="5179">
      <c r="A5179" s="237"/>
      <c r="E5179" s="234"/>
    </row>
    <row r="5180">
      <c r="A5180" s="237"/>
      <c r="E5180" s="234"/>
    </row>
    <row r="5181">
      <c r="A5181" s="237"/>
      <c r="E5181" s="234"/>
    </row>
    <row r="5182">
      <c r="A5182" s="237"/>
      <c r="E5182" s="234"/>
    </row>
    <row r="5183">
      <c r="A5183" s="237"/>
      <c r="E5183" s="234"/>
    </row>
    <row r="5184">
      <c r="A5184" s="237"/>
      <c r="E5184" s="234"/>
    </row>
    <row r="5185">
      <c r="A5185" s="237"/>
      <c r="E5185" s="234"/>
    </row>
    <row r="5186">
      <c r="A5186" s="237"/>
      <c r="E5186" s="234"/>
    </row>
    <row r="5187">
      <c r="A5187" s="237"/>
      <c r="E5187" s="234"/>
    </row>
    <row r="5188">
      <c r="A5188" s="237"/>
      <c r="E5188" s="234"/>
    </row>
    <row r="5189">
      <c r="A5189" s="237"/>
      <c r="E5189" s="234"/>
    </row>
    <row r="5190">
      <c r="A5190" s="237"/>
      <c r="E5190" s="234"/>
    </row>
    <row r="5191">
      <c r="A5191" s="237"/>
      <c r="E5191" s="234"/>
    </row>
    <row r="5192">
      <c r="A5192" s="237"/>
      <c r="E5192" s="234"/>
    </row>
    <row r="5193">
      <c r="A5193" s="237"/>
      <c r="E5193" s="234"/>
    </row>
    <row r="5194">
      <c r="A5194" s="237"/>
      <c r="E5194" s="234"/>
    </row>
    <row r="5195">
      <c r="A5195" s="237"/>
      <c r="E5195" s="234"/>
    </row>
    <row r="5196">
      <c r="A5196" s="237"/>
      <c r="E5196" s="234"/>
    </row>
    <row r="5197">
      <c r="A5197" s="237"/>
      <c r="E5197" s="234"/>
    </row>
    <row r="5198">
      <c r="A5198" s="237"/>
      <c r="E5198" s="234"/>
    </row>
    <row r="5199">
      <c r="A5199" s="237"/>
      <c r="E5199" s="234"/>
    </row>
    <row r="5200">
      <c r="A5200" s="237"/>
      <c r="E5200" s="234"/>
    </row>
    <row r="5201">
      <c r="A5201" s="237"/>
      <c r="E5201" s="234"/>
    </row>
    <row r="5202">
      <c r="A5202" s="237"/>
      <c r="E5202" s="234"/>
    </row>
    <row r="5203">
      <c r="A5203" s="237"/>
      <c r="E5203" s="234"/>
    </row>
    <row r="5204">
      <c r="A5204" s="237"/>
      <c r="E5204" s="234"/>
    </row>
    <row r="5205">
      <c r="A5205" s="237"/>
      <c r="E5205" s="234"/>
    </row>
    <row r="5206">
      <c r="A5206" s="237"/>
      <c r="E5206" s="234"/>
    </row>
    <row r="5207">
      <c r="A5207" s="237"/>
      <c r="E5207" s="234"/>
    </row>
    <row r="5208">
      <c r="A5208" s="237"/>
      <c r="E5208" s="234"/>
    </row>
    <row r="5209">
      <c r="A5209" s="237"/>
      <c r="E5209" s="234"/>
    </row>
    <row r="5210">
      <c r="A5210" s="237"/>
      <c r="E5210" s="234"/>
    </row>
    <row r="5211">
      <c r="A5211" s="237"/>
      <c r="E5211" s="234"/>
    </row>
    <row r="5212">
      <c r="A5212" s="237"/>
      <c r="E5212" s="234"/>
    </row>
    <row r="5213">
      <c r="A5213" s="237"/>
      <c r="E5213" s="234"/>
    </row>
    <row r="5214">
      <c r="A5214" s="237"/>
      <c r="E5214" s="234"/>
    </row>
    <row r="5215">
      <c r="A5215" s="237"/>
      <c r="E5215" s="234"/>
    </row>
    <row r="5216">
      <c r="A5216" s="237"/>
      <c r="E5216" s="234"/>
    </row>
    <row r="5217">
      <c r="A5217" s="237"/>
      <c r="E5217" s="234"/>
    </row>
    <row r="5218">
      <c r="A5218" s="237"/>
      <c r="E5218" s="234"/>
    </row>
    <row r="5219">
      <c r="A5219" s="237"/>
      <c r="E5219" s="234"/>
    </row>
    <row r="5220">
      <c r="A5220" s="237"/>
      <c r="E5220" s="234"/>
    </row>
    <row r="5221">
      <c r="A5221" s="237"/>
      <c r="E5221" s="234"/>
    </row>
    <row r="5222">
      <c r="A5222" s="237"/>
      <c r="E5222" s="234"/>
    </row>
    <row r="5223">
      <c r="A5223" s="237"/>
      <c r="E5223" s="234"/>
    </row>
    <row r="5224">
      <c r="A5224" s="237"/>
      <c r="E5224" s="234"/>
    </row>
    <row r="5225">
      <c r="A5225" s="237"/>
      <c r="E5225" s="234"/>
    </row>
    <row r="5226">
      <c r="A5226" s="237"/>
      <c r="E5226" s="234"/>
    </row>
    <row r="5227">
      <c r="A5227" s="237"/>
      <c r="E5227" s="234"/>
    </row>
    <row r="5228">
      <c r="A5228" s="237"/>
      <c r="E5228" s="234"/>
    </row>
    <row r="5229">
      <c r="A5229" s="237"/>
      <c r="E5229" s="234"/>
    </row>
    <row r="5230">
      <c r="A5230" s="237"/>
      <c r="E5230" s="234"/>
    </row>
    <row r="5231">
      <c r="A5231" s="237"/>
      <c r="E5231" s="234"/>
    </row>
    <row r="5232">
      <c r="A5232" s="237"/>
      <c r="E5232" s="234"/>
    </row>
    <row r="5233">
      <c r="A5233" s="237"/>
      <c r="E5233" s="234"/>
    </row>
    <row r="5234">
      <c r="A5234" s="237"/>
      <c r="E5234" s="234"/>
    </row>
    <row r="5235">
      <c r="A5235" s="237"/>
      <c r="E5235" s="234"/>
    </row>
    <row r="5236">
      <c r="A5236" s="237"/>
      <c r="E5236" s="234"/>
    </row>
    <row r="5237">
      <c r="A5237" s="237"/>
      <c r="E5237" s="234"/>
    </row>
    <row r="5238">
      <c r="A5238" s="237"/>
      <c r="E5238" s="234"/>
    </row>
    <row r="5239">
      <c r="A5239" s="237"/>
      <c r="E5239" s="234"/>
    </row>
    <row r="5240">
      <c r="A5240" s="237"/>
      <c r="E5240" s="234"/>
    </row>
    <row r="5241">
      <c r="A5241" s="237"/>
      <c r="E5241" s="234"/>
    </row>
    <row r="5242">
      <c r="A5242" s="237"/>
      <c r="E5242" s="234"/>
    </row>
    <row r="5243">
      <c r="A5243" s="237"/>
      <c r="E5243" s="234"/>
    </row>
    <row r="5244">
      <c r="A5244" s="237"/>
      <c r="E5244" s="234"/>
    </row>
    <row r="5245">
      <c r="A5245" s="237"/>
      <c r="E5245" s="234"/>
    </row>
    <row r="5246">
      <c r="A5246" s="237"/>
      <c r="E5246" s="234"/>
    </row>
    <row r="5247">
      <c r="A5247" s="237"/>
      <c r="E5247" s="234"/>
    </row>
    <row r="5248">
      <c r="A5248" s="237"/>
      <c r="E5248" s="234"/>
    </row>
    <row r="5249">
      <c r="A5249" s="237"/>
      <c r="E5249" s="234"/>
    </row>
    <row r="5250">
      <c r="A5250" s="237"/>
      <c r="E5250" s="234"/>
    </row>
    <row r="5251">
      <c r="A5251" s="237"/>
      <c r="E5251" s="234"/>
    </row>
    <row r="5252">
      <c r="A5252" s="237"/>
      <c r="E5252" s="234"/>
    </row>
    <row r="5253">
      <c r="A5253" s="237"/>
      <c r="E5253" s="234"/>
    </row>
    <row r="5254">
      <c r="A5254" s="237"/>
      <c r="E5254" s="234"/>
    </row>
    <row r="5255">
      <c r="A5255" s="237"/>
      <c r="E5255" s="234"/>
    </row>
    <row r="5256">
      <c r="A5256" s="237"/>
      <c r="E5256" s="234"/>
    </row>
    <row r="5257">
      <c r="A5257" s="237"/>
      <c r="E5257" s="234"/>
    </row>
    <row r="5258">
      <c r="A5258" s="237"/>
      <c r="E5258" s="234"/>
    </row>
    <row r="5259">
      <c r="A5259" s="237"/>
      <c r="E5259" s="234"/>
    </row>
    <row r="5260">
      <c r="A5260" s="237"/>
      <c r="E5260" s="234"/>
    </row>
    <row r="5261">
      <c r="A5261" s="237"/>
      <c r="E5261" s="234"/>
    </row>
    <row r="5262">
      <c r="A5262" s="237"/>
      <c r="E5262" s="234"/>
    </row>
    <row r="5263">
      <c r="A5263" s="237"/>
      <c r="E5263" s="234"/>
    </row>
    <row r="5264">
      <c r="A5264" s="237"/>
      <c r="E5264" s="234"/>
    </row>
    <row r="5265">
      <c r="A5265" s="237"/>
      <c r="E5265" s="234"/>
    </row>
    <row r="5266">
      <c r="A5266" s="237"/>
      <c r="E5266" s="234"/>
    </row>
    <row r="5267">
      <c r="A5267" s="237"/>
      <c r="E5267" s="234"/>
    </row>
    <row r="5268">
      <c r="A5268" s="237"/>
      <c r="E5268" s="234"/>
    </row>
    <row r="5269">
      <c r="A5269" s="237"/>
      <c r="E5269" s="234"/>
    </row>
    <row r="5270">
      <c r="A5270" s="237"/>
      <c r="E5270" s="234"/>
    </row>
    <row r="5271">
      <c r="A5271" s="237"/>
      <c r="E5271" s="234"/>
    </row>
    <row r="5272">
      <c r="A5272" s="237"/>
      <c r="E5272" s="234"/>
    </row>
    <row r="5273">
      <c r="A5273" s="237"/>
      <c r="E5273" s="234"/>
    </row>
    <row r="5274">
      <c r="A5274" s="237"/>
      <c r="E5274" s="234"/>
    </row>
    <row r="5275">
      <c r="A5275" s="237"/>
      <c r="E5275" s="234"/>
    </row>
    <row r="5276">
      <c r="A5276" s="237"/>
      <c r="E5276" s="234"/>
    </row>
    <row r="5277">
      <c r="A5277" s="237"/>
      <c r="E5277" s="234"/>
    </row>
    <row r="5278">
      <c r="A5278" s="237"/>
      <c r="E5278" s="234"/>
    </row>
    <row r="5279">
      <c r="A5279" s="237"/>
      <c r="E5279" s="234"/>
    </row>
    <row r="5280">
      <c r="A5280" s="237"/>
      <c r="E5280" s="234"/>
    </row>
    <row r="5281">
      <c r="A5281" s="237"/>
      <c r="E5281" s="234"/>
    </row>
    <row r="5282">
      <c r="A5282" s="237"/>
      <c r="E5282" s="234"/>
    </row>
    <row r="5283">
      <c r="A5283" s="237"/>
      <c r="E5283" s="234"/>
    </row>
    <row r="5284">
      <c r="A5284" s="237"/>
      <c r="E5284" s="234"/>
    </row>
    <row r="5285">
      <c r="A5285" s="237"/>
      <c r="E5285" s="234"/>
    </row>
    <row r="5286">
      <c r="A5286" s="237"/>
      <c r="E5286" s="234"/>
    </row>
    <row r="5287">
      <c r="A5287" s="237"/>
      <c r="E5287" s="234"/>
    </row>
    <row r="5288">
      <c r="A5288" s="237"/>
      <c r="E5288" s="234"/>
    </row>
    <row r="5289">
      <c r="A5289" s="237"/>
      <c r="E5289" s="234"/>
    </row>
    <row r="5290">
      <c r="A5290" s="237"/>
      <c r="E5290" s="234"/>
    </row>
    <row r="5291">
      <c r="A5291" s="237"/>
      <c r="E5291" s="234"/>
    </row>
    <row r="5292">
      <c r="A5292" s="237"/>
      <c r="E5292" s="234"/>
    </row>
    <row r="5293">
      <c r="A5293" s="237"/>
      <c r="E5293" s="234"/>
    </row>
    <row r="5294">
      <c r="A5294" s="237"/>
      <c r="E5294" s="234"/>
    </row>
    <row r="5295">
      <c r="A5295" s="237"/>
      <c r="E5295" s="234"/>
    </row>
    <row r="5296">
      <c r="A5296" s="237"/>
      <c r="E5296" s="234"/>
    </row>
    <row r="5297">
      <c r="A5297" s="237"/>
      <c r="E5297" s="234"/>
    </row>
    <row r="5298">
      <c r="A5298" s="237"/>
      <c r="E5298" s="234"/>
    </row>
    <row r="5299">
      <c r="A5299" s="237"/>
      <c r="E5299" s="234"/>
    </row>
    <row r="5300">
      <c r="A5300" s="237"/>
      <c r="E5300" s="234"/>
    </row>
    <row r="5301">
      <c r="A5301" s="237"/>
      <c r="E5301" s="234"/>
    </row>
    <row r="5302">
      <c r="A5302" s="237"/>
      <c r="E5302" s="234"/>
    </row>
    <row r="5303">
      <c r="A5303" s="237"/>
      <c r="E5303" s="234"/>
    </row>
    <row r="5304">
      <c r="A5304" s="237"/>
      <c r="E5304" s="234"/>
    </row>
    <row r="5305">
      <c r="A5305" s="237"/>
      <c r="E5305" s="234"/>
    </row>
    <row r="5306">
      <c r="A5306" s="237"/>
      <c r="E5306" s="234"/>
    </row>
    <row r="5307">
      <c r="A5307" s="237"/>
      <c r="E5307" s="234"/>
    </row>
    <row r="5308">
      <c r="A5308" s="237"/>
      <c r="E5308" s="234"/>
    </row>
    <row r="5309">
      <c r="A5309" s="237"/>
      <c r="E5309" s="234"/>
    </row>
    <row r="5310">
      <c r="A5310" s="237"/>
      <c r="E5310" s="234"/>
    </row>
    <row r="5311">
      <c r="A5311" s="237"/>
      <c r="E5311" s="234"/>
    </row>
    <row r="5312">
      <c r="A5312" s="237"/>
      <c r="E5312" s="234"/>
    </row>
    <row r="5313">
      <c r="A5313" s="237"/>
      <c r="E5313" s="234"/>
    </row>
    <row r="5314">
      <c r="A5314" s="237"/>
      <c r="E5314" s="234"/>
    </row>
    <row r="5315">
      <c r="A5315" s="237"/>
      <c r="E5315" s="234"/>
    </row>
    <row r="5316">
      <c r="A5316" s="237"/>
      <c r="E5316" s="234"/>
    </row>
    <row r="5317">
      <c r="A5317" s="237"/>
      <c r="E5317" s="234"/>
    </row>
    <row r="5318">
      <c r="A5318" s="237"/>
      <c r="E5318" s="234"/>
    </row>
    <row r="5319">
      <c r="A5319" s="237"/>
      <c r="E5319" s="234"/>
    </row>
    <row r="5320">
      <c r="A5320" s="237"/>
      <c r="E5320" s="234"/>
    </row>
    <row r="5321">
      <c r="A5321" s="237"/>
      <c r="E5321" s="234"/>
    </row>
    <row r="5322">
      <c r="A5322" s="237"/>
      <c r="E5322" s="234"/>
    </row>
    <row r="5323">
      <c r="A5323" s="237"/>
      <c r="E5323" s="234"/>
    </row>
    <row r="5324">
      <c r="A5324" s="237"/>
      <c r="E5324" s="234"/>
    </row>
    <row r="5325">
      <c r="A5325" s="237"/>
      <c r="E5325" s="234"/>
    </row>
    <row r="5326">
      <c r="A5326" s="237"/>
      <c r="E5326" s="234"/>
    </row>
    <row r="5327">
      <c r="A5327" s="237"/>
      <c r="E5327" s="234"/>
    </row>
    <row r="5328">
      <c r="A5328" s="237"/>
      <c r="E5328" s="234"/>
    </row>
    <row r="5329">
      <c r="A5329" s="237"/>
      <c r="E5329" s="234"/>
    </row>
    <row r="5330">
      <c r="A5330" s="237"/>
      <c r="E5330" s="234"/>
    </row>
    <row r="5331">
      <c r="A5331" s="237"/>
      <c r="E5331" s="234"/>
    </row>
    <row r="5332">
      <c r="A5332" s="237"/>
      <c r="E5332" s="234"/>
    </row>
    <row r="5333">
      <c r="A5333" s="237"/>
      <c r="E5333" s="234"/>
    </row>
    <row r="5334">
      <c r="A5334" s="237"/>
      <c r="E5334" s="234"/>
    </row>
    <row r="5335">
      <c r="A5335" s="237"/>
      <c r="E5335" s="234"/>
    </row>
    <row r="5336">
      <c r="A5336" s="237"/>
      <c r="E5336" s="234"/>
    </row>
    <row r="5337">
      <c r="A5337" s="237"/>
      <c r="E5337" s="234"/>
    </row>
    <row r="5338">
      <c r="A5338" s="237"/>
      <c r="E5338" s="234"/>
    </row>
    <row r="5339">
      <c r="A5339" s="237"/>
      <c r="E5339" s="234"/>
    </row>
    <row r="5340">
      <c r="A5340" s="237"/>
      <c r="E5340" s="234"/>
    </row>
    <row r="5341">
      <c r="A5341" s="237"/>
      <c r="E5341" s="234"/>
    </row>
    <row r="5342">
      <c r="A5342" s="237"/>
      <c r="E5342" s="234"/>
    </row>
    <row r="5343">
      <c r="A5343" s="237"/>
      <c r="E5343" s="234"/>
    </row>
    <row r="5344">
      <c r="A5344" s="237"/>
      <c r="E5344" s="234"/>
    </row>
    <row r="5345">
      <c r="A5345" s="237"/>
      <c r="E5345" s="234"/>
    </row>
    <row r="5346">
      <c r="A5346" s="237"/>
      <c r="E5346" s="234"/>
    </row>
    <row r="5347">
      <c r="A5347" s="237"/>
      <c r="E5347" s="234"/>
    </row>
    <row r="5348">
      <c r="A5348" s="237"/>
      <c r="E5348" s="234"/>
    </row>
    <row r="5349">
      <c r="A5349" s="237"/>
      <c r="E5349" s="234"/>
    </row>
    <row r="5350">
      <c r="A5350" s="237"/>
      <c r="E5350" s="234"/>
    </row>
    <row r="5351">
      <c r="A5351" s="237"/>
      <c r="E5351" s="234"/>
    </row>
    <row r="5352">
      <c r="A5352" s="237"/>
      <c r="E5352" s="234"/>
    </row>
    <row r="5353">
      <c r="A5353" s="237"/>
      <c r="E5353" s="234"/>
    </row>
    <row r="5354">
      <c r="A5354" s="237"/>
      <c r="E5354" s="234"/>
    </row>
    <row r="5355">
      <c r="A5355" s="237"/>
      <c r="E5355" s="234"/>
    </row>
    <row r="5356">
      <c r="A5356" s="237"/>
      <c r="E5356" s="234"/>
    </row>
    <row r="5357">
      <c r="A5357" s="237"/>
      <c r="E5357" s="234"/>
    </row>
    <row r="5358">
      <c r="A5358" s="237"/>
      <c r="E5358" s="234"/>
    </row>
    <row r="5359">
      <c r="A5359" s="237"/>
      <c r="E5359" s="234"/>
    </row>
    <row r="5360">
      <c r="A5360" s="237"/>
      <c r="E5360" s="234"/>
    </row>
    <row r="5361">
      <c r="A5361" s="237"/>
      <c r="E5361" s="234"/>
    </row>
    <row r="5362">
      <c r="A5362" s="237"/>
      <c r="E5362" s="234"/>
    </row>
    <row r="5363">
      <c r="A5363" s="237"/>
      <c r="E5363" s="234"/>
    </row>
    <row r="5364">
      <c r="A5364" s="237"/>
      <c r="E5364" s="234"/>
    </row>
    <row r="5365">
      <c r="A5365" s="237"/>
      <c r="E5365" s="234"/>
    </row>
    <row r="5366">
      <c r="A5366" s="237"/>
      <c r="E5366" s="234"/>
    </row>
    <row r="5367">
      <c r="A5367" s="237"/>
      <c r="E5367" s="234"/>
    </row>
    <row r="5368">
      <c r="A5368" s="237"/>
      <c r="E5368" s="234"/>
    </row>
    <row r="5369">
      <c r="A5369" s="237"/>
      <c r="E5369" s="234"/>
    </row>
    <row r="5370">
      <c r="A5370" s="237"/>
      <c r="E5370" s="234"/>
    </row>
    <row r="5371">
      <c r="A5371" s="237"/>
      <c r="E5371" s="234"/>
    </row>
    <row r="5372">
      <c r="A5372" s="237"/>
      <c r="E5372" s="234"/>
    </row>
    <row r="5373">
      <c r="A5373" s="237"/>
      <c r="E5373" s="234"/>
    </row>
    <row r="5374">
      <c r="A5374" s="237"/>
      <c r="E5374" s="234"/>
    </row>
    <row r="5375">
      <c r="A5375" s="237"/>
      <c r="E5375" s="234"/>
    </row>
    <row r="5376">
      <c r="A5376" s="237"/>
      <c r="E5376" s="234"/>
    </row>
    <row r="5377">
      <c r="A5377" s="237"/>
      <c r="E5377" s="234"/>
    </row>
    <row r="5378">
      <c r="A5378" s="237"/>
      <c r="E5378" s="234"/>
    </row>
    <row r="5379">
      <c r="A5379" s="237"/>
      <c r="E5379" s="234"/>
    </row>
    <row r="5380">
      <c r="A5380" s="237"/>
      <c r="E5380" s="234"/>
    </row>
    <row r="5381">
      <c r="A5381" s="237"/>
      <c r="E5381" s="234"/>
    </row>
    <row r="5382">
      <c r="A5382" s="237"/>
      <c r="E5382" s="234"/>
    </row>
    <row r="5383">
      <c r="A5383" s="237"/>
      <c r="E5383" s="234"/>
    </row>
    <row r="5384">
      <c r="A5384" s="237"/>
      <c r="E5384" s="234"/>
    </row>
    <row r="5385">
      <c r="A5385" s="237"/>
      <c r="E5385" s="234"/>
    </row>
    <row r="5386">
      <c r="A5386" s="237"/>
      <c r="E5386" s="234"/>
    </row>
    <row r="5387">
      <c r="A5387" s="237"/>
      <c r="E5387" s="234"/>
    </row>
    <row r="5388">
      <c r="A5388" s="237"/>
      <c r="E5388" s="234"/>
    </row>
    <row r="5389">
      <c r="A5389" s="237"/>
      <c r="E5389" s="234"/>
    </row>
    <row r="5390">
      <c r="A5390" s="237"/>
      <c r="E5390" s="234"/>
    </row>
    <row r="5391">
      <c r="A5391" s="237"/>
      <c r="E5391" s="234"/>
    </row>
    <row r="5392">
      <c r="A5392" s="237"/>
      <c r="E5392" s="234"/>
    </row>
    <row r="5393">
      <c r="A5393" s="237"/>
      <c r="E5393" s="234"/>
    </row>
    <row r="5394">
      <c r="A5394" s="237"/>
      <c r="E5394" s="234"/>
    </row>
    <row r="5395">
      <c r="A5395" s="237"/>
      <c r="E5395" s="234"/>
    </row>
    <row r="5396">
      <c r="A5396" s="237"/>
      <c r="E5396" s="234"/>
    </row>
    <row r="5397">
      <c r="A5397" s="237"/>
      <c r="E5397" s="234"/>
    </row>
    <row r="5398">
      <c r="A5398" s="237"/>
      <c r="E5398" s="234"/>
    </row>
    <row r="5399">
      <c r="A5399" s="237"/>
      <c r="E5399" s="234"/>
    </row>
    <row r="5400">
      <c r="A5400" s="237"/>
      <c r="E5400" s="234"/>
    </row>
    <row r="5401">
      <c r="A5401" s="237"/>
      <c r="E5401" s="234"/>
    </row>
    <row r="5402">
      <c r="A5402" s="237"/>
      <c r="E5402" s="234"/>
    </row>
    <row r="5403">
      <c r="A5403" s="237"/>
      <c r="E5403" s="234"/>
    </row>
    <row r="5404">
      <c r="A5404" s="237"/>
      <c r="E5404" s="234"/>
    </row>
    <row r="5405">
      <c r="A5405" s="237"/>
      <c r="E5405" s="234"/>
    </row>
    <row r="5406">
      <c r="A5406" s="237"/>
      <c r="E5406" s="234"/>
    </row>
    <row r="5407">
      <c r="A5407" s="237"/>
      <c r="E5407" s="234"/>
    </row>
    <row r="5408">
      <c r="A5408" s="237"/>
      <c r="E5408" s="234"/>
    </row>
    <row r="5409">
      <c r="A5409" s="237"/>
      <c r="E5409" s="234"/>
    </row>
    <row r="5410">
      <c r="A5410" s="237"/>
      <c r="E5410" s="234"/>
    </row>
    <row r="5411">
      <c r="A5411" s="237"/>
      <c r="E5411" s="234"/>
    </row>
    <row r="5412">
      <c r="A5412" s="237"/>
      <c r="E5412" s="234"/>
    </row>
    <row r="5413">
      <c r="A5413" s="237"/>
      <c r="E5413" s="234"/>
    </row>
    <row r="5414">
      <c r="A5414" s="237"/>
      <c r="E5414" s="234"/>
    </row>
    <row r="5415">
      <c r="A5415" s="237"/>
      <c r="E5415" s="234"/>
    </row>
    <row r="5416">
      <c r="A5416" s="237"/>
      <c r="E5416" s="234"/>
    </row>
    <row r="5417">
      <c r="A5417" s="237"/>
      <c r="E5417" s="234"/>
    </row>
    <row r="5418">
      <c r="A5418" s="237"/>
      <c r="E5418" s="234"/>
    </row>
    <row r="5419">
      <c r="A5419" s="237"/>
      <c r="E5419" s="234"/>
    </row>
    <row r="5420">
      <c r="A5420" s="237"/>
      <c r="E5420" s="234"/>
    </row>
    <row r="5421">
      <c r="A5421" s="237"/>
      <c r="E5421" s="234"/>
    </row>
    <row r="5422">
      <c r="A5422" s="237"/>
      <c r="E5422" s="234"/>
    </row>
    <row r="5423">
      <c r="A5423" s="237"/>
      <c r="E5423" s="234"/>
    </row>
    <row r="5424">
      <c r="A5424" s="237"/>
      <c r="E5424" s="234"/>
    </row>
    <row r="5425">
      <c r="A5425" s="237"/>
      <c r="E5425" s="234"/>
    </row>
    <row r="5426">
      <c r="A5426" s="237"/>
      <c r="E5426" s="234"/>
    </row>
    <row r="5427">
      <c r="A5427" s="237"/>
      <c r="E5427" s="234"/>
    </row>
    <row r="5428">
      <c r="A5428" s="237"/>
      <c r="E5428" s="234"/>
    </row>
    <row r="5429">
      <c r="A5429" s="237"/>
      <c r="E5429" s="234"/>
    </row>
    <row r="5430">
      <c r="A5430" s="237"/>
      <c r="E5430" s="234"/>
    </row>
    <row r="5431">
      <c r="A5431" s="237"/>
      <c r="E5431" s="234"/>
    </row>
    <row r="5432">
      <c r="A5432" s="237"/>
      <c r="E5432" s="234"/>
    </row>
    <row r="5433">
      <c r="A5433" s="237"/>
      <c r="E5433" s="234"/>
    </row>
    <row r="5434">
      <c r="A5434" s="237"/>
      <c r="E5434" s="234"/>
    </row>
    <row r="5435">
      <c r="A5435" s="237"/>
      <c r="E5435" s="234"/>
    </row>
    <row r="5436">
      <c r="A5436" s="237"/>
      <c r="E5436" s="234"/>
    </row>
    <row r="5437">
      <c r="A5437" s="237"/>
      <c r="E5437" s="234"/>
    </row>
    <row r="5438">
      <c r="A5438" s="237"/>
      <c r="E5438" s="234"/>
    </row>
    <row r="5439">
      <c r="A5439" s="237"/>
      <c r="E5439" s="234"/>
    </row>
    <row r="5440">
      <c r="A5440" s="237"/>
      <c r="E5440" s="234"/>
    </row>
    <row r="5441">
      <c r="A5441" s="237"/>
      <c r="E5441" s="234"/>
    </row>
    <row r="5442">
      <c r="A5442" s="237"/>
      <c r="E5442" s="234"/>
    </row>
    <row r="5443">
      <c r="A5443" s="237"/>
      <c r="E5443" s="234"/>
    </row>
    <row r="5444">
      <c r="A5444" s="237"/>
      <c r="E5444" s="234"/>
    </row>
    <row r="5445">
      <c r="A5445" s="237"/>
      <c r="E5445" s="234"/>
    </row>
    <row r="5446">
      <c r="A5446" s="237"/>
      <c r="E5446" s="234"/>
    </row>
    <row r="5447">
      <c r="A5447" s="237"/>
      <c r="E5447" s="234"/>
    </row>
    <row r="5448">
      <c r="A5448" s="237"/>
      <c r="E5448" s="234"/>
    </row>
    <row r="5449">
      <c r="A5449" s="237"/>
      <c r="E5449" s="234"/>
    </row>
    <row r="5450">
      <c r="A5450" s="237"/>
      <c r="E5450" s="234"/>
    </row>
    <row r="5451">
      <c r="A5451" s="237"/>
      <c r="E5451" s="234"/>
    </row>
    <row r="5452">
      <c r="A5452" s="237"/>
      <c r="E5452" s="234"/>
    </row>
    <row r="5453">
      <c r="A5453" s="237"/>
      <c r="E5453" s="234"/>
    </row>
    <row r="5454">
      <c r="A5454" s="237"/>
      <c r="E5454" s="234"/>
    </row>
    <row r="5455">
      <c r="A5455" s="237"/>
      <c r="E5455" s="234"/>
    </row>
    <row r="5456">
      <c r="A5456" s="237"/>
      <c r="E5456" s="234"/>
    </row>
    <row r="5457">
      <c r="A5457" s="237"/>
      <c r="E5457" s="234"/>
    </row>
    <row r="5458">
      <c r="A5458" s="237"/>
      <c r="E5458" s="234"/>
    </row>
    <row r="5459">
      <c r="A5459" s="237"/>
      <c r="E5459" s="234"/>
    </row>
    <row r="5460">
      <c r="A5460" s="237"/>
      <c r="E5460" s="234"/>
    </row>
    <row r="5461">
      <c r="A5461" s="237"/>
      <c r="E5461" s="234"/>
    </row>
    <row r="5462">
      <c r="A5462" s="237"/>
      <c r="E5462" s="234"/>
    </row>
    <row r="5463">
      <c r="A5463" s="237"/>
      <c r="E5463" s="234"/>
    </row>
    <row r="5464">
      <c r="A5464" s="237"/>
      <c r="E5464" s="234"/>
    </row>
    <row r="5465">
      <c r="A5465" s="237"/>
      <c r="E5465" s="234"/>
    </row>
    <row r="5466">
      <c r="A5466" s="237"/>
      <c r="E5466" s="234"/>
    </row>
    <row r="5467">
      <c r="A5467" s="237"/>
      <c r="E5467" s="234"/>
    </row>
    <row r="5468">
      <c r="A5468" s="237"/>
      <c r="E5468" s="234"/>
    </row>
    <row r="5469">
      <c r="A5469" s="237"/>
      <c r="E5469" s="234"/>
    </row>
    <row r="5470">
      <c r="A5470" s="237"/>
      <c r="E5470" s="234"/>
    </row>
    <row r="5471">
      <c r="A5471" s="237"/>
      <c r="E5471" s="234"/>
    </row>
    <row r="5472">
      <c r="A5472" s="237"/>
      <c r="E5472" s="234"/>
    </row>
    <row r="5473">
      <c r="A5473" s="237"/>
      <c r="E5473" s="234"/>
    </row>
    <row r="5474">
      <c r="A5474" s="237"/>
      <c r="E5474" s="234"/>
    </row>
    <row r="5475">
      <c r="A5475" s="237"/>
      <c r="E5475" s="234"/>
    </row>
    <row r="5476">
      <c r="A5476" s="237"/>
      <c r="E5476" s="234"/>
    </row>
    <row r="5477">
      <c r="A5477" s="237"/>
      <c r="E5477" s="234"/>
    </row>
    <row r="5478">
      <c r="A5478" s="237"/>
      <c r="E5478" s="234"/>
    </row>
    <row r="5479">
      <c r="A5479" s="237"/>
      <c r="E5479" s="234"/>
    </row>
    <row r="5480">
      <c r="A5480" s="237"/>
      <c r="E5480" s="234"/>
    </row>
    <row r="5481">
      <c r="A5481" s="237"/>
      <c r="E5481" s="234"/>
    </row>
    <row r="5482">
      <c r="A5482" s="237"/>
      <c r="E5482" s="234"/>
    </row>
    <row r="5483">
      <c r="A5483" s="237"/>
      <c r="E5483" s="234"/>
    </row>
    <row r="5484">
      <c r="A5484" s="237"/>
      <c r="E5484" s="234"/>
    </row>
    <row r="5485">
      <c r="A5485" s="237"/>
      <c r="E5485" s="234"/>
    </row>
    <row r="5486">
      <c r="A5486" s="237"/>
      <c r="E5486" s="234"/>
    </row>
    <row r="5487">
      <c r="A5487" s="237"/>
      <c r="E5487" s="234"/>
    </row>
    <row r="5488">
      <c r="A5488" s="237"/>
      <c r="E5488" s="234"/>
    </row>
    <row r="5489">
      <c r="A5489" s="237"/>
      <c r="E5489" s="234"/>
    </row>
    <row r="5490">
      <c r="A5490" s="237"/>
      <c r="E5490" s="234"/>
    </row>
    <row r="5491">
      <c r="A5491" s="237"/>
      <c r="E5491" s="234"/>
    </row>
    <row r="5492">
      <c r="A5492" s="237"/>
      <c r="E5492" s="234"/>
    </row>
    <row r="5493">
      <c r="A5493" s="237"/>
      <c r="E5493" s="234"/>
    </row>
    <row r="5494">
      <c r="A5494" s="237"/>
      <c r="E5494" s="234"/>
    </row>
    <row r="5495">
      <c r="A5495" s="237"/>
      <c r="E5495" s="234"/>
    </row>
    <row r="5496">
      <c r="A5496" s="237"/>
      <c r="E5496" s="234"/>
    </row>
    <row r="5497">
      <c r="A5497" s="237"/>
      <c r="E5497" s="234"/>
    </row>
    <row r="5498">
      <c r="A5498" s="237"/>
      <c r="E5498" s="234"/>
    </row>
    <row r="5499">
      <c r="A5499" s="237"/>
      <c r="E5499" s="234"/>
    </row>
    <row r="5500">
      <c r="A5500" s="237"/>
      <c r="E5500" s="234"/>
    </row>
    <row r="5501">
      <c r="A5501" s="237"/>
      <c r="E5501" s="234"/>
    </row>
    <row r="5502">
      <c r="A5502" s="237"/>
      <c r="E5502" s="234"/>
    </row>
    <row r="5503">
      <c r="A5503" s="237"/>
      <c r="E5503" s="234"/>
    </row>
    <row r="5504">
      <c r="A5504" s="237"/>
      <c r="E5504" s="234"/>
    </row>
    <row r="5505">
      <c r="A5505" s="237"/>
      <c r="E5505" s="234"/>
    </row>
    <row r="5506">
      <c r="A5506" s="237"/>
      <c r="E5506" s="234"/>
    </row>
    <row r="5507">
      <c r="A5507" s="237"/>
      <c r="E5507" s="234"/>
    </row>
    <row r="5508">
      <c r="A5508" s="237"/>
      <c r="E5508" s="234"/>
    </row>
    <row r="5509">
      <c r="A5509" s="237"/>
      <c r="E5509" s="234"/>
    </row>
    <row r="5510">
      <c r="A5510" s="237"/>
      <c r="E5510" s="234"/>
    </row>
    <row r="5511">
      <c r="A5511" s="237"/>
      <c r="E5511" s="234"/>
    </row>
    <row r="5512">
      <c r="A5512" s="237"/>
      <c r="E5512" s="234"/>
    </row>
    <row r="5513">
      <c r="A5513" s="237"/>
      <c r="E5513" s="234"/>
    </row>
    <row r="5514">
      <c r="A5514" s="237"/>
      <c r="E5514" s="234"/>
    </row>
    <row r="5515">
      <c r="A5515" s="237"/>
      <c r="E5515" s="234"/>
    </row>
    <row r="5516">
      <c r="A5516" s="237"/>
      <c r="E5516" s="234"/>
    </row>
    <row r="5517">
      <c r="A5517" s="237"/>
      <c r="E5517" s="234"/>
    </row>
    <row r="5518">
      <c r="A5518" s="237"/>
      <c r="E5518" s="234"/>
    </row>
    <row r="5519">
      <c r="A5519" s="237"/>
      <c r="E5519" s="234"/>
    </row>
    <row r="5520">
      <c r="A5520" s="237"/>
      <c r="E5520" s="234"/>
    </row>
    <row r="5521">
      <c r="A5521" s="237"/>
      <c r="E5521" s="234"/>
    </row>
    <row r="5522">
      <c r="A5522" s="237"/>
      <c r="E5522" s="234"/>
    </row>
    <row r="5523">
      <c r="A5523" s="237"/>
      <c r="E5523" s="234"/>
    </row>
    <row r="5524">
      <c r="A5524" s="237"/>
      <c r="E5524" s="234"/>
    </row>
    <row r="5525">
      <c r="A5525" s="237"/>
      <c r="E5525" s="234"/>
    </row>
    <row r="5526">
      <c r="A5526" s="237"/>
      <c r="E5526" s="234"/>
    </row>
    <row r="5527">
      <c r="A5527" s="237"/>
      <c r="E5527" s="234"/>
    </row>
    <row r="5528">
      <c r="A5528" s="237"/>
      <c r="E5528" s="234"/>
    </row>
    <row r="5529">
      <c r="A5529" s="237"/>
      <c r="E5529" s="234"/>
    </row>
    <row r="5530">
      <c r="A5530" s="237"/>
      <c r="E5530" s="234"/>
    </row>
    <row r="5531">
      <c r="A5531" s="237"/>
      <c r="E5531" s="234"/>
    </row>
    <row r="5532">
      <c r="A5532" s="237"/>
      <c r="E5532" s="234"/>
    </row>
    <row r="5533">
      <c r="A5533" s="237"/>
      <c r="E5533" s="234"/>
    </row>
    <row r="5534">
      <c r="A5534" s="237"/>
      <c r="E5534" s="234"/>
    </row>
    <row r="5535">
      <c r="A5535" s="237"/>
      <c r="E5535" s="234"/>
    </row>
    <row r="5536">
      <c r="A5536" s="237"/>
      <c r="E5536" s="234"/>
    </row>
    <row r="5537">
      <c r="A5537" s="237"/>
      <c r="E5537" s="234"/>
    </row>
    <row r="5538">
      <c r="A5538" s="237"/>
      <c r="E5538" s="234"/>
    </row>
    <row r="5539">
      <c r="A5539" s="237"/>
      <c r="E5539" s="234"/>
    </row>
    <row r="5540">
      <c r="A5540" s="237"/>
      <c r="E5540" s="234"/>
    </row>
    <row r="5541">
      <c r="A5541" s="237"/>
      <c r="E5541" s="234"/>
    </row>
    <row r="5542">
      <c r="A5542" s="237"/>
      <c r="E5542" s="234"/>
    </row>
    <row r="5543">
      <c r="A5543" s="237"/>
      <c r="E5543" s="234"/>
    </row>
    <row r="5544">
      <c r="A5544" s="237"/>
      <c r="E5544" s="234"/>
    </row>
    <row r="5545">
      <c r="A5545" s="237"/>
      <c r="E5545" s="234"/>
    </row>
    <row r="5546">
      <c r="A5546" s="237"/>
      <c r="E5546" s="234"/>
    </row>
    <row r="5547">
      <c r="A5547" s="237"/>
      <c r="E5547" s="234"/>
    </row>
    <row r="5548">
      <c r="A5548" s="237"/>
      <c r="E5548" s="234"/>
    </row>
    <row r="5549">
      <c r="A5549" s="237"/>
      <c r="E5549" s="234"/>
    </row>
    <row r="5550">
      <c r="A5550" s="237"/>
      <c r="E5550" s="234"/>
    </row>
    <row r="5551">
      <c r="A5551" s="237"/>
      <c r="E5551" s="234"/>
    </row>
    <row r="5552">
      <c r="A5552" s="237"/>
      <c r="E5552" s="234"/>
    </row>
    <row r="5553">
      <c r="A5553" s="237"/>
      <c r="E5553" s="234"/>
    </row>
    <row r="5554">
      <c r="A5554" s="237"/>
      <c r="E5554" s="234"/>
    </row>
    <row r="5555">
      <c r="A5555" s="237"/>
      <c r="E5555" s="234"/>
    </row>
    <row r="5556">
      <c r="A5556" s="237"/>
      <c r="E5556" s="234"/>
    </row>
    <row r="5557">
      <c r="A5557" s="237"/>
      <c r="E5557" s="234"/>
    </row>
    <row r="5558">
      <c r="A5558" s="237"/>
      <c r="E5558" s="234"/>
    </row>
    <row r="5559">
      <c r="A5559" s="237"/>
      <c r="E5559" s="234"/>
    </row>
    <row r="5560">
      <c r="A5560" s="237"/>
      <c r="E5560" s="234"/>
    </row>
    <row r="5561">
      <c r="A5561" s="237"/>
      <c r="E5561" s="234"/>
    </row>
    <row r="5562">
      <c r="A5562" s="237"/>
      <c r="E5562" s="234"/>
    </row>
    <row r="5563">
      <c r="A5563" s="237"/>
      <c r="E5563" s="234"/>
    </row>
    <row r="5564">
      <c r="A5564" s="237"/>
      <c r="E5564" s="234"/>
    </row>
    <row r="5565">
      <c r="A5565" s="237"/>
      <c r="E5565" s="234"/>
    </row>
    <row r="5566">
      <c r="A5566" s="237"/>
      <c r="E5566" s="234"/>
    </row>
    <row r="5567">
      <c r="A5567" s="237"/>
      <c r="E5567" s="234"/>
    </row>
    <row r="5568">
      <c r="A5568" s="237"/>
      <c r="E5568" s="234"/>
    </row>
    <row r="5569">
      <c r="A5569" s="237"/>
      <c r="E5569" s="234"/>
    </row>
    <row r="5570">
      <c r="A5570" s="237"/>
      <c r="E5570" s="234"/>
    </row>
    <row r="5571">
      <c r="A5571" s="237"/>
      <c r="E5571" s="234"/>
    </row>
    <row r="5572">
      <c r="A5572" s="237"/>
      <c r="E5572" s="234"/>
    </row>
    <row r="5573">
      <c r="A5573" s="237"/>
      <c r="E5573" s="234"/>
    </row>
    <row r="5574">
      <c r="A5574" s="237"/>
      <c r="E5574" s="234"/>
    </row>
    <row r="5575">
      <c r="A5575" s="237"/>
      <c r="E5575" s="234"/>
    </row>
    <row r="5576">
      <c r="A5576" s="237"/>
      <c r="E5576" s="234"/>
    </row>
    <row r="5577">
      <c r="A5577" s="237"/>
      <c r="E5577" s="234"/>
    </row>
    <row r="5578">
      <c r="A5578" s="237"/>
      <c r="E5578" s="234"/>
    </row>
    <row r="5579">
      <c r="A5579" s="237"/>
      <c r="E5579" s="234"/>
    </row>
    <row r="5580">
      <c r="A5580" s="237"/>
      <c r="E5580" s="234"/>
    </row>
    <row r="5581">
      <c r="A5581" s="237"/>
      <c r="E5581" s="234"/>
    </row>
    <row r="5582">
      <c r="A5582" s="237"/>
      <c r="E5582" s="234"/>
    </row>
    <row r="5583">
      <c r="A5583" s="237"/>
      <c r="E5583" s="234"/>
    </row>
    <row r="5584">
      <c r="A5584" s="237"/>
      <c r="E5584" s="234"/>
    </row>
    <row r="5585">
      <c r="A5585" s="237"/>
      <c r="E5585" s="234"/>
    </row>
    <row r="5586">
      <c r="A5586" s="237"/>
      <c r="E5586" s="234"/>
    </row>
    <row r="5587">
      <c r="A5587" s="237"/>
      <c r="E5587" s="234"/>
    </row>
    <row r="5588">
      <c r="A5588" s="237"/>
      <c r="E5588" s="234"/>
    </row>
    <row r="5589">
      <c r="A5589" s="237"/>
      <c r="E5589" s="234"/>
    </row>
    <row r="5590">
      <c r="A5590" s="237"/>
      <c r="E5590" s="234"/>
    </row>
    <row r="5591">
      <c r="A5591" s="237"/>
      <c r="E5591" s="234"/>
    </row>
    <row r="5592">
      <c r="A5592" s="237"/>
      <c r="E5592" s="234"/>
    </row>
    <row r="5593">
      <c r="A5593" s="237"/>
      <c r="E5593" s="234"/>
    </row>
    <row r="5594">
      <c r="A5594" s="237"/>
      <c r="E5594" s="234"/>
    </row>
    <row r="5595">
      <c r="A5595" s="237"/>
      <c r="E5595" s="234"/>
    </row>
    <row r="5596">
      <c r="A5596" s="237"/>
      <c r="E5596" s="234"/>
    </row>
    <row r="5597">
      <c r="A5597" s="237"/>
      <c r="E5597" s="234"/>
    </row>
    <row r="5598">
      <c r="A5598" s="237"/>
      <c r="E5598" s="234"/>
    </row>
    <row r="5599">
      <c r="A5599" s="237"/>
      <c r="E5599" s="234"/>
    </row>
    <row r="5600">
      <c r="A5600" s="237"/>
      <c r="E5600" s="234"/>
    </row>
    <row r="5601">
      <c r="A5601" s="237"/>
      <c r="E5601" s="234"/>
    </row>
    <row r="5602">
      <c r="A5602" s="237"/>
      <c r="E5602" s="234"/>
    </row>
    <row r="5603">
      <c r="A5603" s="237"/>
      <c r="E5603" s="234"/>
    </row>
    <row r="5604">
      <c r="A5604" s="237"/>
      <c r="E5604" s="234"/>
    </row>
    <row r="5605">
      <c r="A5605" s="237"/>
      <c r="E5605" s="234"/>
    </row>
    <row r="5606">
      <c r="A5606" s="237"/>
      <c r="E5606" s="234"/>
    </row>
    <row r="5607">
      <c r="A5607" s="237"/>
      <c r="E5607" s="234"/>
    </row>
    <row r="5608">
      <c r="A5608" s="237"/>
      <c r="E5608" s="234"/>
    </row>
    <row r="5609">
      <c r="A5609" s="237"/>
      <c r="E5609" s="234"/>
    </row>
    <row r="5610">
      <c r="A5610" s="237"/>
      <c r="E5610" s="234"/>
    </row>
    <row r="5611">
      <c r="A5611" s="237"/>
      <c r="E5611" s="234"/>
    </row>
    <row r="5612">
      <c r="A5612" s="237"/>
      <c r="E5612" s="234"/>
    </row>
    <row r="5613">
      <c r="A5613" s="237"/>
      <c r="E5613" s="234"/>
    </row>
    <row r="5614">
      <c r="A5614" s="237"/>
      <c r="E5614" s="234"/>
    </row>
    <row r="5615">
      <c r="A5615" s="237"/>
      <c r="E5615" s="234"/>
    </row>
    <row r="5616">
      <c r="A5616" s="237"/>
      <c r="E5616" s="234"/>
    </row>
    <row r="5617">
      <c r="A5617" s="237"/>
      <c r="E5617" s="234"/>
    </row>
    <row r="5618">
      <c r="A5618" s="237"/>
      <c r="E5618" s="234"/>
    </row>
    <row r="5619">
      <c r="A5619" s="237"/>
      <c r="E5619" s="234"/>
    </row>
    <row r="5620">
      <c r="A5620" s="237"/>
      <c r="E5620" s="234"/>
    </row>
    <row r="5621">
      <c r="A5621" s="237"/>
      <c r="E5621" s="234"/>
    </row>
    <row r="5622">
      <c r="A5622" s="237"/>
      <c r="E5622" s="234"/>
    </row>
    <row r="5623">
      <c r="A5623" s="237"/>
      <c r="E5623" s="234"/>
    </row>
    <row r="5624">
      <c r="A5624" s="237"/>
      <c r="E5624" s="234"/>
    </row>
    <row r="5625">
      <c r="A5625" s="237"/>
      <c r="E5625" s="234"/>
    </row>
    <row r="5626">
      <c r="A5626" s="237"/>
      <c r="E5626" s="234"/>
    </row>
    <row r="5627">
      <c r="A5627" s="237"/>
      <c r="E5627" s="234"/>
    </row>
    <row r="5628">
      <c r="A5628" s="237"/>
      <c r="E5628" s="234"/>
    </row>
    <row r="5629">
      <c r="A5629" s="237"/>
      <c r="E5629" s="234"/>
    </row>
    <row r="5630">
      <c r="A5630" s="237"/>
      <c r="E5630" s="234"/>
    </row>
    <row r="5631">
      <c r="A5631" s="237"/>
      <c r="E5631" s="234"/>
    </row>
    <row r="5632">
      <c r="A5632" s="237"/>
      <c r="E5632" s="234"/>
    </row>
    <row r="5633">
      <c r="A5633" s="237"/>
      <c r="E5633" s="234"/>
    </row>
    <row r="5634">
      <c r="A5634" s="237"/>
      <c r="E5634" s="234"/>
    </row>
    <row r="5635">
      <c r="A5635" s="237"/>
      <c r="E5635" s="234"/>
    </row>
    <row r="5636">
      <c r="A5636" s="237"/>
      <c r="E5636" s="234"/>
    </row>
    <row r="5637">
      <c r="A5637" s="237"/>
      <c r="E5637" s="234"/>
    </row>
    <row r="5638">
      <c r="A5638" s="237"/>
      <c r="E5638" s="234"/>
    </row>
    <row r="5639">
      <c r="A5639" s="237"/>
      <c r="E5639" s="234"/>
    </row>
    <row r="5640">
      <c r="A5640" s="237"/>
      <c r="E5640" s="234"/>
    </row>
    <row r="5641">
      <c r="A5641" s="237"/>
      <c r="E5641" s="234"/>
    </row>
    <row r="5642">
      <c r="A5642" s="237"/>
      <c r="E5642" s="234"/>
    </row>
    <row r="5643">
      <c r="A5643" s="237"/>
      <c r="E5643" s="234"/>
    </row>
    <row r="5644">
      <c r="A5644" s="237"/>
      <c r="E5644" s="234"/>
    </row>
    <row r="5645">
      <c r="A5645" s="237"/>
      <c r="E5645" s="234"/>
    </row>
    <row r="5646">
      <c r="A5646" s="237"/>
      <c r="E5646" s="234"/>
    </row>
    <row r="5647">
      <c r="A5647" s="237"/>
      <c r="E5647" s="234"/>
    </row>
    <row r="5648">
      <c r="A5648" s="237"/>
      <c r="E5648" s="234"/>
    </row>
    <row r="5649">
      <c r="A5649" s="237"/>
      <c r="E5649" s="234"/>
    </row>
    <row r="5650">
      <c r="A5650" s="237"/>
      <c r="E5650" s="234"/>
    </row>
    <row r="5651">
      <c r="A5651" s="237"/>
      <c r="E5651" s="234"/>
    </row>
    <row r="5652">
      <c r="A5652" s="237"/>
      <c r="E5652" s="234"/>
    </row>
    <row r="5653">
      <c r="A5653" s="237"/>
      <c r="E5653" s="234"/>
    </row>
    <row r="5654">
      <c r="A5654" s="237"/>
      <c r="E5654" s="234"/>
    </row>
    <row r="5655">
      <c r="A5655" s="237"/>
      <c r="E5655" s="234"/>
    </row>
    <row r="5656">
      <c r="A5656" s="237"/>
      <c r="E5656" s="234"/>
    </row>
    <row r="5657">
      <c r="A5657" s="237"/>
      <c r="E5657" s="234"/>
    </row>
    <row r="5658">
      <c r="A5658" s="237"/>
      <c r="E5658" s="234"/>
    </row>
    <row r="5659">
      <c r="A5659" s="237"/>
      <c r="E5659" s="234"/>
    </row>
    <row r="5660">
      <c r="A5660" s="237"/>
      <c r="E5660" s="234"/>
    </row>
    <row r="5661">
      <c r="A5661" s="237"/>
      <c r="E5661" s="234"/>
    </row>
    <row r="5662">
      <c r="A5662" s="237"/>
      <c r="E5662" s="234"/>
    </row>
    <row r="5663">
      <c r="A5663" s="237"/>
      <c r="E5663" s="234"/>
    </row>
    <row r="5664">
      <c r="A5664" s="237"/>
      <c r="E5664" s="234"/>
    </row>
    <row r="5665">
      <c r="A5665" s="237"/>
      <c r="E5665" s="234"/>
    </row>
    <row r="5666">
      <c r="A5666" s="237"/>
      <c r="E5666" s="234"/>
    </row>
    <row r="5667">
      <c r="A5667" s="237"/>
      <c r="E5667" s="234"/>
    </row>
    <row r="5668">
      <c r="A5668" s="237"/>
      <c r="E5668" s="234"/>
    </row>
    <row r="5669">
      <c r="A5669" s="237"/>
      <c r="E5669" s="234"/>
    </row>
    <row r="5670">
      <c r="A5670" s="237"/>
      <c r="E5670" s="234"/>
    </row>
    <row r="5671">
      <c r="A5671" s="237"/>
      <c r="E5671" s="234"/>
    </row>
    <row r="5672">
      <c r="A5672" s="237"/>
      <c r="E5672" s="234"/>
    </row>
    <row r="5673">
      <c r="A5673" s="237"/>
      <c r="E5673" s="234"/>
    </row>
    <row r="5674">
      <c r="A5674" s="237"/>
      <c r="E5674" s="234"/>
    </row>
    <row r="5675">
      <c r="A5675" s="237"/>
      <c r="E5675" s="234"/>
    </row>
    <row r="5676">
      <c r="A5676" s="237"/>
      <c r="E5676" s="234"/>
    </row>
    <row r="5677">
      <c r="A5677" s="237"/>
      <c r="E5677" s="234"/>
    </row>
    <row r="5678">
      <c r="A5678" s="237"/>
      <c r="E5678" s="234"/>
    </row>
    <row r="5679">
      <c r="A5679" s="237"/>
      <c r="E5679" s="234"/>
    </row>
    <row r="5680">
      <c r="A5680" s="237"/>
      <c r="E5680" s="234"/>
    </row>
    <row r="5681">
      <c r="A5681" s="237"/>
      <c r="E5681" s="234"/>
    </row>
    <row r="5682">
      <c r="A5682" s="237"/>
      <c r="E5682" s="234"/>
    </row>
    <row r="5683">
      <c r="A5683" s="237"/>
      <c r="E5683" s="234"/>
    </row>
    <row r="5684">
      <c r="A5684" s="237"/>
      <c r="E5684" s="234"/>
    </row>
    <row r="5685">
      <c r="A5685" s="237"/>
      <c r="E5685" s="234"/>
    </row>
    <row r="5686">
      <c r="A5686" s="237"/>
      <c r="E5686" s="234"/>
    </row>
    <row r="5687">
      <c r="A5687" s="237"/>
      <c r="E5687" s="234"/>
    </row>
    <row r="5688">
      <c r="A5688" s="237"/>
      <c r="E5688" s="234"/>
    </row>
    <row r="5689">
      <c r="A5689" s="237"/>
      <c r="E5689" s="234"/>
    </row>
    <row r="5690">
      <c r="A5690" s="237"/>
      <c r="E5690" s="234"/>
    </row>
    <row r="5691">
      <c r="A5691" s="237"/>
      <c r="E5691" s="234"/>
    </row>
    <row r="5692">
      <c r="A5692" s="237"/>
      <c r="E5692" s="234"/>
    </row>
    <row r="5693">
      <c r="A5693" s="237"/>
      <c r="E5693" s="234"/>
    </row>
    <row r="5694">
      <c r="A5694" s="237"/>
      <c r="E5694" s="234"/>
    </row>
    <row r="5695">
      <c r="A5695" s="237"/>
      <c r="E5695" s="234"/>
    </row>
    <row r="5696">
      <c r="A5696" s="237"/>
      <c r="E5696" s="234"/>
    </row>
    <row r="5697">
      <c r="A5697" s="237"/>
      <c r="E5697" s="234"/>
    </row>
    <row r="5698">
      <c r="A5698" s="237"/>
      <c r="E5698" s="234"/>
    </row>
    <row r="5699">
      <c r="A5699" s="237"/>
      <c r="E5699" s="234"/>
    </row>
    <row r="5700">
      <c r="A5700" s="237"/>
      <c r="E5700" s="234"/>
    </row>
    <row r="5701">
      <c r="A5701" s="237"/>
      <c r="E5701" s="234"/>
    </row>
    <row r="5702">
      <c r="A5702" s="237"/>
      <c r="E5702" s="234"/>
    </row>
    <row r="5703">
      <c r="A5703" s="237"/>
      <c r="E5703" s="234"/>
    </row>
    <row r="5704">
      <c r="A5704" s="237"/>
      <c r="E5704" s="234"/>
    </row>
    <row r="5705">
      <c r="A5705" s="237"/>
      <c r="E5705" s="234"/>
    </row>
    <row r="5706">
      <c r="A5706" s="237"/>
      <c r="E5706" s="234"/>
    </row>
    <row r="5707">
      <c r="A5707" s="237"/>
      <c r="E5707" s="234"/>
    </row>
    <row r="5708">
      <c r="A5708" s="237"/>
      <c r="E5708" s="234"/>
    </row>
    <row r="5709">
      <c r="A5709" s="237"/>
      <c r="E5709" s="234"/>
    </row>
    <row r="5710">
      <c r="A5710" s="237"/>
      <c r="E5710" s="234"/>
    </row>
    <row r="5711">
      <c r="A5711" s="237"/>
      <c r="E5711" s="234"/>
    </row>
    <row r="5712">
      <c r="A5712" s="237"/>
      <c r="E5712" s="234"/>
    </row>
    <row r="5713">
      <c r="A5713" s="237"/>
      <c r="E5713" s="234"/>
    </row>
    <row r="5714">
      <c r="A5714" s="237"/>
      <c r="E5714" s="234"/>
    </row>
    <row r="5715">
      <c r="A5715" s="237"/>
      <c r="E5715" s="234"/>
    </row>
    <row r="5716">
      <c r="A5716" s="237"/>
      <c r="E5716" s="234"/>
    </row>
    <row r="5717">
      <c r="A5717" s="237"/>
      <c r="E5717" s="234"/>
    </row>
    <row r="5718">
      <c r="A5718" s="237"/>
      <c r="E5718" s="234"/>
    </row>
    <row r="5719">
      <c r="A5719" s="237"/>
      <c r="E5719" s="234"/>
    </row>
    <row r="5720">
      <c r="A5720" s="237"/>
      <c r="E5720" s="234"/>
    </row>
    <row r="5721">
      <c r="A5721" s="237"/>
      <c r="E5721" s="234"/>
    </row>
    <row r="5722">
      <c r="A5722" s="237"/>
      <c r="E5722" s="234"/>
    </row>
    <row r="5723">
      <c r="A5723" s="237"/>
      <c r="E5723" s="234"/>
    </row>
    <row r="5724">
      <c r="A5724" s="237"/>
      <c r="E5724" s="234"/>
    </row>
    <row r="5725">
      <c r="A5725" s="237"/>
      <c r="E5725" s="234"/>
    </row>
    <row r="5726">
      <c r="A5726" s="237"/>
      <c r="E5726" s="234"/>
    </row>
    <row r="5727">
      <c r="A5727" s="237"/>
      <c r="E5727" s="234"/>
    </row>
    <row r="5728">
      <c r="A5728" s="237"/>
      <c r="E5728" s="234"/>
    </row>
    <row r="5729">
      <c r="A5729" s="237"/>
      <c r="E5729" s="234"/>
    </row>
    <row r="5730">
      <c r="A5730" s="237"/>
      <c r="E5730" s="234"/>
    </row>
    <row r="5731">
      <c r="A5731" s="237"/>
      <c r="E5731" s="234"/>
    </row>
    <row r="5732">
      <c r="A5732" s="237"/>
      <c r="E5732" s="234"/>
    </row>
    <row r="5733">
      <c r="A5733" s="237"/>
      <c r="E5733" s="234"/>
    </row>
    <row r="5734">
      <c r="A5734" s="237"/>
      <c r="E5734" s="234"/>
    </row>
    <row r="5735">
      <c r="A5735" s="237"/>
      <c r="E5735" s="234"/>
    </row>
    <row r="5736">
      <c r="A5736" s="237"/>
      <c r="E5736" s="234"/>
    </row>
    <row r="5737">
      <c r="A5737" s="237"/>
      <c r="E5737" s="234"/>
    </row>
    <row r="5738">
      <c r="A5738" s="237"/>
      <c r="E5738" s="234"/>
    </row>
    <row r="5739">
      <c r="A5739" s="237"/>
      <c r="E5739" s="234"/>
    </row>
    <row r="5740">
      <c r="A5740" s="237"/>
      <c r="E5740" s="234"/>
    </row>
    <row r="5741">
      <c r="A5741" s="237"/>
      <c r="E5741" s="234"/>
    </row>
    <row r="5742">
      <c r="A5742" s="237"/>
      <c r="E5742" s="234"/>
    </row>
    <row r="5743">
      <c r="A5743" s="237"/>
      <c r="E5743" s="234"/>
    </row>
    <row r="5744">
      <c r="A5744" s="237"/>
      <c r="E5744" s="234"/>
    </row>
    <row r="5745">
      <c r="A5745" s="237"/>
      <c r="E5745" s="234"/>
    </row>
    <row r="5746">
      <c r="A5746" s="237"/>
      <c r="E5746" s="234"/>
    </row>
    <row r="5747">
      <c r="A5747" s="237"/>
      <c r="E5747" s="234"/>
    </row>
    <row r="5748">
      <c r="A5748" s="237"/>
      <c r="E5748" s="234"/>
    </row>
    <row r="5749">
      <c r="A5749" s="237"/>
      <c r="E5749" s="234"/>
    </row>
    <row r="5750">
      <c r="A5750" s="237"/>
      <c r="E5750" s="234"/>
    </row>
    <row r="5751">
      <c r="A5751" s="237"/>
      <c r="E5751" s="234"/>
    </row>
    <row r="5752">
      <c r="A5752" s="237"/>
      <c r="E5752" s="234"/>
    </row>
    <row r="5753">
      <c r="A5753" s="237"/>
      <c r="E5753" s="234"/>
    </row>
    <row r="5754">
      <c r="A5754" s="237"/>
      <c r="E5754" s="234"/>
    </row>
    <row r="5755">
      <c r="A5755" s="237"/>
      <c r="E5755" s="234"/>
    </row>
    <row r="5756">
      <c r="A5756" s="237"/>
      <c r="E5756" s="234"/>
    </row>
    <row r="5757">
      <c r="A5757" s="237"/>
      <c r="E5757" s="234"/>
    </row>
    <row r="5758">
      <c r="A5758" s="237"/>
      <c r="E5758" s="234"/>
    </row>
    <row r="5759">
      <c r="A5759" s="237"/>
      <c r="E5759" s="234"/>
    </row>
    <row r="5760">
      <c r="A5760" s="237"/>
      <c r="E5760" s="234"/>
    </row>
    <row r="5761">
      <c r="A5761" s="237"/>
      <c r="E5761" s="234"/>
    </row>
    <row r="5762">
      <c r="A5762" s="237"/>
      <c r="E5762" s="234"/>
    </row>
    <row r="5763">
      <c r="A5763" s="237"/>
      <c r="E5763" s="234"/>
    </row>
    <row r="5764">
      <c r="A5764" s="237"/>
      <c r="E5764" s="234"/>
    </row>
    <row r="5765">
      <c r="A5765" s="237"/>
      <c r="E5765" s="234"/>
    </row>
    <row r="5766">
      <c r="A5766" s="237"/>
      <c r="E5766" s="234"/>
    </row>
    <row r="5767">
      <c r="A5767" s="237"/>
      <c r="E5767" s="234"/>
    </row>
    <row r="5768">
      <c r="A5768" s="237"/>
      <c r="E5768" s="234"/>
    </row>
    <row r="5769">
      <c r="A5769" s="237"/>
      <c r="E5769" s="234"/>
    </row>
    <row r="5770">
      <c r="A5770" s="237"/>
      <c r="E5770" s="234"/>
    </row>
    <row r="5771">
      <c r="A5771" s="237"/>
      <c r="E5771" s="234"/>
    </row>
    <row r="5772">
      <c r="A5772" s="237"/>
      <c r="E5772" s="234"/>
    </row>
    <row r="5773">
      <c r="A5773" s="237"/>
      <c r="E5773" s="234"/>
    </row>
    <row r="5774">
      <c r="A5774" s="237"/>
      <c r="E5774" s="234"/>
    </row>
    <row r="5775">
      <c r="A5775" s="237"/>
      <c r="E5775" s="234"/>
    </row>
    <row r="5776">
      <c r="A5776" s="237"/>
      <c r="E5776" s="234"/>
    </row>
    <row r="5777">
      <c r="A5777" s="237"/>
      <c r="E5777" s="234"/>
    </row>
    <row r="5778">
      <c r="A5778" s="237"/>
      <c r="E5778" s="234"/>
    </row>
    <row r="5779">
      <c r="A5779" s="237"/>
      <c r="E5779" s="234"/>
    </row>
    <row r="5780">
      <c r="A5780" s="237"/>
      <c r="E5780" s="234"/>
    </row>
    <row r="5781">
      <c r="A5781" s="237"/>
      <c r="E5781" s="234"/>
    </row>
    <row r="5782">
      <c r="A5782" s="237"/>
      <c r="E5782" s="234"/>
    </row>
    <row r="5783">
      <c r="A5783" s="237"/>
      <c r="E5783" s="234"/>
    </row>
    <row r="5784">
      <c r="A5784" s="237"/>
      <c r="E5784" s="234"/>
    </row>
    <row r="5785">
      <c r="A5785" s="237"/>
      <c r="E5785" s="234"/>
    </row>
    <row r="5786">
      <c r="A5786" s="237"/>
      <c r="E5786" s="234"/>
    </row>
    <row r="5787">
      <c r="A5787" s="237"/>
      <c r="E5787" s="234"/>
    </row>
    <row r="5788">
      <c r="A5788" s="237"/>
      <c r="E5788" s="234"/>
    </row>
    <row r="5789">
      <c r="A5789" s="237"/>
      <c r="E5789" s="234"/>
    </row>
    <row r="5790">
      <c r="A5790" s="237"/>
      <c r="E5790" s="234"/>
    </row>
    <row r="5791">
      <c r="A5791" s="237"/>
      <c r="E5791" s="234"/>
    </row>
    <row r="5792">
      <c r="A5792" s="237"/>
      <c r="E5792" s="234"/>
    </row>
    <row r="5793">
      <c r="A5793" s="237"/>
      <c r="E5793" s="234"/>
    </row>
    <row r="5794">
      <c r="A5794" s="237"/>
      <c r="E5794" s="234"/>
    </row>
    <row r="5795">
      <c r="A5795" s="237"/>
      <c r="E5795" s="234"/>
    </row>
    <row r="5796">
      <c r="A5796" s="237"/>
      <c r="E5796" s="234"/>
    </row>
    <row r="5797">
      <c r="A5797" s="237"/>
      <c r="E5797" s="234"/>
    </row>
    <row r="5798">
      <c r="A5798" s="237"/>
      <c r="E5798" s="234"/>
    </row>
    <row r="5799">
      <c r="A5799" s="237"/>
      <c r="E5799" s="234"/>
    </row>
    <row r="5800">
      <c r="A5800" s="237"/>
      <c r="E5800" s="234"/>
    </row>
    <row r="5801">
      <c r="A5801" s="237"/>
      <c r="E5801" s="234"/>
    </row>
    <row r="5802">
      <c r="A5802" s="237"/>
      <c r="E5802" s="234"/>
    </row>
    <row r="5803">
      <c r="A5803" s="237"/>
      <c r="E5803" s="234"/>
    </row>
    <row r="5804">
      <c r="A5804" s="237"/>
      <c r="E5804" s="234"/>
    </row>
    <row r="5805">
      <c r="A5805" s="237"/>
      <c r="E5805" s="234"/>
    </row>
    <row r="5806">
      <c r="A5806" s="237"/>
      <c r="E5806" s="234"/>
    </row>
    <row r="5807">
      <c r="A5807" s="237"/>
      <c r="E5807" s="234"/>
    </row>
    <row r="5808">
      <c r="A5808" s="237"/>
      <c r="E5808" s="234"/>
    </row>
    <row r="5809">
      <c r="A5809" s="237"/>
      <c r="E5809" s="234"/>
    </row>
    <row r="5810">
      <c r="A5810" s="237"/>
      <c r="E5810" s="234"/>
    </row>
    <row r="5811">
      <c r="A5811" s="237"/>
      <c r="E5811" s="234"/>
    </row>
    <row r="5812">
      <c r="A5812" s="237"/>
      <c r="E5812" s="234"/>
    </row>
    <row r="5813">
      <c r="A5813" s="237"/>
      <c r="E5813" s="234"/>
    </row>
    <row r="5814">
      <c r="A5814" s="237"/>
      <c r="E5814" s="234"/>
    </row>
    <row r="5815">
      <c r="A5815" s="237"/>
      <c r="E5815" s="234"/>
    </row>
    <row r="5816">
      <c r="A5816" s="237"/>
      <c r="E5816" s="234"/>
    </row>
    <row r="5817">
      <c r="A5817" s="237"/>
      <c r="E5817" s="234"/>
    </row>
    <row r="5818">
      <c r="A5818" s="237"/>
      <c r="E5818" s="234"/>
    </row>
    <row r="5819">
      <c r="A5819" s="237"/>
      <c r="E5819" s="234"/>
    </row>
    <row r="5820">
      <c r="A5820" s="237"/>
      <c r="E5820" s="234"/>
    </row>
    <row r="5821">
      <c r="A5821" s="237"/>
      <c r="E5821" s="234"/>
    </row>
    <row r="5822">
      <c r="A5822" s="237"/>
      <c r="E5822" s="234"/>
    </row>
    <row r="5823">
      <c r="A5823" s="237"/>
      <c r="E5823" s="234"/>
    </row>
    <row r="5824">
      <c r="A5824" s="237"/>
      <c r="E5824" s="234"/>
    </row>
    <row r="5825">
      <c r="A5825" s="237"/>
      <c r="E5825" s="234"/>
    </row>
    <row r="5826">
      <c r="A5826" s="237"/>
      <c r="E5826" s="234"/>
    </row>
    <row r="5827">
      <c r="A5827" s="237"/>
      <c r="E5827" s="234"/>
    </row>
    <row r="5828">
      <c r="A5828" s="237"/>
      <c r="E5828" s="234"/>
    </row>
    <row r="5829">
      <c r="A5829" s="237"/>
      <c r="E5829" s="234"/>
    </row>
    <row r="5830">
      <c r="A5830" s="237"/>
      <c r="E5830" s="234"/>
    </row>
    <row r="5831">
      <c r="A5831" s="237"/>
      <c r="E5831" s="234"/>
    </row>
    <row r="5832">
      <c r="A5832" s="237"/>
      <c r="E5832" s="234"/>
    </row>
    <row r="5833">
      <c r="A5833" s="237"/>
      <c r="E5833" s="234"/>
    </row>
    <row r="5834">
      <c r="A5834" s="237"/>
      <c r="E5834" s="234"/>
    </row>
    <row r="5835">
      <c r="A5835" s="237"/>
      <c r="E5835" s="234"/>
    </row>
    <row r="5836">
      <c r="A5836" s="237"/>
      <c r="E5836" s="234"/>
    </row>
    <row r="5837">
      <c r="A5837" s="237"/>
      <c r="E5837" s="234"/>
    </row>
    <row r="5838">
      <c r="A5838" s="237"/>
      <c r="E5838" s="234"/>
    </row>
    <row r="5839">
      <c r="A5839" s="237"/>
      <c r="E5839" s="234"/>
    </row>
    <row r="5840">
      <c r="A5840" s="237"/>
      <c r="E5840" s="234"/>
    </row>
    <row r="5841">
      <c r="A5841" s="237"/>
      <c r="E5841" s="234"/>
    </row>
    <row r="5842">
      <c r="A5842" s="237"/>
      <c r="E5842" s="234"/>
    </row>
    <row r="5843">
      <c r="A5843" s="237"/>
      <c r="E5843" s="234"/>
    </row>
    <row r="5844">
      <c r="A5844" s="237"/>
      <c r="E5844" s="234"/>
    </row>
    <row r="5845">
      <c r="A5845" s="237"/>
      <c r="E5845" s="234"/>
    </row>
    <row r="5846">
      <c r="A5846" s="237"/>
      <c r="E5846" s="234"/>
    </row>
    <row r="5847">
      <c r="A5847" s="237"/>
      <c r="E5847" s="234"/>
    </row>
    <row r="5848">
      <c r="A5848" s="237"/>
      <c r="E5848" s="234"/>
    </row>
    <row r="5849">
      <c r="A5849" s="237"/>
      <c r="E5849" s="234"/>
    </row>
    <row r="5850">
      <c r="A5850" s="237"/>
      <c r="E5850" s="234"/>
    </row>
    <row r="5851">
      <c r="A5851" s="237"/>
      <c r="E5851" s="234"/>
    </row>
    <row r="5852">
      <c r="A5852" s="237"/>
      <c r="E5852" s="234"/>
    </row>
    <row r="5853">
      <c r="A5853" s="237"/>
      <c r="E5853" s="234"/>
    </row>
    <row r="5854">
      <c r="A5854" s="237"/>
      <c r="E5854" s="234"/>
    </row>
    <row r="5855">
      <c r="A5855" s="237"/>
      <c r="E5855" s="234"/>
    </row>
    <row r="5856">
      <c r="A5856" s="237"/>
      <c r="E5856" s="234"/>
    </row>
    <row r="5857">
      <c r="A5857" s="237"/>
      <c r="E5857" s="234"/>
    </row>
    <row r="5858">
      <c r="A5858" s="237"/>
      <c r="E5858" s="234"/>
    </row>
    <row r="5859">
      <c r="A5859" s="237"/>
      <c r="E5859" s="234"/>
    </row>
    <row r="5860">
      <c r="A5860" s="237"/>
      <c r="E5860" s="234"/>
    </row>
    <row r="5861">
      <c r="A5861" s="237"/>
      <c r="E5861" s="234"/>
    </row>
    <row r="5862">
      <c r="A5862" s="237"/>
      <c r="E5862" s="234"/>
    </row>
    <row r="5863">
      <c r="A5863" s="237"/>
      <c r="E5863" s="234"/>
    </row>
    <row r="5864">
      <c r="A5864" s="237"/>
      <c r="E5864" s="234"/>
    </row>
    <row r="5865">
      <c r="A5865" s="237"/>
      <c r="E5865" s="234"/>
    </row>
    <row r="5866">
      <c r="A5866" s="237"/>
      <c r="E5866" s="234"/>
    </row>
    <row r="5867">
      <c r="A5867" s="237"/>
      <c r="E5867" s="234"/>
    </row>
    <row r="5868">
      <c r="A5868" s="237"/>
      <c r="E5868" s="234"/>
    </row>
    <row r="5869">
      <c r="A5869" s="237"/>
      <c r="E5869" s="234"/>
    </row>
    <row r="5870">
      <c r="A5870" s="237"/>
      <c r="E5870" s="234"/>
    </row>
    <row r="5871">
      <c r="A5871" s="237"/>
      <c r="E5871" s="234"/>
    </row>
    <row r="5872">
      <c r="A5872" s="237"/>
      <c r="E5872" s="234"/>
    </row>
    <row r="5873">
      <c r="A5873" s="237"/>
      <c r="E5873" s="234"/>
    </row>
    <row r="5874">
      <c r="A5874" s="237"/>
      <c r="E5874" s="234"/>
    </row>
    <row r="5875">
      <c r="A5875" s="237"/>
      <c r="E5875" s="234"/>
    </row>
    <row r="5876">
      <c r="A5876" s="237"/>
      <c r="E5876" s="234"/>
    </row>
    <row r="5877">
      <c r="A5877" s="237"/>
      <c r="E5877" s="234"/>
    </row>
    <row r="5878">
      <c r="A5878" s="237"/>
      <c r="E5878" s="234"/>
    </row>
    <row r="5879">
      <c r="A5879" s="237"/>
      <c r="E5879" s="234"/>
    </row>
    <row r="5880">
      <c r="A5880" s="237"/>
      <c r="E5880" s="234"/>
    </row>
    <row r="5881">
      <c r="A5881" s="237"/>
      <c r="E5881" s="234"/>
    </row>
    <row r="5882">
      <c r="A5882" s="237"/>
      <c r="E5882" s="234"/>
    </row>
    <row r="5883">
      <c r="A5883" s="237"/>
      <c r="E5883" s="234"/>
    </row>
    <row r="5884">
      <c r="A5884" s="237"/>
      <c r="E5884" s="234"/>
    </row>
    <row r="5885">
      <c r="A5885" s="237"/>
      <c r="E5885" s="234"/>
    </row>
    <row r="5886">
      <c r="A5886" s="237"/>
      <c r="E5886" s="234"/>
    </row>
    <row r="5887">
      <c r="A5887" s="237"/>
      <c r="E5887" s="234"/>
    </row>
    <row r="5888">
      <c r="A5888" s="237"/>
      <c r="E5888" s="234"/>
    </row>
    <row r="5889">
      <c r="A5889" s="237"/>
      <c r="E5889" s="234"/>
    </row>
    <row r="5890">
      <c r="A5890" s="237"/>
      <c r="E5890" s="234"/>
    </row>
    <row r="5891">
      <c r="A5891" s="237"/>
      <c r="E5891" s="234"/>
    </row>
    <row r="5892">
      <c r="A5892" s="237"/>
      <c r="E5892" s="234"/>
    </row>
    <row r="5893">
      <c r="A5893" s="237"/>
      <c r="E5893" s="234"/>
    </row>
    <row r="5894">
      <c r="A5894" s="237"/>
      <c r="E5894" s="234"/>
    </row>
    <row r="5895">
      <c r="A5895" s="237"/>
      <c r="E5895" s="234"/>
    </row>
    <row r="5896">
      <c r="A5896" s="237"/>
      <c r="E5896" s="234"/>
    </row>
    <row r="5897">
      <c r="A5897" s="237"/>
      <c r="E5897" s="234"/>
    </row>
    <row r="5898">
      <c r="A5898" s="237"/>
      <c r="E5898" s="234"/>
    </row>
    <row r="5899">
      <c r="A5899" s="237"/>
      <c r="E5899" s="234"/>
    </row>
    <row r="5900">
      <c r="A5900" s="237"/>
      <c r="E5900" s="234"/>
    </row>
    <row r="5901">
      <c r="A5901" s="237"/>
      <c r="E5901" s="234"/>
    </row>
    <row r="5902">
      <c r="A5902" s="237"/>
      <c r="E5902" s="234"/>
    </row>
    <row r="5903">
      <c r="A5903" s="237"/>
      <c r="E5903" s="234"/>
    </row>
    <row r="5904">
      <c r="A5904" s="237"/>
      <c r="E5904" s="234"/>
    </row>
    <row r="5905">
      <c r="A5905" s="237"/>
      <c r="E5905" s="234"/>
    </row>
    <row r="5906">
      <c r="A5906" s="237"/>
      <c r="E5906" s="234"/>
    </row>
    <row r="5907">
      <c r="A5907" s="237"/>
      <c r="E5907" s="234"/>
    </row>
    <row r="5908">
      <c r="A5908" s="237"/>
      <c r="E5908" s="234"/>
    </row>
    <row r="5909">
      <c r="A5909" s="237"/>
      <c r="E5909" s="234"/>
    </row>
    <row r="5910">
      <c r="A5910" s="237"/>
      <c r="E5910" s="234"/>
    </row>
    <row r="5911">
      <c r="A5911" s="237"/>
      <c r="E5911" s="234"/>
    </row>
    <row r="5912">
      <c r="A5912" s="237"/>
      <c r="E5912" s="234"/>
    </row>
    <row r="5913">
      <c r="A5913" s="237"/>
      <c r="E5913" s="234"/>
    </row>
    <row r="5914">
      <c r="A5914" s="237"/>
      <c r="E5914" s="234"/>
    </row>
    <row r="5915">
      <c r="A5915" s="237"/>
      <c r="E5915" s="234"/>
    </row>
    <row r="5916">
      <c r="A5916" s="237"/>
      <c r="E5916" s="234"/>
    </row>
    <row r="5917">
      <c r="A5917" s="237"/>
      <c r="E5917" s="234"/>
    </row>
    <row r="5918">
      <c r="A5918" s="237"/>
      <c r="E5918" s="234"/>
    </row>
    <row r="5919">
      <c r="A5919" s="237"/>
      <c r="E5919" s="234"/>
    </row>
    <row r="5920">
      <c r="A5920" s="237"/>
      <c r="E5920" s="234"/>
    </row>
    <row r="5921">
      <c r="A5921" s="237"/>
      <c r="E5921" s="234"/>
    </row>
    <row r="5922">
      <c r="A5922" s="237"/>
      <c r="E5922" s="234"/>
    </row>
    <row r="5923">
      <c r="A5923" s="237"/>
      <c r="E5923" s="234"/>
    </row>
    <row r="5924">
      <c r="A5924" s="237"/>
      <c r="E5924" s="234"/>
    </row>
    <row r="5925">
      <c r="A5925" s="237"/>
      <c r="E5925" s="234"/>
    </row>
    <row r="5926">
      <c r="A5926" s="237"/>
      <c r="E5926" s="234"/>
    </row>
    <row r="5927">
      <c r="A5927" s="237"/>
      <c r="E5927" s="234"/>
    </row>
    <row r="5928">
      <c r="A5928" s="237"/>
      <c r="E5928" s="234"/>
    </row>
    <row r="5929">
      <c r="A5929" s="237"/>
      <c r="E5929" s="234"/>
    </row>
    <row r="5930">
      <c r="A5930" s="237"/>
      <c r="E5930" s="234"/>
    </row>
    <row r="5931">
      <c r="A5931" s="237"/>
      <c r="E5931" s="234"/>
    </row>
    <row r="5932">
      <c r="A5932" s="237"/>
      <c r="E5932" s="234"/>
    </row>
    <row r="5933">
      <c r="A5933" s="237"/>
      <c r="E5933" s="234"/>
    </row>
    <row r="5934">
      <c r="A5934" s="237"/>
      <c r="E5934" s="234"/>
    </row>
    <row r="5935">
      <c r="A5935" s="237"/>
      <c r="E5935" s="234"/>
    </row>
    <row r="5936">
      <c r="A5936" s="237"/>
      <c r="E5936" s="234"/>
    </row>
    <row r="5937">
      <c r="A5937" s="237"/>
      <c r="E5937" s="234"/>
    </row>
    <row r="5938">
      <c r="A5938" s="237"/>
      <c r="E5938" s="234"/>
    </row>
    <row r="5939">
      <c r="A5939" s="237"/>
      <c r="E5939" s="234"/>
    </row>
    <row r="5940">
      <c r="A5940" s="237"/>
      <c r="E5940" s="234"/>
    </row>
    <row r="5941">
      <c r="A5941" s="237"/>
      <c r="E5941" s="234"/>
    </row>
    <row r="5942">
      <c r="A5942" s="237"/>
      <c r="E5942" s="234"/>
    </row>
    <row r="5943">
      <c r="A5943" s="237"/>
      <c r="E5943" s="234"/>
    </row>
    <row r="5944">
      <c r="A5944" s="237"/>
      <c r="E5944" s="234"/>
    </row>
    <row r="5945">
      <c r="A5945" s="237"/>
      <c r="E5945" s="234"/>
    </row>
    <row r="5946">
      <c r="A5946" s="237"/>
      <c r="E5946" s="234"/>
    </row>
    <row r="5947">
      <c r="A5947" s="237"/>
      <c r="E5947" s="234"/>
    </row>
    <row r="5948">
      <c r="A5948" s="237"/>
      <c r="E5948" s="234"/>
    </row>
    <row r="5949">
      <c r="A5949" s="237"/>
      <c r="E5949" s="234"/>
    </row>
    <row r="5950">
      <c r="A5950" s="237"/>
      <c r="E5950" s="234"/>
    </row>
    <row r="5951">
      <c r="A5951" s="237"/>
      <c r="E5951" s="234"/>
    </row>
    <row r="5952">
      <c r="A5952" s="237"/>
      <c r="E5952" s="234"/>
    </row>
    <row r="5953">
      <c r="A5953" s="237"/>
      <c r="E5953" s="234"/>
    </row>
    <row r="5954">
      <c r="A5954" s="237"/>
      <c r="E5954" s="234"/>
    </row>
    <row r="5955">
      <c r="A5955" s="237"/>
      <c r="E5955" s="234"/>
    </row>
    <row r="5956">
      <c r="A5956" s="237"/>
      <c r="E5956" s="234"/>
    </row>
    <row r="5957">
      <c r="A5957" s="237"/>
      <c r="E5957" s="234"/>
    </row>
    <row r="5958">
      <c r="A5958" s="237"/>
      <c r="E5958" s="234"/>
    </row>
    <row r="5959">
      <c r="A5959" s="237"/>
      <c r="E5959" s="234"/>
    </row>
    <row r="5960">
      <c r="A5960" s="237"/>
      <c r="E5960" s="234"/>
    </row>
    <row r="5961">
      <c r="A5961" s="237"/>
      <c r="E5961" s="234"/>
    </row>
    <row r="5962">
      <c r="A5962" s="237"/>
      <c r="E5962" s="234"/>
    </row>
    <row r="5963">
      <c r="A5963" s="237"/>
      <c r="E5963" s="234"/>
    </row>
    <row r="5964">
      <c r="A5964" s="237"/>
      <c r="E5964" s="234"/>
    </row>
    <row r="5965">
      <c r="A5965" s="237"/>
      <c r="E5965" s="234"/>
    </row>
    <row r="5966">
      <c r="A5966" s="237"/>
      <c r="E5966" s="234"/>
    </row>
    <row r="5967">
      <c r="A5967" s="237"/>
      <c r="E5967" s="234"/>
    </row>
    <row r="5968">
      <c r="A5968" s="237"/>
      <c r="E5968" s="234"/>
    </row>
    <row r="5969">
      <c r="A5969" s="237"/>
      <c r="E5969" s="234"/>
    </row>
    <row r="5970">
      <c r="A5970" s="237"/>
      <c r="E5970" s="234"/>
    </row>
    <row r="5971">
      <c r="A5971" s="237"/>
      <c r="E5971" s="234"/>
    </row>
    <row r="5972">
      <c r="A5972" s="237"/>
      <c r="E5972" s="234"/>
    </row>
    <row r="5973">
      <c r="A5973" s="237"/>
      <c r="E5973" s="234"/>
    </row>
    <row r="5974">
      <c r="A5974" s="237"/>
      <c r="E5974" s="234"/>
    </row>
    <row r="5975">
      <c r="A5975" s="237"/>
      <c r="E5975" s="234"/>
    </row>
    <row r="5976">
      <c r="A5976" s="237"/>
      <c r="E5976" s="234"/>
    </row>
    <row r="5977">
      <c r="A5977" s="237"/>
      <c r="E5977" s="234"/>
    </row>
    <row r="5978">
      <c r="A5978" s="237"/>
      <c r="E5978" s="234"/>
    </row>
    <row r="5979">
      <c r="A5979" s="237"/>
      <c r="E5979" s="234"/>
    </row>
    <row r="5980">
      <c r="A5980" s="237"/>
      <c r="E5980" s="234"/>
    </row>
    <row r="5981">
      <c r="A5981" s="237"/>
      <c r="E5981" s="234"/>
    </row>
    <row r="5982">
      <c r="A5982" s="237"/>
      <c r="E5982" s="234"/>
    </row>
    <row r="5983">
      <c r="A5983" s="237"/>
      <c r="E5983" s="234"/>
    </row>
    <row r="5984">
      <c r="A5984" s="237"/>
      <c r="E5984" s="234"/>
    </row>
    <row r="5985">
      <c r="A5985" s="237"/>
      <c r="E5985" s="234"/>
    </row>
    <row r="5986">
      <c r="A5986" s="237"/>
      <c r="E5986" s="234"/>
    </row>
    <row r="5987">
      <c r="A5987" s="237"/>
      <c r="E5987" s="234"/>
    </row>
    <row r="5988">
      <c r="A5988" s="237"/>
      <c r="E5988" s="234"/>
    </row>
    <row r="5989">
      <c r="A5989" s="237"/>
      <c r="E5989" s="234"/>
    </row>
    <row r="5990">
      <c r="A5990" s="237"/>
      <c r="E5990" s="234"/>
    </row>
    <row r="5991">
      <c r="A5991" s="237"/>
      <c r="E5991" s="234"/>
    </row>
    <row r="5992">
      <c r="A5992" s="237"/>
      <c r="E5992" s="234"/>
    </row>
    <row r="5993">
      <c r="A5993" s="237"/>
      <c r="E5993" s="234"/>
    </row>
    <row r="5994">
      <c r="A5994" s="237"/>
      <c r="E5994" s="234"/>
    </row>
    <row r="5995">
      <c r="A5995" s="237"/>
      <c r="E5995" s="234"/>
    </row>
    <row r="5996">
      <c r="A5996" s="237"/>
      <c r="E5996" s="234"/>
    </row>
    <row r="5997">
      <c r="A5997" s="237"/>
      <c r="E5997" s="234"/>
    </row>
    <row r="5998">
      <c r="A5998" s="237"/>
      <c r="E5998" s="234"/>
    </row>
    <row r="5999">
      <c r="A5999" s="237"/>
      <c r="E5999" s="234"/>
    </row>
    <row r="6000">
      <c r="A6000" s="237"/>
      <c r="E6000" s="234"/>
    </row>
    <row r="6001">
      <c r="A6001" s="237"/>
      <c r="E6001" s="234"/>
    </row>
    <row r="6002">
      <c r="A6002" s="237"/>
      <c r="E6002" s="234"/>
    </row>
    <row r="6003">
      <c r="A6003" s="237"/>
      <c r="E6003" s="234"/>
    </row>
    <row r="6004">
      <c r="A6004" s="237"/>
      <c r="E6004" s="234"/>
    </row>
    <row r="6005">
      <c r="A6005" s="237"/>
      <c r="E6005" s="234"/>
    </row>
    <row r="6006">
      <c r="A6006" s="237"/>
      <c r="E6006" s="234"/>
    </row>
    <row r="6007">
      <c r="A6007" s="237"/>
      <c r="E6007" s="234"/>
    </row>
    <row r="6008">
      <c r="A6008" s="237"/>
      <c r="E6008" s="234"/>
    </row>
    <row r="6009">
      <c r="A6009" s="237"/>
      <c r="E6009" s="234"/>
    </row>
    <row r="6010">
      <c r="A6010" s="237"/>
      <c r="E6010" s="234"/>
    </row>
    <row r="6011">
      <c r="A6011" s="237"/>
      <c r="E6011" s="234"/>
    </row>
    <row r="6012">
      <c r="A6012" s="237"/>
      <c r="E6012" s="234"/>
    </row>
    <row r="6013">
      <c r="A6013" s="237"/>
      <c r="E6013" s="234"/>
    </row>
    <row r="6014">
      <c r="A6014" s="237"/>
      <c r="E6014" s="234"/>
    </row>
    <row r="6015">
      <c r="A6015" s="237"/>
      <c r="E6015" s="234"/>
    </row>
    <row r="6016">
      <c r="A6016" s="237"/>
      <c r="E6016" s="234"/>
    </row>
    <row r="6017">
      <c r="A6017" s="237"/>
      <c r="E6017" s="234"/>
    </row>
    <row r="6018">
      <c r="A6018" s="237"/>
      <c r="E6018" s="234"/>
    </row>
    <row r="6019">
      <c r="A6019" s="237"/>
      <c r="E6019" s="234"/>
    </row>
    <row r="6020">
      <c r="A6020" s="237"/>
      <c r="E6020" s="234"/>
    </row>
    <row r="6021">
      <c r="A6021" s="237"/>
      <c r="E6021" s="234"/>
    </row>
    <row r="6022">
      <c r="A6022" s="237"/>
      <c r="E6022" s="234"/>
    </row>
    <row r="6023">
      <c r="A6023" s="237"/>
      <c r="E6023" s="234"/>
    </row>
    <row r="6024">
      <c r="A6024" s="237"/>
      <c r="E6024" s="234"/>
    </row>
    <row r="6025">
      <c r="A6025" s="237"/>
      <c r="E6025" s="234"/>
    </row>
    <row r="6026">
      <c r="A6026" s="237"/>
      <c r="E6026" s="234"/>
    </row>
    <row r="6027">
      <c r="A6027" s="237"/>
      <c r="E6027" s="234"/>
    </row>
    <row r="6028">
      <c r="A6028" s="237"/>
      <c r="E6028" s="234"/>
    </row>
    <row r="6029">
      <c r="A6029" s="237"/>
      <c r="E6029" s="234"/>
    </row>
    <row r="6030">
      <c r="A6030" s="237"/>
      <c r="E6030" s="234"/>
    </row>
    <row r="6031">
      <c r="A6031" s="237"/>
      <c r="E6031" s="234"/>
    </row>
    <row r="6032">
      <c r="A6032" s="237"/>
      <c r="E6032" s="234"/>
    </row>
    <row r="6033">
      <c r="A6033" s="237"/>
      <c r="E6033" s="234"/>
    </row>
    <row r="6034">
      <c r="A6034" s="237"/>
      <c r="E6034" s="234"/>
    </row>
    <row r="6035">
      <c r="A6035" s="237"/>
      <c r="E6035" s="234"/>
    </row>
    <row r="6036">
      <c r="A6036" s="237"/>
      <c r="E6036" s="234"/>
    </row>
    <row r="6037">
      <c r="A6037" s="237"/>
      <c r="E6037" s="234"/>
    </row>
    <row r="6038">
      <c r="A6038" s="237"/>
      <c r="E6038" s="234"/>
    </row>
    <row r="6039">
      <c r="A6039" s="237"/>
      <c r="E6039" s="234"/>
    </row>
    <row r="6040">
      <c r="A6040" s="237"/>
      <c r="E6040" s="234"/>
    </row>
    <row r="6041">
      <c r="A6041" s="237"/>
      <c r="E6041" s="234"/>
    </row>
    <row r="6042">
      <c r="A6042" s="237"/>
      <c r="E6042" s="234"/>
    </row>
    <row r="6043">
      <c r="A6043" s="237"/>
      <c r="E6043" s="234"/>
    </row>
    <row r="6044">
      <c r="A6044" s="237"/>
      <c r="E6044" s="234"/>
    </row>
    <row r="6045">
      <c r="A6045" s="237"/>
      <c r="E6045" s="234"/>
    </row>
    <row r="6046">
      <c r="A6046" s="237"/>
      <c r="E6046" s="234"/>
    </row>
    <row r="6047">
      <c r="A6047" s="237"/>
      <c r="E6047" s="234"/>
    </row>
    <row r="6048">
      <c r="A6048" s="237"/>
      <c r="E6048" s="234"/>
    </row>
    <row r="6049">
      <c r="A6049" s="237"/>
      <c r="E6049" s="234"/>
    </row>
    <row r="6050">
      <c r="A6050" s="237"/>
      <c r="E6050" s="234"/>
    </row>
    <row r="6051">
      <c r="A6051" s="237"/>
      <c r="E6051" s="234"/>
    </row>
    <row r="6052">
      <c r="A6052" s="237"/>
      <c r="E6052" s="234"/>
    </row>
    <row r="6053">
      <c r="A6053" s="237"/>
      <c r="E6053" s="234"/>
    </row>
    <row r="6054">
      <c r="A6054" s="237"/>
      <c r="E6054" s="234"/>
    </row>
    <row r="6055">
      <c r="A6055" s="237"/>
      <c r="E6055" s="234"/>
    </row>
    <row r="6056">
      <c r="A6056" s="237"/>
      <c r="E6056" s="234"/>
    </row>
    <row r="6057">
      <c r="A6057" s="237"/>
      <c r="E6057" s="234"/>
    </row>
    <row r="6058">
      <c r="A6058" s="237"/>
      <c r="E6058" s="234"/>
    </row>
    <row r="6059">
      <c r="A6059" s="237"/>
      <c r="E6059" s="234"/>
    </row>
    <row r="6060">
      <c r="A6060" s="237"/>
      <c r="E6060" s="234"/>
    </row>
    <row r="6061">
      <c r="A6061" s="237"/>
      <c r="E6061" s="234"/>
    </row>
    <row r="6062">
      <c r="A6062" s="237"/>
      <c r="E6062" s="234"/>
    </row>
    <row r="6063">
      <c r="A6063" s="237"/>
      <c r="E6063" s="234"/>
    </row>
    <row r="6064">
      <c r="A6064" s="237"/>
      <c r="E6064" s="234"/>
    </row>
    <row r="6065">
      <c r="A6065" s="237"/>
      <c r="E6065" s="234"/>
    </row>
    <row r="6066">
      <c r="A6066" s="237"/>
      <c r="E6066" s="234"/>
    </row>
    <row r="6067">
      <c r="A6067" s="237"/>
      <c r="E6067" s="234"/>
    </row>
    <row r="6068">
      <c r="A6068" s="237"/>
      <c r="E6068" s="234"/>
    </row>
    <row r="6069">
      <c r="A6069" s="237"/>
      <c r="E6069" s="234"/>
    </row>
    <row r="6070">
      <c r="A6070" s="237"/>
      <c r="E6070" s="234"/>
    </row>
    <row r="6071">
      <c r="A6071" s="237"/>
      <c r="E6071" s="234"/>
    </row>
    <row r="6072">
      <c r="A6072" s="237"/>
      <c r="E6072" s="234"/>
    </row>
    <row r="6073">
      <c r="A6073" s="237"/>
      <c r="E6073" s="234"/>
    </row>
    <row r="6074">
      <c r="A6074" s="237"/>
      <c r="E6074" s="234"/>
    </row>
    <row r="6075">
      <c r="A6075" s="237"/>
      <c r="E6075" s="234"/>
    </row>
    <row r="6076">
      <c r="A6076" s="237"/>
      <c r="E6076" s="234"/>
    </row>
    <row r="6077">
      <c r="A6077" s="237"/>
      <c r="E6077" s="234"/>
    </row>
    <row r="6078">
      <c r="A6078" s="237"/>
      <c r="E6078" s="234"/>
    </row>
    <row r="6079">
      <c r="A6079" s="237"/>
      <c r="E6079" s="234"/>
    </row>
    <row r="6080">
      <c r="A6080" s="237"/>
      <c r="E6080" s="234"/>
    </row>
    <row r="6081">
      <c r="A6081" s="237"/>
      <c r="E6081" s="234"/>
    </row>
    <row r="6082">
      <c r="A6082" s="237"/>
      <c r="E6082" s="234"/>
    </row>
    <row r="6083">
      <c r="A6083" s="237"/>
      <c r="E6083" s="234"/>
    </row>
    <row r="6084">
      <c r="A6084" s="237"/>
      <c r="E6084" s="234"/>
    </row>
    <row r="6085">
      <c r="A6085" s="237"/>
      <c r="E6085" s="234"/>
    </row>
    <row r="6086">
      <c r="A6086" s="237"/>
      <c r="E6086" s="234"/>
    </row>
    <row r="6087">
      <c r="A6087" s="237"/>
      <c r="E6087" s="234"/>
    </row>
    <row r="6088">
      <c r="A6088" s="237"/>
      <c r="E6088" s="234"/>
    </row>
    <row r="6089">
      <c r="A6089" s="237"/>
      <c r="E6089" s="234"/>
    </row>
    <row r="6090">
      <c r="A6090" s="237"/>
      <c r="E6090" s="234"/>
    </row>
    <row r="6091">
      <c r="A6091" s="237"/>
      <c r="E6091" s="234"/>
    </row>
    <row r="6092">
      <c r="A6092" s="237"/>
      <c r="E6092" s="234"/>
    </row>
    <row r="6093">
      <c r="A6093" s="237"/>
      <c r="E6093" s="234"/>
    </row>
    <row r="6094">
      <c r="A6094" s="237"/>
      <c r="E6094" s="234"/>
    </row>
    <row r="6095">
      <c r="A6095" s="237"/>
      <c r="E6095" s="234"/>
    </row>
    <row r="6096">
      <c r="A6096" s="237"/>
      <c r="E6096" s="234"/>
    </row>
    <row r="6097">
      <c r="A6097" s="237"/>
      <c r="E6097" s="234"/>
    </row>
    <row r="6098">
      <c r="A6098" s="237"/>
      <c r="E6098" s="234"/>
    </row>
    <row r="6099">
      <c r="A6099" s="237"/>
      <c r="E6099" s="234"/>
    </row>
    <row r="6100">
      <c r="A6100" s="237"/>
      <c r="E6100" s="234"/>
    </row>
    <row r="6101">
      <c r="A6101" s="237"/>
      <c r="E6101" s="234"/>
    </row>
    <row r="6102">
      <c r="A6102" s="237"/>
      <c r="E6102" s="234"/>
    </row>
    <row r="6103">
      <c r="A6103" s="237"/>
      <c r="E6103" s="234"/>
    </row>
    <row r="6104">
      <c r="A6104" s="237"/>
      <c r="E6104" s="234"/>
    </row>
    <row r="6105">
      <c r="A6105" s="237"/>
      <c r="E6105" s="234"/>
    </row>
    <row r="6106">
      <c r="A6106" s="237"/>
      <c r="E6106" s="234"/>
    </row>
    <row r="6107">
      <c r="A6107" s="237"/>
      <c r="E6107" s="234"/>
    </row>
    <row r="6108">
      <c r="A6108" s="237"/>
      <c r="E6108" s="234"/>
    </row>
    <row r="6109">
      <c r="A6109" s="237"/>
      <c r="E6109" s="234"/>
    </row>
    <row r="6110">
      <c r="A6110" s="237"/>
      <c r="E6110" s="234"/>
    </row>
    <row r="6111">
      <c r="A6111" s="237"/>
      <c r="E6111" s="234"/>
    </row>
    <row r="6112">
      <c r="A6112" s="237"/>
      <c r="E6112" s="234"/>
    </row>
    <row r="6113">
      <c r="A6113" s="237"/>
      <c r="E6113" s="234"/>
    </row>
    <row r="6114">
      <c r="A6114" s="237"/>
      <c r="E6114" s="234"/>
    </row>
    <row r="6115">
      <c r="A6115" s="237"/>
      <c r="E6115" s="234"/>
    </row>
    <row r="6116">
      <c r="A6116" s="237"/>
      <c r="E6116" s="234"/>
    </row>
    <row r="6117">
      <c r="A6117" s="237"/>
      <c r="E6117" s="234"/>
    </row>
    <row r="6118">
      <c r="A6118" s="237"/>
      <c r="E6118" s="234"/>
    </row>
    <row r="6119">
      <c r="A6119" s="237"/>
      <c r="E6119" s="234"/>
    </row>
    <row r="6120">
      <c r="A6120" s="237"/>
      <c r="E6120" s="234"/>
    </row>
    <row r="6121">
      <c r="A6121" s="237"/>
      <c r="E6121" s="234"/>
    </row>
    <row r="6122">
      <c r="A6122" s="237"/>
      <c r="E6122" s="234"/>
    </row>
    <row r="6123">
      <c r="A6123" s="237"/>
      <c r="E6123" s="234"/>
    </row>
    <row r="6124">
      <c r="A6124" s="237"/>
      <c r="E6124" s="234"/>
    </row>
    <row r="6125">
      <c r="A6125" s="237"/>
      <c r="E6125" s="234"/>
    </row>
    <row r="6126">
      <c r="A6126" s="237"/>
      <c r="E6126" s="234"/>
    </row>
    <row r="6127">
      <c r="A6127" s="237"/>
      <c r="E6127" s="234"/>
    </row>
    <row r="6128">
      <c r="A6128" s="237"/>
      <c r="E6128" s="234"/>
    </row>
    <row r="6129">
      <c r="A6129" s="237"/>
      <c r="E6129" s="234"/>
    </row>
    <row r="6130">
      <c r="A6130" s="237"/>
      <c r="E6130" s="234"/>
    </row>
    <row r="6131">
      <c r="A6131" s="237"/>
      <c r="E6131" s="234"/>
    </row>
    <row r="6132">
      <c r="A6132" s="237"/>
      <c r="E6132" s="234"/>
    </row>
    <row r="6133">
      <c r="A6133" s="237"/>
      <c r="E6133" s="234"/>
    </row>
    <row r="6134">
      <c r="A6134" s="237"/>
      <c r="E6134" s="234"/>
    </row>
    <row r="6135">
      <c r="A6135" s="237"/>
      <c r="E6135" s="234"/>
    </row>
    <row r="6136">
      <c r="A6136" s="237"/>
      <c r="E6136" s="234"/>
    </row>
    <row r="6137">
      <c r="A6137" s="237"/>
      <c r="E6137" s="234"/>
    </row>
    <row r="6138">
      <c r="A6138" s="237"/>
      <c r="E6138" s="234"/>
    </row>
    <row r="6139">
      <c r="A6139" s="237"/>
      <c r="E6139" s="234"/>
    </row>
    <row r="6140">
      <c r="A6140" s="237"/>
      <c r="E6140" s="234"/>
    </row>
    <row r="6141">
      <c r="A6141" s="237"/>
      <c r="E6141" s="234"/>
    </row>
    <row r="6142">
      <c r="A6142" s="237"/>
      <c r="E6142" s="234"/>
    </row>
    <row r="6143">
      <c r="A6143" s="237"/>
      <c r="E6143" s="234"/>
    </row>
    <row r="6144">
      <c r="A6144" s="237"/>
      <c r="E6144" s="234"/>
    </row>
    <row r="6145">
      <c r="A6145" s="237"/>
      <c r="E6145" s="234"/>
    </row>
    <row r="6146">
      <c r="A6146" s="237"/>
      <c r="E6146" s="234"/>
    </row>
    <row r="6147">
      <c r="A6147" s="237"/>
      <c r="E6147" s="234"/>
    </row>
    <row r="6148">
      <c r="A6148" s="237"/>
      <c r="E6148" s="234"/>
    </row>
    <row r="6149">
      <c r="A6149" s="237"/>
      <c r="E6149" s="234"/>
    </row>
    <row r="6150">
      <c r="A6150" s="237"/>
      <c r="E6150" s="234"/>
    </row>
    <row r="6151">
      <c r="A6151" s="237"/>
      <c r="E6151" s="234"/>
    </row>
    <row r="6152">
      <c r="A6152" s="237"/>
      <c r="E6152" s="234"/>
    </row>
    <row r="6153">
      <c r="A6153" s="237"/>
      <c r="E6153" s="234"/>
    </row>
    <row r="6154">
      <c r="A6154" s="237"/>
      <c r="E6154" s="234"/>
    </row>
    <row r="6155">
      <c r="A6155" s="237"/>
      <c r="E6155" s="234"/>
    </row>
    <row r="6156">
      <c r="A6156" s="237"/>
      <c r="E6156" s="234"/>
    </row>
    <row r="6157">
      <c r="A6157" s="237"/>
      <c r="E6157" s="234"/>
    </row>
    <row r="6158">
      <c r="A6158" s="237"/>
      <c r="E6158" s="234"/>
    </row>
    <row r="6159">
      <c r="A6159" s="237"/>
      <c r="E6159" s="234"/>
    </row>
    <row r="6160">
      <c r="A6160" s="237"/>
      <c r="E6160" s="234"/>
    </row>
    <row r="6161">
      <c r="A6161" s="237"/>
      <c r="E6161" s="234"/>
    </row>
    <row r="6162">
      <c r="A6162" s="237"/>
      <c r="E6162" s="234"/>
    </row>
    <row r="6163">
      <c r="A6163" s="237"/>
      <c r="E6163" s="234"/>
    </row>
    <row r="6164">
      <c r="A6164" s="237"/>
      <c r="E6164" s="234"/>
    </row>
    <row r="6165">
      <c r="A6165" s="237"/>
      <c r="E6165" s="234"/>
    </row>
    <row r="6166">
      <c r="A6166" s="237"/>
      <c r="E6166" s="234"/>
    </row>
    <row r="6167">
      <c r="A6167" s="237"/>
      <c r="E6167" s="234"/>
    </row>
    <row r="6168">
      <c r="A6168" s="237"/>
      <c r="E6168" s="234"/>
    </row>
    <row r="6169">
      <c r="A6169" s="237"/>
      <c r="E6169" s="234"/>
    </row>
    <row r="6170">
      <c r="A6170" s="237"/>
      <c r="E6170" s="234"/>
    </row>
    <row r="6171">
      <c r="A6171" s="237"/>
      <c r="E6171" s="234"/>
    </row>
    <row r="6172">
      <c r="A6172" s="237"/>
      <c r="E6172" s="234"/>
    </row>
    <row r="6173">
      <c r="A6173" s="237"/>
      <c r="E6173" s="234"/>
    </row>
    <row r="6174">
      <c r="A6174" s="237"/>
      <c r="E6174" s="234"/>
    </row>
    <row r="6175">
      <c r="A6175" s="237"/>
      <c r="E6175" s="234"/>
    </row>
    <row r="6176">
      <c r="A6176" s="237"/>
      <c r="E6176" s="234"/>
    </row>
    <row r="6177">
      <c r="A6177" s="237"/>
      <c r="E6177" s="234"/>
    </row>
    <row r="6178">
      <c r="A6178" s="237"/>
      <c r="E6178" s="234"/>
    </row>
    <row r="6179">
      <c r="A6179" s="237"/>
      <c r="E6179" s="234"/>
    </row>
    <row r="6180">
      <c r="A6180" s="237"/>
      <c r="E6180" s="234"/>
    </row>
    <row r="6181">
      <c r="A6181" s="237"/>
      <c r="E6181" s="234"/>
    </row>
    <row r="6182">
      <c r="A6182" s="237"/>
      <c r="E6182" s="234"/>
    </row>
    <row r="6183">
      <c r="A6183" s="237"/>
      <c r="E6183" s="234"/>
    </row>
    <row r="6184">
      <c r="A6184" s="237"/>
      <c r="E6184" s="234"/>
    </row>
    <row r="6185">
      <c r="A6185" s="237"/>
      <c r="E6185" s="234"/>
    </row>
    <row r="6186">
      <c r="A6186" s="237"/>
      <c r="E6186" s="234"/>
    </row>
    <row r="6187">
      <c r="A6187" s="237"/>
      <c r="E6187" s="234"/>
    </row>
    <row r="6188">
      <c r="A6188" s="237"/>
      <c r="E6188" s="234"/>
    </row>
    <row r="6189">
      <c r="A6189" s="237"/>
      <c r="E6189" s="234"/>
    </row>
    <row r="6190">
      <c r="A6190" s="237"/>
      <c r="E6190" s="234"/>
    </row>
    <row r="6191">
      <c r="A6191" s="237"/>
      <c r="E6191" s="234"/>
    </row>
    <row r="6192">
      <c r="A6192" s="237"/>
      <c r="E6192" s="234"/>
    </row>
    <row r="6193">
      <c r="A6193" s="237"/>
      <c r="E6193" s="234"/>
    </row>
    <row r="6194">
      <c r="A6194" s="237"/>
      <c r="E6194" s="234"/>
    </row>
    <row r="6195">
      <c r="A6195" s="237"/>
      <c r="E6195" s="234"/>
    </row>
    <row r="6196">
      <c r="A6196" s="237"/>
      <c r="E6196" s="234"/>
    </row>
    <row r="6197">
      <c r="A6197" s="237"/>
      <c r="E6197" s="234"/>
    </row>
    <row r="6198">
      <c r="A6198" s="237"/>
      <c r="E6198" s="234"/>
    </row>
    <row r="6199">
      <c r="A6199" s="237"/>
      <c r="E6199" s="234"/>
    </row>
    <row r="6200">
      <c r="A6200" s="237"/>
      <c r="E6200" s="234"/>
    </row>
    <row r="6201">
      <c r="A6201" s="237"/>
      <c r="E6201" s="234"/>
    </row>
    <row r="6202">
      <c r="A6202" s="237"/>
      <c r="E6202" s="234"/>
    </row>
    <row r="6203">
      <c r="A6203" s="237"/>
      <c r="E6203" s="234"/>
    </row>
    <row r="6204">
      <c r="A6204" s="237"/>
      <c r="E6204" s="234"/>
    </row>
    <row r="6205">
      <c r="A6205" s="237"/>
      <c r="E6205" s="234"/>
    </row>
    <row r="6206">
      <c r="A6206" s="237"/>
      <c r="E6206" s="234"/>
    </row>
    <row r="6207">
      <c r="A6207" s="237"/>
      <c r="E6207" s="234"/>
    </row>
    <row r="6208">
      <c r="A6208" s="237"/>
      <c r="E6208" s="234"/>
    </row>
    <row r="6209">
      <c r="A6209" s="237"/>
      <c r="E6209" s="234"/>
    </row>
    <row r="6210">
      <c r="A6210" s="237"/>
      <c r="E6210" s="234"/>
    </row>
    <row r="6211">
      <c r="A6211" s="237"/>
      <c r="E6211" s="234"/>
    </row>
    <row r="6212">
      <c r="A6212" s="237"/>
      <c r="E6212" s="234"/>
    </row>
    <row r="6213">
      <c r="A6213" s="237"/>
      <c r="E6213" s="234"/>
    </row>
    <row r="6214">
      <c r="A6214" s="237"/>
      <c r="E6214" s="234"/>
    </row>
    <row r="6215">
      <c r="A6215" s="237"/>
      <c r="E6215" s="234"/>
    </row>
    <row r="6216">
      <c r="A6216" s="237"/>
      <c r="E6216" s="234"/>
    </row>
    <row r="6217">
      <c r="A6217" s="237"/>
      <c r="E6217" s="234"/>
    </row>
    <row r="6218">
      <c r="A6218" s="237"/>
      <c r="E6218" s="234"/>
    </row>
    <row r="6219">
      <c r="A6219" s="237"/>
      <c r="E6219" s="234"/>
    </row>
    <row r="6220">
      <c r="A6220" s="237"/>
      <c r="E6220" s="234"/>
    </row>
    <row r="6221">
      <c r="A6221" s="237"/>
      <c r="E6221" s="234"/>
    </row>
    <row r="6222">
      <c r="A6222" s="237"/>
      <c r="E6222" s="234"/>
    </row>
    <row r="6223">
      <c r="A6223" s="237"/>
      <c r="E6223" s="234"/>
    </row>
    <row r="6224">
      <c r="A6224" s="237"/>
      <c r="E6224" s="234"/>
    </row>
    <row r="6225">
      <c r="A6225" s="237"/>
      <c r="E6225" s="234"/>
    </row>
    <row r="6226">
      <c r="A6226" s="237"/>
      <c r="E6226" s="234"/>
    </row>
    <row r="6227">
      <c r="A6227" s="237"/>
      <c r="E6227" s="234"/>
    </row>
    <row r="6228">
      <c r="A6228" s="237"/>
      <c r="E6228" s="234"/>
    </row>
    <row r="6229">
      <c r="A6229" s="237"/>
      <c r="E6229" s="234"/>
    </row>
    <row r="6230">
      <c r="A6230" s="237"/>
      <c r="E6230" s="234"/>
    </row>
    <row r="6231">
      <c r="A6231" s="237"/>
      <c r="E6231" s="234"/>
    </row>
    <row r="6232">
      <c r="A6232" s="237"/>
      <c r="E6232" s="234"/>
    </row>
    <row r="6233">
      <c r="A6233" s="237"/>
      <c r="E6233" s="234"/>
    </row>
    <row r="6234">
      <c r="A6234" s="237"/>
      <c r="E6234" s="234"/>
    </row>
    <row r="6235">
      <c r="A6235" s="237"/>
      <c r="E6235" s="234"/>
    </row>
    <row r="6236">
      <c r="A6236" s="237"/>
      <c r="E6236" s="234"/>
    </row>
    <row r="6237">
      <c r="A6237" s="237"/>
      <c r="E6237" s="234"/>
    </row>
    <row r="6238">
      <c r="A6238" s="237"/>
      <c r="E6238" s="234"/>
    </row>
    <row r="6239">
      <c r="A6239" s="237"/>
      <c r="E6239" s="234"/>
    </row>
    <row r="6240">
      <c r="A6240" s="237"/>
      <c r="E6240" s="234"/>
    </row>
    <row r="6241">
      <c r="A6241" s="237"/>
      <c r="E6241" s="234"/>
    </row>
    <row r="6242">
      <c r="A6242" s="237"/>
      <c r="E6242" s="234"/>
    </row>
    <row r="6243">
      <c r="A6243" s="237"/>
      <c r="E6243" s="234"/>
    </row>
    <row r="6244">
      <c r="A6244" s="237"/>
      <c r="E6244" s="234"/>
    </row>
    <row r="6245">
      <c r="A6245" s="237"/>
      <c r="E6245" s="234"/>
    </row>
    <row r="6246">
      <c r="A6246" s="237"/>
      <c r="E6246" s="234"/>
    </row>
    <row r="6247">
      <c r="A6247" s="237"/>
      <c r="E6247" s="234"/>
    </row>
    <row r="6248">
      <c r="A6248" s="237"/>
      <c r="E6248" s="234"/>
    </row>
    <row r="6249">
      <c r="A6249" s="237"/>
      <c r="E6249" s="234"/>
    </row>
    <row r="6250">
      <c r="A6250" s="237"/>
      <c r="E6250" s="234"/>
    </row>
    <row r="6251">
      <c r="A6251" s="237"/>
      <c r="E6251" s="234"/>
    </row>
    <row r="6252">
      <c r="A6252" s="237"/>
      <c r="E6252" s="234"/>
    </row>
    <row r="6253">
      <c r="A6253" s="237"/>
      <c r="E6253" s="234"/>
    </row>
    <row r="6254">
      <c r="A6254" s="237"/>
      <c r="E6254" s="234"/>
    </row>
    <row r="6255">
      <c r="A6255" s="237"/>
      <c r="E6255" s="234"/>
    </row>
    <row r="6256">
      <c r="A6256" s="237"/>
      <c r="E6256" s="234"/>
    </row>
    <row r="6257">
      <c r="A6257" s="237"/>
      <c r="E6257" s="234"/>
    </row>
    <row r="6258">
      <c r="A6258" s="237"/>
      <c r="E6258" s="234"/>
    </row>
    <row r="6259">
      <c r="A6259" s="237"/>
      <c r="E6259" s="234"/>
    </row>
    <row r="6260">
      <c r="A6260" s="237"/>
      <c r="E6260" s="234"/>
    </row>
    <row r="6261">
      <c r="A6261" s="237"/>
      <c r="E6261" s="234"/>
    </row>
    <row r="6262">
      <c r="A6262" s="237"/>
      <c r="E6262" s="234"/>
    </row>
    <row r="6263">
      <c r="A6263" s="237"/>
      <c r="E6263" s="234"/>
    </row>
    <row r="6264">
      <c r="A6264" s="237"/>
      <c r="E6264" s="234"/>
    </row>
    <row r="6265">
      <c r="A6265" s="237"/>
      <c r="E6265" s="234"/>
    </row>
    <row r="6266">
      <c r="A6266" s="237"/>
      <c r="E6266" s="234"/>
    </row>
    <row r="6267">
      <c r="A6267" s="237"/>
      <c r="E6267" s="234"/>
    </row>
    <row r="6268">
      <c r="A6268" s="237"/>
      <c r="E6268" s="234"/>
    </row>
    <row r="6269">
      <c r="A6269" s="237"/>
      <c r="E6269" s="234"/>
    </row>
    <row r="6270">
      <c r="A6270" s="237"/>
      <c r="E6270" s="234"/>
    </row>
    <row r="6271">
      <c r="A6271" s="237"/>
      <c r="E6271" s="234"/>
    </row>
    <row r="6272">
      <c r="A6272" s="237"/>
      <c r="E6272" s="234"/>
    </row>
    <row r="6273">
      <c r="A6273" s="237"/>
      <c r="E6273" s="234"/>
    </row>
    <row r="6274">
      <c r="A6274" s="237"/>
      <c r="E6274" s="234"/>
    </row>
    <row r="6275">
      <c r="A6275" s="237"/>
      <c r="E6275" s="234"/>
    </row>
    <row r="6276">
      <c r="A6276" s="237"/>
      <c r="E6276" s="234"/>
    </row>
    <row r="6277">
      <c r="A6277" s="237"/>
      <c r="E6277" s="234"/>
    </row>
    <row r="6278">
      <c r="A6278" s="237"/>
      <c r="E6278" s="234"/>
    </row>
    <row r="6279">
      <c r="A6279" s="237"/>
      <c r="E6279" s="234"/>
    </row>
    <row r="6280">
      <c r="A6280" s="237"/>
      <c r="E6280" s="234"/>
    </row>
    <row r="6281">
      <c r="A6281" s="237"/>
      <c r="E6281" s="234"/>
    </row>
    <row r="6282">
      <c r="A6282" s="237"/>
      <c r="E6282" s="234"/>
    </row>
    <row r="6283">
      <c r="A6283" s="237"/>
      <c r="E6283" s="234"/>
    </row>
    <row r="6284">
      <c r="A6284" s="237"/>
      <c r="E6284" s="234"/>
    </row>
    <row r="6285">
      <c r="A6285" s="237"/>
      <c r="E6285" s="234"/>
    </row>
    <row r="6286">
      <c r="A6286" s="237"/>
      <c r="E6286" s="234"/>
    </row>
    <row r="6287">
      <c r="A6287" s="237"/>
      <c r="E6287" s="234"/>
    </row>
    <row r="6288">
      <c r="A6288" s="237"/>
      <c r="E6288" s="234"/>
    </row>
    <row r="6289">
      <c r="A6289" s="237"/>
      <c r="E6289" s="234"/>
    </row>
    <row r="6290">
      <c r="A6290" s="237"/>
      <c r="E6290" s="234"/>
    </row>
    <row r="6291">
      <c r="A6291" s="237"/>
      <c r="E6291" s="234"/>
    </row>
    <row r="6292">
      <c r="A6292" s="237"/>
      <c r="E6292" s="234"/>
    </row>
    <row r="6293">
      <c r="A6293" s="237"/>
      <c r="E6293" s="234"/>
    </row>
    <row r="6294">
      <c r="A6294" s="237"/>
      <c r="E6294" s="234"/>
    </row>
    <row r="6295">
      <c r="A6295" s="237"/>
      <c r="E6295" s="234"/>
    </row>
    <row r="6296">
      <c r="A6296" s="237"/>
      <c r="E6296" s="234"/>
    </row>
    <row r="6297">
      <c r="A6297" s="237"/>
      <c r="E6297" s="234"/>
    </row>
    <row r="6298">
      <c r="A6298" s="237"/>
      <c r="E6298" s="234"/>
    </row>
    <row r="6299">
      <c r="A6299" s="237"/>
      <c r="E6299" s="234"/>
    </row>
    <row r="6300">
      <c r="A6300" s="237"/>
      <c r="E6300" s="234"/>
    </row>
    <row r="6301">
      <c r="A6301" s="237"/>
      <c r="E6301" s="234"/>
    </row>
    <row r="6302">
      <c r="A6302" s="237"/>
      <c r="E6302" s="234"/>
    </row>
    <row r="6303">
      <c r="A6303" s="237"/>
      <c r="E6303" s="234"/>
    </row>
    <row r="6304">
      <c r="A6304" s="237"/>
      <c r="E6304" s="234"/>
    </row>
    <row r="6305">
      <c r="A6305" s="237"/>
      <c r="E6305" s="234"/>
    </row>
    <row r="6306">
      <c r="A6306" s="237"/>
      <c r="E6306" s="234"/>
    </row>
    <row r="6307">
      <c r="A6307" s="237"/>
      <c r="E6307" s="234"/>
    </row>
    <row r="6308">
      <c r="A6308" s="237"/>
      <c r="E6308" s="234"/>
    </row>
    <row r="6309">
      <c r="A6309" s="237"/>
      <c r="E6309" s="234"/>
    </row>
    <row r="6310">
      <c r="A6310" s="237"/>
      <c r="E6310" s="234"/>
    </row>
    <row r="6311">
      <c r="A6311" s="237"/>
      <c r="E6311" s="234"/>
    </row>
    <row r="6312">
      <c r="A6312" s="237"/>
      <c r="E6312" s="234"/>
    </row>
    <row r="6313">
      <c r="A6313" s="237"/>
      <c r="E6313" s="234"/>
    </row>
    <row r="6314">
      <c r="A6314" s="237"/>
      <c r="E6314" s="234"/>
    </row>
    <row r="6315">
      <c r="A6315" s="237"/>
      <c r="E6315" s="234"/>
    </row>
    <row r="6316">
      <c r="A6316" s="237"/>
      <c r="E6316" s="234"/>
    </row>
    <row r="6317">
      <c r="A6317" s="237"/>
      <c r="E6317" s="234"/>
    </row>
    <row r="6318">
      <c r="A6318" s="237"/>
      <c r="E6318" s="234"/>
    </row>
    <row r="6319">
      <c r="A6319" s="237"/>
      <c r="E6319" s="234"/>
    </row>
    <row r="6320">
      <c r="A6320" s="237"/>
      <c r="E6320" s="234"/>
    </row>
    <row r="6321">
      <c r="A6321" s="237"/>
      <c r="E6321" s="234"/>
    </row>
    <row r="6322">
      <c r="A6322" s="237"/>
      <c r="E6322" s="234"/>
    </row>
    <row r="6323">
      <c r="A6323" s="237"/>
      <c r="E6323" s="234"/>
    </row>
    <row r="6324">
      <c r="A6324" s="237"/>
      <c r="E6324" s="234"/>
    </row>
    <row r="6325">
      <c r="A6325" s="237"/>
      <c r="E6325" s="234"/>
    </row>
    <row r="6326">
      <c r="A6326" s="237"/>
      <c r="E6326" s="234"/>
    </row>
    <row r="6327">
      <c r="A6327" s="237"/>
      <c r="E6327" s="234"/>
    </row>
    <row r="6328">
      <c r="A6328" s="237"/>
      <c r="E6328" s="234"/>
    </row>
    <row r="6329">
      <c r="A6329" s="237"/>
      <c r="E6329" s="234"/>
    </row>
    <row r="6330">
      <c r="A6330" s="237"/>
      <c r="E6330" s="234"/>
    </row>
    <row r="6331">
      <c r="A6331" s="237"/>
      <c r="E6331" s="234"/>
    </row>
    <row r="6332">
      <c r="A6332" s="237"/>
      <c r="E6332" s="234"/>
    </row>
    <row r="6333">
      <c r="A6333" s="237"/>
      <c r="E6333" s="234"/>
    </row>
    <row r="6334">
      <c r="A6334" s="237"/>
      <c r="E6334" s="234"/>
    </row>
    <row r="6335">
      <c r="A6335" s="237"/>
      <c r="E6335" s="234"/>
    </row>
    <row r="6336">
      <c r="A6336" s="237"/>
      <c r="E6336" s="234"/>
    </row>
    <row r="6337">
      <c r="A6337" s="237"/>
      <c r="E6337" s="234"/>
    </row>
    <row r="6338">
      <c r="A6338" s="237"/>
      <c r="E6338" s="234"/>
    </row>
    <row r="6339">
      <c r="A6339" s="237"/>
      <c r="E6339" s="234"/>
    </row>
    <row r="6340">
      <c r="A6340" s="237"/>
      <c r="E6340" s="234"/>
    </row>
    <row r="6341">
      <c r="A6341" s="237"/>
      <c r="E6341" s="234"/>
    </row>
    <row r="6342">
      <c r="A6342" s="237"/>
      <c r="E6342" s="234"/>
    </row>
    <row r="6343">
      <c r="A6343" s="237"/>
      <c r="E6343" s="234"/>
    </row>
    <row r="6344">
      <c r="A6344" s="237"/>
      <c r="E6344" s="234"/>
    </row>
    <row r="6345">
      <c r="A6345" s="237"/>
      <c r="E6345" s="234"/>
    </row>
    <row r="6346">
      <c r="A6346" s="237"/>
      <c r="E6346" s="234"/>
    </row>
    <row r="6347">
      <c r="A6347" s="237"/>
      <c r="E6347" s="234"/>
    </row>
    <row r="6348">
      <c r="A6348" s="237"/>
      <c r="E6348" s="234"/>
    </row>
    <row r="6349">
      <c r="A6349" s="237"/>
      <c r="E6349" s="234"/>
    </row>
    <row r="6350">
      <c r="A6350" s="237"/>
      <c r="E6350" s="234"/>
    </row>
    <row r="6351">
      <c r="A6351" s="237"/>
      <c r="E6351" s="234"/>
    </row>
    <row r="6352">
      <c r="A6352" s="237"/>
      <c r="E6352" s="234"/>
    </row>
    <row r="6353">
      <c r="A6353" s="237"/>
      <c r="E6353" s="234"/>
    </row>
    <row r="6354">
      <c r="A6354" s="237"/>
      <c r="E6354" s="234"/>
    </row>
    <row r="6355">
      <c r="A6355" s="237"/>
      <c r="E6355" s="234"/>
    </row>
    <row r="6356">
      <c r="A6356" s="237"/>
      <c r="E6356" s="234"/>
    </row>
    <row r="6357">
      <c r="A6357" s="237"/>
      <c r="E6357" s="234"/>
    </row>
    <row r="6358">
      <c r="A6358" s="237"/>
      <c r="E6358" s="234"/>
    </row>
    <row r="6359">
      <c r="A6359" s="237"/>
      <c r="E6359" s="234"/>
    </row>
    <row r="6360">
      <c r="A6360" s="237"/>
      <c r="E6360" s="234"/>
    </row>
    <row r="6361">
      <c r="A6361" s="237"/>
      <c r="E6361" s="234"/>
    </row>
    <row r="6362">
      <c r="A6362" s="237"/>
      <c r="E6362" s="234"/>
    </row>
    <row r="6363">
      <c r="A6363" s="237"/>
      <c r="E6363" s="234"/>
    </row>
    <row r="6364">
      <c r="A6364" s="237"/>
      <c r="E6364" s="234"/>
    </row>
    <row r="6365">
      <c r="A6365" s="237"/>
      <c r="E6365" s="234"/>
    </row>
    <row r="6366">
      <c r="A6366" s="237"/>
      <c r="E6366" s="234"/>
    </row>
    <row r="6367">
      <c r="A6367" s="237"/>
      <c r="E6367" s="234"/>
    </row>
    <row r="6368">
      <c r="A6368" s="237"/>
      <c r="E6368" s="234"/>
    </row>
    <row r="6369">
      <c r="A6369" s="237"/>
      <c r="E6369" s="234"/>
    </row>
    <row r="6370">
      <c r="A6370" s="237"/>
      <c r="E6370" s="234"/>
    </row>
    <row r="6371">
      <c r="A6371" s="237"/>
      <c r="E6371" s="234"/>
    </row>
    <row r="6372">
      <c r="A6372" s="237"/>
      <c r="E6372" s="234"/>
    </row>
    <row r="6373">
      <c r="A6373" s="237"/>
      <c r="E6373" s="234"/>
    </row>
    <row r="6374">
      <c r="A6374" s="237"/>
      <c r="E6374" s="234"/>
    </row>
    <row r="6375">
      <c r="A6375" s="237"/>
      <c r="E6375" s="234"/>
    </row>
    <row r="6376">
      <c r="A6376" s="237"/>
      <c r="E6376" s="234"/>
    </row>
    <row r="6377">
      <c r="A6377" s="237"/>
      <c r="E6377" s="234"/>
    </row>
    <row r="6378">
      <c r="A6378" s="237"/>
      <c r="E6378" s="234"/>
    </row>
    <row r="6379">
      <c r="A6379" s="237"/>
      <c r="E6379" s="234"/>
    </row>
    <row r="6380">
      <c r="A6380" s="237"/>
      <c r="E6380" s="234"/>
    </row>
    <row r="6381">
      <c r="A6381" s="237"/>
      <c r="E6381" s="234"/>
    </row>
    <row r="6382">
      <c r="A6382" s="237"/>
      <c r="E6382" s="234"/>
    </row>
    <row r="6383">
      <c r="A6383" s="237"/>
      <c r="E6383" s="234"/>
    </row>
    <row r="6384">
      <c r="A6384" s="237"/>
      <c r="E6384" s="234"/>
    </row>
    <row r="6385">
      <c r="A6385" s="237"/>
      <c r="E6385" s="234"/>
    </row>
    <row r="6386">
      <c r="A6386" s="237"/>
      <c r="E6386" s="234"/>
    </row>
    <row r="6387">
      <c r="A6387" s="237"/>
      <c r="E6387" s="234"/>
    </row>
    <row r="6388">
      <c r="A6388" s="237"/>
      <c r="E6388" s="234"/>
    </row>
    <row r="6389">
      <c r="A6389" s="237"/>
      <c r="E6389" s="234"/>
    </row>
    <row r="6390">
      <c r="A6390" s="237"/>
      <c r="E6390" s="234"/>
    </row>
    <row r="6391">
      <c r="A6391" s="237"/>
      <c r="E6391" s="234"/>
    </row>
    <row r="6392">
      <c r="A6392" s="237"/>
      <c r="E6392" s="234"/>
    </row>
    <row r="6393">
      <c r="A6393" s="237"/>
      <c r="E6393" s="234"/>
    </row>
    <row r="6394">
      <c r="A6394" s="237"/>
      <c r="E6394" s="234"/>
    </row>
    <row r="6395">
      <c r="A6395" s="237"/>
      <c r="E6395" s="234"/>
    </row>
    <row r="6396">
      <c r="A6396" s="237"/>
      <c r="E6396" s="234"/>
    </row>
    <row r="6397">
      <c r="A6397" s="237"/>
      <c r="E6397" s="234"/>
    </row>
    <row r="6398">
      <c r="A6398" s="237"/>
      <c r="E6398" s="234"/>
    </row>
    <row r="6399">
      <c r="A6399" s="237"/>
      <c r="E6399" s="234"/>
    </row>
    <row r="6400">
      <c r="A6400" s="237"/>
      <c r="E6400" s="234"/>
    </row>
    <row r="6401">
      <c r="A6401" s="237"/>
      <c r="E6401" s="234"/>
    </row>
    <row r="6402">
      <c r="A6402" s="237"/>
      <c r="E6402" s="234"/>
    </row>
    <row r="6403">
      <c r="A6403" s="237"/>
      <c r="E6403" s="234"/>
    </row>
    <row r="6404">
      <c r="A6404" s="237"/>
      <c r="E6404" s="234"/>
    </row>
    <row r="6405">
      <c r="A6405" s="237"/>
      <c r="E6405" s="234"/>
    </row>
    <row r="6406">
      <c r="A6406" s="237"/>
      <c r="E6406" s="234"/>
    </row>
    <row r="6407">
      <c r="A6407" s="237"/>
      <c r="E6407" s="234"/>
    </row>
    <row r="6408">
      <c r="A6408" s="237"/>
      <c r="E6408" s="234"/>
    </row>
    <row r="6409">
      <c r="A6409" s="237"/>
      <c r="E6409" s="234"/>
    </row>
    <row r="6410">
      <c r="A6410" s="237"/>
      <c r="E6410" s="234"/>
    </row>
    <row r="6411">
      <c r="A6411" s="237"/>
      <c r="E6411" s="234"/>
    </row>
    <row r="6412">
      <c r="A6412" s="237"/>
      <c r="E6412" s="234"/>
    </row>
    <row r="6413">
      <c r="A6413" s="237"/>
      <c r="E6413" s="234"/>
    </row>
    <row r="6414">
      <c r="A6414" s="237"/>
      <c r="E6414" s="234"/>
    </row>
    <row r="6415">
      <c r="A6415" s="237"/>
      <c r="E6415" s="234"/>
    </row>
    <row r="6416">
      <c r="A6416" s="237"/>
      <c r="E6416" s="234"/>
    </row>
    <row r="6417">
      <c r="A6417" s="237"/>
      <c r="E6417" s="234"/>
    </row>
    <row r="6418">
      <c r="A6418" s="237"/>
      <c r="E6418" s="234"/>
    </row>
    <row r="6419">
      <c r="A6419" s="237"/>
      <c r="E6419" s="234"/>
    </row>
    <row r="6420">
      <c r="A6420" s="237"/>
      <c r="E6420" s="234"/>
    </row>
    <row r="6421">
      <c r="A6421" s="237"/>
      <c r="E6421" s="234"/>
    </row>
    <row r="6422">
      <c r="A6422" s="237"/>
      <c r="E6422" s="234"/>
    </row>
    <row r="6423">
      <c r="A6423" s="237"/>
      <c r="E6423" s="234"/>
    </row>
    <row r="6424">
      <c r="A6424" s="237"/>
      <c r="E6424" s="234"/>
    </row>
    <row r="6425">
      <c r="A6425" s="237"/>
      <c r="E6425" s="234"/>
    </row>
    <row r="6426">
      <c r="A6426" s="237"/>
      <c r="E6426" s="234"/>
    </row>
    <row r="6427">
      <c r="A6427" s="237"/>
      <c r="E6427" s="234"/>
    </row>
    <row r="6428">
      <c r="A6428" s="237"/>
      <c r="E6428" s="234"/>
    </row>
    <row r="6429">
      <c r="A6429" s="237"/>
      <c r="E6429" s="234"/>
    </row>
    <row r="6430">
      <c r="A6430" s="237"/>
      <c r="E6430" s="234"/>
    </row>
    <row r="6431">
      <c r="A6431" s="237"/>
      <c r="E6431" s="234"/>
    </row>
    <row r="6432">
      <c r="A6432" s="237"/>
      <c r="E6432" s="234"/>
    </row>
    <row r="6433">
      <c r="A6433" s="237"/>
      <c r="E6433" s="234"/>
    </row>
    <row r="6434">
      <c r="A6434" s="237"/>
      <c r="E6434" s="234"/>
    </row>
    <row r="6435">
      <c r="A6435" s="237"/>
      <c r="E6435" s="234"/>
    </row>
    <row r="6436">
      <c r="A6436" s="237"/>
      <c r="E6436" s="234"/>
    </row>
    <row r="6437">
      <c r="A6437" s="237"/>
      <c r="E6437" s="234"/>
    </row>
    <row r="6438">
      <c r="A6438" s="237"/>
      <c r="E6438" s="234"/>
    </row>
    <row r="6439">
      <c r="A6439" s="237"/>
      <c r="E6439" s="234"/>
    </row>
    <row r="6440">
      <c r="A6440" s="237"/>
      <c r="E6440" s="234"/>
    </row>
    <row r="6441">
      <c r="A6441" s="237"/>
      <c r="E6441" s="234"/>
    </row>
    <row r="6442">
      <c r="A6442" s="237"/>
      <c r="E6442" s="234"/>
    </row>
    <row r="6443">
      <c r="A6443" s="237"/>
      <c r="E6443" s="234"/>
    </row>
    <row r="6444">
      <c r="A6444" s="237"/>
      <c r="E6444" s="234"/>
    </row>
    <row r="6445">
      <c r="A6445" s="237"/>
      <c r="E6445" s="234"/>
    </row>
    <row r="6446">
      <c r="A6446" s="237"/>
      <c r="E6446" s="234"/>
    </row>
    <row r="6447">
      <c r="A6447" s="237"/>
      <c r="E6447" s="234"/>
    </row>
    <row r="6448">
      <c r="A6448" s="237"/>
      <c r="E6448" s="234"/>
    </row>
    <row r="6449">
      <c r="A6449" s="237"/>
      <c r="E6449" s="234"/>
    </row>
    <row r="6450">
      <c r="A6450" s="237"/>
      <c r="E6450" s="234"/>
    </row>
    <row r="6451">
      <c r="A6451" s="237"/>
      <c r="E6451" s="234"/>
    </row>
    <row r="6452">
      <c r="A6452" s="237"/>
      <c r="E6452" s="234"/>
    </row>
    <row r="6453">
      <c r="A6453" s="237"/>
      <c r="E6453" s="234"/>
    </row>
    <row r="6454">
      <c r="A6454" s="237"/>
      <c r="E6454" s="234"/>
    </row>
    <row r="6455">
      <c r="A6455" s="237"/>
      <c r="E6455" s="234"/>
    </row>
    <row r="6456">
      <c r="A6456" s="237"/>
      <c r="E6456" s="234"/>
    </row>
    <row r="6457">
      <c r="A6457" s="237"/>
      <c r="E6457" s="234"/>
    </row>
    <row r="6458">
      <c r="A6458" s="237"/>
      <c r="E6458" s="234"/>
    </row>
    <row r="6459">
      <c r="A6459" s="237"/>
      <c r="E6459" s="234"/>
    </row>
    <row r="6460">
      <c r="A6460" s="237"/>
      <c r="E6460" s="234"/>
    </row>
    <row r="6461">
      <c r="A6461" s="237"/>
      <c r="E6461" s="234"/>
    </row>
    <row r="6462">
      <c r="A6462" s="237"/>
      <c r="E6462" s="234"/>
    </row>
    <row r="6463">
      <c r="A6463" s="237"/>
      <c r="E6463" s="234"/>
    </row>
    <row r="6464">
      <c r="A6464" s="237"/>
      <c r="E6464" s="234"/>
    </row>
    <row r="6465">
      <c r="A6465" s="237"/>
      <c r="E6465" s="234"/>
    </row>
    <row r="6466">
      <c r="A6466" s="237"/>
      <c r="E6466" s="234"/>
    </row>
    <row r="6467">
      <c r="A6467" s="237"/>
      <c r="E6467" s="234"/>
    </row>
    <row r="6468">
      <c r="A6468" s="237"/>
      <c r="E6468" s="234"/>
    </row>
    <row r="6469">
      <c r="A6469" s="237"/>
      <c r="E6469" s="234"/>
    </row>
    <row r="6470">
      <c r="A6470" s="237"/>
      <c r="E6470" s="234"/>
    </row>
    <row r="6471">
      <c r="A6471" s="237"/>
      <c r="E6471" s="234"/>
    </row>
    <row r="6472">
      <c r="A6472" s="237"/>
      <c r="E6472" s="234"/>
    </row>
    <row r="6473">
      <c r="A6473" s="237"/>
      <c r="E6473" s="234"/>
    </row>
    <row r="6474">
      <c r="A6474" s="237"/>
      <c r="E6474" s="234"/>
    </row>
    <row r="6475">
      <c r="A6475" s="237"/>
      <c r="E6475" s="234"/>
    </row>
    <row r="6476">
      <c r="A6476" s="237"/>
      <c r="E6476" s="234"/>
    </row>
    <row r="6477">
      <c r="A6477" s="237"/>
      <c r="E6477" s="234"/>
    </row>
    <row r="6478">
      <c r="A6478" s="237"/>
      <c r="E6478" s="234"/>
    </row>
    <row r="6479">
      <c r="A6479" s="237"/>
      <c r="E6479" s="234"/>
    </row>
    <row r="6480">
      <c r="A6480" s="237"/>
      <c r="E6480" s="234"/>
    </row>
    <row r="6481">
      <c r="A6481" s="237"/>
      <c r="E6481" s="234"/>
    </row>
    <row r="6482">
      <c r="A6482" s="237"/>
      <c r="E6482" s="234"/>
    </row>
    <row r="6483">
      <c r="A6483" s="237"/>
      <c r="E6483" s="234"/>
    </row>
    <row r="6484">
      <c r="A6484" s="237"/>
      <c r="E6484" s="234"/>
    </row>
    <row r="6485">
      <c r="A6485" s="237"/>
      <c r="E6485" s="234"/>
    </row>
    <row r="6486">
      <c r="A6486" s="237"/>
      <c r="E6486" s="234"/>
    </row>
    <row r="6487">
      <c r="A6487" s="237"/>
      <c r="E6487" s="234"/>
    </row>
    <row r="6488">
      <c r="A6488" s="237"/>
      <c r="E6488" s="234"/>
    </row>
    <row r="6489">
      <c r="A6489" s="237"/>
      <c r="E6489" s="234"/>
    </row>
    <row r="6490">
      <c r="A6490" s="237"/>
      <c r="E6490" s="234"/>
    </row>
    <row r="6491">
      <c r="A6491" s="237"/>
      <c r="E6491" s="234"/>
    </row>
    <row r="6492">
      <c r="A6492" s="237"/>
      <c r="E6492" s="234"/>
    </row>
    <row r="6493">
      <c r="A6493" s="237"/>
      <c r="E6493" s="234"/>
    </row>
    <row r="6494">
      <c r="A6494" s="237"/>
      <c r="E6494" s="234"/>
    </row>
    <row r="6495">
      <c r="A6495" s="237"/>
      <c r="E6495" s="234"/>
    </row>
    <row r="6496">
      <c r="A6496" s="237"/>
      <c r="E6496" s="234"/>
    </row>
    <row r="6497">
      <c r="A6497" s="237"/>
      <c r="E6497" s="234"/>
    </row>
    <row r="6498">
      <c r="A6498" s="237"/>
      <c r="E6498" s="234"/>
    </row>
    <row r="6499">
      <c r="A6499" s="237"/>
      <c r="E6499" s="234"/>
    </row>
    <row r="6500">
      <c r="A6500" s="237"/>
      <c r="E6500" s="234"/>
    </row>
    <row r="6501">
      <c r="A6501" s="237"/>
      <c r="E6501" s="234"/>
    </row>
    <row r="6502">
      <c r="A6502" s="237"/>
      <c r="E6502" s="234"/>
    </row>
    <row r="6503">
      <c r="A6503" s="237"/>
      <c r="E6503" s="234"/>
    </row>
    <row r="6504">
      <c r="A6504" s="237"/>
      <c r="E6504" s="234"/>
    </row>
    <row r="6505">
      <c r="A6505" s="237"/>
      <c r="E6505" s="234"/>
    </row>
    <row r="6506">
      <c r="A6506" s="237"/>
      <c r="E6506" s="234"/>
    </row>
    <row r="6507">
      <c r="A6507" s="237"/>
      <c r="E6507" s="234"/>
    </row>
    <row r="6508">
      <c r="A6508" s="237"/>
      <c r="E6508" s="234"/>
    </row>
    <row r="6509">
      <c r="A6509" s="237"/>
      <c r="E6509" s="234"/>
    </row>
    <row r="6510">
      <c r="A6510" s="237"/>
      <c r="E6510" s="234"/>
    </row>
    <row r="6511">
      <c r="A6511" s="237"/>
      <c r="E6511" s="234"/>
    </row>
    <row r="6512">
      <c r="A6512" s="237"/>
      <c r="E6512" s="234"/>
    </row>
    <row r="6513">
      <c r="A6513" s="237"/>
      <c r="E6513" s="234"/>
    </row>
    <row r="6514">
      <c r="A6514" s="237"/>
      <c r="E6514" s="234"/>
    </row>
    <row r="6515">
      <c r="A6515" s="237"/>
      <c r="E6515" s="234"/>
    </row>
    <row r="6516">
      <c r="A6516" s="237"/>
      <c r="E6516" s="234"/>
    </row>
    <row r="6517">
      <c r="A6517" s="237"/>
      <c r="E6517" s="234"/>
    </row>
    <row r="6518">
      <c r="A6518" s="237"/>
      <c r="E6518" s="234"/>
    </row>
    <row r="6519">
      <c r="A6519" s="237"/>
      <c r="E6519" s="234"/>
    </row>
    <row r="6520">
      <c r="A6520" s="237"/>
      <c r="E6520" s="234"/>
    </row>
    <row r="6521">
      <c r="A6521" s="237"/>
      <c r="E6521" s="234"/>
    </row>
    <row r="6522">
      <c r="A6522" s="237"/>
      <c r="E6522" s="234"/>
    </row>
    <row r="6523">
      <c r="A6523" s="237"/>
      <c r="E6523" s="234"/>
    </row>
    <row r="6524">
      <c r="A6524" s="237"/>
      <c r="E6524" s="234"/>
    </row>
    <row r="6525">
      <c r="A6525" s="237"/>
      <c r="E6525" s="234"/>
    </row>
    <row r="6526">
      <c r="A6526" s="237"/>
      <c r="E6526" s="234"/>
    </row>
    <row r="6527">
      <c r="A6527" s="237"/>
      <c r="E6527" s="234"/>
    </row>
    <row r="6528">
      <c r="A6528" s="237"/>
      <c r="E6528" s="234"/>
    </row>
    <row r="6529">
      <c r="A6529" s="237"/>
      <c r="E6529" s="234"/>
    </row>
    <row r="6530">
      <c r="A6530" s="237"/>
      <c r="E6530" s="234"/>
    </row>
    <row r="6531">
      <c r="A6531" s="237"/>
      <c r="E6531" s="234"/>
    </row>
    <row r="6532">
      <c r="A6532" s="237"/>
      <c r="E6532" s="234"/>
    </row>
    <row r="6533">
      <c r="A6533" s="237"/>
      <c r="E6533" s="234"/>
    </row>
    <row r="6534">
      <c r="A6534" s="237"/>
      <c r="E6534" s="234"/>
    </row>
    <row r="6535">
      <c r="A6535" s="237"/>
      <c r="E6535" s="234"/>
    </row>
    <row r="6536">
      <c r="A6536" s="237"/>
      <c r="E6536" s="234"/>
    </row>
    <row r="6537">
      <c r="A6537" s="237"/>
      <c r="E6537" s="234"/>
    </row>
    <row r="6538">
      <c r="A6538" s="237"/>
      <c r="E6538" s="234"/>
    </row>
    <row r="6539">
      <c r="A6539" s="237"/>
      <c r="E6539" s="234"/>
    </row>
    <row r="6540">
      <c r="A6540" s="237"/>
      <c r="E6540" s="234"/>
    </row>
    <row r="6541">
      <c r="A6541" s="237"/>
      <c r="E6541" s="234"/>
    </row>
    <row r="6542">
      <c r="A6542" s="237"/>
      <c r="E6542" s="234"/>
    </row>
    <row r="6543">
      <c r="A6543" s="237"/>
      <c r="E6543" s="234"/>
    </row>
    <row r="6544">
      <c r="A6544" s="237"/>
      <c r="E6544" s="234"/>
    </row>
    <row r="6545">
      <c r="A6545" s="237"/>
      <c r="E6545" s="234"/>
    </row>
    <row r="6546">
      <c r="A6546" s="237"/>
      <c r="E6546" s="234"/>
    </row>
    <row r="6547">
      <c r="A6547" s="237"/>
      <c r="E6547" s="234"/>
    </row>
    <row r="6548">
      <c r="A6548" s="237"/>
      <c r="E6548" s="234"/>
    </row>
    <row r="6549">
      <c r="A6549" s="237"/>
      <c r="E6549" s="234"/>
    </row>
    <row r="6550">
      <c r="A6550" s="237"/>
      <c r="E6550" s="234"/>
    </row>
    <row r="6551">
      <c r="A6551" s="237"/>
      <c r="E6551" s="234"/>
    </row>
    <row r="6552">
      <c r="A6552" s="237"/>
      <c r="E6552" s="234"/>
    </row>
    <row r="6553">
      <c r="A6553" s="237"/>
      <c r="E6553" s="234"/>
    </row>
    <row r="6554">
      <c r="A6554" s="237"/>
      <c r="E6554" s="234"/>
    </row>
    <row r="6555">
      <c r="A6555" s="237"/>
      <c r="E6555" s="234"/>
    </row>
    <row r="6556">
      <c r="A6556" s="237"/>
      <c r="E6556" s="234"/>
    </row>
    <row r="6557">
      <c r="A6557" s="237"/>
      <c r="E6557" s="234"/>
    </row>
    <row r="6558">
      <c r="A6558" s="237"/>
      <c r="E6558" s="234"/>
    </row>
    <row r="6559">
      <c r="A6559" s="237"/>
      <c r="E6559" s="234"/>
    </row>
    <row r="6560">
      <c r="A6560" s="237"/>
      <c r="E6560" s="234"/>
    </row>
    <row r="6561">
      <c r="A6561" s="237"/>
      <c r="E6561" s="234"/>
    </row>
    <row r="6562">
      <c r="A6562" s="237"/>
      <c r="E6562" s="234"/>
    </row>
    <row r="6563">
      <c r="A6563" s="237"/>
      <c r="E6563" s="234"/>
    </row>
    <row r="6564">
      <c r="A6564" s="237"/>
      <c r="E6564" s="234"/>
    </row>
    <row r="6565">
      <c r="A6565" s="237"/>
      <c r="E6565" s="234"/>
    </row>
    <row r="6566">
      <c r="A6566" s="237"/>
      <c r="E6566" s="234"/>
    </row>
    <row r="6567">
      <c r="A6567" s="237"/>
      <c r="E6567" s="234"/>
    </row>
    <row r="6568">
      <c r="A6568" s="237"/>
      <c r="E6568" s="234"/>
    </row>
    <row r="6569">
      <c r="A6569" s="237"/>
      <c r="E6569" s="234"/>
    </row>
    <row r="6570">
      <c r="A6570" s="237"/>
      <c r="E6570" s="234"/>
    </row>
    <row r="6571">
      <c r="A6571" s="237"/>
      <c r="E6571" s="234"/>
    </row>
    <row r="6572">
      <c r="A6572" s="237"/>
      <c r="E6572" s="234"/>
    </row>
    <row r="6573">
      <c r="A6573" s="237"/>
      <c r="E6573" s="234"/>
    </row>
    <row r="6574">
      <c r="A6574" s="237"/>
      <c r="E6574" s="234"/>
    </row>
    <row r="6575">
      <c r="A6575" s="237"/>
      <c r="E6575" s="234"/>
    </row>
    <row r="6576">
      <c r="A6576" s="237"/>
      <c r="E6576" s="234"/>
    </row>
    <row r="6577">
      <c r="A6577" s="237"/>
      <c r="E6577" s="234"/>
    </row>
    <row r="6578">
      <c r="A6578" s="237"/>
      <c r="E6578" s="234"/>
    </row>
    <row r="6579">
      <c r="A6579" s="237"/>
      <c r="E6579" s="234"/>
    </row>
    <row r="6580">
      <c r="A6580" s="237"/>
      <c r="E6580" s="234"/>
    </row>
    <row r="6581">
      <c r="A6581" s="237"/>
      <c r="E6581" s="234"/>
    </row>
    <row r="6582">
      <c r="A6582" s="237"/>
      <c r="E6582" s="234"/>
    </row>
    <row r="6583">
      <c r="A6583" s="237"/>
      <c r="E6583" s="234"/>
    </row>
    <row r="6584">
      <c r="A6584" s="237"/>
      <c r="E6584" s="234"/>
    </row>
    <row r="6585">
      <c r="A6585" s="237"/>
      <c r="E6585" s="234"/>
    </row>
    <row r="6586">
      <c r="A6586" s="237"/>
      <c r="E6586" s="234"/>
    </row>
    <row r="6587">
      <c r="A6587" s="237"/>
      <c r="E6587" s="234"/>
    </row>
    <row r="6588">
      <c r="A6588" s="237"/>
      <c r="E6588" s="234"/>
    </row>
    <row r="6589">
      <c r="A6589" s="237"/>
      <c r="E6589" s="234"/>
    </row>
    <row r="6590">
      <c r="A6590" s="237"/>
      <c r="E6590" s="234"/>
    </row>
    <row r="6591">
      <c r="A6591" s="237"/>
      <c r="E6591" s="234"/>
    </row>
    <row r="6592">
      <c r="A6592" s="237"/>
      <c r="E6592" s="234"/>
    </row>
    <row r="6593">
      <c r="A6593" s="237"/>
      <c r="E6593" s="234"/>
    </row>
    <row r="6594">
      <c r="A6594" s="237"/>
      <c r="E6594" s="234"/>
    </row>
    <row r="6595">
      <c r="A6595" s="237"/>
      <c r="E6595" s="234"/>
    </row>
    <row r="6596">
      <c r="A6596" s="237"/>
      <c r="E6596" s="234"/>
    </row>
    <row r="6597">
      <c r="A6597" s="237"/>
      <c r="E6597" s="234"/>
    </row>
    <row r="6598">
      <c r="A6598" s="237"/>
      <c r="E6598" s="234"/>
    </row>
    <row r="6599">
      <c r="A6599" s="237"/>
      <c r="E6599" s="234"/>
    </row>
    <row r="6600">
      <c r="A6600" s="237"/>
      <c r="E6600" s="234"/>
    </row>
    <row r="6601">
      <c r="A6601" s="237"/>
      <c r="E6601" s="234"/>
    </row>
    <row r="6602">
      <c r="A6602" s="237"/>
      <c r="E6602" s="234"/>
    </row>
    <row r="6603">
      <c r="A6603" s="237"/>
      <c r="E6603" s="234"/>
    </row>
    <row r="6604">
      <c r="A6604" s="237"/>
      <c r="E6604" s="234"/>
    </row>
    <row r="6605">
      <c r="A6605" s="237"/>
      <c r="E6605" s="234"/>
    </row>
    <row r="6606">
      <c r="A6606" s="237"/>
      <c r="E6606" s="234"/>
    </row>
    <row r="6607">
      <c r="A6607" s="237"/>
      <c r="E6607" s="234"/>
    </row>
    <row r="6608">
      <c r="A6608" s="237"/>
      <c r="E6608" s="234"/>
    </row>
    <row r="6609">
      <c r="A6609" s="237"/>
      <c r="E6609" s="234"/>
    </row>
    <row r="6610">
      <c r="A6610" s="237"/>
      <c r="E6610" s="234"/>
    </row>
    <row r="6611">
      <c r="A6611" s="237"/>
      <c r="E6611" s="234"/>
    </row>
    <row r="6612">
      <c r="A6612" s="237"/>
      <c r="E6612" s="234"/>
    </row>
    <row r="6613">
      <c r="A6613" s="237"/>
      <c r="E6613" s="234"/>
    </row>
    <row r="6614">
      <c r="A6614" s="237"/>
      <c r="E6614" s="234"/>
    </row>
    <row r="6615">
      <c r="A6615" s="237"/>
      <c r="E6615" s="234"/>
    </row>
    <row r="6616">
      <c r="A6616" s="237"/>
      <c r="E6616" s="234"/>
    </row>
    <row r="6617">
      <c r="A6617" s="237"/>
      <c r="E6617" s="234"/>
    </row>
    <row r="6618">
      <c r="A6618" s="237"/>
      <c r="E6618" s="234"/>
    </row>
    <row r="6619">
      <c r="A6619" s="237"/>
      <c r="E6619" s="234"/>
    </row>
    <row r="6620">
      <c r="A6620" s="237"/>
      <c r="E6620" s="234"/>
    </row>
    <row r="6621">
      <c r="A6621" s="237"/>
      <c r="E6621" s="234"/>
    </row>
    <row r="6622">
      <c r="A6622" s="237"/>
      <c r="E6622" s="234"/>
    </row>
    <row r="6623">
      <c r="A6623" s="237"/>
      <c r="E6623" s="234"/>
    </row>
    <row r="6624">
      <c r="A6624" s="237"/>
      <c r="E6624" s="234"/>
    </row>
    <row r="6625">
      <c r="A6625" s="237"/>
      <c r="E6625" s="234"/>
    </row>
    <row r="6626">
      <c r="A6626" s="237"/>
      <c r="E6626" s="234"/>
    </row>
    <row r="6627">
      <c r="A6627" s="237"/>
      <c r="E6627" s="234"/>
    </row>
    <row r="6628">
      <c r="A6628" s="237"/>
      <c r="E6628" s="234"/>
    </row>
    <row r="6629">
      <c r="A6629" s="237"/>
      <c r="E6629" s="234"/>
    </row>
    <row r="6630">
      <c r="A6630" s="237"/>
      <c r="E6630" s="234"/>
    </row>
    <row r="6631">
      <c r="A6631" s="237"/>
      <c r="E6631" s="234"/>
    </row>
    <row r="6632">
      <c r="A6632" s="237"/>
      <c r="E6632" s="234"/>
    </row>
    <row r="6633">
      <c r="A6633" s="237"/>
      <c r="E6633" s="234"/>
    </row>
    <row r="6634">
      <c r="A6634" s="237"/>
      <c r="E6634" s="234"/>
    </row>
    <row r="6635">
      <c r="A6635" s="237"/>
      <c r="E6635" s="234"/>
    </row>
    <row r="6636">
      <c r="A6636" s="237"/>
      <c r="E6636" s="234"/>
    </row>
    <row r="6637">
      <c r="A6637" s="237"/>
      <c r="E6637" s="234"/>
    </row>
    <row r="6638">
      <c r="A6638" s="237"/>
      <c r="E6638" s="234"/>
    </row>
    <row r="6639">
      <c r="A6639" s="237"/>
      <c r="E6639" s="234"/>
    </row>
    <row r="6640">
      <c r="A6640" s="237"/>
      <c r="E6640" s="234"/>
    </row>
    <row r="6641">
      <c r="A6641" s="237"/>
      <c r="E6641" s="234"/>
    </row>
    <row r="6642">
      <c r="A6642" s="237"/>
      <c r="E6642" s="234"/>
    </row>
    <row r="6643">
      <c r="A6643" s="237"/>
      <c r="E6643" s="234"/>
    </row>
    <row r="6644">
      <c r="A6644" s="237"/>
      <c r="E6644" s="234"/>
    </row>
    <row r="6645">
      <c r="A6645" s="237"/>
      <c r="E6645" s="234"/>
    </row>
    <row r="6646">
      <c r="A6646" s="237"/>
      <c r="E6646" s="234"/>
    </row>
    <row r="6647">
      <c r="A6647" s="237"/>
      <c r="E6647" s="234"/>
    </row>
    <row r="6648">
      <c r="A6648" s="237"/>
      <c r="E6648" s="234"/>
    </row>
    <row r="6649">
      <c r="A6649" s="237"/>
      <c r="E6649" s="234"/>
    </row>
    <row r="6650">
      <c r="A6650" s="237"/>
      <c r="E6650" s="234"/>
    </row>
    <row r="6651">
      <c r="A6651" s="237"/>
      <c r="E6651" s="234"/>
    </row>
    <row r="6652">
      <c r="A6652" s="237"/>
      <c r="E6652" s="234"/>
    </row>
    <row r="6653">
      <c r="A6653" s="237"/>
      <c r="E6653" s="234"/>
    </row>
    <row r="6654">
      <c r="A6654" s="237"/>
      <c r="E6654" s="234"/>
    </row>
    <row r="6655">
      <c r="A6655" s="237"/>
      <c r="E6655" s="234"/>
    </row>
    <row r="6656">
      <c r="A6656" s="237"/>
      <c r="E6656" s="234"/>
    </row>
    <row r="6657">
      <c r="A6657" s="237"/>
      <c r="E6657" s="234"/>
    </row>
    <row r="6658">
      <c r="A6658" s="237"/>
      <c r="E6658" s="234"/>
    </row>
    <row r="6659">
      <c r="A6659" s="237"/>
      <c r="E6659" s="234"/>
    </row>
    <row r="6660">
      <c r="A6660" s="237"/>
      <c r="E6660" s="234"/>
    </row>
    <row r="6661">
      <c r="A6661" s="237"/>
      <c r="E6661" s="234"/>
    </row>
    <row r="6662">
      <c r="A6662" s="237"/>
      <c r="E6662" s="234"/>
    </row>
    <row r="6663">
      <c r="A6663" s="237"/>
      <c r="E6663" s="234"/>
    </row>
    <row r="6664">
      <c r="A6664" s="237"/>
      <c r="E6664" s="234"/>
    </row>
    <row r="6665">
      <c r="A6665" s="237"/>
      <c r="E6665" s="234"/>
    </row>
    <row r="6666">
      <c r="A6666" s="237"/>
      <c r="E6666" s="234"/>
    </row>
    <row r="6667">
      <c r="A6667" s="237"/>
      <c r="E6667" s="234"/>
    </row>
    <row r="6668">
      <c r="A6668" s="237"/>
      <c r="E6668" s="234"/>
    </row>
    <row r="6669">
      <c r="A6669" s="237"/>
      <c r="E6669" s="234"/>
    </row>
    <row r="6670">
      <c r="A6670" s="237"/>
      <c r="E6670" s="234"/>
    </row>
    <row r="6671">
      <c r="A6671" s="237"/>
      <c r="E6671" s="234"/>
    </row>
    <row r="6672">
      <c r="A6672" s="237"/>
      <c r="E6672" s="234"/>
    </row>
    <row r="6673">
      <c r="A6673" s="237"/>
      <c r="E6673" s="234"/>
    </row>
    <row r="6674">
      <c r="A6674" s="237"/>
      <c r="E6674" s="234"/>
    </row>
    <row r="6675">
      <c r="A6675" s="237"/>
      <c r="E6675" s="234"/>
    </row>
    <row r="6676">
      <c r="A6676" s="237"/>
      <c r="E6676" s="234"/>
    </row>
    <row r="6677">
      <c r="A6677" s="237"/>
      <c r="E6677" s="234"/>
    </row>
    <row r="6678">
      <c r="A6678" s="237"/>
      <c r="E6678" s="234"/>
    </row>
    <row r="6679">
      <c r="A6679" s="237"/>
      <c r="E6679" s="234"/>
    </row>
    <row r="6680">
      <c r="A6680" s="237"/>
      <c r="E6680" s="234"/>
    </row>
    <row r="6681">
      <c r="A6681" s="237"/>
      <c r="E6681" s="234"/>
    </row>
    <row r="6682">
      <c r="A6682" s="237"/>
      <c r="E6682" s="234"/>
    </row>
    <row r="6683">
      <c r="A6683" s="237"/>
      <c r="E6683" s="234"/>
    </row>
    <row r="6684">
      <c r="A6684" s="237"/>
      <c r="E6684" s="234"/>
    </row>
    <row r="6685">
      <c r="A6685" s="237"/>
      <c r="E6685" s="234"/>
    </row>
    <row r="6686">
      <c r="A6686" s="237"/>
      <c r="E6686" s="234"/>
    </row>
    <row r="6687">
      <c r="A6687" s="237"/>
      <c r="E6687" s="234"/>
    </row>
    <row r="6688">
      <c r="A6688" s="237"/>
      <c r="E6688" s="234"/>
    </row>
    <row r="6689">
      <c r="A6689" s="237"/>
      <c r="E6689" s="234"/>
    </row>
    <row r="6690">
      <c r="A6690" s="237"/>
      <c r="E6690" s="234"/>
    </row>
    <row r="6691">
      <c r="A6691" s="237"/>
      <c r="E6691" s="234"/>
    </row>
    <row r="6692">
      <c r="A6692" s="237"/>
      <c r="E6692" s="234"/>
    </row>
    <row r="6693">
      <c r="A6693" s="237"/>
      <c r="E6693" s="234"/>
    </row>
    <row r="6694">
      <c r="A6694" s="237"/>
      <c r="E6694" s="234"/>
    </row>
    <row r="6695">
      <c r="A6695" s="237"/>
      <c r="E6695" s="234"/>
    </row>
    <row r="6696">
      <c r="A6696" s="237"/>
      <c r="E6696" s="234"/>
    </row>
    <row r="6697">
      <c r="A6697" s="237"/>
      <c r="E6697" s="234"/>
    </row>
    <row r="6698">
      <c r="A6698" s="237"/>
      <c r="E6698" s="234"/>
    </row>
    <row r="6699">
      <c r="A6699" s="237"/>
      <c r="E6699" s="234"/>
    </row>
    <row r="6700">
      <c r="A6700" s="237"/>
      <c r="E6700" s="234"/>
    </row>
    <row r="6701">
      <c r="A6701" s="237"/>
      <c r="E6701" s="234"/>
    </row>
    <row r="6702">
      <c r="A6702" s="237"/>
      <c r="E6702" s="234"/>
    </row>
    <row r="6703">
      <c r="A6703" s="237"/>
      <c r="E6703" s="234"/>
    </row>
    <row r="6704">
      <c r="A6704" s="237"/>
      <c r="E6704" s="234"/>
    </row>
    <row r="6705">
      <c r="A6705" s="237"/>
      <c r="E6705" s="234"/>
    </row>
    <row r="6706">
      <c r="A6706" s="237"/>
      <c r="E6706" s="234"/>
    </row>
    <row r="6707">
      <c r="A6707" s="237"/>
      <c r="E6707" s="234"/>
    </row>
    <row r="6708">
      <c r="A6708" s="237"/>
      <c r="E6708" s="234"/>
    </row>
    <row r="6709">
      <c r="A6709" s="237"/>
      <c r="E6709" s="234"/>
    </row>
    <row r="6710">
      <c r="A6710" s="237"/>
      <c r="E6710" s="234"/>
    </row>
    <row r="6711">
      <c r="A6711" s="237"/>
      <c r="E6711" s="234"/>
    </row>
    <row r="6712">
      <c r="A6712" s="237"/>
      <c r="E6712" s="234"/>
    </row>
    <row r="6713">
      <c r="A6713" s="237"/>
      <c r="E6713" s="234"/>
    </row>
    <row r="6714">
      <c r="A6714" s="237"/>
      <c r="E6714" s="234"/>
    </row>
    <row r="6715">
      <c r="A6715" s="237"/>
      <c r="E6715" s="234"/>
    </row>
    <row r="6716">
      <c r="A6716" s="237"/>
      <c r="E6716" s="234"/>
    </row>
    <row r="6717">
      <c r="A6717" s="237"/>
      <c r="E6717" s="234"/>
    </row>
    <row r="6718">
      <c r="A6718" s="237"/>
      <c r="E6718" s="234"/>
    </row>
    <row r="6719">
      <c r="A6719" s="237"/>
      <c r="E6719" s="234"/>
    </row>
    <row r="6720">
      <c r="A6720" s="237"/>
      <c r="E6720" s="234"/>
    </row>
    <row r="6721">
      <c r="A6721" s="237"/>
      <c r="E6721" s="234"/>
    </row>
    <row r="6722">
      <c r="A6722" s="237"/>
      <c r="E6722" s="234"/>
    </row>
    <row r="6723">
      <c r="A6723" s="237"/>
      <c r="E6723" s="234"/>
    </row>
    <row r="6724">
      <c r="A6724" s="237"/>
      <c r="E6724" s="234"/>
    </row>
    <row r="6725">
      <c r="A6725" s="237"/>
      <c r="E6725" s="234"/>
    </row>
    <row r="6726">
      <c r="A6726" s="237"/>
      <c r="E6726" s="234"/>
    </row>
    <row r="6727">
      <c r="A6727" s="237"/>
      <c r="E6727" s="234"/>
    </row>
    <row r="6728">
      <c r="A6728" s="237"/>
      <c r="E6728" s="234"/>
    </row>
    <row r="6729">
      <c r="A6729" s="237"/>
      <c r="E6729" s="234"/>
    </row>
    <row r="6730">
      <c r="A6730" s="237"/>
      <c r="E6730" s="234"/>
    </row>
    <row r="6731">
      <c r="A6731" s="237"/>
      <c r="E6731" s="234"/>
    </row>
    <row r="6732">
      <c r="A6732" s="237"/>
      <c r="E6732" s="234"/>
    </row>
    <row r="6733">
      <c r="A6733" s="237"/>
      <c r="E6733" s="234"/>
    </row>
    <row r="6734">
      <c r="A6734" s="237"/>
      <c r="E6734" s="234"/>
    </row>
    <row r="6735">
      <c r="A6735" s="237"/>
      <c r="E6735" s="234"/>
    </row>
    <row r="6736">
      <c r="A6736" s="237"/>
      <c r="E6736" s="234"/>
    </row>
    <row r="6737">
      <c r="A6737" s="237"/>
      <c r="E6737" s="234"/>
    </row>
    <row r="6738">
      <c r="A6738" s="237"/>
      <c r="E6738" s="234"/>
    </row>
    <row r="6739">
      <c r="A6739" s="237"/>
      <c r="E6739" s="234"/>
    </row>
    <row r="6740">
      <c r="A6740" s="237"/>
      <c r="E6740" s="234"/>
    </row>
    <row r="6741">
      <c r="A6741" s="237"/>
      <c r="E6741" s="234"/>
    </row>
    <row r="6742">
      <c r="A6742" s="237"/>
      <c r="E6742" s="234"/>
    </row>
    <row r="6743">
      <c r="A6743" s="237"/>
      <c r="E6743" s="234"/>
    </row>
    <row r="6744">
      <c r="A6744" s="237"/>
      <c r="E6744" s="234"/>
    </row>
    <row r="6745">
      <c r="A6745" s="237"/>
      <c r="E6745" s="234"/>
    </row>
    <row r="6746">
      <c r="A6746" s="237"/>
      <c r="E6746" s="234"/>
    </row>
    <row r="6747">
      <c r="A6747" s="237"/>
      <c r="E6747" s="234"/>
    </row>
    <row r="6748">
      <c r="A6748" s="237"/>
      <c r="E6748" s="234"/>
    </row>
    <row r="6749">
      <c r="A6749" s="237"/>
      <c r="E6749" s="234"/>
    </row>
    <row r="6750">
      <c r="A6750" s="237"/>
      <c r="E6750" s="234"/>
    </row>
    <row r="6751">
      <c r="A6751" s="237"/>
      <c r="E6751" s="234"/>
    </row>
    <row r="6752">
      <c r="A6752" s="237"/>
      <c r="E6752" s="234"/>
    </row>
    <row r="6753">
      <c r="A6753" s="237"/>
      <c r="E6753" s="234"/>
    </row>
    <row r="6754">
      <c r="A6754" s="237"/>
      <c r="E6754" s="234"/>
    </row>
    <row r="6755">
      <c r="A6755" s="237"/>
      <c r="E6755" s="234"/>
    </row>
    <row r="6756">
      <c r="A6756" s="237"/>
      <c r="E6756" s="234"/>
    </row>
    <row r="6757">
      <c r="A6757" s="237"/>
      <c r="E6757" s="234"/>
    </row>
    <row r="6758">
      <c r="A6758" s="237"/>
      <c r="E6758" s="234"/>
    </row>
    <row r="6759">
      <c r="A6759" s="237"/>
      <c r="E6759" s="234"/>
    </row>
    <row r="6760">
      <c r="A6760" s="237"/>
      <c r="E6760" s="234"/>
    </row>
    <row r="6761">
      <c r="A6761" s="237"/>
      <c r="E6761" s="234"/>
    </row>
    <row r="6762">
      <c r="A6762" s="237"/>
      <c r="E6762" s="234"/>
    </row>
    <row r="6763">
      <c r="A6763" s="237"/>
      <c r="E6763" s="234"/>
    </row>
    <row r="6764">
      <c r="A6764" s="237"/>
      <c r="E6764" s="234"/>
    </row>
    <row r="6765">
      <c r="A6765" s="237"/>
      <c r="E6765" s="234"/>
    </row>
    <row r="6766">
      <c r="A6766" s="237"/>
      <c r="E6766" s="234"/>
    </row>
    <row r="6767">
      <c r="A6767" s="237"/>
      <c r="E6767" s="234"/>
    </row>
    <row r="6768">
      <c r="A6768" s="237"/>
      <c r="E6768" s="234"/>
    </row>
    <row r="6769">
      <c r="A6769" s="237"/>
      <c r="E6769" s="234"/>
    </row>
    <row r="6770">
      <c r="A6770" s="237"/>
      <c r="E6770" s="234"/>
    </row>
    <row r="6771">
      <c r="A6771" s="237"/>
      <c r="E6771" s="234"/>
    </row>
    <row r="6772">
      <c r="A6772" s="237"/>
      <c r="E6772" s="234"/>
    </row>
    <row r="6773">
      <c r="A6773" s="237"/>
      <c r="E6773" s="234"/>
    </row>
    <row r="6774">
      <c r="A6774" s="237"/>
      <c r="E6774" s="234"/>
    </row>
    <row r="6775">
      <c r="A6775" s="237"/>
      <c r="E6775" s="234"/>
    </row>
    <row r="6776">
      <c r="A6776" s="237"/>
      <c r="E6776" s="234"/>
    </row>
    <row r="6777">
      <c r="A6777" s="237"/>
      <c r="E6777" s="234"/>
    </row>
    <row r="6778">
      <c r="A6778" s="237"/>
      <c r="E6778" s="234"/>
    </row>
    <row r="6779">
      <c r="A6779" s="237"/>
      <c r="E6779" s="234"/>
    </row>
    <row r="6780">
      <c r="A6780" s="237"/>
      <c r="E6780" s="234"/>
    </row>
    <row r="6781">
      <c r="A6781" s="237"/>
      <c r="E6781" s="234"/>
    </row>
    <row r="6782">
      <c r="A6782" s="237"/>
      <c r="E6782" s="234"/>
    </row>
    <row r="6783">
      <c r="A6783" s="237"/>
      <c r="E6783" s="234"/>
    </row>
    <row r="6784">
      <c r="A6784" s="237"/>
      <c r="E6784" s="234"/>
    </row>
    <row r="6785">
      <c r="A6785" s="237"/>
      <c r="E6785" s="234"/>
    </row>
    <row r="6786">
      <c r="A6786" s="237"/>
      <c r="E6786" s="234"/>
    </row>
    <row r="6787">
      <c r="A6787" s="237"/>
      <c r="E6787" s="234"/>
    </row>
    <row r="6788">
      <c r="A6788" s="237"/>
      <c r="E6788" s="234"/>
    </row>
    <row r="6789">
      <c r="A6789" s="237"/>
      <c r="E6789" s="234"/>
    </row>
    <row r="6790">
      <c r="A6790" s="237"/>
      <c r="E6790" s="234"/>
    </row>
    <row r="6791">
      <c r="A6791" s="237"/>
      <c r="E6791" s="234"/>
    </row>
    <row r="6792">
      <c r="A6792" s="237"/>
      <c r="E6792" s="234"/>
    </row>
    <row r="6793">
      <c r="A6793" s="237"/>
      <c r="E6793" s="234"/>
    </row>
    <row r="6794">
      <c r="A6794" s="237"/>
      <c r="E6794" s="234"/>
    </row>
    <row r="6795">
      <c r="A6795" s="237"/>
      <c r="E6795" s="234"/>
    </row>
    <row r="6796">
      <c r="A6796" s="237"/>
      <c r="E6796" s="234"/>
    </row>
    <row r="6797">
      <c r="A6797" s="237"/>
      <c r="E6797" s="234"/>
    </row>
    <row r="6798">
      <c r="A6798" s="237"/>
      <c r="E6798" s="234"/>
    </row>
    <row r="6799">
      <c r="A6799" s="237"/>
      <c r="E6799" s="234"/>
    </row>
    <row r="6800">
      <c r="A6800" s="237"/>
      <c r="E6800" s="234"/>
    </row>
    <row r="6801">
      <c r="A6801" s="237"/>
      <c r="E6801" s="234"/>
    </row>
    <row r="6802">
      <c r="A6802" s="237"/>
      <c r="E6802" s="234"/>
    </row>
    <row r="6803">
      <c r="A6803" s="237"/>
      <c r="E6803" s="234"/>
    </row>
    <row r="6804">
      <c r="A6804" s="237"/>
      <c r="E6804" s="234"/>
    </row>
    <row r="6805">
      <c r="A6805" s="237"/>
      <c r="E6805" s="234"/>
    </row>
    <row r="6806">
      <c r="A6806" s="237"/>
      <c r="E6806" s="234"/>
    </row>
    <row r="6807">
      <c r="A6807" s="237"/>
      <c r="E6807" s="234"/>
    </row>
    <row r="6808">
      <c r="A6808" s="237"/>
      <c r="E6808" s="234"/>
    </row>
    <row r="6809">
      <c r="A6809" s="237"/>
      <c r="E6809" s="234"/>
    </row>
    <row r="6810">
      <c r="A6810" s="237"/>
      <c r="E6810" s="234"/>
    </row>
    <row r="6811">
      <c r="A6811" s="237"/>
      <c r="E6811" s="234"/>
    </row>
    <row r="6812">
      <c r="A6812" s="237"/>
      <c r="E6812" s="234"/>
    </row>
    <row r="6813">
      <c r="A6813" s="237"/>
      <c r="E6813" s="234"/>
    </row>
    <row r="6814">
      <c r="A6814" s="237"/>
      <c r="E6814" s="234"/>
    </row>
    <row r="6815">
      <c r="A6815" s="237"/>
      <c r="E6815" s="234"/>
    </row>
    <row r="6816">
      <c r="A6816" s="237"/>
      <c r="E6816" s="234"/>
    </row>
    <row r="6817">
      <c r="A6817" s="237"/>
      <c r="E6817" s="234"/>
    </row>
    <row r="6818">
      <c r="A6818" s="237"/>
      <c r="E6818" s="234"/>
    </row>
    <row r="6819">
      <c r="A6819" s="237"/>
      <c r="E6819" s="234"/>
    </row>
    <row r="6820">
      <c r="A6820" s="237"/>
      <c r="E6820" s="234"/>
    </row>
    <row r="6821">
      <c r="A6821" s="237"/>
      <c r="E6821" s="234"/>
    </row>
    <row r="6822">
      <c r="A6822" s="237"/>
      <c r="E6822" s="234"/>
    </row>
    <row r="6823">
      <c r="A6823" s="237"/>
      <c r="E6823" s="234"/>
    </row>
    <row r="6824">
      <c r="A6824" s="237"/>
      <c r="E6824" s="234"/>
    </row>
    <row r="6825">
      <c r="A6825" s="237"/>
      <c r="E6825" s="234"/>
    </row>
    <row r="6826">
      <c r="A6826" s="237"/>
      <c r="E6826" s="234"/>
    </row>
    <row r="6827">
      <c r="A6827" s="237"/>
      <c r="E6827" s="234"/>
    </row>
    <row r="6828">
      <c r="A6828" s="237"/>
      <c r="E6828" s="234"/>
    </row>
    <row r="6829">
      <c r="A6829" s="237"/>
      <c r="E6829" s="234"/>
    </row>
    <row r="6830">
      <c r="A6830" s="237"/>
      <c r="E6830" s="234"/>
    </row>
    <row r="6831">
      <c r="A6831" s="237"/>
      <c r="E6831" s="234"/>
    </row>
    <row r="6832">
      <c r="A6832" s="237"/>
      <c r="E6832" s="234"/>
    </row>
    <row r="6833">
      <c r="A6833" s="237"/>
      <c r="E6833" s="234"/>
    </row>
    <row r="6834">
      <c r="A6834" s="237"/>
      <c r="E6834" s="234"/>
    </row>
    <row r="6835">
      <c r="A6835" s="237"/>
      <c r="E6835" s="234"/>
    </row>
    <row r="6836">
      <c r="A6836" s="237"/>
      <c r="E6836" s="234"/>
    </row>
    <row r="6837">
      <c r="A6837" s="237"/>
      <c r="E6837" s="234"/>
    </row>
    <row r="6838">
      <c r="A6838" s="237"/>
      <c r="E6838" s="234"/>
    </row>
    <row r="6839">
      <c r="A6839" s="237"/>
      <c r="E6839" s="234"/>
    </row>
    <row r="6840">
      <c r="A6840" s="237"/>
      <c r="E6840" s="234"/>
    </row>
    <row r="6841">
      <c r="A6841" s="237"/>
      <c r="E6841" s="234"/>
    </row>
    <row r="6842">
      <c r="A6842" s="237"/>
      <c r="E6842" s="234"/>
    </row>
    <row r="6843">
      <c r="A6843" s="237"/>
      <c r="E6843" s="234"/>
    </row>
    <row r="6844">
      <c r="A6844" s="237"/>
      <c r="E6844" s="234"/>
    </row>
    <row r="6845">
      <c r="A6845" s="237"/>
      <c r="E6845" s="234"/>
    </row>
    <row r="6846">
      <c r="A6846" s="237"/>
      <c r="E6846" s="234"/>
    </row>
    <row r="6847">
      <c r="A6847" s="237"/>
      <c r="E6847" s="234"/>
    </row>
    <row r="6848">
      <c r="A6848" s="237"/>
      <c r="E6848" s="234"/>
    </row>
    <row r="6849">
      <c r="A6849" s="237"/>
      <c r="E6849" s="234"/>
    </row>
    <row r="6850">
      <c r="A6850" s="237"/>
      <c r="E6850" s="234"/>
    </row>
    <row r="6851">
      <c r="A6851" s="237"/>
      <c r="E6851" s="234"/>
    </row>
    <row r="6852">
      <c r="A6852" s="237"/>
      <c r="E6852" s="234"/>
    </row>
    <row r="6853">
      <c r="A6853" s="237"/>
      <c r="E6853" s="234"/>
    </row>
    <row r="6854">
      <c r="A6854" s="237"/>
      <c r="E6854" s="234"/>
    </row>
    <row r="6855">
      <c r="A6855" s="237"/>
      <c r="E6855" s="234"/>
    </row>
    <row r="6856">
      <c r="A6856" s="237"/>
      <c r="E6856" s="234"/>
    </row>
    <row r="6857">
      <c r="A6857" s="237"/>
      <c r="E6857" s="234"/>
    </row>
    <row r="6858">
      <c r="A6858" s="237"/>
      <c r="E6858" s="234"/>
    </row>
    <row r="6859">
      <c r="A6859" s="237"/>
      <c r="E6859" s="234"/>
    </row>
    <row r="6860">
      <c r="A6860" s="237"/>
      <c r="E6860" s="234"/>
    </row>
    <row r="6861">
      <c r="A6861" s="237"/>
      <c r="E6861" s="234"/>
    </row>
    <row r="6862">
      <c r="A6862" s="237"/>
      <c r="E6862" s="234"/>
    </row>
    <row r="6863">
      <c r="A6863" s="237"/>
      <c r="E6863" s="234"/>
    </row>
    <row r="6864">
      <c r="A6864" s="237"/>
      <c r="E6864" s="234"/>
    </row>
    <row r="6865">
      <c r="A6865" s="237"/>
      <c r="E6865" s="234"/>
    </row>
    <row r="6866">
      <c r="A6866" s="237"/>
      <c r="E6866" s="234"/>
    </row>
    <row r="6867">
      <c r="A6867" s="237"/>
      <c r="E6867" s="234"/>
    </row>
    <row r="6868">
      <c r="A6868" s="237"/>
      <c r="E6868" s="234"/>
    </row>
    <row r="6869">
      <c r="A6869" s="237"/>
      <c r="E6869" s="234"/>
    </row>
    <row r="6870">
      <c r="A6870" s="237"/>
      <c r="E6870" s="234"/>
    </row>
    <row r="6871">
      <c r="A6871" s="237"/>
      <c r="E6871" s="234"/>
    </row>
    <row r="6872">
      <c r="A6872" s="237"/>
      <c r="E6872" s="234"/>
    </row>
    <row r="6873">
      <c r="A6873" s="237"/>
      <c r="E6873" s="234"/>
    </row>
    <row r="6874">
      <c r="A6874" s="237"/>
      <c r="E6874" s="234"/>
    </row>
    <row r="6875">
      <c r="A6875" s="237"/>
      <c r="E6875" s="234"/>
    </row>
    <row r="6876">
      <c r="A6876" s="237"/>
      <c r="E6876" s="234"/>
    </row>
    <row r="6877">
      <c r="A6877" s="237"/>
      <c r="E6877" s="234"/>
    </row>
    <row r="6878">
      <c r="A6878" s="237"/>
      <c r="E6878" s="234"/>
    </row>
    <row r="6879">
      <c r="A6879" s="237"/>
      <c r="E6879" s="234"/>
    </row>
    <row r="6880">
      <c r="A6880" s="237"/>
      <c r="E6880" s="234"/>
    </row>
    <row r="6881">
      <c r="A6881" s="237"/>
      <c r="E6881" s="234"/>
    </row>
    <row r="6882">
      <c r="A6882" s="237"/>
      <c r="E6882" s="234"/>
    </row>
    <row r="6883">
      <c r="A6883" s="237"/>
      <c r="E6883" s="234"/>
    </row>
    <row r="6884">
      <c r="A6884" s="237"/>
      <c r="E6884" s="234"/>
    </row>
    <row r="6885">
      <c r="A6885" s="237"/>
      <c r="E6885" s="234"/>
    </row>
    <row r="6886">
      <c r="A6886" s="237"/>
      <c r="E6886" s="234"/>
    </row>
    <row r="6887">
      <c r="A6887" s="237"/>
      <c r="E6887" s="234"/>
    </row>
    <row r="6888">
      <c r="A6888" s="237"/>
      <c r="E6888" s="234"/>
    </row>
    <row r="6889">
      <c r="A6889" s="237"/>
      <c r="E6889" s="234"/>
    </row>
    <row r="6890">
      <c r="A6890" s="237"/>
      <c r="E6890" s="234"/>
    </row>
    <row r="6891">
      <c r="A6891" s="237"/>
      <c r="E6891" s="234"/>
    </row>
    <row r="6892">
      <c r="A6892" s="237"/>
      <c r="E6892" s="234"/>
    </row>
    <row r="6893">
      <c r="A6893" s="237"/>
      <c r="E6893" s="234"/>
    </row>
    <row r="6894">
      <c r="A6894" s="237"/>
      <c r="E6894" s="234"/>
    </row>
    <row r="6895">
      <c r="A6895" s="237"/>
      <c r="E6895" s="234"/>
    </row>
    <row r="6896">
      <c r="A6896" s="237"/>
      <c r="E6896" s="234"/>
    </row>
    <row r="6897">
      <c r="A6897" s="237"/>
      <c r="E6897" s="234"/>
    </row>
    <row r="6898">
      <c r="A6898" s="237"/>
      <c r="E6898" s="234"/>
    </row>
    <row r="6899">
      <c r="A6899" s="237"/>
      <c r="E6899" s="234"/>
    </row>
    <row r="6900">
      <c r="A6900" s="237"/>
      <c r="E6900" s="234"/>
    </row>
    <row r="6901">
      <c r="A6901" s="237"/>
      <c r="E6901" s="234"/>
    </row>
    <row r="6902">
      <c r="A6902" s="237"/>
      <c r="E6902" s="234"/>
    </row>
    <row r="6903">
      <c r="A6903" s="237"/>
      <c r="E6903" s="234"/>
    </row>
    <row r="6904">
      <c r="A6904" s="237"/>
      <c r="E6904" s="234"/>
    </row>
    <row r="6905">
      <c r="A6905" s="237"/>
      <c r="E6905" s="234"/>
    </row>
    <row r="6906">
      <c r="A6906" s="237"/>
      <c r="E6906" s="234"/>
    </row>
    <row r="6907">
      <c r="A6907" s="237"/>
      <c r="E6907" s="234"/>
    </row>
    <row r="6908">
      <c r="A6908" s="237"/>
      <c r="E6908" s="234"/>
    </row>
    <row r="6909">
      <c r="A6909" s="237"/>
      <c r="E6909" s="234"/>
    </row>
    <row r="6910">
      <c r="A6910" s="237"/>
      <c r="E6910" s="234"/>
    </row>
    <row r="6911">
      <c r="A6911" s="237"/>
      <c r="E6911" s="234"/>
    </row>
    <row r="6912">
      <c r="A6912" s="237"/>
      <c r="E6912" s="234"/>
    </row>
    <row r="6913">
      <c r="A6913" s="237"/>
      <c r="E6913" s="234"/>
    </row>
    <row r="6914">
      <c r="A6914" s="237"/>
      <c r="E6914" s="234"/>
    </row>
    <row r="6915">
      <c r="A6915" s="237"/>
      <c r="E6915" s="234"/>
    </row>
    <row r="6916">
      <c r="A6916" s="237"/>
      <c r="E6916" s="234"/>
    </row>
    <row r="6917">
      <c r="A6917" s="237"/>
      <c r="E6917" s="234"/>
    </row>
    <row r="6918">
      <c r="A6918" s="237"/>
      <c r="E6918" s="234"/>
    </row>
    <row r="6919">
      <c r="A6919" s="237"/>
      <c r="E6919" s="234"/>
    </row>
    <row r="6920">
      <c r="A6920" s="237"/>
      <c r="E6920" s="234"/>
    </row>
    <row r="6921">
      <c r="A6921" s="237"/>
      <c r="E6921" s="234"/>
    </row>
    <row r="6922">
      <c r="A6922" s="237"/>
      <c r="E6922" s="234"/>
    </row>
    <row r="6923">
      <c r="A6923" s="237"/>
      <c r="E6923" s="234"/>
    </row>
    <row r="6924">
      <c r="A6924" s="237"/>
      <c r="E6924" s="234"/>
    </row>
    <row r="6925">
      <c r="A6925" s="237"/>
      <c r="E6925" s="234"/>
    </row>
    <row r="6926">
      <c r="A6926" s="237"/>
      <c r="E6926" s="234"/>
    </row>
    <row r="6927">
      <c r="A6927" s="237"/>
      <c r="E6927" s="234"/>
    </row>
    <row r="6928">
      <c r="A6928" s="237"/>
      <c r="E6928" s="234"/>
    </row>
    <row r="6929">
      <c r="A6929" s="237"/>
      <c r="E6929" s="234"/>
    </row>
    <row r="6930">
      <c r="A6930" s="237"/>
      <c r="E6930" s="234"/>
    </row>
    <row r="6931">
      <c r="A6931" s="237"/>
      <c r="E6931" s="234"/>
    </row>
    <row r="6932">
      <c r="A6932" s="237"/>
      <c r="E6932" s="234"/>
    </row>
    <row r="6933">
      <c r="A6933" s="237"/>
      <c r="E6933" s="234"/>
    </row>
    <row r="6934">
      <c r="A6934" s="237"/>
      <c r="E6934" s="234"/>
    </row>
    <row r="6935">
      <c r="A6935" s="237"/>
      <c r="E6935" s="234"/>
    </row>
    <row r="6936">
      <c r="A6936" s="237"/>
      <c r="E6936" s="234"/>
    </row>
    <row r="6937">
      <c r="A6937" s="237"/>
      <c r="E6937" s="234"/>
    </row>
    <row r="6938">
      <c r="A6938" s="237"/>
      <c r="E6938" s="234"/>
    </row>
    <row r="6939">
      <c r="A6939" s="237"/>
      <c r="E6939" s="234"/>
    </row>
    <row r="6940">
      <c r="A6940" s="237"/>
      <c r="E6940" s="234"/>
    </row>
    <row r="6941">
      <c r="A6941" s="237"/>
      <c r="E6941" s="234"/>
    </row>
    <row r="6942">
      <c r="A6942" s="237"/>
      <c r="E6942" s="234"/>
    </row>
    <row r="6943">
      <c r="A6943" s="237"/>
      <c r="E6943" s="234"/>
    </row>
    <row r="6944">
      <c r="A6944" s="237"/>
      <c r="E6944" s="234"/>
    </row>
    <row r="6945">
      <c r="A6945" s="237"/>
      <c r="E6945" s="234"/>
    </row>
    <row r="6946">
      <c r="A6946" s="237"/>
      <c r="E6946" s="234"/>
    </row>
    <row r="6947">
      <c r="A6947" s="237"/>
      <c r="E6947" s="234"/>
    </row>
    <row r="6948">
      <c r="A6948" s="237"/>
      <c r="E6948" s="234"/>
    </row>
    <row r="6949">
      <c r="A6949" s="237"/>
      <c r="E6949" s="234"/>
    </row>
    <row r="6950">
      <c r="A6950" s="237"/>
      <c r="E6950" s="234"/>
    </row>
    <row r="6951">
      <c r="A6951" s="237"/>
      <c r="E6951" s="234"/>
    </row>
    <row r="6952">
      <c r="A6952" s="237"/>
      <c r="E6952" s="234"/>
    </row>
    <row r="6953">
      <c r="A6953" s="237"/>
      <c r="E6953" s="234"/>
    </row>
    <row r="6954">
      <c r="A6954" s="237"/>
      <c r="E6954" s="234"/>
    </row>
    <row r="6955">
      <c r="A6955" s="237"/>
      <c r="E6955" s="234"/>
    </row>
    <row r="6956">
      <c r="A6956" s="237"/>
      <c r="E6956" s="234"/>
    </row>
    <row r="6957">
      <c r="A6957" s="237"/>
      <c r="E6957" s="234"/>
    </row>
    <row r="6958">
      <c r="A6958" s="237"/>
      <c r="E6958" s="234"/>
    </row>
    <row r="6959">
      <c r="A6959" s="237"/>
      <c r="E6959" s="234"/>
    </row>
    <row r="6960">
      <c r="A6960" s="237"/>
      <c r="E6960" s="234"/>
    </row>
    <row r="6961">
      <c r="A6961" s="237"/>
      <c r="E6961" s="234"/>
    </row>
    <row r="6962">
      <c r="A6962" s="237"/>
      <c r="E6962" s="234"/>
    </row>
    <row r="6963">
      <c r="A6963" s="237"/>
      <c r="E6963" s="234"/>
    </row>
    <row r="6964">
      <c r="A6964" s="237"/>
      <c r="E6964" s="234"/>
    </row>
    <row r="6965">
      <c r="A6965" s="237"/>
      <c r="E6965" s="234"/>
    </row>
    <row r="6966">
      <c r="A6966" s="237"/>
      <c r="E6966" s="234"/>
    </row>
    <row r="6967">
      <c r="A6967" s="237"/>
      <c r="E6967" s="234"/>
    </row>
    <row r="6968">
      <c r="A6968" s="237"/>
      <c r="E6968" s="234"/>
    </row>
    <row r="6969">
      <c r="A6969" s="237"/>
      <c r="E6969" s="234"/>
    </row>
    <row r="6970">
      <c r="A6970" s="237"/>
      <c r="E6970" s="234"/>
    </row>
    <row r="6971">
      <c r="A6971" s="237"/>
      <c r="E6971" s="234"/>
    </row>
    <row r="6972">
      <c r="A6972" s="237"/>
      <c r="E6972" s="234"/>
    </row>
    <row r="6973">
      <c r="A6973" s="237"/>
      <c r="E6973" s="234"/>
    </row>
    <row r="6974">
      <c r="A6974" s="237"/>
      <c r="E6974" s="234"/>
    </row>
    <row r="6975">
      <c r="A6975" s="237"/>
      <c r="E6975" s="234"/>
    </row>
    <row r="6976">
      <c r="A6976" s="237"/>
      <c r="E6976" s="234"/>
    </row>
    <row r="6977">
      <c r="A6977" s="237"/>
      <c r="E6977" s="234"/>
    </row>
    <row r="6978">
      <c r="A6978" s="237"/>
      <c r="E6978" s="234"/>
    </row>
    <row r="6979">
      <c r="A6979" s="237"/>
      <c r="E6979" s="234"/>
    </row>
    <row r="6980">
      <c r="A6980" s="237"/>
      <c r="E6980" s="234"/>
    </row>
    <row r="6981">
      <c r="A6981" s="237"/>
      <c r="E6981" s="234"/>
    </row>
    <row r="6982">
      <c r="A6982" s="237"/>
      <c r="E6982" s="234"/>
    </row>
    <row r="6983">
      <c r="A6983" s="237"/>
      <c r="E6983" s="234"/>
    </row>
    <row r="6984">
      <c r="A6984" s="237"/>
      <c r="E6984" s="234"/>
    </row>
    <row r="6985">
      <c r="A6985" s="237"/>
      <c r="E6985" s="234"/>
    </row>
    <row r="6986">
      <c r="A6986" s="237"/>
      <c r="E6986" s="234"/>
    </row>
    <row r="6987">
      <c r="A6987" s="237"/>
      <c r="E6987" s="234"/>
    </row>
    <row r="6988">
      <c r="A6988" s="237"/>
      <c r="E6988" s="234"/>
    </row>
    <row r="6989">
      <c r="A6989" s="237"/>
      <c r="E6989" s="234"/>
    </row>
    <row r="6990">
      <c r="A6990" s="237"/>
      <c r="E6990" s="234"/>
    </row>
    <row r="6991">
      <c r="A6991" s="237"/>
      <c r="E6991" s="234"/>
    </row>
    <row r="6992">
      <c r="A6992" s="237"/>
      <c r="E6992" s="234"/>
    </row>
    <row r="6993">
      <c r="A6993" s="237"/>
      <c r="E6993" s="234"/>
    </row>
    <row r="6994">
      <c r="A6994" s="237"/>
      <c r="E6994" s="234"/>
    </row>
    <row r="6995">
      <c r="A6995" s="237"/>
      <c r="E6995" s="234"/>
    </row>
    <row r="6996">
      <c r="A6996" s="237"/>
      <c r="E6996" s="234"/>
    </row>
    <row r="6997">
      <c r="A6997" s="237"/>
      <c r="E6997" s="234"/>
    </row>
    <row r="6998">
      <c r="A6998" s="237"/>
      <c r="E6998" s="234"/>
    </row>
    <row r="6999">
      <c r="A6999" s="237"/>
      <c r="E6999" s="234"/>
    </row>
    <row r="7000">
      <c r="A7000" s="237"/>
      <c r="E7000" s="234"/>
    </row>
    <row r="7001">
      <c r="A7001" s="237"/>
      <c r="E7001" s="234"/>
    </row>
    <row r="7002">
      <c r="A7002" s="237"/>
      <c r="E7002" s="234"/>
    </row>
    <row r="7003">
      <c r="A7003" s="237"/>
      <c r="E7003" s="234"/>
    </row>
    <row r="7004">
      <c r="A7004" s="237"/>
      <c r="E7004" s="234"/>
    </row>
    <row r="7005">
      <c r="A7005" s="237"/>
      <c r="E7005" s="234"/>
    </row>
    <row r="7006">
      <c r="A7006" s="237"/>
      <c r="E7006" s="234"/>
    </row>
    <row r="7007">
      <c r="A7007" s="237"/>
      <c r="E7007" s="234"/>
    </row>
    <row r="7008">
      <c r="A7008" s="237"/>
      <c r="E7008" s="234"/>
    </row>
    <row r="7009">
      <c r="A7009" s="237"/>
      <c r="E7009" s="234"/>
    </row>
    <row r="7010">
      <c r="A7010" s="237"/>
      <c r="E7010" s="234"/>
    </row>
    <row r="7011">
      <c r="A7011" s="237"/>
      <c r="E7011" s="234"/>
    </row>
    <row r="7012">
      <c r="A7012" s="237"/>
      <c r="E7012" s="234"/>
    </row>
    <row r="7013">
      <c r="A7013" s="237"/>
      <c r="E7013" s="234"/>
    </row>
    <row r="7014">
      <c r="A7014" s="237"/>
      <c r="E7014" s="234"/>
    </row>
    <row r="7015">
      <c r="A7015" s="237"/>
      <c r="E7015" s="234"/>
    </row>
    <row r="7016">
      <c r="A7016" s="237"/>
      <c r="E7016" s="234"/>
    </row>
    <row r="7017">
      <c r="A7017" s="237"/>
      <c r="E7017" s="234"/>
    </row>
    <row r="7018">
      <c r="A7018" s="237"/>
      <c r="E7018" s="234"/>
    </row>
    <row r="7019">
      <c r="A7019" s="237"/>
      <c r="E7019" s="234"/>
    </row>
    <row r="7020">
      <c r="A7020" s="237"/>
      <c r="E7020" s="234"/>
    </row>
    <row r="7021">
      <c r="A7021" s="237"/>
      <c r="E7021" s="234"/>
    </row>
    <row r="7022">
      <c r="A7022" s="237"/>
      <c r="E7022" s="234"/>
    </row>
    <row r="7023">
      <c r="A7023" s="237"/>
      <c r="E7023" s="234"/>
    </row>
    <row r="7024">
      <c r="A7024" s="237"/>
      <c r="E7024" s="234"/>
    </row>
    <row r="7025">
      <c r="A7025" s="237"/>
      <c r="E7025" s="234"/>
    </row>
    <row r="7026">
      <c r="A7026" s="237"/>
      <c r="E7026" s="234"/>
    </row>
    <row r="7027">
      <c r="A7027" s="237"/>
      <c r="E7027" s="234"/>
    </row>
    <row r="7028">
      <c r="A7028" s="237"/>
      <c r="E7028" s="234"/>
    </row>
    <row r="7029">
      <c r="A7029" s="237"/>
      <c r="E7029" s="234"/>
    </row>
    <row r="7030">
      <c r="A7030" s="237"/>
      <c r="E7030" s="234"/>
    </row>
    <row r="7031">
      <c r="A7031" s="237"/>
      <c r="E7031" s="234"/>
    </row>
    <row r="7032">
      <c r="A7032" s="237"/>
      <c r="E7032" s="234"/>
    </row>
    <row r="7033">
      <c r="A7033" s="237"/>
      <c r="E7033" s="234"/>
    </row>
    <row r="7034">
      <c r="A7034" s="237"/>
      <c r="E7034" s="234"/>
    </row>
    <row r="7035">
      <c r="A7035" s="237"/>
      <c r="E7035" s="234"/>
    </row>
    <row r="7036">
      <c r="A7036" s="237"/>
      <c r="E7036" s="234"/>
    </row>
    <row r="7037">
      <c r="A7037" s="237"/>
      <c r="E7037" s="234"/>
    </row>
    <row r="7038">
      <c r="A7038" s="237"/>
      <c r="E7038" s="234"/>
    </row>
    <row r="7039">
      <c r="A7039" s="237"/>
      <c r="E7039" s="234"/>
    </row>
    <row r="7040">
      <c r="A7040" s="237"/>
      <c r="E7040" s="234"/>
    </row>
    <row r="7041">
      <c r="A7041" s="237"/>
      <c r="E7041" s="234"/>
    </row>
    <row r="7042">
      <c r="A7042" s="237"/>
      <c r="E7042" s="234"/>
    </row>
    <row r="7043">
      <c r="A7043" s="237"/>
      <c r="E7043" s="234"/>
    </row>
    <row r="7044">
      <c r="A7044" s="237"/>
      <c r="E7044" s="234"/>
    </row>
    <row r="7045">
      <c r="A7045" s="237"/>
      <c r="E7045" s="234"/>
    </row>
    <row r="7046">
      <c r="A7046" s="237"/>
      <c r="E7046" s="234"/>
    </row>
    <row r="7047">
      <c r="A7047" s="237"/>
      <c r="E7047" s="234"/>
    </row>
    <row r="7048">
      <c r="A7048" s="237"/>
      <c r="E7048" s="234"/>
    </row>
    <row r="7049">
      <c r="A7049" s="237"/>
      <c r="E7049" s="234"/>
    </row>
    <row r="7050">
      <c r="A7050" s="237"/>
      <c r="E7050" s="234"/>
    </row>
    <row r="7051">
      <c r="A7051" s="237"/>
      <c r="E7051" s="234"/>
    </row>
    <row r="7052">
      <c r="A7052" s="237"/>
      <c r="E7052" s="234"/>
    </row>
    <row r="7053">
      <c r="A7053" s="237"/>
      <c r="E7053" s="234"/>
    </row>
    <row r="7054">
      <c r="A7054" s="237"/>
      <c r="E7054" s="234"/>
    </row>
    <row r="7055">
      <c r="A7055" s="237"/>
      <c r="E7055" s="234"/>
    </row>
    <row r="7056">
      <c r="A7056" s="237"/>
      <c r="E7056" s="234"/>
    </row>
    <row r="7057">
      <c r="A7057" s="237"/>
      <c r="E7057" s="234"/>
    </row>
    <row r="7058">
      <c r="A7058" s="237"/>
      <c r="E7058" s="234"/>
    </row>
    <row r="7059">
      <c r="A7059" s="237"/>
      <c r="E7059" s="234"/>
    </row>
    <row r="7060">
      <c r="A7060" s="237"/>
      <c r="E7060" s="234"/>
    </row>
    <row r="7061">
      <c r="A7061" s="237"/>
      <c r="E7061" s="234"/>
    </row>
    <row r="7062">
      <c r="A7062" s="237"/>
      <c r="E7062" s="234"/>
    </row>
    <row r="7063">
      <c r="A7063" s="237"/>
      <c r="E7063" s="234"/>
    </row>
    <row r="7064">
      <c r="A7064" s="237"/>
      <c r="E7064" s="234"/>
    </row>
    <row r="7065">
      <c r="A7065" s="237"/>
      <c r="E7065" s="234"/>
    </row>
    <row r="7066">
      <c r="A7066" s="237"/>
      <c r="E7066" s="234"/>
    </row>
    <row r="7067">
      <c r="A7067" s="237"/>
      <c r="E7067" s="234"/>
    </row>
    <row r="7068">
      <c r="A7068" s="237"/>
      <c r="E7068" s="234"/>
    </row>
    <row r="7069">
      <c r="A7069" s="237"/>
      <c r="E7069" s="234"/>
    </row>
    <row r="7070">
      <c r="A7070" s="237"/>
      <c r="E7070" s="234"/>
    </row>
    <row r="7071">
      <c r="A7071" s="237"/>
      <c r="E7071" s="234"/>
    </row>
    <row r="7072">
      <c r="A7072" s="237"/>
      <c r="E7072" s="234"/>
    </row>
    <row r="7073">
      <c r="A7073" s="237"/>
      <c r="E7073" s="234"/>
    </row>
    <row r="7074">
      <c r="A7074" s="237"/>
      <c r="E7074" s="234"/>
    </row>
    <row r="7075">
      <c r="A7075" s="237"/>
      <c r="E7075" s="234"/>
    </row>
    <row r="7076">
      <c r="A7076" s="237"/>
      <c r="E7076" s="234"/>
    </row>
    <row r="7077">
      <c r="A7077" s="237"/>
      <c r="E7077" s="234"/>
    </row>
    <row r="7078">
      <c r="A7078" s="237"/>
      <c r="E7078" s="234"/>
    </row>
    <row r="7079">
      <c r="A7079" s="237"/>
      <c r="E7079" s="234"/>
    </row>
    <row r="7080">
      <c r="A7080" s="237"/>
      <c r="E7080" s="234"/>
    </row>
    <row r="7081">
      <c r="A7081" s="237"/>
      <c r="E7081" s="234"/>
    </row>
    <row r="7082">
      <c r="A7082" s="237"/>
      <c r="E7082" s="234"/>
    </row>
    <row r="7083">
      <c r="A7083" s="237"/>
      <c r="E7083" s="234"/>
    </row>
    <row r="7084">
      <c r="A7084" s="237"/>
      <c r="E7084" s="234"/>
    </row>
    <row r="7085">
      <c r="A7085" s="237"/>
      <c r="E7085" s="234"/>
    </row>
    <row r="7086">
      <c r="A7086" s="237"/>
      <c r="E7086" s="234"/>
    </row>
    <row r="7087">
      <c r="A7087" s="237"/>
      <c r="E7087" s="234"/>
    </row>
    <row r="7088">
      <c r="A7088" s="237"/>
      <c r="E7088" s="234"/>
    </row>
    <row r="7089">
      <c r="A7089" s="237"/>
      <c r="E7089" s="234"/>
    </row>
    <row r="7090">
      <c r="A7090" s="237"/>
      <c r="E7090" s="234"/>
    </row>
    <row r="7091">
      <c r="A7091" s="237"/>
      <c r="E7091" s="234"/>
    </row>
    <row r="7092">
      <c r="A7092" s="237"/>
      <c r="E7092" s="234"/>
    </row>
    <row r="7093">
      <c r="A7093" s="237"/>
      <c r="E7093" s="234"/>
    </row>
    <row r="7094">
      <c r="A7094" s="237"/>
      <c r="E7094" s="234"/>
    </row>
    <row r="7095">
      <c r="A7095" s="237"/>
      <c r="E7095" s="234"/>
    </row>
    <row r="7096">
      <c r="A7096" s="237"/>
      <c r="E7096" s="234"/>
    </row>
    <row r="7097">
      <c r="A7097" s="237"/>
      <c r="E7097" s="234"/>
    </row>
    <row r="7098">
      <c r="A7098" s="237"/>
      <c r="E7098" s="234"/>
    </row>
    <row r="7099">
      <c r="A7099" s="237"/>
      <c r="E7099" s="234"/>
    </row>
    <row r="7100">
      <c r="A7100" s="237"/>
      <c r="E7100" s="234"/>
    </row>
    <row r="7101">
      <c r="A7101" s="237"/>
      <c r="E7101" s="234"/>
    </row>
    <row r="7102">
      <c r="A7102" s="237"/>
      <c r="E7102" s="234"/>
    </row>
    <row r="7103">
      <c r="A7103" s="237"/>
      <c r="E7103" s="234"/>
    </row>
    <row r="7104">
      <c r="A7104" s="237"/>
      <c r="E7104" s="234"/>
    </row>
    <row r="7105">
      <c r="A7105" s="237"/>
      <c r="E7105" s="234"/>
    </row>
    <row r="7106">
      <c r="A7106" s="237"/>
      <c r="E7106" s="234"/>
    </row>
    <row r="7107">
      <c r="A7107" s="237"/>
      <c r="E7107" s="234"/>
    </row>
    <row r="7108">
      <c r="A7108" s="237"/>
      <c r="E7108" s="234"/>
    </row>
    <row r="7109">
      <c r="A7109" s="237"/>
      <c r="E7109" s="234"/>
    </row>
    <row r="7110">
      <c r="A7110" s="237"/>
      <c r="E7110" s="234"/>
    </row>
    <row r="7111">
      <c r="A7111" s="237"/>
      <c r="E7111" s="234"/>
    </row>
    <row r="7112">
      <c r="A7112" s="237"/>
      <c r="E7112" s="234"/>
    </row>
    <row r="7113">
      <c r="A7113" s="237"/>
      <c r="E7113" s="234"/>
    </row>
    <row r="7114">
      <c r="A7114" s="237"/>
      <c r="E7114" s="234"/>
    </row>
    <row r="7115">
      <c r="A7115" s="237"/>
      <c r="E7115" s="234"/>
    </row>
    <row r="7116">
      <c r="A7116" s="237"/>
      <c r="E7116" s="234"/>
    </row>
    <row r="7117">
      <c r="A7117" s="237"/>
      <c r="E7117" s="234"/>
    </row>
    <row r="7118">
      <c r="A7118" s="237"/>
      <c r="E7118" s="234"/>
    </row>
    <row r="7119">
      <c r="A7119" s="237"/>
      <c r="E7119" s="234"/>
    </row>
    <row r="7120">
      <c r="A7120" s="237"/>
      <c r="E7120" s="234"/>
    </row>
    <row r="7121">
      <c r="A7121" s="237"/>
      <c r="E7121" s="234"/>
    </row>
    <row r="7122">
      <c r="A7122" s="237"/>
      <c r="E7122" s="234"/>
    </row>
    <row r="7123">
      <c r="A7123" s="237"/>
      <c r="E7123" s="234"/>
    </row>
    <row r="7124">
      <c r="A7124" s="237"/>
      <c r="E7124" s="234"/>
    </row>
    <row r="7125">
      <c r="A7125" s="237"/>
      <c r="E7125" s="234"/>
    </row>
    <row r="7126">
      <c r="A7126" s="237"/>
      <c r="E7126" s="234"/>
    </row>
    <row r="7127">
      <c r="A7127" s="237"/>
      <c r="E7127" s="234"/>
    </row>
    <row r="7128">
      <c r="A7128" s="237"/>
      <c r="E7128" s="234"/>
    </row>
    <row r="7129">
      <c r="A7129" s="237"/>
      <c r="E7129" s="234"/>
    </row>
    <row r="7130">
      <c r="A7130" s="237"/>
      <c r="E7130" s="234"/>
    </row>
    <row r="7131">
      <c r="A7131" s="237"/>
      <c r="E7131" s="234"/>
    </row>
    <row r="7132">
      <c r="A7132" s="237"/>
      <c r="E7132" s="234"/>
    </row>
    <row r="7133">
      <c r="A7133" s="237"/>
      <c r="E7133" s="234"/>
    </row>
    <row r="7134">
      <c r="A7134" s="237"/>
      <c r="E7134" s="234"/>
    </row>
    <row r="7135">
      <c r="A7135" s="237"/>
      <c r="E7135" s="234"/>
    </row>
    <row r="7136">
      <c r="A7136" s="237"/>
      <c r="E7136" s="234"/>
    </row>
    <row r="7137">
      <c r="A7137" s="237"/>
      <c r="E7137" s="234"/>
    </row>
    <row r="7138">
      <c r="A7138" s="237"/>
      <c r="E7138" s="234"/>
    </row>
    <row r="7139">
      <c r="A7139" s="237"/>
      <c r="E7139" s="234"/>
    </row>
    <row r="7140">
      <c r="A7140" s="237"/>
      <c r="E7140" s="234"/>
    </row>
    <row r="7141">
      <c r="A7141" s="237"/>
      <c r="E7141" s="234"/>
    </row>
    <row r="7142">
      <c r="A7142" s="237"/>
      <c r="E7142" s="234"/>
    </row>
    <row r="7143">
      <c r="A7143" s="237"/>
      <c r="E7143" s="234"/>
    </row>
    <row r="7144">
      <c r="A7144" s="237"/>
      <c r="E7144" s="234"/>
    </row>
    <row r="7145">
      <c r="A7145" s="237"/>
      <c r="E7145" s="234"/>
    </row>
    <row r="7146">
      <c r="A7146" s="237"/>
      <c r="E7146" s="234"/>
    </row>
    <row r="7147">
      <c r="A7147" s="237"/>
      <c r="E7147" s="234"/>
    </row>
    <row r="7148">
      <c r="A7148" s="237"/>
      <c r="E7148" s="234"/>
    </row>
    <row r="7149">
      <c r="A7149" s="237"/>
      <c r="E7149" s="234"/>
    </row>
    <row r="7150">
      <c r="A7150" s="237"/>
      <c r="E7150" s="234"/>
    </row>
    <row r="7151">
      <c r="A7151" s="237"/>
      <c r="E7151" s="234"/>
    </row>
    <row r="7152">
      <c r="A7152" s="237"/>
      <c r="E7152" s="234"/>
    </row>
    <row r="7153">
      <c r="A7153" s="237"/>
      <c r="E7153" s="234"/>
    </row>
    <row r="7154">
      <c r="A7154" s="237"/>
      <c r="E7154" s="234"/>
    </row>
    <row r="7155">
      <c r="A7155" s="237"/>
      <c r="E7155" s="234"/>
    </row>
    <row r="7156">
      <c r="A7156" s="237"/>
      <c r="E7156" s="234"/>
    </row>
    <row r="7157">
      <c r="A7157" s="237"/>
      <c r="E7157" s="234"/>
    </row>
    <row r="7158">
      <c r="A7158" s="237"/>
      <c r="E7158" s="234"/>
    </row>
    <row r="7159">
      <c r="A7159" s="237"/>
      <c r="E7159" s="234"/>
    </row>
    <row r="7160">
      <c r="A7160" s="237"/>
      <c r="E7160" s="234"/>
    </row>
    <row r="7161">
      <c r="A7161" s="237"/>
      <c r="E7161" s="234"/>
    </row>
    <row r="7162">
      <c r="A7162" s="237"/>
      <c r="E7162" s="234"/>
    </row>
    <row r="7163">
      <c r="A7163" s="237"/>
      <c r="E7163" s="234"/>
    </row>
    <row r="7164">
      <c r="A7164" s="237"/>
      <c r="E7164" s="234"/>
    </row>
    <row r="7165">
      <c r="A7165" s="237"/>
      <c r="E7165" s="234"/>
    </row>
    <row r="7166">
      <c r="A7166" s="237"/>
      <c r="E7166" s="234"/>
    </row>
    <row r="7167">
      <c r="A7167" s="237"/>
      <c r="E7167" s="234"/>
    </row>
    <row r="7168">
      <c r="A7168" s="237"/>
      <c r="E7168" s="234"/>
    </row>
    <row r="7169">
      <c r="A7169" s="237"/>
      <c r="E7169" s="234"/>
    </row>
    <row r="7170">
      <c r="A7170" s="237"/>
      <c r="E7170" s="234"/>
    </row>
    <row r="7171">
      <c r="A7171" s="237"/>
      <c r="E7171" s="234"/>
    </row>
    <row r="7172">
      <c r="A7172" s="237"/>
      <c r="E7172" s="234"/>
    </row>
    <row r="7173">
      <c r="A7173" s="237"/>
      <c r="E7173" s="234"/>
    </row>
    <row r="7174">
      <c r="A7174" s="237"/>
      <c r="E7174" s="234"/>
    </row>
    <row r="7175">
      <c r="A7175" s="237"/>
      <c r="E7175" s="234"/>
    </row>
    <row r="7176">
      <c r="A7176" s="237"/>
      <c r="E7176" s="234"/>
    </row>
    <row r="7177">
      <c r="A7177" s="237"/>
      <c r="E7177" s="234"/>
    </row>
    <row r="7178">
      <c r="A7178" s="237"/>
      <c r="E7178" s="234"/>
    </row>
    <row r="7179">
      <c r="A7179" s="237"/>
      <c r="E7179" s="234"/>
    </row>
    <row r="7180">
      <c r="A7180" s="237"/>
      <c r="E7180" s="234"/>
    </row>
    <row r="7181">
      <c r="A7181" s="237"/>
      <c r="E7181" s="234"/>
    </row>
    <row r="7182">
      <c r="A7182" s="237"/>
      <c r="E7182" s="234"/>
    </row>
    <row r="7183">
      <c r="A7183" s="237"/>
      <c r="E7183" s="234"/>
    </row>
    <row r="7184">
      <c r="A7184" s="237"/>
      <c r="E7184" s="234"/>
    </row>
    <row r="7185">
      <c r="A7185" s="237"/>
      <c r="E7185" s="234"/>
    </row>
    <row r="7186">
      <c r="A7186" s="237"/>
      <c r="E7186" s="234"/>
    </row>
    <row r="7187">
      <c r="A7187" s="237"/>
      <c r="E7187" s="234"/>
    </row>
    <row r="7188">
      <c r="A7188" s="237"/>
      <c r="E7188" s="234"/>
    </row>
    <row r="7189">
      <c r="A7189" s="237"/>
      <c r="E7189" s="234"/>
    </row>
    <row r="7190">
      <c r="A7190" s="237"/>
      <c r="E7190" s="234"/>
    </row>
    <row r="7191">
      <c r="A7191" s="237"/>
      <c r="E7191" s="234"/>
    </row>
    <row r="7192">
      <c r="A7192" s="237"/>
      <c r="E7192" s="234"/>
    </row>
    <row r="7193">
      <c r="A7193" s="237"/>
      <c r="E7193" s="234"/>
    </row>
    <row r="7194">
      <c r="A7194" s="237"/>
      <c r="E7194" s="234"/>
    </row>
    <row r="7195">
      <c r="A7195" s="237"/>
      <c r="E7195" s="234"/>
    </row>
    <row r="7196">
      <c r="A7196" s="237"/>
      <c r="E7196" s="234"/>
    </row>
    <row r="7197">
      <c r="A7197" s="237"/>
      <c r="E7197" s="234"/>
    </row>
    <row r="7198">
      <c r="A7198" s="237"/>
      <c r="E7198" s="234"/>
    </row>
    <row r="7199">
      <c r="A7199" s="237"/>
      <c r="E7199" s="234"/>
    </row>
    <row r="7200">
      <c r="A7200" s="237"/>
      <c r="E7200" s="234"/>
    </row>
    <row r="7201">
      <c r="A7201" s="237"/>
      <c r="E7201" s="234"/>
    </row>
    <row r="7202">
      <c r="A7202" s="237"/>
      <c r="E7202" s="234"/>
    </row>
    <row r="7203">
      <c r="A7203" s="237"/>
      <c r="E7203" s="234"/>
    </row>
    <row r="7204">
      <c r="A7204" s="237"/>
      <c r="E7204" s="234"/>
    </row>
    <row r="7205">
      <c r="A7205" s="237"/>
      <c r="E7205" s="234"/>
    </row>
    <row r="7206">
      <c r="A7206" s="237"/>
      <c r="E7206" s="234"/>
    </row>
    <row r="7207">
      <c r="A7207" s="237"/>
      <c r="E7207" s="234"/>
    </row>
    <row r="7208">
      <c r="A7208" s="237"/>
      <c r="E7208" s="234"/>
    </row>
    <row r="7209">
      <c r="A7209" s="237"/>
      <c r="E7209" s="234"/>
    </row>
    <row r="7210">
      <c r="A7210" s="237"/>
      <c r="E7210" s="234"/>
    </row>
    <row r="7211">
      <c r="A7211" s="237"/>
      <c r="E7211" s="234"/>
    </row>
    <row r="7212">
      <c r="A7212" s="237"/>
      <c r="E7212" s="234"/>
    </row>
    <row r="7213">
      <c r="A7213" s="237"/>
      <c r="E7213" s="234"/>
    </row>
    <row r="7214">
      <c r="A7214" s="237"/>
      <c r="E7214" s="234"/>
    </row>
    <row r="7215">
      <c r="A7215" s="237"/>
      <c r="E7215" s="234"/>
    </row>
    <row r="7216">
      <c r="A7216" s="237"/>
      <c r="E7216" s="234"/>
    </row>
    <row r="7217">
      <c r="A7217" s="237"/>
      <c r="E7217" s="234"/>
    </row>
    <row r="7218">
      <c r="A7218" s="237"/>
      <c r="E7218" s="234"/>
    </row>
    <row r="7219">
      <c r="A7219" s="237"/>
      <c r="E7219" s="234"/>
    </row>
    <row r="7220">
      <c r="A7220" s="237"/>
      <c r="E7220" s="234"/>
    </row>
    <row r="7221">
      <c r="A7221" s="237"/>
      <c r="E7221" s="234"/>
    </row>
    <row r="7222">
      <c r="A7222" s="237"/>
      <c r="E7222" s="234"/>
    </row>
    <row r="7223">
      <c r="A7223" s="237"/>
      <c r="E7223" s="234"/>
    </row>
    <row r="7224">
      <c r="A7224" s="237"/>
      <c r="E7224" s="234"/>
    </row>
    <row r="7225">
      <c r="A7225" s="237"/>
      <c r="E7225" s="234"/>
    </row>
    <row r="7226">
      <c r="A7226" s="237"/>
      <c r="E7226" s="234"/>
    </row>
    <row r="7227">
      <c r="A7227" s="237"/>
      <c r="E7227" s="234"/>
    </row>
    <row r="7228">
      <c r="A7228" s="237"/>
      <c r="E7228" s="234"/>
    </row>
    <row r="7229">
      <c r="A7229" s="237"/>
      <c r="E7229" s="234"/>
    </row>
    <row r="7230">
      <c r="A7230" s="237"/>
      <c r="E7230" s="234"/>
    </row>
    <row r="7231">
      <c r="A7231" s="237"/>
      <c r="E7231" s="234"/>
    </row>
    <row r="7232">
      <c r="A7232" s="237"/>
      <c r="E7232" s="234"/>
    </row>
    <row r="7233">
      <c r="A7233" s="237"/>
      <c r="E7233" s="234"/>
    </row>
    <row r="7234">
      <c r="A7234" s="237"/>
      <c r="E7234" s="234"/>
    </row>
    <row r="7235">
      <c r="A7235" s="237"/>
      <c r="E7235" s="234"/>
    </row>
    <row r="7236">
      <c r="A7236" s="237"/>
      <c r="E7236" s="234"/>
    </row>
    <row r="7237">
      <c r="A7237" s="237"/>
      <c r="E7237" s="234"/>
    </row>
    <row r="7238">
      <c r="A7238" s="237"/>
      <c r="E7238" s="234"/>
    </row>
    <row r="7239">
      <c r="A7239" s="237"/>
      <c r="E7239" s="234"/>
    </row>
    <row r="7240">
      <c r="A7240" s="237"/>
      <c r="E7240" s="234"/>
    </row>
    <row r="7241">
      <c r="A7241" s="237"/>
      <c r="E7241" s="234"/>
    </row>
    <row r="7242">
      <c r="A7242" s="237"/>
      <c r="E7242" s="234"/>
    </row>
    <row r="7243">
      <c r="A7243" s="237"/>
      <c r="E7243" s="234"/>
    </row>
    <row r="7244">
      <c r="A7244" s="237"/>
      <c r="E7244" s="234"/>
    </row>
    <row r="7245">
      <c r="A7245" s="237"/>
      <c r="E7245" s="234"/>
    </row>
    <row r="7246">
      <c r="A7246" s="237"/>
      <c r="E7246" s="234"/>
    </row>
    <row r="7247">
      <c r="A7247" s="237"/>
      <c r="E7247" s="234"/>
    </row>
    <row r="7248">
      <c r="A7248" s="237"/>
      <c r="E7248" s="234"/>
    </row>
    <row r="7249">
      <c r="A7249" s="237"/>
      <c r="E7249" s="234"/>
    </row>
    <row r="7250">
      <c r="A7250" s="237"/>
      <c r="E7250" s="234"/>
    </row>
    <row r="7251">
      <c r="A7251" s="237"/>
      <c r="E7251" s="234"/>
    </row>
    <row r="7252">
      <c r="A7252" s="237"/>
      <c r="E7252" s="234"/>
    </row>
    <row r="7253">
      <c r="A7253" s="237"/>
      <c r="E7253" s="234"/>
    </row>
    <row r="7254">
      <c r="A7254" s="237"/>
      <c r="E7254" s="234"/>
    </row>
    <row r="7255">
      <c r="A7255" s="237"/>
      <c r="E7255" s="234"/>
    </row>
    <row r="7256">
      <c r="A7256" s="237"/>
      <c r="E7256" s="234"/>
    </row>
    <row r="7257">
      <c r="A7257" s="237"/>
      <c r="E7257" s="234"/>
    </row>
    <row r="7258">
      <c r="A7258" s="237"/>
      <c r="E7258" s="234"/>
    </row>
    <row r="7259">
      <c r="A7259" s="237"/>
      <c r="E7259" s="234"/>
    </row>
    <row r="7260">
      <c r="A7260" s="237"/>
      <c r="E7260" s="234"/>
    </row>
    <row r="7261">
      <c r="A7261" s="237"/>
      <c r="E7261" s="234"/>
    </row>
    <row r="7262">
      <c r="A7262" s="237"/>
      <c r="E7262" s="234"/>
    </row>
    <row r="7263">
      <c r="A7263" s="237"/>
      <c r="E7263" s="234"/>
    </row>
    <row r="7264">
      <c r="A7264" s="237"/>
      <c r="E7264" s="234"/>
    </row>
    <row r="7265">
      <c r="A7265" s="237"/>
      <c r="E7265" s="234"/>
    </row>
    <row r="7266">
      <c r="A7266" s="237"/>
      <c r="E7266" s="234"/>
    </row>
    <row r="7267">
      <c r="A7267" s="237"/>
      <c r="E7267" s="234"/>
    </row>
    <row r="7268">
      <c r="A7268" s="237"/>
      <c r="E7268" s="234"/>
    </row>
    <row r="7269">
      <c r="A7269" s="237"/>
      <c r="E7269" s="234"/>
    </row>
    <row r="7270">
      <c r="A7270" s="237"/>
      <c r="E7270" s="234"/>
    </row>
    <row r="7271">
      <c r="A7271" s="237"/>
      <c r="E7271" s="234"/>
    </row>
    <row r="7272">
      <c r="A7272" s="237"/>
      <c r="E7272" s="234"/>
    </row>
    <row r="7273">
      <c r="A7273" s="237"/>
      <c r="E7273" s="234"/>
    </row>
    <row r="7274">
      <c r="A7274" s="237"/>
      <c r="E7274" s="234"/>
    </row>
    <row r="7275">
      <c r="A7275" s="237"/>
      <c r="E7275" s="234"/>
    </row>
    <row r="7276">
      <c r="A7276" s="237"/>
      <c r="E7276" s="234"/>
    </row>
    <row r="7277">
      <c r="A7277" s="237"/>
      <c r="E7277" s="234"/>
    </row>
    <row r="7278">
      <c r="A7278" s="237"/>
      <c r="E7278" s="234"/>
    </row>
    <row r="7279">
      <c r="A7279" s="237"/>
      <c r="E7279" s="234"/>
    </row>
    <row r="7280">
      <c r="A7280" s="237"/>
      <c r="E7280" s="234"/>
    </row>
    <row r="7281">
      <c r="A7281" s="237"/>
      <c r="E7281" s="234"/>
    </row>
    <row r="7282">
      <c r="A7282" s="237"/>
      <c r="E7282" s="234"/>
    </row>
    <row r="7283">
      <c r="A7283" s="237"/>
      <c r="E7283" s="234"/>
    </row>
    <row r="7284">
      <c r="A7284" s="237"/>
      <c r="E7284" s="234"/>
    </row>
    <row r="7285">
      <c r="A7285" s="237"/>
      <c r="E7285" s="234"/>
    </row>
    <row r="7286">
      <c r="A7286" s="237"/>
      <c r="E7286" s="234"/>
    </row>
    <row r="7287">
      <c r="A7287" s="237"/>
      <c r="E7287" s="234"/>
    </row>
    <row r="7288">
      <c r="A7288" s="237"/>
      <c r="E7288" s="234"/>
    </row>
    <row r="7289">
      <c r="A7289" s="237"/>
      <c r="E7289" s="234"/>
    </row>
    <row r="7290">
      <c r="A7290" s="237"/>
      <c r="E7290" s="234"/>
    </row>
    <row r="7291">
      <c r="A7291" s="237"/>
      <c r="E7291" s="234"/>
    </row>
    <row r="7292">
      <c r="A7292" s="237"/>
      <c r="E7292" s="234"/>
    </row>
    <row r="7293">
      <c r="A7293" s="237"/>
      <c r="E7293" s="234"/>
    </row>
    <row r="7294">
      <c r="A7294" s="237"/>
      <c r="E7294" s="234"/>
    </row>
    <row r="7295">
      <c r="A7295" s="237"/>
      <c r="E7295" s="234"/>
    </row>
    <row r="7296">
      <c r="A7296" s="237"/>
      <c r="E7296" s="234"/>
    </row>
    <row r="7297">
      <c r="A7297" s="237"/>
      <c r="E7297" s="234"/>
    </row>
    <row r="7298">
      <c r="A7298" s="237"/>
      <c r="E7298" s="234"/>
    </row>
    <row r="7299">
      <c r="A7299" s="237"/>
      <c r="E7299" s="234"/>
    </row>
    <row r="7300">
      <c r="A7300" s="237"/>
      <c r="E7300" s="234"/>
    </row>
    <row r="7301">
      <c r="A7301" s="237"/>
      <c r="E7301" s="234"/>
    </row>
    <row r="7302">
      <c r="A7302" s="237"/>
      <c r="E7302" s="234"/>
    </row>
    <row r="7303">
      <c r="A7303" s="237"/>
      <c r="E7303" s="234"/>
    </row>
    <row r="7304">
      <c r="A7304" s="237"/>
      <c r="E7304" s="234"/>
    </row>
    <row r="7305">
      <c r="A7305" s="237"/>
      <c r="E7305" s="234"/>
    </row>
    <row r="7306">
      <c r="A7306" s="237"/>
      <c r="E7306" s="234"/>
    </row>
    <row r="7307">
      <c r="A7307" s="237"/>
      <c r="E7307" s="234"/>
    </row>
    <row r="7308">
      <c r="A7308" s="237"/>
      <c r="E7308" s="234"/>
    </row>
    <row r="7309">
      <c r="A7309" s="237"/>
      <c r="E7309" s="234"/>
    </row>
    <row r="7310">
      <c r="A7310" s="237"/>
      <c r="E7310" s="234"/>
    </row>
    <row r="7311">
      <c r="A7311" s="237"/>
      <c r="E7311" s="234"/>
    </row>
    <row r="7312">
      <c r="A7312" s="237"/>
      <c r="E7312" s="234"/>
    </row>
    <row r="7313">
      <c r="A7313" s="237"/>
      <c r="E7313" s="234"/>
    </row>
    <row r="7314">
      <c r="A7314" s="237"/>
      <c r="E7314" s="234"/>
    </row>
    <row r="7315">
      <c r="A7315" s="237"/>
      <c r="E7315" s="234"/>
    </row>
    <row r="7316">
      <c r="A7316" s="237"/>
      <c r="E7316" s="234"/>
    </row>
    <row r="7317">
      <c r="A7317" s="237"/>
      <c r="E7317" s="234"/>
    </row>
    <row r="7318">
      <c r="A7318" s="237"/>
      <c r="E7318" s="234"/>
    </row>
    <row r="7319">
      <c r="A7319" s="237"/>
      <c r="E7319" s="234"/>
    </row>
    <row r="7320">
      <c r="A7320" s="237"/>
      <c r="E7320" s="234"/>
    </row>
    <row r="7321">
      <c r="A7321" s="237"/>
      <c r="E7321" s="234"/>
    </row>
    <row r="7322">
      <c r="A7322" s="237"/>
      <c r="E7322" s="234"/>
    </row>
    <row r="7323">
      <c r="A7323" s="237"/>
      <c r="E7323" s="234"/>
    </row>
    <row r="7324">
      <c r="A7324" s="237"/>
      <c r="E7324" s="234"/>
    </row>
    <row r="7325">
      <c r="A7325" s="237"/>
      <c r="E7325" s="234"/>
    </row>
    <row r="7326">
      <c r="A7326" s="237"/>
      <c r="E7326" s="234"/>
    </row>
    <row r="7327">
      <c r="A7327" s="237"/>
      <c r="E7327" s="234"/>
    </row>
    <row r="7328">
      <c r="A7328" s="237"/>
      <c r="E7328" s="234"/>
    </row>
    <row r="7329">
      <c r="A7329" s="237"/>
      <c r="E7329" s="234"/>
    </row>
    <row r="7330">
      <c r="A7330" s="237"/>
      <c r="E7330" s="234"/>
    </row>
    <row r="7331">
      <c r="A7331" s="237"/>
      <c r="E7331" s="234"/>
    </row>
    <row r="7332">
      <c r="A7332" s="237"/>
      <c r="E7332" s="234"/>
    </row>
    <row r="7333">
      <c r="A7333" s="237"/>
      <c r="E7333" s="234"/>
    </row>
    <row r="7334">
      <c r="A7334" s="237"/>
      <c r="E7334" s="234"/>
    </row>
    <row r="7335">
      <c r="A7335" s="237"/>
      <c r="E7335" s="234"/>
    </row>
    <row r="7336">
      <c r="A7336" s="237"/>
      <c r="E7336" s="234"/>
    </row>
    <row r="7337">
      <c r="A7337" s="237"/>
      <c r="E7337" s="234"/>
    </row>
    <row r="7338">
      <c r="A7338" s="237"/>
      <c r="E7338" s="234"/>
    </row>
    <row r="7339">
      <c r="A7339" s="237"/>
      <c r="E7339" s="234"/>
    </row>
    <row r="7340">
      <c r="A7340" s="237"/>
      <c r="E7340" s="234"/>
    </row>
    <row r="7341">
      <c r="A7341" s="237"/>
      <c r="E7341" s="234"/>
    </row>
    <row r="7342">
      <c r="A7342" s="237"/>
      <c r="E7342" s="234"/>
    </row>
    <row r="7343">
      <c r="A7343" s="237"/>
      <c r="E7343" s="234"/>
    </row>
    <row r="7344">
      <c r="A7344" s="237"/>
      <c r="E7344" s="234"/>
    </row>
    <row r="7345">
      <c r="A7345" s="237"/>
      <c r="E7345" s="234"/>
    </row>
    <row r="7346">
      <c r="A7346" s="237"/>
      <c r="E7346" s="234"/>
    </row>
    <row r="7347">
      <c r="A7347" s="237"/>
      <c r="E7347" s="234"/>
    </row>
    <row r="7348">
      <c r="A7348" s="237"/>
      <c r="E7348" s="234"/>
    </row>
    <row r="7349">
      <c r="A7349" s="237"/>
      <c r="E7349" s="234"/>
    </row>
    <row r="7350">
      <c r="A7350" s="237"/>
      <c r="E7350" s="234"/>
    </row>
    <row r="7351">
      <c r="A7351" s="237"/>
      <c r="E7351" s="234"/>
    </row>
    <row r="7352">
      <c r="A7352" s="237"/>
      <c r="E7352" s="234"/>
    </row>
    <row r="7353">
      <c r="A7353" s="237"/>
      <c r="E7353" s="234"/>
    </row>
    <row r="7354">
      <c r="A7354" s="237"/>
      <c r="E7354" s="234"/>
    </row>
    <row r="7355">
      <c r="A7355" s="237"/>
      <c r="E7355" s="234"/>
    </row>
    <row r="7356">
      <c r="A7356" s="237"/>
      <c r="E7356" s="234"/>
    </row>
    <row r="7357">
      <c r="A7357" s="237"/>
      <c r="E7357" s="234"/>
    </row>
    <row r="7358">
      <c r="A7358" s="237"/>
      <c r="E7358" s="234"/>
    </row>
    <row r="7359">
      <c r="A7359" s="237"/>
      <c r="E7359" s="234"/>
    </row>
    <row r="7360">
      <c r="A7360" s="237"/>
      <c r="E7360" s="234"/>
    </row>
    <row r="7361">
      <c r="A7361" s="237"/>
      <c r="E7361" s="234"/>
    </row>
    <row r="7362">
      <c r="A7362" s="237"/>
      <c r="E7362" s="234"/>
    </row>
    <row r="7363">
      <c r="A7363" s="237"/>
      <c r="E7363" s="234"/>
    </row>
    <row r="7364">
      <c r="A7364" s="237"/>
      <c r="E7364" s="234"/>
    </row>
    <row r="7365">
      <c r="A7365" s="237"/>
      <c r="E7365" s="234"/>
    </row>
    <row r="7366">
      <c r="A7366" s="237"/>
      <c r="E7366" s="234"/>
    </row>
    <row r="7367">
      <c r="A7367" s="237"/>
      <c r="E7367" s="234"/>
    </row>
    <row r="7368">
      <c r="A7368" s="237"/>
      <c r="E7368" s="234"/>
    </row>
    <row r="7369">
      <c r="A7369" s="237"/>
      <c r="E7369" s="234"/>
    </row>
    <row r="7370">
      <c r="A7370" s="237"/>
      <c r="E7370" s="234"/>
    </row>
    <row r="7371">
      <c r="A7371" s="237"/>
      <c r="E7371" s="234"/>
    </row>
    <row r="7372">
      <c r="A7372" s="237"/>
      <c r="E7372" s="234"/>
    </row>
    <row r="7373">
      <c r="A7373" s="237"/>
      <c r="E7373" s="234"/>
    </row>
    <row r="7374">
      <c r="A7374" s="237"/>
      <c r="E7374" s="234"/>
    </row>
    <row r="7375">
      <c r="A7375" s="237"/>
      <c r="E7375" s="234"/>
    </row>
    <row r="7376">
      <c r="A7376" s="237"/>
      <c r="E7376" s="234"/>
    </row>
    <row r="7377">
      <c r="A7377" s="237"/>
      <c r="E7377" s="234"/>
    </row>
    <row r="7378">
      <c r="A7378" s="237"/>
      <c r="E7378" s="234"/>
    </row>
    <row r="7379">
      <c r="A7379" s="237"/>
      <c r="E7379" s="234"/>
    </row>
    <row r="7380">
      <c r="A7380" s="237"/>
      <c r="E7380" s="234"/>
    </row>
    <row r="7381">
      <c r="A7381" s="237"/>
      <c r="E7381" s="234"/>
    </row>
    <row r="7382">
      <c r="A7382" s="237"/>
      <c r="E7382" s="234"/>
    </row>
    <row r="7383">
      <c r="A7383" s="237"/>
      <c r="E7383" s="234"/>
    </row>
    <row r="7384">
      <c r="A7384" s="237"/>
      <c r="E7384" s="234"/>
    </row>
    <row r="7385">
      <c r="A7385" s="237"/>
      <c r="E7385" s="234"/>
    </row>
    <row r="7386">
      <c r="A7386" s="237"/>
      <c r="E7386" s="234"/>
    </row>
    <row r="7387">
      <c r="A7387" s="237"/>
      <c r="E7387" s="234"/>
    </row>
    <row r="7388">
      <c r="A7388" s="237"/>
      <c r="E7388" s="234"/>
    </row>
    <row r="7389">
      <c r="A7389" s="237"/>
      <c r="E7389" s="234"/>
    </row>
    <row r="7390">
      <c r="A7390" s="237"/>
      <c r="E7390" s="234"/>
    </row>
    <row r="7391">
      <c r="A7391" s="237"/>
      <c r="E7391" s="234"/>
    </row>
    <row r="7392">
      <c r="A7392" s="237"/>
      <c r="E7392" s="234"/>
    </row>
    <row r="7393">
      <c r="A7393" s="237"/>
      <c r="E7393" s="234"/>
    </row>
    <row r="7394">
      <c r="A7394" s="237"/>
      <c r="E7394" s="234"/>
    </row>
    <row r="7395">
      <c r="A7395" s="237"/>
      <c r="E7395" s="234"/>
    </row>
    <row r="7396">
      <c r="A7396" s="237"/>
      <c r="E7396" s="234"/>
    </row>
    <row r="7397">
      <c r="A7397" s="237"/>
      <c r="E7397" s="234"/>
    </row>
    <row r="7398">
      <c r="A7398" s="237"/>
      <c r="E7398" s="234"/>
    </row>
    <row r="7399">
      <c r="A7399" s="237"/>
      <c r="E7399" s="234"/>
    </row>
    <row r="7400">
      <c r="A7400" s="237"/>
      <c r="E7400" s="234"/>
    </row>
    <row r="7401">
      <c r="A7401" s="237"/>
      <c r="E7401" s="234"/>
    </row>
    <row r="7402">
      <c r="A7402" s="237"/>
      <c r="E7402" s="234"/>
    </row>
    <row r="7403">
      <c r="A7403" s="237"/>
      <c r="E7403" s="234"/>
    </row>
    <row r="7404">
      <c r="A7404" s="237"/>
      <c r="E7404" s="234"/>
    </row>
    <row r="7405">
      <c r="A7405" s="237"/>
      <c r="E7405" s="234"/>
    </row>
    <row r="7406">
      <c r="A7406" s="237"/>
      <c r="E7406" s="234"/>
    </row>
    <row r="7407">
      <c r="A7407" s="237"/>
      <c r="E7407" s="234"/>
    </row>
    <row r="7408">
      <c r="A7408" s="237"/>
      <c r="E7408" s="234"/>
    </row>
    <row r="7409">
      <c r="A7409" s="237"/>
      <c r="E7409" s="234"/>
    </row>
    <row r="7410">
      <c r="A7410" s="237"/>
      <c r="E7410" s="234"/>
    </row>
    <row r="7411">
      <c r="A7411" s="237"/>
      <c r="E7411" s="234"/>
    </row>
    <row r="7412">
      <c r="A7412" s="237"/>
      <c r="E7412" s="234"/>
    </row>
    <row r="7413">
      <c r="A7413" s="237"/>
      <c r="E7413" s="234"/>
    </row>
    <row r="7414">
      <c r="A7414" s="237"/>
      <c r="E7414" s="234"/>
    </row>
    <row r="7415">
      <c r="A7415" s="237"/>
      <c r="E7415" s="234"/>
    </row>
    <row r="7416">
      <c r="A7416" s="237"/>
      <c r="E7416" s="234"/>
    </row>
    <row r="7417">
      <c r="A7417" s="237"/>
      <c r="E7417" s="234"/>
    </row>
    <row r="7418">
      <c r="A7418" s="237"/>
      <c r="E7418" s="234"/>
    </row>
    <row r="7419">
      <c r="A7419" s="237"/>
      <c r="E7419" s="234"/>
    </row>
    <row r="7420">
      <c r="A7420" s="237"/>
      <c r="E7420" s="234"/>
    </row>
    <row r="7421">
      <c r="A7421" s="237"/>
      <c r="E7421" s="234"/>
    </row>
    <row r="7422">
      <c r="A7422" s="237"/>
      <c r="E7422" s="234"/>
    </row>
    <row r="7423">
      <c r="A7423" s="237"/>
      <c r="E7423" s="234"/>
    </row>
    <row r="7424">
      <c r="A7424" s="237"/>
      <c r="E7424" s="234"/>
    </row>
    <row r="7425">
      <c r="A7425" s="237"/>
      <c r="E7425" s="234"/>
    </row>
    <row r="7426">
      <c r="A7426" s="237"/>
      <c r="E7426" s="234"/>
    </row>
    <row r="7427">
      <c r="A7427" s="237"/>
      <c r="E7427" s="234"/>
    </row>
    <row r="7428">
      <c r="A7428" s="237"/>
      <c r="E7428" s="234"/>
    </row>
    <row r="7429">
      <c r="A7429" s="237"/>
      <c r="E7429" s="234"/>
    </row>
    <row r="7430">
      <c r="A7430" s="237"/>
      <c r="E7430" s="234"/>
    </row>
    <row r="7431">
      <c r="A7431" s="237"/>
      <c r="E7431" s="234"/>
    </row>
    <row r="7432">
      <c r="A7432" s="237"/>
      <c r="E7432" s="234"/>
    </row>
    <row r="7433">
      <c r="A7433" s="237"/>
      <c r="E7433" s="234"/>
    </row>
    <row r="7434">
      <c r="A7434" s="237"/>
      <c r="E7434" s="234"/>
    </row>
    <row r="7435">
      <c r="A7435" s="237"/>
      <c r="E7435" s="234"/>
    </row>
    <row r="7436">
      <c r="A7436" s="237"/>
      <c r="E7436" s="234"/>
    </row>
    <row r="7437">
      <c r="A7437" s="237"/>
      <c r="E7437" s="234"/>
    </row>
    <row r="7438">
      <c r="A7438" s="237"/>
      <c r="E7438" s="234"/>
    </row>
    <row r="7439">
      <c r="A7439" s="237"/>
      <c r="E7439" s="234"/>
    </row>
    <row r="7440">
      <c r="A7440" s="237"/>
      <c r="E7440" s="234"/>
    </row>
    <row r="7441">
      <c r="A7441" s="237"/>
      <c r="E7441" s="234"/>
    </row>
    <row r="7442">
      <c r="A7442" s="237"/>
      <c r="E7442" s="234"/>
    </row>
    <row r="7443">
      <c r="A7443" s="237"/>
      <c r="E7443" s="234"/>
    </row>
    <row r="7444">
      <c r="A7444" s="237"/>
      <c r="E7444" s="234"/>
    </row>
    <row r="7445">
      <c r="A7445" s="237"/>
      <c r="E7445" s="234"/>
    </row>
    <row r="7446">
      <c r="A7446" s="237"/>
      <c r="E7446" s="234"/>
    </row>
    <row r="7447">
      <c r="A7447" s="237"/>
      <c r="E7447" s="234"/>
    </row>
    <row r="7448">
      <c r="A7448" s="237"/>
      <c r="E7448" s="234"/>
    </row>
    <row r="7449">
      <c r="A7449" s="237"/>
      <c r="E7449" s="234"/>
    </row>
    <row r="7450">
      <c r="A7450" s="237"/>
      <c r="E7450" s="234"/>
    </row>
    <row r="7451">
      <c r="A7451" s="237"/>
      <c r="E7451" s="234"/>
    </row>
    <row r="7452">
      <c r="A7452" s="237"/>
      <c r="E7452" s="234"/>
    </row>
    <row r="7453">
      <c r="A7453" s="237"/>
      <c r="E7453" s="234"/>
    </row>
    <row r="7454">
      <c r="A7454" s="237"/>
      <c r="E7454" s="234"/>
    </row>
    <row r="7455">
      <c r="A7455" s="237"/>
      <c r="E7455" s="234"/>
    </row>
    <row r="7456">
      <c r="A7456" s="237"/>
      <c r="E7456" s="234"/>
    </row>
    <row r="7457">
      <c r="A7457" s="237"/>
      <c r="E7457" s="234"/>
    </row>
    <row r="7458">
      <c r="A7458" s="237"/>
      <c r="E7458" s="234"/>
    </row>
    <row r="7459">
      <c r="A7459" s="237"/>
      <c r="E7459" s="234"/>
    </row>
    <row r="7460">
      <c r="A7460" s="237"/>
      <c r="E7460" s="234"/>
    </row>
    <row r="7461">
      <c r="A7461" s="237"/>
      <c r="E7461" s="234"/>
    </row>
    <row r="7462">
      <c r="A7462" s="237"/>
      <c r="E7462" s="234"/>
    </row>
    <row r="7463">
      <c r="A7463" s="237"/>
      <c r="E7463" s="234"/>
    </row>
    <row r="7464">
      <c r="A7464" s="237"/>
      <c r="E7464" s="234"/>
    </row>
    <row r="7465">
      <c r="A7465" s="237"/>
      <c r="E7465" s="234"/>
    </row>
    <row r="7466">
      <c r="A7466" s="237"/>
      <c r="E7466" s="234"/>
    </row>
    <row r="7467">
      <c r="A7467" s="237"/>
      <c r="E7467" s="234"/>
    </row>
    <row r="7468">
      <c r="A7468" s="237"/>
      <c r="E7468" s="234"/>
    </row>
    <row r="7469">
      <c r="A7469" s="237"/>
      <c r="E7469" s="234"/>
    </row>
    <row r="7470">
      <c r="A7470" s="237"/>
      <c r="E7470" s="234"/>
    </row>
    <row r="7471">
      <c r="A7471" s="237"/>
      <c r="E7471" s="234"/>
    </row>
    <row r="7472">
      <c r="A7472" s="237"/>
      <c r="E7472" s="234"/>
    </row>
    <row r="7473">
      <c r="A7473" s="237"/>
      <c r="E7473" s="234"/>
    </row>
    <row r="7474">
      <c r="A7474" s="237"/>
      <c r="E7474" s="234"/>
    </row>
    <row r="7475">
      <c r="A7475" s="237"/>
      <c r="E7475" s="234"/>
    </row>
    <row r="7476">
      <c r="A7476" s="237"/>
      <c r="E7476" s="234"/>
    </row>
    <row r="7477">
      <c r="A7477" s="237"/>
      <c r="E7477" s="234"/>
    </row>
    <row r="7478">
      <c r="A7478" s="237"/>
      <c r="E7478" s="234"/>
    </row>
    <row r="7479">
      <c r="A7479" s="237"/>
      <c r="E7479" s="234"/>
    </row>
    <row r="7480">
      <c r="A7480" s="237"/>
      <c r="E7480" s="234"/>
    </row>
    <row r="7481">
      <c r="A7481" s="237"/>
      <c r="E7481" s="234"/>
    </row>
    <row r="7482">
      <c r="A7482" s="237"/>
      <c r="E7482" s="234"/>
    </row>
    <row r="7483">
      <c r="A7483" s="237"/>
      <c r="E7483" s="234"/>
    </row>
    <row r="7484">
      <c r="A7484" s="237"/>
      <c r="E7484" s="234"/>
    </row>
    <row r="7485">
      <c r="A7485" s="237"/>
      <c r="E7485" s="234"/>
    </row>
    <row r="7486">
      <c r="A7486" s="237"/>
      <c r="E7486" s="234"/>
    </row>
    <row r="7487">
      <c r="A7487" s="237"/>
      <c r="E7487" s="234"/>
    </row>
    <row r="7488">
      <c r="A7488" s="237"/>
      <c r="E7488" s="234"/>
    </row>
    <row r="7489">
      <c r="A7489" s="237"/>
      <c r="E7489" s="234"/>
    </row>
    <row r="7490">
      <c r="A7490" s="237"/>
      <c r="E7490" s="234"/>
    </row>
    <row r="7491">
      <c r="A7491" s="237"/>
      <c r="E7491" s="234"/>
    </row>
    <row r="7492">
      <c r="A7492" s="237"/>
      <c r="E7492" s="234"/>
    </row>
    <row r="7493">
      <c r="A7493" s="237"/>
      <c r="E7493" s="234"/>
    </row>
    <row r="7494">
      <c r="A7494" s="237"/>
      <c r="E7494" s="234"/>
    </row>
    <row r="7495">
      <c r="A7495" s="237"/>
      <c r="E7495" s="234"/>
    </row>
    <row r="7496">
      <c r="A7496" s="237"/>
      <c r="E7496" s="234"/>
    </row>
    <row r="7497">
      <c r="A7497" s="237"/>
      <c r="E7497" s="234"/>
    </row>
    <row r="7498">
      <c r="A7498" s="237"/>
      <c r="E7498" s="234"/>
    </row>
    <row r="7499">
      <c r="A7499" s="237"/>
      <c r="E7499" s="234"/>
    </row>
    <row r="7500">
      <c r="A7500" s="237"/>
      <c r="E7500" s="234"/>
    </row>
    <row r="7501">
      <c r="A7501" s="237"/>
      <c r="E7501" s="234"/>
    </row>
    <row r="7502">
      <c r="A7502" s="237"/>
      <c r="E7502" s="234"/>
    </row>
    <row r="7503">
      <c r="A7503" s="237"/>
      <c r="E7503" s="234"/>
    </row>
    <row r="7504">
      <c r="A7504" s="237"/>
      <c r="E7504" s="234"/>
    </row>
    <row r="7505">
      <c r="A7505" s="237"/>
      <c r="E7505" s="234"/>
    </row>
    <row r="7506">
      <c r="A7506" s="237"/>
      <c r="E7506" s="234"/>
    </row>
    <row r="7507">
      <c r="A7507" s="237"/>
      <c r="E7507" s="234"/>
    </row>
    <row r="7508">
      <c r="A7508" s="237"/>
      <c r="E7508" s="234"/>
    </row>
    <row r="7509">
      <c r="A7509" s="237"/>
      <c r="E7509" s="234"/>
    </row>
    <row r="7510">
      <c r="A7510" s="237"/>
      <c r="E7510" s="234"/>
    </row>
    <row r="7511">
      <c r="A7511" s="237"/>
      <c r="E7511" s="234"/>
    </row>
    <row r="7512">
      <c r="A7512" s="237"/>
      <c r="E7512" s="234"/>
    </row>
    <row r="7513">
      <c r="A7513" s="237"/>
      <c r="E7513" s="234"/>
    </row>
    <row r="7514">
      <c r="A7514" s="237"/>
      <c r="E7514" s="234"/>
    </row>
    <row r="7515">
      <c r="A7515" s="237"/>
      <c r="E7515" s="234"/>
    </row>
    <row r="7516">
      <c r="A7516" s="237"/>
      <c r="E7516" s="234"/>
    </row>
    <row r="7517">
      <c r="A7517" s="237"/>
      <c r="E7517" s="234"/>
    </row>
    <row r="7518">
      <c r="A7518" s="237"/>
      <c r="E7518" s="234"/>
    </row>
    <row r="7519">
      <c r="A7519" s="237"/>
      <c r="E7519" s="234"/>
    </row>
    <row r="7520">
      <c r="A7520" s="237"/>
      <c r="E7520" s="234"/>
    </row>
    <row r="7521">
      <c r="A7521" s="237"/>
      <c r="E7521" s="234"/>
    </row>
    <row r="7522">
      <c r="A7522" s="237"/>
      <c r="E7522" s="234"/>
    </row>
    <row r="7523">
      <c r="A7523" s="237"/>
      <c r="E7523" s="234"/>
    </row>
    <row r="7524">
      <c r="A7524" s="237"/>
      <c r="E7524" s="234"/>
    </row>
    <row r="7525">
      <c r="A7525" s="237"/>
      <c r="E7525" s="234"/>
    </row>
    <row r="7526">
      <c r="A7526" s="237"/>
      <c r="E7526" s="234"/>
    </row>
    <row r="7527">
      <c r="A7527" s="237"/>
      <c r="E7527" s="234"/>
    </row>
    <row r="7528">
      <c r="A7528" s="237"/>
      <c r="E7528" s="234"/>
    </row>
    <row r="7529">
      <c r="A7529" s="237"/>
      <c r="E7529" s="234"/>
    </row>
    <row r="7530">
      <c r="A7530" s="237"/>
      <c r="E7530" s="234"/>
    </row>
    <row r="7531">
      <c r="A7531" s="237"/>
      <c r="E7531" s="234"/>
    </row>
    <row r="7532">
      <c r="A7532" s="237"/>
      <c r="E7532" s="234"/>
    </row>
    <row r="7533">
      <c r="A7533" s="237"/>
      <c r="E7533" s="234"/>
    </row>
    <row r="7534">
      <c r="A7534" s="237"/>
      <c r="E7534" s="234"/>
    </row>
    <row r="7535">
      <c r="A7535" s="237"/>
      <c r="E7535" s="234"/>
    </row>
    <row r="7536">
      <c r="A7536" s="237"/>
      <c r="E7536" s="234"/>
    </row>
    <row r="7537">
      <c r="A7537" s="237"/>
      <c r="E7537" s="234"/>
    </row>
    <row r="7538">
      <c r="A7538" s="237"/>
      <c r="E7538" s="234"/>
    </row>
    <row r="7539">
      <c r="A7539" s="237"/>
      <c r="E7539" s="234"/>
    </row>
    <row r="7540">
      <c r="A7540" s="237"/>
      <c r="E7540" s="234"/>
    </row>
    <row r="7541">
      <c r="A7541" s="237"/>
      <c r="E7541" s="234"/>
    </row>
    <row r="7542">
      <c r="A7542" s="237"/>
      <c r="E7542" s="234"/>
    </row>
    <row r="7543">
      <c r="A7543" s="237"/>
      <c r="E7543" s="234"/>
    </row>
    <row r="7544">
      <c r="A7544" s="237"/>
      <c r="E7544" s="234"/>
    </row>
    <row r="7545">
      <c r="A7545" s="237"/>
      <c r="E7545" s="234"/>
    </row>
    <row r="7546">
      <c r="A7546" s="237"/>
      <c r="E7546" s="234"/>
    </row>
    <row r="7547">
      <c r="A7547" s="237"/>
      <c r="E7547" s="234"/>
    </row>
    <row r="7548">
      <c r="A7548" s="237"/>
      <c r="E7548" s="234"/>
    </row>
    <row r="7549">
      <c r="A7549" s="237"/>
      <c r="E7549" s="234"/>
    </row>
    <row r="7550">
      <c r="A7550" s="237"/>
      <c r="E7550" s="234"/>
    </row>
    <row r="7551">
      <c r="A7551" s="237"/>
      <c r="E7551" s="234"/>
    </row>
    <row r="7552">
      <c r="A7552" s="237"/>
      <c r="E7552" s="234"/>
    </row>
    <row r="7553">
      <c r="A7553" s="237"/>
      <c r="E7553" s="234"/>
    </row>
    <row r="7554">
      <c r="A7554" s="237"/>
      <c r="E7554" s="234"/>
    </row>
    <row r="7555">
      <c r="A7555" s="237"/>
      <c r="E7555" s="234"/>
    </row>
    <row r="7556">
      <c r="A7556" s="237"/>
      <c r="E7556" s="234"/>
    </row>
    <row r="7557">
      <c r="A7557" s="237"/>
      <c r="E7557" s="234"/>
    </row>
    <row r="7558">
      <c r="A7558" s="237"/>
      <c r="E7558" s="234"/>
    </row>
    <row r="7559">
      <c r="A7559" s="237"/>
      <c r="E7559" s="234"/>
    </row>
    <row r="7560">
      <c r="A7560" s="237"/>
      <c r="E7560" s="234"/>
    </row>
    <row r="7561">
      <c r="A7561" s="237"/>
      <c r="E7561" s="234"/>
    </row>
    <row r="7562">
      <c r="A7562" s="237"/>
      <c r="E7562" s="234"/>
    </row>
    <row r="7563">
      <c r="A7563" s="237"/>
      <c r="E7563" s="234"/>
    </row>
    <row r="7564">
      <c r="A7564" s="237"/>
      <c r="E7564" s="234"/>
    </row>
    <row r="7565">
      <c r="A7565" s="237"/>
      <c r="E7565" s="234"/>
    </row>
    <row r="7566">
      <c r="A7566" s="237"/>
      <c r="E7566" s="234"/>
    </row>
    <row r="7567">
      <c r="A7567" s="237"/>
      <c r="E7567" s="234"/>
    </row>
    <row r="7568">
      <c r="A7568" s="237"/>
      <c r="E7568" s="234"/>
    </row>
    <row r="7569">
      <c r="A7569" s="237"/>
      <c r="E7569" s="234"/>
    </row>
    <row r="7570">
      <c r="A7570" s="237"/>
      <c r="E7570" s="234"/>
    </row>
    <row r="7571">
      <c r="A7571" s="237"/>
      <c r="E7571" s="234"/>
    </row>
    <row r="7572">
      <c r="A7572" s="237"/>
      <c r="E7572" s="234"/>
    </row>
    <row r="7573">
      <c r="A7573" s="237"/>
      <c r="E7573" s="234"/>
    </row>
    <row r="7574">
      <c r="A7574" s="237"/>
      <c r="E7574" s="234"/>
    </row>
    <row r="7575">
      <c r="A7575" s="237"/>
      <c r="E7575" s="234"/>
    </row>
    <row r="7576">
      <c r="A7576" s="237"/>
      <c r="E7576" s="234"/>
    </row>
    <row r="7577">
      <c r="A7577" s="237"/>
      <c r="E7577" s="234"/>
    </row>
    <row r="7578">
      <c r="A7578" s="237"/>
      <c r="E7578" s="234"/>
    </row>
    <row r="7579">
      <c r="A7579" s="237"/>
      <c r="E7579" s="234"/>
    </row>
    <row r="7580">
      <c r="A7580" s="237"/>
      <c r="E7580" s="234"/>
    </row>
    <row r="7581">
      <c r="A7581" s="237"/>
      <c r="E7581" s="234"/>
    </row>
    <row r="7582">
      <c r="A7582" s="237"/>
      <c r="E7582" s="234"/>
    </row>
    <row r="7583">
      <c r="A7583" s="237"/>
      <c r="E7583" s="234"/>
    </row>
    <row r="7584">
      <c r="A7584" s="237"/>
      <c r="E7584" s="234"/>
    </row>
    <row r="7585">
      <c r="A7585" s="237"/>
      <c r="E7585" s="234"/>
    </row>
    <row r="7586">
      <c r="A7586" s="237"/>
      <c r="E7586" s="234"/>
    </row>
    <row r="7587">
      <c r="A7587" s="237"/>
      <c r="E7587" s="234"/>
    </row>
    <row r="7588">
      <c r="A7588" s="237"/>
      <c r="E7588" s="234"/>
    </row>
    <row r="7589">
      <c r="A7589" s="237"/>
      <c r="E7589" s="234"/>
    </row>
    <row r="7590">
      <c r="A7590" s="237"/>
      <c r="E7590" s="234"/>
    </row>
    <row r="7591">
      <c r="A7591" s="237"/>
      <c r="E7591" s="234"/>
    </row>
    <row r="7592">
      <c r="A7592" s="237"/>
      <c r="E7592" s="234"/>
    </row>
    <row r="7593">
      <c r="A7593" s="237"/>
      <c r="E7593" s="234"/>
    </row>
    <row r="7594">
      <c r="A7594" s="237"/>
      <c r="E7594" s="234"/>
    </row>
    <row r="7595">
      <c r="A7595" s="237"/>
      <c r="E7595" s="234"/>
    </row>
    <row r="7596">
      <c r="A7596" s="237"/>
      <c r="E7596" s="234"/>
    </row>
    <row r="7597">
      <c r="A7597" s="237"/>
      <c r="E7597" s="234"/>
    </row>
    <row r="7598">
      <c r="A7598" s="237"/>
      <c r="E7598" s="234"/>
    </row>
    <row r="7599">
      <c r="A7599" s="237"/>
      <c r="E7599" s="234"/>
    </row>
    <row r="7600">
      <c r="A7600" s="237"/>
      <c r="E7600" s="234"/>
    </row>
    <row r="7601">
      <c r="A7601" s="237"/>
      <c r="E7601" s="234"/>
    </row>
    <row r="7602">
      <c r="A7602" s="237"/>
      <c r="E7602" s="234"/>
    </row>
    <row r="7603">
      <c r="A7603" s="237"/>
      <c r="E7603" s="234"/>
    </row>
    <row r="7604">
      <c r="A7604" s="237"/>
      <c r="E7604" s="234"/>
    </row>
    <row r="7605">
      <c r="A7605" s="237"/>
      <c r="E7605" s="234"/>
    </row>
    <row r="7606">
      <c r="A7606" s="237"/>
      <c r="E7606" s="234"/>
    </row>
    <row r="7607">
      <c r="A7607" s="237"/>
      <c r="E7607" s="234"/>
    </row>
    <row r="7608">
      <c r="A7608" s="237"/>
      <c r="E7608" s="234"/>
    </row>
    <row r="7609">
      <c r="A7609" s="237"/>
      <c r="E7609" s="234"/>
    </row>
    <row r="7610">
      <c r="A7610" s="237"/>
      <c r="E7610" s="234"/>
    </row>
    <row r="7611">
      <c r="A7611" s="237"/>
      <c r="E7611" s="234"/>
    </row>
    <row r="7612">
      <c r="A7612" s="237"/>
      <c r="E7612" s="234"/>
    </row>
    <row r="7613">
      <c r="A7613" s="237"/>
      <c r="E7613" s="234"/>
    </row>
    <row r="7614">
      <c r="A7614" s="237"/>
      <c r="E7614" s="234"/>
    </row>
    <row r="7615">
      <c r="A7615" s="237"/>
      <c r="E7615" s="234"/>
    </row>
    <row r="7616">
      <c r="A7616" s="237"/>
      <c r="E7616" s="234"/>
    </row>
    <row r="7617">
      <c r="A7617" s="237"/>
      <c r="E7617" s="234"/>
    </row>
    <row r="7618">
      <c r="A7618" s="237"/>
      <c r="E7618" s="234"/>
    </row>
    <row r="7619">
      <c r="A7619" s="237"/>
      <c r="E7619" s="234"/>
    </row>
    <row r="7620">
      <c r="A7620" s="237"/>
      <c r="E7620" s="234"/>
    </row>
    <row r="7621">
      <c r="A7621" s="237"/>
      <c r="E7621" s="234"/>
    </row>
    <row r="7622">
      <c r="A7622" s="237"/>
      <c r="E7622" s="234"/>
    </row>
    <row r="7623">
      <c r="A7623" s="237"/>
      <c r="E7623" s="234"/>
    </row>
    <row r="7624">
      <c r="A7624" s="237"/>
      <c r="E7624" s="234"/>
    </row>
    <row r="7625">
      <c r="A7625" s="237"/>
      <c r="E7625" s="234"/>
    </row>
    <row r="7626">
      <c r="A7626" s="237"/>
      <c r="E7626" s="234"/>
    </row>
    <row r="7627">
      <c r="A7627" s="237"/>
      <c r="E7627" s="234"/>
    </row>
    <row r="7628">
      <c r="A7628" s="237"/>
      <c r="E7628" s="234"/>
    </row>
    <row r="7629">
      <c r="A7629" s="237"/>
      <c r="E7629" s="234"/>
    </row>
    <row r="7630">
      <c r="A7630" s="237"/>
      <c r="E7630" s="234"/>
    </row>
    <row r="7631">
      <c r="A7631" s="237"/>
      <c r="E7631" s="234"/>
    </row>
    <row r="7632">
      <c r="A7632" s="237"/>
      <c r="E7632" s="234"/>
    </row>
    <row r="7633">
      <c r="A7633" s="237"/>
      <c r="E7633" s="234"/>
    </row>
    <row r="7634">
      <c r="A7634" s="237"/>
      <c r="E7634" s="234"/>
    </row>
    <row r="7635">
      <c r="A7635" s="237"/>
      <c r="E7635" s="234"/>
    </row>
    <row r="7636">
      <c r="A7636" s="237"/>
      <c r="E7636" s="234"/>
    </row>
    <row r="7637">
      <c r="A7637" s="237"/>
      <c r="E7637" s="234"/>
    </row>
    <row r="7638">
      <c r="A7638" s="237"/>
      <c r="E7638" s="234"/>
    </row>
    <row r="7639">
      <c r="A7639" s="237"/>
      <c r="E7639" s="234"/>
    </row>
    <row r="7640">
      <c r="A7640" s="237"/>
      <c r="E7640" s="234"/>
    </row>
    <row r="7641">
      <c r="A7641" s="237"/>
      <c r="E7641" s="234"/>
    </row>
    <row r="7642">
      <c r="A7642" s="237"/>
      <c r="E7642" s="234"/>
    </row>
    <row r="7643">
      <c r="A7643" s="237"/>
      <c r="E7643" s="234"/>
    </row>
    <row r="7644">
      <c r="A7644" s="237"/>
      <c r="E7644" s="234"/>
    </row>
    <row r="7645">
      <c r="A7645" s="237"/>
      <c r="E7645" s="234"/>
    </row>
    <row r="7646">
      <c r="A7646" s="237"/>
      <c r="E7646" s="234"/>
    </row>
    <row r="7647">
      <c r="A7647" s="237"/>
      <c r="E7647" s="234"/>
    </row>
    <row r="7648">
      <c r="A7648" s="237"/>
      <c r="E7648" s="234"/>
    </row>
    <row r="7649">
      <c r="A7649" s="237"/>
      <c r="E7649" s="234"/>
    </row>
    <row r="7650">
      <c r="A7650" s="237"/>
      <c r="E7650" s="234"/>
    </row>
    <row r="7651">
      <c r="A7651" s="237"/>
      <c r="E7651" s="234"/>
    </row>
    <row r="7652">
      <c r="A7652" s="237"/>
      <c r="E7652" s="234"/>
    </row>
    <row r="7653">
      <c r="A7653" s="237"/>
      <c r="E7653" s="234"/>
    </row>
    <row r="7654">
      <c r="A7654" s="237"/>
      <c r="E7654" s="234"/>
    </row>
    <row r="7655">
      <c r="A7655" s="237"/>
      <c r="E7655" s="234"/>
    </row>
    <row r="7656">
      <c r="A7656" s="237"/>
      <c r="E7656" s="234"/>
    </row>
    <row r="7657">
      <c r="A7657" s="237"/>
      <c r="E7657" s="234"/>
    </row>
    <row r="7658">
      <c r="A7658" s="237"/>
      <c r="E7658" s="234"/>
    </row>
    <row r="7659">
      <c r="A7659" s="237"/>
      <c r="E7659" s="234"/>
    </row>
    <row r="7660">
      <c r="A7660" s="237"/>
      <c r="E7660" s="234"/>
    </row>
    <row r="7661">
      <c r="A7661" s="237"/>
      <c r="E7661" s="234"/>
    </row>
    <row r="7662">
      <c r="A7662" s="237"/>
      <c r="E7662" s="234"/>
    </row>
    <row r="7663">
      <c r="A7663" s="237"/>
      <c r="E7663" s="234"/>
    </row>
    <row r="7664">
      <c r="A7664" s="237"/>
      <c r="E7664" s="234"/>
    </row>
    <row r="7665">
      <c r="A7665" s="237"/>
      <c r="E7665" s="234"/>
    </row>
    <row r="7666">
      <c r="A7666" s="237"/>
      <c r="E7666" s="234"/>
    </row>
    <row r="7667">
      <c r="A7667" s="237"/>
      <c r="E7667" s="234"/>
    </row>
    <row r="7668">
      <c r="A7668" s="237"/>
      <c r="E7668" s="234"/>
    </row>
    <row r="7669">
      <c r="A7669" s="237"/>
      <c r="E7669" s="234"/>
    </row>
    <row r="7670">
      <c r="A7670" s="237"/>
      <c r="E7670" s="234"/>
    </row>
    <row r="7671">
      <c r="A7671" s="237"/>
      <c r="E7671" s="234"/>
    </row>
    <row r="7672">
      <c r="A7672" s="237"/>
      <c r="E7672" s="234"/>
    </row>
    <row r="7673">
      <c r="A7673" s="237"/>
      <c r="E7673" s="234"/>
    </row>
    <row r="7674">
      <c r="A7674" s="237"/>
      <c r="E7674" s="234"/>
    </row>
    <row r="7675">
      <c r="A7675" s="237"/>
      <c r="E7675" s="234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38"/>
    <col customWidth="1" min="3" max="3" width="34.63"/>
    <col customWidth="1" min="4" max="4" width="2.13"/>
    <col customWidth="1" min="5" max="6" width="5.38"/>
    <col customWidth="1" min="7" max="7" width="34.63"/>
    <col customWidth="1" min="8" max="8" width="2.13"/>
    <col customWidth="1" min="9" max="10" width="5.38"/>
    <col customWidth="1" min="11" max="11" width="34.63"/>
    <col customWidth="1" min="12" max="12" width="2.13"/>
    <col customWidth="1" min="13" max="13" width="6.38"/>
    <col customWidth="1" min="14" max="14" width="34.63"/>
    <col customWidth="1" min="16" max="16" width="36.13"/>
  </cols>
  <sheetData>
    <row r="1">
      <c r="A1" s="75" t="s">
        <v>10267</v>
      </c>
      <c r="D1" s="11"/>
      <c r="E1" s="75" t="s">
        <v>10268</v>
      </c>
      <c r="H1" s="11"/>
      <c r="I1" s="75" t="s">
        <v>10269</v>
      </c>
      <c r="L1" s="11"/>
      <c r="M1" s="75" t="s">
        <v>10270</v>
      </c>
      <c r="O1" s="242"/>
    </row>
    <row r="2">
      <c r="A2" s="243" t="s">
        <v>7</v>
      </c>
      <c r="B2" s="243" t="s">
        <v>8</v>
      </c>
      <c r="C2" s="244" t="s">
        <v>10271</v>
      </c>
      <c r="E2" s="243" t="s">
        <v>11</v>
      </c>
      <c r="F2" s="243" t="s">
        <v>8</v>
      </c>
      <c r="G2" s="243" t="s">
        <v>10271</v>
      </c>
      <c r="I2" s="243" t="s">
        <v>11</v>
      </c>
      <c r="J2" s="243" t="s">
        <v>8</v>
      </c>
      <c r="K2" s="243" t="s">
        <v>10271</v>
      </c>
      <c r="M2" s="243"/>
      <c r="N2" s="243"/>
      <c r="O2" s="242"/>
    </row>
    <row r="3" ht="97.5" customHeight="1">
      <c r="A3" s="245">
        <f>IFERROR(__xludf.DUMMYFUNCTION("SORT(FILTER({Entries!C2:C926, Entries!L2:L926, Entries!K2:K926}, (Entries!C2:C926&gt;=LARGE(Entries!C2:C926, 20))), 1,0)"),245.0)</f>
        <v>245</v>
      </c>
      <c r="B3" s="246">
        <f>IFERROR(__xludf.DUMMYFUNCTION("""COMPUTED_VALUE"""),0.0)</f>
        <v>0</v>
      </c>
      <c r="C3" s="23" t="str">
        <f>IFERROR(__xludf.DUMMYFUNCTION("""COMPUTED_VALUE"""),"")</f>
        <v/>
      </c>
      <c r="E3" s="247">
        <f>IFERROR(__xludf.DUMMYFUNCTION("SORT(FILTER({Entries!F2:F926, Entries!L2:L926, Entries!K2:K926}, (Entries!F2:F926&gt;=LARGE(Entries!F2:F926, 20)), Entries!F2:F926&lt;&gt;""0""),1,0)"),1096.6441269841268)</f>
        <v>1096.644127</v>
      </c>
      <c r="F3" s="246">
        <f>IFERROR(__xludf.DUMMYFUNCTION("""COMPUTED_VALUE"""),0.0)</f>
        <v>0</v>
      </c>
      <c r="G3" s="23" t="str">
        <f>IFERROR(__xludf.DUMMYFUNCTION("""COMPUTED_VALUE"""),"")</f>
        <v/>
      </c>
      <c r="I3" s="247">
        <f>IFERROR(__xludf.DUMMYFUNCTION("SORT(FILTER({Entries!E2:E926, Entries!L2:L926, Entries!K2:K926}, Entries!E2:E926&gt;=LARGE(Entries!E2:E926, 20), Entries!E2:E926&lt;&gt;""0""), 1,0)"),22.12)</f>
        <v>22.12</v>
      </c>
      <c r="J3" s="246">
        <f>IFERROR(__xludf.DUMMYFUNCTION("""COMPUTED_VALUE"""),0.0)</f>
        <v>0</v>
      </c>
      <c r="K3" s="23" t="str">
        <f>IFERROR(__xludf.DUMMYFUNCTION("""COMPUTED_VALUE"""),"")</f>
        <v/>
      </c>
      <c r="M3" s="248">
        <f>IFERROR(__xludf.DUMMYFUNCTION("SORT(FILTER({Inventory!G2:G926, Inventory!N2:N926, Inventory!A2:A926}, Inventory!G2:G926&gt;=LARGE(Inventory!G2:G926, 20), Inventory!J2:J926=""Closed""), 1,0)"),44.3)</f>
        <v>44.3</v>
      </c>
      <c r="N3" s="23" t="str">
        <f>IFERROR(__xludf.DUMMYFUNCTION("""COMPUTED_VALUE"""),"")</f>
        <v/>
      </c>
      <c r="O3" s="242" t="str">
        <f>IFERROR(__xludf.DUMMYFUNCTION("""COMPUTED_VALUE"""),"Horizon Forbidden West: Complete Edition")</f>
        <v>Horizon Forbidden West: Complete Edition</v>
      </c>
    </row>
    <row r="4" ht="97.5" customHeight="1">
      <c r="A4" s="245">
        <f>IFERROR(__xludf.DUMMYFUNCTION("""COMPUTED_VALUE"""),206.0)</f>
        <v>206</v>
      </c>
      <c r="B4" s="246">
        <f>IFERROR(__xludf.DUMMYFUNCTION("""COMPUTED_VALUE"""),1.0)</f>
        <v>1</v>
      </c>
      <c r="C4" s="23" t="str">
        <f>IFERROR(__xludf.DUMMYFUNCTION("""COMPUTED_VALUE"""),"")</f>
        <v/>
      </c>
      <c r="E4" s="247">
        <f>IFERROR(__xludf.DUMMYFUNCTION("""COMPUTED_VALUE"""),778.4199999999998)</f>
        <v>778.42</v>
      </c>
      <c r="F4" s="246">
        <f>IFERROR(__xludf.DUMMYFUNCTION("""COMPUTED_VALUE"""),1.0)</f>
        <v>1</v>
      </c>
      <c r="G4" s="23" t="str">
        <f>IFERROR(__xludf.DUMMYFUNCTION("""COMPUTED_VALUE"""),"")</f>
        <v/>
      </c>
      <c r="I4" s="247">
        <f>IFERROR(__xludf.DUMMYFUNCTION("""COMPUTED_VALUE"""),21.12)</f>
        <v>21.12</v>
      </c>
      <c r="J4" s="246">
        <f>IFERROR(__xludf.DUMMYFUNCTION("""COMPUTED_VALUE"""),0.0)</f>
        <v>0</v>
      </c>
      <c r="K4" s="23" t="str">
        <f>IFERROR(__xludf.DUMMYFUNCTION("""COMPUTED_VALUE"""),"")</f>
        <v/>
      </c>
      <c r="M4" s="248">
        <f>IFERROR(__xludf.DUMMYFUNCTION("""COMPUTED_VALUE"""),31.409999999999997)</f>
        <v>31.41</v>
      </c>
      <c r="N4" s="23" t="str">
        <f>IFERROR(__xludf.DUMMYFUNCTION("""COMPUTED_VALUE"""),"")</f>
        <v/>
      </c>
      <c r="O4" s="242" t="str">
        <f>IFERROR(__xludf.DUMMYFUNCTION("""COMPUTED_VALUE"""),"Football Manager 2024 EU")</f>
        <v>Football Manager 2024 EU</v>
      </c>
    </row>
    <row r="5" ht="97.5" customHeight="1">
      <c r="A5" s="245">
        <f>IFERROR(__xludf.DUMMYFUNCTION("""COMPUTED_VALUE"""),201.0)</f>
        <v>201</v>
      </c>
      <c r="B5" s="246">
        <f>IFERROR(__xludf.DUMMYFUNCTION("""COMPUTED_VALUE"""),0.0)</f>
        <v>0</v>
      </c>
      <c r="C5" s="23" t="str">
        <f>IFERROR(__xludf.DUMMYFUNCTION("""COMPUTED_VALUE"""),"")</f>
        <v/>
      </c>
      <c r="E5" s="247">
        <f>IFERROR(__xludf.DUMMYFUNCTION("""COMPUTED_VALUE"""),699.95)</f>
        <v>699.95</v>
      </c>
      <c r="F5" s="246">
        <f>IFERROR(__xludf.DUMMYFUNCTION("""COMPUTED_VALUE"""),0.0)</f>
        <v>0</v>
      </c>
      <c r="G5" s="23" t="str">
        <f>IFERROR(__xludf.DUMMYFUNCTION("""COMPUTED_VALUE"""),"")</f>
        <v/>
      </c>
      <c r="I5" s="247">
        <f>IFERROR(__xludf.DUMMYFUNCTION("""COMPUTED_VALUE"""),21.05)</f>
        <v>21.05</v>
      </c>
      <c r="J5" s="246">
        <f>IFERROR(__xludf.DUMMYFUNCTION("""COMPUTED_VALUE"""),0.0)</f>
        <v>0</v>
      </c>
      <c r="K5" s="23" t="str">
        <f>IFERROR(__xludf.DUMMYFUNCTION("""COMPUTED_VALUE"""),"")</f>
        <v/>
      </c>
      <c r="M5" s="248">
        <f>IFERROR(__xludf.DUMMYFUNCTION("""COMPUTED_VALUE"""),31.409999999999997)</f>
        <v>31.41</v>
      </c>
      <c r="N5" s="23" t="str">
        <f>IFERROR(__xludf.DUMMYFUNCTION("""COMPUTED_VALUE"""),"")</f>
        <v/>
      </c>
      <c r="O5" s="242" t="str">
        <f>IFERROR(__xludf.DUMMYFUNCTION("""COMPUTED_VALUE"""),"Football Manager 2024 EU")</f>
        <v>Football Manager 2024 EU</v>
      </c>
    </row>
    <row r="6" ht="97.5" customHeight="1">
      <c r="A6" s="245">
        <f>IFERROR(__xludf.DUMMYFUNCTION("""COMPUTED_VALUE"""),168.0)</f>
        <v>168</v>
      </c>
      <c r="B6" s="246">
        <f>IFERROR(__xludf.DUMMYFUNCTION("""COMPUTED_VALUE"""),0.0)</f>
        <v>0</v>
      </c>
      <c r="C6" s="23" t="str">
        <f>IFERROR(__xludf.DUMMYFUNCTION("""COMPUTED_VALUE"""),"")</f>
        <v/>
      </c>
      <c r="E6" s="247">
        <f>IFERROR(__xludf.DUMMYFUNCTION("""COMPUTED_VALUE"""),648.56)</f>
        <v>648.56</v>
      </c>
      <c r="F6" s="246">
        <f>IFERROR(__xludf.DUMMYFUNCTION("""COMPUTED_VALUE"""),0.0)</f>
        <v>0</v>
      </c>
      <c r="G6" s="23" t="str">
        <f>IFERROR(__xludf.DUMMYFUNCTION("""COMPUTED_VALUE"""),"")</f>
        <v/>
      </c>
      <c r="I6" s="247">
        <f>IFERROR(__xludf.DUMMYFUNCTION("""COMPUTED_VALUE"""),20.81)</f>
        <v>20.81</v>
      </c>
      <c r="J6" s="246">
        <f>IFERROR(__xludf.DUMMYFUNCTION("""COMPUTED_VALUE"""),1.0)</f>
        <v>1</v>
      </c>
      <c r="K6" s="23" t="str">
        <f>IFERROR(__xludf.DUMMYFUNCTION("""COMPUTED_VALUE"""),"")</f>
        <v/>
      </c>
      <c r="M6" s="248">
        <f>IFERROR(__xludf.DUMMYFUNCTION("""COMPUTED_VALUE"""),31.379999999999995)</f>
        <v>31.38</v>
      </c>
      <c r="N6" s="23" t="str">
        <f>IFERROR(__xludf.DUMMYFUNCTION("""COMPUTED_VALUE"""),"")</f>
        <v/>
      </c>
      <c r="O6" s="242" t="str">
        <f>IFERROR(__xludf.DUMMYFUNCTION("""COMPUTED_VALUE"""),"Football Manager 2024 EU")</f>
        <v>Football Manager 2024 EU</v>
      </c>
    </row>
    <row r="7" ht="97.5" customHeight="1">
      <c r="A7" s="245">
        <f>IFERROR(__xludf.DUMMYFUNCTION("""COMPUTED_VALUE"""),140.0)</f>
        <v>140</v>
      </c>
      <c r="B7" s="246">
        <f>IFERROR(__xludf.DUMMYFUNCTION("""COMPUTED_VALUE"""),0.0)</f>
        <v>0</v>
      </c>
      <c r="C7" s="23" t="str">
        <f>IFERROR(__xludf.DUMMYFUNCTION("""COMPUTED_VALUE"""),"")</f>
        <v/>
      </c>
      <c r="E7" s="247">
        <f>IFERROR(__xludf.DUMMYFUNCTION("""COMPUTED_VALUE"""),612.6999999999997)</f>
        <v>612.7</v>
      </c>
      <c r="F7" s="246">
        <f>IFERROR(__xludf.DUMMYFUNCTION("""COMPUTED_VALUE"""),0.0)</f>
        <v>0</v>
      </c>
      <c r="G7" s="23" t="str">
        <f>IFERROR(__xludf.DUMMYFUNCTION("""COMPUTED_VALUE"""),"")</f>
        <v/>
      </c>
      <c r="I7" s="247">
        <f>IFERROR(__xludf.DUMMYFUNCTION("""COMPUTED_VALUE"""),20.169999999999998)</f>
        <v>20.17</v>
      </c>
      <c r="J7" s="246">
        <f>IFERROR(__xludf.DUMMYFUNCTION("""COMPUTED_VALUE"""),0.0)</f>
        <v>0</v>
      </c>
      <c r="K7" s="23" t="str">
        <f>IFERROR(__xludf.DUMMYFUNCTION("""COMPUTED_VALUE"""),"")</f>
        <v/>
      </c>
      <c r="M7" s="248">
        <f>IFERROR(__xludf.DUMMYFUNCTION("""COMPUTED_VALUE"""),30.319999999999997)</f>
        <v>30.32</v>
      </c>
      <c r="N7" s="23" t="str">
        <f>IFERROR(__xludf.DUMMYFUNCTION("""COMPUTED_VALUE"""),"")</f>
        <v/>
      </c>
      <c r="O7" s="242" t="str">
        <f>IFERROR(__xludf.DUMMYFUNCTION("""COMPUTED_VALUE"""),"Windrose")</f>
        <v>Windrose</v>
      </c>
    </row>
    <row r="8" ht="97.5" customHeight="1">
      <c r="A8" s="245">
        <f>IFERROR(__xludf.DUMMYFUNCTION("""COMPUTED_VALUE"""),131.0)</f>
        <v>131</v>
      </c>
      <c r="B8" s="246">
        <f>IFERROR(__xludf.DUMMYFUNCTION("""COMPUTED_VALUE"""),1.0)</f>
        <v>1</v>
      </c>
      <c r="C8" s="23" t="str">
        <f>IFERROR(__xludf.DUMMYFUNCTION("""COMPUTED_VALUE"""),"")</f>
        <v/>
      </c>
      <c r="E8" s="247">
        <f>IFERROR(__xludf.DUMMYFUNCTION("""COMPUTED_VALUE"""),505.1299999999996)</f>
        <v>505.13</v>
      </c>
      <c r="F8" s="246">
        <f>IFERROR(__xludf.DUMMYFUNCTION("""COMPUTED_VALUE"""),1.0)</f>
        <v>1</v>
      </c>
      <c r="G8" s="23" t="str">
        <f>IFERROR(__xludf.DUMMYFUNCTION("""COMPUTED_VALUE"""),"")</f>
        <v/>
      </c>
      <c r="I8" s="247">
        <f>IFERROR(__xludf.DUMMYFUNCTION("""COMPUTED_VALUE"""),16.475)</f>
        <v>16.475</v>
      </c>
      <c r="J8" s="246">
        <f>IFERROR(__xludf.DUMMYFUNCTION("""COMPUTED_VALUE"""),0.0)</f>
        <v>0</v>
      </c>
      <c r="K8" s="23" t="str">
        <f>IFERROR(__xludf.DUMMYFUNCTION("""COMPUTED_VALUE"""),"")</f>
        <v/>
      </c>
      <c r="M8" s="248">
        <f>IFERROR(__xludf.DUMMYFUNCTION("""COMPUTED_VALUE"""),29.819999999999997)</f>
        <v>29.82</v>
      </c>
      <c r="N8" s="23" t="str">
        <f>IFERROR(__xludf.DUMMYFUNCTION("""COMPUTED_VALUE"""),"")</f>
        <v/>
      </c>
      <c r="O8" s="242" t="str">
        <f>IFERROR(__xludf.DUMMYFUNCTION("""COMPUTED_VALUE"""),"Windrose")</f>
        <v>Windrose</v>
      </c>
    </row>
    <row r="9" ht="97.5" customHeight="1">
      <c r="A9" s="245">
        <f>IFERROR(__xludf.DUMMYFUNCTION("""COMPUTED_VALUE"""),125.0)</f>
        <v>125</v>
      </c>
      <c r="B9" s="246">
        <f>IFERROR(__xludf.DUMMYFUNCTION("""COMPUTED_VALUE"""),1.0)</f>
        <v>1</v>
      </c>
      <c r="C9" s="23" t="str">
        <f>IFERROR(__xludf.DUMMYFUNCTION("""COMPUTED_VALUE"""),"")</f>
        <v/>
      </c>
      <c r="E9" s="247">
        <f>IFERROR(__xludf.DUMMYFUNCTION("""COMPUTED_VALUE"""),487.72999999999996)</f>
        <v>487.73</v>
      </c>
      <c r="F9" s="246">
        <f>IFERROR(__xludf.DUMMYFUNCTION("""COMPUTED_VALUE"""),0.0)</f>
        <v>0</v>
      </c>
      <c r="G9" s="23" t="str">
        <f>IFERROR(__xludf.DUMMYFUNCTION("""COMPUTED_VALUE"""),"")</f>
        <v/>
      </c>
      <c r="I9" s="247">
        <f>IFERROR(__xludf.DUMMYFUNCTION("""COMPUTED_VALUE"""),14.91)</f>
        <v>14.91</v>
      </c>
      <c r="J9" s="246">
        <f>IFERROR(__xludf.DUMMYFUNCTION("""COMPUTED_VALUE"""),0.0)</f>
        <v>0</v>
      </c>
      <c r="K9" s="23" t="str">
        <f>IFERROR(__xludf.DUMMYFUNCTION("""COMPUTED_VALUE"""),"")</f>
        <v/>
      </c>
      <c r="M9" s="248">
        <f>IFERROR(__xludf.DUMMYFUNCTION("""COMPUTED_VALUE"""),27.6)</f>
        <v>27.6</v>
      </c>
      <c r="N9" s="23" t="str">
        <f>IFERROR(__xludf.DUMMYFUNCTION("""COMPUTED_VALUE"""),"")</f>
        <v/>
      </c>
      <c r="O9" s="242" t="str">
        <f>IFERROR(__xludf.DUMMYFUNCTION("""COMPUTED_VALUE"""),"Company of Heroes 3 EU")</f>
        <v>Company of Heroes 3 EU</v>
      </c>
    </row>
    <row r="10" ht="97.5" customHeight="1">
      <c r="A10" s="245">
        <f>IFERROR(__xludf.DUMMYFUNCTION("""COMPUTED_VALUE"""),122.0)</f>
        <v>122</v>
      </c>
      <c r="B10" s="246">
        <f>IFERROR(__xludf.DUMMYFUNCTION("""COMPUTED_VALUE"""),0.0)</f>
        <v>0</v>
      </c>
      <c r="C10" s="23" t="str">
        <f>IFERROR(__xludf.DUMMYFUNCTION("""COMPUTED_VALUE"""),"")</f>
        <v/>
      </c>
      <c r="E10" s="247">
        <f>IFERROR(__xludf.DUMMYFUNCTION("""COMPUTED_VALUE"""),482.0800000000001)</f>
        <v>482.08</v>
      </c>
      <c r="F10" s="246">
        <f>IFERROR(__xludf.DUMMYFUNCTION("""COMPUTED_VALUE"""),0.0)</f>
        <v>0</v>
      </c>
      <c r="G10" s="23" t="str">
        <f>IFERROR(__xludf.DUMMYFUNCTION("""COMPUTED_VALUE"""),"")</f>
        <v/>
      </c>
      <c r="I10" s="247">
        <f>IFERROR(__xludf.DUMMYFUNCTION("""COMPUTED_VALUE"""),12.61)</f>
        <v>12.61</v>
      </c>
      <c r="J10" s="246">
        <f>IFERROR(__xludf.DUMMYFUNCTION("""COMPUTED_VALUE"""),0.0)</f>
        <v>0</v>
      </c>
      <c r="K10" s="23" t="str">
        <f>IFERROR(__xludf.DUMMYFUNCTION("""COMPUTED_VALUE"""),"")</f>
        <v/>
      </c>
      <c r="M10" s="248">
        <f>IFERROR(__xludf.DUMMYFUNCTION("""COMPUTED_VALUE"""),27.259999999999998)</f>
        <v>27.26</v>
      </c>
      <c r="N10" s="23" t="str">
        <f>IFERROR(__xludf.DUMMYFUNCTION("""COMPUTED_VALUE"""),"")</f>
        <v/>
      </c>
      <c r="O10" s="242" t="str">
        <f>IFERROR(__xludf.DUMMYFUNCTION("""COMPUTED_VALUE"""),"Train Sim World 6 Special Edition")</f>
        <v>Train Sim World 6 Special Edition</v>
      </c>
    </row>
    <row r="11" ht="97.5" customHeight="1">
      <c r="A11" s="245">
        <f>IFERROR(__xludf.DUMMYFUNCTION("""COMPUTED_VALUE"""),113.0)</f>
        <v>113</v>
      </c>
      <c r="B11" s="246">
        <f>IFERROR(__xludf.DUMMYFUNCTION("""COMPUTED_VALUE"""),0.0)</f>
        <v>0</v>
      </c>
      <c r="C11" s="23" t="str">
        <f>IFERROR(__xludf.DUMMYFUNCTION("""COMPUTED_VALUE"""),"")</f>
        <v/>
      </c>
      <c r="E11" s="247">
        <f>IFERROR(__xludf.DUMMYFUNCTION("""COMPUTED_VALUE"""),473.21000000000004)</f>
        <v>473.21</v>
      </c>
      <c r="F11" s="246">
        <f>IFERROR(__xludf.DUMMYFUNCTION("""COMPUTED_VALUE"""),0.0)</f>
        <v>0</v>
      </c>
      <c r="G11" s="23" t="str">
        <f>IFERROR(__xludf.DUMMYFUNCTION("""COMPUTED_VALUE"""),"")</f>
        <v/>
      </c>
      <c r="I11" s="247">
        <f>IFERROR(__xludf.DUMMYFUNCTION("""COMPUTED_VALUE"""),12.38)</f>
        <v>12.38</v>
      </c>
      <c r="J11" s="246">
        <f>IFERROR(__xludf.DUMMYFUNCTION("""COMPUTED_VALUE"""),0.0)</f>
        <v>0</v>
      </c>
      <c r="K11" s="23" t="str">
        <f>IFERROR(__xludf.DUMMYFUNCTION("""COMPUTED_VALUE"""),"")</f>
        <v/>
      </c>
      <c r="M11" s="248">
        <f>IFERROR(__xludf.DUMMYFUNCTION("""COMPUTED_VALUE"""),25.72)</f>
        <v>25.72</v>
      </c>
      <c r="N11" s="23" t="str">
        <f>IFERROR(__xludf.DUMMYFUNCTION("""COMPUTED_VALUE"""),"")</f>
        <v/>
      </c>
      <c r="O11" s="242" t="str">
        <f>IFERROR(__xludf.DUMMYFUNCTION("""COMPUTED_VALUE"""),"Company of Heroes 3 EU")</f>
        <v>Company of Heroes 3 EU</v>
      </c>
    </row>
    <row r="12" ht="97.5" customHeight="1">
      <c r="A12" s="245">
        <f>IFERROR(__xludf.DUMMYFUNCTION("""COMPUTED_VALUE"""),95.0)</f>
        <v>95</v>
      </c>
      <c r="B12" s="246">
        <f>IFERROR(__xludf.DUMMYFUNCTION("""COMPUTED_VALUE"""),0.0)</f>
        <v>0</v>
      </c>
      <c r="C12" s="23" t="str">
        <f>IFERROR(__xludf.DUMMYFUNCTION("""COMPUTED_VALUE"""),"")</f>
        <v/>
      </c>
      <c r="E12" s="247">
        <f>IFERROR(__xludf.DUMMYFUNCTION("""COMPUTED_VALUE"""),412.74999999999983)</f>
        <v>412.75</v>
      </c>
      <c r="F12" s="246">
        <f>IFERROR(__xludf.DUMMYFUNCTION("""COMPUTED_VALUE"""),1.0)</f>
        <v>1</v>
      </c>
      <c r="G12" s="23" t="str">
        <f>IFERROR(__xludf.DUMMYFUNCTION("""COMPUTED_VALUE"""),"")</f>
        <v/>
      </c>
      <c r="I12" s="247">
        <f>IFERROR(__xludf.DUMMYFUNCTION("""COMPUTED_VALUE"""),12.344)</f>
        <v>12.344</v>
      </c>
      <c r="J12" s="246">
        <f>IFERROR(__xludf.DUMMYFUNCTION("""COMPUTED_VALUE"""),0.0)</f>
        <v>0</v>
      </c>
      <c r="K12" s="23" t="str">
        <f>IFERROR(__xludf.DUMMYFUNCTION("""COMPUTED_VALUE"""),"")</f>
        <v/>
      </c>
      <c r="M12" s="248">
        <f>IFERROR(__xludf.DUMMYFUNCTION("""COMPUTED_VALUE"""),23.96)</f>
        <v>23.96</v>
      </c>
      <c r="N12" s="23" t="str">
        <f>IFERROR(__xludf.DUMMYFUNCTION("""COMPUTED_VALUE"""),"")</f>
        <v/>
      </c>
      <c r="O12" s="242" t="str">
        <f>IFERROR(__xludf.DUMMYFUNCTION("""COMPUTED_VALUE"""),"Sid Meier's Civilization VII Deluxe Edition EU")</f>
        <v>Sid Meier's Civilization VII Deluxe Edition EU</v>
      </c>
    </row>
    <row r="13" ht="97.5" customHeight="1">
      <c r="A13" s="245">
        <f>IFERROR(__xludf.DUMMYFUNCTION("""COMPUTED_VALUE"""),92.0)</f>
        <v>92</v>
      </c>
      <c r="B13" s="246">
        <f>IFERROR(__xludf.DUMMYFUNCTION("""COMPUTED_VALUE"""),0.0)</f>
        <v>0</v>
      </c>
      <c r="C13" s="23" t="str">
        <f>IFERROR(__xludf.DUMMYFUNCTION("""COMPUTED_VALUE"""),"")</f>
        <v/>
      </c>
      <c r="E13" s="247">
        <f>IFERROR(__xludf.DUMMYFUNCTION("""COMPUTED_VALUE"""),393.7300000000001)</f>
        <v>393.73</v>
      </c>
      <c r="F13" s="246">
        <f>IFERROR(__xludf.DUMMYFUNCTION("""COMPUTED_VALUE"""),0.0)</f>
        <v>0</v>
      </c>
      <c r="G13" s="23" t="str">
        <f>IFERROR(__xludf.DUMMYFUNCTION("""COMPUTED_VALUE"""),"")</f>
        <v/>
      </c>
      <c r="I13" s="247">
        <f>IFERROR(__xludf.DUMMYFUNCTION("""COMPUTED_VALUE"""),12.263181818181819)</f>
        <v>12.26318182</v>
      </c>
      <c r="J13" s="246">
        <f>IFERROR(__xludf.DUMMYFUNCTION("""COMPUTED_VALUE"""),0.0)</f>
        <v>0</v>
      </c>
      <c r="K13" s="23" t="str">
        <f>IFERROR(__xludf.DUMMYFUNCTION("""COMPUTED_VALUE"""),"")</f>
        <v/>
      </c>
      <c r="M13" s="248">
        <f>IFERROR(__xludf.DUMMYFUNCTION("""COMPUTED_VALUE"""),22.610000000000003)</f>
        <v>22.61</v>
      </c>
      <c r="N13" s="23" t="str">
        <f>IFERROR(__xludf.DUMMYFUNCTION("""COMPUTED_VALUE"""),"")</f>
        <v/>
      </c>
      <c r="O13" s="242" t="str">
        <f>IFERROR(__xludf.DUMMYFUNCTION("""COMPUTED_VALUE"""),"eFootball PES 2021 Season Update Standard Edition")</f>
        <v>eFootball PES 2021 Season Update Standard Edition</v>
      </c>
    </row>
    <row r="14" ht="97.5" customHeight="1">
      <c r="A14" s="245">
        <f>IFERROR(__xludf.DUMMYFUNCTION("""COMPUTED_VALUE"""),90.0)</f>
        <v>90</v>
      </c>
      <c r="B14" s="246">
        <f>IFERROR(__xludf.DUMMYFUNCTION("""COMPUTED_VALUE"""),0.0)</f>
        <v>0</v>
      </c>
      <c r="C14" s="23" t="str">
        <f>IFERROR(__xludf.DUMMYFUNCTION("""COMPUTED_VALUE"""),"")</f>
        <v/>
      </c>
      <c r="E14" s="247">
        <f>IFERROR(__xludf.DUMMYFUNCTION("""COMPUTED_VALUE"""),385.57000000000016)</f>
        <v>385.57</v>
      </c>
      <c r="F14" s="246">
        <f>IFERROR(__xludf.DUMMYFUNCTION("""COMPUTED_VALUE"""),3.0)</f>
        <v>3</v>
      </c>
      <c r="G14" s="23" t="str">
        <f>IFERROR(__xludf.DUMMYFUNCTION("""COMPUTED_VALUE"""),"")</f>
        <v/>
      </c>
      <c r="I14" s="247">
        <f>IFERROR(__xludf.DUMMYFUNCTION("""COMPUTED_VALUE"""),11.434000000000001)</f>
        <v>11.434</v>
      </c>
      <c r="J14" s="246">
        <f>IFERROR(__xludf.DUMMYFUNCTION("""COMPUTED_VALUE"""),0.0)</f>
        <v>0</v>
      </c>
      <c r="K14" s="23" t="str">
        <f>IFERROR(__xludf.DUMMYFUNCTION("""COMPUTED_VALUE"""),"")</f>
        <v/>
      </c>
      <c r="M14" s="248">
        <f>IFERROR(__xludf.DUMMYFUNCTION("""COMPUTED_VALUE"""),22.459999999999997)</f>
        <v>22.46</v>
      </c>
      <c r="N14" s="23" t="str">
        <f>IFERROR(__xludf.DUMMYFUNCTION("""COMPUTED_VALUE"""),"")</f>
        <v/>
      </c>
      <c r="O14" s="242" t="str">
        <f>IFERROR(__xludf.DUMMYFUNCTION("""COMPUTED_VALUE"""),"eFootball PES 2021 Season Update Standard Edition")</f>
        <v>eFootball PES 2021 Season Update Standard Edition</v>
      </c>
    </row>
    <row r="15" ht="97.5" customHeight="1">
      <c r="A15" s="245">
        <f>IFERROR(__xludf.DUMMYFUNCTION("""COMPUTED_VALUE"""),88.0)</f>
        <v>88</v>
      </c>
      <c r="B15" s="246">
        <f>IFERROR(__xludf.DUMMYFUNCTION("""COMPUTED_VALUE"""),0.0)</f>
        <v>0</v>
      </c>
      <c r="C15" s="23" t="str">
        <f>IFERROR(__xludf.DUMMYFUNCTION("""COMPUTED_VALUE"""),"")</f>
        <v/>
      </c>
      <c r="E15" s="247">
        <f>IFERROR(__xludf.DUMMYFUNCTION("""COMPUTED_VALUE"""),370.32)</f>
        <v>370.32</v>
      </c>
      <c r="F15" s="246">
        <f>IFERROR(__xludf.DUMMYFUNCTION("""COMPUTED_VALUE"""),0.0)</f>
        <v>0</v>
      </c>
      <c r="G15" s="23" t="str">
        <f>IFERROR(__xludf.DUMMYFUNCTION("""COMPUTED_VALUE"""),"")</f>
        <v/>
      </c>
      <c r="I15" s="247">
        <f>IFERROR(__xludf.DUMMYFUNCTION("""COMPUTED_VALUE"""),11.209999999999997)</f>
        <v>11.21</v>
      </c>
      <c r="J15" s="246">
        <f>IFERROR(__xludf.DUMMYFUNCTION("""COMPUTED_VALUE"""),0.0)</f>
        <v>0</v>
      </c>
      <c r="K15" s="23" t="str">
        <f>IFERROR(__xludf.DUMMYFUNCTION("""COMPUTED_VALUE"""),"")</f>
        <v/>
      </c>
      <c r="M15" s="248">
        <f>IFERROR(__xludf.DUMMYFUNCTION("""COMPUTED_VALUE"""),22.459999999999997)</f>
        <v>22.46</v>
      </c>
      <c r="N15" s="23" t="str">
        <f>IFERROR(__xludf.DUMMYFUNCTION("""COMPUTED_VALUE"""),"")</f>
        <v/>
      </c>
      <c r="O15" s="242" t="str">
        <f>IFERROR(__xludf.DUMMYFUNCTION("""COMPUTED_VALUE"""),"eFootball PES 2021 Season Update Standard Edition")</f>
        <v>eFootball PES 2021 Season Update Standard Edition</v>
      </c>
    </row>
    <row r="16" ht="97.5" customHeight="1">
      <c r="A16" s="245">
        <f>IFERROR(__xludf.DUMMYFUNCTION("""COMPUTED_VALUE"""),87.0)</f>
        <v>87</v>
      </c>
      <c r="B16" s="246">
        <f>IFERROR(__xludf.DUMMYFUNCTION("""COMPUTED_VALUE"""),0.0)</f>
        <v>0</v>
      </c>
      <c r="C16" s="23" t="str">
        <f>IFERROR(__xludf.DUMMYFUNCTION("""COMPUTED_VALUE"""),"")</f>
        <v/>
      </c>
      <c r="E16" s="247">
        <f>IFERROR(__xludf.DUMMYFUNCTION("""COMPUTED_VALUE"""),364.0999999999999)</f>
        <v>364.1</v>
      </c>
      <c r="F16" s="246">
        <f>IFERROR(__xludf.DUMMYFUNCTION("""COMPUTED_VALUE"""),1.0)</f>
        <v>1</v>
      </c>
      <c r="G16" s="23" t="str">
        <f>IFERROR(__xludf.DUMMYFUNCTION("""COMPUTED_VALUE"""),"")</f>
        <v/>
      </c>
      <c r="I16" s="247">
        <f>IFERROR(__xludf.DUMMYFUNCTION("""COMPUTED_VALUE"""),10.497499999999999)</f>
        <v>10.4975</v>
      </c>
      <c r="J16" s="246">
        <f>IFERROR(__xludf.DUMMYFUNCTION("""COMPUTED_VALUE"""),0.0)</f>
        <v>0</v>
      </c>
      <c r="K16" s="23" t="str">
        <f>IFERROR(__xludf.DUMMYFUNCTION("""COMPUTED_VALUE"""),"")</f>
        <v/>
      </c>
      <c r="M16" s="248">
        <f>IFERROR(__xludf.DUMMYFUNCTION("""COMPUTED_VALUE"""),22.049999999999997)</f>
        <v>22.05</v>
      </c>
      <c r="N16" s="23"/>
      <c r="O16" s="242" t="str">
        <f>IFERROR(__xludf.DUMMYFUNCTION("""COMPUTED_VALUE"""),"Star Wars: Jedi Fallen Order Deluxe Edition")</f>
        <v>Star Wars: Jedi Fallen Order Deluxe Edition</v>
      </c>
    </row>
    <row r="17" ht="97.5" customHeight="1">
      <c r="A17" s="245">
        <f>IFERROR(__xludf.DUMMYFUNCTION("""COMPUTED_VALUE"""),83.0)</f>
        <v>83</v>
      </c>
      <c r="B17" s="246">
        <f>IFERROR(__xludf.DUMMYFUNCTION("""COMPUTED_VALUE"""),0.0)</f>
        <v>0</v>
      </c>
      <c r="C17" s="23" t="str">
        <f>IFERROR(__xludf.DUMMYFUNCTION("""COMPUTED_VALUE"""),"")</f>
        <v/>
      </c>
      <c r="E17" s="247">
        <f>IFERROR(__xludf.DUMMYFUNCTION("""COMPUTED_VALUE"""),351.82)</f>
        <v>351.82</v>
      </c>
      <c r="F17" s="246">
        <f>IFERROR(__xludf.DUMMYFUNCTION("""COMPUTED_VALUE"""),3.0)</f>
        <v>3</v>
      </c>
      <c r="G17" s="23" t="str">
        <f>IFERROR(__xludf.DUMMYFUNCTION("""COMPUTED_VALUE"""),"")</f>
        <v/>
      </c>
      <c r="I17" s="247">
        <f>IFERROR(__xludf.DUMMYFUNCTION("""COMPUTED_VALUE"""),10.375454545454545)</f>
        <v>10.37545455</v>
      </c>
      <c r="J17" s="246">
        <f>IFERROR(__xludf.DUMMYFUNCTION("""COMPUTED_VALUE"""),0.0)</f>
        <v>0</v>
      </c>
      <c r="K17" s="23" t="str">
        <f>IFERROR(__xludf.DUMMYFUNCTION("""COMPUTED_VALUE"""),"")</f>
        <v/>
      </c>
      <c r="M17" s="248">
        <f>IFERROR(__xludf.DUMMYFUNCTION("""COMPUTED_VALUE"""),21.97)</f>
        <v>21.97</v>
      </c>
      <c r="N17" s="23" t="str">
        <f>IFERROR(__xludf.DUMMYFUNCTION("""COMPUTED_VALUE"""),"")</f>
        <v/>
      </c>
      <c r="O17" s="242" t="str">
        <f>IFERROR(__xludf.DUMMYFUNCTION("""COMPUTED_VALUE"""),"Football Manager 2024 EU")</f>
        <v>Football Manager 2024 EU</v>
      </c>
    </row>
    <row r="18" ht="97.5" customHeight="1">
      <c r="A18" s="245">
        <f>IFERROR(__xludf.DUMMYFUNCTION("""COMPUTED_VALUE"""),76.0)</f>
        <v>76</v>
      </c>
      <c r="B18" s="246">
        <f>IFERROR(__xludf.DUMMYFUNCTION("""COMPUTED_VALUE"""),0.0)</f>
        <v>0</v>
      </c>
      <c r="C18" s="23" t="str">
        <f>IFERROR(__xludf.DUMMYFUNCTION("""COMPUTED_VALUE"""),"")</f>
        <v/>
      </c>
      <c r="E18" s="247">
        <f>IFERROR(__xludf.DUMMYFUNCTION("""COMPUTED_VALUE"""),277.8699999999999)</f>
        <v>277.87</v>
      </c>
      <c r="F18" s="246">
        <f>IFERROR(__xludf.DUMMYFUNCTION("""COMPUTED_VALUE"""),1.0)</f>
        <v>1</v>
      </c>
      <c r="G18" s="23" t="str">
        <f>IFERROR(__xludf.DUMMYFUNCTION("""COMPUTED_VALUE"""),"")</f>
        <v/>
      </c>
      <c r="I18" s="247">
        <f>IFERROR(__xludf.DUMMYFUNCTION("""COMPUTED_VALUE"""),10.219999999999999)</f>
        <v>10.22</v>
      </c>
      <c r="J18" s="246">
        <f>IFERROR(__xludf.DUMMYFUNCTION("""COMPUTED_VALUE"""),0.0)</f>
        <v>0</v>
      </c>
      <c r="K18" s="23" t="str">
        <f>IFERROR(__xludf.DUMMYFUNCTION("""COMPUTED_VALUE"""),"")</f>
        <v/>
      </c>
      <c r="M18" s="248">
        <f>IFERROR(__xludf.DUMMYFUNCTION("""COMPUTED_VALUE"""),21.37)</f>
        <v>21.37</v>
      </c>
      <c r="N18" s="23" t="str">
        <f>IFERROR(__xludf.DUMMYFUNCTION("""COMPUTED_VALUE"""),"")</f>
        <v/>
      </c>
      <c r="O18" s="242" t="str">
        <f>IFERROR(__xludf.DUMMYFUNCTION("""COMPUTED_VALUE"""),"Battlefield 2042")</f>
        <v>Battlefield 2042</v>
      </c>
    </row>
    <row r="19" ht="97.5" customHeight="1">
      <c r="A19" s="245">
        <f>IFERROR(__xludf.DUMMYFUNCTION("""COMPUTED_VALUE"""),75.0)</f>
        <v>75</v>
      </c>
      <c r="B19" s="246">
        <f>IFERROR(__xludf.DUMMYFUNCTION("""COMPUTED_VALUE"""),0.0)</f>
        <v>0</v>
      </c>
      <c r="C19" s="23" t="str">
        <f>IFERROR(__xludf.DUMMYFUNCTION("""COMPUTED_VALUE"""),"")</f>
        <v/>
      </c>
      <c r="E19" s="247">
        <f>IFERROR(__xludf.DUMMYFUNCTION("""COMPUTED_VALUE"""),269.79)</f>
        <v>269.79</v>
      </c>
      <c r="F19" s="246">
        <f>IFERROR(__xludf.DUMMYFUNCTION("""COMPUTED_VALUE"""),0.0)</f>
        <v>0</v>
      </c>
      <c r="G19" s="23" t="str">
        <f>IFERROR(__xludf.DUMMYFUNCTION("""COMPUTED_VALUE"""),"")</f>
        <v/>
      </c>
      <c r="I19" s="247">
        <f>IFERROR(__xludf.DUMMYFUNCTION("""COMPUTED_VALUE"""),9.860000000000001)</f>
        <v>9.86</v>
      </c>
      <c r="J19" s="246">
        <f>IFERROR(__xludf.DUMMYFUNCTION("""COMPUTED_VALUE"""),0.0)</f>
        <v>0</v>
      </c>
      <c r="K19" s="23" t="str">
        <f>IFERROR(__xludf.DUMMYFUNCTION("""COMPUTED_VALUE"""),"")</f>
        <v/>
      </c>
      <c r="M19" s="248">
        <f>IFERROR(__xludf.DUMMYFUNCTION("""COMPUTED_VALUE"""),21.16)</f>
        <v>21.16</v>
      </c>
      <c r="N19" s="23" t="str">
        <f>IFERROR(__xludf.DUMMYFUNCTION("""COMPUTED_VALUE"""),"")</f>
        <v/>
      </c>
      <c r="O19" s="242" t="str">
        <f>IFERROR(__xludf.DUMMYFUNCTION("""COMPUTED_VALUE"""),"Just Cause 3 XXL Edition Bundle")</f>
        <v>Just Cause 3 XXL Edition Bundle</v>
      </c>
    </row>
    <row r="20" ht="97.5" customHeight="1">
      <c r="A20" s="245">
        <f>IFERROR(__xludf.DUMMYFUNCTION("""COMPUTED_VALUE"""),69.0)</f>
        <v>69</v>
      </c>
      <c r="B20" s="246">
        <f>IFERROR(__xludf.DUMMYFUNCTION("""COMPUTED_VALUE"""),0.0)</f>
        <v>0</v>
      </c>
      <c r="C20" s="23" t="str">
        <f>IFERROR(__xludf.DUMMYFUNCTION("""COMPUTED_VALUE"""),"")</f>
        <v/>
      </c>
      <c r="E20" s="247">
        <f>IFERROR(__xludf.DUMMYFUNCTION("""COMPUTED_VALUE"""),268.40999999999997)</f>
        <v>268.41</v>
      </c>
      <c r="F20" s="246">
        <f>IFERROR(__xludf.DUMMYFUNCTION("""COMPUTED_VALUE"""),1.0)</f>
        <v>1</v>
      </c>
      <c r="G20" s="23" t="str">
        <f>IFERROR(__xludf.DUMMYFUNCTION("""COMPUTED_VALUE"""),"")</f>
        <v/>
      </c>
      <c r="I20" s="247">
        <f>IFERROR(__xludf.DUMMYFUNCTION("""COMPUTED_VALUE"""),9.61)</f>
        <v>9.61</v>
      </c>
      <c r="J20" s="246">
        <f>IFERROR(__xludf.DUMMYFUNCTION("""COMPUTED_VALUE"""),0.0)</f>
        <v>0</v>
      </c>
      <c r="K20" s="23" t="str">
        <f>IFERROR(__xludf.DUMMYFUNCTION("""COMPUTED_VALUE"""),"")</f>
        <v/>
      </c>
      <c r="M20" s="248">
        <f>IFERROR(__xludf.DUMMYFUNCTION("""COMPUTED_VALUE"""),21.12)</f>
        <v>21.12</v>
      </c>
      <c r="N20" s="23" t="str">
        <f>IFERROR(__xludf.DUMMYFUNCTION("""COMPUTED_VALUE"""),"")</f>
        <v/>
      </c>
      <c r="O20" s="242" t="str">
        <f>IFERROR(__xludf.DUMMYFUNCTION("""COMPUTED_VALUE"""),"AI LIMIT EU")</f>
        <v>AI LIMIT EU</v>
      </c>
    </row>
    <row r="21" ht="97.5" customHeight="1">
      <c r="A21" s="245">
        <f>IFERROR(__xludf.DUMMYFUNCTION("""COMPUTED_VALUE"""),64.0)</f>
        <v>64</v>
      </c>
      <c r="B21" s="246">
        <f>IFERROR(__xludf.DUMMYFUNCTION("""COMPUTED_VALUE"""),0.0)</f>
        <v>0</v>
      </c>
      <c r="C21" s="23" t="str">
        <f>IFERROR(__xludf.DUMMYFUNCTION("""COMPUTED_VALUE"""),"")</f>
        <v/>
      </c>
      <c r="E21" s="247">
        <f>IFERROR(__xludf.DUMMYFUNCTION("""COMPUTED_VALUE"""),258.6200000000001)</f>
        <v>258.62</v>
      </c>
      <c r="F21" s="246">
        <f>IFERROR(__xludf.DUMMYFUNCTION("""COMPUTED_VALUE"""),0.0)</f>
        <v>0</v>
      </c>
      <c r="G21" s="23" t="str">
        <f>IFERROR(__xludf.DUMMYFUNCTION("""COMPUTED_VALUE"""),"")</f>
        <v/>
      </c>
      <c r="I21" s="247">
        <f>IFERROR(__xludf.DUMMYFUNCTION("""COMPUTED_VALUE"""),9.573437499999995)</f>
        <v>9.5734375</v>
      </c>
      <c r="J21" s="246">
        <f>IFERROR(__xludf.DUMMYFUNCTION("""COMPUTED_VALUE"""),0.0)</f>
        <v>0</v>
      </c>
      <c r="K21" s="23" t="str">
        <f>IFERROR(__xludf.DUMMYFUNCTION("""COMPUTED_VALUE"""),"")</f>
        <v/>
      </c>
      <c r="M21" s="248">
        <f>IFERROR(__xludf.DUMMYFUNCTION("""COMPUTED_VALUE"""),21.069999999999997)</f>
        <v>21.07</v>
      </c>
      <c r="N21" s="23" t="str">
        <f>IFERROR(__xludf.DUMMYFUNCTION("""COMPUTED_VALUE"""),"")</f>
        <v/>
      </c>
      <c r="O21" s="242" t="str">
        <f>IFERROR(__xludf.DUMMYFUNCTION("""COMPUTED_VALUE"""),"eFootball PES 2021 Season Update Standard Edition")</f>
        <v>eFootball PES 2021 Season Update Standard Edition</v>
      </c>
    </row>
    <row r="22" ht="97.5" customHeight="1">
      <c r="A22" s="245">
        <f>IFERROR(__xludf.DUMMYFUNCTION("""COMPUTED_VALUE"""),64.0)</f>
        <v>64</v>
      </c>
      <c r="B22" s="246">
        <f>IFERROR(__xludf.DUMMYFUNCTION("""COMPUTED_VALUE"""),1.0)</f>
        <v>1</v>
      </c>
      <c r="C22" s="23" t="str">
        <f>IFERROR(__xludf.DUMMYFUNCTION("""COMPUTED_VALUE"""),"")</f>
        <v/>
      </c>
      <c r="E22" s="247">
        <f>IFERROR(__xludf.DUMMYFUNCTION("""COMPUTED_VALUE"""),257.26000000000005)</f>
        <v>257.26</v>
      </c>
      <c r="F22" s="246">
        <f>IFERROR(__xludf.DUMMYFUNCTION("""COMPUTED_VALUE"""),3.0)</f>
        <v>3</v>
      </c>
      <c r="G22" s="23" t="str">
        <f>IFERROR(__xludf.DUMMYFUNCTION("""COMPUTED_VALUE"""),"")</f>
        <v/>
      </c>
      <c r="I22" s="247">
        <f>IFERROR(__xludf.DUMMYFUNCTION("""COMPUTED_VALUE"""),9.33)</f>
        <v>9.33</v>
      </c>
      <c r="J22" s="246">
        <f>IFERROR(__xludf.DUMMYFUNCTION("""COMPUTED_VALUE"""),1.0)</f>
        <v>1</v>
      </c>
      <c r="K22" s="23" t="str">
        <f>IFERROR(__xludf.DUMMYFUNCTION("""COMPUTED_VALUE"""),"")</f>
        <v/>
      </c>
      <c r="M22" s="248">
        <f>IFERROR(__xludf.DUMMYFUNCTION("""COMPUTED_VALUE"""),21.05)</f>
        <v>21.05</v>
      </c>
      <c r="N22" s="23" t="str">
        <f>IFERROR(__xludf.DUMMYFUNCTION("""COMPUTED_VALUE"""),"")</f>
        <v/>
      </c>
      <c r="O22" s="242" t="str">
        <f>IFERROR(__xludf.DUMMYFUNCTION("""COMPUTED_VALUE"""),"Hell Let Loose: Ultimate Edition")</f>
        <v>Hell Let Loose: Ultimate Edition</v>
      </c>
    </row>
    <row r="23" ht="59.25" customHeight="1">
      <c r="A23" s="245"/>
      <c r="B23" s="246"/>
      <c r="F23" s="246"/>
      <c r="J23" s="246"/>
      <c r="M23" s="246"/>
      <c r="O23" s="242"/>
    </row>
    <row r="24">
      <c r="B24" s="246"/>
      <c r="F24" s="246"/>
      <c r="J24" s="246"/>
      <c r="M24" s="246"/>
      <c r="O24" s="242"/>
    </row>
    <row r="25">
      <c r="B25" s="246"/>
      <c r="F25" s="246"/>
      <c r="J25" s="246"/>
      <c r="M25" s="246"/>
      <c r="O25" s="242"/>
    </row>
    <row r="26">
      <c r="B26" s="246"/>
      <c r="F26" s="246"/>
      <c r="J26" s="246"/>
      <c r="M26" s="246"/>
      <c r="O26" s="242"/>
    </row>
    <row r="27">
      <c r="B27" s="246"/>
      <c r="F27" s="246"/>
      <c r="J27" s="246"/>
      <c r="M27" s="246"/>
      <c r="O27" s="242"/>
    </row>
    <row r="28">
      <c r="B28" s="246"/>
      <c r="F28" s="246"/>
      <c r="J28" s="246"/>
      <c r="M28" s="246"/>
      <c r="O28" s="242"/>
    </row>
    <row r="29">
      <c r="B29" s="246"/>
      <c r="F29" s="246"/>
      <c r="J29" s="246"/>
      <c r="M29" s="246"/>
      <c r="O29" s="242"/>
    </row>
    <row r="30">
      <c r="B30" s="246"/>
      <c r="F30" s="246"/>
      <c r="J30" s="246"/>
      <c r="M30" s="246"/>
      <c r="O30" s="242"/>
    </row>
    <row r="31">
      <c r="B31" s="246"/>
      <c r="F31" s="246"/>
      <c r="J31" s="246"/>
      <c r="M31" s="246"/>
      <c r="O31" s="242"/>
    </row>
    <row r="32">
      <c r="B32" s="246"/>
      <c r="F32" s="246"/>
      <c r="J32" s="246"/>
      <c r="M32" s="246"/>
      <c r="O32" s="242"/>
    </row>
    <row r="33">
      <c r="B33" s="246"/>
      <c r="F33" s="246"/>
      <c r="J33" s="246"/>
      <c r="M33" s="246"/>
      <c r="O33" s="242"/>
    </row>
    <row r="34">
      <c r="B34" s="246"/>
      <c r="F34" s="246"/>
      <c r="J34" s="246"/>
      <c r="M34" s="246"/>
      <c r="O34" s="242"/>
    </row>
    <row r="35">
      <c r="B35" s="246"/>
      <c r="F35" s="246"/>
      <c r="J35" s="246"/>
      <c r="M35" s="246"/>
      <c r="O35" s="242"/>
    </row>
    <row r="36">
      <c r="B36" s="246"/>
      <c r="F36" s="246"/>
      <c r="J36" s="246"/>
      <c r="M36" s="246"/>
      <c r="O36" s="242"/>
    </row>
    <row r="37">
      <c r="B37" s="246"/>
      <c r="F37" s="246"/>
      <c r="J37" s="246"/>
      <c r="M37" s="246"/>
      <c r="O37" s="242"/>
    </row>
    <row r="38">
      <c r="B38" s="246"/>
      <c r="F38" s="246"/>
      <c r="J38" s="246"/>
      <c r="M38" s="246"/>
      <c r="O38" s="242"/>
    </row>
    <row r="39">
      <c r="B39" s="246"/>
      <c r="F39" s="246"/>
      <c r="J39" s="246"/>
      <c r="M39" s="246"/>
      <c r="O39" s="242"/>
    </row>
    <row r="40">
      <c r="B40" s="246"/>
      <c r="F40" s="246"/>
      <c r="J40" s="246"/>
      <c r="M40" s="246"/>
      <c r="O40" s="242"/>
    </row>
    <row r="41">
      <c r="B41" s="246"/>
      <c r="F41" s="246"/>
      <c r="J41" s="246"/>
      <c r="M41" s="246"/>
      <c r="O41" s="242"/>
    </row>
    <row r="42">
      <c r="B42" s="246"/>
      <c r="F42" s="246"/>
      <c r="J42" s="246"/>
      <c r="M42" s="246"/>
      <c r="O42" s="242"/>
    </row>
    <row r="43">
      <c r="B43" s="246"/>
      <c r="F43" s="246"/>
      <c r="J43" s="246"/>
      <c r="M43" s="246"/>
      <c r="O43" s="242"/>
    </row>
    <row r="44">
      <c r="B44" s="246"/>
      <c r="F44" s="246"/>
      <c r="J44" s="246"/>
      <c r="M44" s="246"/>
      <c r="O44" s="242"/>
    </row>
    <row r="45">
      <c r="B45" s="246"/>
      <c r="F45" s="246"/>
      <c r="J45" s="246"/>
      <c r="M45" s="246"/>
      <c r="O45" s="242"/>
    </row>
    <row r="46">
      <c r="B46" s="246"/>
      <c r="F46" s="246"/>
      <c r="J46" s="246"/>
      <c r="M46" s="246"/>
      <c r="O46" s="242"/>
    </row>
    <row r="47">
      <c r="B47" s="246"/>
      <c r="F47" s="246"/>
      <c r="J47" s="246"/>
      <c r="M47" s="246"/>
      <c r="O47" s="242"/>
    </row>
    <row r="48">
      <c r="B48" s="246"/>
      <c r="F48" s="246"/>
      <c r="J48" s="246"/>
      <c r="M48" s="246"/>
      <c r="O48" s="242"/>
    </row>
    <row r="49">
      <c r="B49" s="246"/>
      <c r="F49" s="246"/>
      <c r="J49" s="246"/>
      <c r="M49" s="246"/>
      <c r="O49" s="242"/>
    </row>
    <row r="50">
      <c r="B50" s="246"/>
      <c r="F50" s="246"/>
      <c r="J50" s="246"/>
      <c r="M50" s="246"/>
      <c r="O50" s="242"/>
    </row>
    <row r="51">
      <c r="B51" s="246"/>
      <c r="F51" s="246"/>
      <c r="J51" s="246"/>
      <c r="M51" s="246"/>
      <c r="O51" s="242"/>
    </row>
    <row r="52">
      <c r="B52" s="246"/>
      <c r="F52" s="246"/>
      <c r="J52" s="246"/>
      <c r="M52" s="246"/>
      <c r="O52" s="242"/>
    </row>
    <row r="53">
      <c r="B53" s="246"/>
      <c r="F53" s="246"/>
      <c r="J53" s="246"/>
      <c r="M53" s="246"/>
      <c r="O53" s="242"/>
    </row>
    <row r="54">
      <c r="B54" s="246"/>
      <c r="F54" s="246"/>
      <c r="J54" s="246"/>
      <c r="M54" s="246"/>
      <c r="O54" s="242"/>
    </row>
    <row r="55">
      <c r="B55" s="246"/>
      <c r="F55" s="246"/>
      <c r="J55" s="246"/>
      <c r="M55" s="246"/>
      <c r="O55" s="242"/>
    </row>
    <row r="56">
      <c r="B56" s="246"/>
      <c r="F56" s="246"/>
      <c r="J56" s="246"/>
      <c r="M56" s="246"/>
      <c r="O56" s="242"/>
    </row>
    <row r="57">
      <c r="B57" s="246"/>
      <c r="F57" s="246"/>
      <c r="J57" s="246"/>
      <c r="M57" s="246"/>
      <c r="O57" s="242"/>
    </row>
    <row r="58">
      <c r="B58" s="246"/>
      <c r="F58" s="246"/>
      <c r="J58" s="246"/>
      <c r="M58" s="246"/>
      <c r="O58" s="242"/>
    </row>
    <row r="59">
      <c r="B59" s="246"/>
      <c r="F59" s="246"/>
      <c r="J59" s="246"/>
      <c r="M59" s="246"/>
      <c r="O59" s="242"/>
    </row>
    <row r="60">
      <c r="B60" s="246"/>
      <c r="F60" s="246"/>
      <c r="J60" s="246"/>
      <c r="M60" s="246"/>
      <c r="O60" s="242"/>
    </row>
    <row r="61">
      <c r="B61" s="246"/>
      <c r="F61" s="246"/>
      <c r="J61" s="246"/>
      <c r="M61" s="246"/>
      <c r="O61" s="242"/>
    </row>
    <row r="62">
      <c r="B62" s="246"/>
      <c r="F62" s="246"/>
      <c r="J62" s="246"/>
      <c r="M62" s="246"/>
      <c r="O62" s="242"/>
    </row>
    <row r="63">
      <c r="B63" s="246"/>
      <c r="F63" s="246"/>
      <c r="J63" s="246"/>
      <c r="M63" s="246"/>
      <c r="O63" s="242"/>
    </row>
    <row r="64">
      <c r="B64" s="246"/>
      <c r="F64" s="246"/>
      <c r="J64" s="246"/>
      <c r="M64" s="246"/>
      <c r="O64" s="242"/>
    </row>
    <row r="65">
      <c r="B65" s="246"/>
      <c r="F65" s="246"/>
      <c r="J65" s="246"/>
      <c r="M65" s="246"/>
      <c r="O65" s="242"/>
    </row>
    <row r="66">
      <c r="B66" s="246"/>
      <c r="F66" s="246"/>
      <c r="J66" s="246"/>
      <c r="M66" s="246"/>
      <c r="O66" s="242"/>
    </row>
    <row r="67">
      <c r="B67" s="246"/>
      <c r="F67" s="246"/>
      <c r="J67" s="246"/>
      <c r="M67" s="246"/>
      <c r="O67" s="242"/>
    </row>
    <row r="68">
      <c r="B68" s="246"/>
      <c r="F68" s="246"/>
      <c r="J68" s="246"/>
      <c r="M68" s="246"/>
      <c r="O68" s="242"/>
    </row>
    <row r="69">
      <c r="B69" s="246"/>
      <c r="F69" s="246"/>
      <c r="J69" s="246"/>
      <c r="M69" s="246"/>
      <c r="O69" s="242"/>
    </row>
    <row r="70">
      <c r="B70" s="246"/>
      <c r="F70" s="246"/>
      <c r="J70" s="246"/>
      <c r="M70" s="246"/>
      <c r="O70" s="242"/>
    </row>
    <row r="71">
      <c r="B71" s="246"/>
      <c r="F71" s="246"/>
      <c r="J71" s="246"/>
      <c r="M71" s="246"/>
      <c r="O71" s="242"/>
    </row>
    <row r="72">
      <c r="B72" s="246"/>
      <c r="F72" s="246"/>
      <c r="J72" s="246"/>
      <c r="M72" s="246"/>
      <c r="O72" s="242"/>
    </row>
    <row r="73">
      <c r="B73" s="246"/>
      <c r="F73" s="246"/>
      <c r="J73" s="246"/>
      <c r="M73" s="246"/>
      <c r="O73" s="242"/>
    </row>
    <row r="74">
      <c r="B74" s="246"/>
      <c r="F74" s="246"/>
      <c r="J74" s="246"/>
      <c r="M74" s="246"/>
      <c r="O74" s="242"/>
    </row>
    <row r="75">
      <c r="B75" s="246"/>
      <c r="F75" s="246"/>
      <c r="J75" s="246"/>
      <c r="M75" s="246"/>
      <c r="O75" s="242"/>
    </row>
    <row r="76">
      <c r="B76" s="246"/>
      <c r="F76" s="246"/>
      <c r="J76" s="246"/>
      <c r="M76" s="246"/>
      <c r="O76" s="242"/>
    </row>
    <row r="77">
      <c r="B77" s="246"/>
      <c r="F77" s="246"/>
      <c r="J77" s="246"/>
      <c r="M77" s="246"/>
      <c r="O77" s="242"/>
    </row>
    <row r="78">
      <c r="B78" s="246"/>
      <c r="F78" s="246"/>
      <c r="J78" s="246"/>
      <c r="M78" s="246"/>
      <c r="O78" s="242"/>
    </row>
    <row r="79">
      <c r="B79" s="246"/>
      <c r="F79" s="246"/>
      <c r="J79" s="246"/>
      <c r="M79" s="246"/>
      <c r="O79" s="242"/>
    </row>
    <row r="80">
      <c r="B80" s="246"/>
      <c r="F80" s="246"/>
      <c r="J80" s="246"/>
      <c r="M80" s="246"/>
      <c r="O80" s="242"/>
    </row>
    <row r="81">
      <c r="B81" s="246"/>
      <c r="F81" s="246"/>
      <c r="J81" s="246"/>
      <c r="M81" s="246"/>
      <c r="O81" s="242"/>
    </row>
    <row r="82">
      <c r="B82" s="246"/>
      <c r="F82" s="246"/>
      <c r="J82" s="246"/>
      <c r="M82" s="246"/>
      <c r="O82" s="242"/>
    </row>
    <row r="83">
      <c r="B83" s="246"/>
      <c r="F83" s="246"/>
      <c r="J83" s="246"/>
      <c r="M83" s="246"/>
      <c r="O83" s="242"/>
    </row>
    <row r="84">
      <c r="B84" s="246"/>
      <c r="F84" s="246"/>
      <c r="J84" s="246"/>
      <c r="M84" s="246"/>
      <c r="O84" s="242"/>
    </row>
    <row r="85">
      <c r="B85" s="246"/>
      <c r="F85" s="246"/>
      <c r="J85" s="246"/>
      <c r="M85" s="246"/>
      <c r="O85" s="242"/>
    </row>
    <row r="86">
      <c r="B86" s="246"/>
      <c r="F86" s="246"/>
      <c r="J86" s="246"/>
      <c r="M86" s="246"/>
      <c r="O86" s="242"/>
    </row>
    <row r="87">
      <c r="B87" s="246"/>
      <c r="F87" s="246"/>
      <c r="J87" s="246"/>
      <c r="M87" s="246"/>
      <c r="O87" s="242"/>
    </row>
    <row r="88">
      <c r="B88" s="246"/>
      <c r="F88" s="246"/>
      <c r="J88" s="246"/>
      <c r="M88" s="246"/>
      <c r="O88" s="242"/>
    </row>
    <row r="89">
      <c r="B89" s="246"/>
      <c r="F89" s="246"/>
      <c r="J89" s="246"/>
      <c r="M89" s="246"/>
      <c r="O89" s="242"/>
    </row>
    <row r="90">
      <c r="B90" s="246"/>
      <c r="F90" s="246"/>
      <c r="J90" s="246"/>
      <c r="M90" s="246"/>
      <c r="O90" s="242"/>
    </row>
    <row r="91">
      <c r="B91" s="246"/>
      <c r="F91" s="246"/>
      <c r="J91" s="246"/>
      <c r="M91" s="246"/>
      <c r="O91" s="242"/>
    </row>
    <row r="92">
      <c r="B92" s="246"/>
      <c r="F92" s="246"/>
      <c r="J92" s="246"/>
      <c r="M92" s="246"/>
      <c r="O92" s="242"/>
    </row>
    <row r="93">
      <c r="B93" s="246"/>
      <c r="F93" s="246"/>
      <c r="J93" s="246"/>
      <c r="M93" s="246"/>
      <c r="O93" s="242"/>
    </row>
    <row r="94">
      <c r="B94" s="246"/>
      <c r="F94" s="246"/>
      <c r="J94" s="246"/>
      <c r="M94" s="246"/>
      <c r="O94" s="242"/>
    </row>
    <row r="95">
      <c r="B95" s="246"/>
      <c r="F95" s="246"/>
      <c r="J95" s="246"/>
      <c r="M95" s="246"/>
      <c r="O95" s="242"/>
    </row>
    <row r="96">
      <c r="B96" s="246"/>
      <c r="F96" s="246"/>
      <c r="J96" s="246"/>
      <c r="M96" s="246"/>
      <c r="O96" s="242"/>
    </row>
    <row r="97">
      <c r="B97" s="246"/>
      <c r="F97" s="246"/>
      <c r="J97" s="246"/>
      <c r="M97" s="246"/>
      <c r="O97" s="242"/>
    </row>
    <row r="98">
      <c r="B98" s="246"/>
      <c r="F98" s="246"/>
      <c r="J98" s="246"/>
      <c r="M98" s="246"/>
      <c r="O98" s="242"/>
    </row>
    <row r="99">
      <c r="B99" s="246"/>
      <c r="F99" s="246"/>
      <c r="J99" s="246"/>
      <c r="M99" s="246"/>
      <c r="O99" s="242"/>
    </row>
    <row r="100">
      <c r="B100" s="246"/>
      <c r="F100" s="246"/>
      <c r="J100" s="246"/>
      <c r="M100" s="246"/>
      <c r="O100" s="242"/>
    </row>
    <row r="101">
      <c r="B101" s="246"/>
      <c r="F101" s="246"/>
      <c r="J101" s="246"/>
      <c r="M101" s="246"/>
      <c r="O101" s="242"/>
    </row>
    <row r="102">
      <c r="B102" s="246"/>
      <c r="F102" s="246"/>
      <c r="J102" s="246"/>
      <c r="M102" s="246"/>
      <c r="O102" s="242"/>
    </row>
    <row r="103">
      <c r="B103" s="246"/>
      <c r="F103" s="246"/>
      <c r="J103" s="246"/>
      <c r="M103" s="246"/>
      <c r="O103" s="242"/>
    </row>
    <row r="104">
      <c r="B104" s="246"/>
      <c r="F104" s="246"/>
      <c r="J104" s="246"/>
      <c r="M104" s="246"/>
      <c r="O104" s="242"/>
    </row>
    <row r="105">
      <c r="B105" s="246"/>
      <c r="F105" s="246"/>
      <c r="J105" s="246"/>
      <c r="M105" s="246"/>
      <c r="O105" s="242"/>
    </row>
    <row r="106">
      <c r="B106" s="246"/>
      <c r="F106" s="246"/>
      <c r="J106" s="246"/>
      <c r="M106" s="246"/>
      <c r="O106" s="242"/>
    </row>
    <row r="107">
      <c r="B107" s="246"/>
      <c r="F107" s="246"/>
      <c r="J107" s="246"/>
      <c r="M107" s="246"/>
      <c r="O107" s="242"/>
    </row>
    <row r="108">
      <c r="B108" s="246"/>
      <c r="F108" s="246"/>
      <c r="J108" s="246"/>
      <c r="M108" s="246"/>
      <c r="O108" s="242"/>
    </row>
    <row r="109">
      <c r="B109" s="246"/>
      <c r="F109" s="246"/>
      <c r="J109" s="246"/>
      <c r="M109" s="246"/>
      <c r="O109" s="242"/>
    </row>
    <row r="110">
      <c r="B110" s="246"/>
      <c r="F110" s="246"/>
      <c r="J110" s="246"/>
      <c r="M110" s="246"/>
      <c r="O110" s="242"/>
    </row>
    <row r="111">
      <c r="B111" s="246"/>
      <c r="F111" s="246"/>
      <c r="J111" s="246"/>
      <c r="M111" s="246"/>
      <c r="O111" s="242"/>
    </row>
    <row r="112">
      <c r="B112" s="246"/>
      <c r="F112" s="246"/>
      <c r="J112" s="246"/>
      <c r="M112" s="246"/>
      <c r="O112" s="242"/>
    </row>
    <row r="113">
      <c r="B113" s="246"/>
      <c r="F113" s="246"/>
      <c r="J113" s="246"/>
      <c r="M113" s="246"/>
      <c r="O113" s="242"/>
    </row>
    <row r="114">
      <c r="B114" s="246"/>
      <c r="F114" s="246"/>
      <c r="J114" s="246"/>
      <c r="M114" s="246"/>
      <c r="O114" s="242"/>
    </row>
    <row r="115">
      <c r="B115" s="246"/>
      <c r="F115" s="246"/>
      <c r="J115" s="246"/>
      <c r="M115" s="246"/>
      <c r="O115" s="242"/>
    </row>
    <row r="116">
      <c r="B116" s="246"/>
      <c r="F116" s="246"/>
      <c r="J116" s="246"/>
      <c r="M116" s="246"/>
      <c r="O116" s="242"/>
    </row>
    <row r="117">
      <c r="B117" s="246"/>
      <c r="F117" s="246"/>
      <c r="J117" s="246"/>
      <c r="M117" s="246"/>
      <c r="O117" s="242"/>
    </row>
    <row r="118">
      <c r="B118" s="246"/>
      <c r="F118" s="246"/>
      <c r="J118" s="246"/>
      <c r="M118" s="246"/>
      <c r="O118" s="242"/>
    </row>
    <row r="119">
      <c r="B119" s="246"/>
      <c r="F119" s="246"/>
      <c r="J119" s="246"/>
      <c r="M119" s="246"/>
      <c r="O119" s="242"/>
    </row>
    <row r="120">
      <c r="B120" s="246"/>
      <c r="F120" s="246"/>
      <c r="J120" s="246"/>
      <c r="M120" s="246"/>
      <c r="O120" s="242"/>
    </row>
    <row r="121">
      <c r="B121" s="246"/>
      <c r="F121" s="246"/>
      <c r="J121" s="246"/>
      <c r="M121" s="246"/>
      <c r="O121" s="242"/>
    </row>
    <row r="122">
      <c r="B122" s="246"/>
      <c r="F122" s="246"/>
      <c r="J122" s="246"/>
      <c r="M122" s="246"/>
      <c r="O122" s="242"/>
    </row>
    <row r="123">
      <c r="B123" s="246"/>
      <c r="F123" s="246"/>
      <c r="J123" s="246"/>
      <c r="M123" s="246"/>
      <c r="O123" s="242"/>
    </row>
    <row r="124">
      <c r="B124" s="246"/>
      <c r="F124" s="246"/>
      <c r="J124" s="246"/>
      <c r="M124" s="246"/>
      <c r="O124" s="242"/>
    </row>
    <row r="125">
      <c r="B125" s="246"/>
      <c r="F125" s="246"/>
      <c r="J125" s="246"/>
      <c r="M125" s="246"/>
      <c r="O125" s="242"/>
    </row>
    <row r="126">
      <c r="B126" s="246"/>
      <c r="F126" s="246"/>
      <c r="J126" s="246"/>
      <c r="M126" s="246"/>
      <c r="O126" s="242"/>
    </row>
    <row r="127">
      <c r="B127" s="246"/>
      <c r="F127" s="246"/>
      <c r="J127" s="246"/>
      <c r="M127" s="246"/>
      <c r="O127" s="242"/>
    </row>
    <row r="128">
      <c r="B128" s="246"/>
      <c r="F128" s="246"/>
      <c r="J128" s="246"/>
      <c r="M128" s="246"/>
      <c r="O128" s="242"/>
    </row>
    <row r="129">
      <c r="B129" s="246"/>
      <c r="F129" s="246"/>
      <c r="J129" s="246"/>
      <c r="M129" s="246"/>
      <c r="O129" s="242"/>
    </row>
    <row r="130">
      <c r="B130" s="246"/>
      <c r="F130" s="246"/>
      <c r="J130" s="246"/>
      <c r="M130" s="246"/>
      <c r="O130" s="242"/>
    </row>
    <row r="131">
      <c r="B131" s="246"/>
      <c r="F131" s="246"/>
      <c r="J131" s="246"/>
      <c r="M131" s="246"/>
      <c r="O131" s="242"/>
    </row>
    <row r="132">
      <c r="B132" s="246"/>
      <c r="F132" s="246"/>
      <c r="J132" s="246"/>
      <c r="M132" s="246"/>
      <c r="O132" s="242"/>
    </row>
    <row r="133">
      <c r="B133" s="246"/>
      <c r="F133" s="246"/>
      <c r="J133" s="246"/>
      <c r="M133" s="246"/>
      <c r="O133" s="242"/>
    </row>
    <row r="134">
      <c r="B134" s="246"/>
      <c r="F134" s="246"/>
      <c r="J134" s="246"/>
      <c r="M134" s="246"/>
      <c r="O134" s="242"/>
    </row>
    <row r="135">
      <c r="B135" s="246"/>
      <c r="F135" s="246"/>
      <c r="J135" s="246"/>
      <c r="M135" s="246"/>
      <c r="O135" s="242"/>
    </row>
    <row r="136">
      <c r="B136" s="246"/>
      <c r="F136" s="246"/>
      <c r="J136" s="246"/>
      <c r="M136" s="246"/>
      <c r="O136" s="242"/>
    </row>
    <row r="137">
      <c r="B137" s="246"/>
      <c r="F137" s="246"/>
      <c r="J137" s="246"/>
      <c r="M137" s="246"/>
      <c r="O137" s="242"/>
    </row>
    <row r="138">
      <c r="B138" s="246"/>
      <c r="F138" s="246"/>
      <c r="J138" s="246"/>
      <c r="M138" s="246"/>
      <c r="O138" s="242"/>
    </row>
    <row r="139">
      <c r="B139" s="246"/>
      <c r="F139" s="246"/>
      <c r="J139" s="246"/>
      <c r="M139" s="246"/>
      <c r="O139" s="242"/>
    </row>
    <row r="140">
      <c r="B140" s="246"/>
      <c r="F140" s="246"/>
      <c r="J140" s="246"/>
      <c r="M140" s="246"/>
      <c r="O140" s="242"/>
    </row>
    <row r="141">
      <c r="B141" s="246"/>
      <c r="F141" s="246"/>
      <c r="J141" s="246"/>
      <c r="M141" s="246"/>
      <c r="O141" s="242"/>
    </row>
    <row r="142">
      <c r="B142" s="246"/>
      <c r="F142" s="246"/>
      <c r="J142" s="246"/>
      <c r="M142" s="246"/>
      <c r="O142" s="242"/>
    </row>
    <row r="143">
      <c r="B143" s="246"/>
      <c r="F143" s="246"/>
      <c r="J143" s="246"/>
      <c r="M143" s="246"/>
      <c r="O143" s="242"/>
    </row>
    <row r="144">
      <c r="B144" s="246"/>
      <c r="F144" s="246"/>
      <c r="J144" s="246"/>
      <c r="M144" s="246"/>
      <c r="O144" s="242"/>
    </row>
    <row r="145">
      <c r="B145" s="246"/>
      <c r="F145" s="246"/>
      <c r="J145" s="246"/>
      <c r="M145" s="246"/>
      <c r="O145" s="242"/>
    </row>
    <row r="146">
      <c r="B146" s="246"/>
      <c r="F146" s="246"/>
      <c r="J146" s="246"/>
      <c r="M146" s="246"/>
      <c r="O146" s="242"/>
    </row>
    <row r="147">
      <c r="B147" s="246"/>
      <c r="F147" s="246"/>
      <c r="J147" s="246"/>
      <c r="M147" s="246"/>
      <c r="O147" s="242"/>
    </row>
    <row r="148">
      <c r="B148" s="246"/>
      <c r="F148" s="246"/>
      <c r="J148" s="246"/>
      <c r="M148" s="246"/>
      <c r="O148" s="242"/>
    </row>
    <row r="149">
      <c r="B149" s="246"/>
      <c r="F149" s="246"/>
      <c r="J149" s="246"/>
      <c r="M149" s="246"/>
      <c r="O149" s="242"/>
    </row>
    <row r="150">
      <c r="B150" s="246"/>
      <c r="F150" s="246"/>
      <c r="J150" s="246"/>
      <c r="M150" s="246"/>
      <c r="O150" s="242"/>
    </row>
    <row r="151">
      <c r="B151" s="246"/>
      <c r="F151" s="246"/>
      <c r="J151" s="246"/>
      <c r="M151" s="246"/>
      <c r="O151" s="242"/>
    </row>
    <row r="152">
      <c r="B152" s="246"/>
      <c r="F152" s="246"/>
      <c r="J152" s="246"/>
      <c r="M152" s="246"/>
      <c r="O152" s="242"/>
    </row>
    <row r="153">
      <c r="B153" s="246"/>
      <c r="F153" s="246"/>
      <c r="J153" s="246"/>
      <c r="M153" s="246"/>
      <c r="O153" s="242"/>
    </row>
    <row r="154">
      <c r="B154" s="246"/>
      <c r="F154" s="246"/>
      <c r="J154" s="246"/>
      <c r="M154" s="246"/>
      <c r="O154" s="242"/>
    </row>
    <row r="155">
      <c r="B155" s="246"/>
      <c r="F155" s="246"/>
      <c r="J155" s="246"/>
      <c r="M155" s="246"/>
      <c r="O155" s="242"/>
    </row>
    <row r="156">
      <c r="B156" s="246"/>
      <c r="F156" s="246"/>
      <c r="J156" s="246"/>
      <c r="M156" s="246"/>
      <c r="O156" s="242"/>
    </row>
    <row r="157">
      <c r="B157" s="246"/>
      <c r="F157" s="246"/>
      <c r="J157" s="246"/>
      <c r="M157" s="246"/>
      <c r="O157" s="242"/>
    </row>
    <row r="158">
      <c r="B158" s="246"/>
      <c r="F158" s="246"/>
      <c r="J158" s="246"/>
      <c r="M158" s="246"/>
      <c r="O158" s="242"/>
    </row>
    <row r="159">
      <c r="B159" s="246"/>
      <c r="F159" s="246"/>
      <c r="J159" s="246"/>
      <c r="M159" s="246"/>
      <c r="O159" s="242"/>
    </row>
    <row r="160">
      <c r="B160" s="246"/>
      <c r="F160" s="246"/>
      <c r="J160" s="246"/>
      <c r="M160" s="246"/>
      <c r="O160" s="242"/>
    </row>
    <row r="161">
      <c r="B161" s="246"/>
      <c r="F161" s="246"/>
      <c r="J161" s="246"/>
      <c r="M161" s="246"/>
      <c r="O161" s="242"/>
    </row>
    <row r="162">
      <c r="B162" s="246"/>
      <c r="F162" s="246"/>
      <c r="J162" s="246"/>
      <c r="M162" s="246"/>
      <c r="O162" s="242"/>
    </row>
    <row r="163">
      <c r="B163" s="246"/>
      <c r="F163" s="246"/>
      <c r="J163" s="246"/>
      <c r="M163" s="246"/>
      <c r="O163" s="242"/>
    </row>
    <row r="164">
      <c r="B164" s="246"/>
      <c r="F164" s="246"/>
      <c r="J164" s="246"/>
      <c r="M164" s="246"/>
      <c r="O164" s="242"/>
    </row>
    <row r="165">
      <c r="B165" s="246"/>
      <c r="F165" s="246"/>
      <c r="J165" s="246"/>
      <c r="M165" s="246"/>
      <c r="O165" s="242"/>
    </row>
    <row r="166">
      <c r="B166" s="246"/>
      <c r="F166" s="246"/>
      <c r="J166" s="246"/>
      <c r="M166" s="246"/>
      <c r="O166" s="242"/>
    </row>
    <row r="167">
      <c r="B167" s="246"/>
      <c r="F167" s="246"/>
      <c r="J167" s="246"/>
      <c r="M167" s="246"/>
      <c r="O167" s="242"/>
    </row>
    <row r="168">
      <c r="B168" s="246"/>
      <c r="F168" s="246"/>
      <c r="J168" s="246"/>
      <c r="M168" s="246"/>
      <c r="O168" s="242"/>
    </row>
    <row r="169">
      <c r="B169" s="246"/>
      <c r="F169" s="246"/>
      <c r="J169" s="246"/>
      <c r="M169" s="246"/>
      <c r="O169" s="242"/>
    </row>
    <row r="170">
      <c r="B170" s="246"/>
      <c r="F170" s="246"/>
      <c r="J170" s="246"/>
      <c r="M170" s="246"/>
      <c r="O170" s="242"/>
    </row>
    <row r="171">
      <c r="B171" s="246"/>
      <c r="F171" s="246"/>
      <c r="J171" s="246"/>
      <c r="M171" s="246"/>
      <c r="O171" s="242"/>
    </row>
    <row r="172">
      <c r="B172" s="246"/>
      <c r="F172" s="246"/>
      <c r="J172" s="246"/>
      <c r="M172" s="246"/>
      <c r="O172" s="242"/>
    </row>
    <row r="173">
      <c r="B173" s="246"/>
      <c r="F173" s="246"/>
      <c r="J173" s="246"/>
      <c r="M173" s="246"/>
      <c r="O173" s="242"/>
    </row>
    <row r="174">
      <c r="B174" s="246"/>
      <c r="F174" s="246"/>
      <c r="J174" s="246"/>
      <c r="M174" s="246"/>
      <c r="O174" s="242"/>
    </row>
    <row r="175">
      <c r="B175" s="246"/>
      <c r="F175" s="246"/>
      <c r="J175" s="246"/>
      <c r="M175" s="246"/>
      <c r="O175" s="242"/>
    </row>
    <row r="176">
      <c r="B176" s="246"/>
      <c r="F176" s="246"/>
      <c r="J176" s="246"/>
      <c r="M176" s="246"/>
      <c r="O176" s="242"/>
    </row>
    <row r="177">
      <c r="B177" s="246"/>
      <c r="F177" s="246"/>
      <c r="J177" s="246"/>
      <c r="M177" s="246"/>
      <c r="O177" s="242"/>
    </row>
    <row r="178">
      <c r="B178" s="246"/>
      <c r="F178" s="246"/>
      <c r="J178" s="246"/>
      <c r="M178" s="246"/>
      <c r="O178" s="242"/>
    </row>
    <row r="179">
      <c r="B179" s="246"/>
      <c r="F179" s="246"/>
      <c r="J179" s="246"/>
      <c r="M179" s="246"/>
      <c r="O179" s="242"/>
    </row>
    <row r="180">
      <c r="B180" s="246"/>
      <c r="F180" s="246"/>
      <c r="J180" s="246"/>
      <c r="M180" s="246"/>
      <c r="O180" s="242"/>
    </row>
    <row r="181">
      <c r="B181" s="246"/>
      <c r="F181" s="246"/>
      <c r="J181" s="246"/>
      <c r="M181" s="246"/>
      <c r="O181" s="242"/>
    </row>
    <row r="182">
      <c r="B182" s="246"/>
      <c r="F182" s="246"/>
      <c r="J182" s="246"/>
      <c r="M182" s="246"/>
      <c r="O182" s="242"/>
    </row>
    <row r="183">
      <c r="B183" s="246"/>
      <c r="F183" s="246"/>
      <c r="J183" s="246"/>
      <c r="M183" s="246"/>
      <c r="O183" s="242"/>
    </row>
    <row r="184">
      <c r="B184" s="246"/>
      <c r="F184" s="246"/>
      <c r="J184" s="246"/>
      <c r="M184" s="246"/>
      <c r="O184" s="242"/>
    </row>
    <row r="185">
      <c r="B185" s="246"/>
      <c r="F185" s="246"/>
      <c r="J185" s="246"/>
      <c r="M185" s="246"/>
      <c r="O185" s="242"/>
    </row>
    <row r="186">
      <c r="B186" s="246"/>
      <c r="F186" s="246"/>
      <c r="J186" s="246"/>
      <c r="M186" s="246"/>
      <c r="O186" s="242"/>
    </row>
    <row r="187">
      <c r="B187" s="246"/>
      <c r="F187" s="246"/>
      <c r="J187" s="246"/>
      <c r="M187" s="246"/>
      <c r="O187" s="242"/>
    </row>
    <row r="188">
      <c r="B188" s="246"/>
      <c r="F188" s="246"/>
      <c r="J188" s="246"/>
      <c r="M188" s="246"/>
      <c r="O188" s="242"/>
    </row>
    <row r="189">
      <c r="B189" s="246"/>
      <c r="F189" s="246"/>
      <c r="J189" s="246"/>
      <c r="M189" s="246"/>
      <c r="O189" s="242"/>
    </row>
    <row r="190">
      <c r="B190" s="246"/>
      <c r="F190" s="246"/>
      <c r="J190" s="246"/>
      <c r="M190" s="246"/>
      <c r="O190" s="242"/>
    </row>
    <row r="191">
      <c r="B191" s="246"/>
      <c r="F191" s="246"/>
      <c r="J191" s="246"/>
      <c r="M191" s="246"/>
      <c r="O191" s="242"/>
    </row>
    <row r="192">
      <c r="B192" s="246"/>
      <c r="F192" s="246"/>
      <c r="J192" s="246"/>
      <c r="M192" s="246"/>
      <c r="O192" s="242"/>
    </row>
    <row r="193">
      <c r="B193" s="246"/>
      <c r="F193" s="246"/>
      <c r="J193" s="246"/>
      <c r="M193" s="246"/>
      <c r="O193" s="242"/>
    </row>
    <row r="194">
      <c r="B194" s="246"/>
      <c r="F194" s="246"/>
      <c r="J194" s="246"/>
      <c r="M194" s="246"/>
      <c r="O194" s="242"/>
    </row>
    <row r="195">
      <c r="B195" s="246"/>
      <c r="F195" s="246"/>
      <c r="J195" s="246"/>
      <c r="M195" s="246"/>
      <c r="O195" s="242"/>
    </row>
    <row r="196">
      <c r="B196" s="246"/>
      <c r="F196" s="246"/>
      <c r="J196" s="246"/>
      <c r="M196" s="246"/>
      <c r="O196" s="242"/>
    </row>
    <row r="197">
      <c r="B197" s="246"/>
      <c r="F197" s="246"/>
      <c r="J197" s="246"/>
      <c r="M197" s="246"/>
      <c r="O197" s="242"/>
    </row>
    <row r="198">
      <c r="B198" s="246"/>
      <c r="F198" s="246"/>
      <c r="J198" s="246"/>
      <c r="M198" s="246"/>
      <c r="O198" s="242"/>
    </row>
    <row r="199">
      <c r="B199" s="246"/>
      <c r="F199" s="246"/>
      <c r="J199" s="246"/>
      <c r="M199" s="246"/>
      <c r="O199" s="242"/>
    </row>
    <row r="200">
      <c r="B200" s="246"/>
      <c r="F200" s="246"/>
      <c r="J200" s="246"/>
      <c r="M200" s="246"/>
      <c r="O200" s="242"/>
    </row>
    <row r="201">
      <c r="B201" s="246"/>
      <c r="F201" s="246"/>
      <c r="J201" s="246"/>
      <c r="M201" s="246"/>
      <c r="O201" s="242"/>
    </row>
    <row r="202">
      <c r="B202" s="246"/>
      <c r="F202" s="246"/>
      <c r="J202" s="246"/>
      <c r="M202" s="246"/>
      <c r="O202" s="242"/>
    </row>
    <row r="203">
      <c r="B203" s="246"/>
      <c r="F203" s="246"/>
      <c r="J203" s="246"/>
      <c r="M203" s="246"/>
      <c r="O203" s="242"/>
    </row>
    <row r="204">
      <c r="B204" s="246"/>
      <c r="F204" s="246"/>
      <c r="J204" s="246"/>
      <c r="M204" s="246"/>
      <c r="O204" s="242"/>
    </row>
    <row r="205">
      <c r="B205" s="246"/>
      <c r="F205" s="246"/>
      <c r="J205" s="246"/>
      <c r="M205" s="246"/>
      <c r="O205" s="242"/>
    </row>
    <row r="206">
      <c r="B206" s="246"/>
      <c r="F206" s="246"/>
      <c r="J206" s="246"/>
      <c r="M206" s="246"/>
      <c r="O206" s="242"/>
    </row>
    <row r="207">
      <c r="B207" s="246"/>
      <c r="F207" s="246"/>
      <c r="J207" s="246"/>
      <c r="M207" s="246"/>
      <c r="O207" s="242"/>
    </row>
    <row r="208">
      <c r="B208" s="246"/>
      <c r="F208" s="246"/>
      <c r="J208" s="246"/>
      <c r="M208" s="246"/>
      <c r="O208" s="242"/>
    </row>
    <row r="209">
      <c r="B209" s="246"/>
      <c r="F209" s="246"/>
      <c r="J209" s="246"/>
      <c r="M209" s="246"/>
      <c r="O209" s="242"/>
    </row>
    <row r="210">
      <c r="B210" s="246"/>
      <c r="F210" s="246"/>
      <c r="J210" s="246"/>
      <c r="M210" s="246"/>
      <c r="O210" s="242"/>
    </row>
    <row r="211">
      <c r="B211" s="246"/>
      <c r="F211" s="246"/>
      <c r="J211" s="246"/>
      <c r="M211" s="246"/>
      <c r="O211" s="242"/>
    </row>
    <row r="212">
      <c r="B212" s="246"/>
      <c r="F212" s="246"/>
      <c r="J212" s="246"/>
      <c r="M212" s="246"/>
      <c r="O212" s="242"/>
    </row>
    <row r="213">
      <c r="B213" s="246"/>
      <c r="F213" s="246"/>
      <c r="J213" s="246"/>
      <c r="M213" s="246"/>
      <c r="O213" s="242"/>
    </row>
    <row r="214">
      <c r="B214" s="246"/>
      <c r="F214" s="246"/>
      <c r="J214" s="246"/>
      <c r="M214" s="246"/>
      <c r="O214" s="242"/>
    </row>
    <row r="215">
      <c r="B215" s="246"/>
      <c r="F215" s="246"/>
      <c r="J215" s="246"/>
      <c r="M215" s="246"/>
      <c r="O215" s="242"/>
    </row>
    <row r="216">
      <c r="B216" s="246"/>
      <c r="F216" s="246"/>
      <c r="J216" s="246"/>
      <c r="M216" s="246"/>
      <c r="O216" s="242"/>
    </row>
    <row r="217">
      <c r="B217" s="246"/>
      <c r="F217" s="246"/>
      <c r="J217" s="246"/>
      <c r="M217" s="246"/>
      <c r="O217" s="242"/>
    </row>
    <row r="218">
      <c r="B218" s="246"/>
      <c r="F218" s="246"/>
      <c r="J218" s="246"/>
      <c r="M218" s="246"/>
      <c r="O218" s="242"/>
    </row>
    <row r="219">
      <c r="B219" s="246"/>
      <c r="F219" s="246"/>
      <c r="J219" s="246"/>
      <c r="M219" s="246"/>
      <c r="O219" s="242"/>
    </row>
    <row r="220">
      <c r="B220" s="246"/>
      <c r="F220" s="246"/>
      <c r="J220" s="246"/>
      <c r="M220" s="246"/>
      <c r="O220" s="242"/>
    </row>
    <row r="221">
      <c r="B221" s="246"/>
      <c r="F221" s="246"/>
      <c r="J221" s="246"/>
      <c r="M221" s="246"/>
      <c r="O221" s="242"/>
    </row>
    <row r="222">
      <c r="B222" s="246"/>
      <c r="F222" s="246"/>
      <c r="J222" s="246"/>
      <c r="M222" s="246"/>
      <c r="O222" s="242"/>
    </row>
    <row r="223">
      <c r="B223" s="246"/>
      <c r="F223" s="246"/>
      <c r="J223" s="246"/>
      <c r="M223" s="246"/>
      <c r="O223" s="242"/>
    </row>
    <row r="224">
      <c r="B224" s="246"/>
      <c r="F224" s="246"/>
      <c r="J224" s="246"/>
      <c r="M224" s="246"/>
      <c r="O224" s="242"/>
    </row>
    <row r="225">
      <c r="B225" s="246"/>
      <c r="F225" s="246"/>
      <c r="J225" s="246"/>
      <c r="M225" s="246"/>
      <c r="O225" s="242"/>
    </row>
    <row r="226">
      <c r="B226" s="246"/>
      <c r="F226" s="246"/>
      <c r="J226" s="246"/>
      <c r="M226" s="246"/>
      <c r="O226" s="242"/>
    </row>
    <row r="227">
      <c r="B227" s="246"/>
      <c r="F227" s="246"/>
      <c r="J227" s="246"/>
      <c r="M227" s="246"/>
      <c r="O227" s="242"/>
    </row>
    <row r="228">
      <c r="B228" s="246"/>
      <c r="F228" s="246"/>
      <c r="J228" s="246"/>
      <c r="M228" s="246"/>
      <c r="O228" s="242"/>
    </row>
    <row r="229">
      <c r="B229" s="246"/>
      <c r="F229" s="246"/>
      <c r="J229" s="246"/>
      <c r="M229" s="246"/>
      <c r="O229" s="242"/>
    </row>
    <row r="230">
      <c r="B230" s="246"/>
      <c r="F230" s="246"/>
      <c r="J230" s="246"/>
      <c r="M230" s="246"/>
      <c r="O230" s="242"/>
    </row>
    <row r="231">
      <c r="B231" s="246"/>
      <c r="F231" s="246"/>
      <c r="J231" s="246"/>
      <c r="M231" s="246"/>
      <c r="O231" s="242"/>
    </row>
    <row r="232">
      <c r="B232" s="246"/>
      <c r="F232" s="246"/>
      <c r="J232" s="246"/>
      <c r="M232" s="246"/>
      <c r="O232" s="242"/>
    </row>
    <row r="233">
      <c r="B233" s="246"/>
      <c r="F233" s="246"/>
      <c r="J233" s="246"/>
      <c r="M233" s="246"/>
      <c r="O233" s="242"/>
    </row>
    <row r="234">
      <c r="B234" s="246"/>
      <c r="F234" s="246"/>
      <c r="J234" s="246"/>
      <c r="M234" s="246"/>
      <c r="O234" s="242"/>
    </row>
    <row r="235">
      <c r="B235" s="246"/>
      <c r="F235" s="246"/>
      <c r="J235" s="246"/>
      <c r="M235" s="246"/>
      <c r="O235" s="242"/>
    </row>
    <row r="236">
      <c r="B236" s="246"/>
      <c r="F236" s="246"/>
      <c r="J236" s="246"/>
      <c r="M236" s="246"/>
      <c r="O236" s="242"/>
    </row>
    <row r="237">
      <c r="B237" s="246"/>
      <c r="F237" s="246"/>
      <c r="J237" s="246"/>
      <c r="M237" s="246"/>
      <c r="O237" s="242"/>
    </row>
    <row r="238">
      <c r="B238" s="246"/>
      <c r="F238" s="246"/>
      <c r="J238" s="246"/>
      <c r="M238" s="246"/>
      <c r="O238" s="242"/>
    </row>
    <row r="239">
      <c r="B239" s="246"/>
      <c r="F239" s="246"/>
      <c r="J239" s="246"/>
      <c r="M239" s="246"/>
      <c r="O239" s="242"/>
    </row>
    <row r="240">
      <c r="B240" s="246"/>
      <c r="F240" s="246"/>
      <c r="J240" s="246"/>
      <c r="M240" s="246"/>
      <c r="O240" s="242"/>
    </row>
    <row r="241">
      <c r="B241" s="246"/>
      <c r="F241" s="246"/>
      <c r="J241" s="246"/>
      <c r="M241" s="246"/>
      <c r="O241" s="242"/>
    </row>
    <row r="242">
      <c r="B242" s="246"/>
      <c r="F242" s="246"/>
      <c r="J242" s="246"/>
      <c r="M242" s="246"/>
      <c r="O242" s="242"/>
    </row>
    <row r="243">
      <c r="B243" s="246"/>
      <c r="F243" s="246"/>
      <c r="J243" s="246"/>
      <c r="M243" s="246"/>
      <c r="O243" s="242"/>
    </row>
    <row r="244">
      <c r="B244" s="246"/>
      <c r="F244" s="246"/>
      <c r="J244" s="246"/>
      <c r="M244" s="246"/>
      <c r="O244" s="242"/>
    </row>
    <row r="245">
      <c r="B245" s="246"/>
      <c r="F245" s="246"/>
      <c r="J245" s="246"/>
      <c r="M245" s="246"/>
      <c r="O245" s="242"/>
    </row>
    <row r="246">
      <c r="B246" s="246"/>
      <c r="F246" s="246"/>
      <c r="J246" s="246"/>
      <c r="M246" s="246"/>
      <c r="O246" s="242"/>
    </row>
    <row r="247">
      <c r="B247" s="246"/>
      <c r="F247" s="246"/>
      <c r="J247" s="246"/>
      <c r="M247" s="246"/>
      <c r="O247" s="242"/>
    </row>
    <row r="248">
      <c r="B248" s="246"/>
      <c r="F248" s="246"/>
      <c r="J248" s="246"/>
      <c r="M248" s="246"/>
      <c r="O248" s="242"/>
    </row>
    <row r="249">
      <c r="B249" s="246"/>
      <c r="F249" s="246"/>
      <c r="J249" s="246"/>
      <c r="M249" s="246"/>
      <c r="O249" s="242"/>
    </row>
    <row r="250">
      <c r="B250" s="246"/>
      <c r="F250" s="246"/>
      <c r="J250" s="246"/>
      <c r="M250" s="246"/>
      <c r="O250" s="242"/>
    </row>
    <row r="251">
      <c r="B251" s="246"/>
      <c r="F251" s="246"/>
      <c r="J251" s="246"/>
      <c r="M251" s="246"/>
      <c r="O251" s="242"/>
    </row>
    <row r="252">
      <c r="B252" s="246"/>
      <c r="F252" s="246"/>
      <c r="J252" s="246"/>
      <c r="M252" s="246"/>
      <c r="O252" s="242"/>
    </row>
    <row r="253">
      <c r="B253" s="246"/>
      <c r="F253" s="246"/>
      <c r="J253" s="246"/>
      <c r="M253" s="246"/>
      <c r="O253" s="242"/>
    </row>
    <row r="254">
      <c r="B254" s="246"/>
      <c r="F254" s="246"/>
      <c r="J254" s="246"/>
      <c r="M254" s="246"/>
      <c r="O254" s="242"/>
    </row>
    <row r="255">
      <c r="B255" s="246"/>
      <c r="F255" s="246"/>
      <c r="J255" s="246"/>
      <c r="M255" s="246"/>
      <c r="O255" s="242"/>
    </row>
    <row r="256">
      <c r="B256" s="246"/>
      <c r="F256" s="246"/>
      <c r="J256" s="246"/>
      <c r="M256" s="246"/>
      <c r="O256" s="242"/>
    </row>
    <row r="257">
      <c r="B257" s="246"/>
      <c r="F257" s="246"/>
      <c r="J257" s="246"/>
      <c r="M257" s="246"/>
      <c r="O257" s="242"/>
    </row>
    <row r="258">
      <c r="B258" s="246"/>
      <c r="F258" s="246"/>
      <c r="J258" s="246"/>
      <c r="M258" s="246"/>
      <c r="O258" s="242"/>
    </row>
    <row r="259">
      <c r="B259" s="246"/>
      <c r="F259" s="246"/>
      <c r="J259" s="246"/>
      <c r="M259" s="246"/>
      <c r="O259" s="242"/>
    </row>
    <row r="260">
      <c r="B260" s="246"/>
      <c r="F260" s="246"/>
      <c r="J260" s="246"/>
      <c r="M260" s="246"/>
      <c r="O260" s="242"/>
    </row>
    <row r="261">
      <c r="B261" s="246"/>
      <c r="F261" s="246"/>
      <c r="J261" s="246"/>
      <c r="M261" s="246"/>
      <c r="O261" s="242"/>
    </row>
    <row r="262">
      <c r="B262" s="246"/>
      <c r="F262" s="246"/>
      <c r="J262" s="246"/>
      <c r="M262" s="246"/>
      <c r="O262" s="242"/>
    </row>
    <row r="263">
      <c r="B263" s="246"/>
      <c r="F263" s="246"/>
      <c r="J263" s="246"/>
      <c r="M263" s="246"/>
      <c r="O263" s="242"/>
    </row>
    <row r="264">
      <c r="B264" s="246"/>
      <c r="F264" s="246"/>
      <c r="J264" s="246"/>
      <c r="M264" s="246"/>
      <c r="O264" s="242"/>
    </row>
    <row r="265">
      <c r="B265" s="246"/>
      <c r="F265" s="246"/>
      <c r="J265" s="246"/>
      <c r="M265" s="246"/>
      <c r="O265" s="242"/>
    </row>
    <row r="266">
      <c r="B266" s="246"/>
      <c r="F266" s="246"/>
      <c r="J266" s="246"/>
      <c r="M266" s="246"/>
      <c r="O266" s="242"/>
    </row>
    <row r="267">
      <c r="B267" s="246"/>
      <c r="F267" s="246"/>
      <c r="J267" s="246"/>
      <c r="M267" s="246"/>
      <c r="O267" s="242"/>
    </row>
    <row r="268">
      <c r="B268" s="246"/>
      <c r="F268" s="246"/>
      <c r="J268" s="246"/>
      <c r="M268" s="246"/>
      <c r="O268" s="242"/>
    </row>
    <row r="269">
      <c r="B269" s="246"/>
      <c r="F269" s="246"/>
      <c r="J269" s="246"/>
      <c r="M269" s="246"/>
      <c r="O269" s="242"/>
    </row>
    <row r="270">
      <c r="B270" s="246"/>
      <c r="F270" s="246"/>
      <c r="J270" s="246"/>
      <c r="M270" s="246"/>
      <c r="O270" s="242"/>
    </row>
    <row r="271">
      <c r="B271" s="246"/>
      <c r="F271" s="246"/>
      <c r="J271" s="246"/>
      <c r="M271" s="246"/>
      <c r="O271" s="242"/>
    </row>
    <row r="272">
      <c r="B272" s="246"/>
      <c r="F272" s="246"/>
      <c r="J272" s="246"/>
      <c r="M272" s="246"/>
      <c r="O272" s="242"/>
    </row>
    <row r="273">
      <c r="B273" s="246"/>
      <c r="F273" s="246"/>
      <c r="J273" s="246"/>
      <c r="M273" s="246"/>
      <c r="O273" s="242"/>
    </row>
    <row r="274">
      <c r="B274" s="246"/>
      <c r="F274" s="246"/>
      <c r="J274" s="246"/>
      <c r="M274" s="246"/>
      <c r="O274" s="242"/>
    </row>
    <row r="275">
      <c r="B275" s="246"/>
      <c r="F275" s="246"/>
      <c r="J275" s="246"/>
      <c r="M275" s="246"/>
      <c r="O275" s="242"/>
    </row>
    <row r="276">
      <c r="B276" s="246"/>
      <c r="F276" s="246"/>
      <c r="J276" s="246"/>
      <c r="M276" s="246"/>
      <c r="O276" s="242"/>
    </row>
    <row r="277">
      <c r="B277" s="246"/>
      <c r="F277" s="246"/>
      <c r="J277" s="246"/>
      <c r="M277" s="246"/>
      <c r="O277" s="242"/>
    </row>
    <row r="278">
      <c r="B278" s="246"/>
      <c r="F278" s="246"/>
      <c r="J278" s="246"/>
      <c r="M278" s="246"/>
      <c r="O278" s="242"/>
    </row>
    <row r="279">
      <c r="B279" s="246"/>
      <c r="F279" s="246"/>
      <c r="J279" s="246"/>
      <c r="M279" s="246"/>
      <c r="O279" s="242"/>
    </row>
    <row r="280">
      <c r="B280" s="246"/>
      <c r="F280" s="246"/>
      <c r="J280" s="246"/>
      <c r="M280" s="246"/>
      <c r="O280" s="242"/>
    </row>
    <row r="281">
      <c r="B281" s="246"/>
      <c r="F281" s="246"/>
      <c r="J281" s="246"/>
      <c r="M281" s="246"/>
      <c r="O281" s="242"/>
    </row>
    <row r="282">
      <c r="B282" s="246"/>
      <c r="F282" s="246"/>
      <c r="J282" s="246"/>
      <c r="M282" s="246"/>
      <c r="O282" s="242"/>
    </row>
    <row r="283">
      <c r="B283" s="246"/>
      <c r="F283" s="246"/>
      <c r="J283" s="246"/>
      <c r="M283" s="246"/>
      <c r="O283" s="242"/>
    </row>
    <row r="284">
      <c r="B284" s="246"/>
      <c r="F284" s="246"/>
      <c r="J284" s="246"/>
      <c r="M284" s="246"/>
      <c r="O284" s="242"/>
    </row>
    <row r="285">
      <c r="B285" s="246"/>
      <c r="F285" s="246"/>
      <c r="J285" s="246"/>
      <c r="M285" s="246"/>
      <c r="O285" s="242"/>
    </row>
    <row r="286">
      <c r="B286" s="246"/>
      <c r="F286" s="246"/>
      <c r="J286" s="246"/>
      <c r="M286" s="246"/>
      <c r="O286" s="242"/>
    </row>
    <row r="287">
      <c r="B287" s="246"/>
      <c r="F287" s="246"/>
      <c r="J287" s="246"/>
      <c r="M287" s="246"/>
      <c r="O287" s="242"/>
    </row>
    <row r="288">
      <c r="B288" s="246"/>
      <c r="F288" s="246"/>
      <c r="J288" s="246"/>
      <c r="M288" s="246"/>
      <c r="O288" s="242"/>
    </row>
    <row r="289">
      <c r="B289" s="246"/>
      <c r="F289" s="246"/>
      <c r="J289" s="246"/>
      <c r="M289" s="246"/>
      <c r="O289" s="242"/>
    </row>
    <row r="290">
      <c r="B290" s="246"/>
      <c r="F290" s="246"/>
      <c r="J290" s="246"/>
      <c r="M290" s="246"/>
      <c r="O290" s="242"/>
    </row>
    <row r="291">
      <c r="B291" s="246"/>
      <c r="F291" s="246"/>
      <c r="J291" s="246"/>
      <c r="M291" s="246"/>
      <c r="O291" s="242"/>
    </row>
    <row r="292">
      <c r="B292" s="246"/>
      <c r="F292" s="246"/>
      <c r="J292" s="246"/>
      <c r="M292" s="246"/>
      <c r="O292" s="242"/>
    </row>
    <row r="293">
      <c r="B293" s="246"/>
      <c r="F293" s="246"/>
      <c r="J293" s="246"/>
      <c r="M293" s="246"/>
      <c r="O293" s="242"/>
    </row>
    <row r="294">
      <c r="B294" s="246"/>
      <c r="F294" s="246"/>
      <c r="J294" s="246"/>
      <c r="M294" s="246"/>
      <c r="O294" s="242"/>
    </row>
    <row r="295">
      <c r="B295" s="246"/>
      <c r="F295" s="246"/>
      <c r="J295" s="246"/>
      <c r="M295" s="246"/>
      <c r="O295" s="242"/>
    </row>
    <row r="296">
      <c r="B296" s="246"/>
      <c r="F296" s="246"/>
      <c r="J296" s="246"/>
      <c r="M296" s="246"/>
      <c r="O296" s="242"/>
    </row>
    <row r="297">
      <c r="B297" s="246"/>
      <c r="F297" s="246"/>
      <c r="J297" s="246"/>
      <c r="M297" s="246"/>
      <c r="O297" s="242"/>
    </row>
    <row r="298">
      <c r="B298" s="246"/>
      <c r="F298" s="246"/>
      <c r="J298" s="246"/>
      <c r="M298" s="246"/>
      <c r="O298" s="242"/>
    </row>
    <row r="299">
      <c r="B299" s="246"/>
      <c r="F299" s="246"/>
      <c r="J299" s="246"/>
      <c r="M299" s="246"/>
      <c r="O299" s="242"/>
    </row>
    <row r="300">
      <c r="B300" s="246"/>
      <c r="F300" s="246"/>
      <c r="J300" s="246"/>
      <c r="M300" s="246"/>
      <c r="O300" s="242"/>
    </row>
    <row r="301">
      <c r="B301" s="246"/>
      <c r="F301" s="246"/>
      <c r="J301" s="246"/>
      <c r="M301" s="246"/>
      <c r="O301" s="242"/>
    </row>
    <row r="302">
      <c r="B302" s="246"/>
      <c r="F302" s="246"/>
      <c r="J302" s="246"/>
      <c r="M302" s="246"/>
      <c r="O302" s="242"/>
    </row>
    <row r="303">
      <c r="B303" s="246"/>
      <c r="F303" s="246"/>
      <c r="J303" s="246"/>
      <c r="M303" s="246"/>
      <c r="O303" s="242"/>
    </row>
    <row r="304">
      <c r="B304" s="246"/>
      <c r="F304" s="246"/>
      <c r="J304" s="246"/>
      <c r="M304" s="246"/>
      <c r="O304" s="242"/>
    </row>
    <row r="305">
      <c r="B305" s="246"/>
      <c r="F305" s="246"/>
      <c r="J305" s="246"/>
      <c r="M305" s="246"/>
      <c r="O305" s="242"/>
    </row>
    <row r="306">
      <c r="B306" s="246"/>
      <c r="F306" s="246"/>
      <c r="J306" s="246"/>
      <c r="M306" s="246"/>
      <c r="O306" s="242"/>
    </row>
    <row r="307">
      <c r="B307" s="246"/>
      <c r="F307" s="246"/>
      <c r="J307" s="246"/>
      <c r="M307" s="246"/>
      <c r="O307" s="242"/>
    </row>
    <row r="308">
      <c r="B308" s="246"/>
      <c r="F308" s="246"/>
      <c r="J308" s="246"/>
      <c r="M308" s="246"/>
      <c r="O308" s="242"/>
    </row>
    <row r="309">
      <c r="B309" s="246"/>
      <c r="F309" s="246"/>
      <c r="J309" s="246"/>
      <c r="M309" s="246"/>
      <c r="O309" s="242"/>
    </row>
    <row r="310">
      <c r="B310" s="246"/>
      <c r="F310" s="246"/>
      <c r="J310" s="246"/>
      <c r="M310" s="246"/>
      <c r="O310" s="242"/>
    </row>
    <row r="311">
      <c r="B311" s="246"/>
      <c r="F311" s="246"/>
      <c r="J311" s="246"/>
      <c r="M311" s="246"/>
      <c r="O311" s="242"/>
    </row>
    <row r="312">
      <c r="B312" s="246"/>
      <c r="F312" s="246"/>
      <c r="J312" s="246"/>
      <c r="M312" s="246"/>
      <c r="O312" s="242"/>
    </row>
    <row r="313">
      <c r="B313" s="246"/>
      <c r="F313" s="246"/>
      <c r="J313" s="246"/>
      <c r="M313" s="246"/>
      <c r="O313" s="242"/>
    </row>
    <row r="314">
      <c r="B314" s="246"/>
      <c r="F314" s="246"/>
      <c r="J314" s="246"/>
      <c r="M314" s="246"/>
      <c r="O314" s="242"/>
    </row>
    <row r="315">
      <c r="B315" s="246"/>
      <c r="F315" s="246"/>
      <c r="J315" s="246"/>
      <c r="M315" s="246"/>
      <c r="O315" s="242"/>
    </row>
    <row r="316">
      <c r="B316" s="246"/>
      <c r="F316" s="246"/>
      <c r="J316" s="246"/>
      <c r="M316" s="246"/>
      <c r="O316" s="242"/>
    </row>
    <row r="317">
      <c r="B317" s="246"/>
      <c r="F317" s="246"/>
      <c r="J317" s="246"/>
      <c r="M317" s="246"/>
      <c r="O317" s="242"/>
    </row>
    <row r="318">
      <c r="B318" s="246"/>
      <c r="F318" s="246"/>
      <c r="J318" s="246"/>
      <c r="M318" s="246"/>
      <c r="O318" s="242"/>
    </row>
    <row r="319">
      <c r="B319" s="246"/>
      <c r="F319" s="246"/>
      <c r="J319" s="246"/>
      <c r="M319" s="246"/>
      <c r="O319" s="242"/>
    </row>
    <row r="320">
      <c r="B320" s="246"/>
      <c r="F320" s="246"/>
      <c r="J320" s="246"/>
      <c r="M320" s="246"/>
      <c r="O320" s="242"/>
    </row>
    <row r="321">
      <c r="B321" s="246"/>
      <c r="F321" s="246"/>
      <c r="J321" s="246"/>
      <c r="M321" s="246"/>
      <c r="O321" s="242"/>
    </row>
    <row r="322">
      <c r="B322" s="246"/>
      <c r="F322" s="246"/>
      <c r="J322" s="246"/>
      <c r="M322" s="246"/>
      <c r="O322" s="242"/>
    </row>
    <row r="323">
      <c r="B323" s="246"/>
      <c r="F323" s="246"/>
      <c r="J323" s="246"/>
      <c r="M323" s="246"/>
      <c r="O323" s="242"/>
    </row>
    <row r="324">
      <c r="B324" s="246"/>
      <c r="F324" s="246"/>
      <c r="J324" s="246"/>
      <c r="M324" s="246"/>
      <c r="O324" s="242"/>
    </row>
    <row r="325">
      <c r="B325" s="246"/>
      <c r="F325" s="246"/>
      <c r="J325" s="246"/>
      <c r="M325" s="246"/>
      <c r="O325" s="242"/>
    </row>
    <row r="326">
      <c r="B326" s="246"/>
      <c r="F326" s="246"/>
      <c r="J326" s="246"/>
      <c r="M326" s="246"/>
      <c r="O326" s="242"/>
    </row>
    <row r="327">
      <c r="B327" s="246"/>
      <c r="F327" s="246"/>
      <c r="J327" s="246"/>
      <c r="M327" s="246"/>
      <c r="O327" s="242"/>
    </row>
    <row r="328">
      <c r="B328" s="246"/>
      <c r="F328" s="246"/>
      <c r="J328" s="246"/>
      <c r="M328" s="246"/>
      <c r="O328" s="242"/>
    </row>
    <row r="329">
      <c r="B329" s="246"/>
      <c r="F329" s="246"/>
      <c r="J329" s="246"/>
      <c r="M329" s="246"/>
      <c r="O329" s="242"/>
    </row>
    <row r="330">
      <c r="B330" s="246"/>
      <c r="F330" s="246"/>
      <c r="J330" s="246"/>
      <c r="M330" s="246"/>
      <c r="O330" s="242"/>
    </row>
    <row r="331">
      <c r="B331" s="246"/>
      <c r="F331" s="246"/>
      <c r="J331" s="246"/>
      <c r="M331" s="246"/>
      <c r="O331" s="242"/>
    </row>
    <row r="332">
      <c r="B332" s="246"/>
      <c r="F332" s="246"/>
      <c r="J332" s="246"/>
      <c r="M332" s="246"/>
      <c r="O332" s="242"/>
    </row>
    <row r="333">
      <c r="B333" s="246"/>
      <c r="F333" s="246"/>
      <c r="J333" s="246"/>
      <c r="M333" s="246"/>
      <c r="O333" s="242"/>
    </row>
    <row r="334">
      <c r="B334" s="246"/>
      <c r="F334" s="246"/>
      <c r="J334" s="246"/>
      <c r="M334" s="246"/>
      <c r="O334" s="242"/>
    </row>
    <row r="335">
      <c r="B335" s="246"/>
      <c r="F335" s="246"/>
      <c r="J335" s="246"/>
      <c r="M335" s="246"/>
      <c r="O335" s="242"/>
    </row>
    <row r="336">
      <c r="B336" s="246"/>
      <c r="F336" s="246"/>
      <c r="J336" s="246"/>
      <c r="M336" s="246"/>
      <c r="O336" s="242"/>
    </row>
    <row r="337">
      <c r="B337" s="246"/>
      <c r="F337" s="246"/>
      <c r="J337" s="246"/>
      <c r="M337" s="246"/>
      <c r="O337" s="242"/>
    </row>
    <row r="338">
      <c r="B338" s="246"/>
      <c r="F338" s="246"/>
      <c r="J338" s="246"/>
      <c r="M338" s="246"/>
      <c r="O338" s="242"/>
    </row>
    <row r="339">
      <c r="B339" s="246"/>
      <c r="F339" s="246"/>
      <c r="J339" s="246"/>
      <c r="M339" s="246"/>
      <c r="O339" s="242"/>
    </row>
    <row r="340">
      <c r="B340" s="246"/>
      <c r="F340" s="246"/>
      <c r="J340" s="246"/>
      <c r="M340" s="246"/>
      <c r="O340" s="242"/>
    </row>
    <row r="341">
      <c r="B341" s="246"/>
      <c r="F341" s="246"/>
      <c r="J341" s="246"/>
      <c r="M341" s="246"/>
      <c r="O341" s="242"/>
    </row>
    <row r="342">
      <c r="B342" s="246"/>
      <c r="F342" s="246"/>
      <c r="J342" s="246"/>
      <c r="M342" s="246"/>
      <c r="O342" s="242"/>
    </row>
    <row r="343">
      <c r="B343" s="246"/>
      <c r="F343" s="246"/>
      <c r="J343" s="246"/>
      <c r="M343" s="246"/>
      <c r="O343" s="242"/>
    </row>
    <row r="344">
      <c r="B344" s="246"/>
      <c r="F344" s="246"/>
      <c r="J344" s="246"/>
      <c r="M344" s="246"/>
      <c r="O344" s="242"/>
    </row>
    <row r="345">
      <c r="B345" s="246"/>
      <c r="F345" s="246"/>
      <c r="J345" s="246"/>
      <c r="M345" s="246"/>
      <c r="O345" s="242"/>
    </row>
    <row r="346">
      <c r="B346" s="246"/>
      <c r="F346" s="246"/>
      <c r="J346" s="246"/>
      <c r="M346" s="246"/>
      <c r="O346" s="242"/>
    </row>
    <row r="347">
      <c r="B347" s="246"/>
      <c r="F347" s="246"/>
      <c r="J347" s="246"/>
      <c r="M347" s="246"/>
      <c r="O347" s="242"/>
    </row>
    <row r="348">
      <c r="B348" s="246"/>
      <c r="F348" s="246"/>
      <c r="J348" s="246"/>
      <c r="M348" s="246"/>
      <c r="O348" s="242"/>
    </row>
    <row r="349">
      <c r="B349" s="246"/>
      <c r="F349" s="246"/>
      <c r="J349" s="246"/>
      <c r="M349" s="246"/>
      <c r="O349" s="242"/>
    </row>
    <row r="350">
      <c r="B350" s="246"/>
      <c r="F350" s="246"/>
      <c r="J350" s="246"/>
      <c r="M350" s="246"/>
      <c r="O350" s="242"/>
    </row>
    <row r="351">
      <c r="B351" s="246"/>
      <c r="F351" s="246"/>
      <c r="J351" s="246"/>
      <c r="M351" s="246"/>
      <c r="O351" s="242"/>
    </row>
    <row r="352">
      <c r="B352" s="246"/>
      <c r="F352" s="246"/>
      <c r="J352" s="246"/>
      <c r="M352" s="246"/>
      <c r="O352" s="242"/>
    </row>
    <row r="353">
      <c r="B353" s="246"/>
      <c r="F353" s="246"/>
      <c r="J353" s="246"/>
      <c r="M353" s="246"/>
      <c r="O353" s="242"/>
    </row>
    <row r="354">
      <c r="B354" s="246"/>
      <c r="F354" s="246"/>
      <c r="J354" s="246"/>
      <c r="M354" s="246"/>
      <c r="O354" s="242"/>
    </row>
    <row r="355">
      <c r="B355" s="246"/>
      <c r="F355" s="246"/>
      <c r="J355" s="246"/>
      <c r="M355" s="246"/>
      <c r="O355" s="242"/>
    </row>
    <row r="356">
      <c r="B356" s="246"/>
      <c r="F356" s="246"/>
      <c r="J356" s="246"/>
      <c r="M356" s="246"/>
      <c r="O356" s="242"/>
    </row>
    <row r="357">
      <c r="B357" s="246"/>
      <c r="F357" s="246"/>
      <c r="J357" s="246"/>
      <c r="M357" s="246"/>
      <c r="O357" s="242"/>
    </row>
    <row r="358">
      <c r="B358" s="246"/>
      <c r="F358" s="246"/>
      <c r="J358" s="246"/>
      <c r="M358" s="246"/>
      <c r="O358" s="242"/>
    </row>
    <row r="359">
      <c r="B359" s="246"/>
      <c r="F359" s="246"/>
      <c r="J359" s="246"/>
      <c r="M359" s="246"/>
      <c r="O359" s="242"/>
    </row>
    <row r="360">
      <c r="B360" s="246"/>
      <c r="F360" s="246"/>
      <c r="J360" s="246"/>
      <c r="M360" s="246"/>
      <c r="O360" s="242"/>
    </row>
    <row r="361">
      <c r="B361" s="246"/>
      <c r="F361" s="246"/>
      <c r="J361" s="246"/>
      <c r="M361" s="246"/>
      <c r="O361" s="242"/>
    </row>
    <row r="362">
      <c r="B362" s="246"/>
      <c r="F362" s="246"/>
      <c r="J362" s="246"/>
      <c r="M362" s="246"/>
      <c r="O362" s="242"/>
    </row>
    <row r="363">
      <c r="B363" s="246"/>
      <c r="F363" s="246"/>
      <c r="J363" s="246"/>
      <c r="M363" s="246"/>
      <c r="O363" s="242"/>
    </row>
    <row r="364">
      <c r="B364" s="246"/>
      <c r="F364" s="246"/>
      <c r="J364" s="246"/>
      <c r="M364" s="246"/>
      <c r="O364" s="242"/>
    </row>
    <row r="365">
      <c r="B365" s="246"/>
      <c r="F365" s="246"/>
      <c r="J365" s="246"/>
      <c r="M365" s="246"/>
      <c r="O365" s="242"/>
    </row>
    <row r="366">
      <c r="B366" s="246"/>
      <c r="F366" s="246"/>
      <c r="J366" s="246"/>
      <c r="M366" s="246"/>
      <c r="O366" s="242"/>
    </row>
    <row r="367">
      <c r="B367" s="246"/>
      <c r="F367" s="246"/>
      <c r="J367" s="246"/>
      <c r="M367" s="246"/>
      <c r="O367" s="242"/>
    </row>
    <row r="368">
      <c r="B368" s="246"/>
      <c r="F368" s="246"/>
      <c r="J368" s="246"/>
      <c r="M368" s="246"/>
      <c r="O368" s="242"/>
    </row>
    <row r="369">
      <c r="B369" s="246"/>
      <c r="F369" s="246"/>
      <c r="J369" s="246"/>
      <c r="M369" s="246"/>
      <c r="O369" s="242"/>
    </row>
    <row r="370">
      <c r="B370" s="246"/>
      <c r="F370" s="246"/>
      <c r="J370" s="246"/>
      <c r="M370" s="246"/>
      <c r="O370" s="242"/>
    </row>
    <row r="371">
      <c r="B371" s="246"/>
      <c r="F371" s="246"/>
      <c r="J371" s="246"/>
      <c r="M371" s="246"/>
      <c r="O371" s="242"/>
    </row>
    <row r="372">
      <c r="B372" s="246"/>
      <c r="F372" s="246"/>
      <c r="J372" s="246"/>
      <c r="M372" s="246"/>
      <c r="O372" s="242"/>
    </row>
    <row r="373">
      <c r="B373" s="246"/>
      <c r="F373" s="246"/>
      <c r="J373" s="246"/>
      <c r="M373" s="246"/>
      <c r="O373" s="242"/>
    </row>
    <row r="374">
      <c r="B374" s="246"/>
      <c r="F374" s="246"/>
      <c r="J374" s="246"/>
      <c r="M374" s="246"/>
      <c r="O374" s="242"/>
    </row>
    <row r="375">
      <c r="B375" s="246"/>
      <c r="F375" s="246"/>
      <c r="J375" s="246"/>
      <c r="M375" s="246"/>
      <c r="O375" s="242"/>
    </row>
    <row r="376">
      <c r="B376" s="246"/>
      <c r="F376" s="246"/>
      <c r="J376" s="246"/>
      <c r="M376" s="246"/>
      <c r="O376" s="242"/>
    </row>
    <row r="377">
      <c r="B377" s="246"/>
      <c r="F377" s="246"/>
      <c r="J377" s="246"/>
      <c r="M377" s="246"/>
      <c r="O377" s="242"/>
    </row>
    <row r="378">
      <c r="B378" s="246"/>
      <c r="F378" s="246"/>
      <c r="J378" s="246"/>
      <c r="M378" s="246"/>
      <c r="O378" s="242"/>
    </row>
    <row r="379">
      <c r="B379" s="246"/>
      <c r="F379" s="246"/>
      <c r="J379" s="246"/>
      <c r="M379" s="246"/>
      <c r="O379" s="242"/>
    </row>
    <row r="380">
      <c r="B380" s="246"/>
      <c r="F380" s="246"/>
      <c r="J380" s="246"/>
      <c r="M380" s="246"/>
      <c r="O380" s="242"/>
    </row>
    <row r="381">
      <c r="B381" s="246"/>
      <c r="F381" s="246"/>
      <c r="J381" s="246"/>
      <c r="M381" s="246"/>
      <c r="O381" s="242"/>
    </row>
    <row r="382">
      <c r="B382" s="246"/>
      <c r="F382" s="246"/>
      <c r="J382" s="246"/>
      <c r="M382" s="246"/>
      <c r="O382" s="242"/>
    </row>
    <row r="383">
      <c r="B383" s="246"/>
      <c r="F383" s="246"/>
      <c r="J383" s="246"/>
      <c r="M383" s="246"/>
      <c r="O383" s="242"/>
    </row>
    <row r="384">
      <c r="B384" s="246"/>
      <c r="F384" s="246"/>
      <c r="J384" s="246"/>
      <c r="M384" s="246"/>
      <c r="O384" s="242"/>
    </row>
    <row r="385">
      <c r="B385" s="246"/>
      <c r="F385" s="246"/>
      <c r="J385" s="246"/>
      <c r="M385" s="246"/>
      <c r="O385" s="242"/>
    </row>
    <row r="386">
      <c r="B386" s="246"/>
      <c r="F386" s="246"/>
      <c r="J386" s="246"/>
      <c r="M386" s="246"/>
      <c r="O386" s="242"/>
    </row>
    <row r="387">
      <c r="B387" s="246"/>
      <c r="F387" s="246"/>
      <c r="J387" s="246"/>
      <c r="M387" s="246"/>
      <c r="O387" s="242"/>
    </row>
    <row r="388">
      <c r="B388" s="246"/>
      <c r="F388" s="246"/>
      <c r="J388" s="246"/>
      <c r="M388" s="246"/>
      <c r="O388" s="242"/>
    </row>
    <row r="389">
      <c r="B389" s="246"/>
      <c r="F389" s="246"/>
      <c r="J389" s="246"/>
      <c r="M389" s="246"/>
      <c r="O389" s="242"/>
    </row>
    <row r="390">
      <c r="B390" s="246"/>
      <c r="F390" s="246"/>
      <c r="J390" s="246"/>
      <c r="M390" s="246"/>
      <c r="O390" s="242"/>
    </row>
    <row r="391">
      <c r="B391" s="246"/>
      <c r="F391" s="246"/>
      <c r="J391" s="246"/>
      <c r="M391" s="246"/>
      <c r="O391" s="242"/>
    </row>
    <row r="392">
      <c r="B392" s="246"/>
      <c r="F392" s="246"/>
      <c r="J392" s="246"/>
      <c r="M392" s="246"/>
      <c r="O392" s="242"/>
    </row>
    <row r="393">
      <c r="B393" s="246"/>
      <c r="F393" s="246"/>
      <c r="J393" s="246"/>
      <c r="M393" s="246"/>
      <c r="O393" s="242"/>
    </row>
    <row r="394">
      <c r="B394" s="246"/>
      <c r="F394" s="246"/>
      <c r="J394" s="246"/>
      <c r="M394" s="246"/>
      <c r="O394" s="242"/>
    </row>
    <row r="395">
      <c r="B395" s="246"/>
      <c r="F395" s="246"/>
      <c r="J395" s="246"/>
      <c r="M395" s="246"/>
      <c r="O395" s="242"/>
    </row>
    <row r="396">
      <c r="B396" s="246"/>
      <c r="F396" s="246"/>
      <c r="J396" s="246"/>
      <c r="M396" s="246"/>
      <c r="O396" s="242"/>
    </row>
    <row r="397">
      <c r="B397" s="246"/>
      <c r="F397" s="246"/>
      <c r="J397" s="246"/>
      <c r="M397" s="246"/>
      <c r="O397" s="242"/>
    </row>
    <row r="398">
      <c r="B398" s="246"/>
      <c r="F398" s="246"/>
      <c r="J398" s="246"/>
      <c r="M398" s="246"/>
      <c r="O398" s="242"/>
    </row>
    <row r="399">
      <c r="B399" s="246"/>
      <c r="F399" s="246"/>
      <c r="J399" s="246"/>
      <c r="M399" s="246"/>
      <c r="O399" s="242"/>
    </row>
    <row r="400">
      <c r="B400" s="246"/>
      <c r="F400" s="246"/>
      <c r="J400" s="246"/>
      <c r="M400" s="246"/>
      <c r="O400" s="242"/>
    </row>
    <row r="401">
      <c r="B401" s="246"/>
      <c r="F401" s="246"/>
      <c r="J401" s="246"/>
      <c r="M401" s="246"/>
      <c r="O401" s="242"/>
    </row>
    <row r="402">
      <c r="B402" s="246"/>
      <c r="F402" s="246"/>
      <c r="J402" s="246"/>
      <c r="M402" s="246"/>
      <c r="O402" s="242"/>
    </row>
    <row r="403">
      <c r="B403" s="246"/>
      <c r="F403" s="246"/>
      <c r="J403" s="246"/>
      <c r="M403" s="246"/>
      <c r="O403" s="242"/>
    </row>
    <row r="404">
      <c r="B404" s="246"/>
      <c r="F404" s="246"/>
      <c r="J404" s="246"/>
      <c r="M404" s="246"/>
      <c r="O404" s="242"/>
    </row>
    <row r="405">
      <c r="B405" s="246"/>
      <c r="F405" s="246"/>
      <c r="J405" s="246"/>
      <c r="M405" s="246"/>
      <c r="O405" s="242"/>
    </row>
    <row r="406">
      <c r="B406" s="246"/>
      <c r="F406" s="246"/>
      <c r="J406" s="246"/>
      <c r="M406" s="246"/>
      <c r="O406" s="242"/>
    </row>
    <row r="407">
      <c r="B407" s="246"/>
      <c r="F407" s="246"/>
      <c r="J407" s="246"/>
      <c r="M407" s="246"/>
      <c r="O407" s="242"/>
    </row>
    <row r="408">
      <c r="B408" s="246"/>
      <c r="F408" s="246"/>
      <c r="J408" s="246"/>
      <c r="M408" s="246"/>
      <c r="O408" s="242"/>
    </row>
    <row r="409">
      <c r="B409" s="246"/>
      <c r="F409" s="246"/>
      <c r="J409" s="246"/>
      <c r="M409" s="246"/>
      <c r="O409" s="242"/>
    </row>
    <row r="410">
      <c r="B410" s="246"/>
      <c r="F410" s="246"/>
      <c r="J410" s="246"/>
      <c r="M410" s="246"/>
      <c r="O410" s="242"/>
    </row>
    <row r="411">
      <c r="B411" s="246"/>
      <c r="F411" s="246"/>
      <c r="J411" s="246"/>
      <c r="M411" s="246"/>
      <c r="O411" s="242"/>
    </row>
    <row r="412">
      <c r="B412" s="246"/>
      <c r="F412" s="246"/>
      <c r="J412" s="246"/>
      <c r="M412" s="246"/>
      <c r="O412" s="242"/>
    </row>
    <row r="413">
      <c r="B413" s="246"/>
      <c r="F413" s="246"/>
      <c r="J413" s="246"/>
      <c r="M413" s="246"/>
      <c r="O413" s="242"/>
    </row>
    <row r="414">
      <c r="B414" s="246"/>
      <c r="F414" s="246"/>
      <c r="J414" s="246"/>
      <c r="M414" s="246"/>
      <c r="O414" s="242"/>
    </row>
    <row r="415">
      <c r="B415" s="246"/>
      <c r="F415" s="246"/>
      <c r="J415" s="246"/>
      <c r="M415" s="246"/>
      <c r="O415" s="242"/>
    </row>
    <row r="416">
      <c r="B416" s="246"/>
      <c r="F416" s="246"/>
      <c r="J416" s="246"/>
      <c r="M416" s="246"/>
      <c r="O416" s="242"/>
    </row>
    <row r="417">
      <c r="B417" s="246"/>
      <c r="F417" s="246"/>
      <c r="J417" s="246"/>
      <c r="M417" s="246"/>
      <c r="O417" s="242"/>
    </row>
    <row r="418">
      <c r="B418" s="246"/>
      <c r="F418" s="246"/>
      <c r="J418" s="246"/>
      <c r="M418" s="246"/>
      <c r="O418" s="242"/>
    </row>
    <row r="419">
      <c r="B419" s="246"/>
      <c r="F419" s="246"/>
      <c r="J419" s="246"/>
      <c r="M419" s="246"/>
      <c r="O419" s="242"/>
    </row>
    <row r="420">
      <c r="B420" s="246"/>
      <c r="F420" s="246"/>
      <c r="J420" s="246"/>
      <c r="M420" s="246"/>
      <c r="O420" s="242"/>
    </row>
    <row r="421">
      <c r="B421" s="246"/>
      <c r="F421" s="246"/>
      <c r="J421" s="246"/>
      <c r="M421" s="246"/>
      <c r="O421" s="242"/>
    </row>
    <row r="422">
      <c r="B422" s="246"/>
      <c r="F422" s="246"/>
      <c r="J422" s="246"/>
      <c r="M422" s="246"/>
      <c r="O422" s="242"/>
    </row>
    <row r="423">
      <c r="B423" s="246"/>
      <c r="F423" s="246"/>
      <c r="J423" s="246"/>
      <c r="M423" s="246"/>
      <c r="O423" s="242"/>
    </row>
    <row r="424">
      <c r="B424" s="246"/>
      <c r="F424" s="246"/>
      <c r="J424" s="246"/>
      <c r="M424" s="246"/>
      <c r="O424" s="242"/>
    </row>
    <row r="425">
      <c r="B425" s="246"/>
      <c r="F425" s="246"/>
      <c r="J425" s="246"/>
      <c r="M425" s="246"/>
      <c r="O425" s="242"/>
    </row>
    <row r="426">
      <c r="B426" s="246"/>
      <c r="F426" s="246"/>
      <c r="J426" s="246"/>
      <c r="M426" s="246"/>
      <c r="O426" s="242"/>
    </row>
    <row r="427">
      <c r="B427" s="246"/>
      <c r="F427" s="246"/>
      <c r="J427" s="246"/>
      <c r="M427" s="246"/>
      <c r="O427" s="242"/>
    </row>
    <row r="428">
      <c r="B428" s="246"/>
      <c r="F428" s="246"/>
      <c r="J428" s="246"/>
      <c r="M428" s="246"/>
      <c r="O428" s="242"/>
    </row>
    <row r="429">
      <c r="B429" s="246"/>
      <c r="F429" s="246"/>
      <c r="J429" s="246"/>
      <c r="M429" s="246"/>
      <c r="O429" s="242"/>
    </row>
    <row r="430">
      <c r="B430" s="246"/>
      <c r="F430" s="246"/>
      <c r="J430" s="246"/>
      <c r="M430" s="246"/>
      <c r="O430" s="242"/>
    </row>
    <row r="431">
      <c r="B431" s="246"/>
      <c r="F431" s="246"/>
      <c r="J431" s="246"/>
      <c r="M431" s="246"/>
      <c r="O431" s="242"/>
    </row>
    <row r="432">
      <c r="B432" s="246"/>
      <c r="F432" s="246"/>
      <c r="J432" s="246"/>
      <c r="M432" s="246"/>
      <c r="O432" s="242"/>
    </row>
    <row r="433">
      <c r="B433" s="246"/>
      <c r="F433" s="246"/>
      <c r="J433" s="246"/>
      <c r="M433" s="246"/>
      <c r="O433" s="242"/>
    </row>
    <row r="434">
      <c r="B434" s="246"/>
      <c r="F434" s="246"/>
      <c r="J434" s="246"/>
      <c r="M434" s="246"/>
      <c r="O434" s="242"/>
    </row>
    <row r="435">
      <c r="B435" s="246"/>
      <c r="F435" s="246"/>
      <c r="J435" s="246"/>
      <c r="M435" s="246"/>
      <c r="O435" s="242"/>
    </row>
    <row r="436">
      <c r="B436" s="246"/>
      <c r="F436" s="246"/>
      <c r="J436" s="246"/>
      <c r="M436" s="246"/>
      <c r="O436" s="242"/>
    </row>
    <row r="437">
      <c r="B437" s="246"/>
      <c r="F437" s="246"/>
      <c r="J437" s="246"/>
      <c r="M437" s="246"/>
      <c r="O437" s="242"/>
    </row>
    <row r="438">
      <c r="B438" s="246"/>
      <c r="F438" s="246"/>
      <c r="J438" s="246"/>
      <c r="M438" s="246"/>
      <c r="O438" s="242"/>
    </row>
    <row r="439">
      <c r="B439" s="246"/>
      <c r="F439" s="246"/>
      <c r="J439" s="246"/>
      <c r="M439" s="246"/>
      <c r="O439" s="242"/>
    </row>
    <row r="440">
      <c r="B440" s="246"/>
      <c r="F440" s="246"/>
      <c r="J440" s="246"/>
      <c r="M440" s="246"/>
      <c r="O440" s="242"/>
    </row>
    <row r="441">
      <c r="B441" s="246"/>
      <c r="F441" s="246"/>
      <c r="J441" s="246"/>
      <c r="M441" s="246"/>
      <c r="O441" s="242"/>
    </row>
    <row r="442">
      <c r="B442" s="246"/>
      <c r="F442" s="246"/>
      <c r="J442" s="246"/>
      <c r="M442" s="246"/>
      <c r="O442" s="242"/>
    </row>
    <row r="443">
      <c r="B443" s="246"/>
      <c r="F443" s="246"/>
      <c r="J443" s="246"/>
      <c r="M443" s="246"/>
      <c r="O443" s="242"/>
    </row>
    <row r="444">
      <c r="B444" s="246"/>
      <c r="F444" s="246"/>
      <c r="J444" s="246"/>
      <c r="M444" s="246"/>
      <c r="O444" s="242"/>
    </row>
    <row r="445">
      <c r="B445" s="246"/>
      <c r="F445" s="246"/>
      <c r="J445" s="246"/>
      <c r="M445" s="246"/>
      <c r="O445" s="242"/>
    </row>
    <row r="446">
      <c r="B446" s="246"/>
      <c r="F446" s="246"/>
      <c r="J446" s="246"/>
      <c r="M446" s="246"/>
      <c r="O446" s="242"/>
    </row>
    <row r="447">
      <c r="B447" s="246"/>
      <c r="F447" s="246"/>
      <c r="J447" s="246"/>
      <c r="M447" s="246"/>
      <c r="O447" s="242"/>
    </row>
    <row r="448">
      <c r="B448" s="246"/>
      <c r="F448" s="246"/>
      <c r="J448" s="246"/>
      <c r="M448" s="246"/>
      <c r="O448" s="242"/>
    </row>
    <row r="449">
      <c r="B449" s="246"/>
      <c r="F449" s="246"/>
      <c r="J449" s="246"/>
      <c r="M449" s="246"/>
      <c r="O449" s="242"/>
    </row>
    <row r="450">
      <c r="B450" s="246"/>
      <c r="F450" s="246"/>
      <c r="J450" s="246"/>
      <c r="M450" s="246"/>
      <c r="O450" s="242"/>
    </row>
    <row r="451">
      <c r="B451" s="246"/>
      <c r="F451" s="246"/>
      <c r="J451" s="246"/>
      <c r="M451" s="246"/>
      <c r="O451" s="242"/>
    </row>
    <row r="452">
      <c r="B452" s="246"/>
      <c r="F452" s="246"/>
      <c r="J452" s="246"/>
      <c r="M452" s="246"/>
      <c r="O452" s="242"/>
    </row>
    <row r="453">
      <c r="B453" s="246"/>
      <c r="F453" s="246"/>
      <c r="J453" s="246"/>
      <c r="M453" s="246"/>
      <c r="O453" s="242"/>
    </row>
    <row r="454">
      <c r="B454" s="246"/>
      <c r="F454" s="246"/>
      <c r="J454" s="246"/>
      <c r="M454" s="246"/>
      <c r="O454" s="242"/>
    </row>
    <row r="455">
      <c r="B455" s="246"/>
      <c r="F455" s="246"/>
      <c r="J455" s="246"/>
      <c r="M455" s="246"/>
      <c r="O455" s="242"/>
    </row>
    <row r="456">
      <c r="B456" s="246"/>
      <c r="F456" s="246"/>
      <c r="J456" s="246"/>
      <c r="M456" s="246"/>
      <c r="O456" s="242"/>
    </row>
    <row r="457">
      <c r="B457" s="246"/>
      <c r="F457" s="246"/>
      <c r="J457" s="246"/>
      <c r="M457" s="246"/>
      <c r="O457" s="242"/>
    </row>
    <row r="458">
      <c r="B458" s="246"/>
      <c r="F458" s="246"/>
      <c r="J458" s="246"/>
      <c r="M458" s="246"/>
      <c r="O458" s="242"/>
    </row>
    <row r="459">
      <c r="B459" s="246"/>
      <c r="F459" s="246"/>
      <c r="J459" s="246"/>
      <c r="M459" s="246"/>
      <c r="O459" s="242"/>
    </row>
    <row r="460">
      <c r="B460" s="246"/>
      <c r="F460" s="246"/>
      <c r="J460" s="246"/>
      <c r="M460" s="246"/>
      <c r="O460" s="242"/>
    </row>
    <row r="461">
      <c r="B461" s="246"/>
      <c r="F461" s="246"/>
      <c r="J461" s="246"/>
      <c r="M461" s="246"/>
      <c r="O461" s="242"/>
    </row>
    <row r="462">
      <c r="B462" s="246"/>
      <c r="F462" s="246"/>
      <c r="J462" s="246"/>
      <c r="M462" s="246"/>
      <c r="O462" s="242"/>
    </row>
    <row r="463">
      <c r="B463" s="246"/>
      <c r="F463" s="246"/>
      <c r="J463" s="246"/>
      <c r="M463" s="246"/>
      <c r="O463" s="242"/>
    </row>
    <row r="464">
      <c r="B464" s="246"/>
      <c r="F464" s="246"/>
      <c r="J464" s="246"/>
      <c r="M464" s="246"/>
      <c r="O464" s="242"/>
    </row>
    <row r="465">
      <c r="B465" s="246"/>
      <c r="F465" s="246"/>
      <c r="J465" s="246"/>
      <c r="M465" s="246"/>
      <c r="O465" s="242"/>
    </row>
    <row r="466">
      <c r="B466" s="246"/>
      <c r="F466" s="246"/>
      <c r="J466" s="246"/>
      <c r="M466" s="246"/>
      <c r="O466" s="242"/>
    </row>
    <row r="467">
      <c r="B467" s="246"/>
      <c r="F467" s="246"/>
      <c r="J467" s="246"/>
      <c r="M467" s="246"/>
      <c r="O467" s="242"/>
    </row>
    <row r="468">
      <c r="B468" s="246"/>
      <c r="F468" s="246"/>
      <c r="J468" s="246"/>
      <c r="M468" s="246"/>
      <c r="O468" s="242"/>
    </row>
    <row r="469">
      <c r="B469" s="246"/>
      <c r="F469" s="246"/>
      <c r="J469" s="246"/>
      <c r="M469" s="246"/>
      <c r="O469" s="242"/>
    </row>
    <row r="470">
      <c r="B470" s="246"/>
      <c r="F470" s="246"/>
      <c r="J470" s="246"/>
      <c r="M470" s="246"/>
      <c r="O470" s="242"/>
    </row>
    <row r="471">
      <c r="B471" s="246"/>
      <c r="F471" s="246"/>
      <c r="J471" s="246"/>
      <c r="M471" s="246"/>
      <c r="O471" s="242"/>
    </row>
    <row r="472">
      <c r="B472" s="246"/>
      <c r="F472" s="246"/>
      <c r="J472" s="246"/>
      <c r="M472" s="246"/>
      <c r="O472" s="242"/>
    </row>
    <row r="473">
      <c r="B473" s="246"/>
      <c r="F473" s="246"/>
      <c r="J473" s="246"/>
      <c r="M473" s="246"/>
      <c r="O473" s="242"/>
    </row>
    <row r="474">
      <c r="B474" s="246"/>
      <c r="F474" s="246"/>
      <c r="J474" s="246"/>
      <c r="M474" s="246"/>
      <c r="O474" s="242"/>
    </row>
    <row r="475">
      <c r="B475" s="246"/>
      <c r="F475" s="246"/>
      <c r="J475" s="246"/>
      <c r="M475" s="246"/>
      <c r="O475" s="242"/>
    </row>
    <row r="476">
      <c r="B476" s="246"/>
      <c r="F476" s="246"/>
      <c r="J476" s="246"/>
      <c r="M476" s="246"/>
      <c r="O476" s="242"/>
    </row>
    <row r="477">
      <c r="B477" s="246"/>
      <c r="F477" s="246"/>
      <c r="J477" s="246"/>
      <c r="M477" s="246"/>
      <c r="O477" s="242"/>
    </row>
    <row r="478">
      <c r="B478" s="246"/>
      <c r="F478" s="246"/>
      <c r="J478" s="246"/>
      <c r="M478" s="246"/>
      <c r="O478" s="242"/>
    </row>
    <row r="479">
      <c r="B479" s="246"/>
      <c r="F479" s="246"/>
      <c r="J479" s="246"/>
      <c r="M479" s="246"/>
      <c r="O479" s="242"/>
    </row>
    <row r="480">
      <c r="B480" s="246"/>
      <c r="F480" s="246"/>
      <c r="J480" s="246"/>
      <c r="M480" s="246"/>
      <c r="O480" s="242"/>
    </row>
    <row r="481">
      <c r="B481" s="246"/>
      <c r="F481" s="246"/>
      <c r="J481" s="246"/>
      <c r="M481" s="246"/>
      <c r="O481" s="242"/>
    </row>
    <row r="482">
      <c r="B482" s="246"/>
      <c r="F482" s="246"/>
      <c r="J482" s="246"/>
      <c r="M482" s="246"/>
      <c r="O482" s="242"/>
    </row>
    <row r="483">
      <c r="B483" s="246"/>
      <c r="F483" s="246"/>
      <c r="J483" s="246"/>
      <c r="M483" s="246"/>
      <c r="O483" s="242"/>
    </row>
    <row r="484">
      <c r="B484" s="246"/>
      <c r="F484" s="246"/>
      <c r="J484" s="246"/>
      <c r="M484" s="246"/>
      <c r="O484" s="242"/>
    </row>
    <row r="485">
      <c r="B485" s="246"/>
      <c r="F485" s="246"/>
      <c r="J485" s="246"/>
      <c r="M485" s="246"/>
      <c r="O485" s="242"/>
    </row>
    <row r="486">
      <c r="B486" s="246"/>
      <c r="F486" s="246"/>
      <c r="J486" s="246"/>
      <c r="M486" s="246"/>
      <c r="O486" s="242"/>
    </row>
    <row r="487">
      <c r="B487" s="246"/>
      <c r="F487" s="246"/>
      <c r="J487" s="246"/>
      <c r="M487" s="246"/>
      <c r="O487" s="242"/>
    </row>
    <row r="488">
      <c r="B488" s="246"/>
      <c r="F488" s="246"/>
      <c r="J488" s="246"/>
      <c r="M488" s="246"/>
      <c r="O488" s="242"/>
    </row>
    <row r="489">
      <c r="B489" s="246"/>
      <c r="F489" s="246"/>
      <c r="J489" s="246"/>
      <c r="M489" s="246"/>
      <c r="O489" s="242"/>
    </row>
    <row r="490">
      <c r="B490" s="246"/>
      <c r="F490" s="246"/>
      <c r="J490" s="246"/>
      <c r="M490" s="246"/>
      <c r="O490" s="242"/>
    </row>
    <row r="491">
      <c r="B491" s="246"/>
      <c r="F491" s="246"/>
      <c r="J491" s="246"/>
      <c r="M491" s="246"/>
      <c r="O491" s="242"/>
    </row>
    <row r="492">
      <c r="B492" s="246"/>
      <c r="F492" s="246"/>
      <c r="J492" s="246"/>
      <c r="M492" s="246"/>
      <c r="O492" s="242"/>
    </row>
    <row r="493">
      <c r="B493" s="246"/>
      <c r="F493" s="246"/>
      <c r="J493" s="246"/>
      <c r="M493" s="246"/>
      <c r="O493" s="242"/>
    </row>
    <row r="494">
      <c r="B494" s="246"/>
      <c r="F494" s="246"/>
      <c r="J494" s="246"/>
      <c r="M494" s="246"/>
      <c r="O494" s="242"/>
    </row>
    <row r="495">
      <c r="B495" s="246"/>
      <c r="F495" s="246"/>
      <c r="J495" s="246"/>
      <c r="M495" s="246"/>
      <c r="O495" s="242"/>
    </row>
    <row r="496">
      <c r="B496" s="246"/>
      <c r="F496" s="246"/>
      <c r="J496" s="246"/>
      <c r="M496" s="246"/>
      <c r="O496" s="242"/>
    </row>
    <row r="497">
      <c r="B497" s="246"/>
      <c r="F497" s="246"/>
      <c r="J497" s="246"/>
      <c r="M497" s="246"/>
      <c r="O497" s="242"/>
    </row>
    <row r="498">
      <c r="B498" s="246"/>
      <c r="F498" s="246"/>
      <c r="J498" s="246"/>
      <c r="M498" s="246"/>
      <c r="O498" s="242"/>
    </row>
    <row r="499">
      <c r="B499" s="246"/>
      <c r="F499" s="246"/>
      <c r="J499" s="246"/>
      <c r="M499" s="246"/>
      <c r="O499" s="242"/>
    </row>
    <row r="500">
      <c r="B500" s="246"/>
      <c r="F500" s="246"/>
      <c r="J500" s="246"/>
      <c r="M500" s="246"/>
      <c r="O500" s="242"/>
    </row>
    <row r="501">
      <c r="B501" s="246"/>
      <c r="F501" s="246"/>
      <c r="J501" s="246"/>
      <c r="M501" s="246"/>
      <c r="O501" s="242"/>
    </row>
    <row r="502">
      <c r="B502" s="246"/>
      <c r="F502" s="246"/>
      <c r="J502" s="246"/>
      <c r="M502" s="246"/>
      <c r="O502" s="242"/>
    </row>
    <row r="503">
      <c r="B503" s="246"/>
      <c r="F503" s="246"/>
      <c r="J503" s="246"/>
      <c r="M503" s="246"/>
      <c r="O503" s="242"/>
    </row>
    <row r="504">
      <c r="B504" s="246"/>
      <c r="F504" s="246"/>
      <c r="J504" s="246"/>
      <c r="M504" s="246"/>
      <c r="O504" s="242"/>
    </row>
    <row r="505">
      <c r="B505" s="246"/>
      <c r="F505" s="246"/>
      <c r="J505" s="246"/>
      <c r="M505" s="246"/>
      <c r="O505" s="242"/>
    </row>
    <row r="506">
      <c r="B506" s="246"/>
      <c r="F506" s="246"/>
      <c r="J506" s="246"/>
      <c r="M506" s="246"/>
      <c r="O506" s="242"/>
    </row>
    <row r="507">
      <c r="B507" s="246"/>
      <c r="F507" s="246"/>
      <c r="J507" s="246"/>
      <c r="M507" s="246"/>
      <c r="O507" s="242"/>
    </row>
    <row r="508">
      <c r="B508" s="246"/>
      <c r="F508" s="246"/>
      <c r="J508" s="246"/>
      <c r="M508" s="246"/>
      <c r="O508" s="242"/>
    </row>
    <row r="509">
      <c r="B509" s="246"/>
      <c r="F509" s="246"/>
      <c r="J509" s="246"/>
      <c r="M509" s="246"/>
      <c r="O509" s="242"/>
    </row>
    <row r="510">
      <c r="B510" s="246"/>
      <c r="F510" s="246"/>
      <c r="J510" s="246"/>
      <c r="M510" s="246"/>
      <c r="O510" s="242"/>
    </row>
    <row r="511">
      <c r="B511" s="246"/>
      <c r="F511" s="246"/>
      <c r="J511" s="246"/>
      <c r="M511" s="246"/>
      <c r="O511" s="242"/>
    </row>
    <row r="512">
      <c r="B512" s="246"/>
      <c r="F512" s="246"/>
      <c r="J512" s="246"/>
      <c r="M512" s="246"/>
      <c r="O512" s="242"/>
    </row>
    <row r="513">
      <c r="B513" s="246"/>
      <c r="F513" s="246"/>
      <c r="J513" s="246"/>
      <c r="M513" s="246"/>
      <c r="O513" s="242"/>
    </row>
    <row r="514">
      <c r="B514" s="246"/>
      <c r="F514" s="246"/>
      <c r="J514" s="246"/>
      <c r="M514" s="246"/>
      <c r="O514" s="242"/>
    </row>
    <row r="515">
      <c r="B515" s="246"/>
      <c r="F515" s="246"/>
      <c r="J515" s="246"/>
      <c r="M515" s="246"/>
      <c r="O515" s="242"/>
    </row>
    <row r="516">
      <c r="B516" s="246"/>
      <c r="F516" s="246"/>
      <c r="J516" s="246"/>
      <c r="M516" s="246"/>
      <c r="O516" s="242"/>
    </row>
    <row r="517">
      <c r="B517" s="246"/>
      <c r="F517" s="246"/>
      <c r="J517" s="246"/>
      <c r="M517" s="246"/>
      <c r="O517" s="242"/>
    </row>
    <row r="518">
      <c r="B518" s="246"/>
      <c r="F518" s="246"/>
      <c r="J518" s="246"/>
      <c r="M518" s="246"/>
      <c r="O518" s="242"/>
    </row>
    <row r="519">
      <c r="B519" s="246"/>
      <c r="F519" s="246"/>
      <c r="J519" s="246"/>
      <c r="M519" s="246"/>
      <c r="O519" s="242"/>
    </row>
    <row r="520">
      <c r="B520" s="246"/>
      <c r="F520" s="246"/>
      <c r="J520" s="246"/>
      <c r="M520" s="246"/>
      <c r="O520" s="242"/>
    </row>
    <row r="521">
      <c r="B521" s="246"/>
      <c r="F521" s="246"/>
      <c r="J521" s="246"/>
      <c r="M521" s="246"/>
      <c r="O521" s="242"/>
    </row>
    <row r="522">
      <c r="B522" s="246"/>
      <c r="F522" s="246"/>
      <c r="J522" s="246"/>
      <c r="M522" s="246"/>
      <c r="O522" s="242"/>
    </row>
    <row r="523">
      <c r="B523" s="246"/>
      <c r="F523" s="246"/>
      <c r="J523" s="246"/>
      <c r="M523" s="246"/>
      <c r="O523" s="242"/>
    </row>
    <row r="524">
      <c r="B524" s="246"/>
      <c r="F524" s="246"/>
      <c r="J524" s="246"/>
      <c r="M524" s="246"/>
      <c r="O524" s="242"/>
    </row>
    <row r="525">
      <c r="B525" s="246"/>
      <c r="F525" s="246"/>
      <c r="J525" s="246"/>
      <c r="M525" s="246"/>
      <c r="O525" s="242"/>
    </row>
    <row r="526">
      <c r="B526" s="246"/>
      <c r="F526" s="246"/>
      <c r="J526" s="246"/>
      <c r="M526" s="246"/>
      <c r="O526" s="242"/>
    </row>
    <row r="527">
      <c r="B527" s="246"/>
      <c r="F527" s="246"/>
      <c r="J527" s="246"/>
      <c r="M527" s="246"/>
      <c r="O527" s="242"/>
    </row>
    <row r="528">
      <c r="B528" s="246"/>
      <c r="F528" s="246"/>
      <c r="J528" s="246"/>
      <c r="M528" s="246"/>
      <c r="O528" s="242"/>
    </row>
    <row r="529">
      <c r="B529" s="246"/>
      <c r="F529" s="246"/>
      <c r="J529" s="246"/>
      <c r="M529" s="246"/>
      <c r="O529" s="242"/>
    </row>
    <row r="530">
      <c r="B530" s="246"/>
      <c r="F530" s="246"/>
      <c r="J530" s="246"/>
      <c r="M530" s="246"/>
      <c r="O530" s="242"/>
    </row>
    <row r="531">
      <c r="B531" s="246"/>
      <c r="F531" s="246"/>
      <c r="J531" s="246"/>
      <c r="M531" s="246"/>
      <c r="O531" s="242"/>
    </row>
    <row r="532">
      <c r="B532" s="246"/>
      <c r="F532" s="246"/>
      <c r="J532" s="246"/>
      <c r="M532" s="246"/>
      <c r="O532" s="242"/>
    </row>
    <row r="533">
      <c r="B533" s="246"/>
      <c r="F533" s="246"/>
      <c r="J533" s="246"/>
      <c r="M533" s="246"/>
      <c r="O533" s="242"/>
    </row>
    <row r="534">
      <c r="B534" s="246"/>
      <c r="F534" s="246"/>
      <c r="J534" s="246"/>
      <c r="M534" s="246"/>
      <c r="O534" s="242"/>
    </row>
    <row r="535">
      <c r="B535" s="246"/>
      <c r="F535" s="246"/>
      <c r="J535" s="246"/>
      <c r="M535" s="246"/>
      <c r="O535" s="242"/>
    </row>
    <row r="536">
      <c r="B536" s="246"/>
      <c r="F536" s="246"/>
      <c r="J536" s="246"/>
      <c r="M536" s="246"/>
      <c r="O536" s="242"/>
    </row>
    <row r="537">
      <c r="B537" s="246"/>
      <c r="F537" s="246"/>
      <c r="J537" s="246"/>
      <c r="M537" s="246"/>
      <c r="O537" s="242"/>
    </row>
    <row r="538">
      <c r="B538" s="246"/>
      <c r="F538" s="246"/>
      <c r="J538" s="246"/>
      <c r="M538" s="246"/>
      <c r="O538" s="242"/>
    </row>
    <row r="539">
      <c r="B539" s="246"/>
      <c r="F539" s="246"/>
      <c r="J539" s="246"/>
      <c r="M539" s="246"/>
      <c r="O539" s="242"/>
    </row>
    <row r="540">
      <c r="B540" s="246"/>
      <c r="F540" s="246"/>
      <c r="J540" s="246"/>
      <c r="M540" s="246"/>
      <c r="O540" s="242"/>
    </row>
    <row r="541">
      <c r="B541" s="246"/>
      <c r="F541" s="246"/>
      <c r="J541" s="246"/>
      <c r="M541" s="246"/>
      <c r="O541" s="242"/>
    </row>
    <row r="542">
      <c r="B542" s="246"/>
      <c r="F542" s="246"/>
      <c r="J542" s="246"/>
      <c r="M542" s="246"/>
      <c r="O542" s="242"/>
    </row>
    <row r="543">
      <c r="B543" s="246"/>
      <c r="F543" s="246"/>
      <c r="J543" s="246"/>
      <c r="M543" s="246"/>
      <c r="O543" s="242"/>
    </row>
    <row r="544">
      <c r="B544" s="246"/>
      <c r="F544" s="246"/>
      <c r="J544" s="246"/>
      <c r="M544" s="246"/>
      <c r="O544" s="242"/>
    </row>
    <row r="545">
      <c r="B545" s="246"/>
      <c r="F545" s="246"/>
      <c r="J545" s="246"/>
      <c r="M545" s="246"/>
      <c r="O545" s="242"/>
    </row>
    <row r="546">
      <c r="B546" s="246"/>
      <c r="F546" s="246"/>
      <c r="J546" s="246"/>
      <c r="M546" s="246"/>
      <c r="O546" s="242"/>
    </row>
    <row r="547">
      <c r="B547" s="246"/>
      <c r="F547" s="246"/>
      <c r="J547" s="246"/>
      <c r="M547" s="246"/>
      <c r="O547" s="242"/>
    </row>
    <row r="548">
      <c r="B548" s="246"/>
      <c r="F548" s="246"/>
      <c r="J548" s="246"/>
      <c r="M548" s="246"/>
      <c r="O548" s="242"/>
    </row>
    <row r="549">
      <c r="B549" s="246"/>
      <c r="F549" s="246"/>
      <c r="J549" s="246"/>
      <c r="M549" s="246"/>
      <c r="O549" s="242"/>
    </row>
    <row r="550">
      <c r="B550" s="246"/>
      <c r="F550" s="246"/>
      <c r="J550" s="246"/>
      <c r="M550" s="246"/>
      <c r="O550" s="242"/>
    </row>
    <row r="551">
      <c r="B551" s="246"/>
      <c r="F551" s="246"/>
      <c r="J551" s="246"/>
      <c r="M551" s="246"/>
      <c r="O551" s="242"/>
    </row>
    <row r="552">
      <c r="B552" s="246"/>
      <c r="F552" s="246"/>
      <c r="J552" s="246"/>
      <c r="M552" s="246"/>
      <c r="O552" s="242"/>
    </row>
    <row r="553">
      <c r="B553" s="246"/>
      <c r="F553" s="246"/>
      <c r="J553" s="246"/>
      <c r="M553" s="246"/>
      <c r="O553" s="242"/>
    </row>
    <row r="554">
      <c r="B554" s="246"/>
      <c r="F554" s="246"/>
      <c r="J554" s="246"/>
      <c r="M554" s="246"/>
      <c r="O554" s="242"/>
    </row>
    <row r="555">
      <c r="B555" s="246"/>
      <c r="F555" s="246"/>
      <c r="J555" s="246"/>
      <c r="M555" s="246"/>
      <c r="O555" s="242"/>
    </row>
    <row r="556">
      <c r="B556" s="246"/>
      <c r="F556" s="246"/>
      <c r="J556" s="246"/>
      <c r="M556" s="246"/>
      <c r="O556" s="242"/>
    </row>
    <row r="557">
      <c r="B557" s="246"/>
      <c r="F557" s="246"/>
      <c r="J557" s="246"/>
      <c r="M557" s="246"/>
      <c r="O557" s="242"/>
    </row>
    <row r="558">
      <c r="B558" s="246"/>
      <c r="F558" s="246"/>
      <c r="J558" s="246"/>
      <c r="M558" s="246"/>
      <c r="O558" s="242"/>
    </row>
    <row r="559">
      <c r="B559" s="246"/>
      <c r="F559" s="246"/>
      <c r="J559" s="246"/>
      <c r="M559" s="246"/>
      <c r="O559" s="242"/>
    </row>
    <row r="560">
      <c r="B560" s="246"/>
      <c r="F560" s="246"/>
      <c r="J560" s="246"/>
      <c r="M560" s="246"/>
      <c r="O560" s="242"/>
    </row>
    <row r="561">
      <c r="B561" s="246"/>
      <c r="F561" s="246"/>
      <c r="J561" s="246"/>
      <c r="M561" s="246"/>
      <c r="O561" s="242"/>
    </row>
    <row r="562">
      <c r="B562" s="246"/>
      <c r="F562" s="246"/>
      <c r="J562" s="246"/>
      <c r="M562" s="246"/>
      <c r="O562" s="242"/>
    </row>
    <row r="563">
      <c r="B563" s="246"/>
      <c r="F563" s="246"/>
      <c r="J563" s="246"/>
      <c r="M563" s="246"/>
      <c r="O563" s="242"/>
    </row>
    <row r="564">
      <c r="B564" s="246"/>
      <c r="F564" s="246"/>
      <c r="J564" s="246"/>
      <c r="M564" s="246"/>
      <c r="O564" s="242"/>
    </row>
    <row r="565">
      <c r="B565" s="246"/>
      <c r="F565" s="246"/>
      <c r="J565" s="246"/>
      <c r="M565" s="246"/>
      <c r="O565" s="242"/>
    </row>
    <row r="566">
      <c r="B566" s="246"/>
      <c r="F566" s="246"/>
      <c r="J566" s="246"/>
      <c r="M566" s="246"/>
      <c r="O566" s="242"/>
    </row>
    <row r="567">
      <c r="B567" s="246"/>
      <c r="F567" s="246"/>
      <c r="J567" s="246"/>
      <c r="M567" s="246"/>
      <c r="O567" s="242"/>
    </row>
    <row r="568">
      <c r="B568" s="246"/>
      <c r="F568" s="246"/>
      <c r="J568" s="246"/>
      <c r="M568" s="246"/>
      <c r="O568" s="242"/>
    </row>
    <row r="569">
      <c r="B569" s="246"/>
      <c r="F569" s="246"/>
      <c r="J569" s="246"/>
      <c r="M569" s="246"/>
      <c r="O569" s="242"/>
    </row>
    <row r="570">
      <c r="B570" s="246"/>
      <c r="F570" s="246"/>
      <c r="J570" s="246"/>
      <c r="M570" s="246"/>
      <c r="O570" s="242"/>
    </row>
    <row r="571">
      <c r="B571" s="246"/>
      <c r="F571" s="246"/>
      <c r="J571" s="246"/>
      <c r="M571" s="246"/>
      <c r="O571" s="242"/>
    </row>
    <row r="572">
      <c r="B572" s="246"/>
      <c r="F572" s="246"/>
      <c r="J572" s="246"/>
      <c r="M572" s="246"/>
      <c r="O572" s="242"/>
    </row>
    <row r="573">
      <c r="B573" s="246"/>
      <c r="F573" s="246"/>
      <c r="J573" s="246"/>
      <c r="M573" s="246"/>
      <c r="O573" s="242"/>
    </row>
    <row r="574">
      <c r="B574" s="246"/>
      <c r="F574" s="246"/>
      <c r="J574" s="246"/>
      <c r="M574" s="246"/>
      <c r="O574" s="242"/>
    </row>
    <row r="575">
      <c r="B575" s="246"/>
      <c r="F575" s="246"/>
      <c r="J575" s="246"/>
      <c r="M575" s="246"/>
      <c r="O575" s="242"/>
    </row>
    <row r="576">
      <c r="B576" s="246"/>
      <c r="F576" s="246"/>
      <c r="J576" s="246"/>
      <c r="M576" s="246"/>
      <c r="O576" s="242"/>
    </row>
    <row r="577">
      <c r="B577" s="246"/>
      <c r="F577" s="246"/>
      <c r="J577" s="246"/>
      <c r="M577" s="246"/>
      <c r="O577" s="242"/>
    </row>
    <row r="578">
      <c r="B578" s="246"/>
      <c r="F578" s="246"/>
      <c r="J578" s="246"/>
      <c r="M578" s="246"/>
      <c r="O578" s="242"/>
    </row>
    <row r="579">
      <c r="B579" s="246"/>
      <c r="F579" s="246"/>
      <c r="J579" s="246"/>
      <c r="M579" s="246"/>
      <c r="O579" s="242"/>
    </row>
    <row r="580">
      <c r="B580" s="246"/>
      <c r="F580" s="246"/>
      <c r="J580" s="246"/>
      <c r="M580" s="246"/>
      <c r="O580" s="242"/>
    </row>
    <row r="581">
      <c r="B581" s="246"/>
      <c r="F581" s="246"/>
      <c r="J581" s="246"/>
      <c r="M581" s="246"/>
      <c r="O581" s="242"/>
    </row>
    <row r="582">
      <c r="B582" s="246"/>
      <c r="F582" s="246"/>
      <c r="J582" s="246"/>
      <c r="M582" s="246"/>
      <c r="O582" s="242"/>
    </row>
    <row r="583">
      <c r="B583" s="246"/>
      <c r="F583" s="246"/>
      <c r="J583" s="246"/>
      <c r="M583" s="246"/>
      <c r="O583" s="242"/>
    </row>
    <row r="584">
      <c r="B584" s="246"/>
      <c r="F584" s="246"/>
      <c r="J584" s="246"/>
      <c r="M584" s="246"/>
      <c r="O584" s="242"/>
    </row>
    <row r="585">
      <c r="B585" s="246"/>
      <c r="F585" s="246"/>
      <c r="J585" s="246"/>
      <c r="M585" s="246"/>
      <c r="O585" s="242"/>
    </row>
    <row r="586">
      <c r="B586" s="246"/>
      <c r="F586" s="246"/>
      <c r="J586" s="246"/>
      <c r="M586" s="246"/>
      <c r="O586" s="242"/>
    </row>
    <row r="587">
      <c r="B587" s="246"/>
      <c r="F587" s="246"/>
      <c r="J587" s="246"/>
      <c r="M587" s="246"/>
      <c r="O587" s="242"/>
    </row>
    <row r="588">
      <c r="B588" s="246"/>
      <c r="F588" s="246"/>
      <c r="J588" s="246"/>
      <c r="M588" s="246"/>
      <c r="O588" s="242"/>
    </row>
    <row r="589">
      <c r="B589" s="246"/>
      <c r="F589" s="246"/>
      <c r="J589" s="246"/>
      <c r="M589" s="246"/>
      <c r="O589" s="242"/>
    </row>
    <row r="590">
      <c r="B590" s="246"/>
      <c r="F590" s="246"/>
      <c r="J590" s="246"/>
      <c r="M590" s="246"/>
      <c r="O590" s="242"/>
    </row>
    <row r="591">
      <c r="B591" s="246"/>
      <c r="F591" s="246"/>
      <c r="J591" s="246"/>
      <c r="M591" s="246"/>
      <c r="O591" s="242"/>
    </row>
    <row r="592">
      <c r="B592" s="246"/>
      <c r="F592" s="246"/>
      <c r="J592" s="246"/>
      <c r="M592" s="246"/>
      <c r="O592" s="242"/>
    </row>
    <row r="593">
      <c r="B593" s="246"/>
      <c r="F593" s="246"/>
      <c r="J593" s="246"/>
      <c r="M593" s="246"/>
      <c r="O593" s="242"/>
    </row>
    <row r="594">
      <c r="B594" s="246"/>
      <c r="F594" s="246"/>
      <c r="J594" s="246"/>
      <c r="M594" s="246"/>
      <c r="O594" s="242"/>
    </row>
    <row r="595">
      <c r="B595" s="246"/>
      <c r="F595" s="246"/>
      <c r="J595" s="246"/>
      <c r="M595" s="246"/>
      <c r="O595" s="242"/>
    </row>
    <row r="596">
      <c r="B596" s="246"/>
      <c r="F596" s="246"/>
      <c r="J596" s="246"/>
      <c r="M596" s="246"/>
      <c r="O596" s="242"/>
    </row>
    <row r="597">
      <c r="B597" s="246"/>
      <c r="F597" s="246"/>
      <c r="J597" s="246"/>
      <c r="M597" s="246"/>
      <c r="O597" s="242"/>
    </row>
    <row r="598">
      <c r="B598" s="246"/>
      <c r="F598" s="246"/>
      <c r="J598" s="246"/>
      <c r="M598" s="246"/>
      <c r="O598" s="242"/>
    </row>
    <row r="599">
      <c r="B599" s="246"/>
      <c r="F599" s="246"/>
      <c r="J599" s="246"/>
      <c r="M599" s="246"/>
      <c r="O599" s="242"/>
    </row>
    <row r="600">
      <c r="B600" s="246"/>
      <c r="F600" s="246"/>
      <c r="J600" s="246"/>
      <c r="M600" s="246"/>
      <c r="O600" s="242"/>
    </row>
    <row r="601">
      <c r="B601" s="246"/>
      <c r="F601" s="246"/>
      <c r="J601" s="246"/>
      <c r="M601" s="246"/>
      <c r="O601" s="242"/>
    </row>
    <row r="602">
      <c r="B602" s="246"/>
      <c r="F602" s="246"/>
      <c r="J602" s="246"/>
      <c r="M602" s="246"/>
      <c r="O602" s="242"/>
    </row>
    <row r="603">
      <c r="B603" s="246"/>
      <c r="F603" s="246"/>
      <c r="J603" s="246"/>
      <c r="M603" s="246"/>
      <c r="O603" s="242"/>
    </row>
    <row r="604">
      <c r="B604" s="246"/>
      <c r="F604" s="246"/>
      <c r="J604" s="246"/>
      <c r="M604" s="246"/>
      <c r="O604" s="242"/>
    </row>
    <row r="605">
      <c r="B605" s="246"/>
      <c r="F605" s="246"/>
      <c r="J605" s="246"/>
      <c r="M605" s="246"/>
      <c r="O605" s="242"/>
    </row>
    <row r="606">
      <c r="B606" s="246"/>
      <c r="F606" s="246"/>
      <c r="J606" s="246"/>
      <c r="M606" s="246"/>
      <c r="O606" s="242"/>
    </row>
    <row r="607">
      <c r="B607" s="246"/>
      <c r="F607" s="246"/>
      <c r="J607" s="246"/>
      <c r="M607" s="246"/>
      <c r="O607" s="242"/>
    </row>
    <row r="608">
      <c r="B608" s="246"/>
      <c r="F608" s="246"/>
      <c r="J608" s="246"/>
      <c r="M608" s="246"/>
      <c r="O608" s="242"/>
    </row>
    <row r="609">
      <c r="B609" s="246"/>
      <c r="F609" s="246"/>
      <c r="J609" s="246"/>
      <c r="M609" s="246"/>
      <c r="O609" s="242"/>
    </row>
    <row r="610">
      <c r="B610" s="246"/>
      <c r="F610" s="246"/>
      <c r="J610" s="246"/>
      <c r="M610" s="246"/>
      <c r="O610" s="242"/>
    </row>
    <row r="611">
      <c r="B611" s="246"/>
      <c r="F611" s="246"/>
      <c r="J611" s="246"/>
      <c r="M611" s="246"/>
      <c r="O611" s="242"/>
    </row>
    <row r="612">
      <c r="B612" s="246"/>
      <c r="F612" s="246"/>
      <c r="J612" s="246"/>
      <c r="M612" s="246"/>
      <c r="O612" s="242"/>
    </row>
    <row r="613">
      <c r="B613" s="246"/>
      <c r="F613" s="246"/>
      <c r="J613" s="246"/>
      <c r="M613" s="246"/>
      <c r="O613" s="242"/>
    </row>
    <row r="614">
      <c r="B614" s="246"/>
      <c r="F614" s="246"/>
      <c r="J614" s="246"/>
      <c r="M614" s="246"/>
      <c r="O614" s="242"/>
    </row>
    <row r="615">
      <c r="B615" s="246"/>
      <c r="F615" s="246"/>
      <c r="J615" s="246"/>
      <c r="M615" s="246"/>
      <c r="O615" s="242"/>
    </row>
    <row r="616">
      <c r="B616" s="246"/>
      <c r="F616" s="246"/>
      <c r="J616" s="246"/>
      <c r="M616" s="246"/>
      <c r="O616" s="242"/>
    </row>
    <row r="617">
      <c r="B617" s="246"/>
      <c r="F617" s="246"/>
      <c r="J617" s="246"/>
      <c r="M617" s="246"/>
      <c r="O617" s="242"/>
    </row>
    <row r="618">
      <c r="B618" s="246"/>
      <c r="F618" s="246"/>
      <c r="J618" s="246"/>
      <c r="M618" s="246"/>
      <c r="O618" s="242"/>
    </row>
    <row r="619">
      <c r="B619" s="246"/>
      <c r="F619" s="246"/>
      <c r="J619" s="246"/>
      <c r="M619" s="246"/>
      <c r="O619" s="242"/>
    </row>
    <row r="620">
      <c r="B620" s="246"/>
      <c r="F620" s="246"/>
      <c r="J620" s="246"/>
      <c r="M620" s="246"/>
      <c r="O620" s="242"/>
    </row>
    <row r="621">
      <c r="B621" s="246"/>
      <c r="F621" s="246"/>
      <c r="J621" s="246"/>
      <c r="M621" s="246"/>
      <c r="O621" s="242"/>
    </row>
    <row r="622">
      <c r="B622" s="246"/>
      <c r="F622" s="246"/>
      <c r="J622" s="246"/>
      <c r="M622" s="246"/>
      <c r="O622" s="242"/>
    </row>
    <row r="623">
      <c r="B623" s="246"/>
      <c r="F623" s="246"/>
      <c r="J623" s="246"/>
      <c r="M623" s="246"/>
      <c r="O623" s="242"/>
    </row>
    <row r="624">
      <c r="B624" s="246"/>
      <c r="F624" s="246"/>
      <c r="J624" s="246"/>
      <c r="M624" s="246"/>
      <c r="O624" s="242"/>
    </row>
    <row r="625">
      <c r="B625" s="246"/>
      <c r="F625" s="246"/>
      <c r="J625" s="246"/>
      <c r="M625" s="246"/>
      <c r="O625" s="242"/>
    </row>
    <row r="626">
      <c r="B626" s="246"/>
      <c r="F626" s="246"/>
      <c r="J626" s="246"/>
      <c r="M626" s="246"/>
      <c r="O626" s="242"/>
    </row>
    <row r="627">
      <c r="B627" s="246"/>
      <c r="F627" s="246"/>
      <c r="J627" s="246"/>
      <c r="M627" s="246"/>
      <c r="O627" s="242"/>
    </row>
    <row r="628">
      <c r="B628" s="246"/>
      <c r="F628" s="246"/>
      <c r="J628" s="246"/>
      <c r="M628" s="246"/>
      <c r="O628" s="242"/>
    </row>
    <row r="629">
      <c r="B629" s="246"/>
      <c r="F629" s="246"/>
      <c r="J629" s="246"/>
      <c r="M629" s="246"/>
      <c r="O629" s="242"/>
    </row>
    <row r="630">
      <c r="B630" s="246"/>
      <c r="F630" s="246"/>
      <c r="J630" s="246"/>
      <c r="M630" s="246"/>
      <c r="O630" s="242"/>
    </row>
    <row r="631">
      <c r="B631" s="246"/>
      <c r="F631" s="246"/>
      <c r="J631" s="246"/>
      <c r="M631" s="246"/>
      <c r="O631" s="242"/>
    </row>
    <row r="632">
      <c r="B632" s="246"/>
      <c r="F632" s="246"/>
      <c r="J632" s="246"/>
      <c r="M632" s="246"/>
      <c r="O632" s="242"/>
    </row>
    <row r="633">
      <c r="B633" s="246"/>
      <c r="F633" s="246"/>
      <c r="J633" s="246"/>
      <c r="M633" s="246"/>
      <c r="O633" s="242"/>
    </row>
    <row r="634">
      <c r="B634" s="246"/>
      <c r="F634" s="246"/>
      <c r="J634" s="246"/>
      <c r="M634" s="246"/>
      <c r="O634" s="242"/>
    </row>
    <row r="635">
      <c r="B635" s="246"/>
      <c r="F635" s="246"/>
      <c r="J635" s="246"/>
      <c r="M635" s="246"/>
      <c r="O635" s="242"/>
    </row>
    <row r="636">
      <c r="B636" s="246"/>
      <c r="F636" s="246"/>
      <c r="J636" s="246"/>
      <c r="M636" s="246"/>
      <c r="O636" s="242"/>
    </row>
    <row r="637">
      <c r="B637" s="246"/>
      <c r="F637" s="246"/>
      <c r="J637" s="246"/>
      <c r="M637" s="246"/>
      <c r="O637" s="242"/>
    </row>
    <row r="638">
      <c r="B638" s="246"/>
      <c r="F638" s="246"/>
      <c r="J638" s="246"/>
      <c r="M638" s="246"/>
      <c r="O638" s="242"/>
    </row>
    <row r="639">
      <c r="B639" s="246"/>
      <c r="F639" s="246"/>
      <c r="J639" s="246"/>
      <c r="M639" s="246"/>
      <c r="O639" s="242"/>
    </row>
    <row r="640">
      <c r="B640" s="246"/>
      <c r="F640" s="246"/>
      <c r="J640" s="246"/>
      <c r="M640" s="246"/>
      <c r="O640" s="242"/>
    </row>
    <row r="641">
      <c r="B641" s="246"/>
      <c r="F641" s="246"/>
      <c r="J641" s="246"/>
      <c r="M641" s="246"/>
      <c r="O641" s="242"/>
    </row>
    <row r="642">
      <c r="B642" s="246"/>
      <c r="F642" s="246"/>
      <c r="J642" s="246"/>
      <c r="M642" s="246"/>
      <c r="O642" s="242"/>
    </row>
    <row r="643">
      <c r="B643" s="246"/>
      <c r="F643" s="246"/>
      <c r="J643" s="246"/>
      <c r="M643" s="246"/>
      <c r="O643" s="242"/>
    </row>
    <row r="644">
      <c r="B644" s="246"/>
      <c r="F644" s="246"/>
      <c r="J644" s="246"/>
      <c r="M644" s="246"/>
      <c r="O644" s="242"/>
    </row>
    <row r="645">
      <c r="B645" s="246"/>
      <c r="F645" s="246"/>
      <c r="J645" s="246"/>
      <c r="M645" s="246"/>
      <c r="O645" s="242"/>
    </row>
    <row r="646">
      <c r="B646" s="246"/>
      <c r="F646" s="246"/>
      <c r="J646" s="246"/>
      <c r="M646" s="246"/>
      <c r="O646" s="242"/>
    </row>
    <row r="647">
      <c r="B647" s="246"/>
      <c r="F647" s="246"/>
      <c r="J647" s="246"/>
      <c r="M647" s="246"/>
      <c r="O647" s="242"/>
    </row>
    <row r="648">
      <c r="B648" s="246"/>
      <c r="F648" s="246"/>
      <c r="J648" s="246"/>
      <c r="M648" s="246"/>
      <c r="O648" s="242"/>
    </row>
    <row r="649">
      <c r="B649" s="246"/>
      <c r="F649" s="246"/>
      <c r="J649" s="246"/>
      <c r="M649" s="246"/>
      <c r="O649" s="242"/>
    </row>
    <row r="650">
      <c r="B650" s="246"/>
      <c r="F650" s="246"/>
      <c r="J650" s="246"/>
      <c r="M650" s="246"/>
      <c r="O650" s="242"/>
    </row>
    <row r="651">
      <c r="B651" s="246"/>
      <c r="F651" s="246"/>
      <c r="J651" s="246"/>
      <c r="M651" s="246"/>
      <c r="O651" s="242"/>
    </row>
    <row r="652">
      <c r="B652" s="246"/>
      <c r="F652" s="246"/>
      <c r="J652" s="246"/>
      <c r="M652" s="246"/>
      <c r="O652" s="242"/>
    </row>
    <row r="653">
      <c r="B653" s="246"/>
      <c r="F653" s="246"/>
      <c r="J653" s="246"/>
      <c r="M653" s="246"/>
      <c r="O653" s="242"/>
    </row>
    <row r="654">
      <c r="B654" s="246"/>
      <c r="F654" s="246"/>
      <c r="J654" s="246"/>
      <c r="M654" s="246"/>
      <c r="O654" s="242"/>
    </row>
    <row r="655">
      <c r="B655" s="246"/>
      <c r="F655" s="246"/>
      <c r="J655" s="246"/>
      <c r="M655" s="246"/>
      <c r="O655" s="242"/>
    </row>
    <row r="656">
      <c r="B656" s="246"/>
      <c r="F656" s="246"/>
      <c r="J656" s="246"/>
      <c r="M656" s="246"/>
      <c r="O656" s="242"/>
    </row>
    <row r="657">
      <c r="B657" s="246"/>
      <c r="F657" s="246"/>
      <c r="J657" s="246"/>
      <c r="M657" s="246"/>
      <c r="O657" s="242"/>
    </row>
    <row r="658">
      <c r="B658" s="246"/>
      <c r="F658" s="246"/>
      <c r="J658" s="246"/>
      <c r="M658" s="246"/>
      <c r="O658" s="242"/>
    </row>
    <row r="659">
      <c r="B659" s="246"/>
      <c r="F659" s="246"/>
      <c r="J659" s="246"/>
      <c r="M659" s="246"/>
      <c r="O659" s="242"/>
    </row>
    <row r="660">
      <c r="B660" s="246"/>
      <c r="F660" s="246"/>
      <c r="J660" s="246"/>
      <c r="M660" s="246"/>
      <c r="O660" s="242"/>
    </row>
    <row r="661">
      <c r="B661" s="246"/>
      <c r="F661" s="246"/>
      <c r="J661" s="246"/>
      <c r="M661" s="246"/>
      <c r="O661" s="242"/>
    </row>
    <row r="662">
      <c r="B662" s="246"/>
      <c r="F662" s="246"/>
      <c r="J662" s="246"/>
      <c r="M662" s="246"/>
      <c r="O662" s="242"/>
    </row>
    <row r="663">
      <c r="B663" s="246"/>
      <c r="F663" s="246"/>
      <c r="J663" s="246"/>
      <c r="M663" s="246"/>
      <c r="O663" s="242"/>
    </row>
    <row r="664">
      <c r="B664" s="246"/>
      <c r="F664" s="246"/>
      <c r="J664" s="246"/>
      <c r="M664" s="246"/>
      <c r="O664" s="242"/>
    </row>
    <row r="665">
      <c r="B665" s="246"/>
      <c r="F665" s="246"/>
      <c r="J665" s="246"/>
      <c r="M665" s="246"/>
      <c r="O665" s="242"/>
    </row>
    <row r="666">
      <c r="B666" s="246"/>
      <c r="F666" s="246"/>
      <c r="J666" s="246"/>
      <c r="M666" s="246"/>
      <c r="O666" s="242"/>
    </row>
    <row r="667">
      <c r="B667" s="246"/>
      <c r="F667" s="246"/>
      <c r="J667" s="246"/>
      <c r="M667" s="246"/>
      <c r="O667" s="242"/>
    </row>
    <row r="668">
      <c r="B668" s="246"/>
      <c r="F668" s="246"/>
      <c r="J668" s="246"/>
      <c r="M668" s="246"/>
      <c r="O668" s="242"/>
    </row>
    <row r="669">
      <c r="B669" s="246"/>
      <c r="F669" s="246"/>
      <c r="J669" s="246"/>
      <c r="M669" s="246"/>
      <c r="O669" s="242"/>
    </row>
    <row r="670">
      <c r="B670" s="246"/>
      <c r="F670" s="246"/>
      <c r="J670" s="246"/>
      <c r="M670" s="246"/>
      <c r="O670" s="242"/>
    </row>
    <row r="671">
      <c r="B671" s="246"/>
      <c r="F671" s="246"/>
      <c r="J671" s="246"/>
      <c r="M671" s="246"/>
      <c r="O671" s="242"/>
    </row>
    <row r="672">
      <c r="B672" s="246"/>
      <c r="F672" s="246"/>
      <c r="J672" s="246"/>
      <c r="M672" s="246"/>
      <c r="O672" s="242"/>
    </row>
    <row r="673">
      <c r="B673" s="246"/>
      <c r="F673" s="246"/>
      <c r="J673" s="246"/>
      <c r="M673" s="246"/>
      <c r="O673" s="242"/>
    </row>
    <row r="674">
      <c r="B674" s="246"/>
      <c r="F674" s="246"/>
      <c r="J674" s="246"/>
      <c r="M674" s="246"/>
      <c r="O674" s="242"/>
    </row>
    <row r="675">
      <c r="B675" s="246"/>
      <c r="F675" s="246"/>
      <c r="J675" s="246"/>
      <c r="M675" s="246"/>
      <c r="O675" s="242"/>
    </row>
    <row r="676">
      <c r="B676" s="246"/>
      <c r="F676" s="246"/>
      <c r="J676" s="246"/>
      <c r="M676" s="246"/>
      <c r="O676" s="242"/>
    </row>
    <row r="677">
      <c r="B677" s="246"/>
      <c r="F677" s="246"/>
      <c r="J677" s="246"/>
      <c r="M677" s="246"/>
      <c r="O677" s="242"/>
    </row>
    <row r="678">
      <c r="B678" s="246"/>
      <c r="F678" s="246"/>
      <c r="J678" s="246"/>
      <c r="M678" s="246"/>
      <c r="O678" s="242"/>
    </row>
    <row r="679">
      <c r="B679" s="246"/>
      <c r="F679" s="246"/>
      <c r="J679" s="246"/>
      <c r="M679" s="246"/>
      <c r="O679" s="242"/>
    </row>
    <row r="680">
      <c r="B680" s="246"/>
      <c r="F680" s="246"/>
      <c r="J680" s="246"/>
      <c r="M680" s="246"/>
      <c r="O680" s="242"/>
    </row>
    <row r="681">
      <c r="B681" s="246"/>
      <c r="F681" s="246"/>
      <c r="J681" s="246"/>
      <c r="M681" s="246"/>
      <c r="O681" s="242"/>
    </row>
    <row r="682">
      <c r="B682" s="246"/>
      <c r="F682" s="246"/>
      <c r="J682" s="246"/>
      <c r="M682" s="246"/>
      <c r="O682" s="242"/>
    </row>
    <row r="683">
      <c r="B683" s="246"/>
      <c r="F683" s="246"/>
      <c r="J683" s="246"/>
      <c r="M683" s="246"/>
      <c r="O683" s="242"/>
    </row>
    <row r="684">
      <c r="B684" s="246"/>
      <c r="F684" s="246"/>
      <c r="J684" s="246"/>
      <c r="M684" s="246"/>
      <c r="O684" s="242"/>
    </row>
    <row r="685">
      <c r="B685" s="246"/>
      <c r="F685" s="246"/>
      <c r="J685" s="246"/>
      <c r="M685" s="246"/>
      <c r="O685" s="242"/>
    </row>
    <row r="686">
      <c r="B686" s="246"/>
      <c r="F686" s="246"/>
      <c r="J686" s="246"/>
      <c r="M686" s="246"/>
      <c r="O686" s="242"/>
    </row>
    <row r="687">
      <c r="B687" s="246"/>
      <c r="F687" s="246"/>
      <c r="J687" s="246"/>
      <c r="M687" s="246"/>
      <c r="O687" s="242"/>
    </row>
    <row r="688">
      <c r="B688" s="246"/>
      <c r="F688" s="246"/>
      <c r="J688" s="246"/>
      <c r="M688" s="246"/>
      <c r="O688" s="242"/>
    </row>
    <row r="689">
      <c r="B689" s="246"/>
      <c r="F689" s="246"/>
      <c r="J689" s="246"/>
      <c r="M689" s="246"/>
      <c r="O689" s="242"/>
    </row>
    <row r="690">
      <c r="B690" s="246"/>
      <c r="F690" s="246"/>
      <c r="J690" s="246"/>
      <c r="M690" s="246"/>
      <c r="O690" s="242"/>
    </row>
    <row r="691">
      <c r="B691" s="246"/>
      <c r="F691" s="246"/>
      <c r="J691" s="246"/>
      <c r="M691" s="246"/>
      <c r="O691" s="242"/>
    </row>
    <row r="692">
      <c r="B692" s="246"/>
      <c r="F692" s="246"/>
      <c r="J692" s="246"/>
      <c r="M692" s="246"/>
      <c r="O692" s="242"/>
    </row>
    <row r="693">
      <c r="B693" s="246"/>
      <c r="F693" s="246"/>
      <c r="J693" s="246"/>
      <c r="M693" s="246"/>
      <c r="O693" s="242"/>
    </row>
    <row r="694">
      <c r="B694" s="246"/>
      <c r="F694" s="246"/>
      <c r="J694" s="246"/>
      <c r="M694" s="246"/>
      <c r="O694" s="242"/>
    </row>
    <row r="695">
      <c r="B695" s="246"/>
      <c r="F695" s="246"/>
      <c r="J695" s="246"/>
      <c r="M695" s="246"/>
      <c r="O695" s="242"/>
    </row>
    <row r="696">
      <c r="B696" s="246"/>
      <c r="F696" s="246"/>
      <c r="J696" s="246"/>
      <c r="M696" s="246"/>
      <c r="O696" s="242"/>
    </row>
    <row r="697">
      <c r="B697" s="246"/>
      <c r="F697" s="246"/>
      <c r="J697" s="246"/>
      <c r="M697" s="246"/>
      <c r="O697" s="242"/>
    </row>
    <row r="698">
      <c r="B698" s="246"/>
      <c r="F698" s="246"/>
      <c r="J698" s="246"/>
      <c r="M698" s="246"/>
      <c r="O698" s="242"/>
    </row>
    <row r="699">
      <c r="B699" s="246"/>
      <c r="F699" s="246"/>
      <c r="J699" s="246"/>
      <c r="M699" s="246"/>
      <c r="O699" s="242"/>
    </row>
    <row r="700">
      <c r="B700" s="246"/>
      <c r="F700" s="246"/>
      <c r="J700" s="246"/>
      <c r="M700" s="246"/>
      <c r="O700" s="242"/>
    </row>
    <row r="701">
      <c r="B701" s="246"/>
      <c r="F701" s="246"/>
      <c r="J701" s="246"/>
      <c r="M701" s="246"/>
      <c r="O701" s="242"/>
    </row>
    <row r="702">
      <c r="B702" s="246"/>
      <c r="F702" s="246"/>
      <c r="J702" s="246"/>
      <c r="M702" s="246"/>
      <c r="O702" s="242"/>
    </row>
    <row r="703">
      <c r="B703" s="246"/>
      <c r="F703" s="246"/>
      <c r="J703" s="246"/>
      <c r="M703" s="246"/>
      <c r="O703" s="242"/>
    </row>
    <row r="704">
      <c r="B704" s="246"/>
      <c r="F704" s="246"/>
      <c r="J704" s="246"/>
      <c r="M704" s="246"/>
      <c r="O704" s="242"/>
    </row>
    <row r="705">
      <c r="B705" s="246"/>
      <c r="F705" s="246"/>
      <c r="J705" s="246"/>
      <c r="M705" s="246"/>
      <c r="O705" s="242"/>
    </row>
    <row r="706">
      <c r="B706" s="246"/>
      <c r="F706" s="246"/>
      <c r="J706" s="246"/>
      <c r="M706" s="246"/>
      <c r="O706" s="242"/>
    </row>
    <row r="707">
      <c r="B707" s="246"/>
      <c r="F707" s="246"/>
      <c r="J707" s="246"/>
      <c r="M707" s="246"/>
      <c r="O707" s="242"/>
    </row>
    <row r="708">
      <c r="B708" s="246"/>
      <c r="F708" s="246"/>
      <c r="J708" s="246"/>
      <c r="M708" s="246"/>
      <c r="O708" s="242"/>
    </row>
    <row r="709">
      <c r="B709" s="246"/>
      <c r="F709" s="246"/>
      <c r="J709" s="246"/>
      <c r="M709" s="246"/>
      <c r="O709" s="242"/>
    </row>
    <row r="710">
      <c r="B710" s="246"/>
      <c r="F710" s="246"/>
      <c r="J710" s="246"/>
      <c r="M710" s="246"/>
      <c r="O710" s="242"/>
    </row>
    <row r="711">
      <c r="B711" s="246"/>
      <c r="F711" s="246"/>
      <c r="J711" s="246"/>
      <c r="M711" s="246"/>
      <c r="O711" s="242"/>
    </row>
    <row r="712">
      <c r="B712" s="246"/>
      <c r="F712" s="246"/>
      <c r="J712" s="246"/>
      <c r="M712" s="246"/>
      <c r="O712" s="242"/>
    </row>
    <row r="713">
      <c r="B713" s="246"/>
      <c r="F713" s="246"/>
      <c r="J713" s="246"/>
      <c r="M713" s="246"/>
      <c r="O713" s="242"/>
    </row>
    <row r="714">
      <c r="B714" s="246"/>
      <c r="F714" s="246"/>
      <c r="J714" s="246"/>
      <c r="M714" s="246"/>
      <c r="O714" s="242"/>
    </row>
    <row r="715">
      <c r="B715" s="246"/>
      <c r="F715" s="246"/>
      <c r="J715" s="246"/>
      <c r="M715" s="246"/>
      <c r="O715" s="242"/>
    </row>
    <row r="716">
      <c r="B716" s="246"/>
      <c r="F716" s="246"/>
      <c r="J716" s="246"/>
      <c r="M716" s="246"/>
      <c r="O716" s="242"/>
    </row>
    <row r="717">
      <c r="B717" s="246"/>
      <c r="F717" s="246"/>
      <c r="J717" s="246"/>
      <c r="M717" s="246"/>
      <c r="O717" s="242"/>
    </row>
    <row r="718">
      <c r="B718" s="246"/>
      <c r="F718" s="246"/>
      <c r="J718" s="246"/>
      <c r="M718" s="246"/>
      <c r="O718" s="242"/>
    </row>
    <row r="719">
      <c r="B719" s="246"/>
      <c r="F719" s="246"/>
      <c r="J719" s="246"/>
      <c r="M719" s="246"/>
      <c r="O719" s="242"/>
    </row>
    <row r="720">
      <c r="B720" s="246"/>
      <c r="F720" s="246"/>
      <c r="J720" s="246"/>
      <c r="M720" s="246"/>
      <c r="O720" s="242"/>
    </row>
    <row r="721">
      <c r="B721" s="246"/>
      <c r="F721" s="246"/>
      <c r="J721" s="246"/>
      <c r="M721" s="246"/>
      <c r="O721" s="242"/>
    </row>
    <row r="722">
      <c r="B722" s="246"/>
      <c r="F722" s="246"/>
      <c r="J722" s="246"/>
      <c r="M722" s="246"/>
      <c r="O722" s="242"/>
    </row>
    <row r="723">
      <c r="B723" s="246"/>
      <c r="F723" s="246"/>
      <c r="J723" s="246"/>
      <c r="M723" s="246"/>
      <c r="O723" s="242"/>
    </row>
    <row r="724">
      <c r="B724" s="246"/>
      <c r="F724" s="246"/>
      <c r="J724" s="246"/>
      <c r="M724" s="246"/>
      <c r="O724" s="242"/>
    </row>
    <row r="725">
      <c r="B725" s="246"/>
      <c r="F725" s="246"/>
      <c r="J725" s="246"/>
      <c r="M725" s="246"/>
      <c r="O725" s="242"/>
    </row>
    <row r="726">
      <c r="B726" s="246"/>
      <c r="F726" s="246"/>
      <c r="J726" s="246"/>
      <c r="M726" s="246"/>
      <c r="O726" s="242"/>
    </row>
    <row r="727">
      <c r="B727" s="246"/>
      <c r="F727" s="246"/>
      <c r="J727" s="246"/>
      <c r="M727" s="246"/>
      <c r="O727" s="242"/>
    </row>
    <row r="728">
      <c r="B728" s="246"/>
      <c r="F728" s="246"/>
      <c r="J728" s="246"/>
      <c r="M728" s="246"/>
      <c r="O728" s="242"/>
    </row>
    <row r="729">
      <c r="B729" s="246"/>
      <c r="F729" s="246"/>
      <c r="J729" s="246"/>
      <c r="M729" s="246"/>
      <c r="O729" s="242"/>
    </row>
    <row r="730">
      <c r="B730" s="246"/>
      <c r="F730" s="246"/>
      <c r="J730" s="246"/>
      <c r="M730" s="246"/>
      <c r="O730" s="242"/>
    </row>
    <row r="731">
      <c r="B731" s="246"/>
      <c r="F731" s="246"/>
      <c r="J731" s="246"/>
      <c r="M731" s="246"/>
      <c r="O731" s="242"/>
    </row>
    <row r="732">
      <c r="B732" s="246"/>
      <c r="F732" s="246"/>
      <c r="J732" s="246"/>
      <c r="M732" s="246"/>
      <c r="O732" s="242"/>
    </row>
    <row r="733">
      <c r="B733" s="246"/>
      <c r="F733" s="246"/>
      <c r="J733" s="246"/>
      <c r="M733" s="246"/>
      <c r="O733" s="242"/>
    </row>
    <row r="734">
      <c r="B734" s="246"/>
      <c r="F734" s="246"/>
      <c r="J734" s="246"/>
      <c r="M734" s="246"/>
      <c r="O734" s="242"/>
    </row>
    <row r="735">
      <c r="B735" s="246"/>
      <c r="F735" s="246"/>
      <c r="J735" s="246"/>
      <c r="M735" s="246"/>
      <c r="O735" s="242"/>
    </row>
    <row r="736">
      <c r="B736" s="246"/>
      <c r="F736" s="246"/>
      <c r="J736" s="246"/>
      <c r="M736" s="246"/>
      <c r="O736" s="242"/>
    </row>
    <row r="737">
      <c r="B737" s="246"/>
      <c r="F737" s="246"/>
      <c r="J737" s="246"/>
      <c r="M737" s="246"/>
      <c r="O737" s="242"/>
    </row>
    <row r="738">
      <c r="B738" s="246"/>
      <c r="F738" s="246"/>
      <c r="J738" s="246"/>
      <c r="M738" s="246"/>
      <c r="O738" s="242"/>
    </row>
    <row r="739">
      <c r="B739" s="246"/>
      <c r="F739" s="246"/>
      <c r="J739" s="246"/>
      <c r="M739" s="246"/>
      <c r="O739" s="242"/>
    </row>
    <row r="740">
      <c r="B740" s="246"/>
      <c r="F740" s="246"/>
      <c r="J740" s="246"/>
      <c r="M740" s="246"/>
      <c r="O740" s="242"/>
    </row>
    <row r="741">
      <c r="B741" s="246"/>
      <c r="F741" s="246"/>
      <c r="J741" s="246"/>
      <c r="M741" s="246"/>
      <c r="O741" s="242"/>
    </row>
    <row r="742">
      <c r="B742" s="246"/>
      <c r="F742" s="246"/>
      <c r="J742" s="246"/>
      <c r="M742" s="246"/>
      <c r="O742" s="242"/>
    </row>
    <row r="743">
      <c r="B743" s="246"/>
      <c r="F743" s="246"/>
      <c r="J743" s="246"/>
      <c r="M743" s="246"/>
      <c r="O743" s="242"/>
    </row>
    <row r="744">
      <c r="B744" s="246"/>
      <c r="F744" s="246"/>
      <c r="J744" s="246"/>
      <c r="M744" s="246"/>
      <c r="O744" s="242"/>
    </row>
    <row r="745">
      <c r="B745" s="246"/>
      <c r="F745" s="246"/>
      <c r="J745" s="246"/>
      <c r="M745" s="246"/>
      <c r="O745" s="242"/>
    </row>
    <row r="746">
      <c r="B746" s="246"/>
      <c r="F746" s="246"/>
      <c r="J746" s="246"/>
      <c r="M746" s="246"/>
      <c r="O746" s="242"/>
    </row>
    <row r="747">
      <c r="B747" s="246"/>
      <c r="F747" s="246"/>
      <c r="J747" s="246"/>
      <c r="M747" s="246"/>
      <c r="O747" s="242"/>
    </row>
    <row r="748">
      <c r="B748" s="246"/>
      <c r="F748" s="246"/>
      <c r="J748" s="246"/>
      <c r="M748" s="246"/>
      <c r="O748" s="242"/>
    </row>
    <row r="749">
      <c r="B749" s="246"/>
      <c r="F749" s="246"/>
      <c r="J749" s="246"/>
      <c r="M749" s="246"/>
      <c r="O749" s="242"/>
    </row>
    <row r="750">
      <c r="B750" s="246"/>
      <c r="F750" s="246"/>
      <c r="J750" s="246"/>
      <c r="M750" s="246"/>
      <c r="O750" s="242"/>
    </row>
    <row r="751">
      <c r="B751" s="246"/>
      <c r="F751" s="246"/>
      <c r="J751" s="246"/>
      <c r="M751" s="246"/>
      <c r="O751" s="242"/>
    </row>
    <row r="752">
      <c r="B752" s="246"/>
      <c r="F752" s="246"/>
      <c r="J752" s="246"/>
      <c r="M752" s="246"/>
      <c r="O752" s="242"/>
    </row>
    <row r="753">
      <c r="B753" s="246"/>
      <c r="F753" s="246"/>
      <c r="J753" s="246"/>
      <c r="M753" s="246"/>
      <c r="O753" s="242"/>
    </row>
    <row r="754">
      <c r="B754" s="246"/>
      <c r="F754" s="246"/>
      <c r="J754" s="246"/>
      <c r="M754" s="246"/>
      <c r="O754" s="242"/>
    </row>
    <row r="755">
      <c r="B755" s="246"/>
      <c r="F755" s="246"/>
      <c r="J755" s="246"/>
      <c r="M755" s="246"/>
      <c r="O755" s="242"/>
    </row>
    <row r="756">
      <c r="B756" s="246"/>
      <c r="F756" s="246"/>
      <c r="J756" s="246"/>
      <c r="M756" s="246"/>
      <c r="O756" s="242"/>
    </row>
    <row r="757">
      <c r="B757" s="246"/>
      <c r="F757" s="246"/>
      <c r="J757" s="246"/>
      <c r="M757" s="246"/>
      <c r="O757" s="242"/>
    </row>
    <row r="758">
      <c r="B758" s="246"/>
      <c r="F758" s="246"/>
      <c r="J758" s="246"/>
      <c r="M758" s="246"/>
      <c r="O758" s="242"/>
    </row>
    <row r="759">
      <c r="B759" s="246"/>
      <c r="F759" s="246"/>
      <c r="J759" s="246"/>
      <c r="M759" s="246"/>
      <c r="O759" s="242"/>
    </row>
    <row r="760">
      <c r="B760" s="246"/>
      <c r="F760" s="246"/>
      <c r="J760" s="246"/>
      <c r="M760" s="246"/>
      <c r="O760" s="242"/>
    </row>
    <row r="761">
      <c r="B761" s="246"/>
      <c r="F761" s="246"/>
      <c r="J761" s="246"/>
      <c r="M761" s="246"/>
      <c r="O761" s="242"/>
    </row>
    <row r="762">
      <c r="B762" s="246"/>
      <c r="F762" s="246"/>
      <c r="J762" s="246"/>
      <c r="M762" s="246"/>
      <c r="O762" s="242"/>
    </row>
    <row r="763">
      <c r="B763" s="246"/>
      <c r="F763" s="246"/>
      <c r="J763" s="246"/>
      <c r="M763" s="246"/>
      <c r="O763" s="242"/>
    </row>
    <row r="764">
      <c r="B764" s="246"/>
      <c r="F764" s="246"/>
      <c r="J764" s="246"/>
      <c r="M764" s="246"/>
      <c r="O764" s="242"/>
    </row>
    <row r="765">
      <c r="B765" s="246"/>
      <c r="F765" s="246"/>
      <c r="J765" s="246"/>
      <c r="M765" s="246"/>
      <c r="O765" s="242"/>
    </row>
    <row r="766">
      <c r="B766" s="246"/>
      <c r="F766" s="246"/>
      <c r="J766" s="246"/>
      <c r="M766" s="246"/>
      <c r="O766" s="242"/>
    </row>
    <row r="767">
      <c r="B767" s="246"/>
      <c r="F767" s="246"/>
      <c r="J767" s="246"/>
      <c r="M767" s="246"/>
      <c r="O767" s="242"/>
    </row>
    <row r="768">
      <c r="B768" s="246"/>
      <c r="F768" s="246"/>
      <c r="J768" s="246"/>
      <c r="M768" s="246"/>
      <c r="O768" s="242"/>
    </row>
    <row r="769">
      <c r="B769" s="246"/>
      <c r="F769" s="246"/>
      <c r="J769" s="246"/>
      <c r="M769" s="246"/>
      <c r="O769" s="242"/>
    </row>
    <row r="770">
      <c r="B770" s="246"/>
      <c r="F770" s="246"/>
      <c r="J770" s="246"/>
      <c r="M770" s="246"/>
      <c r="O770" s="242"/>
    </row>
    <row r="771">
      <c r="B771" s="246"/>
      <c r="F771" s="246"/>
      <c r="J771" s="246"/>
      <c r="M771" s="246"/>
      <c r="O771" s="242"/>
    </row>
    <row r="772">
      <c r="B772" s="246"/>
      <c r="F772" s="246"/>
      <c r="J772" s="246"/>
      <c r="M772" s="246"/>
      <c r="O772" s="242"/>
    </row>
    <row r="773">
      <c r="B773" s="246"/>
      <c r="F773" s="246"/>
      <c r="J773" s="246"/>
      <c r="M773" s="246"/>
      <c r="O773" s="242"/>
    </row>
    <row r="774">
      <c r="B774" s="246"/>
      <c r="F774" s="246"/>
      <c r="J774" s="246"/>
      <c r="M774" s="246"/>
      <c r="O774" s="242"/>
    </row>
    <row r="775">
      <c r="B775" s="246"/>
      <c r="F775" s="246"/>
      <c r="J775" s="246"/>
      <c r="M775" s="246"/>
      <c r="O775" s="242"/>
    </row>
    <row r="776">
      <c r="B776" s="246"/>
      <c r="F776" s="246"/>
      <c r="J776" s="246"/>
      <c r="M776" s="246"/>
      <c r="O776" s="242"/>
    </row>
    <row r="777">
      <c r="B777" s="246"/>
      <c r="F777" s="246"/>
      <c r="J777" s="246"/>
      <c r="M777" s="246"/>
      <c r="O777" s="242"/>
    </row>
    <row r="778">
      <c r="B778" s="246"/>
      <c r="F778" s="246"/>
      <c r="J778" s="246"/>
      <c r="M778" s="246"/>
      <c r="O778" s="242"/>
    </row>
    <row r="779">
      <c r="B779" s="246"/>
      <c r="F779" s="246"/>
      <c r="J779" s="246"/>
      <c r="M779" s="246"/>
      <c r="O779" s="242"/>
    </row>
    <row r="780">
      <c r="B780" s="246"/>
      <c r="F780" s="246"/>
      <c r="J780" s="246"/>
      <c r="M780" s="246"/>
      <c r="O780" s="242"/>
    </row>
    <row r="781">
      <c r="B781" s="246"/>
      <c r="F781" s="246"/>
      <c r="J781" s="246"/>
      <c r="M781" s="246"/>
      <c r="O781" s="242"/>
    </row>
    <row r="782">
      <c r="B782" s="246"/>
      <c r="F782" s="246"/>
      <c r="J782" s="246"/>
      <c r="M782" s="246"/>
      <c r="O782" s="242"/>
    </row>
    <row r="783">
      <c r="B783" s="246"/>
      <c r="F783" s="246"/>
      <c r="J783" s="246"/>
      <c r="M783" s="246"/>
      <c r="O783" s="242"/>
    </row>
    <row r="784">
      <c r="B784" s="246"/>
      <c r="F784" s="246"/>
      <c r="J784" s="246"/>
      <c r="M784" s="246"/>
      <c r="O784" s="242"/>
    </row>
    <row r="785">
      <c r="B785" s="246"/>
      <c r="F785" s="246"/>
      <c r="J785" s="246"/>
      <c r="M785" s="246"/>
      <c r="O785" s="242"/>
    </row>
    <row r="786">
      <c r="B786" s="246"/>
      <c r="F786" s="246"/>
      <c r="J786" s="246"/>
      <c r="M786" s="246"/>
      <c r="O786" s="242"/>
    </row>
    <row r="787">
      <c r="B787" s="246"/>
      <c r="F787" s="246"/>
      <c r="J787" s="246"/>
      <c r="M787" s="246"/>
      <c r="O787" s="242"/>
    </row>
    <row r="788">
      <c r="B788" s="246"/>
      <c r="F788" s="246"/>
      <c r="J788" s="246"/>
      <c r="M788" s="246"/>
      <c r="O788" s="242"/>
    </row>
    <row r="789">
      <c r="B789" s="246"/>
      <c r="F789" s="246"/>
      <c r="J789" s="246"/>
      <c r="M789" s="246"/>
      <c r="O789" s="242"/>
    </row>
    <row r="790">
      <c r="B790" s="246"/>
      <c r="F790" s="246"/>
      <c r="J790" s="246"/>
      <c r="M790" s="246"/>
      <c r="O790" s="242"/>
    </row>
    <row r="791">
      <c r="B791" s="246"/>
      <c r="F791" s="246"/>
      <c r="J791" s="246"/>
      <c r="M791" s="246"/>
      <c r="O791" s="242"/>
    </row>
    <row r="792">
      <c r="B792" s="246"/>
      <c r="F792" s="246"/>
      <c r="J792" s="246"/>
      <c r="M792" s="246"/>
      <c r="O792" s="242"/>
    </row>
    <row r="793">
      <c r="B793" s="246"/>
      <c r="F793" s="246"/>
      <c r="J793" s="246"/>
      <c r="M793" s="246"/>
      <c r="O793" s="242"/>
    </row>
    <row r="794">
      <c r="B794" s="246"/>
      <c r="F794" s="246"/>
      <c r="J794" s="246"/>
      <c r="M794" s="246"/>
      <c r="O794" s="242"/>
    </row>
    <row r="795">
      <c r="B795" s="246"/>
      <c r="F795" s="246"/>
      <c r="J795" s="246"/>
      <c r="M795" s="246"/>
      <c r="O795" s="242"/>
    </row>
    <row r="796">
      <c r="B796" s="246"/>
      <c r="F796" s="246"/>
      <c r="J796" s="246"/>
      <c r="M796" s="246"/>
      <c r="O796" s="242"/>
    </row>
    <row r="797">
      <c r="B797" s="246"/>
      <c r="F797" s="246"/>
      <c r="J797" s="246"/>
      <c r="M797" s="246"/>
      <c r="O797" s="242"/>
    </row>
    <row r="798">
      <c r="B798" s="246"/>
      <c r="F798" s="246"/>
      <c r="J798" s="246"/>
      <c r="M798" s="246"/>
      <c r="O798" s="242"/>
    </row>
    <row r="799">
      <c r="B799" s="246"/>
      <c r="F799" s="246"/>
      <c r="J799" s="246"/>
      <c r="M799" s="246"/>
      <c r="O799" s="242"/>
    </row>
    <row r="800">
      <c r="B800" s="246"/>
      <c r="F800" s="246"/>
      <c r="J800" s="246"/>
      <c r="M800" s="246"/>
      <c r="O800" s="242"/>
    </row>
    <row r="801">
      <c r="B801" s="246"/>
      <c r="F801" s="246"/>
      <c r="J801" s="246"/>
      <c r="M801" s="246"/>
      <c r="O801" s="242"/>
    </row>
    <row r="802">
      <c r="B802" s="246"/>
      <c r="F802" s="246"/>
      <c r="J802" s="246"/>
      <c r="M802" s="246"/>
      <c r="O802" s="242"/>
    </row>
    <row r="803">
      <c r="B803" s="246"/>
      <c r="F803" s="246"/>
      <c r="J803" s="246"/>
      <c r="M803" s="246"/>
      <c r="O803" s="242"/>
    </row>
    <row r="804">
      <c r="B804" s="246"/>
      <c r="F804" s="246"/>
      <c r="J804" s="246"/>
      <c r="M804" s="246"/>
      <c r="O804" s="242"/>
    </row>
    <row r="805">
      <c r="B805" s="246"/>
      <c r="F805" s="246"/>
      <c r="J805" s="246"/>
      <c r="M805" s="246"/>
      <c r="O805" s="242"/>
    </row>
    <row r="806">
      <c r="B806" s="246"/>
      <c r="F806" s="246"/>
      <c r="J806" s="246"/>
      <c r="M806" s="246"/>
      <c r="O806" s="242"/>
    </row>
    <row r="807">
      <c r="B807" s="246"/>
      <c r="F807" s="246"/>
      <c r="J807" s="246"/>
      <c r="M807" s="246"/>
      <c r="O807" s="242"/>
    </row>
    <row r="808">
      <c r="B808" s="246"/>
      <c r="F808" s="246"/>
      <c r="J808" s="246"/>
      <c r="M808" s="246"/>
      <c r="O808" s="242"/>
    </row>
    <row r="809">
      <c r="B809" s="246"/>
      <c r="F809" s="246"/>
      <c r="J809" s="246"/>
      <c r="M809" s="246"/>
      <c r="O809" s="242"/>
    </row>
    <row r="810">
      <c r="B810" s="246"/>
      <c r="F810" s="246"/>
      <c r="J810" s="246"/>
      <c r="M810" s="246"/>
      <c r="O810" s="242"/>
    </row>
    <row r="811">
      <c r="B811" s="246"/>
      <c r="F811" s="246"/>
      <c r="J811" s="246"/>
      <c r="M811" s="246"/>
      <c r="O811" s="242"/>
    </row>
    <row r="812">
      <c r="B812" s="246"/>
      <c r="F812" s="246"/>
      <c r="J812" s="246"/>
      <c r="M812" s="246"/>
      <c r="O812" s="242"/>
    </row>
    <row r="813">
      <c r="B813" s="246"/>
      <c r="F813" s="246"/>
      <c r="J813" s="246"/>
      <c r="M813" s="246"/>
      <c r="O813" s="242"/>
    </row>
    <row r="814">
      <c r="B814" s="246"/>
      <c r="F814" s="246"/>
      <c r="J814" s="246"/>
      <c r="M814" s="246"/>
      <c r="O814" s="242"/>
    </row>
    <row r="815">
      <c r="B815" s="246"/>
      <c r="F815" s="246"/>
      <c r="J815" s="246"/>
      <c r="M815" s="246"/>
      <c r="O815" s="242"/>
    </row>
    <row r="816">
      <c r="B816" s="246"/>
      <c r="F816" s="246"/>
      <c r="J816" s="246"/>
      <c r="M816" s="246"/>
      <c r="O816" s="242"/>
    </row>
    <row r="817">
      <c r="B817" s="246"/>
      <c r="F817" s="246"/>
      <c r="J817" s="246"/>
      <c r="M817" s="246"/>
      <c r="O817" s="242"/>
    </row>
    <row r="818">
      <c r="B818" s="246"/>
      <c r="F818" s="246"/>
      <c r="J818" s="246"/>
      <c r="M818" s="246"/>
      <c r="O818" s="242"/>
    </row>
    <row r="819">
      <c r="B819" s="246"/>
      <c r="F819" s="246"/>
      <c r="J819" s="246"/>
      <c r="M819" s="246"/>
      <c r="O819" s="242"/>
    </row>
    <row r="820">
      <c r="B820" s="246"/>
      <c r="F820" s="246"/>
      <c r="J820" s="246"/>
      <c r="M820" s="246"/>
      <c r="O820" s="242"/>
    </row>
    <row r="821">
      <c r="B821" s="246"/>
      <c r="F821" s="246"/>
      <c r="J821" s="246"/>
      <c r="M821" s="246"/>
      <c r="O821" s="242"/>
    </row>
    <row r="822">
      <c r="B822" s="246"/>
      <c r="F822" s="246"/>
      <c r="J822" s="246"/>
      <c r="M822" s="246"/>
      <c r="O822" s="242"/>
    </row>
    <row r="823">
      <c r="B823" s="246"/>
      <c r="F823" s="246"/>
      <c r="J823" s="246"/>
      <c r="M823" s="246"/>
      <c r="O823" s="242"/>
    </row>
    <row r="824">
      <c r="B824" s="246"/>
      <c r="F824" s="246"/>
      <c r="J824" s="246"/>
      <c r="M824" s="246"/>
      <c r="O824" s="242"/>
    </row>
    <row r="825">
      <c r="B825" s="246"/>
      <c r="F825" s="246"/>
      <c r="J825" s="246"/>
      <c r="M825" s="246"/>
      <c r="O825" s="242"/>
    </row>
    <row r="826">
      <c r="B826" s="246"/>
      <c r="F826" s="246"/>
      <c r="J826" s="246"/>
      <c r="M826" s="246"/>
      <c r="O826" s="242"/>
    </row>
    <row r="827">
      <c r="B827" s="246"/>
      <c r="F827" s="246"/>
      <c r="J827" s="246"/>
      <c r="M827" s="246"/>
      <c r="O827" s="242"/>
    </row>
    <row r="828">
      <c r="B828" s="246"/>
      <c r="F828" s="246"/>
      <c r="J828" s="246"/>
      <c r="M828" s="246"/>
      <c r="O828" s="242"/>
    </row>
    <row r="829">
      <c r="B829" s="246"/>
      <c r="F829" s="246"/>
      <c r="J829" s="246"/>
      <c r="M829" s="246"/>
      <c r="O829" s="242"/>
    </row>
    <row r="830">
      <c r="B830" s="246"/>
      <c r="F830" s="246"/>
      <c r="J830" s="246"/>
      <c r="M830" s="246"/>
      <c r="O830" s="242"/>
    </row>
    <row r="831">
      <c r="B831" s="246"/>
      <c r="F831" s="246"/>
      <c r="J831" s="246"/>
      <c r="M831" s="246"/>
      <c r="O831" s="242"/>
    </row>
    <row r="832">
      <c r="B832" s="246"/>
      <c r="F832" s="246"/>
      <c r="J832" s="246"/>
      <c r="M832" s="246"/>
      <c r="O832" s="242"/>
    </row>
    <row r="833">
      <c r="B833" s="246"/>
      <c r="F833" s="246"/>
      <c r="J833" s="246"/>
      <c r="M833" s="246"/>
      <c r="O833" s="242"/>
    </row>
    <row r="834">
      <c r="B834" s="246"/>
      <c r="F834" s="246"/>
      <c r="J834" s="246"/>
      <c r="M834" s="246"/>
      <c r="O834" s="242"/>
    </row>
    <row r="835">
      <c r="B835" s="246"/>
      <c r="F835" s="246"/>
      <c r="J835" s="246"/>
      <c r="M835" s="246"/>
      <c r="O835" s="242"/>
    </row>
    <row r="836">
      <c r="B836" s="246"/>
      <c r="F836" s="246"/>
      <c r="J836" s="246"/>
      <c r="M836" s="246"/>
      <c r="O836" s="242"/>
    </row>
    <row r="837">
      <c r="B837" s="246"/>
      <c r="F837" s="246"/>
      <c r="J837" s="246"/>
      <c r="M837" s="246"/>
      <c r="O837" s="242"/>
    </row>
    <row r="838">
      <c r="B838" s="246"/>
      <c r="F838" s="246"/>
      <c r="J838" s="246"/>
      <c r="M838" s="246"/>
      <c r="O838" s="242"/>
    </row>
    <row r="839">
      <c r="B839" s="246"/>
      <c r="F839" s="246"/>
      <c r="J839" s="246"/>
      <c r="M839" s="246"/>
      <c r="O839" s="242"/>
    </row>
    <row r="840">
      <c r="B840" s="246"/>
      <c r="F840" s="246"/>
      <c r="J840" s="246"/>
      <c r="M840" s="246"/>
      <c r="O840" s="242"/>
    </row>
    <row r="841">
      <c r="B841" s="246"/>
      <c r="F841" s="246"/>
      <c r="J841" s="246"/>
      <c r="M841" s="246"/>
      <c r="O841" s="242"/>
    </row>
    <row r="842">
      <c r="B842" s="246"/>
      <c r="F842" s="246"/>
      <c r="J842" s="246"/>
      <c r="M842" s="246"/>
      <c r="O842" s="242"/>
    </row>
    <row r="843">
      <c r="B843" s="246"/>
      <c r="F843" s="246"/>
      <c r="J843" s="246"/>
      <c r="M843" s="246"/>
      <c r="O843" s="242"/>
    </row>
    <row r="844">
      <c r="B844" s="246"/>
      <c r="F844" s="246"/>
      <c r="J844" s="246"/>
      <c r="M844" s="246"/>
      <c r="O844" s="242"/>
    </row>
    <row r="845">
      <c r="B845" s="246"/>
      <c r="F845" s="246"/>
      <c r="J845" s="246"/>
      <c r="M845" s="246"/>
      <c r="O845" s="242"/>
    </row>
    <row r="846">
      <c r="B846" s="246"/>
      <c r="F846" s="246"/>
      <c r="J846" s="246"/>
      <c r="M846" s="246"/>
      <c r="O846" s="242"/>
    </row>
    <row r="847">
      <c r="B847" s="246"/>
      <c r="F847" s="246"/>
      <c r="J847" s="246"/>
      <c r="M847" s="246"/>
      <c r="O847" s="242"/>
    </row>
    <row r="848">
      <c r="B848" s="246"/>
      <c r="F848" s="246"/>
      <c r="J848" s="246"/>
      <c r="M848" s="246"/>
      <c r="O848" s="242"/>
    </row>
    <row r="849">
      <c r="B849" s="246"/>
      <c r="F849" s="246"/>
      <c r="J849" s="246"/>
      <c r="M849" s="246"/>
      <c r="O849" s="242"/>
    </row>
    <row r="850">
      <c r="B850" s="246"/>
      <c r="F850" s="246"/>
      <c r="J850" s="246"/>
      <c r="M850" s="246"/>
      <c r="O850" s="242"/>
    </row>
    <row r="851">
      <c r="B851" s="246"/>
      <c r="F851" s="246"/>
      <c r="J851" s="246"/>
      <c r="M851" s="246"/>
      <c r="O851" s="242"/>
    </row>
    <row r="852">
      <c r="B852" s="246"/>
      <c r="F852" s="246"/>
      <c r="J852" s="246"/>
      <c r="M852" s="246"/>
      <c r="O852" s="242"/>
    </row>
    <row r="853">
      <c r="B853" s="246"/>
      <c r="F853" s="246"/>
      <c r="J853" s="246"/>
      <c r="M853" s="246"/>
      <c r="O853" s="242"/>
    </row>
    <row r="854">
      <c r="B854" s="246"/>
      <c r="F854" s="246"/>
      <c r="J854" s="246"/>
      <c r="M854" s="246"/>
      <c r="O854" s="242"/>
    </row>
    <row r="855">
      <c r="B855" s="246"/>
      <c r="F855" s="246"/>
      <c r="J855" s="246"/>
      <c r="M855" s="246"/>
      <c r="O855" s="242"/>
    </row>
    <row r="856">
      <c r="B856" s="246"/>
      <c r="F856" s="246"/>
      <c r="J856" s="246"/>
      <c r="M856" s="246"/>
      <c r="O856" s="242"/>
    </row>
    <row r="857">
      <c r="B857" s="246"/>
      <c r="F857" s="246"/>
      <c r="J857" s="246"/>
      <c r="M857" s="246"/>
      <c r="O857" s="242"/>
    </row>
    <row r="858">
      <c r="B858" s="246"/>
      <c r="F858" s="246"/>
      <c r="J858" s="246"/>
      <c r="M858" s="246"/>
      <c r="O858" s="242"/>
    </row>
    <row r="859">
      <c r="B859" s="246"/>
      <c r="F859" s="246"/>
      <c r="J859" s="246"/>
      <c r="M859" s="246"/>
      <c r="O859" s="242"/>
    </row>
    <row r="860">
      <c r="B860" s="246"/>
      <c r="F860" s="246"/>
      <c r="J860" s="246"/>
      <c r="M860" s="246"/>
      <c r="O860" s="242"/>
    </row>
    <row r="861">
      <c r="B861" s="246"/>
      <c r="F861" s="246"/>
      <c r="J861" s="246"/>
      <c r="M861" s="246"/>
      <c r="O861" s="242"/>
    </row>
    <row r="862">
      <c r="B862" s="246"/>
      <c r="F862" s="246"/>
      <c r="J862" s="246"/>
      <c r="M862" s="246"/>
      <c r="O862" s="242"/>
    </row>
    <row r="863">
      <c r="B863" s="246"/>
      <c r="F863" s="246"/>
      <c r="J863" s="246"/>
      <c r="M863" s="246"/>
      <c r="O863" s="242"/>
    </row>
    <row r="864">
      <c r="B864" s="246"/>
      <c r="F864" s="246"/>
      <c r="J864" s="246"/>
      <c r="M864" s="246"/>
      <c r="O864" s="242"/>
    </row>
    <row r="865">
      <c r="B865" s="246"/>
      <c r="F865" s="246"/>
      <c r="J865" s="246"/>
      <c r="M865" s="246"/>
      <c r="O865" s="242"/>
    </row>
    <row r="866">
      <c r="B866" s="246"/>
      <c r="F866" s="246"/>
      <c r="J866" s="246"/>
      <c r="M866" s="246"/>
      <c r="O866" s="242"/>
    </row>
    <row r="867">
      <c r="B867" s="246"/>
      <c r="F867" s="246"/>
      <c r="J867" s="246"/>
      <c r="M867" s="246"/>
      <c r="O867" s="242"/>
    </row>
    <row r="868">
      <c r="B868" s="246"/>
      <c r="F868" s="246"/>
      <c r="J868" s="246"/>
      <c r="M868" s="246"/>
      <c r="O868" s="242"/>
    </row>
    <row r="869">
      <c r="B869" s="246"/>
      <c r="F869" s="246"/>
      <c r="J869" s="246"/>
      <c r="M869" s="246"/>
      <c r="O869" s="242"/>
    </row>
    <row r="870">
      <c r="B870" s="246"/>
      <c r="F870" s="246"/>
      <c r="J870" s="246"/>
      <c r="M870" s="246"/>
      <c r="O870" s="242"/>
    </row>
    <row r="871">
      <c r="B871" s="246"/>
      <c r="F871" s="246"/>
      <c r="J871" s="246"/>
      <c r="M871" s="246"/>
      <c r="O871" s="242"/>
    </row>
    <row r="872">
      <c r="B872" s="246"/>
      <c r="F872" s="246"/>
      <c r="J872" s="246"/>
      <c r="M872" s="246"/>
      <c r="O872" s="242"/>
    </row>
    <row r="873">
      <c r="B873" s="246"/>
      <c r="F873" s="246"/>
      <c r="J873" s="246"/>
      <c r="M873" s="246"/>
      <c r="O873" s="242"/>
    </row>
    <row r="874">
      <c r="B874" s="246"/>
      <c r="F874" s="246"/>
      <c r="J874" s="246"/>
      <c r="M874" s="246"/>
      <c r="O874" s="242"/>
    </row>
    <row r="875">
      <c r="B875" s="246"/>
      <c r="F875" s="246"/>
      <c r="J875" s="246"/>
      <c r="M875" s="246"/>
      <c r="O875" s="242"/>
    </row>
    <row r="876">
      <c r="B876" s="246"/>
      <c r="F876" s="246"/>
      <c r="J876" s="246"/>
      <c r="M876" s="246"/>
      <c r="O876" s="242"/>
    </row>
    <row r="877">
      <c r="B877" s="246"/>
      <c r="F877" s="246"/>
      <c r="J877" s="246"/>
      <c r="M877" s="246"/>
      <c r="O877" s="242"/>
    </row>
    <row r="878">
      <c r="B878" s="246"/>
      <c r="F878" s="246"/>
      <c r="J878" s="246"/>
      <c r="M878" s="246"/>
      <c r="O878" s="242"/>
    </row>
    <row r="879">
      <c r="B879" s="246"/>
      <c r="F879" s="246"/>
      <c r="J879" s="246"/>
      <c r="M879" s="246"/>
      <c r="O879" s="242"/>
    </row>
    <row r="880">
      <c r="B880" s="246"/>
      <c r="F880" s="246"/>
      <c r="J880" s="246"/>
      <c r="M880" s="246"/>
      <c r="O880" s="242"/>
    </row>
    <row r="881">
      <c r="B881" s="246"/>
      <c r="F881" s="246"/>
      <c r="J881" s="246"/>
      <c r="M881" s="246"/>
      <c r="O881" s="242"/>
    </row>
    <row r="882">
      <c r="B882" s="246"/>
      <c r="F882" s="246"/>
      <c r="J882" s="246"/>
      <c r="M882" s="246"/>
      <c r="O882" s="242"/>
    </row>
    <row r="883">
      <c r="B883" s="246"/>
      <c r="F883" s="246"/>
      <c r="J883" s="246"/>
      <c r="M883" s="246"/>
      <c r="O883" s="242"/>
    </row>
    <row r="884">
      <c r="B884" s="246"/>
      <c r="F884" s="246"/>
      <c r="J884" s="246"/>
      <c r="M884" s="246"/>
      <c r="O884" s="242"/>
    </row>
    <row r="885">
      <c r="B885" s="246"/>
      <c r="F885" s="246"/>
      <c r="J885" s="246"/>
      <c r="M885" s="246"/>
      <c r="O885" s="242"/>
    </row>
    <row r="886">
      <c r="B886" s="246"/>
      <c r="F886" s="246"/>
      <c r="J886" s="246"/>
      <c r="M886" s="246"/>
      <c r="O886" s="242"/>
    </row>
    <row r="887">
      <c r="B887" s="246"/>
      <c r="F887" s="246"/>
      <c r="J887" s="246"/>
      <c r="M887" s="246"/>
      <c r="O887" s="242"/>
    </row>
    <row r="888">
      <c r="B888" s="246"/>
      <c r="F888" s="246"/>
      <c r="J888" s="246"/>
      <c r="M888" s="246"/>
      <c r="O888" s="242"/>
    </row>
    <row r="889">
      <c r="B889" s="246"/>
      <c r="F889" s="246"/>
      <c r="J889" s="246"/>
      <c r="M889" s="246"/>
      <c r="O889" s="242"/>
    </row>
    <row r="890">
      <c r="B890" s="246"/>
      <c r="F890" s="246"/>
      <c r="J890" s="246"/>
      <c r="M890" s="246"/>
      <c r="O890" s="242"/>
    </row>
    <row r="891">
      <c r="B891" s="246"/>
      <c r="F891" s="246"/>
      <c r="J891" s="246"/>
      <c r="M891" s="246"/>
      <c r="O891" s="242"/>
    </row>
    <row r="892">
      <c r="B892" s="246"/>
      <c r="F892" s="246"/>
      <c r="J892" s="246"/>
      <c r="M892" s="246"/>
      <c r="O892" s="242"/>
    </row>
    <row r="893">
      <c r="B893" s="246"/>
      <c r="F893" s="246"/>
      <c r="J893" s="246"/>
      <c r="M893" s="246"/>
      <c r="O893" s="242"/>
    </row>
    <row r="894">
      <c r="B894" s="246"/>
      <c r="F894" s="246"/>
      <c r="J894" s="246"/>
      <c r="M894" s="246"/>
      <c r="O894" s="242"/>
    </row>
    <row r="895">
      <c r="B895" s="246"/>
      <c r="F895" s="246"/>
      <c r="J895" s="246"/>
      <c r="M895" s="246"/>
      <c r="O895" s="242"/>
    </row>
    <row r="896">
      <c r="B896" s="246"/>
      <c r="F896" s="246"/>
      <c r="J896" s="246"/>
      <c r="M896" s="246"/>
      <c r="O896" s="242"/>
    </row>
    <row r="897">
      <c r="B897" s="246"/>
      <c r="F897" s="246"/>
      <c r="J897" s="246"/>
      <c r="M897" s="246"/>
      <c r="O897" s="242"/>
    </row>
    <row r="898">
      <c r="B898" s="246"/>
      <c r="F898" s="246"/>
      <c r="J898" s="246"/>
      <c r="M898" s="246"/>
      <c r="O898" s="242"/>
    </row>
    <row r="899">
      <c r="B899" s="246"/>
      <c r="F899" s="246"/>
      <c r="J899" s="246"/>
      <c r="M899" s="246"/>
      <c r="O899" s="242"/>
    </row>
    <row r="900">
      <c r="B900" s="246"/>
      <c r="F900" s="246"/>
      <c r="J900" s="246"/>
      <c r="M900" s="246"/>
      <c r="O900" s="242"/>
    </row>
    <row r="901">
      <c r="B901" s="246"/>
      <c r="F901" s="246"/>
      <c r="J901" s="246"/>
      <c r="M901" s="246"/>
      <c r="O901" s="242"/>
    </row>
    <row r="902">
      <c r="B902" s="246"/>
      <c r="F902" s="246"/>
      <c r="J902" s="246"/>
      <c r="M902" s="246"/>
      <c r="O902" s="242"/>
    </row>
    <row r="903">
      <c r="B903" s="246"/>
      <c r="F903" s="246"/>
      <c r="J903" s="246"/>
      <c r="M903" s="246"/>
      <c r="O903" s="242"/>
    </row>
    <row r="904">
      <c r="B904" s="246"/>
      <c r="F904" s="246"/>
      <c r="J904" s="246"/>
      <c r="M904" s="246"/>
      <c r="O904" s="242"/>
    </row>
    <row r="905">
      <c r="B905" s="246"/>
      <c r="F905" s="246"/>
      <c r="J905" s="246"/>
      <c r="M905" s="246"/>
      <c r="O905" s="242"/>
    </row>
    <row r="906">
      <c r="B906" s="246"/>
      <c r="F906" s="246"/>
      <c r="J906" s="246"/>
      <c r="M906" s="246"/>
      <c r="O906" s="242"/>
    </row>
    <row r="907">
      <c r="B907" s="246"/>
      <c r="F907" s="246"/>
      <c r="J907" s="246"/>
      <c r="M907" s="246"/>
      <c r="O907" s="242"/>
    </row>
    <row r="908">
      <c r="B908" s="246"/>
      <c r="F908" s="246"/>
      <c r="J908" s="246"/>
      <c r="M908" s="246"/>
      <c r="O908" s="242"/>
    </row>
    <row r="909">
      <c r="B909" s="246"/>
      <c r="F909" s="246"/>
      <c r="J909" s="246"/>
      <c r="M909" s="246"/>
      <c r="O909" s="242"/>
    </row>
    <row r="910">
      <c r="B910" s="246"/>
      <c r="F910" s="246"/>
      <c r="J910" s="246"/>
      <c r="M910" s="246"/>
      <c r="O910" s="242"/>
    </row>
    <row r="911">
      <c r="B911" s="246"/>
      <c r="F911" s="246"/>
      <c r="J911" s="246"/>
      <c r="M911" s="246"/>
      <c r="O911" s="242"/>
    </row>
    <row r="912">
      <c r="B912" s="246"/>
      <c r="F912" s="246"/>
      <c r="J912" s="246"/>
      <c r="M912" s="246"/>
      <c r="O912" s="242"/>
    </row>
    <row r="913">
      <c r="B913" s="246"/>
      <c r="F913" s="246"/>
      <c r="J913" s="246"/>
      <c r="M913" s="246"/>
      <c r="O913" s="242"/>
    </row>
    <row r="914">
      <c r="B914" s="246"/>
      <c r="F914" s="246"/>
      <c r="J914" s="246"/>
      <c r="M914" s="246"/>
      <c r="O914" s="242"/>
    </row>
    <row r="915">
      <c r="B915" s="246"/>
      <c r="F915" s="246"/>
      <c r="J915" s="246"/>
      <c r="M915" s="246"/>
      <c r="O915" s="242"/>
    </row>
    <row r="916">
      <c r="B916" s="246"/>
      <c r="F916" s="246"/>
      <c r="J916" s="246"/>
      <c r="M916" s="246"/>
      <c r="O916" s="242"/>
    </row>
    <row r="917">
      <c r="B917" s="246"/>
      <c r="F917" s="246"/>
      <c r="J917" s="246"/>
      <c r="M917" s="246"/>
      <c r="O917" s="242"/>
    </row>
    <row r="918">
      <c r="B918" s="246"/>
      <c r="F918" s="246"/>
      <c r="J918" s="246"/>
      <c r="M918" s="246"/>
      <c r="O918" s="242"/>
    </row>
    <row r="919">
      <c r="B919" s="246"/>
      <c r="F919" s="246"/>
      <c r="J919" s="246"/>
      <c r="M919" s="246"/>
      <c r="O919" s="242"/>
    </row>
    <row r="920">
      <c r="B920" s="246"/>
      <c r="F920" s="246"/>
      <c r="J920" s="246"/>
      <c r="M920" s="246"/>
      <c r="O920" s="242"/>
    </row>
    <row r="921">
      <c r="B921" s="246"/>
      <c r="F921" s="246"/>
      <c r="J921" s="246"/>
      <c r="M921" s="246"/>
      <c r="O921" s="242"/>
    </row>
    <row r="922">
      <c r="B922" s="246"/>
      <c r="F922" s="246"/>
      <c r="J922" s="246"/>
      <c r="M922" s="246"/>
      <c r="O922" s="242"/>
    </row>
    <row r="923">
      <c r="B923" s="246"/>
      <c r="F923" s="246"/>
      <c r="J923" s="246"/>
      <c r="M923" s="246"/>
      <c r="O923" s="242"/>
    </row>
    <row r="924">
      <c r="B924" s="246"/>
      <c r="F924" s="246"/>
      <c r="J924" s="246"/>
      <c r="M924" s="246"/>
      <c r="O924" s="242"/>
    </row>
    <row r="925">
      <c r="B925" s="246"/>
      <c r="F925" s="246"/>
      <c r="J925" s="246"/>
      <c r="M925" s="246"/>
      <c r="O925" s="242"/>
    </row>
    <row r="926">
      <c r="B926" s="246"/>
      <c r="F926" s="246"/>
      <c r="J926" s="246"/>
      <c r="M926" s="246"/>
      <c r="O926" s="242"/>
    </row>
  </sheetData>
  <mergeCells count="7">
    <mergeCell ref="A1:C1"/>
    <mergeCell ref="D1:D926"/>
    <mergeCell ref="E1:G1"/>
    <mergeCell ref="H1:H926"/>
    <mergeCell ref="I1:K1"/>
    <mergeCell ref="L1:L926"/>
    <mergeCell ref="M1:N1"/>
  </mergeCells>
  <conditionalFormatting sqref="F3:F22">
    <cfRule type="cellIs" dxfId="21" priority="1" operator="equal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8.63"/>
    <col customWidth="1" min="11" max="11" width="9.13"/>
    <col customWidth="1" min="12" max="12" width="8.13"/>
    <col customWidth="1" min="13" max="13" width="13.75"/>
    <col customWidth="1" min="14" max="14" width="10.5"/>
    <col customWidth="1" min="15" max="15" width="5.88"/>
    <col customWidth="1" min="17" max="17" width="8.38"/>
  </cols>
  <sheetData>
    <row r="1">
      <c r="A1" s="14" t="s">
        <v>10272</v>
      </c>
      <c r="B1" s="13" t="s">
        <v>6</v>
      </c>
      <c r="C1" s="13" t="s">
        <v>7</v>
      </c>
      <c r="D1" s="13" t="s">
        <v>8</v>
      </c>
      <c r="E1" s="13" t="s">
        <v>10</v>
      </c>
      <c r="F1" s="13" t="s">
        <v>10273</v>
      </c>
      <c r="G1" s="13" t="s">
        <v>11</v>
      </c>
      <c r="H1" s="249" t="s">
        <v>62</v>
      </c>
      <c r="Q1" s="250"/>
    </row>
    <row r="2">
      <c r="A2" s="99" t="s">
        <v>10274</v>
      </c>
      <c r="B2" s="23">
        <f>COUNTIF(Inventory!M:M,A2)</f>
        <v>64</v>
      </c>
      <c r="C2" s="23">
        <f>COUNTIFS(Inventory!M:M,A2,Inventory!J:J,"Closed")</f>
        <v>63</v>
      </c>
      <c r="D2" s="23">
        <f t="shared" ref="D2:D293" si="1">(B2-C2)</f>
        <v>1</v>
      </c>
      <c r="E2" s="23">
        <f>SUMIF(Inventory!M:M,"10 Chambers",Inventory!E:E)</f>
        <v>672.86</v>
      </c>
      <c r="F2" s="23">
        <f>SUMIF(Inventory!M:M,"10 Chambers",Inventory!F:F)</f>
        <v>1005.05</v>
      </c>
      <c r="G2" s="23">
        <f t="shared" ref="G2:G293" si="2">(F2-E2)</f>
        <v>332.19</v>
      </c>
      <c r="H2" s="235">
        <f>IFERROR(__xludf.DUMMYFUNCTION("AVERAGE(FILTER(Inventory!K:K,Inventory!J:J=""Closed"",Inventory!M:M=A2))"),3.6666666666666665)</f>
        <v>3.666666667</v>
      </c>
      <c r="Q2" s="250"/>
    </row>
    <row r="3">
      <c r="A3" s="99" t="s">
        <v>10275</v>
      </c>
      <c r="B3" s="23">
        <f>COUNTIF(Inventory!M:M,A3)</f>
        <v>10</v>
      </c>
      <c r="C3" s="23">
        <f>COUNTIFS(Inventory!M:M,A3,Inventory!J:J,"Closed")</f>
        <v>10</v>
      </c>
      <c r="D3" s="23">
        <f t="shared" si="1"/>
        <v>0</v>
      </c>
      <c r="E3" s="23">
        <f>SUMIF(Inventory!M:M,"10tons Ltd",Inventory!E:E)</f>
        <v>21.64</v>
      </c>
      <c r="F3" s="23">
        <f>SUMIF(Inventory!M:M,"10tons Ltd",Inventory!F:F)</f>
        <v>34.42</v>
      </c>
      <c r="G3" s="23">
        <f t="shared" si="2"/>
        <v>12.78</v>
      </c>
      <c r="H3" s="235">
        <f>IFERROR(__xludf.DUMMYFUNCTION("AVERAGE(FILTER(Inventory!K:K,Inventory!J:J=""Closed"",Inventory!M:M=A3))"),16.3)</f>
        <v>16.3</v>
      </c>
      <c r="Q3" s="250"/>
    </row>
    <row r="4">
      <c r="A4" s="78" t="s">
        <v>10276</v>
      </c>
      <c r="B4" s="23">
        <f>COUNTIF(Inventory!M:M,A4)</f>
        <v>8</v>
      </c>
      <c r="C4" s="23">
        <f>COUNTIFS(Inventory!M:M,A4,Inventory!J:J,"Closed")</f>
        <v>7</v>
      </c>
      <c r="D4" s="23">
        <f t="shared" si="1"/>
        <v>1</v>
      </c>
      <c r="E4" s="23">
        <f>SUMIF(Inventory!M:M,"11 bit studios",Inventory!E:E)</f>
        <v>55.32</v>
      </c>
      <c r="F4" s="23">
        <f>SUMIF(Inventory!M:M,"11 bit studios",Inventory!F:F)</f>
        <v>42.89</v>
      </c>
      <c r="G4" s="23">
        <f t="shared" si="2"/>
        <v>-12.43</v>
      </c>
      <c r="H4" s="235">
        <f>IFERROR(__xludf.DUMMYFUNCTION("AVERAGE(FILTER(Inventory!K:K,Inventory!J:J=""Closed"",Inventory!M:M=A4))"),160.57142857142858)</f>
        <v>160.5714286</v>
      </c>
      <c r="J4" s="81" t="s">
        <v>10277</v>
      </c>
      <c r="M4" s="81" t="s">
        <v>10278</v>
      </c>
      <c r="P4" s="81" t="s">
        <v>62</v>
      </c>
      <c r="Q4" s="250"/>
    </row>
    <row r="5">
      <c r="A5" s="78" t="s">
        <v>10279</v>
      </c>
      <c r="B5" s="23">
        <f>COUNTIF(Inventory!M:M,A5)</f>
        <v>16</v>
      </c>
      <c r="C5" s="23">
        <f>COUNTIFS(Inventory!M:M,A5,Inventory!J:J,"Closed")</f>
        <v>16</v>
      </c>
      <c r="D5" s="23">
        <f t="shared" si="1"/>
        <v>0</v>
      </c>
      <c r="E5" s="23">
        <f>SUMIF(Inventory!M:M,"1C Entertainment",Inventory!E:E)</f>
        <v>23.13</v>
      </c>
      <c r="F5" s="23">
        <f>SUMIF(Inventory!M:M,"1C Entertainment",Inventory!F:F)</f>
        <v>43.94</v>
      </c>
      <c r="G5" s="23">
        <f t="shared" si="2"/>
        <v>20.81</v>
      </c>
      <c r="H5" s="235">
        <f>IFERROR(__xludf.DUMMYFUNCTION("AVERAGE(FILTER(Inventory!K:K,Inventory!J:J=""Closed"",Inventory!M:M=A5))"),77.75)</f>
        <v>77.75</v>
      </c>
      <c r="J5" s="23" t="str">
        <f>IFERROR(__xludf.DUMMYFUNCTION("SORTN({A2:A293, G2:G293}, 25, 0, G2:G293, False)  "),"Bethesda Softworks")</f>
        <v>Bethesda Softworks</v>
      </c>
      <c r="K5" s="23">
        <f>IFERROR(__xludf.DUMMYFUNCTION("""COMPUTED_VALUE"""),3436.2100000000282)</f>
        <v>3436.21</v>
      </c>
      <c r="M5" s="23" t="str">
        <f>IFERROR(__xludf.DUMMYFUNCTION("SORTN({A2:A293, C2:C293}, 25, 0, C2:C293, False)  "),"Bethesda Softworks")</f>
        <v>Bethesda Softworks</v>
      </c>
      <c r="N5" s="23">
        <f>IFERROR(__xludf.DUMMYFUNCTION("""COMPUTED_VALUE"""),1169.0)</f>
        <v>1169</v>
      </c>
      <c r="P5" s="23" t="str">
        <f>IFERROR(__xludf.DUMMYFUNCTION("SORTN({A2:A293, H2:H293}, 25, 0, C2:C293, False)  "),"Bethesda Softworks")</f>
        <v>Bethesda Softworks</v>
      </c>
      <c r="Q5" s="250">
        <f>IFERROR(__xludf.DUMMYFUNCTION("""COMPUTED_VALUE"""),6.629597946963217)</f>
        <v>6.629597947</v>
      </c>
    </row>
    <row r="6">
      <c r="A6" s="78" t="s">
        <v>10280</v>
      </c>
      <c r="B6" s="23">
        <f>COUNTIF(Inventory!M:M,A6)</f>
        <v>72</v>
      </c>
      <c r="C6" s="23">
        <f>COUNTIFS(Inventory!M:M,A6,Inventory!J:J,"Closed")</f>
        <v>69</v>
      </c>
      <c r="D6" s="23">
        <f t="shared" si="1"/>
        <v>3</v>
      </c>
      <c r="E6" s="23">
        <f>SUMIF(Inventory!M:M,"2K",Inventory!E:E)</f>
        <v>1051.6</v>
      </c>
      <c r="F6" s="23">
        <f>SUMIF(Inventory!M:M,"2K",Inventory!F:F)</f>
        <v>1182.92</v>
      </c>
      <c r="G6" s="23">
        <f t="shared" si="2"/>
        <v>131.32</v>
      </c>
      <c r="H6" s="235">
        <f>IFERROR(__xludf.DUMMYFUNCTION("AVERAGE(FILTER(Inventory!K:K,Inventory!J:J=""Closed"",Inventory!M:M=A6))"),57.26086956521739)</f>
        <v>57.26086957</v>
      </c>
      <c r="J6" s="23" t="str">
        <f>IFERROR(__xludf.DUMMYFUNCTION("""COMPUTED_VALUE"""),"Survios")</f>
        <v>Survios</v>
      </c>
      <c r="K6" s="250">
        <f>IFERROR(__xludf.DUMMYFUNCTION("""COMPUTED_VALUE"""),1165.3141269841253)</f>
        <v>1165.314127</v>
      </c>
      <c r="M6" s="23" t="str">
        <f>IFERROR(__xludf.DUMMYFUNCTION("""COMPUTED_VALUE"""),"Square Enix")</f>
        <v>Square Enix</v>
      </c>
      <c r="N6" s="23">
        <f>IFERROR(__xludf.DUMMYFUNCTION("""COMPUTED_VALUE"""),349.0)</f>
        <v>349</v>
      </c>
      <c r="P6" s="23" t="str">
        <f>IFERROR(__xludf.DUMMYFUNCTION("""COMPUTED_VALUE"""),"Square Enix")</f>
        <v>Square Enix</v>
      </c>
      <c r="Q6" s="250">
        <f>IFERROR(__xludf.DUMMYFUNCTION("""COMPUTED_VALUE"""),34.10028653295129)</f>
        <v>34.10028653</v>
      </c>
    </row>
    <row r="7">
      <c r="A7" s="78" t="s">
        <v>10281</v>
      </c>
      <c r="B7" s="23">
        <f>COUNTIF(Inventory!M:M,A7)</f>
        <v>8</v>
      </c>
      <c r="C7" s="23">
        <f>COUNTIFS(Inventory!M:M,A7,Inventory!J:J,"Closed")</f>
        <v>8</v>
      </c>
      <c r="D7" s="23">
        <f t="shared" si="1"/>
        <v>0</v>
      </c>
      <c r="E7" s="23">
        <f>SUMIF(Inventory!M:M,"34BigThings",Inventory!E:E)</f>
        <v>20.18</v>
      </c>
      <c r="F7" s="23">
        <f>SUMIF(Inventory!M:M,"34BigThings",Inventory!F:F)</f>
        <v>31.93</v>
      </c>
      <c r="G7" s="23">
        <f t="shared" si="2"/>
        <v>11.75</v>
      </c>
      <c r="H7" s="235">
        <f>IFERROR(__xludf.DUMMYFUNCTION("AVERAGE(FILTER(Inventory!K:K,Inventory!J:J=""Closed"",Inventory!M:M=A7))"),44.5)</f>
        <v>44.5</v>
      </c>
      <c r="J7" s="23" t="str">
        <f>IFERROR(__xludf.DUMMYFUNCTION("""COMPUTED_VALUE"""),"Eugen Systems")</f>
        <v>Eugen Systems</v>
      </c>
      <c r="K7" s="23">
        <f>IFERROR(__xludf.DUMMYFUNCTION("""COMPUTED_VALUE"""),1052.6299999999976)</f>
        <v>1052.63</v>
      </c>
      <c r="M7" s="23" t="str">
        <f>IFERROR(__xludf.DUMMYFUNCTION("""COMPUTED_VALUE"""),"Survios")</f>
        <v>Survios</v>
      </c>
      <c r="N7" s="23">
        <f>IFERROR(__xludf.DUMMYFUNCTION("""COMPUTED_VALUE"""),212.0)</f>
        <v>212</v>
      </c>
      <c r="P7" s="23" t="str">
        <f>IFERROR(__xludf.DUMMYFUNCTION("""COMPUTED_VALUE"""),"Survios")</f>
        <v>Survios</v>
      </c>
      <c r="Q7" s="250">
        <f>IFERROR(__xludf.DUMMYFUNCTION("""COMPUTED_VALUE"""),4.60377358490566)</f>
        <v>4.603773585</v>
      </c>
    </row>
    <row r="8">
      <c r="A8" s="78" t="s">
        <v>10282</v>
      </c>
      <c r="B8" s="23">
        <f>COUNTIF(Inventory!M:M,A8)</f>
        <v>62</v>
      </c>
      <c r="C8" s="23">
        <f>COUNTIFS(Inventory!M:M,A8,Inventory!J:J,"Closed")</f>
        <v>61</v>
      </c>
      <c r="D8" s="23">
        <f t="shared" si="1"/>
        <v>1</v>
      </c>
      <c r="E8" s="23">
        <f>SUMIF(Inventory!M:M,"505 Games",Inventory!E:E)</f>
        <v>991.73</v>
      </c>
      <c r="F8" s="23">
        <f>SUMIF(Inventory!M:M,"505 Games",Inventory!F:F)</f>
        <v>1211.75</v>
      </c>
      <c r="G8" s="23">
        <f t="shared" si="2"/>
        <v>220.02</v>
      </c>
      <c r="H8" s="235">
        <f>IFERROR(__xludf.DUMMYFUNCTION("AVERAGE(FILTER(Inventory!K:K,Inventory!J:J=""Closed"",Inventory!M:M=A8))"),57.049180327868854)</f>
        <v>57.04918033</v>
      </c>
      <c r="J8" s="23" t="str">
        <f>IFERROR(__xludf.DUMMYFUNCTION("""COMPUTED_VALUE"""),"SEGA")</f>
        <v>SEGA</v>
      </c>
      <c r="K8" s="23">
        <f>IFERROR(__xludf.DUMMYFUNCTION("""COMPUTED_VALUE"""),952.2799999999961)</f>
        <v>952.28</v>
      </c>
      <c r="M8" s="23" t="str">
        <f>IFERROR(__xludf.DUMMYFUNCTION("""COMPUTED_VALUE"""),"Starbreeze Publishing")</f>
        <v>Starbreeze Publishing</v>
      </c>
      <c r="N8" s="23">
        <f>IFERROR(__xludf.DUMMYFUNCTION("""COMPUTED_VALUE"""),206.0)</f>
        <v>206</v>
      </c>
      <c r="P8" s="23" t="str">
        <f>IFERROR(__xludf.DUMMYFUNCTION("""COMPUTED_VALUE"""),"Starbreeze Publishing")</f>
        <v>Starbreeze Publishing</v>
      </c>
      <c r="Q8" s="250">
        <f>IFERROR(__xludf.DUMMYFUNCTION("""COMPUTED_VALUE"""),7.179611650485437)</f>
        <v>7.17961165</v>
      </c>
    </row>
    <row r="9">
      <c r="A9" s="78" t="s">
        <v>10283</v>
      </c>
      <c r="B9" s="23">
        <f>COUNTIF(Inventory!M:M,A9)</f>
        <v>1</v>
      </c>
      <c r="C9" s="23">
        <f>COUNTIFS(Inventory!M:M,A9,Inventory!J:J,"Closed")</f>
        <v>1</v>
      </c>
      <c r="D9" s="23">
        <f t="shared" si="1"/>
        <v>0</v>
      </c>
      <c r="E9" s="23">
        <f>SUMIF(Inventory!M:M,"ACE Team",Inventory!E:E)</f>
        <v>0</v>
      </c>
      <c r="F9" s="23">
        <f>SUMIF(Inventory!M:M,"ACE Team",Inventory!F:F)</f>
        <v>1.56</v>
      </c>
      <c r="G9" s="23">
        <f t="shared" si="2"/>
        <v>1.56</v>
      </c>
      <c r="H9" s="235">
        <f>IFERROR(__xludf.DUMMYFUNCTION("AVERAGE(FILTER(Inventory!K:K,Inventory!J:J=""Closed"",Inventory!M:M=A9))"),1.0)</f>
        <v>1</v>
      </c>
      <c r="J9" s="23" t="str">
        <f>IFERROR(__xludf.DUMMYFUNCTION("""COMPUTED_VALUE"""),"Nacon")</f>
        <v>Nacon</v>
      </c>
      <c r="K9" s="23">
        <f>IFERROR(__xludf.DUMMYFUNCTION("""COMPUTED_VALUE"""),877.3400000000029)</f>
        <v>877.34</v>
      </c>
      <c r="M9" s="23" t="str">
        <f>IFERROR(__xludf.DUMMYFUNCTION("""COMPUTED_VALUE"""),"SEGA")</f>
        <v>SEGA</v>
      </c>
      <c r="N9" s="23">
        <f>IFERROR(__xludf.DUMMYFUNCTION("""COMPUTED_VALUE"""),205.0)</f>
        <v>205</v>
      </c>
      <c r="P9" s="23" t="str">
        <f>IFERROR(__xludf.DUMMYFUNCTION("""COMPUTED_VALUE"""),"SEGA")</f>
        <v>SEGA</v>
      </c>
      <c r="Q9" s="250">
        <f>IFERROR(__xludf.DUMMYFUNCTION("""COMPUTED_VALUE"""),27.917073170731708)</f>
        <v>27.91707317</v>
      </c>
    </row>
    <row r="10">
      <c r="A10" s="78" t="s">
        <v>10284</v>
      </c>
      <c r="B10" s="23">
        <f>COUNTIF(Inventory!M:M,A10)</f>
        <v>8</v>
      </c>
      <c r="C10" s="23">
        <f>COUNTIFS(Inventory!M:M,A10,Inventory!J:J,"Closed")</f>
        <v>8</v>
      </c>
      <c r="D10" s="23">
        <f t="shared" si="1"/>
        <v>0</v>
      </c>
      <c r="E10" s="23">
        <f>SUMIF(Inventory!M:M,"Activision",Inventory!E:E)</f>
        <v>164.81</v>
      </c>
      <c r="F10" s="23">
        <f>SUMIF(Inventory!M:M,"Activision",Inventory!F:F)</f>
        <v>190.59</v>
      </c>
      <c r="G10" s="23">
        <f t="shared" si="2"/>
        <v>25.78</v>
      </c>
      <c r="H10" s="235">
        <f>IFERROR(__xludf.DUMMYFUNCTION("AVERAGE(FILTER(Inventory!K:K,Inventory!J:J=""Closed"",Inventory!M:M=A10))"),30.25)</f>
        <v>30.25</v>
      </c>
      <c r="J10" s="23" t="str">
        <f>IFERROR(__xludf.DUMMYFUNCTION("""COMPUTED_VALUE"""),"PlayStation")</f>
        <v>PlayStation</v>
      </c>
      <c r="K10" s="23">
        <f>IFERROR(__xludf.DUMMYFUNCTION("""COMPUTED_VALUE"""),851.6400000000012)</f>
        <v>851.64</v>
      </c>
      <c r="M10" s="23" t="str">
        <f>IFERROR(__xludf.DUMMYFUNCTION("""COMPUTED_VALUE"""),"PlayStation")</f>
        <v>PlayStation</v>
      </c>
      <c r="N10" s="23">
        <f>IFERROR(__xludf.DUMMYFUNCTION("""COMPUTED_VALUE"""),197.0)</f>
        <v>197</v>
      </c>
      <c r="P10" s="23" t="str">
        <f>IFERROR(__xludf.DUMMYFUNCTION("""COMPUTED_VALUE"""),"PlayStation")</f>
        <v>PlayStation</v>
      </c>
      <c r="Q10" s="250">
        <f>IFERROR(__xludf.DUMMYFUNCTION("""COMPUTED_VALUE"""),19.076142131979694)</f>
        <v>19.07614213</v>
      </c>
    </row>
    <row r="11">
      <c r="A11" s="78" t="s">
        <v>10285</v>
      </c>
      <c r="B11" s="23">
        <f>COUNTIF(Inventory!M:M,A11)</f>
        <v>0</v>
      </c>
      <c r="C11" s="23">
        <f>COUNTIFS(Inventory!M:M,A11,Inventory!J:J,"Closed")</f>
        <v>0</v>
      </c>
      <c r="D11" s="23">
        <f t="shared" si="1"/>
        <v>0</v>
      </c>
      <c r="E11" s="23">
        <f>SUMIF(Inventory!M:M,"Adult Swim Games",Inventory!E:E)</f>
        <v>0</v>
      </c>
      <c r="F11" s="23">
        <f>SUMIF(Inventory!M:M,"Adult Swim Games",Inventory!F:F)</f>
        <v>0</v>
      </c>
      <c r="G11" s="23">
        <f t="shared" si="2"/>
        <v>0</v>
      </c>
      <c r="H11" s="235" t="str">
        <f>IFERROR(__xludf.DUMMYFUNCTION("AVERAGE(FILTER(Inventory!K:K,Inventory!J:J=""Closed"",Inventory!M:M=A11))"),"#N/A")</f>
        <v>#N/A</v>
      </c>
      <c r="J11" s="23" t="str">
        <f>IFERROR(__xludf.DUMMYFUNCTION("""COMPUTED_VALUE"""),"Square Enix")</f>
        <v>Square Enix</v>
      </c>
      <c r="K11" s="23">
        <f>IFERROR(__xludf.DUMMYFUNCTION("""COMPUTED_VALUE"""),809.7500000000045)</f>
        <v>809.75</v>
      </c>
      <c r="M11" s="23" t="str">
        <f>IFERROR(__xludf.DUMMYFUNCTION("""COMPUTED_VALUE"""),"Eugen Systems")</f>
        <v>Eugen Systems</v>
      </c>
      <c r="N11" s="23">
        <f>IFERROR(__xludf.DUMMYFUNCTION("""COMPUTED_VALUE"""),195.0)</f>
        <v>195</v>
      </c>
      <c r="P11" s="23" t="str">
        <f>IFERROR(__xludf.DUMMYFUNCTION("""COMPUTED_VALUE"""),"Eugen Systems")</f>
        <v>Eugen Systems</v>
      </c>
      <c r="Q11" s="250">
        <f>IFERROR(__xludf.DUMMYFUNCTION("""COMPUTED_VALUE"""),16.015384615384615)</f>
        <v>16.01538462</v>
      </c>
    </row>
    <row r="12">
      <c r="A12" s="78" t="s">
        <v>10286</v>
      </c>
      <c r="B12" s="23">
        <f>COUNTIF(Inventory!M:M,A12)</f>
        <v>30</v>
      </c>
      <c r="C12" s="23">
        <f>COUNTIFS(Inventory!M:M,A12,Inventory!J:J,"Closed")</f>
        <v>30</v>
      </c>
      <c r="D12" s="23">
        <f t="shared" si="1"/>
        <v>0</v>
      </c>
      <c r="E12" s="23">
        <f>SUMIF(Inventory!M:M,"Aerosoft",Inventory!E:E)</f>
        <v>113.24</v>
      </c>
      <c r="F12" s="23">
        <f>SUMIF(Inventory!M:M,"Aerosoft",Inventory!F:F)</f>
        <v>184.8</v>
      </c>
      <c r="G12" s="23">
        <f t="shared" si="2"/>
        <v>71.56</v>
      </c>
      <c r="H12" s="235">
        <f>IFERROR(__xludf.DUMMYFUNCTION("AVERAGE(FILTER(Inventory!K:K,Inventory!J:J=""Closed"",Inventory!M:M=A12))"),54.5)</f>
        <v>54.5</v>
      </c>
      <c r="J12" s="23" t="str">
        <f>IFERROR(__xludf.DUMMYFUNCTION("""COMPUTED_VALUE"""),"BANDAI NAMCO")</f>
        <v>BANDAI NAMCO</v>
      </c>
      <c r="K12" s="23">
        <f>IFERROR(__xludf.DUMMYFUNCTION("""COMPUTED_VALUE"""),736.0199999999991)</f>
        <v>736.02</v>
      </c>
      <c r="M12" s="23" t="str">
        <f>IFERROR(__xludf.DUMMYFUNCTION("""COMPUTED_VALUE"""),"Nacon")</f>
        <v>Nacon</v>
      </c>
      <c r="N12" s="23">
        <f>IFERROR(__xludf.DUMMYFUNCTION("""COMPUTED_VALUE"""),190.0)</f>
        <v>190</v>
      </c>
      <c r="P12" s="23" t="str">
        <f>IFERROR(__xludf.DUMMYFUNCTION("""COMPUTED_VALUE"""),"Nacon")</f>
        <v>Nacon</v>
      </c>
      <c r="Q12" s="250">
        <f>IFERROR(__xludf.DUMMYFUNCTION("""COMPUTED_VALUE"""),11.857894736842105)</f>
        <v>11.85789474</v>
      </c>
    </row>
    <row r="13">
      <c r="A13" s="78" t="s">
        <v>10287</v>
      </c>
      <c r="B13" s="23">
        <f>COUNTIF(Inventory!M:M,A13)</f>
        <v>5</v>
      </c>
      <c r="C13" s="23">
        <f>COUNTIFS(Inventory!M:M,A13,Inventory!J:J,"Closed")</f>
        <v>5</v>
      </c>
      <c r="D13" s="23">
        <f t="shared" si="1"/>
        <v>0</v>
      </c>
      <c r="E13" s="23">
        <f>SUMIF(Inventory!M:M,"Aksys Games",Inventory!E:E)</f>
        <v>15.76</v>
      </c>
      <c r="F13" s="23">
        <f>SUMIF(Inventory!M:M,"Aksys Games",Inventory!F:F)</f>
        <v>26.6</v>
      </c>
      <c r="G13" s="23">
        <f t="shared" si="2"/>
        <v>10.84</v>
      </c>
      <c r="H13" s="235">
        <f>IFERROR(__xludf.DUMMYFUNCTION("AVERAGE(FILTER(Inventory!K:K,Inventory!J:J=""Closed"",Inventory!M:M=A13))"),114.8)</f>
        <v>114.8</v>
      </c>
      <c r="J13" s="23" t="str">
        <f>IFERROR(__xludf.DUMMYFUNCTION("""COMPUTED_VALUE"""),"Team17 Digital")</f>
        <v>Team17 Digital</v>
      </c>
      <c r="K13" s="23">
        <f>IFERROR(__xludf.DUMMYFUNCTION("""COMPUTED_VALUE"""),661.5400000000004)</f>
        <v>661.54</v>
      </c>
      <c r="M13" s="23" t="str">
        <f>IFERROR(__xludf.DUMMYFUNCTION("""COMPUTED_VALUE"""),"Konami")</f>
        <v>Konami</v>
      </c>
      <c r="N13" s="23">
        <f>IFERROR(__xludf.DUMMYFUNCTION("""COMPUTED_VALUE"""),176.0)</f>
        <v>176</v>
      </c>
      <c r="P13" s="23" t="str">
        <f>IFERROR(__xludf.DUMMYFUNCTION("""COMPUTED_VALUE"""),"Konami")</f>
        <v>Konami</v>
      </c>
      <c r="Q13" s="250">
        <f>IFERROR(__xludf.DUMMYFUNCTION("""COMPUTED_VALUE"""),21.045454545454547)</f>
        <v>21.04545455</v>
      </c>
    </row>
    <row r="14">
      <c r="A14" s="78" t="s">
        <v>10288</v>
      </c>
      <c r="B14" s="23">
        <f>COUNTIF(Inventory!M:M,A14)</f>
        <v>5</v>
      </c>
      <c r="C14" s="23">
        <f>COUNTIFS(Inventory!M:M,A14,Inventory!J:J,"Closed")</f>
        <v>5</v>
      </c>
      <c r="D14" s="23">
        <f t="shared" si="1"/>
        <v>0</v>
      </c>
      <c r="E14" s="23">
        <f>SUMIF(Inventory!M:M,"Akupara Games",Inventory!E:E)</f>
        <v>28.03</v>
      </c>
      <c r="F14" s="23">
        <f>SUMIF(Inventory!M:M,"Akupara Games",Inventory!F:F)</f>
        <v>8.06</v>
      </c>
      <c r="G14" s="23">
        <f t="shared" si="2"/>
        <v>-19.97</v>
      </c>
      <c r="H14" s="235">
        <f>IFERROR(__xludf.DUMMYFUNCTION("AVERAGE(FILTER(Inventory!K:K,Inventory!J:J=""Closed"",Inventory!M:M=A14))"),660.2)</f>
        <v>660.2</v>
      </c>
      <c r="J14" s="23" t="str">
        <f>IFERROR(__xludf.DUMMYFUNCTION("""COMPUTED_VALUE"""),"Daedalic Entertainment")</f>
        <v>Daedalic Entertainment</v>
      </c>
      <c r="K14" s="23">
        <f>IFERROR(__xludf.DUMMYFUNCTION("""COMPUTED_VALUE"""),634.8999999999995)</f>
        <v>634.9</v>
      </c>
      <c r="M14" s="23" t="str">
        <f>IFERROR(__xludf.DUMMYFUNCTION("""COMPUTED_VALUE"""),"BANDAI NAMCO")</f>
        <v>BANDAI NAMCO</v>
      </c>
      <c r="N14" s="23">
        <f>IFERROR(__xludf.DUMMYFUNCTION("""COMPUTED_VALUE"""),148.0)</f>
        <v>148</v>
      </c>
      <c r="P14" s="23" t="str">
        <f>IFERROR(__xludf.DUMMYFUNCTION("""COMPUTED_VALUE"""),"BANDAI NAMCO")</f>
        <v>BANDAI NAMCO</v>
      </c>
      <c r="Q14" s="250">
        <f>IFERROR(__xludf.DUMMYFUNCTION("""COMPUTED_VALUE"""),37.32432432432432)</f>
        <v>37.32432432</v>
      </c>
    </row>
    <row r="15">
      <c r="A15" s="78" t="s">
        <v>10289</v>
      </c>
      <c r="B15" s="23">
        <f>COUNTIF(Inventory!M:M,A15)</f>
        <v>5</v>
      </c>
      <c r="C15" s="23">
        <f>COUNTIFS(Inventory!M:M,A15,Inventory!J:J,"Closed")</f>
        <v>5</v>
      </c>
      <c r="D15" s="23">
        <f t="shared" si="1"/>
        <v>0</v>
      </c>
      <c r="E15" s="23">
        <f>SUMIF(Inventory!M:M,"Alawar Premium",Inventory!E:E)</f>
        <v>1.7</v>
      </c>
      <c r="F15" s="23">
        <f>SUMIF(Inventory!M:M,"Alawar Premium",Inventory!F:F)</f>
        <v>5.37</v>
      </c>
      <c r="G15" s="23">
        <f t="shared" si="2"/>
        <v>3.67</v>
      </c>
      <c r="H15" s="235">
        <f>IFERROR(__xludf.DUMMYFUNCTION("AVERAGE(FILTER(Inventory!K:K,Inventory!J:J=""Closed"",Inventory!M:M=A15))"),14.6)</f>
        <v>14.6</v>
      </c>
      <c r="J15" s="23" t="str">
        <f>IFERROR(__xludf.DUMMYFUNCTION("""COMPUTED_VALUE"""),"Egosoft")</f>
        <v>Egosoft</v>
      </c>
      <c r="K15" s="23">
        <f>IFERROR(__xludf.DUMMYFUNCTION("""COMPUTED_VALUE"""),629.2899999999995)</f>
        <v>629.29</v>
      </c>
      <c r="M15" s="23" t="str">
        <f>IFERROR(__xludf.DUMMYFUNCTION("""COMPUTED_VALUE"""),"Daedalic Entertainment")</f>
        <v>Daedalic Entertainment</v>
      </c>
      <c r="N15" s="23">
        <f>IFERROR(__xludf.DUMMYFUNCTION("""COMPUTED_VALUE"""),148.0)</f>
        <v>148</v>
      </c>
      <c r="P15" s="23" t="str">
        <f>IFERROR(__xludf.DUMMYFUNCTION("""COMPUTED_VALUE"""),"Daedalic Entertainment")</f>
        <v>Daedalic Entertainment</v>
      </c>
      <c r="Q15" s="250">
        <f>IFERROR(__xludf.DUMMYFUNCTION("""COMPUTED_VALUE"""),49.36486486486486)</f>
        <v>49.36486486</v>
      </c>
    </row>
    <row r="16">
      <c r="A16" s="99" t="s">
        <v>10266</v>
      </c>
      <c r="B16" s="23">
        <f>COUNTIF(Inventory!M:M,A16)</f>
        <v>14</v>
      </c>
      <c r="C16" s="23">
        <f>COUNTIFS(Inventory!M:M,A16,Inventory!J:J,"Closed")</f>
        <v>13</v>
      </c>
      <c r="D16" s="23">
        <f t="shared" si="1"/>
        <v>1</v>
      </c>
      <c r="E16" s="23">
        <f>SUMIF(Inventory!M:M,"Annapurna Interactive",Inventory!E:E)</f>
        <v>121.43</v>
      </c>
      <c r="F16" s="23">
        <f>SUMIF(Inventory!M:M,"Annapurna Interactive",Inventory!F:F)</f>
        <v>153.28</v>
      </c>
      <c r="G16" s="23">
        <f t="shared" si="2"/>
        <v>31.85</v>
      </c>
      <c r="H16" s="235">
        <f>IFERROR(__xludf.DUMMYFUNCTION("AVERAGE(FILTER(Inventory!K:K,Inventory!J:J=""Closed"",Inventory!M:M=A16))"),61.38461538461539)</f>
        <v>61.38461538</v>
      </c>
      <c r="J16" s="23" t="str">
        <f>IFERROR(__xludf.DUMMYFUNCTION("""COMPUTED_VALUE"""),"HypeTrain Digital")</f>
        <v>HypeTrain Digital</v>
      </c>
      <c r="K16" s="23">
        <f>IFERROR(__xludf.DUMMYFUNCTION("""COMPUTED_VALUE"""),545.6600000000001)</f>
        <v>545.66</v>
      </c>
      <c r="M16" s="23" t="str">
        <f>IFERROR(__xludf.DUMMYFUNCTION("""COMPUTED_VALUE"""),"Focus Home Interactive")</f>
        <v>Focus Home Interactive</v>
      </c>
      <c r="N16" s="23">
        <f>IFERROR(__xludf.DUMMYFUNCTION("""COMPUTED_VALUE"""),137.0)</f>
        <v>137</v>
      </c>
      <c r="P16" s="23" t="str">
        <f>IFERROR(__xludf.DUMMYFUNCTION("""COMPUTED_VALUE"""),"Focus Home Interactive")</f>
        <v>Focus Home Interactive</v>
      </c>
      <c r="Q16" s="250">
        <f>IFERROR(__xludf.DUMMYFUNCTION("""COMPUTED_VALUE"""),37.72992700729927)</f>
        <v>37.72992701</v>
      </c>
    </row>
    <row r="17">
      <c r="A17" s="99" t="s">
        <v>10290</v>
      </c>
      <c r="B17" s="23">
        <f>COUNTIF(Inventory!M:M,A17)</f>
        <v>12</v>
      </c>
      <c r="C17" s="23">
        <f>COUNTIFS(Inventory!M:M,A17,Inventory!J:J,"Closed")</f>
        <v>12</v>
      </c>
      <c r="D17" s="23">
        <f t="shared" si="1"/>
        <v>0</v>
      </c>
      <c r="E17" s="23">
        <f>SUMIF(Inventory!M:M,"Anvil Game Studios",Inventory!E:E)</f>
        <v>104.6</v>
      </c>
      <c r="F17" s="23">
        <f>SUMIF(Inventory!M:M,"Anvil Game Studios",Inventory!F:F)</f>
        <v>132.16</v>
      </c>
      <c r="G17" s="23">
        <f t="shared" si="2"/>
        <v>27.56</v>
      </c>
      <c r="H17" s="235">
        <f>IFERROR(__xludf.DUMMYFUNCTION("AVERAGE(FILTER(Inventory!K:K,Inventory!J:J=""Closed"",Inventory!M:M=A17))"),28.0)</f>
        <v>28</v>
      </c>
      <c r="J17" s="23" t="str">
        <f>IFERROR(__xludf.DUMMYFUNCTION("""COMPUTED_VALUE"""),"IO Interactive")</f>
        <v>IO Interactive</v>
      </c>
      <c r="K17" s="23">
        <f>IFERROR(__xludf.DUMMYFUNCTION("""COMPUTED_VALUE"""),526.9599999999998)</f>
        <v>526.96</v>
      </c>
      <c r="M17" s="23" t="str">
        <f>IFERROR(__xludf.DUMMYFUNCTION("""COMPUTED_VALUE"""),"Behaviour Interactive")</f>
        <v>Behaviour Interactive</v>
      </c>
      <c r="N17" s="23">
        <f>IFERROR(__xludf.DUMMYFUNCTION("""COMPUTED_VALUE"""),130.0)</f>
        <v>130</v>
      </c>
      <c r="P17" s="23" t="str">
        <f>IFERROR(__xludf.DUMMYFUNCTION("""COMPUTED_VALUE"""),"Behaviour Interactive")</f>
        <v>Behaviour Interactive</v>
      </c>
      <c r="Q17" s="250">
        <f>IFERROR(__xludf.DUMMYFUNCTION("""COMPUTED_VALUE"""),3.8615384615384616)</f>
        <v>3.861538462</v>
      </c>
    </row>
    <row r="18">
      <c r="A18" s="78" t="s">
        <v>10291</v>
      </c>
      <c r="B18" s="23">
        <f>COUNTIF(Inventory!M:M,A18)</f>
        <v>1</v>
      </c>
      <c r="C18" s="23">
        <f>COUNTIFS(Inventory!M:M,A18,Inventory!J:J,"Closed")</f>
        <v>1</v>
      </c>
      <c r="D18" s="23">
        <f t="shared" si="1"/>
        <v>0</v>
      </c>
      <c r="E18" s="23">
        <f>SUMIF(Inventory!M:M,"Avalanche Studios",Inventory!E:E)</f>
        <v>5.98</v>
      </c>
      <c r="F18" s="23">
        <f>SUMIF(Inventory!M:M,"Avalanche Studios",Inventory!F:F)</f>
        <v>7.88</v>
      </c>
      <c r="G18" s="23">
        <f t="shared" si="2"/>
        <v>1.9</v>
      </c>
      <c r="H18" s="235">
        <f>IFERROR(__xludf.DUMMYFUNCTION("AVERAGE(FILTER(Inventory!K:K,Inventory!J:J=""Closed"",Inventory!M:M=A18))"),54.0)</f>
        <v>54</v>
      </c>
      <c r="J18" s="23" t="str">
        <f>IFERROR(__xludf.DUMMYFUNCTION("""COMPUTED_VALUE"""),"Konami")</f>
        <v>Konami</v>
      </c>
      <c r="K18" s="23">
        <f>IFERROR(__xludf.DUMMYFUNCTION("""COMPUTED_VALUE"""),511.2599999999961)</f>
        <v>511.26</v>
      </c>
      <c r="M18" s="23" t="str">
        <f>IFERROR(__xludf.DUMMYFUNCTION("""COMPUTED_VALUE"""),"PlayWay")</f>
        <v>PlayWay</v>
      </c>
      <c r="N18" s="23">
        <f>IFERROR(__xludf.DUMMYFUNCTION("""COMPUTED_VALUE"""),129.0)</f>
        <v>129</v>
      </c>
      <c r="P18" s="23" t="str">
        <f>IFERROR(__xludf.DUMMYFUNCTION("""COMPUTED_VALUE"""),"PlayWay")</f>
        <v>PlayWay</v>
      </c>
      <c r="Q18" s="250">
        <f>IFERROR(__xludf.DUMMYFUNCTION("""COMPUTED_VALUE"""),16.25581395348837)</f>
        <v>16.25581395</v>
      </c>
    </row>
    <row r="19">
      <c r="A19" s="78" t="s">
        <v>10292</v>
      </c>
      <c r="B19" s="23">
        <f>COUNTIF(Inventory!M:M,A19)</f>
        <v>1</v>
      </c>
      <c r="C19" s="23">
        <f>COUNTIFS(Inventory!M:M,A19,Inventory!J:J,"Closed")</f>
        <v>1</v>
      </c>
      <c r="D19" s="23">
        <f t="shared" si="1"/>
        <v>0</v>
      </c>
      <c r="E19" s="23">
        <f>SUMIF(Inventory!M:M,"Apogee Entertainment",Inventory!E:E)</f>
        <v>8.8</v>
      </c>
      <c r="F19" s="23">
        <f>SUMIF(Inventory!M:M,"Apogee Entertainment",Inventory!F:F)</f>
        <v>13.88</v>
      </c>
      <c r="G19" s="23">
        <f t="shared" si="2"/>
        <v>5.08</v>
      </c>
      <c r="H19" s="235">
        <f>IFERROR(__xludf.DUMMYFUNCTION("AVERAGE(FILTER(Inventory!K:K,Inventory!J:J=""Closed"",Inventory!M:M=A19))"),13.0)</f>
        <v>13</v>
      </c>
      <c r="J19" s="23" t="str">
        <f>IFERROR(__xludf.DUMMYFUNCTION("""COMPUTED_VALUE"""),"Bungie")</f>
        <v>Bungie</v>
      </c>
      <c r="K19" s="23">
        <f>IFERROR(__xludf.DUMMYFUNCTION("""COMPUTED_VALUE"""),496.2099999999991)</f>
        <v>496.21</v>
      </c>
      <c r="M19" s="23" t="str">
        <f>IFERROR(__xludf.DUMMYFUNCTION("""COMPUTED_VALUE"""),"Evil Tortilla Games")</f>
        <v>Evil Tortilla Games</v>
      </c>
      <c r="N19" s="23">
        <f>IFERROR(__xludf.DUMMYFUNCTION("""COMPUTED_VALUE"""),113.0)</f>
        <v>113</v>
      </c>
      <c r="P19" s="23" t="str">
        <f>IFERROR(__xludf.DUMMYFUNCTION("""COMPUTED_VALUE"""),"Evil Tortilla Games")</f>
        <v>Evil Tortilla Games</v>
      </c>
      <c r="Q19" s="250">
        <f>IFERROR(__xludf.DUMMYFUNCTION("""COMPUTED_VALUE"""),5.84070796460177)</f>
        <v>5.840707965</v>
      </c>
    </row>
    <row r="20">
      <c r="A20" s="78" t="s">
        <v>10293</v>
      </c>
      <c r="B20" s="23">
        <f>COUNTIF(Inventory!M:M,A20)</f>
        <v>2</v>
      </c>
      <c r="C20" s="23">
        <f>COUNTIFS(Inventory!M:M,A20,Inventory!J:J,"Closed")</f>
        <v>2</v>
      </c>
      <c r="D20" s="23">
        <f t="shared" si="1"/>
        <v>0</v>
      </c>
      <c r="E20" s="23">
        <f>SUMIF(Inventory!M:M,"Applava",Inventory!E:E)</f>
        <v>1</v>
      </c>
      <c r="F20" s="23">
        <f>SUMIF(Inventory!M:M,"Applava",Inventory!F:F)</f>
        <v>1.12</v>
      </c>
      <c r="G20" s="23">
        <f t="shared" si="2"/>
        <v>0.12</v>
      </c>
      <c r="H20" s="235">
        <f>IFERROR(__xludf.DUMMYFUNCTION("AVERAGE(FILTER(Inventory!K:K,Inventory!J:J=""Closed"",Inventory!M:M=A20))"),35.0)</f>
        <v>35</v>
      </c>
      <c r="J20" s="23" t="str">
        <f>IFERROR(__xludf.DUMMYFUNCTION("""COMPUTED_VALUE"""),"Behaviour Interactive")</f>
        <v>Behaviour Interactive</v>
      </c>
      <c r="K20" s="23">
        <f>IFERROR(__xludf.DUMMYFUNCTION("""COMPUTED_VALUE"""),399.05000000000314)</f>
        <v>399.05</v>
      </c>
      <c r="M20" s="23" t="str">
        <f>IFERROR(__xludf.DUMMYFUNCTION("""COMPUTED_VALUE"""),"IO Interactive")</f>
        <v>IO Interactive</v>
      </c>
      <c r="N20" s="23">
        <f>IFERROR(__xludf.DUMMYFUNCTION("""COMPUTED_VALUE"""),108.0)</f>
        <v>108</v>
      </c>
      <c r="P20" s="23" t="str">
        <f>IFERROR(__xludf.DUMMYFUNCTION("""COMPUTED_VALUE"""),"IO Interactive")</f>
        <v>IO Interactive</v>
      </c>
      <c r="Q20" s="250">
        <f>IFERROR(__xludf.DUMMYFUNCTION("""COMPUTED_VALUE"""),15.416666666666666)</f>
        <v>15.41666667</v>
      </c>
    </row>
    <row r="21">
      <c r="A21" s="78" t="s">
        <v>10294</v>
      </c>
      <c r="B21" s="23">
        <f>COUNTIF(Inventory!M:M,A21)</f>
        <v>17</v>
      </c>
      <c r="C21" s="23">
        <f>COUNTIFS(Inventory!M:M,A21,Inventory!J:J,"Closed")</f>
        <v>17</v>
      </c>
      <c r="D21" s="23">
        <f t="shared" si="1"/>
        <v>0</v>
      </c>
      <c r="E21" s="23">
        <f>SUMIF(Inventory!M:M,"Arc System Works",Inventory!E:E)</f>
        <v>431.92</v>
      </c>
      <c r="F21" s="23">
        <f>SUMIF(Inventory!M:M,"Arc System Works",Inventory!F:F)</f>
        <v>536.45</v>
      </c>
      <c r="G21" s="23">
        <f t="shared" si="2"/>
        <v>104.53</v>
      </c>
      <c r="H21" s="235">
        <f>IFERROR(__xludf.DUMMYFUNCTION("AVERAGE(FILTER(Inventory!K:K,Inventory!J:J=""Closed"",Inventory!M:M=A21))"),22.529411764705884)</f>
        <v>22.52941176</v>
      </c>
      <c r="J21" s="23" t="str">
        <f>IFERROR(__xludf.DUMMYFUNCTION("""COMPUTED_VALUE"""),"Rebellion")</f>
        <v>Rebellion</v>
      </c>
      <c r="K21" s="23">
        <f>IFERROR(__xludf.DUMMYFUNCTION("""COMPUTED_VALUE"""),350.98999999999955)</f>
        <v>350.99</v>
      </c>
      <c r="M21" s="23" t="str">
        <f>IFERROR(__xludf.DUMMYFUNCTION("""COMPUTED_VALUE"""),"Codemasters")</f>
        <v>Codemasters</v>
      </c>
      <c r="N21" s="23">
        <f>IFERROR(__xludf.DUMMYFUNCTION("""COMPUTED_VALUE"""),107.0)</f>
        <v>107</v>
      </c>
      <c r="P21" s="23" t="str">
        <f>IFERROR(__xludf.DUMMYFUNCTION("""COMPUTED_VALUE"""),"Codemasters")</f>
        <v>Codemasters</v>
      </c>
      <c r="Q21" s="250">
        <f>IFERROR(__xludf.DUMMYFUNCTION("""COMPUTED_VALUE"""),46.64485981308411)</f>
        <v>46.64485981</v>
      </c>
    </row>
    <row r="22">
      <c r="A22" s="78" t="s">
        <v>10295</v>
      </c>
      <c r="B22" s="23">
        <f>COUNTIF(Inventory!M:M,A22)</f>
        <v>1</v>
      </c>
      <c r="C22" s="23">
        <f>COUNTIFS(Inventory!M:M,A22,Inventory!J:J,"Closed")</f>
        <v>1</v>
      </c>
      <c r="D22" s="23">
        <f t="shared" si="1"/>
        <v>0</v>
      </c>
      <c r="E22" s="23">
        <f>SUMIF(Inventory!M:M,"Armor Games",Inventory!E:E)</f>
        <v>12.37</v>
      </c>
      <c r="F22" s="23">
        <f>SUMIF(Inventory!M:M,"Armor Games",Inventory!F:F)</f>
        <v>13.67</v>
      </c>
      <c r="G22" s="23">
        <f t="shared" si="2"/>
        <v>1.3</v>
      </c>
      <c r="H22" s="235">
        <f>IFERROR(__xludf.DUMMYFUNCTION("AVERAGE(FILTER(Inventory!K:K,Inventory!J:J=""Closed"",Inventory!M:M=A22))"),100.0)</f>
        <v>100</v>
      </c>
      <c r="J22" s="23" t="str">
        <f>IFERROR(__xludf.DUMMYFUNCTION("""COMPUTED_VALUE"""),"Frontier Foundry")</f>
        <v>Frontier Foundry</v>
      </c>
      <c r="K22" s="23">
        <f>IFERROR(__xludf.DUMMYFUNCTION("""COMPUTED_VALUE"""),335.5999999999983)</f>
        <v>335.6</v>
      </c>
      <c r="M22" s="23" t="str">
        <f>IFERROR(__xludf.DUMMYFUNCTION("""COMPUTED_VALUE"""),"Bungie")</f>
        <v>Bungie</v>
      </c>
      <c r="N22" s="23">
        <f>IFERROR(__xludf.DUMMYFUNCTION("""COMPUTED_VALUE"""),104.0)</f>
        <v>104</v>
      </c>
      <c r="P22" s="23" t="str">
        <f>IFERROR(__xludf.DUMMYFUNCTION("""COMPUTED_VALUE"""),"Bungie")</f>
        <v>Bungie</v>
      </c>
      <c r="Q22" s="250">
        <f>IFERROR(__xludf.DUMMYFUNCTION("""COMPUTED_VALUE"""),6.9423076923076925)</f>
        <v>6.942307692</v>
      </c>
    </row>
    <row r="23">
      <c r="A23" s="78" t="s">
        <v>10296</v>
      </c>
      <c r="B23" s="23">
        <f>COUNTIF(Inventory!M:M,A23)</f>
        <v>3</v>
      </c>
      <c r="C23" s="23">
        <f>COUNTIFS(Inventory!M:M,A23,Inventory!J:J,"Closed")</f>
        <v>3</v>
      </c>
      <c r="D23" s="23">
        <f t="shared" si="1"/>
        <v>0</v>
      </c>
      <c r="E23" s="23">
        <f>SUMIF(Inventory!M:M,"Aspyr",Inventory!E:E)</f>
        <v>7.8</v>
      </c>
      <c r="F23" s="23">
        <f>SUMIF(Inventory!M:M,"Aspyr",Inventory!F:F)</f>
        <v>9.19</v>
      </c>
      <c r="G23" s="23">
        <f t="shared" si="2"/>
        <v>1.39</v>
      </c>
      <c r="H23" s="235">
        <f>IFERROR(__xludf.DUMMYFUNCTION("AVERAGE(FILTER(Inventory!K:K,Inventory!J:J=""Closed"",Inventory!M:M=A23))"),47.666666666666664)</f>
        <v>47.66666667</v>
      </c>
      <c r="J23" s="23" t="str">
        <f>IFERROR(__xludf.DUMMYFUNCTION("""COMPUTED_VALUE"""),"Focus Home Interactive")</f>
        <v>Focus Home Interactive</v>
      </c>
      <c r="K23" s="23">
        <f>IFERROR(__xludf.DUMMYFUNCTION("""COMPUTED_VALUE"""),334.6799999999994)</f>
        <v>334.68</v>
      </c>
      <c r="M23" s="23" t="str">
        <f>IFERROR(__xludf.DUMMYFUNCTION("""COMPUTED_VALUE"""),"Sector D2")</f>
        <v>Sector D2</v>
      </c>
      <c r="N23" s="23">
        <f>IFERROR(__xludf.DUMMYFUNCTION("""COMPUTED_VALUE"""),88.0)</f>
        <v>88</v>
      </c>
      <c r="P23" s="23" t="str">
        <f>IFERROR(__xludf.DUMMYFUNCTION("""COMPUTED_VALUE"""),"Sector D2")</f>
        <v>Sector D2</v>
      </c>
      <c r="Q23" s="250">
        <f>IFERROR(__xludf.DUMMYFUNCTION("""COMPUTED_VALUE"""),7.829545454545454)</f>
        <v>7.829545455</v>
      </c>
    </row>
    <row r="24">
      <c r="A24" s="78" t="s">
        <v>10297</v>
      </c>
      <c r="B24" s="23">
        <f>COUNTIF(Inventory!M:M,A24)</f>
        <v>19</v>
      </c>
      <c r="C24" s="23">
        <f>COUNTIFS(Inventory!M:M,A24,Inventory!J:J,"Closed")</f>
        <v>19</v>
      </c>
      <c r="D24" s="23">
        <f t="shared" si="1"/>
        <v>0</v>
      </c>
      <c r="E24" s="23">
        <f>SUMIF(Inventory!M:M,"Assemble Entertainment",Inventory!E:E)</f>
        <v>76.73</v>
      </c>
      <c r="F24" s="23">
        <f>SUMIF(Inventory!M:M,"Assemble Entertainment",Inventory!F:F)</f>
        <v>104.9</v>
      </c>
      <c r="G24" s="23">
        <f t="shared" si="2"/>
        <v>28.17</v>
      </c>
      <c r="H24" s="235">
        <f>IFERROR(__xludf.DUMMYFUNCTION("AVERAGE(FILTER(Inventory!K:K,Inventory!J:J=""Closed"",Inventory!M:M=A24))"),141.10526315789474)</f>
        <v>141.1052632</v>
      </c>
      <c r="J24" s="23" t="str">
        <f>IFERROR(__xludf.DUMMYFUNCTION("""COMPUTED_VALUE"""),"10 Chambers")</f>
        <v>10 Chambers</v>
      </c>
      <c r="K24" s="23">
        <f>IFERROR(__xludf.DUMMYFUNCTION("""COMPUTED_VALUE"""),332.1900000000003)</f>
        <v>332.19</v>
      </c>
      <c r="M24" s="23" t="str">
        <f>IFERROR(__xludf.DUMMYFUNCTION("""COMPUTED_VALUE"""),"Electronic Arts")</f>
        <v>Electronic Arts</v>
      </c>
      <c r="N24" s="23">
        <f>IFERROR(__xludf.DUMMYFUNCTION("""COMPUTED_VALUE"""),86.0)</f>
        <v>86</v>
      </c>
      <c r="P24" s="23" t="str">
        <f>IFERROR(__xludf.DUMMYFUNCTION("""COMPUTED_VALUE"""),"Electronic Arts")</f>
        <v>Electronic Arts</v>
      </c>
      <c r="Q24" s="250">
        <f>IFERROR(__xludf.DUMMYFUNCTION("""COMPUTED_VALUE"""),8.511627906976743)</f>
        <v>8.511627907</v>
      </c>
    </row>
    <row r="25">
      <c r="A25" s="78" t="s">
        <v>10298</v>
      </c>
      <c r="B25" s="23">
        <f>COUNTIF(Inventory!M:M,A25)</f>
        <v>7</v>
      </c>
      <c r="C25" s="23">
        <f>COUNTIFS(Inventory!M:M,A25,Inventory!J:J,"Closed")</f>
        <v>5</v>
      </c>
      <c r="D25" s="23">
        <f t="shared" si="1"/>
        <v>2</v>
      </c>
      <c r="E25" s="23">
        <f>SUMIF(Inventory!M:M,"astragon Entertainment",Inventory!E:E)</f>
        <v>126.33</v>
      </c>
      <c r="F25" s="23">
        <f>SUMIF(Inventory!M:M,"astragon Entertainment",Inventory!F:F)</f>
        <v>103.77</v>
      </c>
      <c r="G25" s="23">
        <f t="shared" si="2"/>
        <v>-22.56</v>
      </c>
      <c r="H25" s="235">
        <f>IFERROR(__xludf.DUMMYFUNCTION("AVERAGE(FILTER(Inventory!K:K,Inventory!J:J=""Closed"",Inventory!M:M=A25))"),7.0)</f>
        <v>7</v>
      </c>
      <c r="J25" s="23" t="str">
        <f>IFERROR(__xludf.DUMMYFUNCTION("""COMPUTED_VALUE"""),"Shiro Games")</f>
        <v>Shiro Games</v>
      </c>
      <c r="K25" s="23">
        <f>IFERROR(__xludf.DUMMYFUNCTION("""COMPUTED_VALUE"""),246.52999999999986)</f>
        <v>246.53</v>
      </c>
      <c r="M25" s="23" t="str">
        <f>IFERROR(__xludf.DUMMYFUNCTION("""COMPUTED_VALUE"""),"Rebellion")</f>
        <v>Rebellion</v>
      </c>
      <c r="N25" s="23">
        <f>IFERROR(__xludf.DUMMYFUNCTION("""COMPUTED_VALUE"""),81.0)</f>
        <v>81</v>
      </c>
      <c r="P25" s="23" t="str">
        <f>IFERROR(__xludf.DUMMYFUNCTION("""COMPUTED_VALUE"""),"Rebellion")</f>
        <v>Rebellion</v>
      </c>
      <c r="Q25" s="250">
        <f>IFERROR(__xludf.DUMMYFUNCTION("""COMPUTED_VALUE"""),39.06172839506173)</f>
        <v>39.0617284</v>
      </c>
    </row>
    <row r="26">
      <c r="A26" s="78" t="s">
        <v>10299</v>
      </c>
      <c r="B26" s="23">
        <f>COUNTIF(Inventory!M:M,A26)</f>
        <v>16</v>
      </c>
      <c r="C26" s="23">
        <f>COUNTIFS(Inventory!M:M,A26,Inventory!J:J,"Closed")</f>
        <v>16</v>
      </c>
      <c r="D26" s="23">
        <f t="shared" si="1"/>
        <v>0</v>
      </c>
      <c r="E26" s="23">
        <f>SUMIF(Inventory!M:M,"Atari",Inventory!E:E)</f>
        <v>28.54</v>
      </c>
      <c r="F26" s="23">
        <f>SUMIF(Inventory!M:M,"Atari",Inventory!F:F)</f>
        <v>46.84</v>
      </c>
      <c r="G26" s="23">
        <f t="shared" si="2"/>
        <v>18.3</v>
      </c>
      <c r="H26" s="235">
        <f>IFERROR(__xludf.DUMMYFUNCTION("AVERAGE(FILTER(Inventory!K:K,Inventory!J:J=""Closed"",Inventory!M:M=A26))"),17.1875)</f>
        <v>17.1875</v>
      </c>
      <c r="J26" s="23" t="str">
        <f>IFERROR(__xludf.DUMMYFUNCTION("""COMPUTED_VALUE"""),"Eleventh Hour Games")</f>
        <v>Eleventh Hour Games</v>
      </c>
      <c r="K26" s="23">
        <f>IFERROR(__xludf.DUMMYFUNCTION("""COMPUTED_VALUE"""),246.27999999999997)</f>
        <v>246.28</v>
      </c>
      <c r="M26" s="23" t="str">
        <f>IFERROR(__xludf.DUMMYFUNCTION("""COMPUTED_VALUE"""),"Paradox Interactive")</f>
        <v>Paradox Interactive</v>
      </c>
      <c r="N26" s="23">
        <f>IFERROR(__xludf.DUMMYFUNCTION("""COMPUTED_VALUE"""),80.0)</f>
        <v>80</v>
      </c>
      <c r="P26" s="23" t="str">
        <f>IFERROR(__xludf.DUMMYFUNCTION("""COMPUTED_VALUE"""),"Paradox Interactive")</f>
        <v>Paradox Interactive</v>
      </c>
      <c r="Q26" s="250">
        <f>IFERROR(__xludf.DUMMYFUNCTION("""COMPUTED_VALUE"""),13.675)</f>
        <v>13.675</v>
      </c>
    </row>
    <row r="27">
      <c r="A27" s="99" t="s">
        <v>10300</v>
      </c>
      <c r="B27" s="23">
        <f>COUNTIF(Inventory!M:M,A27)</f>
        <v>18</v>
      </c>
      <c r="C27" s="23">
        <f>COUNTIFS(Inventory!M:M,A27,Inventory!J:J,"Closed")</f>
        <v>18</v>
      </c>
      <c r="D27" s="23">
        <f t="shared" si="1"/>
        <v>0</v>
      </c>
      <c r="E27" s="23">
        <f>SUMIF(Inventory!M:M,"Autumn Games",Inventory!E:E)</f>
        <v>73.11</v>
      </c>
      <c r="F27" s="23">
        <f>SUMIF(Inventory!M:M,"Autumn Games",Inventory!F:F)</f>
        <v>84.1</v>
      </c>
      <c r="G27" s="23">
        <f t="shared" si="2"/>
        <v>10.99</v>
      </c>
      <c r="H27" s="235">
        <f>IFERROR(__xludf.DUMMYFUNCTION("AVERAGE(FILTER(Inventory!K:K,Inventory!J:J=""Closed"",Inventory!M:M=A27))"),9.444444444444445)</f>
        <v>9.444444444</v>
      </c>
      <c r="J27" s="23" t="str">
        <f>IFERROR(__xludf.DUMMYFUNCTION("""COMPUTED_VALUE"""),"Pocketpair")</f>
        <v>Pocketpair</v>
      </c>
      <c r="K27" s="23">
        <f>IFERROR(__xludf.DUMMYFUNCTION("""COMPUTED_VALUE"""),235.63999999999965)</f>
        <v>235.64</v>
      </c>
      <c r="M27" s="23" t="str">
        <f>IFERROR(__xludf.DUMMYFUNCTION("""COMPUTED_VALUE"""),"Frontier Foundry")</f>
        <v>Frontier Foundry</v>
      </c>
      <c r="N27" s="23">
        <f>IFERROR(__xludf.DUMMYFUNCTION("""COMPUTED_VALUE"""),72.0)</f>
        <v>72</v>
      </c>
      <c r="P27" s="23" t="str">
        <f>IFERROR(__xludf.DUMMYFUNCTION("""COMPUTED_VALUE"""),"Frontier Foundry")</f>
        <v>Frontier Foundry</v>
      </c>
      <c r="Q27" s="250">
        <f>IFERROR(__xludf.DUMMYFUNCTION("""COMPUTED_VALUE"""),1.7638888888888888)</f>
        <v>1.763888889</v>
      </c>
    </row>
    <row r="28">
      <c r="A28" s="99" t="s">
        <v>10301</v>
      </c>
      <c r="B28" s="23">
        <f>COUNTIF(Inventory!M:M,A28)</f>
        <v>4</v>
      </c>
      <c r="C28" s="23">
        <f>COUNTIFS(Inventory!M:M,A28,Inventory!J:J,"Closed")</f>
        <v>4</v>
      </c>
      <c r="D28" s="23">
        <f t="shared" si="1"/>
        <v>0</v>
      </c>
      <c r="E28" s="23">
        <f>SUMIF(Inventory!M:M,"Awe Interactive",Inventory!E:E)</f>
        <v>29.78</v>
      </c>
      <c r="F28" s="23">
        <f>SUMIF(Inventory!M:M,"Awe Interactive",Inventory!F:F)</f>
        <v>40.6</v>
      </c>
      <c r="G28" s="23">
        <f t="shared" si="2"/>
        <v>10.82</v>
      </c>
      <c r="H28" s="235">
        <f>IFERROR(__xludf.DUMMYFUNCTION("AVERAGE(FILTER(Inventory!K:K,Inventory!J:J=""Closed"",Inventory!M:M=A28))"),3.5)</f>
        <v>3.5</v>
      </c>
      <c r="J28" s="23" t="str">
        <f>IFERROR(__xludf.DUMMYFUNCTION("""COMPUTED_VALUE"""),"Vector3 Studio")</f>
        <v>Vector3 Studio</v>
      </c>
      <c r="K28" s="23">
        <f>IFERROR(__xludf.DUMMYFUNCTION("""COMPUTED_VALUE"""),224.06999999999937)</f>
        <v>224.07</v>
      </c>
      <c r="M28" s="23" t="str">
        <f>IFERROR(__xludf.DUMMYFUNCTION("""COMPUTED_VALUE"""),"2K")</f>
        <v>2K</v>
      </c>
      <c r="N28" s="23">
        <f>IFERROR(__xludf.DUMMYFUNCTION("""COMPUTED_VALUE"""),69.0)</f>
        <v>69</v>
      </c>
      <c r="P28" s="23" t="str">
        <f>IFERROR(__xludf.DUMMYFUNCTION("""COMPUTED_VALUE"""),"2K")</f>
        <v>2K</v>
      </c>
      <c r="Q28" s="250">
        <f>IFERROR(__xludf.DUMMYFUNCTION("""COMPUTED_VALUE"""),57.26086956521739)</f>
        <v>57.26086957</v>
      </c>
    </row>
    <row r="29">
      <c r="A29" s="78" t="s">
        <v>10302</v>
      </c>
      <c r="B29" s="23">
        <f>COUNTIF(Inventory!M:M,A29)</f>
        <v>153</v>
      </c>
      <c r="C29" s="23">
        <f>COUNTIFS(Inventory!M:M,A29,Inventory!J:J,"Closed")</f>
        <v>148</v>
      </c>
      <c r="D29" s="23">
        <f t="shared" si="1"/>
        <v>5</v>
      </c>
      <c r="E29" s="23">
        <f>SUMIF(Inventory!M:M,"BANDAI NAMCO",Inventory!E:E)</f>
        <v>4040.94</v>
      </c>
      <c r="F29" s="23">
        <f>SUMIF(Inventory!M:M,"BANDAI NAMCO",Inventory!F:F)</f>
        <v>4776.96</v>
      </c>
      <c r="G29" s="23">
        <f t="shared" si="2"/>
        <v>736.02</v>
      </c>
      <c r="H29" s="235">
        <f>IFERROR(__xludf.DUMMYFUNCTION("AVERAGE(FILTER(Inventory!K:K,Inventory!J:J=""Closed"",Inventory!M:M=A29))"),37.32432432432432)</f>
        <v>37.32432432</v>
      </c>
      <c r="J29" s="23" t="str">
        <f>IFERROR(__xludf.DUMMYFUNCTION("""COMPUTED_VALUE"""),"Paradox Interactive")</f>
        <v>Paradox Interactive</v>
      </c>
      <c r="K29" s="23">
        <f>IFERROR(__xludf.DUMMYFUNCTION("""COMPUTED_VALUE"""),222.26999999999987)</f>
        <v>222.27</v>
      </c>
      <c r="M29" s="23" t="str">
        <f>IFERROR(__xludf.DUMMYFUNCTION("""COMPUTED_VALUE"""),"Team17 Digital")</f>
        <v>Team17 Digital</v>
      </c>
      <c r="N29" s="23">
        <f>IFERROR(__xludf.DUMMYFUNCTION("""COMPUTED_VALUE"""),65.0)</f>
        <v>65</v>
      </c>
      <c r="P29" s="23" t="str">
        <f>IFERROR(__xludf.DUMMYFUNCTION("""COMPUTED_VALUE"""),"Team17 Digital")</f>
        <v>Team17 Digital</v>
      </c>
      <c r="Q29" s="250">
        <f>IFERROR(__xludf.DUMMYFUNCTION("""COMPUTED_VALUE"""),70.53846153846153)</f>
        <v>70.53846154</v>
      </c>
    </row>
    <row r="30">
      <c r="A30" s="78" t="s">
        <v>10303</v>
      </c>
      <c r="B30" s="23">
        <f>COUNTIF(Inventory!M:M,A30)</f>
        <v>48</v>
      </c>
      <c r="C30" s="23">
        <f>COUNTIFS(Inventory!M:M,A30,Inventory!J:J,"Closed")</f>
        <v>48</v>
      </c>
      <c r="D30" s="23">
        <f t="shared" si="1"/>
        <v>0</v>
      </c>
      <c r="E30" s="23">
        <f>SUMIF(Inventory!M:M,"Beamdog",Inventory!E:E)</f>
        <v>303.46</v>
      </c>
      <c r="F30" s="23">
        <f>SUMIF(Inventory!M:M,"Beamdog",Inventory!F:F)</f>
        <v>414.18</v>
      </c>
      <c r="G30" s="23">
        <f t="shared" si="2"/>
        <v>110.72</v>
      </c>
      <c r="H30" s="235">
        <f>IFERROR(__xludf.DUMMYFUNCTION("AVERAGE(FILTER(Inventory!K:K,Inventory!J:J=""Closed"",Inventory!M:M=A30))"),59.791666666666664)</f>
        <v>59.79166667</v>
      </c>
      <c r="Q30" s="250"/>
    </row>
    <row r="31">
      <c r="A31" s="78" t="s">
        <v>10304</v>
      </c>
      <c r="B31" s="23">
        <f>COUNTIF(Inventory!M:M,A31)</f>
        <v>2</v>
      </c>
      <c r="C31" s="23">
        <f>COUNTIFS(Inventory!M:M,A31,Inventory!J:J,"Closed")</f>
        <v>0</v>
      </c>
      <c r="D31" s="23">
        <f t="shared" si="1"/>
        <v>2</v>
      </c>
      <c r="E31" s="23">
        <f>SUMIF(Inventory!M:M,"Bedtime Digital Games",Inventory!E:E)</f>
        <v>26.03</v>
      </c>
      <c r="F31" s="23">
        <f>SUMIF(Inventory!M:M,"Bedtime Digital Games",Inventory!F:F)</f>
        <v>0</v>
      </c>
      <c r="G31" s="23">
        <f t="shared" si="2"/>
        <v>-26.03</v>
      </c>
      <c r="H31" s="235" t="str">
        <f>IFERROR(__xludf.DUMMYFUNCTION("AVERAGE(FILTER(Inventory!K:K,Inventory!J:J=""Closed"",Inventory!M:M=A31))"),"#N/A")</f>
        <v>#N/A</v>
      </c>
      <c r="Q31" s="250"/>
    </row>
    <row r="32">
      <c r="A32" s="78" t="s">
        <v>10305</v>
      </c>
      <c r="B32" s="23">
        <f>COUNTIF(Inventory!M:M,A32)</f>
        <v>131</v>
      </c>
      <c r="C32" s="23">
        <f>COUNTIFS(Inventory!M:M,A32,Inventory!J:J,"Closed")</f>
        <v>130</v>
      </c>
      <c r="D32" s="23">
        <f t="shared" si="1"/>
        <v>1</v>
      </c>
      <c r="E32" s="23">
        <f>SUMIF(Inventory!M:M,"Behaviour Interactive",Inventory!E:E)</f>
        <v>1256.95</v>
      </c>
      <c r="F32" s="23">
        <f>SUMIF(Inventory!M:M,"Behaviour Interactive",Inventory!F:F)</f>
        <v>1656</v>
      </c>
      <c r="G32" s="23">
        <f t="shared" si="2"/>
        <v>399.05</v>
      </c>
      <c r="H32" s="235">
        <f>IFERROR(__xludf.DUMMYFUNCTION("AVERAGE(FILTER(Inventory!K:K,Inventory!J:J=""Closed"",Inventory!M:M=A32))"),3.8615384615384616)</f>
        <v>3.861538462</v>
      </c>
      <c r="Q32" s="250"/>
    </row>
    <row r="33">
      <c r="A33" s="78" t="s">
        <v>10306</v>
      </c>
      <c r="B33" s="23">
        <f>COUNTIF(Inventory!M:M,A33)</f>
        <v>6</v>
      </c>
      <c r="C33" s="23">
        <f>COUNTIFS(Inventory!M:M,A33,Inventory!J:J,"Closed")</f>
        <v>6</v>
      </c>
      <c r="D33" s="23">
        <f t="shared" si="1"/>
        <v>0</v>
      </c>
      <c r="E33" s="23">
        <f>SUMIF(Inventory!M:M,"Berserk Games",Inventory!E:E)</f>
        <v>91.45</v>
      </c>
      <c r="F33" s="23">
        <f>SUMIF(Inventory!M:M,"Berserk Games",Inventory!F:F)</f>
        <v>123.27</v>
      </c>
      <c r="G33" s="23">
        <f t="shared" si="2"/>
        <v>31.82</v>
      </c>
      <c r="H33" s="235">
        <f>IFERROR(__xludf.DUMMYFUNCTION("AVERAGE(FILTER(Inventory!K:K,Inventory!J:J=""Closed"",Inventory!M:M=A33))"),44.0)</f>
        <v>44</v>
      </c>
      <c r="Q33" s="250"/>
    </row>
    <row r="34">
      <c r="A34" s="78" t="s">
        <v>10307</v>
      </c>
      <c r="B34" s="23">
        <f>COUNTIF(Inventory!M:M,A34)</f>
        <v>1173</v>
      </c>
      <c r="C34" s="23">
        <f>COUNTIFS(Inventory!M:M,A34,Inventory!J:J,"Closed")</f>
        <v>1169</v>
      </c>
      <c r="D34" s="23">
        <f t="shared" si="1"/>
        <v>4</v>
      </c>
      <c r="E34" s="23">
        <f>SUMIF(Inventory!M:M,"Bethesda Softworks",Inventory!E:E)</f>
        <v>15707.69</v>
      </c>
      <c r="F34" s="23">
        <f>SUMIF(Inventory!M:M,"Bethesda Softworks",Inventory!F:F)</f>
        <v>19143.9</v>
      </c>
      <c r="G34" s="23">
        <f t="shared" si="2"/>
        <v>3436.21</v>
      </c>
      <c r="H34" s="235">
        <f>IFERROR(__xludf.DUMMYFUNCTION("AVERAGE(FILTER(Inventory!K:K,Inventory!J:J=""Closed"",Inventory!M:M=A34))"),6.629597946963217)</f>
        <v>6.629597947</v>
      </c>
      <c r="Q34" s="250"/>
    </row>
    <row r="35">
      <c r="A35" s="78" t="s">
        <v>10308</v>
      </c>
      <c r="B35" s="23">
        <f>COUNTIF(Inventory!M:M,A35)</f>
        <v>1</v>
      </c>
      <c r="C35" s="23">
        <f>COUNTIFS(Inventory!M:M,A35,Inventory!J:J,"Closed")</f>
        <v>1</v>
      </c>
      <c r="D35" s="23">
        <f t="shared" si="1"/>
        <v>0</v>
      </c>
      <c r="E35" s="23">
        <f>SUMIF(Inventory!M:M,"Big Sugar",Inventory!E:E)</f>
        <v>10.46</v>
      </c>
      <c r="F35" s="23">
        <f>SUMIF(Inventory!M:M,"Big Sugar",Inventory!F:F)</f>
        <v>1.24</v>
      </c>
      <c r="G35" s="23">
        <f t="shared" si="2"/>
        <v>-9.22</v>
      </c>
      <c r="H35" s="235">
        <f>IFERROR(__xludf.DUMMYFUNCTION("AVERAGE(FILTER(Inventory!K:K,Inventory!J:J=""Closed"",Inventory!M:M=A35))"),532.0)</f>
        <v>532</v>
      </c>
      <c r="Q35" s="250"/>
    </row>
    <row r="36">
      <c r="A36" s="78" t="s">
        <v>10309</v>
      </c>
      <c r="B36" s="23">
        <f>COUNTIF(Inventory!M:M,A36)</f>
        <v>1</v>
      </c>
      <c r="C36" s="23">
        <f>COUNTIFS(Inventory!M:M,A36,Inventory!J:J,"Closed")</f>
        <v>1</v>
      </c>
      <c r="D36" s="23">
        <f t="shared" si="1"/>
        <v>0</v>
      </c>
      <c r="E36" s="23">
        <f>SUMIF(Inventory!M:M,"Black Eye Games",Inventory!E:E)</f>
        <v>5.92</v>
      </c>
      <c r="F36" s="23">
        <f>SUMIF(Inventory!M:M,"Black Eye Games",Inventory!F:F)</f>
        <v>6.18</v>
      </c>
      <c r="G36" s="23">
        <f t="shared" si="2"/>
        <v>0.26</v>
      </c>
      <c r="H36" s="235">
        <f>IFERROR(__xludf.DUMMYFUNCTION("AVERAGE(FILTER(Inventory!K:K,Inventory!J:J=""Closed"",Inventory!M:M=A36))"),14.0)</f>
        <v>14</v>
      </c>
      <c r="Q36" s="250"/>
    </row>
    <row r="37">
      <c r="A37" s="78" t="s">
        <v>10310</v>
      </c>
      <c r="B37" s="23">
        <f>COUNTIF(Inventory!M:M,A37)</f>
        <v>1</v>
      </c>
      <c r="C37" s="23">
        <f>COUNTIFS(Inventory!M:M,A37,Inventory!J:J,"Closed")</f>
        <v>1</v>
      </c>
      <c r="D37" s="23">
        <f t="shared" si="1"/>
        <v>0</v>
      </c>
      <c r="E37" s="23">
        <f>SUMIF(Inventory!M:M,"Black Maple Games",Inventory!E:E)</f>
        <v>4.33</v>
      </c>
      <c r="F37" s="23">
        <f>SUMIF(Inventory!M:M,"Black Maple Games",Inventory!F:F)</f>
        <v>4.97</v>
      </c>
      <c r="G37" s="23">
        <f t="shared" si="2"/>
        <v>0.64</v>
      </c>
      <c r="H37" s="235">
        <f>IFERROR(__xludf.DUMMYFUNCTION("AVERAGE(FILTER(Inventory!K:K,Inventory!J:J=""Closed"",Inventory!M:M=A37))"),23.0)</f>
        <v>23</v>
      </c>
      <c r="J37" s="81"/>
      <c r="K37" s="81"/>
      <c r="L37" s="81"/>
      <c r="Q37" s="250"/>
    </row>
    <row r="38">
      <c r="A38" s="78" t="s">
        <v>10311</v>
      </c>
      <c r="B38" s="23">
        <f>COUNTIF(Inventory!M:M,A38)</f>
        <v>1</v>
      </c>
      <c r="C38" s="23">
        <f>COUNTIFS(Inventory!M:M,A38,Inventory!J:J,"Closed")</f>
        <v>1</v>
      </c>
      <c r="D38" s="23">
        <f t="shared" si="1"/>
        <v>0</v>
      </c>
      <c r="E38" s="23">
        <f>SUMIF(Inventory!M:M,"Bloober Team",Inventory!E:E)</f>
        <v>13.65</v>
      </c>
      <c r="F38" s="23">
        <f>SUMIF(Inventory!M:M,"Bloober Team",Inventory!F:F)</f>
        <v>14.79</v>
      </c>
      <c r="G38" s="23">
        <f t="shared" si="2"/>
        <v>1.14</v>
      </c>
      <c r="H38" s="235">
        <f>IFERROR(__xludf.DUMMYFUNCTION("AVERAGE(FILTER(Inventory!K:K,Inventory!J:J=""Closed"",Inventory!M:M=A38))"),43.0)</f>
        <v>43</v>
      </c>
      <c r="J38" s="81"/>
      <c r="K38" s="81"/>
      <c r="L38" s="81"/>
      <c r="Q38" s="250"/>
    </row>
    <row r="39">
      <c r="A39" s="78" t="s">
        <v>10312</v>
      </c>
      <c r="B39" s="23">
        <f>COUNTIF(Inventory!M:M,A39)</f>
        <v>32</v>
      </c>
      <c r="C39" s="23">
        <f>COUNTIFS(Inventory!M:M,A39,Inventory!J:J,"Closed")</f>
        <v>32</v>
      </c>
      <c r="D39" s="23">
        <f t="shared" si="1"/>
        <v>0</v>
      </c>
      <c r="E39" s="23">
        <f>SUMIF(Inventory!M:M,"Blue Brain Games",Inventory!E:E)</f>
        <v>196.49</v>
      </c>
      <c r="F39" s="23">
        <f>SUMIF(Inventory!M:M,"Blue Brain Games",Inventory!F:F)</f>
        <v>265.33</v>
      </c>
      <c r="G39" s="23">
        <f t="shared" si="2"/>
        <v>68.84</v>
      </c>
      <c r="H39" s="235">
        <f>IFERROR(__xludf.DUMMYFUNCTION("AVERAGE(FILTER(Inventory!K:K,Inventory!J:J=""Closed"",Inventory!M:M=A39))"),32.53125)</f>
        <v>32.53125</v>
      </c>
      <c r="Q39" s="250"/>
    </row>
    <row r="40">
      <c r="A40" s="78" t="s">
        <v>10313</v>
      </c>
      <c r="B40" s="23">
        <f>COUNTIF(Inventory!M:M,A40)</f>
        <v>2</v>
      </c>
      <c r="C40" s="23">
        <f>COUNTIFS(Inventory!M:M,A40,Inventory!J:J,"Closed")</f>
        <v>2</v>
      </c>
      <c r="D40" s="23">
        <f t="shared" si="1"/>
        <v>0</v>
      </c>
      <c r="E40" s="23">
        <f>SUMIF(Inventory!M:M,"Blueside",Inventory!E:E)</f>
        <v>0.85</v>
      </c>
      <c r="F40" s="23">
        <f>SUMIF(Inventory!M:M,"Blueside",Inventory!F:F)</f>
        <v>3.29</v>
      </c>
      <c r="G40" s="23">
        <f t="shared" si="2"/>
        <v>2.44</v>
      </c>
      <c r="H40" s="235">
        <f>IFERROR(__xludf.DUMMYFUNCTION("AVERAGE(FILTER(Inventory!K:K,Inventory!J:J=""Closed"",Inventory!M:M=A40))"),10.5)</f>
        <v>10.5</v>
      </c>
      <c r="Q40" s="250"/>
    </row>
    <row r="41">
      <c r="A41" s="78" t="s">
        <v>10314</v>
      </c>
      <c r="B41" s="23">
        <f>COUNTIF(Inventory!M:M,A41)</f>
        <v>0</v>
      </c>
      <c r="C41" s="23">
        <f>COUNTIFS(Inventory!M:M,A41,Inventory!J:J,"Closed")</f>
        <v>0</v>
      </c>
      <c r="D41" s="23">
        <f t="shared" si="1"/>
        <v>0</v>
      </c>
      <c r="E41" s="23">
        <f>SUMIF(Inventory!M:M,"Brace Yourself Games",Inventory!E:E)</f>
        <v>0</v>
      </c>
      <c r="F41" s="23">
        <f>SUMIF(Inventory!M:M,"Brace Yourself Games",Inventory!F:F)</f>
        <v>0</v>
      </c>
      <c r="G41" s="23">
        <f t="shared" si="2"/>
        <v>0</v>
      </c>
      <c r="H41" s="235" t="str">
        <f>IFERROR(__xludf.DUMMYFUNCTION("AVERAGE(FILTER(Inventory!K:K,Inventory!J:J=""Closed"",Inventory!M:M=A41))"),"#N/A")</f>
        <v>#N/A</v>
      </c>
      <c r="Q41" s="250"/>
    </row>
    <row r="42">
      <c r="A42" s="78" t="s">
        <v>10315</v>
      </c>
      <c r="B42" s="23">
        <f>COUNTIF(Inventory!M:M,A42)</f>
        <v>6</v>
      </c>
      <c r="C42" s="23">
        <f>COUNTIFS(Inventory!M:M,A42,Inventory!J:J,"Closed")</f>
        <v>6</v>
      </c>
      <c r="D42" s="23">
        <f t="shared" si="1"/>
        <v>0</v>
      </c>
      <c r="E42" s="23">
        <f>SUMIF(Inventory!M:M,"Brightrock Games",Inventory!E:E)</f>
        <v>81.92</v>
      </c>
      <c r="F42" s="23">
        <f>SUMIF(Inventory!M:M,"Brightrock Games",Inventory!F:F)</f>
        <v>124.55</v>
      </c>
      <c r="G42" s="23">
        <f t="shared" si="2"/>
        <v>42.63</v>
      </c>
      <c r="H42" s="235">
        <f>IFERROR(__xludf.DUMMYFUNCTION("AVERAGE(FILTER(Inventory!K:K,Inventory!J:J=""Closed"",Inventory!M:M=A42))"),56.333333333333336)</f>
        <v>56.33333333</v>
      </c>
      <c r="Q42" s="250"/>
    </row>
    <row r="43">
      <c r="A43" s="78" t="s">
        <v>10316</v>
      </c>
      <c r="B43" s="23">
        <f>COUNTIF(Inventory!M:M,A43)</f>
        <v>105</v>
      </c>
      <c r="C43" s="23">
        <f>COUNTIFS(Inventory!M:M,A43,Inventory!J:J,"Closed")</f>
        <v>104</v>
      </c>
      <c r="D43" s="23">
        <f t="shared" si="1"/>
        <v>1</v>
      </c>
      <c r="E43" s="23">
        <f>SUMIF(Inventory!M:M,"Bungie",Inventory!E:E)</f>
        <v>2417.9</v>
      </c>
      <c r="F43" s="23">
        <f>SUMIF(Inventory!M:M,"Bungie",Inventory!F:F)</f>
        <v>2914.11</v>
      </c>
      <c r="G43" s="23">
        <f t="shared" si="2"/>
        <v>496.21</v>
      </c>
      <c r="H43" s="235">
        <f>IFERROR(__xludf.DUMMYFUNCTION("AVERAGE(FILTER(Inventory!K:K,Inventory!J:J=""Closed"",Inventory!M:M=A43))"),6.9423076923076925)</f>
        <v>6.942307692</v>
      </c>
      <c r="Q43" s="250"/>
    </row>
    <row r="44">
      <c r="A44" s="78" t="s">
        <v>10317</v>
      </c>
      <c r="B44" s="23">
        <f>COUNTIF(Inventory!M:M,A44)</f>
        <v>3</v>
      </c>
      <c r="C44" s="23">
        <f>COUNTIFS(Inventory!M:M,A44,Inventory!J:J,"Closed")</f>
        <v>3</v>
      </c>
      <c r="D44" s="23">
        <f t="shared" si="1"/>
        <v>0</v>
      </c>
      <c r="E44" s="23">
        <f>SUMIF(Inventory!M:M,"Caligari Games",Inventory!E:E)</f>
        <v>8.54</v>
      </c>
      <c r="F44" s="23">
        <f>SUMIF(Inventory!M:M,"Caligari Games",Inventory!F:F)</f>
        <v>19.61</v>
      </c>
      <c r="G44" s="23">
        <f t="shared" si="2"/>
        <v>11.07</v>
      </c>
      <c r="H44" s="235">
        <f>IFERROR(__xludf.DUMMYFUNCTION("AVERAGE(FILTER(Inventory!K:K,Inventory!J:J=""Closed"",Inventory!M:M=A44))"),103.33333333333333)</f>
        <v>103.3333333</v>
      </c>
      <c r="Q44" s="250"/>
    </row>
    <row r="45">
      <c r="A45" s="78" t="s">
        <v>10318</v>
      </c>
      <c r="B45" s="23">
        <f>COUNTIF(Inventory!M:M,A45)</f>
        <v>2</v>
      </c>
      <c r="C45" s="23">
        <f>COUNTIFS(Inventory!M:M,A45,Inventory!J:J,"Closed")</f>
        <v>2</v>
      </c>
      <c r="D45" s="23">
        <f t="shared" si="1"/>
        <v>0</v>
      </c>
      <c r="E45" s="23">
        <f>SUMIF(Inventory!M:M,"Camel 101",Inventory!E:E)</f>
        <v>0.89</v>
      </c>
      <c r="F45" s="23">
        <f>SUMIF(Inventory!M:M,"Camel 101",Inventory!F:F)</f>
        <v>1.57</v>
      </c>
      <c r="G45" s="23">
        <f t="shared" si="2"/>
        <v>0.68</v>
      </c>
      <c r="H45" s="235">
        <f>IFERROR(__xludf.DUMMYFUNCTION("AVERAGE(FILTER(Inventory!K:K,Inventory!J:J=""Closed"",Inventory!M:M=A45))"),224.5)</f>
        <v>224.5</v>
      </c>
      <c r="Q45" s="250"/>
    </row>
    <row r="46">
      <c r="A46" s="78" t="s">
        <v>10319</v>
      </c>
      <c r="B46" s="23">
        <f>COUNTIF(Inventory!M:M,A46)</f>
        <v>3</v>
      </c>
      <c r="C46" s="23">
        <f>COUNTIFS(Inventory!M:M,A46,Inventory!J:J,"Closed")</f>
        <v>3</v>
      </c>
      <c r="D46" s="23">
        <f t="shared" si="1"/>
        <v>0</v>
      </c>
      <c r="E46" s="23">
        <f>SUMIF(Inventory!M:M,"Camouflaj",Inventory!E:E)</f>
        <v>0</v>
      </c>
      <c r="F46" s="23">
        <f>SUMIF(Inventory!M:M,"Camouflaj",Inventory!F:F)</f>
        <v>2.34</v>
      </c>
      <c r="G46" s="23">
        <f t="shared" si="2"/>
        <v>2.34</v>
      </c>
      <c r="H46" s="235">
        <f>IFERROR(__xludf.DUMMYFUNCTION("AVERAGE(FILTER(Inventory!K:K,Inventory!J:J=""Closed"",Inventory!M:M=A46))"),92.0)</f>
        <v>92</v>
      </c>
      <c r="Q46" s="250"/>
    </row>
    <row r="47">
      <c r="A47" s="78" t="s">
        <v>10320</v>
      </c>
      <c r="B47" s="23">
        <f>COUNTIF(Inventory!M:M,A47)</f>
        <v>37</v>
      </c>
      <c r="C47" s="23">
        <f>COUNTIFS(Inventory!M:M,A47,Inventory!J:J,"Closed")</f>
        <v>35</v>
      </c>
      <c r="D47" s="23">
        <f t="shared" si="1"/>
        <v>2</v>
      </c>
      <c r="E47" s="23">
        <f>SUMIF(Inventory!M:M,"CAPCOM",Inventory!E:E)</f>
        <v>403.47</v>
      </c>
      <c r="F47" s="23">
        <f>SUMIF(Inventory!M:M,"CAPCOM",Inventory!F:F)</f>
        <v>415.14</v>
      </c>
      <c r="G47" s="23">
        <f t="shared" si="2"/>
        <v>11.67</v>
      </c>
      <c r="H47" s="235">
        <f>IFERROR(__xludf.DUMMYFUNCTION("AVERAGE(FILTER(Inventory!K:K,Inventory!J:J=""Closed"",Inventory!M:M=A47))"),128.45714285714286)</f>
        <v>128.4571429</v>
      </c>
      <c r="Q47" s="250"/>
    </row>
    <row r="48">
      <c r="A48" s="78" t="s">
        <v>10321</v>
      </c>
      <c r="B48" s="23">
        <f>COUNTIF(Inventory!M:M,A48)</f>
        <v>107</v>
      </c>
      <c r="C48" s="23">
        <f>COUNTIFS(Inventory!M:M,A48,Inventory!J:J,"Closed")</f>
        <v>107</v>
      </c>
      <c r="D48" s="23">
        <f t="shared" si="1"/>
        <v>0</v>
      </c>
      <c r="E48" s="23">
        <f>SUMIF(Inventory!M:M,"Codemasters",Inventory!E:E)</f>
        <v>586.6</v>
      </c>
      <c r="F48" s="23">
        <f>SUMIF(Inventory!M:M,"Codemasters",Inventory!F:F)</f>
        <v>802.43</v>
      </c>
      <c r="G48" s="23">
        <f t="shared" si="2"/>
        <v>215.83</v>
      </c>
      <c r="H48" s="235">
        <f>IFERROR(__xludf.DUMMYFUNCTION("AVERAGE(FILTER(Inventory!K:K,Inventory!J:J=""Closed"",Inventory!M:M=A48))"),46.64485981308411)</f>
        <v>46.64485981</v>
      </c>
      <c r="Q48" s="250"/>
    </row>
    <row r="49">
      <c r="A49" s="78" t="s">
        <v>10322</v>
      </c>
      <c r="B49" s="23">
        <f>COUNTIF(Inventory!M:M,A49)</f>
        <v>14</v>
      </c>
      <c r="C49" s="23">
        <f>COUNTIFS(Inventory!M:M,A49,Inventory!J:J,"Closed")</f>
        <v>14</v>
      </c>
      <c r="D49" s="23">
        <f t="shared" si="1"/>
        <v>0</v>
      </c>
      <c r="E49" s="23">
        <f>SUMIF(Inventory!M:M,"Coffee Stain",Inventory!E:E)</f>
        <v>385.24</v>
      </c>
      <c r="F49" s="23">
        <f>SUMIF(Inventory!M:M,"Coffee Stain",Inventory!F:F)</f>
        <v>440.44</v>
      </c>
      <c r="G49" s="23">
        <f t="shared" si="2"/>
        <v>55.2</v>
      </c>
      <c r="H49" s="235">
        <f>IFERROR(__xludf.DUMMYFUNCTION("AVERAGE(FILTER(Inventory!K:K,Inventory!J:J=""Closed"",Inventory!M:M=A49))"),59.642857142857146)</f>
        <v>59.64285714</v>
      </c>
      <c r="Q49" s="250"/>
    </row>
    <row r="50">
      <c r="A50" s="99" t="s">
        <v>10323</v>
      </c>
      <c r="B50" s="23">
        <f>COUNTIF(Inventory!M:M,A50)</f>
        <v>64</v>
      </c>
      <c r="C50" s="23">
        <f>COUNTIFS(Inventory!M:M,A50,Inventory!J:J,"Closed")</f>
        <v>62</v>
      </c>
      <c r="D50" s="23">
        <f t="shared" si="1"/>
        <v>2</v>
      </c>
      <c r="E50" s="23">
        <f>SUMIF(Inventory!M:M,"Cheesecake Dev",Inventory!E:E)</f>
        <v>243.65</v>
      </c>
      <c r="F50" s="23">
        <f>SUMIF(Inventory!M:M,"Cheesecake Dev",Inventory!F:F)</f>
        <v>303.6</v>
      </c>
      <c r="G50" s="23">
        <f t="shared" si="2"/>
        <v>59.95</v>
      </c>
      <c r="H50" s="235">
        <f>IFERROR(__xludf.DUMMYFUNCTION("AVERAGE(FILTER(Inventory!K:K,Inventory!J:J=""Closed"",Inventory!M:M=A50))"),16.629032258064516)</f>
        <v>16.62903226</v>
      </c>
      <c r="Q50" s="250"/>
    </row>
    <row r="51">
      <c r="A51" s="99" t="s">
        <v>10324</v>
      </c>
      <c r="B51" s="23">
        <f>COUNTIF(Inventory!M:M,A51)</f>
        <v>1</v>
      </c>
      <c r="C51" s="23">
        <f>COUNTIFS(Inventory!M:M,A51,Inventory!J:J,"Closed")</f>
        <v>1</v>
      </c>
      <c r="D51" s="23">
        <f t="shared" si="1"/>
        <v>0</v>
      </c>
      <c r="E51" s="23">
        <f>SUMIF(Inventory!M:M,"Chromatic Games",Inventory!E:E)</f>
        <v>10</v>
      </c>
      <c r="F51" s="23">
        <f>SUMIF(Inventory!M:M,"Chromatic Games",Inventory!F:F)</f>
        <v>12.06</v>
      </c>
      <c r="G51" s="23">
        <f t="shared" si="2"/>
        <v>2.06</v>
      </c>
      <c r="H51" s="235">
        <f>IFERROR(__xludf.DUMMYFUNCTION("AVERAGE(FILTER(Inventory!K:K,Inventory!J:J=""Closed"",Inventory!M:M=A51))"),157.0)</f>
        <v>157</v>
      </c>
      <c r="Q51" s="250"/>
    </row>
    <row r="52">
      <c r="A52" s="99" t="s">
        <v>10325</v>
      </c>
      <c r="B52" s="23">
        <f>COUNTIF(Inventory!M:M,A52)</f>
        <v>8</v>
      </c>
      <c r="C52" s="23">
        <f>COUNTIFS(Inventory!M:M,A52,Inventory!J:J,"Closed")</f>
        <v>7</v>
      </c>
      <c r="D52" s="23">
        <f t="shared" si="1"/>
        <v>1</v>
      </c>
      <c r="E52" s="23">
        <f>SUMIF(Inventory!M:M,"CI Games",Inventory!E:E)</f>
        <v>92.98</v>
      </c>
      <c r="F52" s="23">
        <f>SUMIF(Inventory!M:M,"CI Games",Inventory!F:F)</f>
        <v>70.22</v>
      </c>
      <c r="G52" s="23">
        <f t="shared" si="2"/>
        <v>-22.76</v>
      </c>
      <c r="H52" s="235">
        <f>IFERROR(__xludf.DUMMYFUNCTION("AVERAGE(FILTER(Inventory!K:K,Inventory!J:J=""Closed"",Inventory!M:M=A52))"),104.57142857142857)</f>
        <v>104.5714286</v>
      </c>
      <c r="Q52" s="250"/>
    </row>
    <row r="53">
      <c r="A53" s="99" t="s">
        <v>10326</v>
      </c>
      <c r="B53" s="23">
        <f>COUNTIF(Inventory!M:M,A53)</f>
        <v>5</v>
      </c>
      <c r="C53" s="23">
        <f>COUNTIFS(Inventory!M:M,A53,Inventory!J:J,"Closed")</f>
        <v>5</v>
      </c>
      <c r="D53" s="23">
        <f t="shared" si="1"/>
        <v>0</v>
      </c>
      <c r="E53" s="23">
        <f>SUMIF(Inventory!M:M,"Clever Plays",Inventory!E:E)</f>
        <v>39.99</v>
      </c>
      <c r="F53" s="23">
        <f>SUMIF(Inventory!M:M,"Clever Plays",Inventory!F:F)</f>
        <v>45.73</v>
      </c>
      <c r="G53" s="23">
        <f t="shared" si="2"/>
        <v>5.74</v>
      </c>
      <c r="H53" s="235">
        <f>IFERROR(__xludf.DUMMYFUNCTION("AVERAGE(FILTER(Inventory!K:K,Inventory!J:J=""Closed"",Inventory!M:M=A53))"),143.4)</f>
        <v>143.4</v>
      </c>
      <c r="Q53" s="250"/>
    </row>
    <row r="54">
      <c r="A54" s="78" t="s">
        <v>10327</v>
      </c>
      <c r="B54" s="23">
        <f>COUNTIF(Inventory!M:M,A54)</f>
        <v>4</v>
      </c>
      <c r="C54" s="23">
        <f>COUNTIFS(Inventory!M:M,A54,Inventory!J:J,"Closed")</f>
        <v>4</v>
      </c>
      <c r="D54" s="23">
        <f t="shared" si="1"/>
        <v>0</v>
      </c>
      <c r="E54" s="23">
        <f>SUMIF(Inventory!M:M,"Coatsink",Inventory!E:E)</f>
        <v>10.93</v>
      </c>
      <c r="F54" s="23">
        <f>SUMIF(Inventory!M:M,"Coatsink",Inventory!F:F)</f>
        <v>11.27</v>
      </c>
      <c r="G54" s="23">
        <f t="shared" si="2"/>
        <v>0.34</v>
      </c>
      <c r="H54" s="235">
        <f>IFERROR(__xludf.DUMMYFUNCTION("AVERAGE(FILTER(Inventory!K:K,Inventory!J:J=""Closed"",Inventory!M:M=A54))"),40.75)</f>
        <v>40.75</v>
      </c>
      <c r="Q54" s="250"/>
    </row>
    <row r="55">
      <c r="A55" s="78" t="s">
        <v>10322</v>
      </c>
      <c r="B55" s="23">
        <f>COUNTIF(Inventory!M:M,A55)</f>
        <v>14</v>
      </c>
      <c r="C55" s="23">
        <f>COUNTIFS(Inventory!M:M,A55,Inventory!J:J,"Closed")</f>
        <v>14</v>
      </c>
      <c r="D55" s="23">
        <f t="shared" si="1"/>
        <v>0</v>
      </c>
      <c r="E55" s="23">
        <f>SUMIF(Inventory!M:M,"Coffee Stain",Inventory!E:E)</f>
        <v>385.24</v>
      </c>
      <c r="F55" s="23">
        <f>SUMIF(Inventory!M:M,"Coffee Stain",Inventory!F:F)</f>
        <v>440.44</v>
      </c>
      <c r="G55" s="23">
        <f t="shared" si="2"/>
        <v>55.2</v>
      </c>
      <c r="H55" s="235">
        <f>IFERROR(__xludf.DUMMYFUNCTION("AVERAGE(FILTER(Inventory!K:K,Inventory!J:J=""Closed"",Inventory!M:M=A55))"),59.642857142857146)</f>
        <v>59.64285714</v>
      </c>
      <c r="Q55" s="250"/>
    </row>
    <row r="56">
      <c r="A56" s="78" t="s">
        <v>10328</v>
      </c>
      <c r="B56" s="23">
        <f>COUNTIF(Inventory!M:M,A56)</f>
        <v>1</v>
      </c>
      <c r="C56" s="23">
        <f>COUNTIFS(Inventory!M:M,A56,Inventory!J:J,"Closed")</f>
        <v>1</v>
      </c>
      <c r="D56" s="23">
        <f t="shared" si="1"/>
        <v>0</v>
      </c>
      <c r="E56" s="23">
        <f>SUMIF(Inventory!M:M,"Codalyn",Inventory!E:E)</f>
        <v>0</v>
      </c>
      <c r="F56" s="23">
        <f>SUMIF(Inventory!M:M,"Codalyn",Inventory!F:F)</f>
        <v>0.44</v>
      </c>
      <c r="G56" s="23">
        <f t="shared" si="2"/>
        <v>0.44</v>
      </c>
      <c r="H56" s="235">
        <f>IFERROR(__xludf.DUMMYFUNCTION("AVERAGE(FILTER(Inventory!K:K,Inventory!J:J=""Closed"",Inventory!M:M=A56))"),125.0)</f>
        <v>125</v>
      </c>
      <c r="Q56" s="250"/>
    </row>
    <row r="57">
      <c r="A57" s="78" t="s">
        <v>10329</v>
      </c>
      <c r="B57" s="23">
        <f>COUNTIF(Inventory!M:M,A57)</f>
        <v>2</v>
      </c>
      <c r="C57" s="23">
        <f>COUNTIFS(Inventory!M:M,A57,Inventory!J:J,"Closed")</f>
        <v>2</v>
      </c>
      <c r="D57" s="23">
        <f t="shared" si="1"/>
        <v>0</v>
      </c>
      <c r="E57" s="23">
        <f>SUMIF(Inventory!M:M,"Conatus Creative",Inventory!E:E)</f>
        <v>0</v>
      </c>
      <c r="F57" s="23">
        <f>SUMIF(Inventory!M:M,"Conatus Creative",Inventory!F:F)</f>
        <v>1.83</v>
      </c>
      <c r="G57" s="23">
        <f t="shared" si="2"/>
        <v>1.83</v>
      </c>
      <c r="H57" s="235">
        <f>IFERROR(__xludf.DUMMYFUNCTION("AVERAGE(FILTER(Inventory!K:K,Inventory!J:J=""Closed"",Inventory!M:M=A57))"),2.0)</f>
        <v>2</v>
      </c>
      <c r="Q57" s="250"/>
    </row>
    <row r="58">
      <c r="A58" s="78" t="s">
        <v>10330</v>
      </c>
      <c r="B58" s="23">
        <f>COUNTIF(Inventory!M:M,A58)</f>
        <v>2</v>
      </c>
      <c r="C58" s="23">
        <f>COUNTIFS(Inventory!M:M,A58,Inventory!J:J,"Closed")</f>
        <v>2</v>
      </c>
      <c r="D58" s="23">
        <f t="shared" si="1"/>
        <v>0</v>
      </c>
      <c r="E58" s="23">
        <f>SUMIF(Inventory!M:M,"Copybugpaste",Inventory!E:E)</f>
        <v>0.88</v>
      </c>
      <c r="F58" s="23">
        <f>SUMIF(Inventory!M:M,"Copybugpaste",Inventory!F:F)</f>
        <v>0.34</v>
      </c>
      <c r="G58" s="23">
        <f t="shared" si="2"/>
        <v>-0.54</v>
      </c>
      <c r="H58" s="235">
        <f>IFERROR(__xludf.DUMMYFUNCTION("AVERAGE(FILTER(Inventory!K:K,Inventory!J:J=""Closed"",Inventory!M:M=A58))"),417.0)</f>
        <v>417</v>
      </c>
      <c r="Q58" s="250"/>
    </row>
    <row r="59">
      <c r="A59" s="78" t="s">
        <v>10331</v>
      </c>
      <c r="B59" s="23">
        <f>COUNTIF(Inventory!M:M,A59)</f>
        <v>6</v>
      </c>
      <c r="C59" s="23">
        <f>COUNTIFS(Inventory!M:M,A59,Inventory!J:J,"Closed")</f>
        <v>6</v>
      </c>
      <c r="D59" s="23">
        <f t="shared" si="1"/>
        <v>0</v>
      </c>
      <c r="E59" s="23">
        <f>SUMIF(Inventory!M:M,"COWCAT",Inventory!E:E)</f>
        <v>33.35</v>
      </c>
      <c r="F59" s="23">
        <f>SUMIF(Inventory!M:M,"COWCAT",Inventory!F:F)</f>
        <v>54.57</v>
      </c>
      <c r="G59" s="23">
        <f t="shared" si="2"/>
        <v>21.22</v>
      </c>
      <c r="H59" s="235">
        <f>IFERROR(__xludf.DUMMYFUNCTION("AVERAGE(FILTER(Inventory!K:K,Inventory!J:J=""Closed"",Inventory!M:M=A59))"),120.83333333333333)</f>
        <v>120.8333333</v>
      </c>
      <c r="Q59" s="250"/>
    </row>
    <row r="60">
      <c r="A60" s="78" t="s">
        <v>10332</v>
      </c>
      <c r="B60" s="23">
        <f>COUNTIF(Inventory!M:M,A60)</f>
        <v>10</v>
      </c>
      <c r="C60" s="23">
        <f>COUNTIFS(Inventory!M:M,A60,Inventory!J:J,"Closed")</f>
        <v>10</v>
      </c>
      <c r="D60" s="23">
        <f t="shared" si="1"/>
        <v>0</v>
      </c>
      <c r="E60" s="23">
        <f>SUMIF(Inventory!M:M,"Crate Entertainment",Inventory!E:E)</f>
        <v>256.4</v>
      </c>
      <c r="F60" s="23">
        <f>SUMIF(Inventory!M:M,"Crate Entertainment",Inventory!F:F)</f>
        <v>320.29</v>
      </c>
      <c r="G60" s="23">
        <f t="shared" si="2"/>
        <v>63.89</v>
      </c>
      <c r="H60" s="235">
        <f>IFERROR(__xludf.DUMMYFUNCTION("AVERAGE(FILTER(Inventory!K:K,Inventory!J:J=""Closed"",Inventory!M:M=A60))"),32.5)</f>
        <v>32.5</v>
      </c>
      <c r="Q60" s="250"/>
    </row>
    <row r="61">
      <c r="A61" s="78" t="s">
        <v>10333</v>
      </c>
      <c r="B61" s="23">
        <f>COUNTIF(Inventory!M:M,A61)</f>
        <v>26</v>
      </c>
      <c r="C61" s="23">
        <f>COUNTIFS(Inventory!M:M,A61,Inventory!J:J,"Closed")</f>
        <v>26</v>
      </c>
      <c r="D61" s="23">
        <f t="shared" si="1"/>
        <v>0</v>
      </c>
      <c r="E61" s="23">
        <f>SUMIF(Inventory!M:M,"Crystal Dynamics",Inventory!E:E)</f>
        <v>175.58</v>
      </c>
      <c r="F61" s="23">
        <f>SUMIF(Inventory!M:M,"Crystal Dynamics",Inventory!F:F)</f>
        <v>232.27</v>
      </c>
      <c r="G61" s="23">
        <f t="shared" si="2"/>
        <v>56.69</v>
      </c>
      <c r="H61" s="235">
        <f>IFERROR(__xludf.DUMMYFUNCTION("AVERAGE(FILTER(Inventory!K:K,Inventory!J:J=""Closed"",Inventory!M:M=A61))"),94.38461538461539)</f>
        <v>94.38461538</v>
      </c>
      <c r="Q61" s="250"/>
    </row>
    <row r="62">
      <c r="A62" s="78" t="s">
        <v>10334</v>
      </c>
      <c r="B62" s="23">
        <f>COUNTIF(Inventory!M:M,A62)</f>
        <v>4</v>
      </c>
      <c r="C62" s="23">
        <f>COUNTIFS(Inventory!M:M,A62,Inventory!J:J,"Closed")</f>
        <v>4</v>
      </c>
      <c r="D62" s="23">
        <f t="shared" si="1"/>
        <v>0</v>
      </c>
      <c r="E62" s="23">
        <f>SUMIF(Inventory!M:M,"Crytivo",Inventory!E:E)</f>
        <v>42.37</v>
      </c>
      <c r="F62" s="23">
        <f>SUMIF(Inventory!M:M,"Crytivo",Inventory!F:F)</f>
        <v>47.88</v>
      </c>
      <c r="G62" s="23">
        <f t="shared" si="2"/>
        <v>5.51</v>
      </c>
      <c r="H62" s="235">
        <f>IFERROR(__xludf.DUMMYFUNCTION("AVERAGE(FILTER(Inventory!K:K,Inventory!J:J=""Closed"",Inventory!M:M=A62))"),46.75)</f>
        <v>46.75</v>
      </c>
      <c r="Q62" s="250"/>
    </row>
    <row r="63">
      <c r="A63" s="78" t="s">
        <v>10335</v>
      </c>
      <c r="B63" s="23">
        <f>COUNTIF(Inventory!M:M,A63)</f>
        <v>22</v>
      </c>
      <c r="C63" s="23">
        <f>COUNTIFS(Inventory!M:M,A63,Inventory!J:J,"Closed")</f>
        <v>22</v>
      </c>
      <c r="D63" s="23">
        <f t="shared" si="1"/>
        <v>0</v>
      </c>
      <c r="E63" s="23">
        <f>SUMIF(Inventory!M:M,"Curve Digital",Inventory!E:E)</f>
        <v>22.44</v>
      </c>
      <c r="F63" s="23">
        <f>SUMIF(Inventory!M:M,"Curve Digital",Inventory!F:F)</f>
        <v>37.27</v>
      </c>
      <c r="G63" s="23">
        <f t="shared" si="2"/>
        <v>14.83</v>
      </c>
      <c r="H63" s="235">
        <f>IFERROR(__xludf.DUMMYFUNCTION("AVERAGE(FILTER(Inventory!K:K,Inventory!J:J=""Closed"",Inventory!M:M=A63))"),109.54545454545455)</f>
        <v>109.5454545</v>
      </c>
      <c r="Q63" s="250"/>
    </row>
    <row r="64">
      <c r="A64" s="78" t="s">
        <v>10336</v>
      </c>
      <c r="B64" s="23">
        <f>COUNTIF(Inventory!M:M,A64)</f>
        <v>6</v>
      </c>
      <c r="C64" s="23">
        <f>COUNTIFS(Inventory!M:M,A64,Inventory!J:J,"Closed")</f>
        <v>6</v>
      </c>
      <c r="D64" s="23">
        <f t="shared" si="1"/>
        <v>0</v>
      </c>
      <c r="E64" s="23">
        <f>SUMIF(Inventory!M:M,"Cyanide Studio",Inventory!E:E)</f>
        <v>3.23</v>
      </c>
      <c r="F64" s="23">
        <f>SUMIF(Inventory!M:M,"Cyanide Studio",Inventory!F:F)</f>
        <v>4.5</v>
      </c>
      <c r="G64" s="23">
        <f t="shared" si="2"/>
        <v>1.27</v>
      </c>
      <c r="H64" s="235">
        <f>IFERROR(__xludf.DUMMYFUNCTION("AVERAGE(FILTER(Inventory!K:K,Inventory!J:J=""Closed"",Inventory!M:M=A64))"),124.16666666666667)</f>
        <v>124.1666667</v>
      </c>
      <c r="Q64" s="250"/>
    </row>
    <row r="65">
      <c r="A65" s="78" t="s">
        <v>10337</v>
      </c>
      <c r="B65" s="23">
        <f>COUNTIF(Inventory!M:M,A65)</f>
        <v>148</v>
      </c>
      <c r="C65" s="23">
        <f>COUNTIFS(Inventory!M:M,A65,Inventory!J:J,"Closed")</f>
        <v>148</v>
      </c>
      <c r="D65" s="23">
        <f t="shared" si="1"/>
        <v>0</v>
      </c>
      <c r="E65" s="23">
        <f>SUMIF(Inventory!M:M,"Dear Villagers",Inventory!E:E)</f>
        <v>333.28</v>
      </c>
      <c r="F65" s="23">
        <f>SUMIF(Inventory!M:M,"Daedalic Entertainment",Inventory!F:F)</f>
        <v>968.18</v>
      </c>
      <c r="G65" s="23">
        <f t="shared" si="2"/>
        <v>634.9</v>
      </c>
      <c r="H65" s="235">
        <f>IFERROR(__xludf.DUMMYFUNCTION("AVERAGE(FILTER(Inventory!K:K,Inventory!J:J=""Closed"",Inventory!M:M=A65))"),49.36486486486486)</f>
        <v>49.36486486</v>
      </c>
      <c r="Q65" s="250"/>
    </row>
    <row r="66">
      <c r="A66" s="78" t="s">
        <v>10338</v>
      </c>
      <c r="B66" s="23">
        <f>COUNTIF(Inventory!M:M,A66)</f>
        <v>19</v>
      </c>
      <c r="C66" s="23">
        <f>COUNTIFS(Inventory!M:M,A66,Inventory!J:J,"Closed")</f>
        <v>19</v>
      </c>
      <c r="D66" s="23">
        <f t="shared" si="1"/>
        <v>0</v>
      </c>
      <c r="E66" s="23">
        <f>SUMIF(Inventory!M:M,"DANGEN Entertainment",Inventory!E:E)</f>
        <v>145.12</v>
      </c>
      <c r="F66" s="23">
        <f>SUMIF(Inventory!M:M,"DANGEN Entertainment",Inventory!F:F)</f>
        <v>212.15</v>
      </c>
      <c r="G66" s="23">
        <f t="shared" si="2"/>
        <v>67.03</v>
      </c>
      <c r="H66" s="235">
        <f>IFERROR(__xludf.DUMMYFUNCTION("AVERAGE(FILTER(Inventory!K:K,Inventory!J:J=""Closed"",Inventory!M:M=A66))"),36.94736842105263)</f>
        <v>36.94736842</v>
      </c>
      <c r="Q66" s="250"/>
    </row>
    <row r="67">
      <c r="A67" s="78" t="s">
        <v>10339</v>
      </c>
      <c r="B67" s="23">
        <f>COUNTIF(Inventory!M:M,A67)</f>
        <v>1</v>
      </c>
      <c r="C67" s="23">
        <f>COUNTIFS(Inventory!M:M,A67,Inventory!J:J,"Closed")</f>
        <v>1</v>
      </c>
      <c r="D67" s="23">
        <f t="shared" si="1"/>
        <v>0</v>
      </c>
      <c r="E67" s="23">
        <f>SUMIF(Inventory!M:M,"Darkwind Media",Inventory!E:E)</f>
        <v>0.53</v>
      </c>
      <c r="F67" s="23">
        <f>SUMIF(Inventory!M:M,"Darkwind Media",Inventory!F:F)</f>
        <v>1.34</v>
      </c>
      <c r="G67" s="23">
        <f t="shared" si="2"/>
        <v>0.81</v>
      </c>
      <c r="H67" s="235">
        <f>IFERROR(__xludf.DUMMYFUNCTION("AVERAGE(FILTER(Inventory!K:K,Inventory!J:J=""Closed"",Inventory!M:M=A67))"),94.0)</f>
        <v>94</v>
      </c>
      <c r="Q67" s="250"/>
    </row>
    <row r="68">
      <c r="A68" s="78" t="s">
        <v>10340</v>
      </c>
      <c r="B68" s="23">
        <f>COUNTIF(Inventory!M:M,A68)</f>
        <v>30</v>
      </c>
      <c r="C68" s="23">
        <f>COUNTIFS(Inventory!M:M,A68,Inventory!J:J,"Closed")</f>
        <v>27</v>
      </c>
      <c r="D68" s="23">
        <f t="shared" si="1"/>
        <v>3</v>
      </c>
      <c r="E68" s="23">
        <f>SUMIF(Inventory!M:M,"Daedalic Entertainment",Inventory!E:E)</f>
        <v>722.58</v>
      </c>
      <c r="F68" s="23">
        <f>SUMIF(Inventory!M:M,"Dear Villagers",Inventory!F:F)</f>
        <v>360.27</v>
      </c>
      <c r="G68" s="23">
        <f t="shared" si="2"/>
        <v>-362.31</v>
      </c>
      <c r="H68" s="235">
        <f>IFERROR(__xludf.DUMMYFUNCTION("AVERAGE(FILTER(Inventory!K:K,Inventory!J:J=""Closed"",Inventory!M:M=A68))"),10.62962962962963)</f>
        <v>10.62962963</v>
      </c>
      <c r="Q68" s="250"/>
    </row>
    <row r="69">
      <c r="A69" s="78" t="s">
        <v>10341</v>
      </c>
      <c r="B69" s="23">
        <f>COUNTIF(Inventory!M:M,A69)</f>
        <v>46</v>
      </c>
      <c r="C69" s="23">
        <f>COUNTIFS(Inventory!M:M,A69,Inventory!J:J,"Closed")</f>
        <v>44</v>
      </c>
      <c r="D69" s="23">
        <f t="shared" si="1"/>
        <v>2</v>
      </c>
      <c r="E69" s="23">
        <f>SUMIF(Inventory!M:M,"Deep Silver",Inventory!E:E)</f>
        <v>549.99</v>
      </c>
      <c r="F69" s="23">
        <f>SUMIF(Inventory!M:M,"Deep Silver",Inventory!F:F)</f>
        <v>590.03</v>
      </c>
      <c r="G69" s="23">
        <f t="shared" si="2"/>
        <v>40.04</v>
      </c>
      <c r="H69" s="235">
        <f>IFERROR(__xludf.DUMMYFUNCTION("AVERAGE(FILTER(Inventory!K:K,Inventory!J:J=""Closed"",Inventory!M:M=A69))"),3.1136363636363638)</f>
        <v>3.113636364</v>
      </c>
      <c r="Q69" s="250"/>
    </row>
    <row r="70">
      <c r="A70" s="78" t="s">
        <v>10342</v>
      </c>
      <c r="B70" s="23">
        <f>COUNTIF(Inventory!M:M,A70)</f>
        <v>5</v>
      </c>
      <c r="C70" s="23">
        <f>COUNTIFS(Inventory!M:M,A70,Inventory!J:J,"Closed")</f>
        <v>5</v>
      </c>
      <c r="D70" s="23">
        <f t="shared" si="1"/>
        <v>0</v>
      </c>
      <c r="E70" s="23">
        <f>SUMIF(Inventory!M:M,"Destructive Creation",Inventory!E:E)</f>
        <v>7</v>
      </c>
      <c r="F70" s="23">
        <f>SUMIF(Inventory!M:M,"Destructive Creation",Inventory!F:F)</f>
        <v>15.3</v>
      </c>
      <c r="G70" s="23">
        <f t="shared" si="2"/>
        <v>8.3</v>
      </c>
      <c r="H70" s="235">
        <f>IFERROR(__xludf.DUMMYFUNCTION("AVERAGE(FILTER(Inventory!K:K,Inventory!J:J=""Closed"",Inventory!M:M=A70))"),0.8)</f>
        <v>0.8</v>
      </c>
      <c r="Q70" s="250"/>
    </row>
    <row r="71">
      <c r="A71" s="78" t="s">
        <v>10343</v>
      </c>
      <c r="B71" s="23">
        <f>COUNTIF(Inventory!M:M,A71)</f>
        <v>57</v>
      </c>
      <c r="C71" s="23">
        <f>COUNTIFS(Inventory!M:M,A71,Inventory!J:J,"Closed")</f>
        <v>54</v>
      </c>
      <c r="D71" s="23">
        <f t="shared" si="1"/>
        <v>3</v>
      </c>
      <c r="E71" s="23">
        <f>SUMIF(Inventory!M:M,"Devolver Digital",Inventory!E:E)</f>
        <v>537.24</v>
      </c>
      <c r="F71" s="23">
        <f>SUMIF(Inventory!M:M,"Devolver Digital",Inventory!F:F)</f>
        <v>609.57</v>
      </c>
      <c r="G71" s="23">
        <f t="shared" si="2"/>
        <v>72.33</v>
      </c>
      <c r="H71" s="235">
        <f>IFERROR(__xludf.DUMMYFUNCTION("AVERAGE(FILTER(Inventory!K:K,Inventory!J:J=""Closed"",Inventory!M:M=A71))"),101.64814814814815)</f>
        <v>101.6481481</v>
      </c>
      <c r="Q71" s="250"/>
    </row>
    <row r="72">
      <c r="A72" s="78" t="s">
        <v>10344</v>
      </c>
      <c r="B72" s="23">
        <f>COUNTIF(Inventory!M:M,A72)</f>
        <v>1</v>
      </c>
      <c r="C72" s="23">
        <f>COUNTIFS(Inventory!M:M,A72,Inventory!J:J,"Closed")</f>
        <v>1</v>
      </c>
      <c r="D72" s="23">
        <f t="shared" si="1"/>
        <v>0</v>
      </c>
      <c r="E72" s="23">
        <f>SUMIF(Inventory!M:M,"Digerati",Inventory!E:E)</f>
        <v>0</v>
      </c>
      <c r="F72" s="23">
        <f>SUMIF(Inventory!M:M,"Digerati",Inventory!F:F)</f>
        <v>0.38</v>
      </c>
      <c r="G72" s="23">
        <f t="shared" si="2"/>
        <v>0.38</v>
      </c>
      <c r="H72" s="235">
        <f>IFERROR(__xludf.DUMMYFUNCTION("AVERAGE(FILTER(Inventory!K:K,Inventory!J:J=""Closed"",Inventory!M:M=A72))"),2.0)</f>
        <v>2</v>
      </c>
      <c r="Q72" s="250"/>
    </row>
    <row r="73">
      <c r="A73" s="78" t="s">
        <v>10345</v>
      </c>
      <c r="B73" s="23">
        <f>COUNTIF(Inventory!M:M,A73)</f>
        <v>20</v>
      </c>
      <c r="C73" s="23">
        <f>COUNTIFS(Inventory!M:M,A73,Inventory!J:J,"Closed")</f>
        <v>20</v>
      </c>
      <c r="D73" s="23">
        <f t="shared" si="1"/>
        <v>0</v>
      </c>
      <c r="E73" s="23">
        <f>SUMIF(Inventory!M:M,"Digixart",Inventory!E:E)</f>
        <v>79.25</v>
      </c>
      <c r="F73" s="23">
        <f>SUMIF(Inventory!M:M,"Digixart",Inventory!F:F)</f>
        <v>96.25</v>
      </c>
      <c r="G73" s="23">
        <f t="shared" si="2"/>
        <v>17</v>
      </c>
      <c r="H73" s="235">
        <f>IFERROR(__xludf.DUMMYFUNCTION("AVERAGE(FILTER(Inventory!K:K,Inventory!J:J=""Closed"",Inventory!M:M=A73))"),19.25)</f>
        <v>19.25</v>
      </c>
      <c r="Q73" s="250"/>
    </row>
    <row r="74">
      <c r="A74" s="78" t="s">
        <v>10346</v>
      </c>
      <c r="B74" s="23">
        <f>COUNTIF(Inventory!M:M,A74)</f>
        <v>5</v>
      </c>
      <c r="C74" s="23">
        <f>COUNTIFS(Inventory!M:M,A74,Inventory!J:J,"Closed")</f>
        <v>5</v>
      </c>
      <c r="D74" s="23">
        <f t="shared" si="1"/>
        <v>0</v>
      </c>
      <c r="E74" s="23">
        <f>SUMIF(Inventory!M:M,"Dimension 32",Inventory!E:E)</f>
        <v>15.17</v>
      </c>
      <c r="F74" s="23">
        <f>SUMIF(Inventory!M:M,"Dimension 32",Inventory!F:F)</f>
        <v>26.14</v>
      </c>
      <c r="G74" s="23">
        <f t="shared" si="2"/>
        <v>10.97</v>
      </c>
      <c r="H74" s="235">
        <f>IFERROR(__xludf.DUMMYFUNCTION("AVERAGE(FILTER(Inventory!K:K,Inventory!J:J=""Closed"",Inventory!M:M=A74))"),11.6)</f>
        <v>11.6</v>
      </c>
      <c r="Q74" s="250"/>
    </row>
    <row r="75">
      <c r="A75" s="78" t="s">
        <v>10347</v>
      </c>
      <c r="B75" s="23">
        <f>COUNTIF(Inventory!M:M,A75)</f>
        <v>1</v>
      </c>
      <c r="C75" s="23">
        <f>COUNTIFS(Inventory!M:M,A75,Inventory!J:J,"Closed")</f>
        <v>1</v>
      </c>
      <c r="D75" s="23">
        <f t="shared" si="1"/>
        <v>0</v>
      </c>
      <c r="E75" s="23">
        <f>SUMIF(Inventory!M:M,"DolphinBarn",Inventory!E:E)</f>
        <v>0</v>
      </c>
      <c r="F75" s="23">
        <f>SUMIF(Inventory!M:M,"DolphinBarn",Inventory!F:F)</f>
        <v>2.04</v>
      </c>
      <c r="G75" s="23">
        <f t="shared" si="2"/>
        <v>2.04</v>
      </c>
      <c r="H75" s="235">
        <f>IFERROR(__xludf.DUMMYFUNCTION("AVERAGE(FILTER(Inventory!K:K,Inventory!J:J=""Closed"",Inventory!M:M=A75))"),9.0)</f>
        <v>9</v>
      </c>
      <c r="Q75" s="250"/>
    </row>
    <row r="76">
      <c r="A76" s="78" t="s">
        <v>10348</v>
      </c>
      <c r="B76" s="23">
        <f>COUNTIF(Inventory!M:M,A76)</f>
        <v>2</v>
      </c>
      <c r="C76" s="23">
        <f>COUNTIFS(Inventory!M:M,A76,Inventory!J:J,"Closed")</f>
        <v>2</v>
      </c>
      <c r="D76" s="23">
        <f t="shared" si="1"/>
        <v>0</v>
      </c>
      <c r="E76" s="23">
        <f>SUMIF(Inventory!M:M,"Double Damage Games",Inventory!E:E)</f>
        <v>0</v>
      </c>
      <c r="F76" s="23">
        <f>SUMIF(Inventory!M:M,"Double Damage Games",Inventory!F:F)</f>
        <v>0.6</v>
      </c>
      <c r="G76" s="23">
        <f t="shared" si="2"/>
        <v>0.6</v>
      </c>
      <c r="H76" s="235">
        <f>IFERROR(__xludf.DUMMYFUNCTION("AVERAGE(FILTER(Inventory!K:K,Inventory!J:J=""Closed"",Inventory!M:M=A76))"),2.5)</f>
        <v>2.5</v>
      </c>
      <c r="Q76" s="250"/>
    </row>
    <row r="77">
      <c r="A77" s="78" t="s">
        <v>10349</v>
      </c>
      <c r="B77" s="23">
        <f>COUNTIF(Inventory!M:M,A77)</f>
        <v>11</v>
      </c>
      <c r="C77" s="23">
        <f>COUNTIFS(Inventory!M:M,A77,Inventory!J:J,"Closed")</f>
        <v>11</v>
      </c>
      <c r="D77" s="23">
        <f t="shared" si="1"/>
        <v>0</v>
      </c>
      <c r="E77" s="23">
        <f>SUMIF(Inventory!M:M,"Dotemu",Inventory!E:E)</f>
        <v>99.71</v>
      </c>
      <c r="F77" s="23">
        <f>SUMIF(Inventory!M:M,"Dotemu",Inventory!F:F)</f>
        <v>130.9</v>
      </c>
      <c r="G77" s="23">
        <f t="shared" si="2"/>
        <v>31.19</v>
      </c>
      <c r="H77" s="235">
        <f>IFERROR(__xludf.DUMMYFUNCTION("AVERAGE(FILTER(Inventory!K:K,Inventory!J:J=""Closed"",Inventory!M:M=A77))"),49.36363636363637)</f>
        <v>49.36363636</v>
      </c>
      <c r="Q77" s="250"/>
    </row>
    <row r="78">
      <c r="A78" s="78" t="s">
        <v>10350</v>
      </c>
      <c r="B78" s="23">
        <f>COUNTIF(Inventory!M:M,A78)</f>
        <v>20</v>
      </c>
      <c r="C78" s="23">
        <f>COUNTIFS(Inventory!M:M,A78,Inventory!J:J,"Closed")</f>
        <v>20</v>
      </c>
      <c r="D78" s="23">
        <f t="shared" si="1"/>
        <v>0</v>
      </c>
      <c r="E78" s="23">
        <f>SUMIF(Inventory!M:M,"Dovetail Games",Inventory!E:E)</f>
        <v>244.68</v>
      </c>
      <c r="F78" s="23">
        <f>SUMIF(Inventory!M:M,"Dovetail Games",Inventory!F:F)</f>
        <v>333.38</v>
      </c>
      <c r="G78" s="23">
        <f t="shared" si="2"/>
        <v>88.7</v>
      </c>
      <c r="H78" s="235">
        <f>IFERROR(__xludf.DUMMYFUNCTION("AVERAGE(FILTER(Inventory!K:K,Inventory!J:J=""Closed"",Inventory!M:M=A78))"),17.8)</f>
        <v>17.8</v>
      </c>
      <c r="Q78" s="250"/>
    </row>
    <row r="79">
      <c r="A79" s="78" t="s">
        <v>10351</v>
      </c>
      <c r="B79" s="23">
        <f>COUNTIF(Inventory!M:M,A79)</f>
        <v>2</v>
      </c>
      <c r="C79" s="23">
        <f>COUNTIFS(Inventory!M:M,A79,Inventory!J:J,"Closed")</f>
        <v>2</v>
      </c>
      <c r="D79" s="23">
        <f t="shared" si="1"/>
        <v>0</v>
      </c>
      <c r="E79" s="23">
        <f>SUMIF(Inventory!M:M,"Driven Arts",Inventory!E:E)</f>
        <v>1.66</v>
      </c>
      <c r="F79" s="23">
        <f>SUMIF(Inventory!M:M,"Driven Arts",Inventory!F:F)</f>
        <v>2.68</v>
      </c>
      <c r="G79" s="23">
        <f t="shared" si="2"/>
        <v>1.02</v>
      </c>
      <c r="H79" s="235">
        <f>IFERROR(__xludf.DUMMYFUNCTION("AVERAGE(FILTER(Inventory!K:K,Inventory!J:J=""Closed"",Inventory!M:M=A79))"),2.0)</f>
        <v>2</v>
      </c>
      <c r="Q79" s="250"/>
    </row>
    <row r="80">
      <c r="A80" s="99" t="s">
        <v>10352</v>
      </c>
      <c r="B80" s="23">
        <f>COUNTIF(Inventory!M:M,A80)</f>
        <v>2</v>
      </c>
      <c r="C80" s="23">
        <f>COUNTIFS(Inventory!M:M,A80,Inventory!J:J,"Closed")</f>
        <v>2</v>
      </c>
      <c r="D80" s="23">
        <f t="shared" si="1"/>
        <v>0</v>
      </c>
      <c r="E80" s="23">
        <f>SUMIF(Inventory!M:M,"EarthWork Games",Inventory!E:E)</f>
        <v>14.94</v>
      </c>
      <c r="F80" s="23">
        <f>SUMIF(Inventory!M:M,"EarthWork Games",Inventory!F:F)</f>
        <v>15.56</v>
      </c>
      <c r="G80" s="23">
        <f t="shared" si="2"/>
        <v>0.62</v>
      </c>
      <c r="H80" s="235">
        <f>IFERROR(__xludf.DUMMYFUNCTION("AVERAGE(FILTER(Inventory!K:K,Inventory!J:J=""Closed"",Inventory!M:M=A80))"),76.0)</f>
        <v>76</v>
      </c>
      <c r="Q80" s="250"/>
    </row>
    <row r="81">
      <c r="A81" s="78" t="s">
        <v>10353</v>
      </c>
      <c r="B81" s="23">
        <f>COUNTIF(Inventory!M:M,A81)</f>
        <v>3</v>
      </c>
      <c r="C81" s="23">
        <f>COUNTIFS(Inventory!M:M,A81,Inventory!J:J,"Closed")</f>
        <v>3</v>
      </c>
      <c r="D81" s="23">
        <f t="shared" si="1"/>
        <v>0</v>
      </c>
      <c r="E81" s="23">
        <f>SUMIF(Inventory!M:M,"Eek! Games",Inventory!E:E)</f>
        <v>31.8</v>
      </c>
      <c r="F81" s="23">
        <f>SUMIF(Inventory!M:M,"Eek! Games",Inventory!F:F)</f>
        <v>34.74</v>
      </c>
      <c r="G81" s="23">
        <f t="shared" si="2"/>
        <v>2.94</v>
      </c>
      <c r="H81" s="235">
        <f>IFERROR(__xludf.DUMMYFUNCTION("AVERAGE(FILTER(Inventory!K:K,Inventory!J:J=""Closed"",Inventory!M:M=A81))"),30.333333333333332)</f>
        <v>30.33333333</v>
      </c>
      <c r="Q81" s="250"/>
    </row>
    <row r="82">
      <c r="A82" s="78" t="s">
        <v>10354</v>
      </c>
      <c r="B82" s="23">
        <f>COUNTIF(Inventory!M:M,A82)</f>
        <v>1</v>
      </c>
      <c r="C82" s="23">
        <f>COUNTIFS(Inventory!M:M,A82,Inventory!J:J,"Closed")</f>
        <v>1</v>
      </c>
      <c r="D82" s="23">
        <f t="shared" si="1"/>
        <v>0</v>
      </c>
      <c r="E82" s="23">
        <f>SUMIF(Inventory!M:M,"Electronic Arts",Inventory!E:E)</f>
        <v>2412.05</v>
      </c>
      <c r="F82" s="23">
        <f>SUMIF(Inventory!M:M,"Electronic Arts",Inventory!F:F)</f>
        <v>3041.34</v>
      </c>
      <c r="G82" s="23">
        <f t="shared" si="2"/>
        <v>629.29</v>
      </c>
      <c r="H82" s="235">
        <f>IFERROR(__xludf.DUMMYFUNCTION("AVERAGE(FILTER(Inventory!K:K,Inventory!J:J=""Closed"",Inventory!M:M=A82))"),55.0)</f>
        <v>55</v>
      </c>
      <c r="Q82" s="250"/>
    </row>
    <row r="83">
      <c r="A83" s="78" t="s">
        <v>10355</v>
      </c>
      <c r="B83" s="23">
        <f>COUNTIF(Inventory!M:M,A83)</f>
        <v>86</v>
      </c>
      <c r="C83" s="23">
        <f>COUNTIFS(Inventory!M:M,A83,Inventory!J:J,"Closed")</f>
        <v>86</v>
      </c>
      <c r="D83" s="23">
        <f t="shared" si="1"/>
        <v>0</v>
      </c>
      <c r="E83" s="23">
        <f>SUMIF(Inventory!M:M,"Egosoft",Inventory!E:E)</f>
        <v>16.19</v>
      </c>
      <c r="F83" s="23">
        <f>SUMIF(Inventory!M:M,"Egosoft",Inventory!F:F)</f>
        <v>19.2</v>
      </c>
      <c r="G83" s="23">
        <f t="shared" si="2"/>
        <v>3.01</v>
      </c>
      <c r="H83" s="235">
        <f>IFERROR(__xludf.DUMMYFUNCTION("AVERAGE(FILTER(Inventory!K:K,Inventory!J:J=""Closed"",Inventory!M:M=A83))"),8.511627906976743)</f>
        <v>8.511627907</v>
      </c>
      <c r="Q83" s="250"/>
    </row>
    <row r="84">
      <c r="A84" s="78" t="s">
        <v>10356</v>
      </c>
      <c r="B84" s="23">
        <f>COUNTIF(Inventory!M:M,A84)</f>
        <v>16</v>
      </c>
      <c r="C84" s="23">
        <f>COUNTIFS(Inventory!M:M,A84,Inventory!J:J,"Closed")</f>
        <v>16</v>
      </c>
      <c r="D84" s="23">
        <f t="shared" si="1"/>
        <v>0</v>
      </c>
      <c r="E84" s="23">
        <f>SUMIF(Inventory!M:M,"Element Games",Inventory!E:E)</f>
        <v>169.96</v>
      </c>
      <c r="F84" s="23">
        <f>SUMIF(Inventory!M:M,"Element Games",Inventory!F:F)</f>
        <v>196.72</v>
      </c>
      <c r="G84" s="23">
        <f t="shared" si="2"/>
        <v>26.76</v>
      </c>
      <c r="H84" s="235">
        <f>IFERROR(__xludf.DUMMYFUNCTION("AVERAGE(FILTER(Inventory!K:K,Inventory!J:J=""Closed"",Inventory!M:M=A84))"),4.125)</f>
        <v>4.125</v>
      </c>
      <c r="Q84" s="250"/>
    </row>
    <row r="85">
      <c r="A85" s="78" t="s">
        <v>10357</v>
      </c>
      <c r="B85" s="23">
        <f>COUNTIF(Inventory!M:M,A85)</f>
        <v>51</v>
      </c>
      <c r="C85" s="23">
        <f>COUNTIFS(Inventory!M:M,A85,Inventory!J:J,"Closed")</f>
        <v>51</v>
      </c>
      <c r="D85" s="23">
        <f t="shared" si="1"/>
        <v>0</v>
      </c>
      <c r="E85" s="23">
        <f>SUMIF(Inventory!M:M,"Eleventh Hour Games",Inventory!E:E)</f>
        <v>1438.08</v>
      </c>
      <c r="F85" s="23">
        <f>SUMIF(Inventory!M:M,"Eleventh Hour Games",Inventory!F:F)</f>
        <v>1684.36</v>
      </c>
      <c r="G85" s="23">
        <f t="shared" si="2"/>
        <v>246.28</v>
      </c>
      <c r="H85" s="235">
        <f>IFERROR(__xludf.DUMMYFUNCTION("AVERAGE(FILTER(Inventory!K:K,Inventory!J:J=""Closed"",Inventory!M:M=A85))"),6.2745098039215685)</f>
        <v>6.274509804</v>
      </c>
      <c r="Q85" s="250"/>
    </row>
    <row r="86">
      <c r="A86" s="78" t="s">
        <v>10358</v>
      </c>
      <c r="B86" s="23">
        <f>COUNTIF(Inventory!M:M,A86)</f>
        <v>2</v>
      </c>
      <c r="C86" s="23">
        <f>COUNTIFS(Inventory!M:M,A86,Inventory!J:J,"Closed")</f>
        <v>2</v>
      </c>
      <c r="D86" s="23">
        <f t="shared" si="1"/>
        <v>0</v>
      </c>
      <c r="E86" s="23">
        <f>SUMIF(Inventory!M:M,"Enigma Dragons",Inventory!E:E)</f>
        <v>13.93</v>
      </c>
      <c r="F86" s="23">
        <f>SUMIF(Inventory!M:M,"Enigma Dragons",Inventory!F:F)</f>
        <v>16.54</v>
      </c>
      <c r="G86" s="23">
        <f t="shared" si="2"/>
        <v>2.61</v>
      </c>
      <c r="H86" s="235">
        <f>IFERROR(__xludf.DUMMYFUNCTION("AVERAGE(FILTER(Inventory!K:K,Inventory!J:J=""Closed"",Inventory!M:M=A86))"),114.5)</f>
        <v>114.5</v>
      </c>
      <c r="Q86" s="250"/>
    </row>
    <row r="87">
      <c r="A87" s="78" t="s">
        <v>10359</v>
      </c>
      <c r="B87" s="23">
        <f>COUNTIF(Inventory!M:M,A87)</f>
        <v>195</v>
      </c>
      <c r="C87" s="23">
        <f>COUNTIFS(Inventory!M:M,A87,Inventory!J:J,"Closed")</f>
        <v>195</v>
      </c>
      <c r="D87" s="23">
        <f t="shared" si="1"/>
        <v>0</v>
      </c>
      <c r="E87" s="23">
        <f>SUMIF(Inventory!M:M,"Eugen Systems",Inventory!E:E)</f>
        <v>2041.86</v>
      </c>
      <c r="F87" s="23">
        <f>SUMIF(Inventory!M:M,"Eugen Systems",Inventory!F:F)</f>
        <v>3094.49</v>
      </c>
      <c r="G87" s="23">
        <f t="shared" si="2"/>
        <v>1052.63</v>
      </c>
      <c r="H87" s="235">
        <f>IFERROR(__xludf.DUMMYFUNCTION("AVERAGE(FILTER(Inventory!K:K,Inventory!J:J=""Closed"",Inventory!M:M=A87))"),16.015384615384615)</f>
        <v>16.01538462</v>
      </c>
      <c r="Q87" s="250"/>
    </row>
    <row r="88">
      <c r="A88" s="78" t="s">
        <v>10360</v>
      </c>
      <c r="B88" s="23">
        <f>COUNTIF(Inventory!M:M,A88)</f>
        <v>2</v>
      </c>
      <c r="C88" s="23">
        <f>COUNTIFS(Inventory!M:M,A88,Inventory!J:J,"Closed")</f>
        <v>2</v>
      </c>
      <c r="D88" s="23">
        <f t="shared" si="1"/>
        <v>0</v>
      </c>
      <c r="E88" s="23">
        <f>SUMIF(Inventory!M:M,"Event Horizon",Inventory!E:E)</f>
        <v>7.15</v>
      </c>
      <c r="F88" s="23">
        <f>SUMIF(Inventory!M:M,"Event Horizon",Inventory!F:F)</f>
        <v>10.5</v>
      </c>
      <c r="G88" s="23">
        <f t="shared" si="2"/>
        <v>3.35</v>
      </c>
      <c r="H88" s="235">
        <f>IFERROR(__xludf.DUMMYFUNCTION("AVERAGE(FILTER(Inventory!K:K,Inventory!J:J=""Closed"",Inventory!M:M=A88))"),114.0)</f>
        <v>114</v>
      </c>
      <c r="Q88" s="250"/>
    </row>
    <row r="89">
      <c r="A89" s="78" t="s">
        <v>10361</v>
      </c>
      <c r="B89" s="23">
        <f>COUNTIF(Inventory!M:M,A89)</f>
        <v>113</v>
      </c>
      <c r="C89" s="23">
        <f>COUNTIFS(Inventory!M:M,A89,Inventory!J:J,"Closed")</f>
        <v>113</v>
      </c>
      <c r="D89" s="23">
        <f t="shared" si="1"/>
        <v>0</v>
      </c>
      <c r="E89" s="23">
        <f>SUMIF(Inventory!M:M,"Evil Tortilla Games",Inventory!E:E)</f>
        <v>381.7</v>
      </c>
      <c r="F89" s="23">
        <f>SUMIF(Inventory!M:M,"Evil Tortilla Games",Inventory!F:F)</f>
        <v>578.483</v>
      </c>
      <c r="G89" s="23">
        <f t="shared" si="2"/>
        <v>196.783</v>
      </c>
      <c r="H89" s="235">
        <f>IFERROR(__xludf.DUMMYFUNCTION("AVERAGE(FILTER(Inventory!K:K,Inventory!J:J=""Closed"",Inventory!M:M=A89))"),5.84070796460177)</f>
        <v>5.840707965</v>
      </c>
      <c r="Q89" s="250"/>
    </row>
    <row r="90">
      <c r="A90" s="78" t="s">
        <v>10362</v>
      </c>
      <c r="B90" s="23">
        <f>COUNTIF(Inventory!M:M,A90)</f>
        <v>1</v>
      </c>
      <c r="C90" s="23">
        <f>COUNTIFS(Inventory!M:M,A90,Inventory!J:J,"Closed")</f>
        <v>1</v>
      </c>
      <c r="D90" s="23">
        <f t="shared" si="1"/>
        <v>0</v>
      </c>
      <c r="E90" s="23">
        <f>SUMIF(Inventory!M:M,"Evil Twin Artworks",Inventory!E:E)</f>
        <v>2.57</v>
      </c>
      <c r="F90" s="23">
        <f>SUMIF(Inventory!M:M,"Evil Twin Artworks",Inventory!F:F)</f>
        <v>3.42</v>
      </c>
      <c r="G90" s="23">
        <f t="shared" si="2"/>
        <v>0.85</v>
      </c>
      <c r="H90" s="235">
        <f>IFERROR(__xludf.DUMMYFUNCTION("AVERAGE(FILTER(Inventory!K:K,Inventory!J:J=""Closed"",Inventory!M:M=A90))"),9.0)</f>
        <v>9</v>
      </c>
      <c r="Q90" s="250"/>
    </row>
    <row r="91">
      <c r="A91" s="78" t="s">
        <v>10363</v>
      </c>
      <c r="B91" s="23">
        <f>COUNTIF(Inventory!M:M,A91)</f>
        <v>20</v>
      </c>
      <c r="C91" s="23">
        <f>COUNTIFS(Inventory!M:M,A91,Inventory!J:J,"Closed")</f>
        <v>20</v>
      </c>
      <c r="D91" s="23">
        <f t="shared" si="1"/>
        <v>0</v>
      </c>
      <c r="E91" s="23">
        <f>SUMIF(Inventory!M:M,"Excalibur Games",Inventory!E:E)</f>
        <v>59.62</v>
      </c>
      <c r="F91" s="23">
        <f>SUMIF(Inventory!M:M,"Excalibur Games",Inventory!F:F)</f>
        <v>115.34</v>
      </c>
      <c r="G91" s="23">
        <f t="shared" si="2"/>
        <v>55.72</v>
      </c>
      <c r="H91" s="235">
        <f>IFERROR(__xludf.DUMMYFUNCTION("AVERAGE(FILTER(Inventory!K:K,Inventory!J:J=""Closed"",Inventory!M:M=A91))"),2.9)</f>
        <v>2.9</v>
      </c>
      <c r="Q91" s="250"/>
    </row>
    <row r="92">
      <c r="A92" s="78" t="s">
        <v>10364</v>
      </c>
      <c r="B92" s="23">
        <f>COUNTIF(Inventory!M:M,A92)</f>
        <v>1</v>
      </c>
      <c r="C92" s="23">
        <f>COUNTIFS(Inventory!M:M,A92,Inventory!J:J,"Closed")</f>
        <v>1</v>
      </c>
      <c r="D92" s="23">
        <f t="shared" si="1"/>
        <v>0</v>
      </c>
      <c r="E92" s="23">
        <f>SUMIF(Inventory!M:M,"EXOR Studios",Inventory!E:E)</f>
        <v>19.94</v>
      </c>
      <c r="F92" s="23">
        <f>SUMIF(Inventory!M:M,"EXOR Studios",Inventory!F:F)</f>
        <v>22.41</v>
      </c>
      <c r="G92" s="23">
        <f t="shared" si="2"/>
        <v>2.47</v>
      </c>
      <c r="H92" s="235">
        <f>IFERROR(__xludf.DUMMYFUNCTION("AVERAGE(FILTER(Inventory!K:K,Inventory!J:J=""Closed"",Inventory!M:M=A92))"),19.0)</f>
        <v>19</v>
      </c>
      <c r="Q92" s="250"/>
    </row>
    <row r="93">
      <c r="A93" s="78" t="s">
        <v>10365</v>
      </c>
      <c r="B93" s="23">
        <f>COUNTIF(Inventory!M:M,A93)</f>
        <v>4</v>
      </c>
      <c r="C93" s="23">
        <f>COUNTIFS(Inventory!M:M,A93,Inventory!J:J,"Closed")</f>
        <v>4</v>
      </c>
      <c r="D93" s="23">
        <f t="shared" si="1"/>
        <v>0</v>
      </c>
      <c r="E93" s="23">
        <f>SUMIF(Inventory!M:M,"Expansive Worlds",Inventory!E:E)</f>
        <v>7.09</v>
      </c>
      <c r="F93" s="23">
        <f>SUMIF(Inventory!M:M,"Expansive Worlds",Inventory!F:F)</f>
        <v>11.28</v>
      </c>
      <c r="G93" s="23">
        <f t="shared" si="2"/>
        <v>4.19</v>
      </c>
      <c r="H93" s="235">
        <f>IFERROR(__xludf.DUMMYFUNCTION("AVERAGE(FILTER(Inventory!K:K,Inventory!J:J=""Closed"",Inventory!M:M=A93))"),1.0)</f>
        <v>1</v>
      </c>
      <c r="Q93" s="250"/>
    </row>
    <row r="94">
      <c r="A94" s="78" t="s">
        <v>10366</v>
      </c>
      <c r="B94" s="23">
        <f>COUNTIF(Inventory!M:M,A94)</f>
        <v>8</v>
      </c>
      <c r="C94" s="23">
        <f>COUNTIFS(Inventory!M:M,A94,Inventory!J:J,"Closed")</f>
        <v>8</v>
      </c>
      <c r="D94" s="23">
        <f t="shared" si="1"/>
        <v>0</v>
      </c>
      <c r="E94" s="23">
        <f>SUMIF(Inventory!M:M,"Fatshark",Inventory!E:E)</f>
        <v>14.09</v>
      </c>
      <c r="F94" s="23">
        <f>SUMIF(Inventory!M:M,"Fatshark",Inventory!F:F)</f>
        <v>22.53</v>
      </c>
      <c r="G94" s="23">
        <f t="shared" si="2"/>
        <v>8.44</v>
      </c>
      <c r="H94" s="235">
        <f>IFERROR(__xludf.DUMMYFUNCTION("AVERAGE(FILTER(Inventory!K:K,Inventory!J:J=""Closed"",Inventory!M:M=A94))"),2.5)</f>
        <v>2.5</v>
      </c>
      <c r="Q94" s="250"/>
    </row>
    <row r="95">
      <c r="A95" s="78" t="s">
        <v>10367</v>
      </c>
      <c r="B95" s="23">
        <f>COUNTIF(Inventory!M:M,A95)</f>
        <v>14</v>
      </c>
      <c r="C95" s="23">
        <f>COUNTIFS(Inventory!M:M,A95,Inventory!J:J,"Closed")</f>
        <v>12</v>
      </c>
      <c r="D95" s="23">
        <f t="shared" si="1"/>
        <v>2</v>
      </c>
      <c r="E95" s="23">
        <f>SUMIF(Inventory!M:M,"Fellow Traveller",Inventory!E:E)</f>
        <v>121.87</v>
      </c>
      <c r="F95" s="23">
        <f>SUMIF(Inventory!M:M,"Fellow Traveller",Inventory!F:F)</f>
        <v>136.93</v>
      </c>
      <c r="G95" s="23">
        <f t="shared" si="2"/>
        <v>15.06</v>
      </c>
      <c r="H95" s="235">
        <f>IFERROR(__xludf.DUMMYFUNCTION("AVERAGE(FILTER(Inventory!K:K,Inventory!J:J=""Closed"",Inventory!M:M=A95))"),22.25)</f>
        <v>22.25</v>
      </c>
      <c r="Q95" s="250"/>
    </row>
    <row r="96">
      <c r="A96" s="78" t="s">
        <v>10368</v>
      </c>
      <c r="B96" s="23">
        <f>COUNTIF(Inventory!M:M,A96)</f>
        <v>26</v>
      </c>
      <c r="C96" s="23">
        <f>COUNTIFS(Inventory!M:M,A96,Inventory!J:J,"Closed")</f>
        <v>25</v>
      </c>
      <c r="D96" s="23">
        <f t="shared" si="1"/>
        <v>1</v>
      </c>
      <c r="E96" s="23">
        <f>SUMIF(Inventory!M:M,"FireFly Studios",Inventory!E:E)</f>
        <v>165.7</v>
      </c>
      <c r="F96" s="23">
        <f>SUMIF(Inventory!M:M,"FireFly Studios",Inventory!F:F)</f>
        <v>220.65</v>
      </c>
      <c r="G96" s="23">
        <f t="shared" si="2"/>
        <v>54.95</v>
      </c>
      <c r="H96" s="235">
        <f>IFERROR(__xludf.DUMMYFUNCTION("AVERAGE(FILTER(Inventory!K:K,Inventory!J:J=""Closed"",Inventory!M:M=A96))"),27.16)</f>
        <v>27.16</v>
      </c>
      <c r="Q96" s="250"/>
    </row>
    <row r="97">
      <c r="A97" s="78" t="s">
        <v>10369</v>
      </c>
      <c r="B97" s="23">
        <f>COUNTIF(Inventory!M:M,A97)</f>
        <v>7</v>
      </c>
      <c r="C97" s="23">
        <f>COUNTIFS(Inventory!M:M,A97,Inventory!J:J,"Closed")</f>
        <v>7</v>
      </c>
      <c r="D97" s="23">
        <f t="shared" si="1"/>
        <v>0</v>
      </c>
      <c r="E97" s="23">
        <f>SUMIF(Inventory!M:M,"Fireshine Games",Inventory!E:E)</f>
        <v>75.26</v>
      </c>
      <c r="F97" s="23">
        <f>SUMIF(Inventory!M:M,"Fireshine Games",Inventory!F:F)</f>
        <v>88.76</v>
      </c>
      <c r="G97" s="23">
        <f t="shared" si="2"/>
        <v>13.5</v>
      </c>
      <c r="H97" s="235">
        <f>IFERROR(__xludf.DUMMYFUNCTION("AVERAGE(FILTER(Inventory!K:K,Inventory!J:J=""Closed"",Inventory!M:M=A97))"),2.142857142857143)</f>
        <v>2.142857143</v>
      </c>
      <c r="Q97" s="250"/>
    </row>
    <row r="98">
      <c r="A98" s="78" t="s">
        <v>10370</v>
      </c>
      <c r="B98" s="23">
        <f>COUNTIF(Inventory!M:M,A98)</f>
        <v>3</v>
      </c>
      <c r="C98" s="23">
        <f>COUNTIFS(Inventory!M:M,A98,Inventory!J:J,"Closed")</f>
        <v>3</v>
      </c>
      <c r="D98" s="23">
        <f t="shared" si="1"/>
        <v>0</v>
      </c>
      <c r="E98" s="23">
        <f>SUMIF(Inventory!M:M,"Flashbulb",Inventory!E:E)</f>
        <v>28.4</v>
      </c>
      <c r="F98" s="23">
        <f>SUMIF(Inventory!M:M,"Flashbulb",Inventory!F:F)</f>
        <v>32.48</v>
      </c>
      <c r="G98" s="23">
        <f t="shared" si="2"/>
        <v>4.08</v>
      </c>
      <c r="H98" s="235">
        <f>IFERROR(__xludf.DUMMYFUNCTION("AVERAGE(FILTER(Inventory!K:K,Inventory!J:J=""Closed"",Inventory!M:M=A98))"),2.6666666666666665)</f>
        <v>2.666666667</v>
      </c>
      <c r="Q98" s="250"/>
    </row>
    <row r="99">
      <c r="A99" s="78" t="s">
        <v>10371</v>
      </c>
      <c r="B99" s="23">
        <f>COUNTIF(Inventory!M:M,A99)</f>
        <v>138</v>
      </c>
      <c r="C99" s="23">
        <f>COUNTIFS(Inventory!M:M,A99,Inventory!J:J,"Closed")</f>
        <v>137</v>
      </c>
      <c r="D99" s="23">
        <f t="shared" si="1"/>
        <v>1</v>
      </c>
      <c r="E99" s="23">
        <f>SUMIF(Inventory!M:M,"Focus Home Interactive",Inventory!E:E)</f>
        <v>1432.52</v>
      </c>
      <c r="F99" s="23">
        <f>SUMIF(Inventory!M:M,"Focus Home Interactive",Inventory!F:F)</f>
        <v>1767.2</v>
      </c>
      <c r="G99" s="23">
        <f t="shared" si="2"/>
        <v>334.68</v>
      </c>
      <c r="H99" s="235">
        <f>IFERROR(__xludf.DUMMYFUNCTION("AVERAGE(FILTER(Inventory!K:K,Inventory!J:J=""Closed"",Inventory!M:M=A99))"),37.72992700729927)</f>
        <v>37.72992701</v>
      </c>
      <c r="Q99" s="250"/>
    </row>
    <row r="100">
      <c r="A100" s="78" t="s">
        <v>10372</v>
      </c>
      <c r="B100" s="23">
        <f>COUNTIF(Inventory!M:M,A100)</f>
        <v>11</v>
      </c>
      <c r="C100" s="23">
        <f>COUNTIFS(Inventory!M:M,A100,Inventory!J:J,"Closed")</f>
        <v>11</v>
      </c>
      <c r="D100" s="23">
        <f t="shared" si="1"/>
        <v>0</v>
      </c>
      <c r="E100" s="23">
        <f>SUMIF(Inventory!M:M,"Freedom Games",Inventory!E:E)</f>
        <v>89.07</v>
      </c>
      <c r="F100" s="23">
        <f>SUMIF(Inventory!M:M,"Freedom Games",Inventory!F:F)</f>
        <v>109.03</v>
      </c>
      <c r="G100" s="23">
        <f t="shared" si="2"/>
        <v>19.96</v>
      </c>
      <c r="H100" s="235">
        <f>IFERROR(__xludf.DUMMYFUNCTION("AVERAGE(FILTER(Inventory!K:K,Inventory!J:J=""Closed"",Inventory!M:M=A100))"),10.727272727272727)</f>
        <v>10.72727273</v>
      </c>
      <c r="Q100" s="250"/>
    </row>
    <row r="101">
      <c r="A101" s="78" t="s">
        <v>10373</v>
      </c>
      <c r="B101" s="23">
        <f>COUNTIF(Inventory!M:M,A101)</f>
        <v>19</v>
      </c>
      <c r="C101" s="23">
        <f>COUNTIFS(Inventory!M:M,A101,Inventory!J:J,"Closed")</f>
        <v>17</v>
      </c>
      <c r="D101" s="23">
        <f t="shared" si="1"/>
        <v>2</v>
      </c>
      <c r="E101" s="23">
        <f>SUMIF(Inventory!M:M,"Frogwares",Inventory!E:E)</f>
        <v>65.94</v>
      </c>
      <c r="F101" s="23">
        <f>SUMIF(Inventory!M:M,"Frogwares",Inventory!F:F)</f>
        <v>83.37</v>
      </c>
      <c r="G101" s="23">
        <f t="shared" si="2"/>
        <v>17.43</v>
      </c>
      <c r="H101" s="235">
        <f>IFERROR(__xludf.DUMMYFUNCTION("AVERAGE(FILTER(Inventory!K:K,Inventory!J:J=""Closed"",Inventory!M:M=A101))"),9.941176470588236)</f>
        <v>9.941176471</v>
      </c>
      <c r="Q101" s="250"/>
    </row>
    <row r="102">
      <c r="A102" s="78" t="s">
        <v>10374</v>
      </c>
      <c r="B102" s="23">
        <f>COUNTIF(Inventory!M:M,A102)</f>
        <v>79</v>
      </c>
      <c r="C102" s="23">
        <f>COUNTIFS(Inventory!M:M,A102,Inventory!J:J,"Closed")</f>
        <v>72</v>
      </c>
      <c r="D102" s="23">
        <f t="shared" si="1"/>
        <v>7</v>
      </c>
      <c r="E102" s="23">
        <f>SUMIF(Inventory!M:M,"Frontier Foundry",Inventory!E:E)</f>
        <v>876.21</v>
      </c>
      <c r="F102" s="23">
        <f>SUMIF(Inventory!M:M,"Frontier Foundry",Inventory!F:F)</f>
        <v>1211.81</v>
      </c>
      <c r="G102" s="23">
        <f t="shared" si="2"/>
        <v>335.6</v>
      </c>
      <c r="H102" s="235">
        <f>IFERROR(__xludf.DUMMYFUNCTION("AVERAGE(FILTER(Inventory!K:K,Inventory!J:J=""Closed"",Inventory!M:M=A102))"),1.7638888888888888)</f>
        <v>1.763888889</v>
      </c>
      <c r="Q102" s="250"/>
    </row>
    <row r="103">
      <c r="A103" s="78" t="s">
        <v>10375</v>
      </c>
      <c r="B103" s="23">
        <f>COUNTIF(Inventory!M:M,A103)</f>
        <v>3</v>
      </c>
      <c r="C103" s="23">
        <f>COUNTIFS(Inventory!M:M,A103,Inventory!J:J,"Closed")</f>
        <v>3</v>
      </c>
      <c r="D103" s="23">
        <f t="shared" si="1"/>
        <v>0</v>
      </c>
      <c r="E103" s="23">
        <f>SUMIF(Inventory!M:M,"Frozenbyte",Inventory!E:E)</f>
        <v>0.85</v>
      </c>
      <c r="F103" s="23">
        <f>SUMIF(Inventory!M:M,"Frozenbyte",Inventory!F:F)</f>
        <v>1.73</v>
      </c>
      <c r="G103" s="23">
        <f t="shared" si="2"/>
        <v>0.88</v>
      </c>
      <c r="H103" s="235">
        <f>IFERROR(__xludf.DUMMYFUNCTION("AVERAGE(FILTER(Inventory!K:K,Inventory!J:J=""Closed"",Inventory!M:M=A103))"),105.0)</f>
        <v>105</v>
      </c>
      <c r="Q103" s="250"/>
    </row>
    <row r="104">
      <c r="A104" s="99" t="s">
        <v>10376</v>
      </c>
      <c r="B104" s="23">
        <f>COUNTIF(Inventory!M:M,A104)</f>
        <v>3</v>
      </c>
      <c r="C104" s="23">
        <f>COUNTIFS(Inventory!M:M,A104,Inventory!J:J,"Closed")</f>
        <v>3</v>
      </c>
      <c r="D104" s="23">
        <f t="shared" si="1"/>
        <v>0</v>
      </c>
      <c r="E104" s="23">
        <f>SUMIF(Inventory!M:M,"Fullbright",Inventory!E:E)</f>
        <v>0</v>
      </c>
      <c r="F104" s="23">
        <f>SUMIF(Inventory!M:M,"Fullbright",Inventory!F:F)</f>
        <v>4.44</v>
      </c>
      <c r="G104" s="23">
        <f t="shared" si="2"/>
        <v>4.44</v>
      </c>
      <c r="H104" s="235">
        <f>IFERROR(__xludf.DUMMYFUNCTION("AVERAGE(FILTER(Inventory!K:K,Inventory!J:J=""Closed"",Inventory!M:M=A104))"),7.0)</f>
        <v>7</v>
      </c>
      <c r="Q104" s="250"/>
    </row>
    <row r="105">
      <c r="A105" s="99" t="s">
        <v>10377</v>
      </c>
      <c r="B105" s="23">
        <f>COUNTIF(Inventory!M:M,A105)</f>
        <v>11</v>
      </c>
      <c r="C105" s="23">
        <f>COUNTIFS(Inventory!M:M,A105,Inventory!J:J,"Closed")</f>
        <v>11</v>
      </c>
      <c r="D105" s="23">
        <f t="shared" si="1"/>
        <v>0</v>
      </c>
      <c r="E105" s="23">
        <f>SUMIF(Inventory!M:M,"Funcom",Inventory!E:E)</f>
        <v>68.56</v>
      </c>
      <c r="F105" s="23">
        <f>SUMIF(Inventory!M:M,"Funcom",Inventory!F:F)</f>
        <v>82.71</v>
      </c>
      <c r="G105" s="23">
        <f t="shared" si="2"/>
        <v>14.15</v>
      </c>
      <c r="H105" s="235">
        <f>IFERROR(__xludf.DUMMYFUNCTION("AVERAGE(FILTER(Inventory!K:K,Inventory!J:J=""Closed"",Inventory!M:M=A105))"),18.545454545454547)</f>
        <v>18.54545455</v>
      </c>
      <c r="Q105" s="250"/>
    </row>
    <row r="106">
      <c r="A106" s="78" t="s">
        <v>10378</v>
      </c>
      <c r="B106" s="23">
        <f>COUNTIF(Inventory!M:M,A106)</f>
        <v>2</v>
      </c>
      <c r="C106" s="23">
        <f>COUNTIFS(Inventory!M:M,A106,Inventory!J:J,"Closed")</f>
        <v>2</v>
      </c>
      <c r="D106" s="23">
        <f t="shared" si="1"/>
        <v>0</v>
      </c>
      <c r="E106" s="23">
        <f>SUMIF(Inventory!M:M,"Gamepires",Inventory!E:E)</f>
        <v>1</v>
      </c>
      <c r="F106" s="23">
        <f>SUMIF(Inventory!M:M,"Gamepires",Inventory!F:F)</f>
        <v>0.84</v>
      </c>
      <c r="G106" s="23">
        <f t="shared" si="2"/>
        <v>-0.16</v>
      </c>
      <c r="H106" s="235">
        <f>IFERROR(__xludf.DUMMYFUNCTION("AVERAGE(FILTER(Inventory!K:K,Inventory!J:J=""Closed"",Inventory!M:M=A106))"),377.0)</f>
        <v>377</v>
      </c>
      <c r="Q106" s="250"/>
    </row>
    <row r="107">
      <c r="A107" s="99" t="s">
        <v>10379</v>
      </c>
      <c r="B107" s="23">
        <f>COUNTIF(Inventory!M:M,A107)</f>
        <v>2</v>
      </c>
      <c r="C107" s="23">
        <f>COUNTIFS(Inventory!M:M,A107,Inventory!J:J,"Closed")</f>
        <v>2</v>
      </c>
      <c r="D107" s="23">
        <f t="shared" si="1"/>
        <v>0</v>
      </c>
      <c r="E107" s="23">
        <f>SUMIF(Inventory!M:M,"Gentleman Squid Studio",Inventory!E:E)</f>
        <v>0</v>
      </c>
      <c r="F107" s="23">
        <f>SUMIF(Inventory!M:M,"Games Operators",Inventory!F:F)</f>
        <v>1.45</v>
      </c>
      <c r="G107" s="23">
        <f t="shared" si="2"/>
        <v>1.45</v>
      </c>
      <c r="H107" s="235">
        <f>IFERROR(__xludf.DUMMYFUNCTION("AVERAGE(FILTER(Inventory!K:K,Inventory!J:J=""Closed"",Inventory!M:M=A107))"),22.0)</f>
        <v>22</v>
      </c>
      <c r="Q107" s="250"/>
    </row>
    <row r="108">
      <c r="A108" s="99" t="s">
        <v>10380</v>
      </c>
      <c r="B108" s="23">
        <f>COUNTIF(Inventory!M:M,A108)</f>
        <v>38</v>
      </c>
      <c r="C108" s="23">
        <f>COUNTIFS(Inventory!M:M,A108,Inventory!J:J,"Closed")</f>
        <v>37</v>
      </c>
      <c r="D108" s="23">
        <f t="shared" si="1"/>
        <v>1</v>
      </c>
      <c r="E108" s="23">
        <f>SUMIF(Inventory!M:M,"Game Science",Inventory!E:E)</f>
        <v>1404.48</v>
      </c>
      <c r="F108" s="23">
        <f>SUMIF(Inventory!M:M,"Game Science",Inventory!F:F)</f>
        <v>1587.06</v>
      </c>
      <c r="G108" s="23">
        <f t="shared" si="2"/>
        <v>182.58</v>
      </c>
      <c r="H108" s="235">
        <f>IFERROR(__xludf.DUMMYFUNCTION("AVERAGE(FILTER(Inventory!K:K,Inventory!J:J=""Closed"",Inventory!M:M=A108))"),5.135135135135135)</f>
        <v>5.135135135</v>
      </c>
      <c r="Q108" s="250"/>
    </row>
    <row r="109">
      <c r="A109" s="99" t="s">
        <v>10381</v>
      </c>
      <c r="B109" s="23">
        <f>COUNTIF(Inventory!M:M,A109)</f>
        <v>1</v>
      </c>
      <c r="C109" s="23">
        <f>COUNTIFS(Inventory!M:M,A109,Inventory!J:J,"Closed")</f>
        <v>1</v>
      </c>
      <c r="D109" s="23">
        <f t="shared" si="1"/>
        <v>0</v>
      </c>
      <c r="E109" s="23">
        <f>SUMIF(Inventory!M:M,"Gaugepunk Games",Inventory!E:E)</f>
        <v>10.49</v>
      </c>
      <c r="F109" s="23">
        <f>SUMIF(Inventory!M:M,"Gaugepunk Games",Inventory!F:F)</f>
        <v>12.95</v>
      </c>
      <c r="G109" s="23">
        <f t="shared" si="2"/>
        <v>2.46</v>
      </c>
      <c r="H109" s="235">
        <f>IFERROR(__xludf.DUMMYFUNCTION("AVERAGE(FILTER(Inventory!K:K,Inventory!J:J=""Closed"",Inventory!M:M=A109))"),61.0)</f>
        <v>61</v>
      </c>
      <c r="Q109" s="250"/>
    </row>
    <row r="110">
      <c r="A110" s="99" t="s">
        <v>10382</v>
      </c>
      <c r="B110" s="23">
        <f>COUNTIF(Inventory!M:M,A110)</f>
        <v>1</v>
      </c>
      <c r="C110" s="23">
        <f>COUNTIFS(Inventory!M:M,A110,Inventory!J:J,"Closed")</f>
        <v>1</v>
      </c>
      <c r="D110" s="23">
        <f t="shared" si="1"/>
        <v>0</v>
      </c>
      <c r="E110" s="23">
        <f>SUMIF(Inventory!M:M,"Games Operators",Inventory!E:E)</f>
        <v>0</v>
      </c>
      <c r="F110" s="23">
        <f>SUMIF(Inventory!M:M,"Gentleman Squid Studio",Inventory!F:F)</f>
        <v>0.27</v>
      </c>
      <c r="G110" s="23">
        <f t="shared" si="2"/>
        <v>0.27</v>
      </c>
      <c r="H110" s="235">
        <f>IFERROR(__xludf.DUMMYFUNCTION("AVERAGE(FILTER(Inventory!K:K,Inventory!J:J=""Closed"",Inventory!M:M=A110))"),662.0)</f>
        <v>662</v>
      </c>
      <c r="Q110" s="250"/>
    </row>
    <row r="111">
      <c r="A111" s="78" t="s">
        <v>10383</v>
      </c>
      <c r="B111" s="23">
        <f>COUNTIF(Inventory!M:M,A111)</f>
        <v>3</v>
      </c>
      <c r="C111" s="23">
        <f>COUNTIFS(Inventory!M:M,A111,Inventory!J:J,"Closed")</f>
        <v>2</v>
      </c>
      <c r="D111" s="23">
        <f t="shared" si="1"/>
        <v>1</v>
      </c>
      <c r="E111" s="23">
        <f>SUMIF(Inventory!M:M,"Goblinz Publishing",Inventory!E:E)</f>
        <v>19.06</v>
      </c>
      <c r="F111" s="23">
        <f>SUMIF(Inventory!M:M,"Goblinz Publishing",Inventory!F:F)</f>
        <v>0.26</v>
      </c>
      <c r="G111" s="23">
        <f t="shared" si="2"/>
        <v>-18.8</v>
      </c>
      <c r="H111" s="235">
        <f>IFERROR(__xludf.DUMMYFUNCTION("AVERAGE(FILTER(Inventory!K:K,Inventory!J:J=""Closed"",Inventory!M:M=A111))"),751.0)</f>
        <v>751</v>
      </c>
      <c r="Q111" s="250"/>
    </row>
    <row r="112">
      <c r="A112" s="99" t="s">
        <v>10384</v>
      </c>
      <c r="B112" s="23">
        <f>COUNTIF(Inventory!M:M,A112)</f>
        <v>50</v>
      </c>
      <c r="C112" s="23">
        <f>COUNTIFS(Inventory!M:M,A112,Inventory!J:J,"Closed")</f>
        <v>49</v>
      </c>
      <c r="D112" s="23">
        <f t="shared" si="1"/>
        <v>1</v>
      </c>
      <c r="E112" s="23">
        <f>SUMIF(Inventory!M:M,"Good Shepherd Entertainment",Inventory!E:E)</f>
        <v>565.41</v>
      </c>
      <c r="F112" s="23">
        <f>SUMIF(Inventory!M:M,"Good Shepherd Entertainment",Inventory!F:F)</f>
        <v>693.32</v>
      </c>
      <c r="G112" s="23">
        <f t="shared" si="2"/>
        <v>127.91</v>
      </c>
      <c r="H112" s="235">
        <f>IFERROR(__xludf.DUMMYFUNCTION("AVERAGE(FILTER(Inventory!K:K,Inventory!J:J=""Closed"",Inventory!M:M=A112))"),27.877551020408163)</f>
        <v>27.87755102</v>
      </c>
      <c r="Q112" s="250"/>
    </row>
    <row r="113">
      <c r="A113" s="99" t="s">
        <v>10385</v>
      </c>
      <c r="B113" s="23">
        <f>COUNTIF(Inventory!M:M,A113)</f>
        <v>7</v>
      </c>
      <c r="C113" s="23">
        <f>COUNTIFS(Inventory!M:M,A113,Inventory!J:J,"Closed")</f>
        <v>4</v>
      </c>
      <c r="D113" s="23">
        <f t="shared" si="1"/>
        <v>3</v>
      </c>
      <c r="E113" s="23">
        <f>SUMIF(Inventory!M:M,"Gearbox Publishing",Inventory!E:E)</f>
        <v>207.22</v>
      </c>
      <c r="F113" s="23">
        <f>SUMIF(Inventory!M:M,"Gearbox Publishing",Inventory!F:F)</f>
        <v>133.64</v>
      </c>
      <c r="G113" s="23">
        <f t="shared" si="2"/>
        <v>-73.58</v>
      </c>
      <c r="H113" s="235">
        <f>IFERROR(__xludf.DUMMYFUNCTION("AVERAGE(FILTER(Inventory!K:K,Inventory!J:J=""Closed"",Inventory!M:M=A113))"),1.0)</f>
        <v>1</v>
      </c>
      <c r="Q113" s="250"/>
    </row>
    <row r="114">
      <c r="A114" s="99" t="s">
        <v>10386</v>
      </c>
      <c r="B114" s="23">
        <f>COUNTIF(Inventory!M:M,A114)</f>
        <v>2</v>
      </c>
      <c r="C114" s="23">
        <f>COUNTIFS(Inventory!M:M,A114,Inventory!J:J,"Closed")</f>
        <v>2</v>
      </c>
      <c r="D114" s="23">
        <f t="shared" si="1"/>
        <v>0</v>
      </c>
      <c r="E114" s="23">
        <f>SUMIF(Inventory!M:M,"Gun Interactive",Inventory!E:E)</f>
        <v>51.43</v>
      </c>
      <c r="F114" s="23">
        <f>SUMIF(Inventory!M:M,"Gun Interactive",Inventory!F:F)</f>
        <v>58.45</v>
      </c>
      <c r="G114" s="23">
        <f t="shared" si="2"/>
        <v>7.02</v>
      </c>
      <c r="H114" s="235">
        <f>IFERROR(__xludf.DUMMYFUNCTION("AVERAGE(FILTER(Inventory!K:K,Inventory!J:J=""Closed"",Inventory!M:M=A114))"),93.0)</f>
        <v>93</v>
      </c>
      <c r="Q114" s="250"/>
    </row>
    <row r="115">
      <c r="A115" s="78" t="s">
        <v>10387</v>
      </c>
      <c r="B115" s="23">
        <f>COUNTIF(Inventory!M:M,A115)</f>
        <v>30</v>
      </c>
      <c r="C115" s="23">
        <f>COUNTIFS(Inventory!M:M,A115,Inventory!J:J,"Closed")</f>
        <v>28</v>
      </c>
      <c r="D115" s="23">
        <f t="shared" si="1"/>
        <v>2</v>
      </c>
      <c r="E115" s="23">
        <f>SUMIF(Inventory!M:M,"HandyGames",Inventory!E:E)</f>
        <v>181.83</v>
      </c>
      <c r="F115" s="23">
        <f>SUMIF(Inventory!M:M,"HandyGames",Inventory!F:F)</f>
        <v>242.53</v>
      </c>
      <c r="G115" s="23">
        <f t="shared" si="2"/>
        <v>60.7</v>
      </c>
      <c r="H115" s="235">
        <f>IFERROR(__xludf.DUMMYFUNCTION("AVERAGE(FILTER(Inventory!K:K,Inventory!J:J=""Closed"",Inventory!M:M=A115))"),28.25)</f>
        <v>28.25</v>
      </c>
      <c r="Q115" s="250"/>
    </row>
    <row r="116">
      <c r="A116" s="78" t="s">
        <v>10388</v>
      </c>
      <c r="B116" s="23">
        <f>COUNTIF(Inventory!M:M,A116)</f>
        <v>2</v>
      </c>
      <c r="C116" s="23">
        <f>COUNTIFS(Inventory!M:M,A116,Inventory!J:J,"Closed")</f>
        <v>2</v>
      </c>
      <c r="D116" s="23">
        <f t="shared" si="1"/>
        <v>0</v>
      </c>
      <c r="E116" s="23">
        <f>SUMIF(Inventory!M:M,"HB Studios",Inventory!E:E)</f>
        <v>0</v>
      </c>
      <c r="F116" s="23">
        <f>SUMIF(Inventory!M:M,"HB Studios",Inventory!F:F)</f>
        <v>10.77</v>
      </c>
      <c r="G116" s="23">
        <f t="shared" si="2"/>
        <v>10.77</v>
      </c>
      <c r="H116" s="235">
        <f>IFERROR(__xludf.DUMMYFUNCTION("AVERAGE(FILTER(Inventory!K:K,Inventory!J:J=""Closed"",Inventory!M:M=A116))"),4.0)</f>
        <v>4</v>
      </c>
      <c r="Q116" s="250"/>
    </row>
    <row r="117">
      <c r="A117" s="78" t="s">
        <v>10389</v>
      </c>
      <c r="B117" s="23">
        <f>COUNTIF(Inventory!M:M,A117)</f>
        <v>9</v>
      </c>
      <c r="C117" s="23">
        <f>COUNTIFS(Inventory!M:M,A117,Inventory!J:J,"Closed")</f>
        <v>9</v>
      </c>
      <c r="D117" s="23">
        <f t="shared" si="1"/>
        <v>0</v>
      </c>
      <c r="E117" s="23">
        <f>SUMIF(Inventory!M:M,"Headup",Inventory!E:E)</f>
        <v>19.77</v>
      </c>
      <c r="F117" s="23">
        <f>SUMIF(Inventory!M:M,"Headup",Inventory!F:F)</f>
        <v>31.05</v>
      </c>
      <c r="G117" s="23">
        <f t="shared" si="2"/>
        <v>11.28</v>
      </c>
      <c r="H117" s="235">
        <f>IFERROR(__xludf.DUMMYFUNCTION("AVERAGE(FILTER(Inventory!K:K,Inventory!J:J=""Closed"",Inventory!M:M=A117))"),24.333333333333332)</f>
        <v>24.33333333</v>
      </c>
      <c r="Q117" s="250"/>
    </row>
    <row r="118">
      <c r="A118" s="99" t="s">
        <v>10390</v>
      </c>
      <c r="B118" s="23">
        <f>COUNTIF(Inventory!M:M,A118)</f>
        <v>25</v>
      </c>
      <c r="C118" s="23">
        <f>COUNTIFS(Inventory!M:M,A118,Inventory!J:J,"Closed")</f>
        <v>25</v>
      </c>
      <c r="D118" s="23">
        <f t="shared" si="1"/>
        <v>0</v>
      </c>
      <c r="E118" s="23">
        <f>SUMIF(Inventory!M:M,"Hello Games",Inventory!E:E)</f>
        <v>493.96</v>
      </c>
      <c r="F118" s="23">
        <f>SUMIF(Inventory!M:M,"HypeTrain Digital",Inventory!F:F)</f>
        <v>17.01</v>
      </c>
      <c r="G118" s="23">
        <f t="shared" si="2"/>
        <v>-476.95</v>
      </c>
      <c r="H118" s="235">
        <f>IFERROR(__xludf.DUMMYFUNCTION("AVERAGE(FILTER(Inventory!K:K,Inventory!J:J=""Closed"",Inventory!M:M=A118))"),14.0)</f>
        <v>14</v>
      </c>
      <c r="Q118" s="250"/>
    </row>
    <row r="119">
      <c r="A119" s="99" t="s">
        <v>10391</v>
      </c>
      <c r="B119" s="23">
        <f>COUNTIF(Inventory!M:M,A119)</f>
        <v>2</v>
      </c>
      <c r="C119" s="23">
        <f>COUNTIFS(Inventory!M:M,A119,Inventory!J:J,"Closed")</f>
        <v>1</v>
      </c>
      <c r="D119" s="23">
        <f t="shared" si="1"/>
        <v>1</v>
      </c>
      <c r="E119" s="23">
        <f>SUMIF(Inventory!M:M,"Hooded Horse",Inventory!E:E)</f>
        <v>40.91</v>
      </c>
      <c r="F119" s="23">
        <f>SUMIF(Inventory!M:M,"Hooded Horse",Inventory!F:F)</f>
        <v>28.68</v>
      </c>
      <c r="G119" s="23">
        <f t="shared" si="2"/>
        <v>-12.23</v>
      </c>
      <c r="H119" s="235">
        <f>IFERROR(__xludf.DUMMYFUNCTION("AVERAGE(FILTER(Inventory!K:K,Inventory!J:J=""Closed"",Inventory!M:M=A119))"),5.0)</f>
        <v>5</v>
      </c>
      <c r="Q119" s="250"/>
    </row>
    <row r="120">
      <c r="A120" s="99" t="s">
        <v>10392</v>
      </c>
      <c r="B120" s="23">
        <f>COUNTIF(Inventory!M:M,A120)</f>
        <v>8</v>
      </c>
      <c r="C120" s="23">
        <f>COUNTIFS(Inventory!M:M,A120,Inventory!J:J,"Closed")</f>
        <v>6</v>
      </c>
      <c r="D120" s="23">
        <f t="shared" si="1"/>
        <v>2</v>
      </c>
      <c r="E120" s="23">
        <f>SUMIF(Inventory!M:M,"Humble Games",Inventory!E:E)</f>
        <v>114.89</v>
      </c>
      <c r="F120" s="23">
        <f>SUMIF(Inventory!M:M,"Humble Games",Inventory!F:F)</f>
        <v>104.44</v>
      </c>
      <c r="G120" s="23">
        <f t="shared" si="2"/>
        <v>-10.45</v>
      </c>
      <c r="H120" s="235">
        <f>IFERROR(__xludf.DUMMYFUNCTION("AVERAGE(FILTER(Inventory!K:K,Inventory!J:J=""Closed"",Inventory!M:M=A120))"),26.5)</f>
        <v>26.5</v>
      </c>
      <c r="Q120" s="250"/>
    </row>
    <row r="121">
      <c r="A121" s="99" t="s">
        <v>10393</v>
      </c>
      <c r="B121" s="23">
        <f>COUNTIF(Inventory!M:M,A121)</f>
        <v>5</v>
      </c>
      <c r="C121" s="23">
        <f>COUNTIFS(Inventory!M:M,A121,Inventory!J:J,"Closed")</f>
        <v>2</v>
      </c>
      <c r="D121" s="23">
        <f t="shared" si="1"/>
        <v>3</v>
      </c>
      <c r="E121" s="23">
        <f>SUMIF(Inventory!M:M,"HypeTrain Digital",Inventory!E:E)</f>
        <v>48.19</v>
      </c>
      <c r="F121" s="23">
        <f>SUMIF(Inventory!M:M,"Hello Games",Inventory!F:F)</f>
        <v>593.85</v>
      </c>
      <c r="G121" s="23">
        <f t="shared" si="2"/>
        <v>545.66</v>
      </c>
      <c r="H121" s="235">
        <f>IFERROR(__xludf.DUMMYFUNCTION("AVERAGE(FILTER(Inventory!K:K,Inventory!J:J=""Closed"",Inventory!M:M=A121))"),29.5)</f>
        <v>29.5</v>
      </c>
      <c r="Q121" s="250"/>
    </row>
    <row r="122">
      <c r="A122" s="78" t="s">
        <v>10394</v>
      </c>
      <c r="B122" s="23">
        <f>COUNTIF(Inventory!M:M,A122)</f>
        <v>3</v>
      </c>
      <c r="C122" s="23">
        <f>COUNTIFS(Inventory!M:M,A122,Inventory!J:J,"Closed")</f>
        <v>3</v>
      </c>
      <c r="D122" s="23">
        <f t="shared" si="1"/>
        <v>0</v>
      </c>
      <c r="E122" s="23">
        <f>SUMIF(Inventory!M:M,"id Software",Inventory!E:E)</f>
        <v>0</v>
      </c>
      <c r="F122" s="23">
        <f>SUMIF(Inventory!M:M,"id Software",Inventory!F:F)</f>
        <v>0.75</v>
      </c>
      <c r="G122" s="23">
        <f t="shared" si="2"/>
        <v>0.75</v>
      </c>
      <c r="H122" s="235">
        <f>IFERROR(__xludf.DUMMYFUNCTION("AVERAGE(FILTER(Inventory!K:K,Inventory!J:J=""Closed"",Inventory!M:M=A122))"),243.66666666666666)</f>
        <v>243.6666667</v>
      </c>
      <c r="Q122" s="250"/>
    </row>
    <row r="123">
      <c r="A123" s="78" t="s">
        <v>10395</v>
      </c>
      <c r="B123" s="23">
        <f>COUNTIF(Inventory!M:M,A123)</f>
        <v>2</v>
      </c>
      <c r="C123" s="23">
        <f>COUNTIFS(Inventory!M:M,A123,Inventory!J:J,"Closed")</f>
        <v>1</v>
      </c>
      <c r="D123" s="23">
        <f t="shared" si="1"/>
        <v>1</v>
      </c>
      <c r="E123" s="23">
        <f>SUMIF(Inventory!M:M,"Iceberg Interactive",Inventory!E:E)</f>
        <v>17.06</v>
      </c>
      <c r="F123" s="23">
        <f>SUMIF(Inventory!M:M,"Iceberg Interactive",Inventory!F:F)</f>
        <v>12.9</v>
      </c>
      <c r="G123" s="23">
        <f t="shared" si="2"/>
        <v>-4.16</v>
      </c>
      <c r="H123" s="235">
        <f>IFERROR(__xludf.DUMMYFUNCTION("AVERAGE(FILTER(Inventory!K:K,Inventory!J:J=""Closed"",Inventory!M:M=A123))"),1.0)</f>
        <v>1</v>
      </c>
      <c r="Q123" s="250"/>
    </row>
    <row r="124">
      <c r="A124" s="78" t="s">
        <v>10396</v>
      </c>
      <c r="B124" s="23">
        <f>COUNTIF(Inventory!M:M,A124)</f>
        <v>1</v>
      </c>
      <c r="C124" s="23">
        <f>COUNTIFS(Inventory!M:M,A124,Inventory!J:J,"Closed")</f>
        <v>1</v>
      </c>
      <c r="D124" s="23">
        <f t="shared" si="1"/>
        <v>0</v>
      </c>
      <c r="E124" s="23">
        <f>SUMIF(Inventory!M:M,"Ice-Pick Lodge",Inventory!E:E)</f>
        <v>1.25</v>
      </c>
      <c r="F124" s="23">
        <f>SUMIF(Inventory!M:M,"Ice-Pick Lodge",Inventory!F:F)</f>
        <v>1.85</v>
      </c>
      <c r="G124" s="23">
        <f t="shared" si="2"/>
        <v>0.6</v>
      </c>
      <c r="H124" s="235">
        <f>IFERROR(__xludf.DUMMYFUNCTION("AVERAGE(FILTER(Inventory!K:K,Inventory!J:J=""Closed"",Inventory!M:M=A124))"),2.0)</f>
        <v>2</v>
      </c>
      <c r="Q124" s="250"/>
    </row>
    <row r="125">
      <c r="A125" s="78" t="s">
        <v>10397</v>
      </c>
      <c r="B125" s="23">
        <f>COUNTIF(Inventory!M:M,A125)</f>
        <v>5</v>
      </c>
      <c r="C125" s="23">
        <f>COUNTIFS(Inventory!M:M,A125,Inventory!J:J,"Closed")</f>
        <v>5</v>
      </c>
      <c r="D125" s="23">
        <f t="shared" si="1"/>
        <v>0</v>
      </c>
      <c r="E125" s="23">
        <f>SUMIF(Inventory!M:M,"Image &amp; Form Games",Inventory!E:E)</f>
        <v>19.16</v>
      </c>
      <c r="F125" s="23">
        <f>SUMIF(Inventory!M:M,"Image &amp; Form Games",Inventory!F:F)</f>
        <v>23.07</v>
      </c>
      <c r="G125" s="23">
        <f t="shared" si="2"/>
        <v>3.91</v>
      </c>
      <c r="H125" s="235">
        <f>IFERROR(__xludf.DUMMYFUNCTION("AVERAGE(FILTER(Inventory!K:K,Inventory!J:J=""Closed"",Inventory!M:M=A125))"),73.0)</f>
        <v>73</v>
      </c>
      <c r="Q125" s="250"/>
    </row>
    <row r="126">
      <c r="A126" s="78" t="s">
        <v>10398</v>
      </c>
      <c r="B126" s="23">
        <f>COUNTIF(Inventory!M:M,A126)</f>
        <v>1</v>
      </c>
      <c r="C126" s="23">
        <f>COUNTIFS(Inventory!M:M,A126,Inventory!J:J,"Closed")</f>
        <v>1</v>
      </c>
      <c r="D126" s="23">
        <f t="shared" si="1"/>
        <v>0</v>
      </c>
      <c r="E126" s="23">
        <f>SUMIF(Inventory!M:M,"IMGN.PRO",Inventory!E:E)</f>
        <v>2.45</v>
      </c>
      <c r="F126" s="23">
        <f>SUMIF(Inventory!M:M,"IMGN.PRO",Inventory!F:F)</f>
        <v>2.11</v>
      </c>
      <c r="G126" s="23">
        <f t="shared" si="2"/>
        <v>-0.34</v>
      </c>
      <c r="H126" s="235">
        <f>IFERROR(__xludf.DUMMYFUNCTION("AVERAGE(FILTER(Inventory!K:K,Inventory!J:J=""Closed"",Inventory!M:M=A126))"),911.0)</f>
        <v>911</v>
      </c>
      <c r="Q126" s="250"/>
    </row>
    <row r="127">
      <c r="A127" s="251" t="s">
        <v>10399</v>
      </c>
      <c r="B127" s="23">
        <f>COUNTIF(Inventory!M:M,A127)</f>
        <v>16</v>
      </c>
      <c r="C127" s="23">
        <f>COUNTIFS(Inventory!M:M,A127,Inventory!J:J,"Closed")</f>
        <v>16</v>
      </c>
      <c r="D127" s="23">
        <f t="shared" si="1"/>
        <v>0</v>
      </c>
      <c r="E127" s="23">
        <f>SUMIF(Inventory!M:M,"indie.io",Inventory!E:E)</f>
        <v>161.36</v>
      </c>
      <c r="F127" s="23">
        <f>SUMIF(Inventory!M:M,"indie.io",Inventory!F:F)</f>
        <v>200.53</v>
      </c>
      <c r="G127" s="23">
        <f t="shared" si="2"/>
        <v>39.17</v>
      </c>
      <c r="H127" s="235">
        <f>IFERROR(__xludf.DUMMYFUNCTION("AVERAGE(FILTER(Inventory!K:K,Inventory!J:J=""Closed"",Inventory!M:M=A127))"),3.75)</f>
        <v>3.75</v>
      </c>
      <c r="Q127" s="250"/>
    </row>
    <row r="128">
      <c r="A128" s="78" t="s">
        <v>10400</v>
      </c>
      <c r="B128" s="23">
        <f>COUNTIF(Inventory!M:M,A128)</f>
        <v>4</v>
      </c>
      <c r="C128" s="23">
        <f>COUNTIFS(Inventory!M:M,A128,Inventory!J:J,"Closed")</f>
        <v>4</v>
      </c>
      <c r="D128" s="23">
        <f t="shared" si="1"/>
        <v>0</v>
      </c>
      <c r="E128" s="23">
        <f>SUMIF(Inventory!M:M,"Innersloth",Inventory!E:E)</f>
        <v>10.15</v>
      </c>
      <c r="F128" s="23">
        <f>SUMIF(Inventory!M:M,"Innersloth",Inventory!F:F)</f>
        <v>14.61</v>
      </c>
      <c r="G128" s="23">
        <f t="shared" si="2"/>
        <v>4.46</v>
      </c>
      <c r="H128" s="235">
        <f>IFERROR(__xludf.DUMMYFUNCTION("AVERAGE(FILTER(Inventory!K:K,Inventory!J:J=""Closed"",Inventory!M:M=A128))"),82.0)</f>
        <v>82</v>
      </c>
      <c r="Q128" s="250"/>
    </row>
    <row r="129">
      <c r="A129" s="78" t="s">
        <v>10401</v>
      </c>
      <c r="B129" s="23">
        <f>COUNTIF(Inventory!M:M,A129)</f>
        <v>7</v>
      </c>
      <c r="C129" s="23">
        <f>COUNTIFS(Inventory!M:M,A129,Inventory!J:J,"Closed")</f>
        <v>7</v>
      </c>
      <c r="D129" s="23">
        <f t="shared" si="1"/>
        <v>0</v>
      </c>
      <c r="E129" s="23">
        <f>SUMIF(Inventory!M:M,"inXile Entertainment",Inventory!E:E)</f>
        <v>96.49</v>
      </c>
      <c r="F129" s="23">
        <f>SUMIF(Inventory!M:M,"Ironhide Game Studio",Inventory!F:F)</f>
        <v>174.21</v>
      </c>
      <c r="G129" s="23">
        <f t="shared" si="2"/>
        <v>77.72</v>
      </c>
      <c r="H129" s="235">
        <f>IFERROR(__xludf.DUMMYFUNCTION("AVERAGE(FILTER(Inventory!K:K,Inventory!J:J=""Closed"",Inventory!M:M=A129))"),368.42857142857144)</f>
        <v>368.4285714</v>
      </c>
      <c r="Q129" s="250"/>
    </row>
    <row r="130">
      <c r="A130" s="78" t="s">
        <v>10402</v>
      </c>
      <c r="B130" s="23">
        <f>COUNTIF(Inventory!M:M,A130)</f>
        <v>111</v>
      </c>
      <c r="C130" s="23">
        <f>COUNTIFS(Inventory!M:M,A130,Inventory!J:J,"Closed")</f>
        <v>108</v>
      </c>
      <c r="D130" s="23">
        <f t="shared" si="1"/>
        <v>3</v>
      </c>
      <c r="E130" s="23">
        <f>SUMIF(Inventory!M:M,"IO Interactive",Inventory!E:E)</f>
        <v>1989.84</v>
      </c>
      <c r="F130" s="23">
        <f>SUMIF(Inventory!M:M,"IO Interactive",Inventory!F:F)</f>
        <v>2516.8</v>
      </c>
      <c r="G130" s="23">
        <f t="shared" si="2"/>
        <v>526.96</v>
      </c>
      <c r="H130" s="235">
        <f>IFERROR(__xludf.DUMMYFUNCTION("AVERAGE(FILTER(Inventory!K:K,Inventory!J:J=""Closed"",Inventory!M:M=A130))"),15.416666666666666)</f>
        <v>15.41666667</v>
      </c>
      <c r="Q130" s="250"/>
    </row>
    <row r="131">
      <c r="A131" s="78" t="s">
        <v>10403</v>
      </c>
      <c r="B131" s="23">
        <f>COUNTIF(Inventory!M:M,A131)</f>
        <v>32</v>
      </c>
      <c r="C131" s="23">
        <f>COUNTIFS(Inventory!M:M,A131,Inventory!J:J,"Closed")</f>
        <v>32</v>
      </c>
      <c r="D131" s="23">
        <f t="shared" si="1"/>
        <v>0</v>
      </c>
      <c r="E131" s="23">
        <f>SUMIF(Inventory!M:M,"Ironhide Game Studio",Inventory!E:E)</f>
        <v>131.61</v>
      </c>
      <c r="F131" s="23">
        <f>SUMIF(Inventory!M:M,"inXile Entertainment",Inventory!F:F)</f>
        <v>105.65</v>
      </c>
      <c r="G131" s="23">
        <f t="shared" si="2"/>
        <v>-25.96</v>
      </c>
      <c r="H131" s="235">
        <f>IFERROR(__xludf.DUMMYFUNCTION("AVERAGE(FILTER(Inventory!K:K,Inventory!J:J=""Closed"",Inventory!M:M=A131))"),29.84375)</f>
        <v>29.84375</v>
      </c>
      <c r="Q131" s="250"/>
    </row>
    <row r="132">
      <c r="A132" s="78" t="s">
        <v>10404</v>
      </c>
      <c r="B132" s="23">
        <f>COUNTIF(Inventory!M:M,A132)</f>
        <v>8</v>
      </c>
      <c r="C132" s="23">
        <f>COUNTIFS(Inventory!M:M,A132,Inventory!J:J,"Closed")</f>
        <v>8</v>
      </c>
      <c r="D132" s="23">
        <f t="shared" si="1"/>
        <v>0</v>
      </c>
      <c r="E132" s="23">
        <f>SUMIF(Inventory!M:M,"Jackbox Games",Inventory!E:E)</f>
        <v>82.67</v>
      </c>
      <c r="F132" s="23">
        <f>SUMIF(Inventory!M:M,"Jackbox Games",Inventory!F:F)</f>
        <v>103.44</v>
      </c>
      <c r="G132" s="23">
        <f t="shared" si="2"/>
        <v>20.77</v>
      </c>
      <c r="H132" s="235">
        <f>IFERROR(__xludf.DUMMYFUNCTION("AVERAGE(FILTER(Inventory!K:K,Inventory!J:J=""Closed"",Inventory!M:M=A132))"),9.25)</f>
        <v>9.25</v>
      </c>
      <c r="Q132" s="250"/>
    </row>
    <row r="133">
      <c r="A133" s="78" t="s">
        <v>10405</v>
      </c>
      <c r="B133" s="23">
        <f>COUNTIF(Inventory!M:M,A133)</f>
        <v>2</v>
      </c>
      <c r="C133" s="23">
        <f>COUNTIFS(Inventory!M:M,A133,Inventory!J:J,"Closed")</f>
        <v>2</v>
      </c>
      <c r="D133" s="23">
        <f t="shared" si="1"/>
        <v>0</v>
      </c>
      <c r="E133" s="23">
        <f>SUMIF(Inventory!M:M,"James Bendon",Inventory!E:E)</f>
        <v>21.5</v>
      </c>
      <c r="F133" s="23">
        <f>SUMIF(Inventory!M:M,"James Bendon",Inventory!F:F)</f>
        <v>24.69</v>
      </c>
      <c r="G133" s="23">
        <f t="shared" si="2"/>
        <v>3.19</v>
      </c>
      <c r="H133" s="235">
        <f>IFERROR(__xludf.DUMMYFUNCTION("AVERAGE(FILTER(Inventory!K:K,Inventory!J:J=""Closed"",Inventory!M:M=A133))"),48.5)</f>
        <v>48.5</v>
      </c>
      <c r="Q133" s="250"/>
    </row>
    <row r="134">
      <c r="A134" s="78" t="s">
        <v>10406</v>
      </c>
      <c r="B134" s="23">
        <f>COUNTIF(Inventory!M:M,A134)</f>
        <v>33</v>
      </c>
      <c r="C134" s="23">
        <f>COUNTIFS(Inventory!M:M,A134,Inventory!J:J,"Closed")</f>
        <v>33</v>
      </c>
      <c r="D134" s="23">
        <f t="shared" si="1"/>
        <v>0</v>
      </c>
      <c r="E134" s="23">
        <f>SUMIF(Inventory!M:M,"Joey Drew Studios",Inventory!E:E)</f>
        <v>62.03</v>
      </c>
      <c r="F134" s="23">
        <f>SUMIF(Inventory!M:M,"Joey Drew Studios",Inventory!F:F)</f>
        <v>102.22</v>
      </c>
      <c r="G134" s="23">
        <f t="shared" si="2"/>
        <v>40.19</v>
      </c>
      <c r="H134" s="235">
        <f>IFERROR(__xludf.DUMMYFUNCTION("AVERAGE(FILTER(Inventory!K:K,Inventory!J:J=""Closed"",Inventory!M:M=A134))"),5.575757575757576)</f>
        <v>5.575757576</v>
      </c>
      <c r="Q134" s="250"/>
    </row>
    <row r="135">
      <c r="A135" s="78" t="s">
        <v>10407</v>
      </c>
      <c r="B135" s="23">
        <f>COUNTIF(Inventory!M:M,A135)</f>
        <v>2</v>
      </c>
      <c r="C135" s="23">
        <f>COUNTIFS(Inventory!M:M,A135,Inventory!J:J,"Closed")</f>
        <v>2</v>
      </c>
      <c r="D135" s="23">
        <f t="shared" si="1"/>
        <v>0</v>
      </c>
      <c r="E135" s="23">
        <f>SUMIF(Inventory!M:M,"Junkfish Limited",Inventory!E:E)</f>
        <v>0.53</v>
      </c>
      <c r="F135" s="23">
        <f>SUMIF(Inventory!M:M,"Junkfish Limited",Inventory!F:F)</f>
        <v>3.58</v>
      </c>
      <c r="G135" s="23">
        <f t="shared" si="2"/>
        <v>3.05</v>
      </c>
      <c r="H135" s="235">
        <f>IFERROR(__xludf.DUMMYFUNCTION("AVERAGE(FILTER(Inventory!K:K,Inventory!J:J=""Closed"",Inventory!M:M=A135))"),2.0)</f>
        <v>2</v>
      </c>
      <c r="Q135" s="250"/>
    </row>
    <row r="136">
      <c r="A136" s="78" t="s">
        <v>10408</v>
      </c>
      <c r="B136" s="23">
        <f>COUNTIF(Inventory!M:M,A136)</f>
        <v>53</v>
      </c>
      <c r="C136" s="23">
        <f>COUNTIFS(Inventory!M:M,A136,Inventory!J:J,"Closed")</f>
        <v>51</v>
      </c>
      <c r="D136" s="23">
        <f t="shared" si="1"/>
        <v>2</v>
      </c>
      <c r="E136" s="23">
        <f>SUMIF(Inventory!M:M,"Kalypso Media",Inventory!E:E)</f>
        <v>382.62</v>
      </c>
      <c r="F136" s="23">
        <f>SUMIF(Inventory!M:M,"Kalypso Media",Inventory!F:F)</f>
        <v>387.46</v>
      </c>
      <c r="G136" s="23">
        <f t="shared" si="2"/>
        <v>4.84</v>
      </c>
      <c r="H136" s="235">
        <f>IFERROR(__xludf.DUMMYFUNCTION("AVERAGE(FILTER(Inventory!K:K,Inventory!J:J=""Closed"",Inventory!M:M=A136))"),57.09803921568628)</f>
        <v>57.09803922</v>
      </c>
      <c r="Q136" s="250"/>
    </row>
    <row r="137">
      <c r="A137" s="78" t="s">
        <v>10409</v>
      </c>
      <c r="B137" s="23">
        <f>COUNTIF(Inventory!M:M,A137)</f>
        <v>8</v>
      </c>
      <c r="C137" s="23">
        <f>COUNTIFS(Inventory!M:M,A137,Inventory!J:J,"Closed")</f>
        <v>8</v>
      </c>
      <c r="D137" s="23">
        <f t="shared" si="1"/>
        <v>0</v>
      </c>
      <c r="E137" s="23">
        <f>SUMIF(Inventory!M:M,"Kasedo Games",Inventory!E:E)</f>
        <v>15</v>
      </c>
      <c r="F137" s="23">
        <f>SUMIF(Inventory!M:M,"Kasedo Games",Inventory!F:F)</f>
        <v>23</v>
      </c>
      <c r="G137" s="23">
        <f t="shared" si="2"/>
        <v>8</v>
      </c>
      <c r="H137" s="235">
        <f>IFERROR(__xludf.DUMMYFUNCTION("AVERAGE(FILTER(Inventory!K:K,Inventory!J:J=""Closed"",Inventory!M:M=A137))"),67.0)</f>
        <v>67</v>
      </c>
      <c r="Q137" s="250"/>
    </row>
    <row r="138">
      <c r="A138" s="78" t="s">
        <v>10410</v>
      </c>
      <c r="B138" s="23">
        <f>COUNTIF(Inventory!M:M,A138)</f>
        <v>4</v>
      </c>
      <c r="C138" s="23">
        <f>COUNTIFS(Inventory!M:M,A138,Inventory!J:J,"Closed")</f>
        <v>4</v>
      </c>
      <c r="D138" s="23">
        <f t="shared" si="1"/>
        <v>0</v>
      </c>
      <c r="E138" s="23">
        <f>SUMIF(Inventory!M:M,"Kepler Interactive",Inventory!E:E)</f>
        <v>36.92</v>
      </c>
      <c r="F138" s="23">
        <f>SUMIF(Inventory!M:M,"Kepler Interactive",Inventory!F:F)</f>
        <v>44.99</v>
      </c>
      <c r="G138" s="23">
        <f t="shared" si="2"/>
        <v>8.07</v>
      </c>
      <c r="H138" s="235">
        <f>IFERROR(__xludf.DUMMYFUNCTION("AVERAGE(FILTER(Inventory!K:K,Inventory!J:J=""Closed"",Inventory!M:M=A138))"),52.0)</f>
        <v>52</v>
      </c>
      <c r="Q138" s="250"/>
    </row>
    <row r="139">
      <c r="A139" s="78" t="s">
        <v>10411</v>
      </c>
      <c r="B139" s="23">
        <f>COUNTIF(Inventory!M:M,A139)</f>
        <v>5</v>
      </c>
      <c r="C139" s="23">
        <f>COUNTIFS(Inventory!M:M,A139,Inventory!J:J,"Closed")</f>
        <v>5</v>
      </c>
      <c r="D139" s="23">
        <f t="shared" si="1"/>
        <v>0</v>
      </c>
      <c r="E139" s="23">
        <f>SUMIF(Inventory!M:M,"Klabater",Inventory!E:E)</f>
        <v>11.92</v>
      </c>
      <c r="F139" s="23">
        <f>SUMIF(Inventory!M:M,"Klabater",Inventory!F:F)</f>
        <v>23.98</v>
      </c>
      <c r="G139" s="23">
        <f t="shared" si="2"/>
        <v>12.06</v>
      </c>
      <c r="H139" s="235">
        <f>IFERROR(__xludf.DUMMYFUNCTION("AVERAGE(FILTER(Inventory!K:K,Inventory!J:J=""Closed"",Inventory!M:M=A139))"),176.4)</f>
        <v>176.4</v>
      </c>
      <c r="Q139" s="250"/>
    </row>
    <row r="140">
      <c r="A140" s="78" t="s">
        <v>10412</v>
      </c>
      <c r="B140" s="23">
        <f>COUNTIF(Inventory!M:M,A140)</f>
        <v>15</v>
      </c>
      <c r="C140" s="23">
        <f>COUNTIFS(Inventory!M:M,A140,Inventory!J:J,"Closed")</f>
        <v>15</v>
      </c>
      <c r="D140" s="23">
        <f t="shared" si="1"/>
        <v>0</v>
      </c>
      <c r="E140" s="23">
        <f>SUMIF(Inventory!M:M,"Klei Entertainment",Inventory!E:E)</f>
        <v>76.27</v>
      </c>
      <c r="F140" s="23">
        <f>SUMIF(Inventory!M:M,"Klei Entertainment",Inventory!F:F)</f>
        <v>109.08</v>
      </c>
      <c r="G140" s="23">
        <f t="shared" si="2"/>
        <v>32.81</v>
      </c>
      <c r="H140" s="235">
        <f>IFERROR(__xludf.DUMMYFUNCTION("AVERAGE(FILTER(Inventory!K:K,Inventory!J:J=""Closed"",Inventory!M:M=A140))"),2.3333333333333335)</f>
        <v>2.333333333</v>
      </c>
      <c r="Q140" s="250"/>
    </row>
    <row r="141">
      <c r="A141" s="78" t="s">
        <v>10413</v>
      </c>
      <c r="B141" s="23">
        <f>COUNTIF(Inventory!M:M,A141)</f>
        <v>14</v>
      </c>
      <c r="C141" s="23">
        <f>COUNTIFS(Inventory!M:M,A141,Inventory!J:J,"Closed")</f>
        <v>14</v>
      </c>
      <c r="D141" s="23">
        <f t="shared" si="1"/>
        <v>0</v>
      </c>
      <c r="E141" s="23">
        <f>SUMIF(Inventory!M:M,"KOEI TECMO GAMES",Inventory!E:E)</f>
        <v>361.52</v>
      </c>
      <c r="F141" s="23">
        <f>SUMIF(Inventory!M:M,"KOEI TECMO GAMES",Inventory!F:F)</f>
        <v>463.79</v>
      </c>
      <c r="G141" s="23">
        <f t="shared" si="2"/>
        <v>102.27</v>
      </c>
      <c r="H141" s="235">
        <f>IFERROR(__xludf.DUMMYFUNCTION("AVERAGE(FILTER(Inventory!K:K,Inventory!J:J=""Closed"",Inventory!M:M=A141))"),106.42857142857143)</f>
        <v>106.4285714</v>
      </c>
      <c r="Q141" s="250"/>
    </row>
    <row r="142">
      <c r="A142" s="78" t="s">
        <v>10414</v>
      </c>
      <c r="B142" s="23">
        <f>COUNTIF(Inventory!M:M,A142)</f>
        <v>178</v>
      </c>
      <c r="C142" s="23">
        <f>COUNTIFS(Inventory!M:M,A142,Inventory!J:J,"Closed")</f>
        <v>176</v>
      </c>
      <c r="D142" s="23">
        <f t="shared" si="1"/>
        <v>2</v>
      </c>
      <c r="E142" s="23">
        <f>SUMIF(Inventory!M:M,"Konami",Inventory!E:E)</f>
        <v>1200.57</v>
      </c>
      <c r="F142" s="23">
        <f>SUMIF(Inventory!M:M,"Konami",Inventory!F:F)</f>
        <v>1711.83</v>
      </c>
      <c r="G142" s="23">
        <f t="shared" si="2"/>
        <v>511.26</v>
      </c>
      <c r="H142" s="235">
        <f>IFERROR(__xludf.DUMMYFUNCTION("AVERAGE(FILTER(Inventory!K:K,Inventory!J:J=""Closed"",Inventory!M:M=A142))"),21.045454545454547)</f>
        <v>21.04545455</v>
      </c>
      <c r="Q142" s="250"/>
    </row>
    <row r="143">
      <c r="A143" s="78" t="s">
        <v>10415</v>
      </c>
      <c r="B143" s="23">
        <f>COUNTIF(Inventory!M:M,A143)</f>
        <v>4</v>
      </c>
      <c r="C143" s="23">
        <f>COUNTIFS(Inventory!M:M,A143,Inventory!J:J,"Closed")</f>
        <v>4</v>
      </c>
      <c r="D143" s="23">
        <f t="shared" si="1"/>
        <v>0</v>
      </c>
      <c r="E143" s="23">
        <f>SUMIF(Inventory!M:M,"Krillbite Studio",Inventory!E:E)</f>
        <v>2.11</v>
      </c>
      <c r="F143" s="23">
        <f>SUMIF(Inventory!M:M,"Krillbite Studio",Inventory!F:F)</f>
        <v>2.99</v>
      </c>
      <c r="G143" s="23">
        <f t="shared" si="2"/>
        <v>0.88</v>
      </c>
      <c r="H143" s="235">
        <f>IFERROR(__xludf.DUMMYFUNCTION("AVERAGE(FILTER(Inventory!K:K,Inventory!J:J=""Closed"",Inventory!M:M=A143))"),10.0)</f>
        <v>10</v>
      </c>
      <c r="Q143" s="250"/>
    </row>
    <row r="144">
      <c r="A144" s="99" t="s">
        <v>10416</v>
      </c>
      <c r="B144" s="23">
        <f>COUNTIF(Inventory!M:M,A144)</f>
        <v>1</v>
      </c>
      <c r="C144" s="23">
        <f>COUNTIFS(Inventory!M:M,A144,Inventory!J:J,"Closed")</f>
        <v>1</v>
      </c>
      <c r="D144" s="23">
        <f t="shared" si="1"/>
        <v>0</v>
      </c>
      <c r="E144" s="23">
        <f>SUMIF(Inventory!M:M,"LimboLane",Inventory!E:E)</f>
        <v>0</v>
      </c>
      <c r="F144" s="23">
        <f>SUMIF(Inventory!M:M,"LimboLane",Inventory!F:F)</f>
        <v>0.04</v>
      </c>
      <c r="G144" s="23">
        <f t="shared" si="2"/>
        <v>0.04</v>
      </c>
      <c r="H144" s="235">
        <f>IFERROR(__xludf.DUMMYFUNCTION("AVERAGE(FILTER(Inventory!K:K,Inventory!J:J=""Closed"",Inventory!M:M=A144))"),231.0)</f>
        <v>231</v>
      </c>
      <c r="Q144" s="250"/>
    </row>
    <row r="145">
      <c r="A145" s="99" t="s">
        <v>10417</v>
      </c>
      <c r="B145" s="23">
        <f>COUNTIF(Inventory!M:M,A145)</f>
        <v>2</v>
      </c>
      <c r="C145" s="23">
        <f>COUNTIFS(Inventory!M:M,A145,Inventory!J:J,"Closed")</f>
        <v>2</v>
      </c>
      <c r="D145" s="23">
        <f t="shared" si="1"/>
        <v>0</v>
      </c>
      <c r="E145" s="23">
        <f>SUMIF(Inventory!M:M,"Lo-Fi Games",Inventory!E:E)</f>
        <v>15.8</v>
      </c>
      <c r="F145" s="23">
        <f>SUMIF(Inventory!M:M,"Lo-Fi Games",Inventory!F:F)</f>
        <v>18.74</v>
      </c>
      <c r="G145" s="23">
        <f t="shared" si="2"/>
        <v>2.94</v>
      </c>
      <c r="H145" s="235">
        <f>IFERROR(__xludf.DUMMYFUNCTION("AVERAGE(FILTER(Inventory!K:K,Inventory!J:J=""Closed"",Inventory!M:M=A145))"),1.0)</f>
        <v>1</v>
      </c>
      <c r="Q145" s="250"/>
    </row>
    <row r="146">
      <c r="A146" s="99" t="s">
        <v>10418</v>
      </c>
      <c r="B146" s="23">
        <f>COUNTIF(Inventory!M:M,A146)</f>
        <v>6</v>
      </c>
      <c r="C146" s="23">
        <f>COUNTIFS(Inventory!M:M,A146,Inventory!J:J,"Closed")</f>
        <v>6</v>
      </c>
      <c r="D146" s="23">
        <f t="shared" si="1"/>
        <v>0</v>
      </c>
      <c r="E146" s="23">
        <f>SUMIF(Inventory!M:M,"Lonely Troops",Inventory!E:E)</f>
        <v>2.19</v>
      </c>
      <c r="F146" s="23">
        <f>SUMIF(Inventory!M:M,"Lonely Troops",Inventory!F:F)</f>
        <v>2.41</v>
      </c>
      <c r="G146" s="23">
        <f t="shared" si="2"/>
        <v>0.22</v>
      </c>
      <c r="H146" s="235">
        <f>IFERROR(__xludf.DUMMYFUNCTION("AVERAGE(FILTER(Inventory!K:K,Inventory!J:J=""Closed"",Inventory!M:M=A146))"),100.0)</f>
        <v>100</v>
      </c>
      <c r="Q146" s="250"/>
    </row>
    <row r="147">
      <c r="A147" s="99" t="s">
        <v>10419</v>
      </c>
      <c r="B147" s="23">
        <f>COUNTIF(Inventory!M:M,A147)</f>
        <v>1</v>
      </c>
      <c r="C147" s="23">
        <f>COUNTIFS(Inventory!M:M,A147,Inventory!J:J,"Closed")</f>
        <v>1</v>
      </c>
      <c r="D147" s="23">
        <f t="shared" si="1"/>
        <v>0</v>
      </c>
      <c r="E147" s="23">
        <f>SUMIF(Inventory!M:M,"Ludeon Studios",Inventory!E:E)</f>
        <v>28.52</v>
      </c>
      <c r="F147" s="23">
        <f>SUMIF(Inventory!M:M,"Ludeon Studios",Inventory!F:F)</f>
        <v>16.99</v>
      </c>
      <c r="G147" s="23">
        <f t="shared" si="2"/>
        <v>-11.53</v>
      </c>
      <c r="H147" s="235">
        <f>IFERROR(__xludf.DUMMYFUNCTION("AVERAGE(FILTER(Inventory!K:K,Inventory!J:J=""Closed"",Inventory!M:M=A147))"),1273.0)</f>
        <v>1273</v>
      </c>
      <c r="Q147" s="250"/>
    </row>
    <row r="148">
      <c r="A148" s="99" t="s">
        <v>10420</v>
      </c>
      <c r="B148" s="23">
        <f>COUNTIF(Inventory!M:M,A148)</f>
        <v>2</v>
      </c>
      <c r="C148" s="23">
        <f>COUNTIFS(Inventory!M:M,A148,Inventory!J:J,"Closed")</f>
        <v>2</v>
      </c>
      <c r="D148" s="23">
        <f t="shared" si="1"/>
        <v>0</v>
      </c>
      <c r="E148" s="23">
        <f>SUMIF(Inventory!M:M,"Ludosity",Inventory!E:E)</f>
        <v>1.44</v>
      </c>
      <c r="F148" s="23">
        <f>SUMIF(Inventory!M:M,"Ludosity",Inventory!F:F)</f>
        <v>4.72</v>
      </c>
      <c r="G148" s="23">
        <f t="shared" si="2"/>
        <v>3.28</v>
      </c>
      <c r="H148" s="235">
        <f>IFERROR(__xludf.DUMMYFUNCTION("AVERAGE(FILTER(Inventory!K:K,Inventory!J:J=""Closed"",Inventory!M:M=A148))"),10.5)</f>
        <v>10.5</v>
      </c>
      <c r="Q148" s="250"/>
    </row>
    <row r="149">
      <c r="A149" s="99" t="s">
        <v>10421</v>
      </c>
      <c r="B149" s="23">
        <f>COUNTIF(Inventory!M:M,A149)</f>
        <v>28</v>
      </c>
      <c r="C149" s="23">
        <f>COUNTIFS(Inventory!M:M,A149,Inventory!J:J,"Closed")</f>
        <v>28</v>
      </c>
      <c r="D149" s="23">
        <f t="shared" si="1"/>
        <v>0</v>
      </c>
      <c r="E149" s="23">
        <f>SUMIF(Inventory!M:M,"Lukas Rustemeyer",Inventory!E:E)</f>
        <v>272.89</v>
      </c>
      <c r="F149" s="23">
        <f>SUMIF(Inventory!M:M,"Lukas Rustemeyer",Inventory!F:F)</f>
        <v>343.02</v>
      </c>
      <c r="G149" s="23">
        <f t="shared" si="2"/>
        <v>70.13</v>
      </c>
      <c r="H149" s="235">
        <f>IFERROR(__xludf.DUMMYFUNCTION("AVERAGE(FILTER(Inventory!K:K,Inventory!J:J=""Closed"",Inventory!M:M=A149))"),20.892857142857142)</f>
        <v>20.89285714</v>
      </c>
      <c r="Q149" s="250"/>
    </row>
    <row r="150">
      <c r="A150" s="78" t="s">
        <v>10422</v>
      </c>
      <c r="B150" s="23">
        <f>COUNTIF(Inventory!M:M,A150)</f>
        <v>2</v>
      </c>
      <c r="C150" s="23">
        <f>COUNTIFS(Inventory!M:M,A150,Inventory!J:J,"Closed")</f>
        <v>2</v>
      </c>
      <c r="D150" s="23">
        <f t="shared" si="1"/>
        <v>0</v>
      </c>
      <c r="E150" s="23">
        <f>SUMIF(Inventory!M:M,"LucasArts",Inventory!E:E)</f>
        <v>0</v>
      </c>
      <c r="F150" s="23">
        <f>SUMIF(Inventory!M:M,"LucasArts",Inventory!F:F)</f>
        <v>1.72</v>
      </c>
      <c r="G150" s="23">
        <f t="shared" si="2"/>
        <v>1.72</v>
      </c>
      <c r="H150" s="235">
        <f>IFERROR(__xludf.DUMMYFUNCTION("AVERAGE(FILTER(Inventory!K:K,Inventory!J:J=""Closed"",Inventory!M:M=A150))"),10.0)</f>
        <v>10</v>
      </c>
      <c r="Q150" s="250"/>
    </row>
    <row r="151">
      <c r="A151" s="78" t="s">
        <v>10423</v>
      </c>
      <c r="B151" s="23">
        <f>COUNTIF(Inventory!M:M,A151)</f>
        <v>1</v>
      </c>
      <c r="C151" s="23">
        <f>COUNTIFS(Inventory!M:M,A151,Inventory!J:J,"Closed")</f>
        <v>1</v>
      </c>
      <c r="D151" s="23">
        <f t="shared" si="1"/>
        <v>0</v>
      </c>
      <c r="E151" s="23">
        <f>SUMIF(Inventory!M:M,"LW Games",Inventory!E:E)</f>
        <v>0</v>
      </c>
      <c r="F151" s="23">
        <f>SUMIF(Inventory!M:M,"LW Games",Inventory!F:F)</f>
        <v>1.18</v>
      </c>
      <c r="G151" s="23">
        <f t="shared" si="2"/>
        <v>1.18</v>
      </c>
      <c r="H151" s="235">
        <f>IFERROR(__xludf.DUMMYFUNCTION("AVERAGE(FILTER(Inventory!K:K,Inventory!J:J=""Closed"",Inventory!M:M=A151))"),336.0)</f>
        <v>336</v>
      </c>
      <c r="Q151" s="250"/>
    </row>
    <row r="152">
      <c r="A152" s="78" t="s">
        <v>10424</v>
      </c>
      <c r="B152" s="23">
        <f>COUNTIF(Inventory!M:M,A152)</f>
        <v>13</v>
      </c>
      <c r="C152" s="23">
        <f>COUNTIFS(Inventory!M:M,A152,Inventory!J:J,"Closed")</f>
        <v>13</v>
      </c>
      <c r="D152" s="23">
        <f t="shared" si="1"/>
        <v>0</v>
      </c>
      <c r="E152" s="23">
        <f>SUMIF(Inventory!M:M,"M2H",Inventory!E:E)</f>
        <v>30.23</v>
      </c>
      <c r="F152" s="23">
        <f>SUMIF(Inventory!M:M,"M2H",Inventory!F:F)</f>
        <v>42.08</v>
      </c>
      <c r="G152" s="23">
        <f t="shared" si="2"/>
        <v>11.85</v>
      </c>
      <c r="H152" s="235">
        <f>IFERROR(__xludf.DUMMYFUNCTION("AVERAGE(FILTER(Inventory!K:K,Inventory!J:J=""Closed"",Inventory!M:M=A152))"),9.23076923076923)</f>
        <v>9.230769231</v>
      </c>
      <c r="Q152" s="250"/>
    </row>
    <row r="153">
      <c r="A153" s="78" t="s">
        <v>10425</v>
      </c>
      <c r="B153" s="23">
        <f>COUNTIF(Inventory!M:M,A153)</f>
        <v>32</v>
      </c>
      <c r="C153" s="23">
        <f>COUNTIFS(Inventory!M:M,A153,Inventory!J:J,"Closed")</f>
        <v>32</v>
      </c>
      <c r="D153" s="23">
        <f t="shared" si="1"/>
        <v>0</v>
      </c>
      <c r="E153" s="23">
        <f>SUMIF(Inventory!M:M,"Marmalade Game Studio",Inventory!E:E)</f>
        <v>144.36</v>
      </c>
      <c r="F153" s="23">
        <f>SUMIF(Inventory!M:M,"Marmalade Game Studio",Inventory!F:F)</f>
        <v>206.98</v>
      </c>
      <c r="G153" s="23">
        <f t="shared" si="2"/>
        <v>62.62</v>
      </c>
      <c r="H153" s="235">
        <f>IFERROR(__xludf.DUMMYFUNCTION("AVERAGE(FILTER(Inventory!K:K,Inventory!J:J=""Closed"",Inventory!M:M=A153))"),36.59375)</f>
        <v>36.59375</v>
      </c>
      <c r="Q153" s="250"/>
    </row>
    <row r="154">
      <c r="A154" s="78" t="s">
        <v>10426</v>
      </c>
      <c r="B154" s="23">
        <f>COUNTIF(Inventory!M:M,A154)</f>
        <v>1</v>
      </c>
      <c r="C154" s="23">
        <f>COUNTIFS(Inventory!M:M,A154,Inventory!J:J,"Closed")</f>
        <v>1</v>
      </c>
      <c r="D154" s="23">
        <f t="shared" si="1"/>
        <v>0</v>
      </c>
      <c r="E154" s="23">
        <f>SUMIF(Inventory!M:M,"Mechanistry",Inventory!E:E)</f>
        <v>17.44</v>
      </c>
      <c r="F154" s="23">
        <f>SUMIF(Inventory!M:M,"Mechanistry",Inventory!F:F)</f>
        <v>18.78</v>
      </c>
      <c r="G154" s="23">
        <f t="shared" si="2"/>
        <v>1.34</v>
      </c>
      <c r="H154" s="235">
        <f>IFERROR(__xludf.DUMMYFUNCTION("AVERAGE(FILTER(Inventory!K:K,Inventory!J:J=""Closed"",Inventory!M:M=A154))"),43.0)</f>
        <v>43</v>
      </c>
      <c r="Q154" s="250"/>
    </row>
    <row r="155">
      <c r="A155" s="78" t="s">
        <v>10427</v>
      </c>
      <c r="B155" s="23">
        <f>COUNTIF(Inventory!M:M,A155)</f>
        <v>6</v>
      </c>
      <c r="C155" s="23">
        <f>COUNTIFS(Inventory!M:M,A155,Inventory!J:J,"Closed")</f>
        <v>6</v>
      </c>
      <c r="D155" s="23">
        <f t="shared" si="1"/>
        <v>0</v>
      </c>
      <c r="E155" s="23">
        <f>SUMIF(Inventory!M:M,"Mediatonic",Inventory!E:E)</f>
        <v>45.36</v>
      </c>
      <c r="F155" s="23">
        <f>SUMIF(Inventory!M:M,"Mediatonic",Inventory!F:F)</f>
        <v>53.47</v>
      </c>
      <c r="G155" s="23">
        <f t="shared" si="2"/>
        <v>8.11</v>
      </c>
      <c r="H155" s="235">
        <f>IFERROR(__xludf.DUMMYFUNCTION("AVERAGE(FILTER(Inventory!K:K,Inventory!J:J=""Closed"",Inventory!M:M=A155))"),1.3333333333333333)</f>
        <v>1.333333333</v>
      </c>
      <c r="Q155" s="250"/>
    </row>
    <row r="156">
      <c r="A156" s="78" t="s">
        <v>10428</v>
      </c>
      <c r="B156" s="23">
        <f>COUNTIF(Inventory!M:M,A156)</f>
        <v>1</v>
      </c>
      <c r="C156" s="23">
        <f>COUNTIFS(Inventory!M:M,A156,Inventory!J:J,"Closed")</f>
        <v>1</v>
      </c>
      <c r="D156" s="23">
        <f t="shared" si="1"/>
        <v>0</v>
      </c>
      <c r="E156" s="23">
        <f>SUMIF(Inventory!M:M,"Mega Crit Games",Inventory!E:E)</f>
        <v>6.66</v>
      </c>
      <c r="F156" s="23">
        <f>SUMIF(Inventory!M:M,"Mega Crit Games",Inventory!F:F)</f>
        <v>11.69</v>
      </c>
      <c r="G156" s="23">
        <f t="shared" si="2"/>
        <v>5.03</v>
      </c>
      <c r="H156" s="235">
        <f>IFERROR(__xludf.DUMMYFUNCTION("AVERAGE(FILTER(Inventory!K:K,Inventory!J:J=""Closed"",Inventory!M:M=A156))"),4.0)</f>
        <v>4</v>
      </c>
      <c r="Q156" s="250"/>
    </row>
    <row r="157">
      <c r="A157" s="78" t="s">
        <v>10429</v>
      </c>
      <c r="B157" s="23">
        <f>COUNTIF(Inventory!M:M,A157)</f>
        <v>25</v>
      </c>
      <c r="C157" s="23">
        <f>COUNTIFS(Inventory!M:M,A157,Inventory!J:J,"Closed")</f>
        <v>21</v>
      </c>
      <c r="D157" s="23">
        <f t="shared" si="1"/>
        <v>4</v>
      </c>
      <c r="E157" s="23">
        <f>SUMIF(Inventory!M:M,"Maximum Entertainment",Inventory!E:E)</f>
        <v>235.53</v>
      </c>
      <c r="F157" s="23">
        <f>SUMIF(Inventory!M:M,"Maximum Entertainment",Inventory!F:F)</f>
        <v>244.4</v>
      </c>
      <c r="G157" s="23">
        <f t="shared" si="2"/>
        <v>8.87</v>
      </c>
      <c r="H157" s="235">
        <f>IFERROR(__xludf.DUMMYFUNCTION("AVERAGE(FILTER(Inventory!K:K,Inventory!J:J=""Closed"",Inventory!M:M=A157))"),8.333333333333334)</f>
        <v>8.333333333</v>
      </c>
      <c r="Q157" s="250"/>
    </row>
    <row r="158">
      <c r="A158" s="78" t="s">
        <v>10430</v>
      </c>
      <c r="B158" s="23">
        <f>COUNTIF(Inventory!M:M,A158)</f>
        <v>12</v>
      </c>
      <c r="C158" s="23">
        <f>COUNTIFS(Inventory!M:M,A158,Inventory!J:J,"Closed")</f>
        <v>11</v>
      </c>
      <c r="D158" s="23">
        <f t="shared" si="1"/>
        <v>1</v>
      </c>
      <c r="E158" s="23">
        <f>SUMIF(Inventory!M:M,"Merge Games",Inventory!E:E)</f>
        <v>128.23</v>
      </c>
      <c r="F158" s="23">
        <f>SUMIF(Inventory!M:M,"Merge Games",Inventory!F:F)</f>
        <v>130.78</v>
      </c>
      <c r="G158" s="23">
        <f t="shared" si="2"/>
        <v>2.55</v>
      </c>
      <c r="H158" s="235">
        <f>IFERROR(__xludf.DUMMYFUNCTION("AVERAGE(FILTER(Inventory!K:K,Inventory!J:J=""Closed"",Inventory!M:M=A158))"),109.0909090909091)</f>
        <v>109.0909091</v>
      </c>
      <c r="Q158" s="250"/>
    </row>
    <row r="159">
      <c r="A159" s="78" t="s">
        <v>10431</v>
      </c>
      <c r="B159" s="23">
        <f>COUNTIF(Inventory!M:M,A159)</f>
        <v>5</v>
      </c>
      <c r="C159" s="23">
        <f>COUNTIFS(Inventory!M:M,A159,Inventory!J:J,"Closed")</f>
        <v>5</v>
      </c>
      <c r="D159" s="23">
        <f t="shared" si="1"/>
        <v>0</v>
      </c>
      <c r="E159" s="23">
        <f>SUMIF(Inventory!M:M,"META Publishing",Inventory!E:E)</f>
        <v>142.53</v>
      </c>
      <c r="F159" s="23">
        <f>SUMIF(Inventory!M:M,"META Publishing",Inventory!F:F)</f>
        <v>125.85</v>
      </c>
      <c r="G159" s="23">
        <f t="shared" si="2"/>
        <v>-16.68</v>
      </c>
      <c r="H159" s="235">
        <f>IFERROR(__xludf.DUMMYFUNCTION("AVERAGE(FILTER(Inventory!K:K,Inventory!J:J=""Closed"",Inventory!M:M=A159))"),322.8)</f>
        <v>322.8</v>
      </c>
      <c r="Q159" s="250"/>
    </row>
    <row r="160">
      <c r="A160" s="78" t="s">
        <v>10432</v>
      </c>
      <c r="B160" s="23">
        <f>COUNTIF(Inventory!M:M,A160)</f>
        <v>17</v>
      </c>
      <c r="C160" s="23">
        <f>COUNTIFS(Inventory!M:M,A160,Inventory!J:J,"Closed")</f>
        <v>17</v>
      </c>
      <c r="D160" s="23">
        <f t="shared" si="1"/>
        <v>0</v>
      </c>
      <c r="E160" s="23">
        <f>SUMIF(Inventory!M:M,"Microids",Inventory!E:E)</f>
        <v>62.46</v>
      </c>
      <c r="F160" s="23">
        <f>SUMIF(Inventory!M:M,"Microids",Inventory!F:F)</f>
        <v>107.97</v>
      </c>
      <c r="G160" s="23">
        <f t="shared" si="2"/>
        <v>45.51</v>
      </c>
      <c r="H160" s="235">
        <f>IFERROR(__xludf.DUMMYFUNCTION("AVERAGE(FILTER(Inventory!K:K,Inventory!J:J=""Closed"",Inventory!M:M=A160))"),16.058823529411764)</f>
        <v>16.05882353</v>
      </c>
      <c r="Q160" s="250"/>
    </row>
    <row r="161">
      <c r="A161" s="99" t="s">
        <v>10433</v>
      </c>
      <c r="B161" s="23">
        <f>COUNTIF(Inventory!M:M,A161)</f>
        <v>3</v>
      </c>
      <c r="C161" s="23">
        <f>COUNTIFS(Inventory!M:M,A161,Inventory!J:J,"Closed")</f>
        <v>3</v>
      </c>
      <c r="D161" s="23">
        <f t="shared" si="1"/>
        <v>0</v>
      </c>
      <c r="E161" s="23">
        <f>SUMIF(Inventory!M:M,"Milestone",Inventory!E:E)</f>
        <v>31.99</v>
      </c>
      <c r="F161" s="23">
        <f>SUMIF(Inventory!M:M,"Milestone",Inventory!F:F)</f>
        <v>39.35</v>
      </c>
      <c r="G161" s="23">
        <f t="shared" si="2"/>
        <v>7.36</v>
      </c>
      <c r="H161" s="235">
        <f>IFERROR(__xludf.DUMMYFUNCTION("AVERAGE(FILTER(Inventory!K:K,Inventory!J:J=""Closed"",Inventory!M:M=A161))"),67.33333333333333)</f>
        <v>67.33333333</v>
      </c>
      <c r="Q161" s="250"/>
    </row>
    <row r="162">
      <c r="A162" s="78" t="s">
        <v>10434</v>
      </c>
      <c r="B162" s="23">
        <f>COUNTIF(Inventory!M:M,A162)</f>
        <v>1</v>
      </c>
      <c r="C162" s="23">
        <f>COUNTIFS(Inventory!M:M,A162,Inventory!J:J,"Closed")</f>
        <v>1</v>
      </c>
      <c r="D162" s="23">
        <f t="shared" si="1"/>
        <v>0</v>
      </c>
      <c r="E162" s="23">
        <f>SUMIF(Inventory!M:M,"Mixed Realms",Inventory!E:E)</f>
        <v>18.28</v>
      </c>
      <c r="F162" s="23">
        <f>SUMIF(Inventory!M:M,"Mixed Realms",Inventory!F:F)</f>
        <v>21.85</v>
      </c>
      <c r="G162" s="23">
        <f t="shared" si="2"/>
        <v>3.57</v>
      </c>
      <c r="H162" s="235">
        <f>IFERROR(__xludf.DUMMYFUNCTION("AVERAGE(FILTER(Inventory!K:K,Inventory!J:J=""Closed"",Inventory!M:M=A162))"),13.0)</f>
        <v>13</v>
      </c>
      <c r="Q162" s="250"/>
    </row>
    <row r="163">
      <c r="A163" s="78" t="s">
        <v>10435</v>
      </c>
      <c r="B163" s="23">
        <f>COUNTIF(Inventory!M:M,A163)</f>
        <v>14</v>
      </c>
      <c r="C163" s="23">
        <f>COUNTIFS(Inventory!M:M,A163,Inventory!J:J,"Closed")</f>
        <v>14</v>
      </c>
      <c r="D163" s="23">
        <f t="shared" si="1"/>
        <v>0</v>
      </c>
      <c r="E163" s="23">
        <f>SUMIF(Inventory!M:M,"Modus Games",Inventory!E:E)</f>
        <v>40.06</v>
      </c>
      <c r="F163" s="23">
        <f>SUMIF(Inventory!M:M,"Modus Games",Inventory!F:F)</f>
        <v>52.11</v>
      </c>
      <c r="G163" s="23">
        <f t="shared" si="2"/>
        <v>12.05</v>
      </c>
      <c r="H163" s="235">
        <f>IFERROR(__xludf.DUMMYFUNCTION("AVERAGE(FILTER(Inventory!K:K,Inventory!J:J=""Closed"",Inventory!M:M=A163))"),110.71428571428571)</f>
        <v>110.7142857</v>
      </c>
      <c r="Q163" s="250"/>
    </row>
    <row r="164">
      <c r="A164" s="78" t="s">
        <v>10436</v>
      </c>
      <c r="B164" s="23">
        <f>COUNTIF(Inventory!M:M,A164)</f>
        <v>5</v>
      </c>
      <c r="C164" s="23">
        <f>COUNTIFS(Inventory!M:M,A164,Inventory!J:J,"Closed")</f>
        <v>5</v>
      </c>
      <c r="D164" s="23">
        <f t="shared" si="1"/>
        <v>0</v>
      </c>
      <c r="E164" s="23">
        <f>SUMIF(Inventory!M:M,"Motion Twin",Inventory!E:E)</f>
        <v>58.96</v>
      </c>
      <c r="F164" s="23">
        <f>SUMIF(Inventory!M:M,"Motion Twin",Inventory!F:F)</f>
        <v>73.69</v>
      </c>
      <c r="G164" s="23">
        <f t="shared" si="2"/>
        <v>14.73</v>
      </c>
      <c r="H164" s="235">
        <f>IFERROR(__xludf.DUMMYFUNCTION("AVERAGE(FILTER(Inventory!K:K,Inventory!J:J=""Closed"",Inventory!M:M=A164))"),21.0)</f>
        <v>21</v>
      </c>
      <c r="Q164" s="250"/>
    </row>
    <row r="165">
      <c r="A165" s="78" t="s">
        <v>10437</v>
      </c>
      <c r="B165" s="23">
        <f>COUNTIF(Inventory!M:M,A165)</f>
        <v>1</v>
      </c>
      <c r="C165" s="23">
        <f>COUNTIFS(Inventory!M:M,A165,Inventory!J:J,"Closed")</f>
        <v>1</v>
      </c>
      <c r="D165" s="23">
        <f t="shared" si="1"/>
        <v>0</v>
      </c>
      <c r="E165" s="23">
        <f>SUMIF(Inventory!M:M,"Motorsport Games",Inventory!E:E)</f>
        <v>7.86</v>
      </c>
      <c r="F165" s="23">
        <f>SUMIF(Inventory!M:M,"Motorsport Games",Inventory!F:F)</f>
        <v>8.78</v>
      </c>
      <c r="G165" s="23">
        <f t="shared" si="2"/>
        <v>0.92</v>
      </c>
      <c r="H165" s="235">
        <f>IFERROR(__xludf.DUMMYFUNCTION("AVERAGE(FILTER(Inventory!K:K,Inventory!J:J=""Closed"",Inventory!M:M=A165))"),49.0)</f>
        <v>49</v>
      </c>
      <c r="Q165" s="250"/>
    </row>
    <row r="166">
      <c r="A166" s="78" t="s">
        <v>10438</v>
      </c>
      <c r="B166" s="23">
        <f>COUNTIF(Inventory!M:M,A166)</f>
        <v>0</v>
      </c>
      <c r="C166" s="23">
        <f>COUNTIFS(Inventory!M:M,A166,Inventory!J:J,"Closed")</f>
        <v>0</v>
      </c>
      <c r="D166" s="23">
        <f t="shared" si="1"/>
        <v>0</v>
      </c>
      <c r="E166" s="23">
        <f>SUMIF(Inventory!M:M,"MYTONA",Inventory!E:E)</f>
        <v>0</v>
      </c>
      <c r="F166" s="23">
        <f>SUMIF(Inventory!M:M,"MYTONA",Inventory!F:F)</f>
        <v>0</v>
      </c>
      <c r="G166" s="23">
        <f t="shared" si="2"/>
        <v>0</v>
      </c>
      <c r="H166" s="235" t="str">
        <f>IFERROR(__xludf.DUMMYFUNCTION("AVERAGE(FILTER(Inventory!K:K,Inventory!J:J=""Closed"",Inventory!M:M=A166))"),"#N/A")</f>
        <v>#N/A</v>
      </c>
      <c r="Q166" s="250"/>
    </row>
    <row r="167">
      <c r="A167" s="78" t="s">
        <v>10439</v>
      </c>
      <c r="B167" s="23">
        <f>COUNTIF(Inventory!M:M,A167)</f>
        <v>193</v>
      </c>
      <c r="C167" s="23">
        <f>COUNTIFS(Inventory!M:M,A167,Inventory!J:J,"Closed")</f>
        <v>190</v>
      </c>
      <c r="D167" s="23">
        <f t="shared" si="1"/>
        <v>3</v>
      </c>
      <c r="E167" s="23">
        <f>SUMIF(Inventory!M:M,"Nacon",Inventory!E:E)</f>
        <v>2849.32</v>
      </c>
      <c r="F167" s="23">
        <f>SUMIF(Inventory!M:M,"Nacon",Inventory!F:F)</f>
        <v>3726.66</v>
      </c>
      <c r="G167" s="23">
        <f t="shared" si="2"/>
        <v>877.34</v>
      </c>
      <c r="H167" s="235">
        <f>IFERROR(__xludf.DUMMYFUNCTION("AVERAGE(FILTER(Inventory!K:K,Inventory!J:J=""Closed"",Inventory!M:M=A167))"),11.857894736842105)</f>
        <v>11.85789474</v>
      </c>
      <c r="Q167" s="250"/>
    </row>
    <row r="168">
      <c r="A168" s="78" t="s">
        <v>10440</v>
      </c>
      <c r="B168" s="23">
        <f>COUNTIF(Inventory!M:M,A168)</f>
        <v>7</v>
      </c>
      <c r="C168" s="23">
        <f>COUNTIFS(Inventory!M:M,A168,Inventory!J:J,"Closed")</f>
        <v>7</v>
      </c>
      <c r="D168" s="23">
        <f t="shared" si="1"/>
        <v>0</v>
      </c>
      <c r="E168" s="23">
        <f>SUMIF(Inventory!M:M,"Natsume",Inventory!E:E)</f>
        <v>21.07</v>
      </c>
      <c r="F168" s="23">
        <f>SUMIF(Inventory!M:M,"Natsume",Inventory!F:F)</f>
        <v>26.43</v>
      </c>
      <c r="G168" s="23">
        <f t="shared" si="2"/>
        <v>5.36</v>
      </c>
      <c r="H168" s="235">
        <f>IFERROR(__xludf.DUMMYFUNCTION("AVERAGE(FILTER(Inventory!K:K,Inventory!J:J=""Closed"",Inventory!M:M=A168))"),37.285714285714285)</f>
        <v>37.28571429</v>
      </c>
      <c r="Q168" s="250"/>
    </row>
    <row r="169">
      <c r="A169" s="78" t="s">
        <v>10441</v>
      </c>
      <c r="B169" s="23">
        <f>COUNTIF(Inventory!M:M,A169)</f>
        <v>1</v>
      </c>
      <c r="C169" s="23">
        <f>COUNTIFS(Inventory!M:M,A169,Inventory!J:J,"Closed")</f>
        <v>1</v>
      </c>
      <c r="D169" s="23">
        <f t="shared" si="1"/>
        <v>0</v>
      </c>
      <c r="E169" s="23">
        <f>SUMIF(Inventory!M:M,"Neon Doctrine",Inventory!E:E)</f>
        <v>3.14</v>
      </c>
      <c r="F169" s="23">
        <f>SUMIF(Inventory!M:M,"Neon Doctrine",Inventory!F:F)</f>
        <v>3.58</v>
      </c>
      <c r="G169" s="23">
        <f t="shared" si="2"/>
        <v>0.44</v>
      </c>
      <c r="H169" s="235">
        <f>IFERROR(__xludf.DUMMYFUNCTION("AVERAGE(FILTER(Inventory!K:K,Inventory!J:J=""Closed"",Inventory!M:M=A169))"),13.0)</f>
        <v>13</v>
      </c>
      <c r="Q169" s="250"/>
    </row>
    <row r="170">
      <c r="A170" s="78" t="s">
        <v>10442</v>
      </c>
      <c r="B170" s="23">
        <f>COUNTIF(Inventory!M:M,A170)</f>
        <v>2</v>
      </c>
      <c r="C170" s="23">
        <f>COUNTIFS(Inventory!M:M,A170,Inventory!J:J,"Closed")</f>
        <v>2</v>
      </c>
      <c r="D170" s="23">
        <f t="shared" si="1"/>
        <v>0</v>
      </c>
      <c r="E170" s="23">
        <f>SUMIF(Inventory!M:M,"NEOWIZ",Inventory!E:E)</f>
        <v>78.78</v>
      </c>
      <c r="F170" s="23">
        <f>SUMIF(Inventory!M:M,"NEOWIZ",Inventory!F:F)</f>
        <v>66.47</v>
      </c>
      <c r="G170" s="23">
        <f t="shared" si="2"/>
        <v>-12.31</v>
      </c>
      <c r="H170" s="235">
        <f>IFERROR(__xludf.DUMMYFUNCTION("AVERAGE(FILTER(Inventory!K:K,Inventory!J:J=""Closed"",Inventory!M:M=A170))"),264.0)</f>
        <v>264</v>
      </c>
      <c r="Q170" s="250"/>
    </row>
    <row r="171">
      <c r="A171" s="78" t="s">
        <v>10443</v>
      </c>
      <c r="B171" s="23">
        <f>COUNTIF(Inventory!M:M,A171)</f>
        <v>1</v>
      </c>
      <c r="C171" s="23">
        <f>COUNTIFS(Inventory!M:M,A171,Inventory!J:J,"Closed")</f>
        <v>1</v>
      </c>
      <c r="D171" s="23">
        <f t="shared" si="1"/>
        <v>0</v>
      </c>
      <c r="E171" s="23">
        <f>SUMIF(Inventory!M:M,"Next in Game",Inventory!E:E)</f>
        <v>3.39</v>
      </c>
      <c r="F171" s="23">
        <f>SUMIF(Inventory!M:M,"Next in Game",Inventory!F:F)</f>
        <v>7.25</v>
      </c>
      <c r="G171" s="23">
        <f t="shared" si="2"/>
        <v>3.86</v>
      </c>
      <c r="H171" s="235">
        <f>IFERROR(__xludf.DUMMYFUNCTION("AVERAGE(FILTER(Inventory!K:K,Inventory!J:J=""Closed"",Inventory!M:M=A171))"),12.0)</f>
        <v>12</v>
      </c>
      <c r="Q171" s="250"/>
    </row>
    <row r="172">
      <c r="A172" s="78" t="s">
        <v>10444</v>
      </c>
      <c r="B172" s="23">
        <f>COUNTIF(Inventory!M:M,A172)</f>
        <v>35</v>
      </c>
      <c r="C172" s="23">
        <f>COUNTIFS(Inventory!M:M,A172,Inventory!J:J,"Closed")</f>
        <v>35</v>
      </c>
      <c r="D172" s="23">
        <f t="shared" si="1"/>
        <v>0</v>
      </c>
      <c r="E172" s="23">
        <f>SUMIF(Inventory!M:M,"NEXT Studios",Inventory!E:E)</f>
        <v>105.84</v>
      </c>
      <c r="F172" s="23">
        <f>SUMIF(Inventory!M:M,"NEXT Studios",Inventory!F:F)</f>
        <v>162.66</v>
      </c>
      <c r="G172" s="23">
        <f t="shared" si="2"/>
        <v>56.82</v>
      </c>
      <c r="H172" s="235">
        <f>IFERROR(__xludf.DUMMYFUNCTION("AVERAGE(FILTER(Inventory!K:K,Inventory!J:J=""Closed"",Inventory!M:M=A172))"),74.37142857142857)</f>
        <v>74.37142857</v>
      </c>
      <c r="Q172" s="250"/>
    </row>
    <row r="173">
      <c r="A173" s="78" t="s">
        <v>10445</v>
      </c>
      <c r="B173" s="23">
        <f>COUNTIF(Inventory!M:M,A173)</f>
        <v>2</v>
      </c>
      <c r="C173" s="23">
        <f>COUNTIFS(Inventory!M:M,A173,Inventory!J:J,"Closed")</f>
        <v>2</v>
      </c>
      <c r="D173" s="23">
        <f t="shared" si="1"/>
        <v>0</v>
      </c>
      <c r="E173" s="23">
        <f>SUMIF(Inventory!M:M,"Nightdive Studios",Inventory!E:E)</f>
        <v>2</v>
      </c>
      <c r="F173" s="23">
        <f>SUMIF(Inventory!M:M,"Nightdive Studios",Inventory!F:F)</f>
        <v>0.04</v>
      </c>
      <c r="G173" s="23">
        <f t="shared" si="2"/>
        <v>-1.96</v>
      </c>
      <c r="H173" s="235">
        <f>IFERROR(__xludf.DUMMYFUNCTION("AVERAGE(FILTER(Inventory!K:K,Inventory!J:J=""Closed"",Inventory!M:M=A173))"),1023.5)</f>
        <v>1023.5</v>
      </c>
      <c r="Q173" s="250"/>
    </row>
    <row r="174">
      <c r="A174" s="78" t="s">
        <v>10446</v>
      </c>
      <c r="B174" s="23">
        <f>COUNTIF(Inventory!M:M,A174)</f>
        <v>27</v>
      </c>
      <c r="C174" s="23">
        <f>COUNTIFS(Inventory!M:M,A174,Inventory!J:J,"Closed")</f>
        <v>27</v>
      </c>
      <c r="D174" s="23">
        <f t="shared" si="1"/>
        <v>0</v>
      </c>
      <c r="E174" s="23">
        <f>SUMIF(Inventory!M:M,"Ninja Kiwi",Inventory!E:E)</f>
        <v>275.13</v>
      </c>
      <c r="F174" s="23">
        <f>SUMIF(Inventory!M:M,"Ninja Kiwi",Inventory!F:F)</f>
        <v>397.85</v>
      </c>
      <c r="G174" s="23">
        <f t="shared" si="2"/>
        <v>122.72</v>
      </c>
      <c r="H174" s="235">
        <f>IFERROR(__xludf.DUMMYFUNCTION("AVERAGE(FILTER(Inventory!K:K,Inventory!J:J=""Closed"",Inventory!M:M=A174))"),43.7037037037037)</f>
        <v>43.7037037</v>
      </c>
      <c r="Q174" s="250"/>
    </row>
    <row r="175">
      <c r="A175" s="78" t="s">
        <v>10447</v>
      </c>
      <c r="B175" s="23">
        <f>COUNTIF(Inventory!M:M,A175)</f>
        <v>1</v>
      </c>
      <c r="C175" s="23">
        <f>COUNTIFS(Inventory!M:M,A175,Inventory!J:J,"Closed")</f>
        <v>1</v>
      </c>
      <c r="D175" s="23">
        <f t="shared" si="1"/>
        <v>0</v>
      </c>
      <c r="E175" s="23">
        <f>SUMIF(Inventory!M:M,"Ninja Robot Dinosaur",Inventory!E:E)</f>
        <v>0</v>
      </c>
      <c r="F175" s="23">
        <f>SUMIF(Inventory!M:M,"Ninja Robot Dinosaur",Inventory!F:F)</f>
        <v>0.6</v>
      </c>
      <c r="G175" s="23">
        <f t="shared" si="2"/>
        <v>0.6</v>
      </c>
      <c r="H175" s="235">
        <f>IFERROR(__xludf.DUMMYFUNCTION("AVERAGE(FILTER(Inventory!K:K,Inventory!J:J=""Closed"",Inventory!M:M=A175))"),2.0)</f>
        <v>2</v>
      </c>
      <c r="Q175" s="250"/>
    </row>
    <row r="176">
      <c r="A176" s="78" t="s">
        <v>10448</v>
      </c>
      <c r="B176" s="23">
        <f>COUNTIF(Inventory!M:M,A176)</f>
        <v>9</v>
      </c>
      <c r="C176" s="23">
        <f>COUNTIFS(Inventory!M:M,A176,Inventory!J:J,"Closed")</f>
        <v>9</v>
      </c>
      <c r="D176" s="23">
        <f t="shared" si="1"/>
        <v>0</v>
      </c>
      <c r="E176" s="23">
        <f>SUMIF(Inventory!M:M,"NIS America",Inventory!E:E)</f>
        <v>99.14</v>
      </c>
      <c r="F176" s="23">
        <f>SUMIF(Inventory!M:M,"NIS America",Inventory!F:F)</f>
        <v>130.89</v>
      </c>
      <c r="G176" s="23">
        <f t="shared" si="2"/>
        <v>31.75</v>
      </c>
      <c r="H176" s="235">
        <f>IFERROR(__xludf.DUMMYFUNCTION("AVERAGE(FILTER(Inventory!K:K,Inventory!J:J=""Closed"",Inventory!M:M=A176))"),63.666666666666664)</f>
        <v>63.66666667</v>
      </c>
      <c r="Q176" s="250"/>
    </row>
    <row r="177">
      <c r="A177" s="78" t="s">
        <v>10449</v>
      </c>
      <c r="B177" s="23">
        <f>COUNTIF(Inventory!M:M,A177)</f>
        <v>21</v>
      </c>
      <c r="C177" s="23">
        <f>COUNTIFS(Inventory!M:M,A177,Inventory!J:J,"Closed")</f>
        <v>21</v>
      </c>
      <c r="D177" s="23">
        <f t="shared" si="1"/>
        <v>0</v>
      </c>
      <c r="E177" s="23">
        <f>SUMIF(Inventory!M:M,"North Beach",Inventory!E:E)</f>
        <v>246.6</v>
      </c>
      <c r="F177" s="23">
        <f>SUMIF(Inventory!M:M,"North Beach",Inventory!F:F)</f>
        <v>316.32</v>
      </c>
      <c r="G177" s="23">
        <f t="shared" si="2"/>
        <v>69.72</v>
      </c>
      <c r="H177" s="235">
        <f>IFERROR(__xludf.DUMMYFUNCTION("AVERAGE(FILTER(Inventory!K:K,Inventory!J:J=""Closed"",Inventory!M:M=A177))"),16.476190476190474)</f>
        <v>16.47619048</v>
      </c>
      <c r="Q177" s="250"/>
    </row>
    <row r="178">
      <c r="A178" s="78" t="s">
        <v>10450</v>
      </c>
      <c r="B178" s="23">
        <f>COUNTIF(Inventory!M:M,A178)</f>
        <v>2</v>
      </c>
      <c r="C178" s="23">
        <f>COUNTIFS(Inventory!M:M,A178,Inventory!J:J,"Closed")</f>
        <v>2</v>
      </c>
      <c r="D178" s="23">
        <f t="shared" si="1"/>
        <v>0</v>
      </c>
      <c r="E178" s="23">
        <f>SUMIF(Inventory!M:M,"Nyu Media",Inventory!E:E)</f>
        <v>1</v>
      </c>
      <c r="F178" s="23">
        <f>SUMIF(Inventory!M:M,"Nyu Media",Inventory!F:F)</f>
        <v>4.46</v>
      </c>
      <c r="G178" s="23">
        <f t="shared" si="2"/>
        <v>3.46</v>
      </c>
      <c r="H178" s="235">
        <f>IFERROR(__xludf.DUMMYFUNCTION("AVERAGE(FILTER(Inventory!K:K,Inventory!J:J=""Closed"",Inventory!M:M=A178))"),192.0)</f>
        <v>192</v>
      </c>
      <c r="Q178" s="250"/>
    </row>
    <row r="179">
      <c r="A179" s="99" t="s">
        <v>10451</v>
      </c>
      <c r="B179" s="23">
        <f>COUNTIF(Inventory!M:M,A179)</f>
        <v>18</v>
      </c>
      <c r="C179" s="23">
        <f>COUNTIFS(Inventory!M:M,A179,Inventory!J:J,"Closed")</f>
        <v>18</v>
      </c>
      <c r="D179" s="23">
        <f t="shared" si="1"/>
        <v>0</v>
      </c>
      <c r="E179" s="23">
        <f>SUMIF(Inventory!M:M,"Ocean Drive Studio",Inventory!E:E)</f>
        <v>112.21</v>
      </c>
      <c r="F179" s="23">
        <f>SUMIF(Inventory!M:M,"Ocean Drive Studio",Inventory!F:F)</f>
        <v>172.02</v>
      </c>
      <c r="G179" s="23">
        <f t="shared" si="2"/>
        <v>59.81</v>
      </c>
      <c r="H179" s="235">
        <f>IFERROR(__xludf.DUMMYFUNCTION("AVERAGE(FILTER(Inventory!K:K,Inventory!J:J=""Closed"",Inventory!M:M=A179))"),19.88888888888889)</f>
        <v>19.88888889</v>
      </c>
      <c r="Q179" s="250"/>
    </row>
    <row r="180">
      <c r="A180" s="99" t="s">
        <v>10452</v>
      </c>
      <c r="B180" s="23">
        <f>COUNTIF(Inventory!M:M,A180)</f>
        <v>12</v>
      </c>
      <c r="C180" s="23">
        <f>COUNTIFS(Inventory!M:M,A180,Inventory!J:J,"Closed")</f>
        <v>12</v>
      </c>
      <c r="D180" s="23">
        <f t="shared" si="1"/>
        <v>0</v>
      </c>
      <c r="E180" s="23">
        <f>SUMIF(Inventory!M:M,"Oddworld Inhabitants",Inventory!E:E)</f>
        <v>11.53</v>
      </c>
      <c r="F180" s="23">
        <f>SUMIF(Inventory!M:M,"Oddworld Inhabitants",Inventory!F:F)</f>
        <v>16.8</v>
      </c>
      <c r="G180" s="23">
        <f t="shared" si="2"/>
        <v>5.27</v>
      </c>
      <c r="H180" s="235">
        <f>IFERROR(__xludf.DUMMYFUNCTION("AVERAGE(FILTER(Inventory!K:K,Inventory!J:J=""Closed"",Inventory!M:M=A180))"),2.5833333333333335)</f>
        <v>2.583333333</v>
      </c>
      <c r="Q180" s="250"/>
    </row>
    <row r="181">
      <c r="A181" s="99" t="s">
        <v>10453</v>
      </c>
      <c r="B181" s="23">
        <f>COUNTIF(Inventory!M:M,A181)</f>
        <v>30</v>
      </c>
      <c r="C181" s="23">
        <f>COUNTIFS(Inventory!M:M,A181,Inventory!J:J,"Closed")</f>
        <v>28</v>
      </c>
      <c r="D181" s="23">
        <f t="shared" si="1"/>
        <v>2</v>
      </c>
      <c r="E181" s="23">
        <f>SUMIF(Inventory!M:M,"Offworld Industries",Inventory!E:E)</f>
        <v>266.17</v>
      </c>
      <c r="F181" s="23">
        <f>SUMIF(Inventory!M:M,"Offworld Industries",Inventory!F:F)</f>
        <v>313.88</v>
      </c>
      <c r="G181" s="23">
        <f t="shared" si="2"/>
        <v>47.71</v>
      </c>
      <c r="H181" s="235">
        <f>IFERROR(__xludf.DUMMYFUNCTION("AVERAGE(FILTER(Inventory!K:K,Inventory!J:J=""Closed"",Inventory!M:M=A181))"),33.464285714285715)</f>
        <v>33.46428571</v>
      </c>
      <c r="Q181" s="250"/>
    </row>
    <row r="182">
      <c r="A182" s="99" t="s">
        <v>10454</v>
      </c>
      <c r="B182" s="23">
        <f>COUNTIF(Inventory!M:M,A182)</f>
        <v>3</v>
      </c>
      <c r="C182" s="23">
        <f>COUNTIFS(Inventory!M:M,A182,Inventory!J:J,"Closed")</f>
        <v>3</v>
      </c>
      <c r="D182" s="23">
        <f t="shared" si="1"/>
        <v>0</v>
      </c>
      <c r="E182" s="23">
        <f>SUMIF(Inventory!M:M,"oneoreight",Inventory!E:E)</f>
        <v>1.34</v>
      </c>
      <c r="F182" s="23">
        <f>SUMIF(Inventory!M:M,"oneoreight",Inventory!F:F)</f>
        <v>2.14</v>
      </c>
      <c r="G182" s="23">
        <f t="shared" si="2"/>
        <v>0.8</v>
      </c>
      <c r="H182" s="235">
        <f>IFERROR(__xludf.DUMMYFUNCTION("AVERAGE(FILTER(Inventory!K:K,Inventory!J:J=""Closed"",Inventory!M:M=A182))"),36.333333333333336)</f>
        <v>36.33333333</v>
      </c>
      <c r="Q182" s="250"/>
    </row>
    <row r="183">
      <c r="A183" s="78" t="s">
        <v>10455</v>
      </c>
      <c r="B183" s="23">
        <f>COUNTIF(Inventory!M:M,A183)</f>
        <v>14</v>
      </c>
      <c r="C183" s="23">
        <f>COUNTIFS(Inventory!M:M,A183,Inventory!J:J,"Closed")</f>
        <v>14</v>
      </c>
      <c r="D183" s="23">
        <f t="shared" si="1"/>
        <v>0</v>
      </c>
      <c r="E183" s="23">
        <f>SUMIF(Inventory!M:M,"Overhype Studios",Inventory!E:E)</f>
        <v>191.86</v>
      </c>
      <c r="F183" s="23">
        <f>SUMIF(Inventory!M:M,"Overhype Studios",Inventory!F:F)</f>
        <v>222.52</v>
      </c>
      <c r="G183" s="23">
        <f t="shared" si="2"/>
        <v>30.66</v>
      </c>
      <c r="H183" s="235">
        <f>IFERROR(__xludf.DUMMYFUNCTION("AVERAGE(FILTER(Inventory!K:K,Inventory!J:J=""Closed"",Inventory!M:M=A183))"),63.357142857142854)</f>
        <v>63.35714286</v>
      </c>
      <c r="Q183" s="250"/>
    </row>
    <row r="184">
      <c r="A184" s="78" t="s">
        <v>10456</v>
      </c>
      <c r="B184" s="23">
        <f>COUNTIF(Inventory!M:M,A184)</f>
        <v>1</v>
      </c>
      <c r="C184" s="23">
        <f>COUNTIFS(Inventory!M:M,A184,Inventory!J:J,"Closed")</f>
        <v>1</v>
      </c>
      <c r="D184" s="23">
        <f t="shared" si="1"/>
        <v>0</v>
      </c>
      <c r="E184" s="23">
        <f>SUMIF(Inventory!M:M,"Overseer Games",Inventory!E:E)</f>
        <v>12.94</v>
      </c>
      <c r="F184" s="23">
        <f>SUMIF(Inventory!M:M,"Overseer Games",Inventory!F:F)</f>
        <v>14.65</v>
      </c>
      <c r="G184" s="23">
        <f t="shared" si="2"/>
        <v>1.71</v>
      </c>
      <c r="H184" s="235">
        <f>IFERROR(__xludf.DUMMYFUNCTION("AVERAGE(FILTER(Inventory!K:K,Inventory!J:J=""Closed"",Inventory!M:M=A184))"),180.0)</f>
        <v>180</v>
      </c>
      <c r="Q184" s="250"/>
    </row>
    <row r="185">
      <c r="A185" s="78" t="s">
        <v>10457</v>
      </c>
      <c r="B185" s="23">
        <f>COUNTIF(Inventory!M:M,A185)</f>
        <v>1</v>
      </c>
      <c r="C185" s="23">
        <f>COUNTIFS(Inventory!M:M,A185,Inventory!J:J,"Closed")</f>
        <v>1</v>
      </c>
      <c r="D185" s="23">
        <f t="shared" si="1"/>
        <v>0</v>
      </c>
      <c r="E185" s="23">
        <f>SUMIF(Inventory!M:M,"Over The Moon",Inventory!E:E)</f>
        <v>2.95</v>
      </c>
      <c r="F185" s="23">
        <f>SUMIF(Inventory!M:M,"Over The Moon",Inventory!F:F)</f>
        <v>3.22</v>
      </c>
      <c r="G185" s="23">
        <f t="shared" si="2"/>
        <v>0.27</v>
      </c>
      <c r="H185" s="235">
        <f>IFERROR(__xludf.DUMMYFUNCTION("AVERAGE(FILTER(Inventory!K:K,Inventory!J:J=""Closed"",Inventory!M:M=A185))"),102.0)</f>
        <v>102</v>
      </c>
      <c r="Q185" s="250"/>
    </row>
    <row r="186">
      <c r="A186" s="78" t="s">
        <v>10458</v>
      </c>
      <c r="B186" s="23">
        <f>COUNTIF(Inventory!M:M,A186)</f>
        <v>58</v>
      </c>
      <c r="C186" s="23">
        <f>COUNTIFS(Inventory!M:M,A186,Inventory!J:J,"Closed")</f>
        <v>57</v>
      </c>
      <c r="D186" s="23">
        <f t="shared" si="1"/>
        <v>1</v>
      </c>
      <c r="E186" s="23">
        <f>SUMIF(Inventory!M:M,"Owlcat Games",Inventory!E:E)</f>
        <v>1019.1</v>
      </c>
      <c r="F186" s="23">
        <f>SUMIF(Inventory!M:M,"Owlcat Games",Inventory!F:F)</f>
        <v>1213.61</v>
      </c>
      <c r="G186" s="23">
        <f t="shared" si="2"/>
        <v>194.51</v>
      </c>
      <c r="H186" s="235">
        <f>IFERROR(__xludf.DUMMYFUNCTION("AVERAGE(FILTER(Inventory!K:K,Inventory!J:J=""Closed"",Inventory!M:M=A186))"),5.035087719298246)</f>
        <v>5.035087719</v>
      </c>
      <c r="Q186" s="250"/>
    </row>
    <row r="187">
      <c r="A187" s="78" t="s">
        <v>10459</v>
      </c>
      <c r="B187" s="23">
        <f>COUNTIF(Inventory!M:M,A187)</f>
        <v>7</v>
      </c>
      <c r="C187" s="23">
        <f>COUNTIFS(Inventory!M:M,A187,Inventory!J:J,"Closed")</f>
        <v>7</v>
      </c>
      <c r="D187" s="23">
        <f t="shared" si="1"/>
        <v>0</v>
      </c>
      <c r="E187" s="23">
        <f>SUMIF(Inventory!M:M,"Oxymoron Games",Inventory!E:E)</f>
        <v>75.34</v>
      </c>
      <c r="F187" s="23">
        <f>SUMIF(Inventory!M:M,"Oxymoron Games",Inventory!F:F)</f>
        <v>97.91</v>
      </c>
      <c r="G187" s="23">
        <f t="shared" si="2"/>
        <v>22.57</v>
      </c>
      <c r="H187" s="235">
        <f>IFERROR(__xludf.DUMMYFUNCTION("AVERAGE(FILTER(Inventory!K:K,Inventory!J:J=""Closed"",Inventory!M:M=A187))"),8.714285714285714)</f>
        <v>8.714285714</v>
      </c>
      <c r="Q187" s="250"/>
    </row>
    <row r="188">
      <c r="A188" s="78" t="s">
        <v>10460</v>
      </c>
      <c r="B188" s="23">
        <f>COUNTIF(Inventory!M:M,A188)</f>
        <v>80</v>
      </c>
      <c r="C188" s="23">
        <f>COUNTIFS(Inventory!M:M,A188,Inventory!J:J,"Closed")</f>
        <v>80</v>
      </c>
      <c r="D188" s="23">
        <f t="shared" si="1"/>
        <v>0</v>
      </c>
      <c r="E188" s="23">
        <f>SUMIF(Inventory!M:M,"Paradox Interactive",Inventory!E:E)</f>
        <v>693.69</v>
      </c>
      <c r="F188" s="23">
        <f>SUMIF(Inventory!M:M,"Paradox Interactive",Inventory!F:F)</f>
        <v>915.96</v>
      </c>
      <c r="G188" s="23">
        <f t="shared" si="2"/>
        <v>222.27</v>
      </c>
      <c r="H188" s="235">
        <f>IFERROR(__xludf.DUMMYFUNCTION("AVERAGE(FILTER(Inventory!K:K,Inventory!J:J=""Closed"",Inventory!M:M=A188))"),13.675)</f>
        <v>13.675</v>
      </c>
      <c r="Q188" s="250"/>
    </row>
    <row r="189">
      <c r="A189" s="78" t="s">
        <v>10461</v>
      </c>
      <c r="B189" s="23">
        <f>COUNTIF(Inventory!M:M,A189)</f>
        <v>3</v>
      </c>
      <c r="C189" s="23">
        <f>COUNTIFS(Inventory!M:M,A189,Inventory!J:J,"Closed")</f>
        <v>3</v>
      </c>
      <c r="D189" s="23">
        <f t="shared" si="1"/>
        <v>0</v>
      </c>
      <c r="E189" s="23">
        <f>SUMIF(Inventory!M:M,"Pathea Games",Inventory!E:E)</f>
        <v>57.45</v>
      </c>
      <c r="F189" s="23">
        <f>SUMIF(Inventory!M:M,"Pathea Games",Inventory!F:F)</f>
        <v>64.49</v>
      </c>
      <c r="G189" s="23">
        <f t="shared" si="2"/>
        <v>7.04</v>
      </c>
      <c r="H189" s="235">
        <f>IFERROR(__xludf.DUMMYFUNCTION("AVERAGE(FILTER(Inventory!K:K,Inventory!J:J=""Closed"",Inventory!M:M=A189))"),130.33333333333334)</f>
        <v>130.3333333</v>
      </c>
      <c r="Q189" s="250"/>
    </row>
    <row r="190">
      <c r="A190" s="78" t="s">
        <v>10462</v>
      </c>
      <c r="B190" s="23">
        <f>COUNTIF(Inventory!M:M,A190)</f>
        <v>18</v>
      </c>
      <c r="C190" s="23">
        <f>COUNTIFS(Inventory!M:M,A190,Inventory!J:J,"Closed")</f>
        <v>18</v>
      </c>
      <c r="D190" s="23">
        <f t="shared" si="1"/>
        <v>0</v>
      </c>
      <c r="E190" s="23">
        <f>SUMIF(Inventory!M:M,"Perfect World Entertainment",Inventory!E:E)</f>
        <v>177.28</v>
      </c>
      <c r="F190" s="23">
        <f>SUMIF(Inventory!M:M,"Perfect World Entertainment",Inventory!F:F)</f>
        <v>243.91</v>
      </c>
      <c r="G190" s="23">
        <f t="shared" si="2"/>
        <v>66.63</v>
      </c>
      <c r="H190" s="235">
        <f>IFERROR(__xludf.DUMMYFUNCTION("AVERAGE(FILTER(Inventory!K:K,Inventory!J:J=""Closed"",Inventory!M:M=A190))"),33.0)</f>
        <v>33</v>
      </c>
      <c r="Q190" s="250"/>
    </row>
    <row r="191">
      <c r="A191" s="78" t="s">
        <v>10463</v>
      </c>
      <c r="B191" s="23">
        <f>COUNTIF(Inventory!M:M,A191)</f>
        <v>2</v>
      </c>
      <c r="C191" s="23">
        <f>COUNTIFS(Inventory!M:M,A191,Inventory!J:J,"Closed")</f>
        <v>2</v>
      </c>
      <c r="D191" s="23">
        <f t="shared" si="1"/>
        <v>0</v>
      </c>
      <c r="E191" s="23">
        <f>SUMIF(Inventory!M:M,"Pixelatto",Inventory!E:E)</f>
        <v>3.84</v>
      </c>
      <c r="F191" s="23">
        <f>SUMIF(Inventory!M:M,"Pixelatto",Inventory!F:F)</f>
        <v>4.71</v>
      </c>
      <c r="G191" s="23">
        <f t="shared" si="2"/>
        <v>0.87</v>
      </c>
      <c r="H191" s="235">
        <f>IFERROR(__xludf.DUMMYFUNCTION("AVERAGE(FILTER(Inventory!K:K,Inventory!J:J=""Closed"",Inventory!M:M=A191))"),33.5)</f>
        <v>33.5</v>
      </c>
      <c r="Q191" s="250"/>
    </row>
    <row r="192">
      <c r="A192" s="78" t="s">
        <v>10464</v>
      </c>
      <c r="B192" s="23">
        <f>COUNTIF(Inventory!M:M,A192)</f>
        <v>1</v>
      </c>
      <c r="C192" s="23">
        <f>COUNTIFS(Inventory!M:M,A192,Inventory!J:J,"Closed")</f>
        <v>1</v>
      </c>
      <c r="D192" s="23">
        <f t="shared" si="1"/>
        <v>0</v>
      </c>
      <c r="E192" s="23">
        <f>SUMIF(Inventory!M:M,"Play on Worlds",Inventory!E:E)</f>
        <v>10.64</v>
      </c>
      <c r="F192" s="23">
        <f>SUMIF(Inventory!M:M,"Play on Worlds",Inventory!F:F)</f>
        <v>13.73</v>
      </c>
      <c r="G192" s="23">
        <f t="shared" si="2"/>
        <v>3.09</v>
      </c>
      <c r="H192" s="235">
        <f>IFERROR(__xludf.DUMMYFUNCTION("AVERAGE(FILTER(Inventory!K:K,Inventory!J:J=""Closed"",Inventory!M:M=A192))"),0.0)</f>
        <v>0</v>
      </c>
      <c r="Q192" s="250"/>
    </row>
    <row r="193">
      <c r="A193" s="78" t="s">
        <v>10465</v>
      </c>
      <c r="B193" s="23">
        <f>COUNTIF(Inventory!M:M,A193)</f>
        <v>12</v>
      </c>
      <c r="C193" s="23">
        <f>COUNTIFS(Inventory!M:M,A193,Inventory!J:J,"Closed")</f>
        <v>12</v>
      </c>
      <c r="D193" s="23">
        <f t="shared" si="1"/>
        <v>0</v>
      </c>
      <c r="E193" s="23">
        <f>SUMIF(Inventory!M:M,"Playstack",Inventory!E:E)</f>
        <v>83.2</v>
      </c>
      <c r="F193" s="23">
        <f>SUMIF(Inventory!M:M,"Playstack",Inventory!F:F)</f>
        <v>105.04</v>
      </c>
      <c r="G193" s="23">
        <f t="shared" si="2"/>
        <v>21.84</v>
      </c>
      <c r="H193" s="235">
        <f>IFERROR(__xludf.DUMMYFUNCTION("AVERAGE(FILTER(Inventory!K:K,Inventory!J:J=""Closed"",Inventory!M:M=A193))"),210.66666666666666)</f>
        <v>210.6666667</v>
      </c>
      <c r="Q193" s="250"/>
    </row>
    <row r="194">
      <c r="A194" s="78" t="s">
        <v>10466</v>
      </c>
      <c r="B194" s="23">
        <f>COUNTIF(Inventory!M:M,A194)</f>
        <v>201</v>
      </c>
      <c r="C194" s="23">
        <f>COUNTIFS(Inventory!M:M,A194,Inventory!J:J,"Closed")</f>
        <v>197</v>
      </c>
      <c r="D194" s="23">
        <f t="shared" si="1"/>
        <v>4</v>
      </c>
      <c r="E194" s="23">
        <f>SUMIF(Inventory!M:M,"PlayStation",Inventory!E:E)</f>
        <v>5278.93</v>
      </c>
      <c r="F194" s="23">
        <f>SUMIF(Inventory!M:M,"PlayStation",Inventory!F:F)</f>
        <v>6130.57</v>
      </c>
      <c r="G194" s="23">
        <f t="shared" si="2"/>
        <v>851.64</v>
      </c>
      <c r="H194" s="235">
        <f>IFERROR(__xludf.DUMMYFUNCTION("AVERAGE(FILTER(Inventory!K:K,Inventory!J:J=""Closed"",Inventory!M:M=A194))"),19.076142131979694)</f>
        <v>19.07614213</v>
      </c>
      <c r="Q194" s="250"/>
    </row>
    <row r="195">
      <c r="A195" s="78" t="s">
        <v>10467</v>
      </c>
      <c r="B195" s="23">
        <f>COUNTIF(Inventory!M:M,A195)</f>
        <v>129</v>
      </c>
      <c r="C195" s="23">
        <f>COUNTIFS(Inventory!M:M,A195,Inventory!J:J,"Closed")</f>
        <v>129</v>
      </c>
      <c r="D195" s="23">
        <f t="shared" si="1"/>
        <v>0</v>
      </c>
      <c r="E195" s="23">
        <f>SUMIF(Inventory!M:M,"PlayWay",Inventory!E:E)</f>
        <v>374.27</v>
      </c>
      <c r="F195" s="23">
        <f>SUMIF(Inventory!M:M,"PlayWay",Inventory!F:F)</f>
        <v>554.19</v>
      </c>
      <c r="G195" s="23">
        <f t="shared" si="2"/>
        <v>179.92</v>
      </c>
      <c r="H195" s="235">
        <f>IFERROR(__xludf.DUMMYFUNCTION("AVERAGE(FILTER(Inventory!K:K,Inventory!J:J=""Closed"",Inventory!M:M=A195))"),16.25581395348837)</f>
        <v>16.25581395</v>
      </c>
      <c r="Q195" s="250"/>
    </row>
    <row r="196">
      <c r="A196" s="78" t="s">
        <v>10468</v>
      </c>
      <c r="B196" s="23">
        <f>COUNTIF(Inventory!M:M,A196)</f>
        <v>38</v>
      </c>
      <c r="C196" s="23">
        <f>COUNTIFS(Inventory!M:M,A196,Inventory!J:J,"Closed")</f>
        <v>37</v>
      </c>
      <c r="D196" s="23">
        <f t="shared" si="1"/>
        <v>1</v>
      </c>
      <c r="E196" s="23">
        <f>SUMIF(Inventory!M:M,"Pocketpair",Inventory!E:E)</f>
        <v>1137.87</v>
      </c>
      <c r="F196" s="23">
        <f>SUMIF(Inventory!M:M,"Pocketpair",Inventory!F:F)</f>
        <v>1373.51</v>
      </c>
      <c r="G196" s="23">
        <f t="shared" si="2"/>
        <v>235.64</v>
      </c>
      <c r="H196" s="235">
        <f>IFERROR(__xludf.DUMMYFUNCTION("AVERAGE(FILTER(Inventory!K:K,Inventory!J:J=""Closed"",Inventory!M:M=A196))"),34.67567567567568)</f>
        <v>34.67567568</v>
      </c>
      <c r="Q196" s="250"/>
    </row>
    <row r="197">
      <c r="A197" s="78" t="s">
        <v>10469</v>
      </c>
      <c r="B197" s="23">
        <f>COUNTIF(Inventory!M:M,A197)</f>
        <v>5</v>
      </c>
      <c r="C197" s="23">
        <f>COUNTIFS(Inventory!M:M,A197,Inventory!J:J,"Closed")</f>
        <v>5</v>
      </c>
      <c r="D197" s="23">
        <f t="shared" si="1"/>
        <v>0</v>
      </c>
      <c r="E197" s="23">
        <f>SUMIF(Inventory!M:M,"PQube Limited",Inventory!E:E)</f>
        <v>6.18</v>
      </c>
      <c r="F197" s="23">
        <f>SUMIF(Inventory!M:M,"PQube Limited",Inventory!F:F)</f>
        <v>11.43</v>
      </c>
      <c r="G197" s="23">
        <f t="shared" si="2"/>
        <v>5.25</v>
      </c>
      <c r="H197" s="235">
        <f>IFERROR(__xludf.DUMMYFUNCTION("AVERAGE(FILTER(Inventory!K:K,Inventory!J:J=""Closed"",Inventory!M:M=A197))"),79.8)</f>
        <v>79.8</v>
      </c>
      <c r="Q197" s="250"/>
    </row>
    <row r="198">
      <c r="A198" s="78" t="s">
        <v>10470</v>
      </c>
      <c r="B198" s="23">
        <f>COUNTIF(Inventory!M:M,A198)</f>
        <v>30</v>
      </c>
      <c r="C198" s="23">
        <f>COUNTIFS(Inventory!M:M,A198,Inventory!J:J,"Closed")</f>
        <v>30</v>
      </c>
      <c r="D198" s="23">
        <f t="shared" si="1"/>
        <v>0</v>
      </c>
      <c r="E198" s="23">
        <f>SUMIF(Inventory!M:M,"Prime Matter",Inventory!E:E)</f>
        <v>361.25</v>
      </c>
      <c r="F198" s="23">
        <f>SUMIF(Inventory!M:M,"Prime Matter",Inventory!F:F)</f>
        <v>466.95</v>
      </c>
      <c r="G198" s="23">
        <f t="shared" si="2"/>
        <v>105.7</v>
      </c>
      <c r="H198" s="235">
        <f>IFERROR(__xludf.DUMMYFUNCTION("AVERAGE(FILTER(Inventory!K:K,Inventory!J:J=""Closed"",Inventory!M:M=A198))"),127.8)</f>
        <v>127.8</v>
      </c>
      <c r="Q198" s="250"/>
    </row>
    <row r="199">
      <c r="A199" s="78" t="s">
        <v>10471</v>
      </c>
      <c r="B199" s="23">
        <f>COUNTIF(Inventory!M:M,A199)</f>
        <v>21</v>
      </c>
      <c r="C199" s="23">
        <f>COUNTIFS(Inventory!M:M,A199,Inventory!J:J,"Closed")</f>
        <v>21</v>
      </c>
      <c r="D199" s="23">
        <f t="shared" si="1"/>
        <v>0</v>
      </c>
      <c r="E199" s="23">
        <f>SUMIF(Inventory!M:M,"Private Division",Inventory!E:E)</f>
        <v>299.72</v>
      </c>
      <c r="F199" s="23">
        <f>SUMIF(Inventory!M:M,"Private Division",Inventory!F:F)</f>
        <v>357.99</v>
      </c>
      <c r="G199" s="23">
        <f t="shared" si="2"/>
        <v>58.27</v>
      </c>
      <c r="H199" s="235">
        <f>IFERROR(__xludf.DUMMYFUNCTION("AVERAGE(FILTER(Inventory!K:K,Inventory!J:J=""Closed"",Inventory!M:M=A199))"),69.66666666666667)</f>
        <v>69.66666667</v>
      </c>
      <c r="Q199" s="250"/>
    </row>
    <row r="200">
      <c r="A200" s="78" t="s">
        <v>10472</v>
      </c>
      <c r="B200" s="23">
        <f>COUNTIF(Inventory!M:M,A200)</f>
        <v>11</v>
      </c>
      <c r="C200" s="23">
        <f>COUNTIFS(Inventory!M:M,A200,Inventory!J:J,"Closed")</f>
        <v>10</v>
      </c>
      <c r="D200" s="23">
        <f t="shared" si="1"/>
        <v>1</v>
      </c>
      <c r="E200" s="23">
        <f>SUMIF(Inventory!M:M,"Raiser Games",Inventory!E:E)</f>
        <v>37.44</v>
      </c>
      <c r="F200" s="23">
        <f>SUMIF(Inventory!M:M,"Raiser Games",Inventory!F:F)</f>
        <v>49.58</v>
      </c>
      <c r="G200" s="23">
        <f t="shared" si="2"/>
        <v>12.14</v>
      </c>
      <c r="H200" s="235">
        <f>IFERROR(__xludf.DUMMYFUNCTION("AVERAGE(FILTER(Inventory!K:K,Inventory!J:J=""Closed"",Inventory!M:M=A200))"),71.9)</f>
        <v>71.9</v>
      </c>
      <c r="Q200" s="250"/>
    </row>
    <row r="201">
      <c r="A201" s="78" t="s">
        <v>10473</v>
      </c>
      <c r="B201" s="23">
        <f>COUNTIF(Inventory!M:M,A201)</f>
        <v>8</v>
      </c>
      <c r="C201" s="23">
        <f>COUNTIFS(Inventory!M:M,A201,Inventory!J:J,"Closed")</f>
        <v>8</v>
      </c>
      <c r="D201" s="23">
        <f t="shared" si="1"/>
        <v>0</v>
      </c>
      <c r="E201" s="23">
        <f>SUMIF(Inventory!M:M,"Quantic Dream",Inventory!E:E)</f>
        <v>173.03</v>
      </c>
      <c r="F201" s="23">
        <f>SUMIF(Inventory!M:M,"Quantic Dream",Inventory!F:F)</f>
        <v>174.21</v>
      </c>
      <c r="G201" s="23">
        <f t="shared" si="2"/>
        <v>1.18</v>
      </c>
      <c r="H201" s="235">
        <f>IFERROR(__xludf.DUMMYFUNCTION("AVERAGE(FILTER(Inventory!K:K,Inventory!J:J=""Closed"",Inventory!M:M=A201))"),19.125)</f>
        <v>19.125</v>
      </c>
      <c r="Q201" s="250"/>
    </row>
    <row r="202">
      <c r="A202" s="78" t="s">
        <v>10474</v>
      </c>
      <c r="B202" s="23">
        <f>COUNTIF(Inventory!M:M,A202)</f>
        <v>2</v>
      </c>
      <c r="C202" s="23">
        <f>COUNTIFS(Inventory!M:M,A202,Inventory!J:J,"Closed")</f>
        <v>2</v>
      </c>
      <c r="D202" s="23">
        <f t="shared" si="1"/>
        <v>0</v>
      </c>
      <c r="E202" s="23">
        <f>SUMIF(Inventory!M:M,"Raw Fury",Inventory!E:E)</f>
        <v>24.28</v>
      </c>
      <c r="F202" s="23">
        <f>SUMIF(Inventory!M:M,"Raw Fury",Inventory!F:F)</f>
        <v>25.99</v>
      </c>
      <c r="G202" s="23">
        <f t="shared" si="2"/>
        <v>1.71</v>
      </c>
      <c r="H202" s="235">
        <f>IFERROR(__xludf.DUMMYFUNCTION("AVERAGE(FILTER(Inventory!K:K,Inventory!J:J=""Closed"",Inventory!M:M=A202))"),73.0)</f>
        <v>73</v>
      </c>
      <c r="Q202" s="250"/>
    </row>
    <row r="203">
      <c r="A203" s="78" t="s">
        <v>10475</v>
      </c>
      <c r="B203" s="23">
        <f>COUNTIF(Inventory!M:M,A203)</f>
        <v>82</v>
      </c>
      <c r="C203" s="23">
        <f>COUNTIFS(Inventory!M:M,A203,Inventory!J:J,"Closed")</f>
        <v>81</v>
      </c>
      <c r="D203" s="23">
        <f t="shared" si="1"/>
        <v>1</v>
      </c>
      <c r="E203" s="23">
        <f>SUMIF(Inventory!M:M,"Rebellion",Inventory!E:E)</f>
        <v>1111.5</v>
      </c>
      <c r="F203" s="23">
        <f>SUMIF(Inventory!M:M,"Rebellion",Inventory!F:F)</f>
        <v>1462.49</v>
      </c>
      <c r="G203" s="23">
        <f t="shared" si="2"/>
        <v>350.99</v>
      </c>
      <c r="H203" s="235">
        <f>IFERROR(__xludf.DUMMYFUNCTION("AVERAGE(FILTER(Inventory!K:K,Inventory!J:J=""Closed"",Inventory!M:M=A203))"),39.06172839506173)</f>
        <v>39.0617284</v>
      </c>
      <c r="Q203" s="250"/>
    </row>
    <row r="204">
      <c r="A204" s="78" t="s">
        <v>10476</v>
      </c>
      <c r="B204" s="23">
        <f>COUNTIF(Inventory!M:M,A204)</f>
        <v>13</v>
      </c>
      <c r="C204" s="23">
        <f>COUNTIFS(Inventory!M:M,A204,Inventory!J:J,"Closed")</f>
        <v>13</v>
      </c>
      <c r="D204" s="23">
        <f t="shared" si="1"/>
        <v>0</v>
      </c>
      <c r="E204" s="23">
        <f>SUMIF(Inventory!M:M,"Red Barrels",Inventory!E:E)</f>
        <v>160.58</v>
      </c>
      <c r="F204" s="23">
        <f>SUMIF(Inventory!M:M,"Red Barrels",Inventory!F:F)</f>
        <v>192.86</v>
      </c>
      <c r="G204" s="23">
        <f t="shared" si="2"/>
        <v>32.28</v>
      </c>
      <c r="H204" s="235">
        <f>IFERROR(__xludf.DUMMYFUNCTION("AVERAGE(FILTER(Inventory!K:K,Inventory!J:J=""Closed"",Inventory!M:M=A204))"),20.0)</f>
        <v>20</v>
      </c>
      <c r="Q204" s="250"/>
    </row>
    <row r="205">
      <c r="A205" s="78" t="s">
        <v>10477</v>
      </c>
      <c r="B205" s="23">
        <f>COUNTIF(Inventory!M:M,A205)</f>
        <v>7</v>
      </c>
      <c r="C205" s="23">
        <f>COUNTIFS(Inventory!M:M,A205,Inventory!J:J,"Closed")</f>
        <v>7</v>
      </c>
      <c r="D205" s="23">
        <f t="shared" si="1"/>
        <v>0</v>
      </c>
      <c r="E205" s="23">
        <f>SUMIF(Inventory!M:M,"Reverie World Studios",Inventory!E:E)</f>
        <v>12.05</v>
      </c>
      <c r="F205" s="23">
        <f>SUMIF(Inventory!M:M,"Reverie World Studios",Inventory!F:F)</f>
        <v>19.54</v>
      </c>
      <c r="G205" s="23">
        <f t="shared" si="2"/>
        <v>7.49</v>
      </c>
      <c r="H205" s="235">
        <f>IFERROR(__xludf.DUMMYFUNCTION("AVERAGE(FILTER(Inventory!K:K,Inventory!J:J=""Closed"",Inventory!M:M=A205))"),150.85714285714286)</f>
        <v>150.8571429</v>
      </c>
      <c r="Q205" s="250"/>
    </row>
    <row r="206">
      <c r="A206" s="78" t="s">
        <v>10478</v>
      </c>
      <c r="B206" s="23">
        <f>COUNTIF(Inventory!M:M,A206)</f>
        <v>46</v>
      </c>
      <c r="C206" s="23">
        <f>COUNTIFS(Inventory!M:M,A206,Inventory!J:J,"Closed")</f>
        <v>46</v>
      </c>
      <c r="D206" s="23">
        <f t="shared" si="1"/>
        <v>0</v>
      </c>
      <c r="E206" s="23">
        <f>SUMIF(Inventory!M:M,"Revival Productions",Inventory!E:E)</f>
        <v>37.52</v>
      </c>
      <c r="F206" s="23">
        <f>SUMIF(Inventory!M:M,"Revival Productions",Inventory!F:F)</f>
        <v>49.82</v>
      </c>
      <c r="G206" s="23">
        <f t="shared" si="2"/>
        <v>12.3</v>
      </c>
      <c r="H206" s="235">
        <f>IFERROR(__xludf.DUMMYFUNCTION("AVERAGE(FILTER(Inventory!K:K,Inventory!J:J=""Closed"",Inventory!M:M=A206))"),67.6304347826087)</f>
        <v>67.63043478</v>
      </c>
      <c r="Q206" s="250"/>
    </row>
    <row r="207">
      <c r="A207" s="78" t="s">
        <v>10479</v>
      </c>
      <c r="B207" s="23">
        <f>COUNTIF(Inventory!M:M,A207)</f>
        <v>2</v>
      </c>
      <c r="C207" s="23">
        <f>COUNTIFS(Inventory!M:M,A207,Inventory!J:J,"Closed")</f>
        <v>2</v>
      </c>
      <c r="D207" s="23">
        <f t="shared" si="1"/>
        <v>0</v>
      </c>
      <c r="E207" s="23">
        <f>SUMIF(Inventory!M:M,"Revolution Software",Inventory!E:E)</f>
        <v>7.59</v>
      </c>
      <c r="F207" s="23">
        <f>SUMIF(Inventory!M:M,"Revolution Software",Inventory!F:F)</f>
        <v>11.75</v>
      </c>
      <c r="G207" s="23">
        <f t="shared" si="2"/>
        <v>4.16</v>
      </c>
      <c r="H207" s="235">
        <f>IFERROR(__xludf.DUMMYFUNCTION("AVERAGE(FILTER(Inventory!K:K,Inventory!J:J=""Closed"",Inventory!M:M=A207))"),5.5)</f>
        <v>5.5</v>
      </c>
      <c r="Q207" s="250"/>
    </row>
    <row r="208">
      <c r="A208" s="78" t="s">
        <v>10480</v>
      </c>
      <c r="B208" s="23">
        <f>COUNTIF(Inventory!M:M,A208)</f>
        <v>5</v>
      </c>
      <c r="C208" s="23">
        <f>COUNTIFS(Inventory!M:M,A208,Inventory!J:J,"Closed")</f>
        <v>5</v>
      </c>
      <c r="D208" s="23">
        <f t="shared" si="1"/>
        <v>0</v>
      </c>
      <c r="E208" s="23">
        <f>SUMIF(Inventory!M:M,"RIVER CROW STUDIO",Inventory!E:E)</f>
        <v>2.77</v>
      </c>
      <c r="F208" s="23">
        <f>SUMIF(Inventory!M:M,"RIVER CROW STUDIO",Inventory!F:F)</f>
        <v>14.63</v>
      </c>
      <c r="G208" s="23">
        <f t="shared" si="2"/>
        <v>11.86</v>
      </c>
      <c r="H208" s="235">
        <f>IFERROR(__xludf.DUMMYFUNCTION("AVERAGE(FILTER(Inventory!K:K,Inventory!J:J=""Closed"",Inventory!M:M=A208))"),80.4)</f>
        <v>80.4</v>
      </c>
      <c r="Q208" s="250"/>
    </row>
    <row r="209">
      <c r="A209" s="78" t="s">
        <v>10481</v>
      </c>
      <c r="B209" s="23">
        <f>COUNTIF(Inventory!M:M,A209)</f>
        <v>19</v>
      </c>
      <c r="C209" s="23">
        <f>COUNTIFS(Inventory!M:M,A209,Inventory!J:J,"Closed")</f>
        <v>19</v>
      </c>
      <c r="D209" s="23">
        <f t="shared" si="1"/>
        <v>0</v>
      </c>
      <c r="E209" s="23">
        <f>SUMIF(Inventory!M:M,"ROCKFISH Games",Inventory!E:E)</f>
        <v>109.21</v>
      </c>
      <c r="F209" s="23">
        <f>SUMIF(Inventory!M:M,"ROCKFISH Games",Inventory!F:F)</f>
        <v>150.56</v>
      </c>
      <c r="G209" s="23">
        <f t="shared" si="2"/>
        <v>41.35</v>
      </c>
      <c r="H209" s="235">
        <f>IFERROR(__xludf.DUMMYFUNCTION("AVERAGE(FILTER(Inventory!K:K,Inventory!J:J=""Closed"",Inventory!M:M=A209))"),19.210526315789473)</f>
        <v>19.21052632</v>
      </c>
      <c r="Q209" s="250"/>
    </row>
    <row r="210">
      <c r="A210" s="99" t="s">
        <v>10482</v>
      </c>
      <c r="B210" s="23">
        <f>COUNTIF(Inventory!M:M,A210)</f>
        <v>2</v>
      </c>
      <c r="C210" s="23">
        <f>COUNTIFS(Inventory!M:M,A210,Inventory!J:J,"Closed")</f>
        <v>2</v>
      </c>
      <c r="D210" s="23">
        <f t="shared" si="1"/>
        <v>0</v>
      </c>
      <c r="E210" s="23">
        <f>SUMIF(Inventory!M:M,"Rogueside",Inventory!E:E)</f>
        <v>0.84</v>
      </c>
      <c r="F210" s="23">
        <f>SUMIF(Inventory!M:M,"Rogueside",Inventory!F:F)</f>
        <v>3.84</v>
      </c>
      <c r="G210" s="23">
        <f t="shared" si="2"/>
        <v>3</v>
      </c>
      <c r="H210" s="235">
        <f>IFERROR(__xludf.DUMMYFUNCTION("AVERAGE(FILTER(Inventory!K:K,Inventory!J:J=""Closed"",Inventory!M:M=A210))"),11.0)</f>
        <v>11</v>
      </c>
      <c r="Q210" s="250"/>
    </row>
    <row r="211">
      <c r="A211" s="78" t="s">
        <v>10483</v>
      </c>
      <c r="B211" s="23">
        <f>COUNTIF(Inventory!M:M,A211)</f>
        <v>16</v>
      </c>
      <c r="C211" s="23">
        <f>COUNTIFS(Inventory!M:M,A211,Inventory!J:J,"Closed")</f>
        <v>16</v>
      </c>
      <c r="D211" s="23">
        <f t="shared" si="1"/>
        <v>0</v>
      </c>
      <c r="E211" s="23">
        <f>SUMIF(Inventory!M:M,"Runic Games",Inventory!E:E)</f>
        <v>5.27</v>
      </c>
      <c r="F211" s="23">
        <f>SUMIF(Inventory!M:M,"Runic Games",Inventory!F:F)</f>
        <v>11.13</v>
      </c>
      <c r="G211" s="23">
        <f t="shared" si="2"/>
        <v>5.86</v>
      </c>
      <c r="H211" s="235">
        <f>IFERROR(__xludf.DUMMYFUNCTION("AVERAGE(FILTER(Inventory!K:K,Inventory!J:J=""Closed"",Inventory!M:M=A211))"),163.1875)</f>
        <v>163.1875</v>
      </c>
      <c r="Q211" s="250"/>
    </row>
    <row r="212">
      <c r="A212" s="78" t="s">
        <v>10484</v>
      </c>
      <c r="B212" s="23">
        <f>COUNTIF(Inventory!M:M,A212)</f>
        <v>1</v>
      </c>
      <c r="C212" s="23">
        <f>COUNTIFS(Inventory!M:M,A212,Inventory!J:J,"Closed")</f>
        <v>1</v>
      </c>
      <c r="D212" s="23">
        <f t="shared" si="1"/>
        <v>0</v>
      </c>
      <c r="E212" s="23">
        <f>SUMIF(Inventory!M:M,"RyseUp Studios",Inventory!E:E)</f>
        <v>11.38</v>
      </c>
      <c r="F212" s="23">
        <f>SUMIF(Inventory!M:M,"RyseUp Studios",Inventory!F:F)</f>
        <v>12.91</v>
      </c>
      <c r="G212" s="23">
        <f t="shared" si="2"/>
        <v>1.53</v>
      </c>
      <c r="H212" s="235">
        <f>IFERROR(__xludf.DUMMYFUNCTION("AVERAGE(FILTER(Inventory!K:K,Inventory!J:J=""Closed"",Inventory!M:M=A212))"),552.0)</f>
        <v>552</v>
      </c>
      <c r="Q212" s="250"/>
    </row>
    <row r="213">
      <c r="A213" s="99" t="s">
        <v>10485</v>
      </c>
      <c r="B213" s="23">
        <f>COUNTIF(Inventory!M:M,A213)</f>
        <v>15</v>
      </c>
      <c r="C213" s="23">
        <f>COUNTIFS(Inventory!M:M,A213,Inventory!J:J,"Closed")</f>
        <v>15</v>
      </c>
      <c r="D213" s="23">
        <f t="shared" si="1"/>
        <v>0</v>
      </c>
      <c r="E213" s="23">
        <f>SUMIF(Inventory!M:M,"SadSquare Studio",Inventory!E:E)</f>
        <v>263.48</v>
      </c>
      <c r="F213" s="23">
        <f>SUMIF(Inventory!M:M,"SadSquare Studio",Inventory!F:F)</f>
        <v>332</v>
      </c>
      <c r="G213" s="23">
        <f t="shared" si="2"/>
        <v>68.52</v>
      </c>
      <c r="H213" s="235">
        <f>IFERROR(__xludf.DUMMYFUNCTION("AVERAGE(FILTER(Inventory!K:K,Inventory!J:J=""Closed"",Inventory!M:M=A213))"),90.13333333333334)</f>
        <v>90.13333333</v>
      </c>
      <c r="Q213" s="250"/>
    </row>
    <row r="214">
      <c r="A214" s="99" t="s">
        <v>10486</v>
      </c>
      <c r="B214" s="23">
        <f>COUNTIF(Inventory!M:M,A214)</f>
        <v>10</v>
      </c>
      <c r="C214" s="23">
        <f>COUNTIFS(Inventory!M:M,A214,Inventory!J:J,"Closed")</f>
        <v>10</v>
      </c>
      <c r="D214" s="23">
        <f t="shared" si="1"/>
        <v>0</v>
      </c>
      <c r="E214" s="23">
        <f>SUMIF(Inventory!M:M,"Saber Interactive",Inventory!E:E)</f>
        <v>155.66</v>
      </c>
      <c r="F214" s="23">
        <f>SUMIF(Inventory!M:M,"Saber Interactive",Inventory!F:F)</f>
        <v>190.55</v>
      </c>
      <c r="G214" s="23">
        <f t="shared" si="2"/>
        <v>34.89</v>
      </c>
      <c r="H214" s="235">
        <f>IFERROR(__xludf.DUMMYFUNCTION("AVERAGE(FILTER(Inventory!K:K,Inventory!J:J=""Closed"",Inventory!M:M=A214))"),94.6)</f>
        <v>94.6</v>
      </c>
      <c r="Q214" s="250"/>
    </row>
    <row r="215">
      <c r="A215" s="78" t="s">
        <v>10487</v>
      </c>
      <c r="B215" s="23">
        <f>COUNTIF(Inventory!M:M,A215)</f>
        <v>7</v>
      </c>
      <c r="C215" s="23">
        <f>COUNTIFS(Inventory!M:M,A215,Inventory!J:J,"Closed")</f>
        <v>7</v>
      </c>
      <c r="D215" s="23">
        <f t="shared" si="1"/>
        <v>0</v>
      </c>
      <c r="E215" s="23">
        <f>SUMIF(Inventory!M:M,"Schell Games",Inventory!E:E)</f>
        <v>65.56</v>
      </c>
      <c r="F215" s="23">
        <f>SUMIF(Inventory!M:M,"Schell Games",Inventory!F:F)</f>
        <v>84.14</v>
      </c>
      <c r="G215" s="23">
        <f t="shared" si="2"/>
        <v>18.58</v>
      </c>
      <c r="H215" s="235">
        <f>IFERROR(__xludf.DUMMYFUNCTION("AVERAGE(FILTER(Inventory!K:K,Inventory!J:J=""Closed"",Inventory!M:M=A215))"),2.7142857142857144)</f>
        <v>2.714285714</v>
      </c>
      <c r="Q215" s="250"/>
    </row>
    <row r="216">
      <c r="A216" s="78" t="s">
        <v>10488</v>
      </c>
      <c r="B216" s="23">
        <f>COUNTIF(Inventory!M:M,A216)</f>
        <v>57</v>
      </c>
      <c r="C216" s="23">
        <f>COUNTIFS(Inventory!M:M,A216,Inventory!J:J,"Closed")</f>
        <v>57</v>
      </c>
      <c r="D216" s="23">
        <f t="shared" si="1"/>
        <v>0</v>
      </c>
      <c r="E216" s="23">
        <f>SUMIF(Inventory!M:M,"SCKR Games",Inventory!E:E)</f>
        <v>247.8</v>
      </c>
      <c r="F216" s="23">
        <f>SUMIF(Inventory!M:M,"SCKR Games",Inventory!F:F)</f>
        <v>297.24</v>
      </c>
      <c r="G216" s="23">
        <f t="shared" si="2"/>
        <v>49.44</v>
      </c>
      <c r="H216" s="235">
        <f>IFERROR(__xludf.DUMMYFUNCTION("AVERAGE(FILTER(Inventory!K:K,Inventory!J:J=""Closed"",Inventory!M:M=A216))"),3.2280701754385963)</f>
        <v>3.228070175</v>
      </c>
      <c r="Q216" s="250"/>
    </row>
    <row r="217">
      <c r="A217" s="78" t="s">
        <v>10489</v>
      </c>
      <c r="B217" s="23">
        <f>COUNTIF(Inventory!M:M,A217)</f>
        <v>1</v>
      </c>
      <c r="C217" s="23">
        <f>COUNTIFS(Inventory!M:M,A217,Inventory!J:J,"Closed")</f>
        <v>1</v>
      </c>
      <c r="D217" s="23">
        <f t="shared" si="1"/>
        <v>0</v>
      </c>
      <c r="E217" s="23">
        <f>SUMIF(Inventory!M:M,"Scraping Bottom",Inventory!E:E)</f>
        <v>0</v>
      </c>
      <c r="F217" s="23">
        <f>SUMIF(Inventory!M:M,"Screen 7",Inventory!F:F)</f>
        <v>0.1</v>
      </c>
      <c r="G217" s="23">
        <f t="shared" si="2"/>
        <v>0.1</v>
      </c>
      <c r="H217" s="235">
        <f>IFERROR(__xludf.DUMMYFUNCTION("AVERAGE(FILTER(Inventory!K:K,Inventory!J:J=""Closed"",Inventory!M:M=A217))"),69.0)</f>
        <v>69</v>
      </c>
      <c r="Q217" s="250"/>
    </row>
    <row r="218">
      <c r="A218" s="99" t="s">
        <v>10490</v>
      </c>
      <c r="B218" s="23">
        <f>COUNTIF(Inventory!M:M,A218)</f>
        <v>1</v>
      </c>
      <c r="C218" s="23">
        <f>COUNTIFS(Inventory!M:M,A218,Inventory!J:J,"Closed")</f>
        <v>1</v>
      </c>
      <c r="D218" s="23">
        <f t="shared" si="1"/>
        <v>0</v>
      </c>
      <c r="E218" s="23">
        <f>SUMIF(Inventory!M:M,"Screen 7",Inventory!E:E)</f>
        <v>0</v>
      </c>
      <c r="F218" s="23">
        <f>SUMIF(Inventory!M:M,"Scraping Bottom",Inventory!F:F)</f>
        <v>4.88</v>
      </c>
      <c r="G218" s="23">
        <f t="shared" si="2"/>
        <v>4.88</v>
      </c>
      <c r="H218" s="235">
        <f>IFERROR(__xludf.DUMMYFUNCTION("AVERAGE(FILTER(Inventory!K:K,Inventory!J:J=""Closed"",Inventory!M:M=A218))"),4.0)</f>
        <v>4</v>
      </c>
      <c r="Q218" s="250"/>
    </row>
    <row r="219">
      <c r="A219" s="78" t="s">
        <v>10491</v>
      </c>
      <c r="B219" s="23">
        <f>COUNTIF(Inventory!M:M,A219)</f>
        <v>9</v>
      </c>
      <c r="C219" s="23">
        <f>COUNTIFS(Inventory!M:M,A219,Inventory!J:J,"Closed")</f>
        <v>9</v>
      </c>
      <c r="D219" s="23">
        <f t="shared" si="1"/>
        <v>0</v>
      </c>
      <c r="E219" s="23">
        <f>SUMIF(Inventory!M:M,"SCS Software",Inventory!E:E)</f>
        <v>42.29</v>
      </c>
      <c r="F219" s="23">
        <f>SUMIF(Inventory!M:M,"SCS Software",Inventory!F:F)</f>
        <v>59.21</v>
      </c>
      <c r="G219" s="23">
        <f t="shared" si="2"/>
        <v>16.92</v>
      </c>
      <c r="H219" s="235">
        <f>IFERROR(__xludf.DUMMYFUNCTION("AVERAGE(FILTER(Inventory!K:K,Inventory!J:J=""Closed"",Inventory!M:M=A219))"),1.0)</f>
        <v>1</v>
      </c>
      <c r="Q219" s="250"/>
    </row>
    <row r="220">
      <c r="A220" s="78" t="s">
        <v>10492</v>
      </c>
      <c r="B220" s="23">
        <f>COUNTIF(Inventory!M:M,A220)</f>
        <v>1</v>
      </c>
      <c r="C220" s="23">
        <f>COUNTIFS(Inventory!M:M,A220,Inventory!J:J,"Closed")</f>
        <v>0</v>
      </c>
      <c r="D220" s="23">
        <f t="shared" si="1"/>
        <v>1</v>
      </c>
      <c r="E220" s="23">
        <f>SUMIF(Inventory!M:M,"Secret Mode",Inventory!E:E)</f>
        <v>10.77</v>
      </c>
      <c r="F220" s="23">
        <f>SUMIF(Inventory!M:M,"Secret Mode",Inventory!F:F)</f>
        <v>0</v>
      </c>
      <c r="G220" s="23">
        <f t="shared" si="2"/>
        <v>-10.77</v>
      </c>
      <c r="H220" s="235" t="str">
        <f>IFERROR(__xludf.DUMMYFUNCTION("AVERAGE(FILTER(Inventory!K:K,Inventory!J:J=""Closed"",Inventory!M:M=A220))"),"#N/A")</f>
        <v>#N/A</v>
      </c>
      <c r="Q220" s="250"/>
    </row>
    <row r="221">
      <c r="A221" s="78" t="s">
        <v>10493</v>
      </c>
      <c r="B221" s="23">
        <f>COUNTIF(Inventory!M:M,A221)</f>
        <v>88</v>
      </c>
      <c r="C221" s="23">
        <f>COUNTIFS(Inventory!M:M,A221,Inventory!J:J,"Closed")</f>
        <v>88</v>
      </c>
      <c r="D221" s="23">
        <f t="shared" si="1"/>
        <v>0</v>
      </c>
      <c r="E221" s="23">
        <f>SUMIF(Inventory!M:M,"Sector D2",Inventory!E:E)</f>
        <v>395.73</v>
      </c>
      <c r="F221" s="23">
        <f>SUMIF(Inventory!M:M,"Sector D2",Inventory!F:F)</f>
        <v>485.91</v>
      </c>
      <c r="G221" s="23">
        <f t="shared" si="2"/>
        <v>90.18</v>
      </c>
      <c r="H221" s="235">
        <f>IFERROR(__xludf.DUMMYFUNCTION("AVERAGE(FILTER(Inventory!K:K,Inventory!J:J=""Closed"",Inventory!M:M=A221))"),7.829545454545454)</f>
        <v>7.829545455</v>
      </c>
      <c r="Q221" s="250"/>
    </row>
    <row r="222">
      <c r="A222" s="78" t="s">
        <v>10494</v>
      </c>
      <c r="B222" s="23">
        <f>COUNTIF(Inventory!M:M,A222)</f>
        <v>211</v>
      </c>
      <c r="C222" s="23">
        <f>COUNTIFS(Inventory!M:M,A222,Inventory!J:J,"Closed")</f>
        <v>205</v>
      </c>
      <c r="D222" s="23">
        <f t="shared" si="1"/>
        <v>6</v>
      </c>
      <c r="E222" s="23">
        <f>SUMIF(Inventory!M:M,"SEGA",Inventory!E:E)</f>
        <v>3507.22</v>
      </c>
      <c r="F222" s="23">
        <f>SUMIF(Inventory!M:M,"SEGA",Inventory!F:F)</f>
        <v>4459.5</v>
      </c>
      <c r="G222" s="23">
        <f t="shared" si="2"/>
        <v>952.28</v>
      </c>
      <c r="H222" s="235">
        <f>IFERROR(__xludf.DUMMYFUNCTION("AVERAGE(FILTER(Inventory!K:K,Inventory!J:J=""Closed"",Inventory!M:M=A222))"),27.917073170731708)</f>
        <v>27.91707317</v>
      </c>
      <c r="Q222" s="250"/>
    </row>
    <row r="223">
      <c r="A223" s="78" t="s">
        <v>10495</v>
      </c>
      <c r="B223" s="23">
        <f>COUNTIF(Inventory!M:M,A223)</f>
        <v>1</v>
      </c>
      <c r="C223" s="23">
        <f>COUNTIFS(Inventory!M:M,A223,Inventory!J:J,"Closed")</f>
        <v>1</v>
      </c>
      <c r="D223" s="23">
        <f t="shared" si="1"/>
        <v>0</v>
      </c>
      <c r="E223" s="23">
        <f>SUMIF(Inventory!M:M,"Serenity Forge",Inventory!E:E)</f>
        <v>0.54</v>
      </c>
      <c r="F223" s="23">
        <f>SUMIF(Inventory!M:M,"Serenity Forge",Inventory!F:F)</f>
        <v>0.73</v>
      </c>
      <c r="G223" s="23">
        <f t="shared" si="2"/>
        <v>0.19</v>
      </c>
      <c r="H223" s="235">
        <f>IFERROR(__xludf.DUMMYFUNCTION("AVERAGE(FILTER(Inventory!K:K,Inventory!J:J=""Closed"",Inventory!M:M=A223))"),227.0)</f>
        <v>227</v>
      </c>
      <c r="Q223" s="250"/>
    </row>
    <row r="224">
      <c r="A224" s="78" t="s">
        <v>10496</v>
      </c>
      <c r="B224" s="23">
        <f>COUNTIF(Inventory!M:M,A224)</f>
        <v>2</v>
      </c>
      <c r="C224" s="23">
        <f>COUNTIFS(Inventory!M:M,A224,Inventory!J:J,"Closed")</f>
        <v>2</v>
      </c>
      <c r="D224" s="23">
        <f t="shared" si="1"/>
        <v>0</v>
      </c>
      <c r="E224" s="23">
        <f>SUMIF(Inventory!M:M,"Shining Rock",Inventory!E:E)</f>
        <v>14.23</v>
      </c>
      <c r="F224" s="23">
        <f>SUMIF(Inventory!M:M,"Shining Rock",Inventory!F:F)</f>
        <v>13.46</v>
      </c>
      <c r="G224" s="23">
        <f t="shared" si="2"/>
        <v>-0.77</v>
      </c>
      <c r="H224" s="235">
        <f>IFERROR(__xludf.DUMMYFUNCTION("AVERAGE(FILTER(Inventory!K:K,Inventory!J:J=""Closed"",Inventory!M:M=A224))"),539.0)</f>
        <v>539</v>
      </c>
      <c r="Q224" s="250"/>
    </row>
    <row r="225">
      <c r="A225" s="78" t="s">
        <v>10497</v>
      </c>
      <c r="B225" s="23">
        <f>COUNTIF(Inventory!M:M,A225)</f>
        <v>55</v>
      </c>
      <c r="C225" s="23">
        <f>COUNTIFS(Inventory!M:M,A225,Inventory!J:J,"Closed")</f>
        <v>55</v>
      </c>
      <c r="D225" s="23">
        <f t="shared" si="1"/>
        <v>0</v>
      </c>
      <c r="E225" s="23">
        <f>SUMIF(Inventory!M:M,"Shiro Games",Inventory!E:E)</f>
        <v>895.18</v>
      </c>
      <c r="F225" s="23">
        <f>SUMIF(Inventory!M:M,"Shiro Games",Inventory!F:F)</f>
        <v>1141.71</v>
      </c>
      <c r="G225" s="23">
        <f t="shared" si="2"/>
        <v>246.53</v>
      </c>
      <c r="H225" s="235">
        <f>IFERROR(__xludf.DUMMYFUNCTION("AVERAGE(FILTER(Inventory!K:K,Inventory!J:J=""Closed"",Inventory!M:M=A225))"),73.92727272727272)</f>
        <v>73.92727273</v>
      </c>
      <c r="Q225" s="250"/>
    </row>
    <row r="226">
      <c r="A226" s="78" t="s">
        <v>10498</v>
      </c>
      <c r="B226" s="23">
        <f>COUNTIF(Inventory!M:M,A226)</f>
        <v>21</v>
      </c>
      <c r="C226" s="23">
        <f>COUNTIFS(Inventory!M:M,A226,Inventory!J:J,"Closed")</f>
        <v>21</v>
      </c>
      <c r="D226" s="23">
        <f t="shared" si="1"/>
        <v>0</v>
      </c>
      <c r="E226" s="23">
        <f>SUMIF(Inventory!M:M,"Siege Camp",Inventory!E:E)</f>
        <v>345.91</v>
      </c>
      <c r="F226" s="23">
        <f>SUMIF(Inventory!M:M,"Siege Camp",Inventory!F:F)</f>
        <v>423.21</v>
      </c>
      <c r="G226" s="23">
        <f t="shared" si="2"/>
        <v>77.3</v>
      </c>
      <c r="H226" s="235">
        <f>IFERROR(__xludf.DUMMYFUNCTION("AVERAGE(FILTER(Inventory!K:K,Inventory!J:J=""Closed"",Inventory!M:M=A226))"),41.38095238095238)</f>
        <v>41.38095238</v>
      </c>
      <c r="Q226" s="250"/>
    </row>
    <row r="227">
      <c r="A227" s="78" t="s">
        <v>10499</v>
      </c>
      <c r="B227" s="23">
        <f>COUNTIF(Inventory!M:M,A227)</f>
        <v>4</v>
      </c>
      <c r="C227" s="23">
        <f>COUNTIFS(Inventory!M:M,A227,Inventory!J:J,"Closed")</f>
        <v>4</v>
      </c>
      <c r="D227" s="23">
        <f t="shared" si="1"/>
        <v>0</v>
      </c>
      <c r="E227" s="23">
        <f>SUMIF(Inventory!M:M,"Silver Dollar Games",Inventory!E:E)</f>
        <v>2.22</v>
      </c>
      <c r="F227" s="23">
        <f>SUMIF(Inventory!M:M,"Silver Dollar Games",Inventory!F:F)</f>
        <v>0.12</v>
      </c>
      <c r="G227" s="23">
        <f t="shared" si="2"/>
        <v>-2.1</v>
      </c>
      <c r="H227" s="235">
        <f>IFERROR(__xludf.DUMMYFUNCTION("AVERAGE(FILTER(Inventory!K:K,Inventory!J:J=""Closed"",Inventory!M:M=A227))"),539.0)</f>
        <v>539</v>
      </c>
      <c r="Q227" s="250"/>
    </row>
    <row r="228">
      <c r="A228" s="78" t="s">
        <v>10500</v>
      </c>
      <c r="B228" s="23">
        <f>COUNTIF(Inventory!M:M,A228)</f>
        <v>16</v>
      </c>
      <c r="C228" s="23">
        <f>COUNTIFS(Inventory!M:M,A228,Inventory!J:J,"Closed")</f>
        <v>16</v>
      </c>
      <c r="D228" s="23">
        <f t="shared" si="1"/>
        <v>0</v>
      </c>
      <c r="E228" s="23">
        <f>SUMIF(Inventory!M:M,"Skybound Games",Inventory!E:E)</f>
        <v>37.22</v>
      </c>
      <c r="F228" s="23">
        <f>SUMIF(Inventory!M:M,"Skybound Games",Inventory!F:F)</f>
        <v>58.39</v>
      </c>
      <c r="G228" s="23">
        <f t="shared" si="2"/>
        <v>21.17</v>
      </c>
      <c r="H228" s="235">
        <f>IFERROR(__xludf.DUMMYFUNCTION("AVERAGE(FILTER(Inventory!K:K,Inventory!J:J=""Closed"",Inventory!M:M=A228))"),29.6875)</f>
        <v>29.6875</v>
      </c>
      <c r="Q228" s="250"/>
    </row>
    <row r="229">
      <c r="A229" s="78" t="s">
        <v>10501</v>
      </c>
      <c r="B229" s="23">
        <f>COUNTIF(Inventory!M:M,A229)</f>
        <v>25</v>
      </c>
      <c r="C229" s="23">
        <f>COUNTIFS(Inventory!M:M,A229,Inventory!J:J,"Closed")</f>
        <v>25</v>
      </c>
      <c r="D229" s="23">
        <f t="shared" si="1"/>
        <v>0</v>
      </c>
      <c r="E229" s="23">
        <f>SUMIF(Inventory!M:M,"Skystone Games",Inventory!E:E)</f>
        <v>176.89</v>
      </c>
      <c r="F229" s="23">
        <f>SUMIF(Inventory!M:M,"Skystone Games",Inventory!F:F)</f>
        <v>220.12</v>
      </c>
      <c r="G229" s="23">
        <f t="shared" si="2"/>
        <v>43.23</v>
      </c>
      <c r="H229" s="235">
        <f>IFERROR(__xludf.DUMMYFUNCTION("AVERAGE(FILTER(Inventory!K:K,Inventory!J:J=""Closed"",Inventory!M:M=A229))"),15.92)</f>
        <v>15.92</v>
      </c>
      <c r="Q229" s="250"/>
    </row>
    <row r="230">
      <c r="A230" s="78" t="s">
        <v>10502</v>
      </c>
      <c r="B230" s="23">
        <f>COUNTIF(Inventory!M:M,A230)</f>
        <v>1</v>
      </c>
      <c r="C230" s="23">
        <f>COUNTIFS(Inventory!M:M,A230,Inventory!J:J,"Closed")</f>
        <v>1</v>
      </c>
      <c r="D230" s="23">
        <f t="shared" si="1"/>
        <v>0</v>
      </c>
      <c r="E230" s="23">
        <f>SUMIF(Inventory!M:M,"Snapshot Games",Inventory!E:E)</f>
        <v>50</v>
      </c>
      <c r="F230" s="23">
        <f>SUMIF(Inventory!M:M,"Snapshot Games",Inventory!F:F)</f>
        <v>34.33</v>
      </c>
      <c r="G230" s="23">
        <f t="shared" si="2"/>
        <v>-15.67</v>
      </c>
      <c r="H230" s="235">
        <f>IFERROR(__xludf.DUMMYFUNCTION("AVERAGE(FILTER(Inventory!K:K,Inventory!J:J=""Closed"",Inventory!M:M=A230))"),70.0)</f>
        <v>70</v>
      </c>
      <c r="Q230" s="250"/>
    </row>
    <row r="231">
      <c r="A231" s="78" t="s">
        <v>10503</v>
      </c>
      <c r="B231" s="23">
        <f>COUNTIF(Inventory!M:M,A231)</f>
        <v>1</v>
      </c>
      <c r="C231" s="23">
        <f>COUNTIFS(Inventory!M:M,A231,Inventory!J:J,"Closed")</f>
        <v>1</v>
      </c>
      <c r="D231" s="23">
        <f t="shared" si="1"/>
        <v>0</v>
      </c>
      <c r="E231" s="23">
        <f>SUMIF(Inventory!M:M,"Sludj Games",Inventory!E:E)</f>
        <v>0.53</v>
      </c>
      <c r="F231" s="23">
        <f>SUMIF(Inventory!M:M,"Sludj Games",Inventory!F:F)</f>
        <v>1.38</v>
      </c>
      <c r="G231" s="23">
        <f t="shared" si="2"/>
        <v>0.85</v>
      </c>
      <c r="H231" s="235">
        <f>IFERROR(__xludf.DUMMYFUNCTION("AVERAGE(FILTER(Inventory!K:K,Inventory!J:J=""Closed"",Inventory!M:M=A231))"),200.0)</f>
        <v>200</v>
      </c>
      <c r="Q231" s="250"/>
    </row>
    <row r="232">
      <c r="A232" s="78" t="s">
        <v>10504</v>
      </c>
      <c r="B232" s="23">
        <f>COUNTIF(Inventory!M:M,A232)</f>
        <v>5</v>
      </c>
      <c r="C232" s="23">
        <f>COUNTIFS(Inventory!M:M,A232,Inventory!J:J,"Closed")</f>
        <v>5</v>
      </c>
      <c r="D232" s="23">
        <f t="shared" si="1"/>
        <v>0</v>
      </c>
      <c r="E232" s="23">
        <f>SUMIF(Inventory!M:M,"Slitherine Ltd",Inventory!E:E)</f>
        <v>1</v>
      </c>
      <c r="F232" s="23">
        <f>SUMIF(Inventory!M:M,"Slitherine Ltd",Inventory!F:F)</f>
        <v>1.41</v>
      </c>
      <c r="G232" s="23">
        <f t="shared" si="2"/>
        <v>0.41</v>
      </c>
      <c r="H232" s="235">
        <f>IFERROR(__xludf.DUMMYFUNCTION("AVERAGE(FILTER(Inventory!K:K,Inventory!J:J=""Closed"",Inventory!M:M=A232))"),599.0)</f>
        <v>599</v>
      </c>
      <c r="Q232" s="250"/>
    </row>
    <row r="233">
      <c r="A233" s="78" t="s">
        <v>10505</v>
      </c>
      <c r="B233" s="23">
        <f>COUNTIF(Inventory!M:M,A233)</f>
        <v>1</v>
      </c>
      <c r="C233" s="23">
        <f>COUNTIFS(Inventory!M:M,A233,Inventory!J:J,"Closed")</f>
        <v>1</v>
      </c>
      <c r="D233" s="23">
        <f t="shared" si="1"/>
        <v>0</v>
      </c>
      <c r="E233" s="23">
        <f>SUMIF(Inventory!M:M,"SNK CORPORATION",Inventory!E:E)</f>
        <v>12.97</v>
      </c>
      <c r="F233" s="23">
        <f>SUMIF(Inventory!M:M,"SNK CORPORATION",Inventory!F:F)</f>
        <v>17.1</v>
      </c>
      <c r="G233" s="23">
        <f t="shared" si="2"/>
        <v>4.13</v>
      </c>
      <c r="H233" s="235">
        <f>IFERROR(__xludf.DUMMYFUNCTION("AVERAGE(FILTER(Inventory!K:K,Inventory!J:J=""Closed"",Inventory!M:M=A233))"),29.0)</f>
        <v>29</v>
      </c>
      <c r="Q233" s="250"/>
    </row>
    <row r="234">
      <c r="A234" s="78" t="s">
        <v>10506</v>
      </c>
      <c r="B234" s="23">
        <f>COUNTIF(Inventory!M:M,A234)</f>
        <v>5</v>
      </c>
      <c r="C234" s="23">
        <f>COUNTIFS(Inventory!M:M,A234,Inventory!J:J,"Closed")</f>
        <v>5</v>
      </c>
      <c r="D234" s="23">
        <f t="shared" si="1"/>
        <v>0</v>
      </c>
      <c r="E234" s="23">
        <f>SUMIF(Inventory!M:M,"Sold Out",Inventory!E:E)</f>
        <v>57.15</v>
      </c>
      <c r="F234" s="23">
        <f>SUMIF(Inventory!M:M,"Sold Out",Inventory!F:F)</f>
        <v>66.66</v>
      </c>
      <c r="G234" s="23">
        <f t="shared" si="2"/>
        <v>9.51</v>
      </c>
      <c r="H234" s="235">
        <f>IFERROR(__xludf.DUMMYFUNCTION("AVERAGE(FILTER(Inventory!K:K,Inventory!J:J=""Closed"",Inventory!M:M=A234))"),56.0)</f>
        <v>56</v>
      </c>
      <c r="Q234" s="250"/>
    </row>
    <row r="235">
      <c r="A235" s="78" t="s">
        <v>10507</v>
      </c>
      <c r="B235" s="23">
        <f>COUNTIF(Inventory!M:M,A235)</f>
        <v>2</v>
      </c>
      <c r="C235" s="23">
        <f>COUNTIFS(Inventory!M:M,A235,Inventory!J:J,"Closed")</f>
        <v>2</v>
      </c>
      <c r="D235" s="23">
        <f t="shared" si="1"/>
        <v>0</v>
      </c>
      <c r="E235" s="23">
        <f>SUMIF(Inventory!M:M,"South East Games",Inventory!E:E)</f>
        <v>21.58</v>
      </c>
      <c r="F235" s="23">
        <f>SUMIF(Inventory!M:M,"South East Games",Inventory!F:F)</f>
        <v>23.53</v>
      </c>
      <c r="G235" s="23">
        <f t="shared" si="2"/>
        <v>1.95</v>
      </c>
      <c r="H235" s="235">
        <f>IFERROR(__xludf.DUMMYFUNCTION("AVERAGE(FILTER(Inventory!K:K,Inventory!J:J=""Closed"",Inventory!M:M=A235))"),197.5)</f>
        <v>197.5</v>
      </c>
      <c r="Q235" s="250"/>
    </row>
    <row r="236">
      <c r="A236" s="78" t="s">
        <v>10508</v>
      </c>
      <c r="B236" s="23">
        <f>COUNTIF(Inventory!M:M,A236)</f>
        <v>2</v>
      </c>
      <c r="C236" s="23">
        <f>COUNTIFS(Inventory!M:M,A236,Inventory!J:J,"Closed")</f>
        <v>2</v>
      </c>
      <c r="D236" s="23">
        <f t="shared" si="1"/>
        <v>0</v>
      </c>
      <c r="E236" s="23">
        <f>SUMIF(Inventory!M:M,"Squanch Games",Inventory!E:E)</f>
        <v>52.52</v>
      </c>
      <c r="F236" s="23">
        <f>SUMIF(Inventory!M:M,"Squanch Games",Inventory!F:F)</f>
        <v>65.49</v>
      </c>
      <c r="G236" s="23">
        <f t="shared" si="2"/>
        <v>12.97</v>
      </c>
      <c r="H236" s="235">
        <f>IFERROR(__xludf.DUMMYFUNCTION("AVERAGE(FILTER(Inventory!K:K,Inventory!J:J=""Closed"",Inventory!M:M=A236))"),1.5)</f>
        <v>1.5</v>
      </c>
      <c r="Q236" s="250"/>
    </row>
    <row r="237">
      <c r="A237" s="78" t="s">
        <v>10509</v>
      </c>
      <c r="B237" s="23">
        <f>COUNTIF(Inventory!M:M,A237)</f>
        <v>363</v>
      </c>
      <c r="C237" s="23">
        <f>COUNTIFS(Inventory!M:M,A237,Inventory!J:J,"Closed")</f>
        <v>349</v>
      </c>
      <c r="D237" s="23">
        <f t="shared" si="1"/>
        <v>14</v>
      </c>
      <c r="E237" s="23">
        <f>SUMIF(Inventory!M:M,"Square Enix",Inventory!E:E)</f>
        <v>4418.77</v>
      </c>
      <c r="F237" s="23">
        <f>SUMIF(Inventory!M:M,"Square Enix",Inventory!F:F)</f>
        <v>5228.52</v>
      </c>
      <c r="G237" s="23">
        <f t="shared" si="2"/>
        <v>809.75</v>
      </c>
      <c r="H237" s="235">
        <f>IFERROR(__xludf.DUMMYFUNCTION("AVERAGE(FILTER(Inventory!K:K,Inventory!J:J=""Closed"",Inventory!M:M=A237))"),34.10028653295129)</f>
        <v>34.10028653</v>
      </c>
      <c r="Q237" s="250"/>
    </row>
    <row r="238">
      <c r="A238" s="78" t="s">
        <v>10510</v>
      </c>
      <c r="B238" s="23">
        <f>COUNTIF(Inventory!M:M,A238)</f>
        <v>3</v>
      </c>
      <c r="C238" s="23">
        <f>COUNTIFS(Inventory!M:M,A238,Inventory!J:J,"Closed")</f>
        <v>3</v>
      </c>
      <c r="D238" s="23">
        <f t="shared" si="1"/>
        <v>0</v>
      </c>
      <c r="E238" s="23">
        <f>SUMIF(Inventory!M:M,"Star Drifters",Inventory!E:E)</f>
        <v>0</v>
      </c>
      <c r="F238" s="23">
        <f>SUMIF(Inventory!M:M,"Star Drifters",Inventory!F:F)</f>
        <v>0.64</v>
      </c>
      <c r="G238" s="23">
        <f t="shared" si="2"/>
        <v>0.64</v>
      </c>
      <c r="H238" s="235">
        <f>IFERROR(__xludf.DUMMYFUNCTION("AVERAGE(FILTER(Inventory!K:K,Inventory!J:J=""Closed"",Inventory!M:M=A238))"),20.666666666666668)</f>
        <v>20.66666667</v>
      </c>
      <c r="Q238" s="250"/>
    </row>
    <row r="239">
      <c r="A239" s="78" t="s">
        <v>10511</v>
      </c>
      <c r="B239" s="23">
        <f>COUNTIF(Inventory!M:M,A239)</f>
        <v>206</v>
      </c>
      <c r="C239" s="23">
        <f>COUNTIFS(Inventory!M:M,A239,Inventory!J:J,"Closed")</f>
        <v>206</v>
      </c>
      <c r="D239" s="23">
        <f t="shared" si="1"/>
        <v>0</v>
      </c>
      <c r="E239" s="23">
        <f>SUMIF(Inventory!M:M,"Starbreeze Publishing",Inventory!E:E)</f>
        <v>238.32</v>
      </c>
      <c r="F239" s="23">
        <f>SUMIF(Inventory!M:M,"Starbreeze Publishing",Inventory!F:F)</f>
        <v>338.478</v>
      </c>
      <c r="G239" s="23">
        <f t="shared" si="2"/>
        <v>100.158</v>
      </c>
      <c r="H239" s="235">
        <f>IFERROR(__xludf.DUMMYFUNCTION("AVERAGE(FILTER(Inventory!K:K,Inventory!J:J=""Closed"",Inventory!M:M=A239))"),7.179611650485437)</f>
        <v>7.17961165</v>
      </c>
      <c r="Q239" s="250"/>
    </row>
    <row r="240">
      <c r="A240" s="99" t="s">
        <v>10512</v>
      </c>
      <c r="B240" s="23">
        <f>COUNTIF(Inventory!M:M,A240)</f>
        <v>1</v>
      </c>
      <c r="C240" s="23">
        <f>COUNTIFS(Inventory!M:M,A240,Inventory!J:J,"Closed")</f>
        <v>1</v>
      </c>
      <c r="D240" s="23">
        <f t="shared" si="1"/>
        <v>0</v>
      </c>
      <c r="E240" s="23">
        <f>SUMIF(Inventory!M:M,"Steel City Interactive",Inventory!E:E)</f>
        <v>22.79</v>
      </c>
      <c r="F240" s="23">
        <f>SUMIF(Inventory!M:M,"Steel City Interactive",Inventory!F:F)</f>
        <v>24.87</v>
      </c>
      <c r="G240" s="23">
        <f t="shared" si="2"/>
        <v>2.08</v>
      </c>
      <c r="H240" s="235">
        <f>IFERROR(__xludf.DUMMYFUNCTION("AVERAGE(FILTER(Inventory!K:K,Inventory!J:J=""Closed"",Inventory!M:M=A240))"),364.0)</f>
        <v>364</v>
      </c>
      <c r="Q240" s="250"/>
    </row>
    <row r="241">
      <c r="A241" s="99" t="s">
        <v>10513</v>
      </c>
      <c r="B241" s="23">
        <f>COUNTIF(Inventory!M:M,A241)</f>
        <v>1</v>
      </c>
      <c r="C241" s="23">
        <f>COUNTIFS(Inventory!M:M,A241,Inventory!J:J,"Closed")</f>
        <v>1</v>
      </c>
      <c r="D241" s="23">
        <f t="shared" si="1"/>
        <v>0</v>
      </c>
      <c r="E241" s="23">
        <f>SUMIF(Inventory!M:M,"Steel Sky Productions",Inventory!E:E)</f>
        <v>17.76</v>
      </c>
      <c r="F241" s="23">
        <f>SUMIF(Inventory!M:M,"Steel Sky Productions",Inventory!F:F)</f>
        <v>22.64</v>
      </c>
      <c r="G241" s="23">
        <f t="shared" si="2"/>
        <v>4.88</v>
      </c>
      <c r="H241" s="235">
        <f>IFERROR(__xludf.DUMMYFUNCTION("AVERAGE(FILTER(Inventory!K:K,Inventory!J:J=""Closed"",Inventory!M:M=A241))"),28.0)</f>
        <v>28</v>
      </c>
      <c r="Q241" s="250"/>
    </row>
    <row r="242">
      <c r="A242" s="99" t="s">
        <v>10514</v>
      </c>
      <c r="B242" s="23">
        <f>COUNTIF(Inventory!M:M,A242)</f>
        <v>1</v>
      </c>
      <c r="C242" s="23">
        <f>COUNTIFS(Inventory!M:M,A242,Inventory!J:J,"Closed")</f>
        <v>1</v>
      </c>
      <c r="D242" s="23">
        <f t="shared" si="1"/>
        <v>0</v>
      </c>
      <c r="E242" s="23">
        <f>SUMIF(Inventory!M:M,"Stoic Studio",Inventory!E:E)</f>
        <v>4.99</v>
      </c>
      <c r="F242" s="23">
        <f>SUMIF(Inventory!M:M,"Stoic Studio",Inventory!F:F)</f>
        <v>7.84</v>
      </c>
      <c r="G242" s="23">
        <f t="shared" si="2"/>
        <v>2.85</v>
      </c>
      <c r="H242" s="235">
        <f>IFERROR(__xludf.DUMMYFUNCTION("AVERAGE(FILTER(Inventory!K:K,Inventory!J:J=""Closed"",Inventory!M:M=A242))"),152.0)</f>
        <v>152</v>
      </c>
      <c r="Q242" s="250"/>
    </row>
    <row r="243">
      <c r="A243" s="99" t="s">
        <v>10515</v>
      </c>
      <c r="B243" s="23">
        <f>COUNTIF(Inventory!M:M,A243)</f>
        <v>12</v>
      </c>
      <c r="C243" s="23">
        <f>COUNTIFS(Inventory!M:M,A243,Inventory!J:J,"Closed")</f>
        <v>12</v>
      </c>
      <c r="D243" s="23">
        <f t="shared" si="1"/>
        <v>0</v>
      </c>
      <c r="E243" s="23">
        <f>SUMIF(Inventory!M:M,"Studio Wildcard",Inventory!E:E)</f>
        <v>201.48</v>
      </c>
      <c r="F243" s="23">
        <f>SUMIF(Inventory!M:M,"Studio Wildcard",Inventory!F:F)</f>
        <v>292.21</v>
      </c>
      <c r="G243" s="23">
        <f t="shared" si="2"/>
        <v>90.73</v>
      </c>
      <c r="H243" s="235">
        <f>IFERROR(__xludf.DUMMYFUNCTION("AVERAGE(FILTER(Inventory!K:K,Inventory!J:J=""Closed"",Inventory!M:M=A243))"),2.0)</f>
        <v>2</v>
      </c>
      <c r="Q243" s="250"/>
    </row>
    <row r="244">
      <c r="A244" s="99" t="s">
        <v>10516</v>
      </c>
      <c r="B244" s="23">
        <f>COUNTIF(Inventory!M:M,A244)</f>
        <v>1</v>
      </c>
      <c r="C244" s="23">
        <f>COUNTIFS(Inventory!M:M,A244,Inventory!J:J,"Closed")</f>
        <v>1</v>
      </c>
      <c r="D244" s="23">
        <f t="shared" si="1"/>
        <v>0</v>
      </c>
      <c r="E244" s="23">
        <f>SUMIF(Inventory!M:M,"Stunlock Studios",Inventory!E:E)</f>
        <v>14.69</v>
      </c>
      <c r="F244" s="23">
        <f>SUMIF(Inventory!M:M,"Stunlock Studios",Inventory!F:F)</f>
        <v>15.69</v>
      </c>
      <c r="G244" s="23">
        <f t="shared" si="2"/>
        <v>1</v>
      </c>
      <c r="H244" s="235">
        <f>IFERROR(__xludf.DUMMYFUNCTION("AVERAGE(FILTER(Inventory!K:K,Inventory!J:J=""Closed"",Inventory!M:M=A244))"),5.0)</f>
        <v>5</v>
      </c>
      <c r="Q244" s="250"/>
    </row>
    <row r="245">
      <c r="A245" s="99" t="s">
        <v>10517</v>
      </c>
      <c r="B245" s="23">
        <f>COUNTIF(Inventory!M:M,A245)</f>
        <v>2</v>
      </c>
      <c r="C245" s="23">
        <f>COUNTIFS(Inventory!M:M,A245,Inventory!J:J,"Closed")</f>
        <v>2</v>
      </c>
      <c r="D245" s="23">
        <f t="shared" si="1"/>
        <v>0</v>
      </c>
      <c r="E245" s="23">
        <f>SUMIF(Inventory!M:M,"Stygian Software",Inventory!E:E)</f>
        <v>9.89</v>
      </c>
      <c r="F245" s="23">
        <f>SUMIF(Inventory!M:M,"Stygian Software",Inventory!F:F)</f>
        <v>14.86</v>
      </c>
      <c r="G245" s="23">
        <f t="shared" si="2"/>
        <v>4.97</v>
      </c>
      <c r="H245" s="235">
        <f>IFERROR(__xludf.DUMMYFUNCTION("AVERAGE(FILTER(Inventory!K:K,Inventory!J:J=""Closed"",Inventory!M:M=A245))"),21.5)</f>
        <v>21.5</v>
      </c>
      <c r="Q245" s="250"/>
    </row>
    <row r="246">
      <c r="A246" s="78" t="s">
        <v>10518</v>
      </c>
      <c r="B246" s="23">
        <f>COUNTIF(Inventory!M:M,A246)</f>
        <v>6</v>
      </c>
      <c r="C246" s="23">
        <f>COUNTIFS(Inventory!M:M,A246,Inventory!J:J,"Closed")</f>
        <v>6</v>
      </c>
      <c r="D246" s="23">
        <f t="shared" si="1"/>
        <v>0</v>
      </c>
      <c r="E246" s="23">
        <f>SUMIF(Inventory!M:M,"Subset Games",Inventory!E:E)</f>
        <v>35.7</v>
      </c>
      <c r="F246" s="23">
        <f>SUMIF(Inventory!M:M,"Subset Games",Inventory!F:F)</f>
        <v>37.85</v>
      </c>
      <c r="G246" s="23">
        <f t="shared" si="2"/>
        <v>2.15</v>
      </c>
      <c r="H246" s="235">
        <f>IFERROR(__xludf.DUMMYFUNCTION("AVERAGE(FILTER(Inventory!K:K,Inventory!J:J=""Closed"",Inventory!M:M=A246))"),167.0)</f>
        <v>167</v>
      </c>
      <c r="Q246" s="250"/>
    </row>
    <row r="247">
      <c r="A247" s="78" t="s">
        <v>10519</v>
      </c>
      <c r="B247" s="23">
        <f>COUNTIF(Inventory!M:M,A247)</f>
        <v>2</v>
      </c>
      <c r="C247" s="23">
        <f>COUNTIFS(Inventory!M:M,A247,Inventory!J:J,"Closed")</f>
        <v>2</v>
      </c>
      <c r="D247" s="23">
        <f t="shared" si="1"/>
        <v>0</v>
      </c>
      <c r="E247" s="23">
        <f>SUMIF(Inventory!M:M,"SUPERHOT Team",Inventory!E:E)</f>
        <v>21.18</v>
      </c>
      <c r="F247" s="23">
        <f>SUMIF(Inventory!M:M,"SUPERHOT Team",Inventory!F:F)</f>
        <v>25.18</v>
      </c>
      <c r="G247" s="23">
        <f t="shared" si="2"/>
        <v>4</v>
      </c>
      <c r="H247" s="235">
        <f>IFERROR(__xludf.DUMMYFUNCTION("AVERAGE(FILTER(Inventory!K:K,Inventory!J:J=""Closed"",Inventory!M:M=A247))"),1.5)</f>
        <v>1.5</v>
      </c>
      <c r="Q247" s="250"/>
    </row>
    <row r="248">
      <c r="A248" s="78" t="s">
        <v>10520</v>
      </c>
      <c r="B248" s="23">
        <f>COUNTIF(Inventory!M:M,A248)</f>
        <v>1</v>
      </c>
      <c r="C248" s="23">
        <f>COUNTIFS(Inventory!M:M,A248,Inventory!J:J,"Closed")</f>
        <v>1</v>
      </c>
      <c r="D248" s="23">
        <f t="shared" si="1"/>
        <v>0</v>
      </c>
      <c r="E248" s="23">
        <f>SUMIF(Inventory!M:M,"Surprise Attack",Inventory!E:E)</f>
        <v>0</v>
      </c>
      <c r="F248" s="23">
        <f>SUMIF(Inventory!M:M,"Surprise Attack",Inventory!F:F)</f>
        <v>0.88</v>
      </c>
      <c r="G248" s="23">
        <f t="shared" si="2"/>
        <v>0.88</v>
      </c>
      <c r="H248" s="235">
        <f>IFERROR(__xludf.DUMMYFUNCTION("AVERAGE(FILTER(Inventory!K:K,Inventory!J:J=""Closed"",Inventory!M:M=A248))"),112.0)</f>
        <v>112</v>
      </c>
      <c r="Q248" s="250"/>
    </row>
    <row r="249">
      <c r="A249" s="78" t="s">
        <v>10521</v>
      </c>
      <c r="B249" s="23">
        <f>COUNTIF(Inventory!M:M,A249)</f>
        <v>213</v>
      </c>
      <c r="C249" s="23">
        <f>COUNTIFS(Inventory!M:M,A249,Inventory!J:J,"Closed")</f>
        <v>212</v>
      </c>
      <c r="D249" s="23">
        <f t="shared" si="1"/>
        <v>1</v>
      </c>
      <c r="E249" s="23">
        <f>SUMIF(Inventory!M:M,"Survios",Inventory!E:E)</f>
        <v>2966.035873</v>
      </c>
      <c r="F249" s="23">
        <f>SUMIF(Inventory!M:M,"Survios",Inventory!F:F)</f>
        <v>4131.35</v>
      </c>
      <c r="G249" s="23">
        <f t="shared" si="2"/>
        <v>1165.314127</v>
      </c>
      <c r="H249" s="235">
        <f>IFERROR(__xludf.DUMMYFUNCTION("AVERAGE(FILTER(Inventory!K:K,Inventory!J:J=""Closed"",Inventory!M:M=A249))"),4.60377358490566)</f>
        <v>4.603773585</v>
      </c>
      <c r="Q249" s="250"/>
    </row>
    <row r="250">
      <c r="A250" s="78" t="s">
        <v>10522</v>
      </c>
      <c r="B250" s="23">
        <f>COUNTIF(Inventory!M:M,A250)</f>
        <v>10</v>
      </c>
      <c r="C250" s="23">
        <f>COUNTIFS(Inventory!M:M,A250,Inventory!J:J,"Closed")</f>
        <v>10</v>
      </c>
      <c r="D250" s="23">
        <f t="shared" si="1"/>
        <v>0</v>
      </c>
      <c r="E250" s="23">
        <f>SUMIF(Inventory!M:M,"Systemic Reaction",Inventory!E:E)</f>
        <v>93.02</v>
      </c>
      <c r="F250" s="23">
        <f>SUMIF(Inventory!M:M,"Systemic Reaction",Inventory!F:F)</f>
        <v>126.04</v>
      </c>
      <c r="G250" s="23">
        <f t="shared" si="2"/>
        <v>33.02</v>
      </c>
      <c r="H250" s="235">
        <f>IFERROR(__xludf.DUMMYFUNCTION("AVERAGE(FILTER(Inventory!K:K,Inventory!J:J=""Closed"",Inventory!M:M=A250))"),92.5)</f>
        <v>92.5</v>
      </c>
      <c r="Q250" s="250"/>
    </row>
    <row r="251">
      <c r="A251" s="78" t="s">
        <v>10523</v>
      </c>
      <c r="B251" s="23">
        <f>COUNTIF(Inventory!M:M,A251)</f>
        <v>2</v>
      </c>
      <c r="C251" s="23">
        <f>COUNTIFS(Inventory!M:M,A251,Inventory!J:J,"Closed")</f>
        <v>2</v>
      </c>
      <c r="D251" s="23">
        <f t="shared" si="1"/>
        <v>0</v>
      </c>
      <c r="E251" s="23">
        <f>SUMIF(Inventory!M:M,"Tactical Adventures",Inventory!E:E)</f>
        <v>24.94</v>
      </c>
      <c r="F251" s="23">
        <f>SUMIF(Inventory!M:M,"Tactical Adventures",Inventory!F:F)</f>
        <v>28.09</v>
      </c>
      <c r="G251" s="23">
        <f t="shared" si="2"/>
        <v>3.15</v>
      </c>
      <c r="H251" s="235">
        <f>IFERROR(__xludf.DUMMYFUNCTION("AVERAGE(FILTER(Inventory!K:K,Inventory!J:J=""Closed"",Inventory!M:M=A251))"),398.0)</f>
        <v>398</v>
      </c>
      <c r="Q251" s="250"/>
    </row>
    <row r="252">
      <c r="A252" s="78" t="s">
        <v>10524</v>
      </c>
      <c r="B252" s="23">
        <f>COUNTIF(Inventory!M:M,A252)</f>
        <v>4</v>
      </c>
      <c r="C252" s="23">
        <f>COUNTIFS(Inventory!M:M,A252,Inventory!J:J,"Closed")</f>
        <v>4</v>
      </c>
      <c r="D252" s="23">
        <f t="shared" si="1"/>
        <v>0</v>
      </c>
      <c r="E252" s="23">
        <f>SUMIF(Inventory!M:M,"Team Reptile",Inventory!E:E)</f>
        <v>12.64</v>
      </c>
      <c r="F252" s="23">
        <f>SUMIF(Inventory!M:M,"Team Reptile",Inventory!F:F)</f>
        <v>19.79</v>
      </c>
      <c r="G252" s="23">
        <f t="shared" si="2"/>
        <v>7.15</v>
      </c>
      <c r="H252" s="235">
        <f>IFERROR(__xludf.DUMMYFUNCTION("AVERAGE(FILTER(Inventory!K:K,Inventory!J:J=""Closed"",Inventory!M:M=A252))"),32.25)</f>
        <v>32.25</v>
      </c>
      <c r="Q252" s="250"/>
    </row>
    <row r="253">
      <c r="A253" s="78" t="s">
        <v>10525</v>
      </c>
      <c r="B253" s="23">
        <f>COUNTIF(Inventory!M:M,A253)</f>
        <v>66</v>
      </c>
      <c r="C253" s="23">
        <f>COUNTIFS(Inventory!M:M,A253,Inventory!J:J,"Closed")</f>
        <v>65</v>
      </c>
      <c r="D253" s="23">
        <f t="shared" si="1"/>
        <v>1</v>
      </c>
      <c r="E253" s="23">
        <f>SUMIF(Inventory!M:M,"Team17",Inventory!E:E)</f>
        <v>0</v>
      </c>
      <c r="F253" s="23">
        <f>SUMIF(Inventory!M:M,"Team17 Digital",Inventory!F:F)</f>
        <v>661.54</v>
      </c>
      <c r="G253" s="23">
        <f t="shared" si="2"/>
        <v>661.54</v>
      </c>
      <c r="H253" s="235">
        <f>IFERROR(__xludf.DUMMYFUNCTION("AVERAGE(FILTER(Inventory!K:K,Inventory!J:J=""Closed"",Inventory!M:M=A253))"),70.53846153846153)</f>
        <v>70.53846154</v>
      </c>
      <c r="Q253" s="250"/>
    </row>
    <row r="254">
      <c r="A254" s="78" t="s">
        <v>10526</v>
      </c>
      <c r="B254" s="23">
        <f>COUNTIF(Inventory!M:M,A254)</f>
        <v>22</v>
      </c>
      <c r="C254" s="23">
        <f>COUNTIFS(Inventory!M:M,A254,Inventory!J:J,"Closed")</f>
        <v>22</v>
      </c>
      <c r="D254" s="23">
        <f t="shared" si="1"/>
        <v>0</v>
      </c>
      <c r="E254" s="23">
        <f>SUMIF(Inventory!M:M,"Techland Publishing",Inventory!E:E)</f>
        <v>290.66</v>
      </c>
      <c r="F254" s="23">
        <f>SUMIF(Inventory!M:M,"Techland Publishing",Inventory!F:F)</f>
        <v>328.85</v>
      </c>
      <c r="G254" s="23">
        <f t="shared" si="2"/>
        <v>38.19</v>
      </c>
      <c r="H254" s="235">
        <f>IFERROR(__xludf.DUMMYFUNCTION("AVERAGE(FILTER(Inventory!K:K,Inventory!J:J=""Closed"",Inventory!M:M=A254))"),31.0)</f>
        <v>31</v>
      </c>
      <c r="Q254" s="250"/>
    </row>
    <row r="255">
      <c r="A255" s="99" t="s">
        <v>10527</v>
      </c>
      <c r="B255" s="23">
        <f>COUNTIF(Inventory!M:M,A255)</f>
        <v>1</v>
      </c>
      <c r="C255" s="23">
        <f>COUNTIFS(Inventory!M:M,A255,Inventory!J:J,"Closed")</f>
        <v>1</v>
      </c>
      <c r="D255" s="23">
        <f t="shared" si="1"/>
        <v>0</v>
      </c>
      <c r="E255" s="23">
        <f>SUMIF(Inventory!M:M,"Telltale",Inventory!E:E)</f>
        <v>0</v>
      </c>
      <c r="F255" s="23">
        <f>SUMIF(Inventory!M:M,"Telltale",Inventory!F:F)</f>
        <v>0.13</v>
      </c>
      <c r="G255" s="23">
        <f t="shared" si="2"/>
        <v>0.13</v>
      </c>
      <c r="H255" s="235">
        <f>IFERROR(__xludf.DUMMYFUNCTION("AVERAGE(FILTER(Inventory!K:K,Inventory!J:J=""Closed"",Inventory!M:M=A255))"),6.0)</f>
        <v>6</v>
      </c>
      <c r="Q255" s="250"/>
    </row>
    <row r="256">
      <c r="A256" s="99" t="s">
        <v>10528</v>
      </c>
      <c r="B256" s="23">
        <f>COUNTIF(Inventory!M:M,A256)</f>
        <v>2</v>
      </c>
      <c r="C256" s="23">
        <f>COUNTIFS(Inventory!M:M,A256,Inventory!J:J,"Closed")</f>
        <v>2</v>
      </c>
      <c r="D256" s="23">
        <f t="shared" si="1"/>
        <v>0</v>
      </c>
      <c r="E256" s="23">
        <f>SUMIF(Inventory!M:M,"Terry Cavanagh",Inventory!E:E)</f>
        <v>0</v>
      </c>
      <c r="F256" s="23">
        <f>SUMIF(Inventory!M:M,"Terry Cavanagh",Inventory!F:F)</f>
        <v>0.08</v>
      </c>
      <c r="G256" s="23">
        <f t="shared" si="2"/>
        <v>0.08</v>
      </c>
      <c r="H256" s="235">
        <f>IFERROR(__xludf.DUMMYFUNCTION("AVERAGE(FILTER(Inventory!K:K,Inventory!J:J=""Closed"",Inventory!M:M=A256))"),160.0)</f>
        <v>160</v>
      </c>
      <c r="Q256" s="250"/>
    </row>
    <row r="257">
      <c r="A257" s="78" t="s">
        <v>10529</v>
      </c>
      <c r="B257" s="23">
        <f>COUNTIF(Inventory!M:M,A257)</f>
        <v>3</v>
      </c>
      <c r="C257" s="23">
        <f>COUNTIFS(Inventory!M:M,A257,Inventory!J:J,"Closed")</f>
        <v>3</v>
      </c>
      <c r="D257" s="23">
        <f t="shared" si="1"/>
        <v>0</v>
      </c>
      <c r="E257" s="23">
        <f>SUMIF(Inventory!M:M,"THE BROTHERHOOD",Inventory!E:E)</f>
        <v>0</v>
      </c>
      <c r="F257" s="23">
        <f>SUMIF(Inventory!M:M,"THE BROTHERHOOD",Inventory!F:F)</f>
        <v>0.88</v>
      </c>
      <c r="G257" s="23">
        <f t="shared" si="2"/>
        <v>0.88</v>
      </c>
      <c r="H257" s="235">
        <f>IFERROR(__xludf.DUMMYFUNCTION("AVERAGE(FILTER(Inventory!K:K,Inventory!J:J=""Closed"",Inventory!M:M=A257))"),48.0)</f>
        <v>48</v>
      </c>
      <c r="Q257" s="250"/>
    </row>
    <row r="258">
      <c r="A258" s="78" t="s">
        <v>10530</v>
      </c>
      <c r="B258" s="23">
        <f>COUNTIF(Inventory!M:M,A258)</f>
        <v>1</v>
      </c>
      <c r="C258" s="23">
        <f>COUNTIFS(Inventory!M:M,A258,Inventory!J:J,"Closed")</f>
        <v>1</v>
      </c>
      <c r="D258" s="23">
        <f t="shared" si="1"/>
        <v>0</v>
      </c>
      <c r="E258" s="23">
        <f>SUMIF(Inventory!M:M,"The Farm 51",Inventory!E:E)</f>
        <v>20.16</v>
      </c>
      <c r="F258" s="23">
        <f>SUMIF(Inventory!M:M,"The Farm 51",Inventory!F:F)</f>
        <v>21.09</v>
      </c>
      <c r="G258" s="23">
        <f t="shared" si="2"/>
        <v>0.93</v>
      </c>
      <c r="H258" s="235">
        <f>IFERROR(__xludf.DUMMYFUNCTION("AVERAGE(FILTER(Inventory!K:K,Inventory!J:J=""Closed"",Inventory!M:M=A258))"),133.0)</f>
        <v>133</v>
      </c>
      <c r="Q258" s="250"/>
    </row>
    <row r="259">
      <c r="A259" s="78" t="s">
        <v>10531</v>
      </c>
      <c r="B259" s="23">
        <f>COUNTIF(Inventory!M:M,A259)</f>
        <v>3</v>
      </c>
      <c r="C259" s="23">
        <f>COUNTIFS(Inventory!M:M,A259,Inventory!J:J,"Closed")</f>
        <v>3</v>
      </c>
      <c r="D259" s="23">
        <f t="shared" si="1"/>
        <v>0</v>
      </c>
      <c r="E259" s="23">
        <f>SUMIF(Inventory!M:M,"The Irregular Corporation",Inventory!E:E)</f>
        <v>26.38</v>
      </c>
      <c r="F259" s="23">
        <f>SUMIF(Inventory!M:M,"The Irregular Corporation",Inventory!F:F)</f>
        <v>28.24</v>
      </c>
      <c r="G259" s="23">
        <f t="shared" si="2"/>
        <v>1.86</v>
      </c>
      <c r="H259" s="235">
        <f>IFERROR(__xludf.DUMMYFUNCTION("AVERAGE(FILTER(Inventory!K:K,Inventory!J:J=""Closed"",Inventory!M:M=A259))"),71.33333333333333)</f>
        <v>71.33333333</v>
      </c>
      <c r="Q259" s="250"/>
    </row>
    <row r="260">
      <c r="A260" s="99" t="s">
        <v>10532</v>
      </c>
      <c r="B260" s="23">
        <f>COUNTIF(Inventory!M:M,A260)</f>
        <v>3</v>
      </c>
      <c r="C260" s="23">
        <f>COUNTIFS(Inventory!M:M,A260,Inventory!J:J,"Closed")</f>
        <v>3</v>
      </c>
      <c r="D260" s="23">
        <f t="shared" si="1"/>
        <v>0</v>
      </c>
      <c r="E260" s="23">
        <f>SUMIF(Inventory!M:M,"The Pixel Mine",Inventory!E:E)</f>
        <v>3.5</v>
      </c>
      <c r="F260" s="23">
        <f>SUMIF(Inventory!M:M,"The Pixel Mine",Inventory!F:F)</f>
        <v>5.33</v>
      </c>
      <c r="G260" s="23">
        <f t="shared" si="2"/>
        <v>1.83</v>
      </c>
      <c r="H260" s="235">
        <f>IFERROR(__xludf.DUMMYFUNCTION("AVERAGE(FILTER(Inventory!K:K,Inventory!J:J=""Closed"",Inventory!M:M=A260))"),73.33333333333333)</f>
        <v>73.33333333</v>
      </c>
      <c r="Q260" s="250"/>
    </row>
    <row r="261">
      <c r="A261" s="99" t="s">
        <v>10533</v>
      </c>
      <c r="B261" s="23">
        <f>COUNTIF(Inventory!M:M,A261)</f>
        <v>4</v>
      </c>
      <c r="C261" s="23">
        <f>COUNTIFS(Inventory!M:M,A261,Inventory!J:J,"Closed")</f>
        <v>4</v>
      </c>
      <c r="D261" s="23">
        <f t="shared" si="1"/>
        <v>0</v>
      </c>
      <c r="E261" s="23">
        <f>SUMIF(Inventory!M:M,"The Voxel Agents",Inventory!E:E)</f>
        <v>8.62</v>
      </c>
      <c r="F261" s="23">
        <f>SUMIF(Inventory!M:M,"The Voxel Agents",Inventory!F:F)</f>
        <v>12.65</v>
      </c>
      <c r="G261" s="23">
        <f t="shared" si="2"/>
        <v>4.03</v>
      </c>
      <c r="H261" s="235">
        <f>IFERROR(__xludf.DUMMYFUNCTION("AVERAGE(FILTER(Inventory!K:K,Inventory!J:J=""Closed"",Inventory!M:M=A261))"),93.75)</f>
        <v>93.75</v>
      </c>
      <c r="Q261" s="250"/>
    </row>
    <row r="262">
      <c r="A262" s="99" t="s">
        <v>10534</v>
      </c>
      <c r="B262" s="23">
        <f>COUNTIF(Inventory!M:M,A262)</f>
        <v>2</v>
      </c>
      <c r="C262" s="23">
        <f>COUNTIFS(Inventory!M:M,A262,Inventory!J:J,"Closed")</f>
        <v>2</v>
      </c>
      <c r="D262" s="23">
        <f t="shared" si="1"/>
        <v>0</v>
      </c>
      <c r="E262" s="23">
        <f>SUMIF(Inventory!M:M,"Thing Trunk",Inventory!E:E)</f>
        <v>0</v>
      </c>
      <c r="F262" s="23">
        <f>SUMIF(Inventory!M:M,"Thing Trunk",Inventory!F:F)</f>
        <v>1.08</v>
      </c>
      <c r="G262" s="23">
        <f t="shared" si="2"/>
        <v>1.08</v>
      </c>
      <c r="H262" s="235">
        <f>IFERROR(__xludf.DUMMYFUNCTION("AVERAGE(FILTER(Inventory!K:K,Inventory!J:J=""Closed"",Inventory!M:M=A262))"),34.0)</f>
        <v>34</v>
      </c>
      <c r="Q262" s="250"/>
    </row>
    <row r="263">
      <c r="A263" s="99" t="s">
        <v>10535</v>
      </c>
      <c r="B263" s="23">
        <f>COUNTIF(Inventory!M:M,A263)</f>
        <v>2</v>
      </c>
      <c r="C263" s="23">
        <f>COUNTIFS(Inventory!M:M,A263,Inventory!J:J,"Closed")</f>
        <v>2</v>
      </c>
      <c r="D263" s="23">
        <f t="shared" si="1"/>
        <v>0</v>
      </c>
      <c r="E263" s="23">
        <f>SUMIF(Inventory!M:M,"Those Awesome Guys",Inventory!E:E)</f>
        <v>6.4</v>
      </c>
      <c r="F263" s="23">
        <f>SUMIF(Inventory!M:M,"Those Awesome Guys",Inventory!F:F)</f>
        <v>9.29</v>
      </c>
      <c r="G263" s="23">
        <f t="shared" si="2"/>
        <v>2.89</v>
      </c>
      <c r="H263" s="235">
        <f>IFERROR(__xludf.DUMMYFUNCTION("AVERAGE(FILTER(Inventory!K:K,Inventory!J:J=""Closed"",Inventory!M:M=A263))"),10.5)</f>
        <v>10.5</v>
      </c>
      <c r="Q263" s="250"/>
    </row>
    <row r="264">
      <c r="A264" s="78" t="s">
        <v>10536</v>
      </c>
      <c r="B264" s="23">
        <f>COUNTIF(Inventory!M:M,A264)</f>
        <v>16</v>
      </c>
      <c r="C264" s="23">
        <f>COUNTIFS(Inventory!M:M,A264,Inventory!J:J,"Closed")</f>
        <v>13</v>
      </c>
      <c r="D264" s="23">
        <f t="shared" si="1"/>
        <v>3</v>
      </c>
      <c r="E264" s="23">
        <f>SUMIF(Inventory!M:M,"THQ Nordic",Inventory!E:E)</f>
        <v>260.05</v>
      </c>
      <c r="F264" s="23">
        <f>SUMIF(Inventory!M:M,"THQ Nordic",Inventory!F:F)</f>
        <v>226.67</v>
      </c>
      <c r="G264" s="23">
        <f t="shared" si="2"/>
        <v>-33.38</v>
      </c>
      <c r="H264" s="235">
        <f>IFERROR(__xludf.DUMMYFUNCTION("AVERAGE(FILTER(Inventory!K:K,Inventory!J:J=""Closed"",Inventory!M:M=A264))"),71.0)</f>
        <v>71</v>
      </c>
      <c r="Q264" s="250"/>
    </row>
    <row r="265">
      <c r="A265" s="78" t="s">
        <v>10537</v>
      </c>
      <c r="B265" s="23">
        <f>COUNTIF(Inventory!M:M,A265)</f>
        <v>1</v>
      </c>
      <c r="C265" s="23">
        <f>COUNTIFS(Inventory!M:M,A265,Inventory!J:J,"Closed")</f>
        <v>1</v>
      </c>
      <c r="D265" s="23">
        <f t="shared" si="1"/>
        <v>0</v>
      </c>
      <c r="E265" s="23">
        <f>SUMIF(Inventory!M:M,"tinyBuild",Inventory!E:E)</f>
        <v>256.07</v>
      </c>
      <c r="F265" s="23">
        <f>SUMIF(Inventory!M:M,"tinyBuild",Inventory!F:F)</f>
        <v>357.65</v>
      </c>
      <c r="G265" s="23">
        <f t="shared" si="2"/>
        <v>101.58</v>
      </c>
      <c r="H265" s="235">
        <f>IFERROR(__xludf.DUMMYFUNCTION("AVERAGE(FILTER(Inventory!K:K,Inventory!J:J=""Closed"",Inventory!M:M=A265))"),81.0)</f>
        <v>81</v>
      </c>
      <c r="Q265" s="250"/>
    </row>
    <row r="266">
      <c r="A266" s="78" t="s">
        <v>10538</v>
      </c>
      <c r="B266" s="23">
        <f>COUNTIF(Inventory!M:M,A266)</f>
        <v>3</v>
      </c>
      <c r="C266" s="23">
        <f>COUNTIFS(Inventory!M:M,A266,Inventory!J:J,"Closed")</f>
        <v>2</v>
      </c>
      <c r="D266" s="23">
        <f t="shared" si="1"/>
        <v>1</v>
      </c>
      <c r="E266" s="23">
        <f>SUMIF(Inventory!M:M,"Thunderful Publishing",Inventory!E:E)</f>
        <v>51.78</v>
      </c>
      <c r="F266" s="23">
        <f>SUMIF(Inventory!M:M,"Thunderful Publishing",Inventory!F:F)</f>
        <v>37.43</v>
      </c>
      <c r="G266" s="23">
        <f t="shared" si="2"/>
        <v>-14.35</v>
      </c>
      <c r="H266" s="235">
        <f>IFERROR(__xludf.DUMMYFUNCTION("AVERAGE(FILTER(Inventory!K:K,Inventory!J:J=""Closed"",Inventory!M:M=A266))"),132.5)</f>
        <v>132.5</v>
      </c>
      <c r="Q266" s="250"/>
    </row>
    <row r="267">
      <c r="A267" s="78" t="s">
        <v>10539</v>
      </c>
      <c r="B267" s="23">
        <f>COUNTIF(Inventory!M:M,A267)</f>
        <v>56</v>
      </c>
      <c r="C267" s="23">
        <f>COUNTIFS(Inventory!M:M,A267,Inventory!J:J,"Closed")</f>
        <v>55</v>
      </c>
      <c r="D267" s="23">
        <f t="shared" si="1"/>
        <v>1</v>
      </c>
      <c r="E267" s="23">
        <f>SUMIF(Inventory!M:M,"tinyBuild",Inventory!E:E)</f>
        <v>256.07</v>
      </c>
      <c r="F267" s="23">
        <f>SUMIF(Inventory!M:M,"tinyBuild",Inventory!F:F)</f>
        <v>357.65</v>
      </c>
      <c r="G267" s="23">
        <f t="shared" si="2"/>
        <v>101.58</v>
      </c>
      <c r="H267" s="235">
        <f>IFERROR(__xludf.DUMMYFUNCTION("AVERAGE(FILTER(Inventory!K:K,Inventory!J:J=""Closed"",Inventory!M:M=A267))"),38.49090909090909)</f>
        <v>38.49090909</v>
      </c>
      <c r="Q267" s="250"/>
    </row>
    <row r="268">
      <c r="A268" s="78" t="s">
        <v>10540</v>
      </c>
      <c r="B268" s="23">
        <f>COUNTIF(Inventory!M:M,A268)</f>
        <v>1</v>
      </c>
      <c r="C268" s="23">
        <f>COUNTIFS(Inventory!M:M,A268,Inventory!J:J,"Closed")</f>
        <v>1</v>
      </c>
      <c r="D268" s="23">
        <f t="shared" si="1"/>
        <v>0</v>
      </c>
      <c r="E268" s="23">
        <f>SUMIF(Inventory!M:M,"Toco Games",Inventory!E:E)</f>
        <v>0</v>
      </c>
      <c r="F268" s="23">
        <f>SUMIF(Inventory!M:M,"Toco Games",Inventory!F:F)</f>
        <v>0.36</v>
      </c>
      <c r="G268" s="23">
        <f t="shared" si="2"/>
        <v>0.36</v>
      </c>
      <c r="H268" s="235">
        <f>IFERROR(__xludf.DUMMYFUNCTION("AVERAGE(FILTER(Inventory!K:K,Inventory!J:J=""Closed"",Inventory!M:M=A268))"),249.0)</f>
        <v>249</v>
      </c>
      <c r="Q268" s="250"/>
    </row>
    <row r="269">
      <c r="A269" s="78" t="s">
        <v>10541</v>
      </c>
      <c r="B269" s="23">
        <f>COUNTIF(Inventory!M:M,A269)</f>
        <v>2</v>
      </c>
      <c r="C269" s="23">
        <f>COUNTIFS(Inventory!M:M,A269,Inventory!J:J,"Closed")</f>
        <v>2</v>
      </c>
      <c r="D269" s="23">
        <f t="shared" si="1"/>
        <v>0</v>
      </c>
      <c r="E269" s="23">
        <f>SUMIF(Inventory!M:M,"Top Hat Studios",Inventory!E:E)</f>
        <v>1</v>
      </c>
      <c r="F269" s="23">
        <f>SUMIF(Inventory!M:M,"Torn Banner Studios",Inventory!F:F)</f>
        <v>88.13</v>
      </c>
      <c r="G269" s="23">
        <f t="shared" si="2"/>
        <v>87.13</v>
      </c>
      <c r="H269" s="235">
        <f>IFERROR(__xludf.DUMMYFUNCTION("AVERAGE(FILTER(Inventory!K:K,Inventory!J:J=""Closed"",Inventory!M:M=A269))"),93.0)</f>
        <v>93</v>
      </c>
      <c r="Q269" s="250"/>
    </row>
    <row r="270">
      <c r="A270" s="78" t="s">
        <v>10542</v>
      </c>
      <c r="B270" s="23">
        <f>COUNTIF(Inventory!M:M,A270)</f>
        <v>4</v>
      </c>
      <c r="C270" s="23">
        <f>COUNTIFS(Inventory!M:M,A270,Inventory!J:J,"Closed")</f>
        <v>4</v>
      </c>
      <c r="D270" s="23">
        <f t="shared" si="1"/>
        <v>0</v>
      </c>
      <c r="E270" s="23">
        <f>SUMIF(Inventory!M:M,"Torn Banner Studios",Inventory!E:E)</f>
        <v>61.6</v>
      </c>
      <c r="F270" s="23">
        <f>SUMIF(Inventory!M:M,"Torn Banner Studios",Inventory!F:F)</f>
        <v>88.13</v>
      </c>
      <c r="G270" s="23">
        <f t="shared" si="2"/>
        <v>26.53</v>
      </c>
      <c r="H270" s="235">
        <f>IFERROR(__xludf.DUMMYFUNCTION("AVERAGE(FILTER(Inventory!K:K,Inventory!J:J=""Closed"",Inventory!M:M=A270))"),40.75)</f>
        <v>40.75</v>
      </c>
      <c r="Q270" s="250"/>
    </row>
    <row r="271">
      <c r="A271" s="78" t="s">
        <v>10543</v>
      </c>
      <c r="B271" s="23">
        <f>COUNTIF(Inventory!M:M,A271)</f>
        <v>9</v>
      </c>
      <c r="C271" s="23">
        <f>COUNTIFS(Inventory!M:M,A271,Inventory!J:J,"Closed")</f>
        <v>9</v>
      </c>
      <c r="D271" s="23">
        <f t="shared" si="1"/>
        <v>0</v>
      </c>
      <c r="E271" s="23">
        <f>SUMIF(Inventory!M:M,"Total Mayhem Games",Inventory!E:E)</f>
        <v>143.64</v>
      </c>
      <c r="F271" s="23">
        <f>SUMIF(Inventory!M:M,"Total Mayhem Games",Inventory!F:F)</f>
        <v>196.57</v>
      </c>
      <c r="G271" s="23">
        <f t="shared" si="2"/>
        <v>52.93</v>
      </c>
      <c r="H271" s="235">
        <f>IFERROR(__xludf.DUMMYFUNCTION("AVERAGE(FILTER(Inventory!K:K,Inventory!J:J=""Closed"",Inventory!M:M=A271))"),48.111111111111114)</f>
        <v>48.11111111</v>
      </c>
      <c r="Q271" s="250"/>
    </row>
    <row r="272">
      <c r="A272" s="78" t="s">
        <v>10544</v>
      </c>
      <c r="B272" s="23">
        <f>COUNTIF(Inventory!M:M,A272)</f>
        <v>2</v>
      </c>
      <c r="C272" s="23">
        <f>COUNTIFS(Inventory!M:M,A272,Inventory!J:J,"Closed")</f>
        <v>2</v>
      </c>
      <c r="D272" s="23">
        <f t="shared" si="1"/>
        <v>0</v>
      </c>
      <c r="E272" s="23">
        <f>SUMIF(Inventory!M:M,"Toukana Interactive",Inventory!E:E)</f>
        <v>18.18</v>
      </c>
      <c r="F272" s="23">
        <f>SUMIF(Inventory!M:M,"Toukana Interactive",Inventory!F:F)</f>
        <v>20.86</v>
      </c>
      <c r="G272" s="23">
        <f t="shared" si="2"/>
        <v>2.68</v>
      </c>
      <c r="H272" s="235">
        <f>IFERROR(__xludf.DUMMYFUNCTION("AVERAGE(FILTER(Inventory!K:K,Inventory!J:J=""Closed"",Inventory!M:M=A272))"),2.5)</f>
        <v>2.5</v>
      </c>
      <c r="Q272" s="250"/>
    </row>
    <row r="273">
      <c r="A273" s="78" t="s">
        <v>10545</v>
      </c>
      <c r="B273" s="23">
        <f>COUNTIF(Inventory!M:M,A273)</f>
        <v>8</v>
      </c>
      <c r="C273" s="23">
        <f>COUNTIFS(Inventory!M:M,A273,Inventory!J:J,"Closed")</f>
        <v>7</v>
      </c>
      <c r="D273" s="23">
        <f t="shared" si="1"/>
        <v>1</v>
      </c>
      <c r="E273" s="23">
        <f>SUMIF(Inventory!M:M,"Tripwire Presents",Inventory!E:E)</f>
        <v>90.64</v>
      </c>
      <c r="F273" s="23">
        <f>SUMIF(Inventory!M:M,"Tripwire Presents",Inventory!F:F)</f>
        <v>103.11</v>
      </c>
      <c r="G273" s="23">
        <f t="shared" si="2"/>
        <v>12.47</v>
      </c>
      <c r="H273" s="235">
        <f>IFERROR(__xludf.DUMMYFUNCTION("AVERAGE(FILTER(Inventory!K:K,Inventory!J:J=""Closed"",Inventory!M:M=A273))"),0.2857142857142857)</f>
        <v>0.2857142857</v>
      </c>
      <c r="Q273" s="250"/>
    </row>
    <row r="274">
      <c r="A274" s="78" t="s">
        <v>10546</v>
      </c>
      <c r="B274" s="23">
        <f>COUNTIF(Inventory!M:M,A274)</f>
        <v>16</v>
      </c>
      <c r="C274" s="23">
        <f>COUNTIFS(Inventory!M:M,A274,Inventory!J:J,"Closed")</f>
        <v>16</v>
      </c>
      <c r="D274" s="23">
        <f t="shared" si="1"/>
        <v>0</v>
      </c>
      <c r="E274" s="23">
        <f>SUMIF(Inventory!M:M,"Triternion",Inventory!E:E)</f>
        <v>123.64</v>
      </c>
      <c r="F274" s="23">
        <f>SUMIF(Inventory!M:M,"Triternion",Inventory!F:F)</f>
        <v>158.76</v>
      </c>
      <c r="G274" s="23">
        <f t="shared" si="2"/>
        <v>35.12</v>
      </c>
      <c r="H274" s="235">
        <f>IFERROR(__xludf.DUMMYFUNCTION("AVERAGE(FILTER(Inventory!K:K,Inventory!J:J=""Closed"",Inventory!M:M=A274))"),1.6875)</f>
        <v>1.6875</v>
      </c>
      <c r="Q274" s="250"/>
    </row>
    <row r="275">
      <c r="A275" s="99" t="s">
        <v>10547</v>
      </c>
      <c r="B275" s="23">
        <f>COUNTIF(Inventory!M:M,A275)</f>
        <v>18</v>
      </c>
      <c r="C275" s="23">
        <f>COUNTIFS(Inventory!M:M,A275,Inventory!J:J,"Closed")</f>
        <v>17</v>
      </c>
      <c r="D275" s="23">
        <f t="shared" si="1"/>
        <v>1</v>
      </c>
      <c r="E275" s="23">
        <f>SUMIF(Inventory!M:M,"Untold Tales",Inventory!E:E)</f>
        <v>141.82</v>
      </c>
      <c r="F275" s="23">
        <f>SUMIF(Inventory!M:M,"Untold Tales",Inventory!F:F)</f>
        <v>145.34</v>
      </c>
      <c r="G275" s="23">
        <f t="shared" si="2"/>
        <v>3.52</v>
      </c>
      <c r="H275" s="235">
        <f>IFERROR(__xludf.DUMMYFUNCTION("AVERAGE(FILTER(Inventory!K:K,Inventory!J:J=""Closed"",Inventory!M:M=A275))"),0.7058823529411765)</f>
        <v>0.7058823529</v>
      </c>
      <c r="Q275" s="250"/>
    </row>
    <row r="276">
      <c r="A276" s="99" t="s">
        <v>10548</v>
      </c>
      <c r="B276" s="23">
        <f>COUNTIF(Inventory!M:M,A276)</f>
        <v>2</v>
      </c>
      <c r="C276" s="23">
        <f>COUNTIFS(Inventory!M:M,A276,Inventory!J:J,"Closed")</f>
        <v>2</v>
      </c>
      <c r="D276" s="23">
        <f t="shared" si="1"/>
        <v>0</v>
      </c>
      <c r="E276" s="23">
        <f>SUMIF(Inventory!M:M,"Versus Evil",Inventory!E:E)</f>
        <v>14.39</v>
      </c>
      <c r="F276" s="23">
        <f>SUMIF(Inventory!M:M,"Versus Evil",Inventory!F:F)</f>
        <v>10.66</v>
      </c>
      <c r="G276" s="23">
        <f t="shared" si="2"/>
        <v>-3.73</v>
      </c>
      <c r="H276" s="235">
        <f>IFERROR(__xludf.DUMMYFUNCTION("AVERAGE(FILTER(Inventory!K:K,Inventory!J:J=""Closed"",Inventory!M:M=A276))"),550.0)</f>
        <v>550</v>
      </c>
      <c r="Q276" s="250"/>
    </row>
    <row r="277">
      <c r="A277" s="99" t="s">
        <v>10549</v>
      </c>
      <c r="B277" s="23">
        <f>COUNTIF(Inventory!M:M,A277)</f>
        <v>1</v>
      </c>
      <c r="C277" s="23">
        <f>COUNTIFS(Inventory!M:M,A277,Inventory!J:J,"Closed")</f>
        <v>1</v>
      </c>
      <c r="D277" s="23">
        <f t="shared" si="1"/>
        <v>0</v>
      </c>
      <c r="E277" s="23">
        <f>SUMIF(Inventory!M:M,"Vertigo Gaming",Inventory!E:E)</f>
        <v>0</v>
      </c>
      <c r="F277" s="23">
        <f>SUMIF(Inventory!M:M,"Vertigo Gaming",Inventory!F:F)</f>
        <v>0.28</v>
      </c>
      <c r="G277" s="23">
        <f t="shared" si="2"/>
        <v>0.28</v>
      </c>
      <c r="H277" s="235">
        <f>IFERROR(__xludf.DUMMYFUNCTION("AVERAGE(FILTER(Inventory!K:K,Inventory!J:J=""Closed"",Inventory!M:M=A277))"),1.0)</f>
        <v>1</v>
      </c>
      <c r="Q277" s="250"/>
    </row>
    <row r="278">
      <c r="A278" s="78" t="s">
        <v>10550</v>
      </c>
      <c r="B278" s="23">
        <f>COUNTIF(Inventory!M:M,A278)</f>
        <v>16</v>
      </c>
      <c r="C278" s="23">
        <f>COUNTIFS(Inventory!M:M,A278,Inventory!J:J,"Closed")</f>
        <v>16</v>
      </c>
      <c r="D278" s="23">
        <f t="shared" si="1"/>
        <v>0</v>
      </c>
      <c r="E278" s="23">
        <f>SUMIF(Inventory!M:M,"Warhorse Studios",Inventory!E:E)</f>
        <v>103.73</v>
      </c>
      <c r="F278" s="23">
        <f>SUMIF(Inventory!M:M,"Warhorse Studios",Inventory!F:F)</f>
        <v>126.41</v>
      </c>
      <c r="G278" s="23">
        <f t="shared" si="2"/>
        <v>22.68</v>
      </c>
      <c r="H278" s="235">
        <f>IFERROR(__xludf.DUMMYFUNCTION("AVERAGE(FILTER(Inventory!K:K,Inventory!J:J=""Closed"",Inventory!M:M=A278))"),36.625)</f>
        <v>36.625</v>
      </c>
      <c r="Q278" s="250"/>
    </row>
    <row r="279">
      <c r="A279" s="78" t="s">
        <v>10551</v>
      </c>
      <c r="B279" s="23">
        <f>COUNTIF(Inventory!M:M,A279)</f>
        <v>49</v>
      </c>
      <c r="C279" s="23">
        <f>COUNTIFS(Inventory!M:M,A279,Inventory!J:J,"Closed")</f>
        <v>49</v>
      </c>
      <c r="D279" s="23">
        <f t="shared" si="1"/>
        <v>0</v>
      </c>
      <c r="E279" s="23">
        <f>SUMIF(Inventory!M:M,"Vector3 Studio",Inventory!E:E)</f>
        <v>590.59</v>
      </c>
      <c r="F279" s="23">
        <f>SUMIF(Inventory!M:M,"Vector3 Studio",Inventory!F:F)</f>
        <v>814.66</v>
      </c>
      <c r="G279" s="23">
        <f t="shared" si="2"/>
        <v>224.07</v>
      </c>
      <c r="H279" s="235">
        <f>IFERROR(__xludf.DUMMYFUNCTION("AVERAGE(FILTER(Inventory!K:K,Inventory!J:J=""Closed"",Inventory!M:M=A279))"),39.265306122448976)</f>
        <v>39.26530612</v>
      </c>
      <c r="Q279" s="250"/>
    </row>
    <row r="280">
      <c r="A280" s="78" t="s">
        <v>10552</v>
      </c>
      <c r="B280" s="23">
        <f>COUNTIF(Inventory!M:M,A280)</f>
        <v>19</v>
      </c>
      <c r="C280" s="23">
        <f>COUNTIFS(Inventory!M:M,A280,Inventory!J:J,"Closed")</f>
        <v>19</v>
      </c>
      <c r="D280" s="23">
        <f t="shared" si="1"/>
        <v>0</v>
      </c>
      <c r="E280" s="23">
        <f>SUMIF(Inventory!M:M,"VOID Interactive",Inventory!E:E)</f>
        <v>366.86</v>
      </c>
      <c r="F280" s="23">
        <f>SUMIF(Inventory!M:M,"VOID Interactive",Inventory!F:F)</f>
        <v>462.71</v>
      </c>
      <c r="G280" s="23">
        <f t="shared" si="2"/>
        <v>95.85</v>
      </c>
      <c r="H280" s="235">
        <f>IFERROR(__xludf.DUMMYFUNCTION("AVERAGE(FILTER(Inventory!K:K,Inventory!J:J=""Closed"",Inventory!M:M=A280))"),0.3157894736842105)</f>
        <v>0.3157894737</v>
      </c>
      <c r="Q280" s="250"/>
    </row>
    <row r="281">
      <c r="A281" s="78" t="s">
        <v>10553</v>
      </c>
      <c r="B281" s="23">
        <f>COUNTIF(Inventory!M:M,A281)</f>
        <v>9</v>
      </c>
      <c r="C281" s="23">
        <f>COUNTIFS(Inventory!M:M,A281,Inventory!J:J,"Closed")</f>
        <v>8</v>
      </c>
      <c r="D281" s="23">
        <f t="shared" si="1"/>
        <v>1</v>
      </c>
      <c r="E281" s="23">
        <f>SUMIF(Inventory!M:M,"WanadevStudio",Inventory!E:E)</f>
        <v>73.41</v>
      </c>
      <c r="F281" s="23">
        <f>SUMIF(Inventory!M:M,"WanadevStudio",Inventory!F:F)</f>
        <v>79.37</v>
      </c>
      <c r="G281" s="23">
        <f t="shared" si="2"/>
        <v>5.96</v>
      </c>
      <c r="H281" s="235">
        <f>IFERROR(__xludf.DUMMYFUNCTION("AVERAGE(FILTER(Inventory!K:K,Inventory!J:J=""Closed"",Inventory!M:M=A281))"),11.375)</f>
        <v>11.375</v>
      </c>
      <c r="Q281" s="250"/>
    </row>
    <row r="282">
      <c r="A282" s="78" t="s">
        <v>10554</v>
      </c>
      <c r="B282" s="23">
        <f>COUNTIF(Inventory!M:M,A282)</f>
        <v>56</v>
      </c>
      <c r="C282" s="23">
        <f>COUNTIFS(Inventory!M:M,A282,Inventory!J:J,"Closed")</f>
        <v>51</v>
      </c>
      <c r="D282" s="23">
        <f t="shared" si="1"/>
        <v>5</v>
      </c>
      <c r="E282" s="23">
        <f>SUMIF(Inventory!M:M,"Warner Bros",Inventory!E:E)</f>
        <v>475.72</v>
      </c>
      <c r="F282" s="23">
        <f>SUMIF(Inventory!M:M,"Warner Bros",Inventory!F:F)</f>
        <v>472.16</v>
      </c>
      <c r="G282" s="23">
        <f t="shared" si="2"/>
        <v>-3.56</v>
      </c>
      <c r="H282" s="235">
        <f>IFERROR(__xludf.DUMMYFUNCTION("AVERAGE(FILTER(Inventory!K:K,Inventory!J:J=""Closed"",Inventory!M:M=A282))"),45.372549019607845)</f>
        <v>45.37254902</v>
      </c>
      <c r="Q282" s="250"/>
    </row>
    <row r="283">
      <c r="A283" s="96" t="s">
        <v>10555</v>
      </c>
      <c r="B283" s="23">
        <f>COUNTIF(Inventory!M:M,A283)</f>
        <v>17</v>
      </c>
      <c r="C283" s="23">
        <f>COUNTIFS(Inventory!M:M,A283,Inventory!J:J,"Closed")</f>
        <v>17</v>
      </c>
      <c r="D283" s="23">
        <f t="shared" si="1"/>
        <v>0</v>
      </c>
      <c r="E283" s="23">
        <f>SUMIF(Inventory!M:M,"Weather Factory",Inventory!E:E)</f>
        <v>50.03</v>
      </c>
      <c r="F283" s="23">
        <f>SUMIF(Inventory!M:M,"Weather Factory",Inventory!F:F)</f>
        <v>60.56</v>
      </c>
      <c r="G283" s="23">
        <f t="shared" si="2"/>
        <v>10.53</v>
      </c>
      <c r="H283" s="235">
        <f>IFERROR(__xludf.DUMMYFUNCTION("AVERAGE(FILTER(Inventory!K:K,Inventory!J:J=""Closed"",Inventory!M:M=A283))"),3.823529411764706)</f>
        <v>3.823529412</v>
      </c>
      <c r="Q283" s="250"/>
    </row>
    <row r="284">
      <c r="A284" s="96" t="s">
        <v>10556</v>
      </c>
      <c r="B284" s="23">
        <f>COUNTIF(Inventory!M:M,A284)</f>
        <v>7</v>
      </c>
      <c r="C284" s="23">
        <f>COUNTIFS(Inventory!M:M,A284,Inventory!J:J,"Closed")</f>
        <v>7</v>
      </c>
      <c r="D284" s="23">
        <f t="shared" si="1"/>
        <v>0</v>
      </c>
      <c r="E284" s="23">
        <f>SUMIF(Inventory!M:M,"WeirdBeard",Inventory!E:E)</f>
        <v>32.36</v>
      </c>
      <c r="F284" s="23">
        <f>SUMIF(Inventory!M:M,"WeirdBeard",Inventory!F:F)</f>
        <v>48.67</v>
      </c>
      <c r="G284" s="23">
        <f t="shared" si="2"/>
        <v>16.31</v>
      </c>
      <c r="H284" s="235">
        <f>IFERROR(__xludf.DUMMYFUNCTION("AVERAGE(FILTER(Inventory!K:K,Inventory!J:J=""Closed"",Inventory!M:M=A284))"),8.0)</f>
        <v>8</v>
      </c>
      <c r="Q284" s="250"/>
    </row>
    <row r="285">
      <c r="A285" s="96" t="s">
        <v>10557</v>
      </c>
      <c r="B285" s="23">
        <f>COUNTIF(Inventory!M:M,A285)</f>
        <v>40</v>
      </c>
      <c r="C285" s="23">
        <f>COUNTIFS(Inventory!M:M,A285,Inventory!J:J,"Closed")</f>
        <v>40</v>
      </c>
      <c r="D285" s="23">
        <f t="shared" si="1"/>
        <v>0</v>
      </c>
      <c r="E285" s="23">
        <f>SUMIF(Inventory!M:M,"Wired Productions",Inventory!E:E)</f>
        <v>272.02</v>
      </c>
      <c r="F285" s="23">
        <f>SUMIF(Inventory!M:M,"Wired Productions",Inventory!F:F)</f>
        <v>399.68</v>
      </c>
      <c r="G285" s="23">
        <f t="shared" si="2"/>
        <v>127.66</v>
      </c>
      <c r="H285" s="235">
        <f>IFERROR(__xludf.DUMMYFUNCTION("AVERAGE(FILTER(Inventory!K:K,Inventory!J:J=""Closed"",Inventory!M:M=A285))"),11.575)</f>
        <v>11.575</v>
      </c>
      <c r="Q285" s="250"/>
    </row>
    <row r="286">
      <c r="A286" s="96" t="s">
        <v>10558</v>
      </c>
      <c r="B286" s="23">
        <f>COUNTIF(Inventory!M:M,A286)</f>
        <v>2</v>
      </c>
      <c r="C286" s="23">
        <f>COUNTIFS(Inventory!M:M,A286,Inventory!J:J,"Closed")</f>
        <v>2</v>
      </c>
      <c r="D286" s="23">
        <f t="shared" si="1"/>
        <v>0</v>
      </c>
      <c r="E286" s="23">
        <f>SUMIF(Inventory!M:M,"Whitethorn Games",Inventory!E:E)</f>
        <v>21.79</v>
      </c>
      <c r="F286" s="23">
        <f>SUMIF(Inventory!M:M,"Whitethorn Games",Inventory!F:F)</f>
        <v>28.2</v>
      </c>
      <c r="G286" s="23">
        <f t="shared" si="2"/>
        <v>6.41</v>
      </c>
      <c r="H286" s="235">
        <f>IFERROR(__xludf.DUMMYFUNCTION("AVERAGE(FILTER(Inventory!K:K,Inventory!J:J=""Closed"",Inventory!M:M=A286))"),57.5)</f>
        <v>57.5</v>
      </c>
      <c r="Q286" s="250"/>
    </row>
    <row r="287">
      <c r="A287" s="96" t="s">
        <v>10559</v>
      </c>
      <c r="B287" s="23">
        <f>COUNTIF(Inventory!M:M,A287)</f>
        <v>32</v>
      </c>
      <c r="C287" s="23">
        <f>COUNTIFS(Inventory!M:M,A287,Inventory!J:J,"Closed")</f>
        <v>31</v>
      </c>
      <c r="D287" s="23">
        <f t="shared" si="1"/>
        <v>1</v>
      </c>
      <c r="E287" s="23">
        <f>SUMIF(Inventory!M:M,"WOLCEN Studio",Inventory!E:E)</f>
        <v>305.61</v>
      </c>
      <c r="F287" s="23">
        <f>SUMIF(Inventory!M:M,"WOLCEN Studio",Inventory!F:F)</f>
        <v>383.17</v>
      </c>
      <c r="G287" s="23">
        <f t="shared" si="2"/>
        <v>77.56</v>
      </c>
      <c r="H287" s="235">
        <f>IFERROR(__xludf.DUMMYFUNCTION("AVERAGE(FILTER(Inventory!K:K,Inventory!J:J=""Closed"",Inventory!M:M=A287))"),4.129032258064516)</f>
        <v>4.129032258</v>
      </c>
      <c r="Q287" s="250"/>
    </row>
    <row r="288">
      <c r="A288" s="96" t="s">
        <v>10560</v>
      </c>
      <c r="B288" s="23">
        <f>COUNTIF(Inventory!M:M,A288)</f>
        <v>1</v>
      </c>
      <c r="C288" s="23">
        <f>COUNTIFS(Inventory!M:M,A288,Inventory!J:J,"Closed")</f>
        <v>1</v>
      </c>
      <c r="D288" s="23">
        <f t="shared" si="1"/>
        <v>0</v>
      </c>
      <c r="E288" s="23">
        <f>SUMIF(Inventory!M:M,"Wube Software",Inventory!E:E)</f>
        <v>31.9</v>
      </c>
      <c r="F288" s="23">
        <f>SUMIF(Inventory!M:M,"Wube Software",Inventory!F:F)</f>
        <v>33.85</v>
      </c>
      <c r="G288" s="23">
        <f t="shared" si="2"/>
        <v>1.95</v>
      </c>
      <c r="H288" s="235">
        <f>IFERROR(__xludf.DUMMYFUNCTION("AVERAGE(FILTER(Inventory!K:K,Inventory!J:J=""Closed"",Inventory!M:M=A288))"),37.0)</f>
        <v>37</v>
      </c>
      <c r="Q288" s="250"/>
    </row>
    <row r="289">
      <c r="A289" s="99" t="s">
        <v>10561</v>
      </c>
      <c r="B289" s="23">
        <f>COUNTIF(Inventory!M:M,A289)</f>
        <v>11</v>
      </c>
      <c r="C289" s="23">
        <f>COUNTIFS(Inventory!M:M,A289,Inventory!J:J,"Closed")</f>
        <v>11</v>
      </c>
      <c r="D289" s="23">
        <f t="shared" si="1"/>
        <v>0</v>
      </c>
      <c r="E289" s="23">
        <f>SUMIF(Inventory!M:M,"Xbox Game Studios",Inventory!E:E)</f>
        <v>223.45</v>
      </c>
      <c r="F289" s="23">
        <f>SUMIF(Inventory!M:M,"Xbox Game Studios",Inventory!F:F)</f>
        <v>248.62</v>
      </c>
      <c r="G289" s="23">
        <f t="shared" si="2"/>
        <v>25.17</v>
      </c>
      <c r="H289" s="235">
        <f>IFERROR(__xludf.DUMMYFUNCTION("AVERAGE(FILTER(Inventory!K:K,Inventory!J:J=""Closed"",Inventory!M:M=A289))"),2.6363636363636362)</f>
        <v>2.636363636</v>
      </c>
      <c r="Q289" s="250"/>
    </row>
    <row r="290">
      <c r="A290" s="99" t="s">
        <v>10562</v>
      </c>
      <c r="B290" s="23">
        <f>COUNTIF(Inventory!M:M,A290)</f>
        <v>54</v>
      </c>
      <c r="C290" s="23">
        <f>COUNTIFS(Inventory!M:M,A290,Inventory!J:J,"Closed")</f>
        <v>53</v>
      </c>
      <c r="D290" s="23">
        <f t="shared" si="1"/>
        <v>1</v>
      </c>
      <c r="E290" s="23">
        <f>SUMIF(Inventory!M:M,"XREAL Games",Inventory!E:E)</f>
        <v>473.67</v>
      </c>
      <c r="F290" s="23">
        <f>SUMIF(Inventory!M:M,"XREAL Games",Inventory!F:F)</f>
        <v>642.62</v>
      </c>
      <c r="G290" s="23">
        <f t="shared" si="2"/>
        <v>168.95</v>
      </c>
      <c r="H290" s="235">
        <f>IFERROR(__xludf.DUMMYFUNCTION("AVERAGE(FILTER(Inventory!K:K,Inventory!J:J=""Closed"",Inventory!M:M=A290))"),22.245283018867923)</f>
        <v>22.24528302</v>
      </c>
      <c r="Q290" s="250"/>
    </row>
    <row r="291">
      <c r="A291" s="99" t="s">
        <v>10563</v>
      </c>
      <c r="B291" s="23">
        <f>COUNTIF(Inventory!M:M,A291)</f>
        <v>1</v>
      </c>
      <c r="C291" s="23">
        <f>COUNTIFS(Inventory!M:M,A291,Inventory!J:J,"Closed")</f>
        <v>1</v>
      </c>
      <c r="D291" s="23">
        <f t="shared" si="1"/>
        <v>0</v>
      </c>
      <c r="E291" s="23">
        <f>SUMIF(Inventory!M:M,"YAW Studios",Inventory!E:E)</f>
        <v>0</v>
      </c>
      <c r="F291" s="23">
        <f>SUMIF(Inventory!M:M,"YAW Studios",Inventory!F:F)</f>
        <v>0.09</v>
      </c>
      <c r="G291" s="23">
        <f t="shared" si="2"/>
        <v>0.09</v>
      </c>
      <c r="H291" s="235">
        <f>IFERROR(__xludf.DUMMYFUNCTION("AVERAGE(FILTER(Inventory!K:K,Inventory!J:J=""Closed"",Inventory!M:M=A291))"),319.0)</f>
        <v>319</v>
      </c>
      <c r="Q291" s="250"/>
    </row>
    <row r="292">
      <c r="A292" s="99" t="s">
        <v>10564</v>
      </c>
      <c r="B292" s="23">
        <f>COUNTIF(Inventory!M:M,A292)</f>
        <v>4</v>
      </c>
      <c r="C292" s="23">
        <f>COUNTIFS(Inventory!M:M,A292,Inventory!J:J,"Closed")</f>
        <v>4</v>
      </c>
      <c r="D292" s="23">
        <f t="shared" si="1"/>
        <v>0</v>
      </c>
      <c r="E292" s="23">
        <f>SUMIF(Inventory!M:M,"YGGDRAZIL GROUP",Inventory!E:E)</f>
        <v>11.86</v>
      </c>
      <c r="F292" s="23">
        <f>SUMIF(Inventory!M:M,"YGGDRAZIL GROUP",Inventory!F:F)</f>
        <v>16.69</v>
      </c>
      <c r="G292" s="23">
        <f t="shared" si="2"/>
        <v>4.83</v>
      </c>
      <c r="H292" s="235">
        <f>IFERROR(__xludf.DUMMYFUNCTION("AVERAGE(FILTER(Inventory!K:K,Inventory!J:J=""Closed"",Inventory!M:M=A292))"),10.25)</f>
        <v>10.25</v>
      </c>
      <c r="Q292" s="250"/>
    </row>
    <row r="293">
      <c r="A293" s="78" t="s">
        <v>10565</v>
      </c>
      <c r="B293" s="23">
        <f>COUNTIF(Inventory!M:M,A293)</f>
        <v>3</v>
      </c>
      <c r="C293" s="23">
        <f>COUNTIFS(Inventory!M:M,A293,Inventory!J:J,"Closed")</f>
        <v>3</v>
      </c>
      <c r="D293" s="23">
        <f t="shared" si="1"/>
        <v>0</v>
      </c>
      <c r="E293" s="23">
        <f>SUMIF(Inventory!M:M,"Zeboyd Games",Inventory!E:E)</f>
        <v>2.71</v>
      </c>
      <c r="F293" s="23">
        <f>SUMIF(Inventory!M:M,"Zeboyd Games",Inventory!F:F)</f>
        <v>6.74</v>
      </c>
      <c r="G293" s="23">
        <f t="shared" si="2"/>
        <v>4.03</v>
      </c>
      <c r="H293" s="235">
        <f>IFERROR(__xludf.DUMMYFUNCTION("AVERAGE(FILTER(Inventory!K:K,Inventory!J:J=""Closed"",Inventory!M:M=A293))"),56.333333333333336)</f>
        <v>56.33333333</v>
      </c>
      <c r="Q293" s="250"/>
    </row>
    <row r="294">
      <c r="H294" s="235"/>
      <c r="Q294" s="250"/>
    </row>
    <row r="295">
      <c r="B295" s="23">
        <f t="shared" ref="B295:G295" si="3">SUM(B5:B285)</f>
        <v>7420</v>
      </c>
      <c r="C295" s="23">
        <f t="shared" si="3"/>
        <v>7298</v>
      </c>
      <c r="D295" s="23">
        <f t="shared" si="3"/>
        <v>122</v>
      </c>
      <c r="E295" s="23">
        <f t="shared" si="3"/>
        <v>85457.01587</v>
      </c>
      <c r="F295" s="23">
        <f t="shared" si="3"/>
        <v>106843.131</v>
      </c>
      <c r="G295" s="23">
        <f t="shared" si="3"/>
        <v>21386.11513</v>
      </c>
      <c r="H295" s="235"/>
      <c r="Q295" s="250"/>
    </row>
    <row r="296">
      <c r="H296" s="235"/>
      <c r="Q296" s="250"/>
    </row>
    <row r="297">
      <c r="H297" s="235"/>
      <c r="Q297" s="250"/>
    </row>
    <row r="298">
      <c r="H298" s="235"/>
      <c r="Q298" s="250"/>
    </row>
    <row r="299">
      <c r="H299" s="235"/>
      <c r="Q299" s="250"/>
    </row>
    <row r="300">
      <c r="H300" s="235"/>
      <c r="Q300" s="250"/>
    </row>
    <row r="301">
      <c r="H301" s="235"/>
      <c r="Q301" s="250"/>
    </row>
    <row r="302">
      <c r="H302" s="235"/>
      <c r="Q302" s="250"/>
    </row>
    <row r="303">
      <c r="H303" s="235"/>
      <c r="Q303" s="250"/>
    </row>
    <row r="304">
      <c r="H304" s="235"/>
      <c r="Q304" s="250"/>
    </row>
    <row r="305">
      <c r="H305" s="235"/>
      <c r="Q305" s="250"/>
    </row>
    <row r="306">
      <c r="H306" s="235"/>
      <c r="Q306" s="250"/>
    </row>
    <row r="307">
      <c r="H307" s="235"/>
      <c r="Q307" s="250"/>
    </row>
    <row r="308">
      <c r="H308" s="235"/>
      <c r="Q308" s="250"/>
    </row>
    <row r="309">
      <c r="H309" s="235"/>
      <c r="Q309" s="250"/>
    </row>
    <row r="310">
      <c r="H310" s="235"/>
      <c r="Q310" s="250"/>
    </row>
    <row r="311">
      <c r="H311" s="235"/>
      <c r="Q311" s="250"/>
    </row>
    <row r="312">
      <c r="H312" s="235"/>
      <c r="Q312" s="250"/>
    </row>
    <row r="313">
      <c r="H313" s="235"/>
      <c r="Q313" s="250"/>
    </row>
    <row r="314">
      <c r="H314" s="235"/>
      <c r="Q314" s="250"/>
    </row>
    <row r="315">
      <c r="H315" s="235"/>
      <c r="Q315" s="250"/>
    </row>
    <row r="316">
      <c r="H316" s="235"/>
      <c r="Q316" s="250"/>
    </row>
    <row r="317">
      <c r="H317" s="235"/>
      <c r="Q317" s="250"/>
    </row>
    <row r="318">
      <c r="H318" s="235"/>
      <c r="Q318" s="250"/>
    </row>
    <row r="319">
      <c r="H319" s="235"/>
      <c r="Q319" s="250"/>
    </row>
    <row r="320">
      <c r="H320" s="235"/>
      <c r="Q320" s="250"/>
    </row>
    <row r="321">
      <c r="H321" s="235"/>
      <c r="Q321" s="250"/>
    </row>
    <row r="322">
      <c r="H322" s="235"/>
      <c r="Q322" s="250"/>
    </row>
    <row r="323">
      <c r="H323" s="235"/>
      <c r="Q323" s="250"/>
    </row>
    <row r="324">
      <c r="H324" s="235"/>
      <c r="Q324" s="250"/>
    </row>
    <row r="325">
      <c r="H325" s="235"/>
      <c r="Q325" s="250"/>
    </row>
    <row r="326">
      <c r="H326" s="235"/>
      <c r="Q326" s="250"/>
    </row>
    <row r="327">
      <c r="H327" s="235"/>
      <c r="Q327" s="250"/>
    </row>
    <row r="328">
      <c r="H328" s="235"/>
      <c r="Q328" s="250"/>
    </row>
    <row r="329">
      <c r="H329" s="235"/>
      <c r="Q329" s="250"/>
    </row>
    <row r="330">
      <c r="H330" s="235"/>
      <c r="Q330" s="250"/>
    </row>
    <row r="331">
      <c r="H331" s="235"/>
      <c r="Q331" s="250"/>
    </row>
    <row r="332">
      <c r="H332" s="235"/>
      <c r="Q332" s="250"/>
    </row>
    <row r="333">
      <c r="H333" s="235"/>
      <c r="Q333" s="250"/>
    </row>
    <row r="334">
      <c r="H334" s="235"/>
      <c r="Q334" s="250"/>
    </row>
    <row r="335">
      <c r="H335" s="235"/>
      <c r="Q335" s="250"/>
    </row>
    <row r="336">
      <c r="H336" s="235"/>
      <c r="Q336" s="250"/>
    </row>
    <row r="337">
      <c r="H337" s="235"/>
      <c r="Q337" s="250"/>
    </row>
    <row r="338">
      <c r="H338" s="235"/>
      <c r="Q338" s="250"/>
    </row>
    <row r="339">
      <c r="H339" s="235"/>
      <c r="Q339" s="250"/>
    </row>
    <row r="340">
      <c r="H340" s="235"/>
      <c r="Q340" s="250"/>
    </row>
    <row r="341">
      <c r="H341" s="235"/>
      <c r="Q341" s="250"/>
    </row>
    <row r="342">
      <c r="H342" s="235"/>
      <c r="Q342" s="250"/>
    </row>
    <row r="343">
      <c r="H343" s="235"/>
      <c r="Q343" s="250"/>
    </row>
    <row r="344">
      <c r="H344" s="235"/>
      <c r="Q344" s="250"/>
    </row>
    <row r="345">
      <c r="H345" s="235"/>
      <c r="Q345" s="250"/>
    </row>
    <row r="346">
      <c r="H346" s="235"/>
      <c r="Q346" s="250"/>
    </row>
    <row r="347">
      <c r="H347" s="235"/>
      <c r="Q347" s="250"/>
    </row>
    <row r="348">
      <c r="H348" s="235"/>
      <c r="Q348" s="250"/>
    </row>
    <row r="349">
      <c r="H349" s="235"/>
      <c r="Q349" s="250"/>
    </row>
    <row r="350">
      <c r="H350" s="235"/>
      <c r="Q350" s="250"/>
    </row>
    <row r="351">
      <c r="H351" s="235"/>
      <c r="Q351" s="250"/>
    </row>
    <row r="352">
      <c r="H352" s="235"/>
      <c r="Q352" s="250"/>
    </row>
    <row r="353">
      <c r="H353" s="235"/>
      <c r="Q353" s="250"/>
    </row>
    <row r="354">
      <c r="H354" s="235"/>
      <c r="Q354" s="250"/>
    </row>
    <row r="355">
      <c r="H355" s="235"/>
      <c r="Q355" s="250"/>
    </row>
    <row r="356">
      <c r="H356" s="235"/>
      <c r="Q356" s="250"/>
    </row>
    <row r="357">
      <c r="H357" s="235"/>
      <c r="Q357" s="250"/>
    </row>
    <row r="358">
      <c r="H358" s="235"/>
      <c r="Q358" s="250"/>
    </row>
    <row r="359">
      <c r="H359" s="235"/>
      <c r="Q359" s="250"/>
    </row>
    <row r="360">
      <c r="H360" s="235"/>
      <c r="Q360" s="250"/>
    </row>
    <row r="361">
      <c r="H361" s="235"/>
      <c r="Q361" s="250"/>
    </row>
    <row r="362">
      <c r="H362" s="235"/>
      <c r="Q362" s="250"/>
    </row>
    <row r="363">
      <c r="H363" s="235"/>
      <c r="Q363" s="250"/>
    </row>
    <row r="364">
      <c r="H364" s="235"/>
      <c r="Q364" s="250"/>
    </row>
    <row r="365">
      <c r="H365" s="235"/>
      <c r="Q365" s="250"/>
    </row>
    <row r="366">
      <c r="H366" s="235"/>
      <c r="Q366" s="250"/>
    </row>
    <row r="367">
      <c r="H367" s="235"/>
      <c r="Q367" s="250"/>
    </row>
    <row r="368">
      <c r="H368" s="235"/>
      <c r="Q368" s="250"/>
    </row>
    <row r="369">
      <c r="H369" s="235"/>
      <c r="Q369" s="250"/>
    </row>
    <row r="370">
      <c r="H370" s="235"/>
      <c r="Q370" s="250"/>
    </row>
    <row r="371">
      <c r="H371" s="235"/>
      <c r="Q371" s="250"/>
    </row>
    <row r="372">
      <c r="H372" s="235"/>
      <c r="Q372" s="250"/>
    </row>
    <row r="373">
      <c r="H373" s="235"/>
      <c r="Q373" s="250"/>
    </row>
    <row r="374">
      <c r="H374" s="235"/>
      <c r="Q374" s="250"/>
    </row>
    <row r="375">
      <c r="H375" s="235"/>
      <c r="Q375" s="250"/>
    </row>
    <row r="376">
      <c r="H376" s="235"/>
      <c r="Q376" s="250"/>
    </row>
    <row r="377">
      <c r="H377" s="235"/>
      <c r="Q377" s="250"/>
    </row>
    <row r="378">
      <c r="H378" s="235"/>
      <c r="Q378" s="250"/>
    </row>
    <row r="379">
      <c r="H379" s="235"/>
      <c r="Q379" s="250"/>
    </row>
    <row r="380">
      <c r="H380" s="235"/>
      <c r="Q380" s="250"/>
    </row>
    <row r="381">
      <c r="H381" s="235"/>
      <c r="Q381" s="250"/>
    </row>
    <row r="382">
      <c r="H382" s="235"/>
      <c r="Q382" s="250"/>
    </row>
    <row r="383">
      <c r="H383" s="235"/>
      <c r="Q383" s="250"/>
    </row>
    <row r="384">
      <c r="H384" s="235"/>
      <c r="Q384" s="250"/>
    </row>
    <row r="385">
      <c r="H385" s="235"/>
      <c r="Q385" s="250"/>
    </row>
    <row r="386">
      <c r="H386" s="235"/>
      <c r="Q386" s="250"/>
    </row>
    <row r="387">
      <c r="H387" s="235"/>
      <c r="Q387" s="250"/>
    </row>
    <row r="388">
      <c r="H388" s="235"/>
      <c r="Q388" s="250"/>
    </row>
    <row r="389">
      <c r="H389" s="235"/>
      <c r="Q389" s="250"/>
    </row>
    <row r="390">
      <c r="H390" s="235"/>
      <c r="Q390" s="250"/>
    </row>
    <row r="391">
      <c r="H391" s="235"/>
      <c r="Q391" s="250"/>
    </row>
    <row r="392">
      <c r="H392" s="235"/>
      <c r="Q392" s="250"/>
    </row>
    <row r="393">
      <c r="H393" s="235"/>
      <c r="Q393" s="250"/>
    </row>
    <row r="394">
      <c r="H394" s="235"/>
      <c r="Q394" s="250"/>
    </row>
    <row r="395">
      <c r="H395" s="235"/>
      <c r="Q395" s="250"/>
    </row>
    <row r="396">
      <c r="H396" s="235"/>
      <c r="Q396" s="250"/>
    </row>
    <row r="397">
      <c r="H397" s="235"/>
      <c r="Q397" s="250"/>
    </row>
    <row r="398">
      <c r="H398" s="235"/>
      <c r="Q398" s="250"/>
    </row>
    <row r="399">
      <c r="H399" s="235"/>
      <c r="Q399" s="250"/>
    </row>
    <row r="400">
      <c r="H400" s="235"/>
      <c r="Q400" s="250"/>
    </row>
    <row r="401">
      <c r="H401" s="235"/>
      <c r="Q401" s="250"/>
    </row>
    <row r="402">
      <c r="H402" s="235"/>
      <c r="Q402" s="250"/>
    </row>
    <row r="403">
      <c r="H403" s="235"/>
      <c r="Q403" s="250"/>
    </row>
    <row r="404">
      <c r="H404" s="235"/>
      <c r="Q404" s="250"/>
    </row>
    <row r="405">
      <c r="H405" s="235"/>
      <c r="Q405" s="250"/>
    </row>
    <row r="406">
      <c r="H406" s="235"/>
      <c r="Q406" s="250"/>
    </row>
    <row r="407">
      <c r="H407" s="235"/>
      <c r="Q407" s="250"/>
    </row>
    <row r="408">
      <c r="H408" s="235"/>
      <c r="Q408" s="250"/>
    </row>
    <row r="409">
      <c r="H409" s="235"/>
      <c r="Q409" s="250"/>
    </row>
    <row r="410">
      <c r="H410" s="235"/>
      <c r="Q410" s="250"/>
    </row>
    <row r="411">
      <c r="H411" s="235"/>
      <c r="Q411" s="250"/>
    </row>
    <row r="412">
      <c r="H412" s="235"/>
      <c r="Q412" s="250"/>
    </row>
    <row r="413">
      <c r="H413" s="235"/>
      <c r="Q413" s="250"/>
    </row>
    <row r="414">
      <c r="H414" s="235"/>
      <c r="Q414" s="250"/>
    </row>
    <row r="415">
      <c r="H415" s="235"/>
      <c r="Q415" s="250"/>
    </row>
    <row r="416">
      <c r="H416" s="235"/>
      <c r="Q416" s="250"/>
    </row>
    <row r="417">
      <c r="H417" s="235"/>
      <c r="Q417" s="250"/>
    </row>
    <row r="418">
      <c r="H418" s="235"/>
      <c r="Q418" s="250"/>
    </row>
    <row r="419">
      <c r="H419" s="235"/>
      <c r="Q419" s="250"/>
    </row>
    <row r="420">
      <c r="H420" s="235"/>
      <c r="Q420" s="250"/>
    </row>
    <row r="421">
      <c r="H421" s="235"/>
      <c r="Q421" s="250"/>
    </row>
    <row r="422">
      <c r="H422" s="235"/>
      <c r="Q422" s="250"/>
    </row>
    <row r="423">
      <c r="H423" s="235"/>
      <c r="Q423" s="250"/>
    </row>
    <row r="424">
      <c r="H424" s="235"/>
      <c r="Q424" s="250"/>
    </row>
    <row r="425">
      <c r="H425" s="235"/>
      <c r="Q425" s="250"/>
    </row>
    <row r="426">
      <c r="H426" s="235"/>
      <c r="Q426" s="250"/>
    </row>
    <row r="427">
      <c r="H427" s="235"/>
      <c r="Q427" s="250"/>
    </row>
    <row r="428">
      <c r="H428" s="235"/>
      <c r="Q428" s="250"/>
    </row>
    <row r="429">
      <c r="H429" s="235"/>
      <c r="Q429" s="250"/>
    </row>
    <row r="430">
      <c r="H430" s="235"/>
      <c r="Q430" s="250"/>
    </row>
    <row r="431">
      <c r="H431" s="235"/>
      <c r="Q431" s="250"/>
    </row>
    <row r="432">
      <c r="H432" s="235"/>
      <c r="Q432" s="250"/>
    </row>
    <row r="433">
      <c r="H433" s="235"/>
      <c r="Q433" s="250"/>
    </row>
    <row r="434">
      <c r="H434" s="235"/>
      <c r="Q434" s="250"/>
    </row>
    <row r="435">
      <c r="H435" s="235"/>
      <c r="Q435" s="250"/>
    </row>
    <row r="436">
      <c r="H436" s="235"/>
      <c r="Q436" s="250"/>
    </row>
    <row r="437">
      <c r="H437" s="235"/>
      <c r="Q437" s="250"/>
    </row>
    <row r="438">
      <c r="H438" s="235"/>
      <c r="Q438" s="250"/>
    </row>
    <row r="439">
      <c r="H439" s="235"/>
      <c r="Q439" s="250"/>
    </row>
    <row r="440">
      <c r="H440" s="235"/>
      <c r="Q440" s="250"/>
    </row>
    <row r="441">
      <c r="H441" s="235"/>
      <c r="Q441" s="250"/>
    </row>
    <row r="442">
      <c r="H442" s="235"/>
      <c r="Q442" s="250"/>
    </row>
    <row r="443">
      <c r="H443" s="235"/>
      <c r="Q443" s="250"/>
    </row>
    <row r="444">
      <c r="H444" s="235"/>
      <c r="Q444" s="250"/>
    </row>
    <row r="445">
      <c r="H445" s="235"/>
      <c r="Q445" s="250"/>
    </row>
    <row r="446">
      <c r="H446" s="235"/>
      <c r="Q446" s="250"/>
    </row>
    <row r="447">
      <c r="H447" s="235"/>
      <c r="Q447" s="250"/>
    </row>
    <row r="448">
      <c r="H448" s="235"/>
      <c r="Q448" s="250"/>
    </row>
    <row r="449">
      <c r="H449" s="235"/>
      <c r="Q449" s="250"/>
    </row>
    <row r="450">
      <c r="H450" s="235"/>
      <c r="Q450" s="250"/>
    </row>
    <row r="451">
      <c r="H451" s="235"/>
      <c r="Q451" s="250"/>
    </row>
    <row r="452">
      <c r="H452" s="235"/>
      <c r="Q452" s="250"/>
    </row>
    <row r="453">
      <c r="H453" s="235"/>
      <c r="Q453" s="250"/>
    </row>
    <row r="454">
      <c r="H454" s="235"/>
      <c r="Q454" s="250"/>
    </row>
    <row r="455">
      <c r="H455" s="235"/>
      <c r="Q455" s="250"/>
    </row>
    <row r="456">
      <c r="H456" s="235"/>
      <c r="Q456" s="250"/>
    </row>
    <row r="457">
      <c r="H457" s="235"/>
      <c r="Q457" s="250"/>
    </row>
    <row r="458">
      <c r="H458" s="235"/>
      <c r="Q458" s="250"/>
    </row>
    <row r="459">
      <c r="H459" s="235"/>
      <c r="Q459" s="250"/>
    </row>
    <row r="460">
      <c r="H460" s="235"/>
      <c r="Q460" s="250"/>
    </row>
    <row r="461">
      <c r="H461" s="235"/>
      <c r="Q461" s="250"/>
    </row>
    <row r="462">
      <c r="H462" s="235"/>
      <c r="Q462" s="250"/>
    </row>
    <row r="463">
      <c r="H463" s="235"/>
      <c r="Q463" s="250"/>
    </row>
    <row r="464">
      <c r="H464" s="235"/>
      <c r="Q464" s="250"/>
    </row>
    <row r="465">
      <c r="H465" s="235"/>
      <c r="Q465" s="250"/>
    </row>
    <row r="466">
      <c r="H466" s="235"/>
      <c r="Q466" s="250"/>
    </row>
    <row r="467">
      <c r="H467" s="235"/>
      <c r="Q467" s="250"/>
    </row>
    <row r="468">
      <c r="H468" s="235"/>
      <c r="Q468" s="250"/>
    </row>
    <row r="469">
      <c r="H469" s="235"/>
      <c r="Q469" s="250"/>
    </row>
    <row r="470">
      <c r="H470" s="235"/>
      <c r="Q470" s="250"/>
    </row>
    <row r="471">
      <c r="H471" s="235"/>
      <c r="Q471" s="250"/>
    </row>
    <row r="472">
      <c r="H472" s="235"/>
      <c r="Q472" s="250"/>
    </row>
    <row r="473">
      <c r="H473" s="235"/>
      <c r="Q473" s="250"/>
    </row>
    <row r="474">
      <c r="H474" s="235"/>
      <c r="Q474" s="250"/>
    </row>
    <row r="475">
      <c r="H475" s="235"/>
      <c r="Q475" s="250"/>
    </row>
    <row r="476">
      <c r="H476" s="235"/>
      <c r="Q476" s="250"/>
    </row>
    <row r="477">
      <c r="H477" s="235"/>
      <c r="Q477" s="250"/>
    </row>
    <row r="478">
      <c r="H478" s="235"/>
      <c r="Q478" s="250"/>
    </row>
    <row r="479">
      <c r="H479" s="235"/>
      <c r="Q479" s="250"/>
    </row>
    <row r="480">
      <c r="H480" s="235"/>
      <c r="Q480" s="250"/>
    </row>
    <row r="481">
      <c r="H481" s="235"/>
      <c r="Q481" s="250"/>
    </row>
    <row r="482">
      <c r="H482" s="235"/>
      <c r="Q482" s="250"/>
    </row>
    <row r="483">
      <c r="H483" s="235"/>
      <c r="Q483" s="250"/>
    </row>
    <row r="484">
      <c r="H484" s="235"/>
      <c r="Q484" s="250"/>
    </row>
    <row r="485">
      <c r="H485" s="235"/>
      <c r="Q485" s="250"/>
    </row>
    <row r="486">
      <c r="H486" s="235"/>
      <c r="Q486" s="250"/>
    </row>
    <row r="487">
      <c r="H487" s="235"/>
      <c r="Q487" s="250"/>
    </row>
    <row r="488">
      <c r="H488" s="235"/>
      <c r="Q488" s="250"/>
    </row>
    <row r="489">
      <c r="H489" s="235"/>
      <c r="Q489" s="250"/>
    </row>
    <row r="490">
      <c r="H490" s="235"/>
      <c r="Q490" s="250"/>
    </row>
    <row r="491">
      <c r="H491" s="235"/>
      <c r="Q491" s="250"/>
    </row>
    <row r="492">
      <c r="H492" s="235"/>
      <c r="Q492" s="250"/>
    </row>
    <row r="493">
      <c r="H493" s="235"/>
      <c r="Q493" s="250"/>
    </row>
    <row r="494">
      <c r="H494" s="235"/>
      <c r="Q494" s="250"/>
    </row>
    <row r="495">
      <c r="H495" s="235"/>
      <c r="Q495" s="250"/>
    </row>
    <row r="496">
      <c r="H496" s="235"/>
      <c r="Q496" s="250"/>
    </row>
    <row r="497">
      <c r="H497" s="235"/>
      <c r="Q497" s="250"/>
    </row>
    <row r="498">
      <c r="H498" s="235"/>
      <c r="Q498" s="250"/>
    </row>
    <row r="499">
      <c r="H499" s="235"/>
      <c r="Q499" s="250"/>
    </row>
    <row r="500">
      <c r="H500" s="235"/>
      <c r="Q500" s="250"/>
    </row>
    <row r="501">
      <c r="H501" s="235"/>
      <c r="Q501" s="250"/>
    </row>
    <row r="502">
      <c r="H502" s="235"/>
      <c r="Q502" s="250"/>
    </row>
    <row r="503">
      <c r="H503" s="235"/>
      <c r="Q503" s="250"/>
    </row>
    <row r="504">
      <c r="H504" s="235"/>
      <c r="Q504" s="250"/>
    </row>
    <row r="505">
      <c r="H505" s="235"/>
      <c r="Q505" s="250"/>
    </row>
    <row r="506">
      <c r="H506" s="235"/>
      <c r="Q506" s="250"/>
    </row>
    <row r="507">
      <c r="H507" s="235"/>
      <c r="Q507" s="250"/>
    </row>
    <row r="508">
      <c r="H508" s="235"/>
      <c r="Q508" s="250"/>
    </row>
    <row r="509">
      <c r="H509" s="235"/>
      <c r="Q509" s="250"/>
    </row>
    <row r="510">
      <c r="H510" s="235"/>
      <c r="Q510" s="250"/>
    </row>
    <row r="511">
      <c r="H511" s="235"/>
      <c r="Q511" s="250"/>
    </row>
    <row r="512">
      <c r="H512" s="235"/>
      <c r="Q512" s="250"/>
    </row>
    <row r="513">
      <c r="H513" s="235"/>
      <c r="Q513" s="250"/>
    </row>
    <row r="514">
      <c r="H514" s="235"/>
      <c r="Q514" s="250"/>
    </row>
    <row r="515">
      <c r="H515" s="235"/>
      <c r="Q515" s="250"/>
    </row>
    <row r="516">
      <c r="H516" s="235"/>
      <c r="Q516" s="250"/>
    </row>
    <row r="517">
      <c r="H517" s="235"/>
      <c r="Q517" s="250"/>
    </row>
    <row r="518">
      <c r="H518" s="235"/>
      <c r="Q518" s="250"/>
    </row>
    <row r="519">
      <c r="H519" s="235"/>
      <c r="Q519" s="250"/>
    </row>
    <row r="520">
      <c r="H520" s="235"/>
      <c r="Q520" s="250"/>
    </row>
    <row r="521">
      <c r="H521" s="235"/>
      <c r="Q521" s="250"/>
    </row>
    <row r="522">
      <c r="H522" s="235"/>
      <c r="Q522" s="250"/>
    </row>
    <row r="523">
      <c r="H523" s="235"/>
      <c r="Q523" s="250"/>
    </row>
    <row r="524">
      <c r="H524" s="235"/>
      <c r="Q524" s="250"/>
    </row>
    <row r="525">
      <c r="H525" s="235"/>
      <c r="Q525" s="250"/>
    </row>
    <row r="526">
      <c r="H526" s="235"/>
      <c r="Q526" s="250"/>
    </row>
    <row r="527">
      <c r="H527" s="235"/>
      <c r="Q527" s="250"/>
    </row>
    <row r="528">
      <c r="H528" s="235"/>
      <c r="Q528" s="250"/>
    </row>
    <row r="529">
      <c r="H529" s="235"/>
      <c r="Q529" s="250"/>
    </row>
    <row r="530">
      <c r="H530" s="235"/>
      <c r="Q530" s="250"/>
    </row>
    <row r="531">
      <c r="H531" s="235"/>
      <c r="Q531" s="250"/>
    </row>
    <row r="532">
      <c r="H532" s="235"/>
      <c r="Q532" s="250"/>
    </row>
    <row r="533">
      <c r="H533" s="235"/>
      <c r="Q533" s="250"/>
    </row>
    <row r="534">
      <c r="H534" s="235"/>
      <c r="Q534" s="250"/>
    </row>
    <row r="535">
      <c r="H535" s="235"/>
      <c r="Q535" s="250"/>
    </row>
    <row r="536">
      <c r="H536" s="235"/>
      <c r="Q536" s="250"/>
    </row>
    <row r="537">
      <c r="H537" s="235"/>
      <c r="Q537" s="250"/>
    </row>
    <row r="538">
      <c r="H538" s="235"/>
      <c r="Q538" s="250"/>
    </row>
    <row r="539">
      <c r="H539" s="235"/>
      <c r="Q539" s="250"/>
    </row>
    <row r="540">
      <c r="H540" s="235"/>
      <c r="Q540" s="250"/>
    </row>
    <row r="541">
      <c r="H541" s="235"/>
      <c r="Q541" s="250"/>
    </row>
    <row r="542">
      <c r="H542" s="235"/>
      <c r="Q542" s="250"/>
    </row>
    <row r="543">
      <c r="H543" s="235"/>
      <c r="Q543" s="250"/>
    </row>
    <row r="544">
      <c r="H544" s="235"/>
      <c r="Q544" s="250"/>
    </row>
    <row r="545">
      <c r="H545" s="235"/>
      <c r="Q545" s="250"/>
    </row>
    <row r="546">
      <c r="H546" s="235"/>
      <c r="Q546" s="250"/>
    </row>
    <row r="547">
      <c r="H547" s="235"/>
      <c r="Q547" s="250"/>
    </row>
    <row r="548">
      <c r="H548" s="235"/>
      <c r="Q548" s="250"/>
    </row>
    <row r="549">
      <c r="H549" s="235"/>
      <c r="Q549" s="250"/>
    </row>
    <row r="550">
      <c r="H550" s="235"/>
      <c r="Q550" s="250"/>
    </row>
    <row r="551">
      <c r="H551" s="235"/>
      <c r="Q551" s="250"/>
    </row>
    <row r="552">
      <c r="H552" s="235"/>
      <c r="Q552" s="250"/>
    </row>
    <row r="553">
      <c r="H553" s="235"/>
      <c r="Q553" s="250"/>
    </row>
    <row r="554">
      <c r="H554" s="235"/>
      <c r="Q554" s="250"/>
    </row>
    <row r="555">
      <c r="H555" s="235"/>
      <c r="Q555" s="250"/>
    </row>
    <row r="556">
      <c r="H556" s="235"/>
      <c r="Q556" s="250"/>
    </row>
    <row r="557">
      <c r="H557" s="235"/>
      <c r="Q557" s="250"/>
    </row>
    <row r="558">
      <c r="H558" s="235"/>
      <c r="Q558" s="250"/>
    </row>
    <row r="559">
      <c r="H559" s="235"/>
      <c r="Q559" s="250"/>
    </row>
    <row r="560">
      <c r="H560" s="235"/>
      <c r="Q560" s="250"/>
    </row>
    <row r="561">
      <c r="H561" s="235"/>
      <c r="Q561" s="250"/>
    </row>
    <row r="562">
      <c r="H562" s="235"/>
      <c r="Q562" s="250"/>
    </row>
    <row r="563">
      <c r="H563" s="235"/>
      <c r="Q563" s="250"/>
    </row>
    <row r="564">
      <c r="H564" s="235"/>
      <c r="Q564" s="250"/>
    </row>
    <row r="565">
      <c r="H565" s="235"/>
      <c r="Q565" s="250"/>
    </row>
    <row r="566">
      <c r="H566" s="235"/>
      <c r="Q566" s="250"/>
    </row>
    <row r="567">
      <c r="H567" s="235"/>
      <c r="Q567" s="250"/>
    </row>
    <row r="568">
      <c r="H568" s="235"/>
      <c r="Q568" s="250"/>
    </row>
    <row r="569">
      <c r="H569" s="235"/>
      <c r="Q569" s="250"/>
    </row>
    <row r="570">
      <c r="H570" s="235"/>
      <c r="Q570" s="250"/>
    </row>
    <row r="571">
      <c r="H571" s="235"/>
      <c r="Q571" s="250"/>
    </row>
    <row r="572">
      <c r="H572" s="235"/>
      <c r="Q572" s="250"/>
    </row>
    <row r="573">
      <c r="H573" s="235"/>
      <c r="Q573" s="250"/>
    </row>
    <row r="574">
      <c r="H574" s="235"/>
      <c r="Q574" s="250"/>
    </row>
    <row r="575">
      <c r="H575" s="235"/>
      <c r="Q575" s="250"/>
    </row>
    <row r="576">
      <c r="H576" s="235"/>
      <c r="Q576" s="250"/>
    </row>
    <row r="577">
      <c r="H577" s="235"/>
      <c r="Q577" s="250"/>
    </row>
    <row r="578">
      <c r="H578" s="235"/>
      <c r="Q578" s="250"/>
    </row>
    <row r="579">
      <c r="H579" s="235"/>
      <c r="Q579" s="250"/>
    </row>
    <row r="580">
      <c r="H580" s="235"/>
      <c r="Q580" s="250"/>
    </row>
    <row r="581">
      <c r="H581" s="235"/>
      <c r="Q581" s="250"/>
    </row>
    <row r="582">
      <c r="H582" s="235"/>
      <c r="Q582" s="250"/>
    </row>
    <row r="583">
      <c r="H583" s="235"/>
      <c r="Q583" s="250"/>
    </row>
    <row r="584">
      <c r="H584" s="235"/>
      <c r="Q584" s="250"/>
    </row>
    <row r="585">
      <c r="H585" s="235"/>
      <c r="Q585" s="250"/>
    </row>
    <row r="586">
      <c r="H586" s="235"/>
      <c r="Q586" s="250"/>
    </row>
    <row r="587">
      <c r="H587" s="235"/>
      <c r="Q587" s="250"/>
    </row>
    <row r="588">
      <c r="H588" s="235"/>
      <c r="Q588" s="250"/>
    </row>
    <row r="589">
      <c r="H589" s="235"/>
      <c r="Q589" s="250"/>
    </row>
    <row r="590">
      <c r="H590" s="235"/>
      <c r="Q590" s="250"/>
    </row>
    <row r="591">
      <c r="H591" s="235"/>
      <c r="Q591" s="250"/>
    </row>
    <row r="592">
      <c r="H592" s="235"/>
      <c r="Q592" s="250"/>
    </row>
    <row r="593">
      <c r="H593" s="235"/>
      <c r="Q593" s="250"/>
    </row>
    <row r="594">
      <c r="H594" s="235"/>
      <c r="Q594" s="250"/>
    </row>
    <row r="595">
      <c r="H595" s="235"/>
      <c r="Q595" s="250"/>
    </row>
    <row r="596">
      <c r="H596" s="235"/>
      <c r="Q596" s="250"/>
    </row>
    <row r="597">
      <c r="H597" s="235"/>
      <c r="Q597" s="250"/>
    </row>
    <row r="598">
      <c r="H598" s="235"/>
      <c r="Q598" s="250"/>
    </row>
    <row r="599">
      <c r="H599" s="235"/>
      <c r="Q599" s="250"/>
    </row>
    <row r="600">
      <c r="H600" s="235"/>
      <c r="Q600" s="250"/>
    </row>
    <row r="601">
      <c r="H601" s="235"/>
      <c r="Q601" s="250"/>
    </row>
    <row r="602">
      <c r="H602" s="235"/>
      <c r="Q602" s="250"/>
    </row>
    <row r="603">
      <c r="H603" s="235"/>
      <c r="Q603" s="250"/>
    </row>
    <row r="604">
      <c r="H604" s="235"/>
      <c r="Q604" s="250"/>
    </row>
    <row r="605">
      <c r="H605" s="235"/>
      <c r="Q605" s="250"/>
    </row>
    <row r="606">
      <c r="H606" s="235"/>
      <c r="Q606" s="250"/>
    </row>
    <row r="607">
      <c r="H607" s="235"/>
      <c r="Q607" s="250"/>
    </row>
    <row r="608">
      <c r="H608" s="235"/>
      <c r="Q608" s="250"/>
    </row>
    <row r="609">
      <c r="H609" s="235"/>
      <c r="Q609" s="250"/>
    </row>
    <row r="610">
      <c r="H610" s="235"/>
      <c r="Q610" s="250"/>
    </row>
    <row r="611">
      <c r="H611" s="235"/>
      <c r="Q611" s="250"/>
    </row>
    <row r="612">
      <c r="H612" s="235"/>
      <c r="Q612" s="250"/>
    </row>
    <row r="613">
      <c r="H613" s="235"/>
      <c r="Q613" s="250"/>
    </row>
    <row r="614">
      <c r="H614" s="235"/>
      <c r="Q614" s="250"/>
    </row>
    <row r="615">
      <c r="H615" s="235"/>
      <c r="Q615" s="250"/>
    </row>
    <row r="616">
      <c r="H616" s="235"/>
      <c r="Q616" s="250"/>
    </row>
    <row r="617">
      <c r="H617" s="235"/>
      <c r="Q617" s="250"/>
    </row>
    <row r="618">
      <c r="H618" s="235"/>
      <c r="Q618" s="250"/>
    </row>
    <row r="619">
      <c r="H619" s="235"/>
      <c r="Q619" s="250"/>
    </row>
    <row r="620">
      <c r="H620" s="235"/>
      <c r="Q620" s="250"/>
    </row>
    <row r="621">
      <c r="H621" s="235"/>
      <c r="Q621" s="250"/>
    </row>
    <row r="622">
      <c r="H622" s="235"/>
      <c r="Q622" s="250"/>
    </row>
    <row r="623">
      <c r="H623" s="235"/>
      <c r="Q623" s="250"/>
    </row>
    <row r="624">
      <c r="H624" s="235"/>
      <c r="Q624" s="250"/>
    </row>
    <row r="625">
      <c r="H625" s="235"/>
      <c r="Q625" s="250"/>
    </row>
    <row r="626">
      <c r="H626" s="235"/>
      <c r="Q626" s="250"/>
    </row>
    <row r="627">
      <c r="H627" s="235"/>
      <c r="Q627" s="250"/>
    </row>
    <row r="628">
      <c r="H628" s="235"/>
      <c r="Q628" s="250"/>
    </row>
    <row r="629">
      <c r="H629" s="235"/>
      <c r="Q629" s="250"/>
    </row>
    <row r="630">
      <c r="H630" s="235"/>
      <c r="Q630" s="250"/>
    </row>
    <row r="631">
      <c r="H631" s="235"/>
      <c r="Q631" s="250"/>
    </row>
    <row r="632">
      <c r="H632" s="235"/>
      <c r="Q632" s="250"/>
    </row>
    <row r="633">
      <c r="H633" s="235"/>
      <c r="Q633" s="250"/>
    </row>
    <row r="634">
      <c r="H634" s="235"/>
      <c r="Q634" s="250"/>
    </row>
    <row r="635">
      <c r="H635" s="235"/>
      <c r="Q635" s="250"/>
    </row>
    <row r="636">
      <c r="H636" s="235"/>
      <c r="Q636" s="250"/>
    </row>
    <row r="637">
      <c r="H637" s="235"/>
      <c r="Q637" s="250"/>
    </row>
    <row r="638">
      <c r="H638" s="235"/>
      <c r="Q638" s="250"/>
    </row>
    <row r="639">
      <c r="H639" s="235"/>
      <c r="Q639" s="250"/>
    </row>
    <row r="640">
      <c r="H640" s="235"/>
      <c r="Q640" s="250"/>
    </row>
    <row r="641">
      <c r="H641" s="235"/>
      <c r="Q641" s="250"/>
    </row>
    <row r="642">
      <c r="H642" s="235"/>
      <c r="Q642" s="250"/>
    </row>
    <row r="643">
      <c r="H643" s="235"/>
      <c r="Q643" s="250"/>
    </row>
    <row r="644">
      <c r="H644" s="235"/>
      <c r="Q644" s="250"/>
    </row>
    <row r="645">
      <c r="H645" s="235"/>
      <c r="Q645" s="250"/>
    </row>
    <row r="646">
      <c r="H646" s="235"/>
      <c r="Q646" s="250"/>
    </row>
    <row r="647">
      <c r="H647" s="235"/>
      <c r="Q647" s="250"/>
    </row>
    <row r="648">
      <c r="H648" s="235"/>
      <c r="Q648" s="250"/>
    </row>
    <row r="649">
      <c r="H649" s="235"/>
      <c r="Q649" s="250"/>
    </row>
    <row r="650">
      <c r="H650" s="235"/>
      <c r="Q650" s="250"/>
    </row>
    <row r="651">
      <c r="H651" s="235"/>
      <c r="Q651" s="250"/>
    </row>
    <row r="652">
      <c r="H652" s="235"/>
      <c r="Q652" s="250"/>
    </row>
    <row r="653">
      <c r="H653" s="235"/>
      <c r="Q653" s="250"/>
    </row>
    <row r="654">
      <c r="H654" s="235"/>
      <c r="Q654" s="250"/>
    </row>
    <row r="655">
      <c r="H655" s="235"/>
      <c r="Q655" s="250"/>
    </row>
    <row r="656">
      <c r="H656" s="235"/>
      <c r="Q656" s="250"/>
    </row>
    <row r="657">
      <c r="H657" s="235"/>
      <c r="Q657" s="250"/>
    </row>
    <row r="658">
      <c r="H658" s="235"/>
      <c r="Q658" s="250"/>
    </row>
    <row r="659">
      <c r="H659" s="235"/>
      <c r="Q659" s="250"/>
    </row>
    <row r="660">
      <c r="H660" s="235"/>
      <c r="Q660" s="250"/>
    </row>
    <row r="661">
      <c r="H661" s="235"/>
      <c r="Q661" s="250"/>
    </row>
    <row r="662">
      <c r="H662" s="235"/>
      <c r="Q662" s="250"/>
    </row>
    <row r="663">
      <c r="H663" s="235"/>
      <c r="Q663" s="250"/>
    </row>
    <row r="664">
      <c r="H664" s="235"/>
      <c r="Q664" s="250"/>
    </row>
    <row r="665">
      <c r="H665" s="235"/>
      <c r="Q665" s="250"/>
    </row>
    <row r="666">
      <c r="H666" s="235"/>
      <c r="Q666" s="250"/>
    </row>
    <row r="667">
      <c r="H667" s="235"/>
      <c r="Q667" s="250"/>
    </row>
    <row r="668">
      <c r="H668" s="235"/>
      <c r="Q668" s="250"/>
    </row>
    <row r="669">
      <c r="H669" s="235"/>
      <c r="Q669" s="250"/>
    </row>
    <row r="670">
      <c r="H670" s="235"/>
      <c r="Q670" s="250"/>
    </row>
    <row r="671">
      <c r="H671" s="235"/>
      <c r="Q671" s="250"/>
    </row>
    <row r="672">
      <c r="H672" s="235"/>
      <c r="Q672" s="250"/>
    </row>
    <row r="673">
      <c r="H673" s="235"/>
      <c r="Q673" s="250"/>
    </row>
    <row r="674">
      <c r="H674" s="235"/>
      <c r="Q674" s="250"/>
    </row>
    <row r="675">
      <c r="H675" s="235"/>
      <c r="Q675" s="250"/>
    </row>
    <row r="676">
      <c r="H676" s="235"/>
      <c r="Q676" s="250"/>
    </row>
    <row r="677">
      <c r="H677" s="235"/>
      <c r="Q677" s="250"/>
    </row>
    <row r="678">
      <c r="H678" s="235"/>
      <c r="Q678" s="250"/>
    </row>
    <row r="679">
      <c r="H679" s="235"/>
      <c r="Q679" s="250"/>
    </row>
    <row r="680">
      <c r="H680" s="235"/>
      <c r="Q680" s="250"/>
    </row>
    <row r="681">
      <c r="H681" s="235"/>
      <c r="Q681" s="250"/>
    </row>
    <row r="682">
      <c r="H682" s="235"/>
      <c r="Q682" s="250"/>
    </row>
    <row r="683">
      <c r="H683" s="235"/>
      <c r="Q683" s="250"/>
    </row>
    <row r="684">
      <c r="H684" s="235"/>
      <c r="Q684" s="250"/>
    </row>
    <row r="685">
      <c r="H685" s="235"/>
      <c r="Q685" s="250"/>
    </row>
    <row r="686">
      <c r="H686" s="235"/>
      <c r="Q686" s="250"/>
    </row>
    <row r="687">
      <c r="H687" s="235"/>
      <c r="Q687" s="250"/>
    </row>
    <row r="688">
      <c r="H688" s="235"/>
      <c r="Q688" s="250"/>
    </row>
    <row r="689">
      <c r="H689" s="235"/>
      <c r="Q689" s="250"/>
    </row>
    <row r="690">
      <c r="H690" s="235"/>
      <c r="Q690" s="250"/>
    </row>
    <row r="691">
      <c r="H691" s="235"/>
      <c r="Q691" s="250"/>
    </row>
    <row r="692">
      <c r="H692" s="235"/>
      <c r="Q692" s="250"/>
    </row>
    <row r="693">
      <c r="H693" s="235"/>
      <c r="Q693" s="250"/>
    </row>
    <row r="694">
      <c r="H694" s="235"/>
      <c r="Q694" s="250"/>
    </row>
    <row r="695">
      <c r="H695" s="235"/>
      <c r="Q695" s="250"/>
    </row>
    <row r="696">
      <c r="H696" s="235"/>
      <c r="Q696" s="250"/>
    </row>
    <row r="697">
      <c r="H697" s="235"/>
      <c r="Q697" s="250"/>
    </row>
    <row r="698">
      <c r="H698" s="235"/>
      <c r="Q698" s="250"/>
    </row>
    <row r="699">
      <c r="H699" s="235"/>
      <c r="Q699" s="250"/>
    </row>
    <row r="700">
      <c r="H700" s="235"/>
      <c r="Q700" s="250"/>
    </row>
    <row r="701">
      <c r="H701" s="235"/>
      <c r="Q701" s="250"/>
    </row>
    <row r="702">
      <c r="H702" s="235"/>
      <c r="Q702" s="250"/>
    </row>
    <row r="703">
      <c r="H703" s="235"/>
      <c r="Q703" s="250"/>
    </row>
    <row r="704">
      <c r="H704" s="235"/>
      <c r="Q704" s="250"/>
    </row>
    <row r="705">
      <c r="H705" s="235"/>
      <c r="Q705" s="250"/>
    </row>
    <row r="706">
      <c r="H706" s="235"/>
      <c r="Q706" s="250"/>
    </row>
    <row r="707">
      <c r="H707" s="235"/>
      <c r="Q707" s="250"/>
    </row>
    <row r="708">
      <c r="H708" s="235"/>
      <c r="Q708" s="250"/>
    </row>
    <row r="709">
      <c r="H709" s="235"/>
      <c r="Q709" s="250"/>
    </row>
    <row r="710">
      <c r="H710" s="235"/>
      <c r="Q710" s="250"/>
    </row>
    <row r="711">
      <c r="H711" s="235"/>
      <c r="Q711" s="250"/>
    </row>
    <row r="712">
      <c r="H712" s="235"/>
      <c r="Q712" s="250"/>
    </row>
    <row r="713">
      <c r="H713" s="235"/>
      <c r="Q713" s="250"/>
    </row>
    <row r="714">
      <c r="H714" s="235"/>
      <c r="Q714" s="250"/>
    </row>
    <row r="715">
      <c r="H715" s="235"/>
      <c r="Q715" s="250"/>
    </row>
    <row r="716">
      <c r="H716" s="235"/>
      <c r="Q716" s="250"/>
    </row>
    <row r="717">
      <c r="H717" s="235"/>
      <c r="Q717" s="250"/>
    </row>
    <row r="718">
      <c r="H718" s="235"/>
      <c r="Q718" s="250"/>
    </row>
    <row r="719">
      <c r="H719" s="235"/>
      <c r="Q719" s="250"/>
    </row>
    <row r="720">
      <c r="H720" s="235"/>
      <c r="Q720" s="250"/>
    </row>
    <row r="721">
      <c r="H721" s="235"/>
      <c r="Q721" s="250"/>
    </row>
    <row r="722">
      <c r="H722" s="235"/>
      <c r="Q722" s="250"/>
    </row>
    <row r="723">
      <c r="H723" s="235"/>
      <c r="Q723" s="250"/>
    </row>
    <row r="724">
      <c r="H724" s="235"/>
      <c r="Q724" s="250"/>
    </row>
    <row r="725">
      <c r="H725" s="235"/>
      <c r="Q725" s="250"/>
    </row>
    <row r="726">
      <c r="H726" s="235"/>
      <c r="Q726" s="250"/>
    </row>
    <row r="727">
      <c r="H727" s="235"/>
      <c r="Q727" s="250"/>
    </row>
    <row r="728">
      <c r="H728" s="235"/>
      <c r="Q728" s="250"/>
    </row>
    <row r="729">
      <c r="H729" s="235"/>
      <c r="Q729" s="250"/>
    </row>
    <row r="730">
      <c r="H730" s="235"/>
      <c r="Q730" s="250"/>
    </row>
    <row r="731">
      <c r="H731" s="235"/>
      <c r="Q731" s="250"/>
    </row>
    <row r="732">
      <c r="H732" s="235"/>
      <c r="Q732" s="250"/>
    </row>
    <row r="733">
      <c r="H733" s="235"/>
      <c r="Q733" s="250"/>
    </row>
    <row r="734">
      <c r="H734" s="235"/>
      <c r="Q734" s="250"/>
    </row>
    <row r="735">
      <c r="H735" s="235"/>
      <c r="Q735" s="250"/>
    </row>
    <row r="736">
      <c r="H736" s="235"/>
      <c r="Q736" s="250"/>
    </row>
    <row r="737">
      <c r="H737" s="235"/>
      <c r="Q737" s="250"/>
    </row>
    <row r="738">
      <c r="H738" s="235"/>
      <c r="Q738" s="250"/>
    </row>
    <row r="739">
      <c r="H739" s="235"/>
      <c r="Q739" s="250"/>
    </row>
    <row r="740">
      <c r="H740" s="235"/>
      <c r="Q740" s="250"/>
    </row>
    <row r="741">
      <c r="H741" s="235"/>
      <c r="Q741" s="250"/>
    </row>
    <row r="742">
      <c r="H742" s="235"/>
      <c r="Q742" s="250"/>
    </row>
    <row r="743">
      <c r="H743" s="235"/>
      <c r="Q743" s="250"/>
    </row>
    <row r="744">
      <c r="H744" s="235"/>
      <c r="Q744" s="250"/>
    </row>
    <row r="745">
      <c r="H745" s="235"/>
      <c r="Q745" s="250"/>
    </row>
    <row r="746">
      <c r="H746" s="235"/>
      <c r="Q746" s="250"/>
    </row>
    <row r="747">
      <c r="H747" s="235"/>
      <c r="Q747" s="250"/>
    </row>
    <row r="748">
      <c r="H748" s="235"/>
      <c r="Q748" s="250"/>
    </row>
    <row r="749">
      <c r="H749" s="235"/>
      <c r="Q749" s="250"/>
    </row>
    <row r="750">
      <c r="H750" s="235"/>
      <c r="Q750" s="250"/>
    </row>
    <row r="751">
      <c r="H751" s="235"/>
      <c r="Q751" s="250"/>
    </row>
    <row r="752">
      <c r="H752" s="235"/>
      <c r="Q752" s="250"/>
    </row>
    <row r="753">
      <c r="H753" s="235"/>
      <c r="Q753" s="250"/>
    </row>
    <row r="754">
      <c r="H754" s="235"/>
      <c r="Q754" s="250"/>
    </row>
    <row r="755">
      <c r="H755" s="235"/>
      <c r="Q755" s="250"/>
    </row>
    <row r="756">
      <c r="H756" s="235"/>
      <c r="Q756" s="250"/>
    </row>
    <row r="757">
      <c r="H757" s="235"/>
      <c r="Q757" s="250"/>
    </row>
    <row r="758">
      <c r="H758" s="235"/>
      <c r="Q758" s="250"/>
    </row>
    <row r="759">
      <c r="H759" s="235"/>
      <c r="Q759" s="250"/>
    </row>
    <row r="760">
      <c r="H760" s="235"/>
      <c r="Q760" s="250"/>
    </row>
    <row r="761">
      <c r="H761" s="235"/>
      <c r="Q761" s="250"/>
    </row>
    <row r="762">
      <c r="H762" s="235"/>
      <c r="Q762" s="250"/>
    </row>
    <row r="763">
      <c r="H763" s="235"/>
      <c r="Q763" s="250"/>
    </row>
    <row r="764">
      <c r="H764" s="235"/>
      <c r="Q764" s="250"/>
    </row>
    <row r="765">
      <c r="H765" s="235"/>
      <c r="Q765" s="250"/>
    </row>
    <row r="766">
      <c r="H766" s="235"/>
      <c r="Q766" s="250"/>
    </row>
    <row r="767">
      <c r="H767" s="235"/>
      <c r="Q767" s="250"/>
    </row>
    <row r="768">
      <c r="H768" s="235"/>
      <c r="Q768" s="250"/>
    </row>
    <row r="769">
      <c r="H769" s="235"/>
      <c r="Q769" s="250"/>
    </row>
    <row r="770">
      <c r="H770" s="235"/>
      <c r="Q770" s="250"/>
    </row>
    <row r="771">
      <c r="H771" s="235"/>
      <c r="Q771" s="250"/>
    </row>
    <row r="772">
      <c r="H772" s="235"/>
      <c r="Q772" s="250"/>
    </row>
    <row r="773">
      <c r="H773" s="235"/>
      <c r="Q773" s="250"/>
    </row>
    <row r="774">
      <c r="H774" s="235"/>
      <c r="Q774" s="250"/>
    </row>
    <row r="775">
      <c r="H775" s="235"/>
      <c r="Q775" s="250"/>
    </row>
    <row r="776">
      <c r="H776" s="235"/>
      <c r="Q776" s="250"/>
    </row>
    <row r="777">
      <c r="H777" s="235"/>
      <c r="Q777" s="250"/>
    </row>
    <row r="778">
      <c r="H778" s="235"/>
      <c r="Q778" s="250"/>
    </row>
    <row r="779">
      <c r="H779" s="235"/>
      <c r="Q779" s="250"/>
    </row>
    <row r="780">
      <c r="H780" s="235"/>
      <c r="Q780" s="250"/>
    </row>
    <row r="781">
      <c r="H781" s="235"/>
      <c r="Q781" s="250"/>
    </row>
    <row r="782">
      <c r="H782" s="235"/>
      <c r="Q782" s="250"/>
    </row>
    <row r="783">
      <c r="H783" s="235"/>
      <c r="Q783" s="250"/>
    </row>
    <row r="784">
      <c r="H784" s="235"/>
      <c r="Q784" s="250"/>
    </row>
    <row r="785">
      <c r="H785" s="235"/>
      <c r="Q785" s="250"/>
    </row>
    <row r="786">
      <c r="H786" s="235"/>
      <c r="Q786" s="250"/>
    </row>
    <row r="787">
      <c r="H787" s="235"/>
      <c r="Q787" s="250"/>
    </row>
    <row r="788">
      <c r="H788" s="235"/>
      <c r="Q788" s="250"/>
    </row>
    <row r="789">
      <c r="H789" s="235"/>
      <c r="Q789" s="250"/>
    </row>
    <row r="790">
      <c r="H790" s="235"/>
      <c r="Q790" s="250"/>
    </row>
    <row r="791">
      <c r="H791" s="235"/>
      <c r="Q791" s="250"/>
    </row>
    <row r="792">
      <c r="H792" s="235"/>
      <c r="Q792" s="250"/>
    </row>
    <row r="793">
      <c r="H793" s="235"/>
      <c r="Q793" s="250"/>
    </row>
    <row r="794">
      <c r="H794" s="235"/>
      <c r="Q794" s="250"/>
    </row>
    <row r="795">
      <c r="H795" s="235"/>
      <c r="Q795" s="250"/>
    </row>
    <row r="796">
      <c r="H796" s="235"/>
      <c r="Q796" s="250"/>
    </row>
    <row r="797">
      <c r="H797" s="235"/>
      <c r="Q797" s="250"/>
    </row>
    <row r="798">
      <c r="H798" s="235"/>
      <c r="Q798" s="250"/>
    </row>
    <row r="799">
      <c r="H799" s="235"/>
      <c r="Q799" s="250"/>
    </row>
    <row r="800">
      <c r="H800" s="235"/>
      <c r="Q800" s="250"/>
    </row>
    <row r="801">
      <c r="H801" s="235"/>
      <c r="Q801" s="250"/>
    </row>
    <row r="802">
      <c r="H802" s="235"/>
      <c r="Q802" s="250"/>
    </row>
    <row r="803">
      <c r="H803" s="235"/>
      <c r="Q803" s="250"/>
    </row>
    <row r="804">
      <c r="H804" s="235"/>
      <c r="Q804" s="250"/>
    </row>
    <row r="805">
      <c r="H805" s="235"/>
      <c r="Q805" s="250"/>
    </row>
    <row r="806">
      <c r="H806" s="235"/>
      <c r="Q806" s="250"/>
    </row>
    <row r="807">
      <c r="H807" s="235"/>
      <c r="Q807" s="250"/>
    </row>
    <row r="808">
      <c r="H808" s="235"/>
      <c r="Q808" s="250"/>
    </row>
    <row r="809">
      <c r="H809" s="235"/>
      <c r="Q809" s="250"/>
    </row>
    <row r="810">
      <c r="H810" s="235"/>
      <c r="Q810" s="250"/>
    </row>
    <row r="811">
      <c r="H811" s="235"/>
      <c r="Q811" s="250"/>
    </row>
    <row r="812">
      <c r="H812" s="235"/>
      <c r="Q812" s="250"/>
    </row>
    <row r="813">
      <c r="H813" s="235"/>
      <c r="Q813" s="250"/>
    </row>
    <row r="814">
      <c r="H814" s="235"/>
      <c r="Q814" s="250"/>
    </row>
    <row r="815">
      <c r="H815" s="235"/>
      <c r="Q815" s="250"/>
    </row>
    <row r="816">
      <c r="H816" s="235"/>
      <c r="Q816" s="250"/>
    </row>
    <row r="817">
      <c r="H817" s="235"/>
      <c r="Q817" s="250"/>
    </row>
    <row r="818">
      <c r="H818" s="235"/>
      <c r="Q818" s="250"/>
    </row>
    <row r="819">
      <c r="H819" s="235"/>
      <c r="Q819" s="250"/>
    </row>
    <row r="820">
      <c r="H820" s="235"/>
      <c r="Q820" s="250"/>
    </row>
    <row r="821">
      <c r="H821" s="235"/>
      <c r="Q821" s="250"/>
    </row>
    <row r="822">
      <c r="H822" s="235"/>
      <c r="Q822" s="250"/>
    </row>
    <row r="823">
      <c r="H823" s="235"/>
      <c r="Q823" s="250"/>
    </row>
    <row r="824">
      <c r="H824" s="235"/>
      <c r="Q824" s="250"/>
    </row>
    <row r="825">
      <c r="H825" s="235"/>
      <c r="Q825" s="250"/>
    </row>
    <row r="826">
      <c r="H826" s="235"/>
      <c r="Q826" s="250"/>
    </row>
    <row r="827">
      <c r="H827" s="235"/>
      <c r="Q827" s="250"/>
    </row>
    <row r="828">
      <c r="H828" s="235"/>
      <c r="Q828" s="250"/>
    </row>
    <row r="829">
      <c r="H829" s="235"/>
      <c r="Q829" s="250"/>
    </row>
    <row r="830">
      <c r="H830" s="235"/>
      <c r="Q830" s="250"/>
    </row>
    <row r="831">
      <c r="H831" s="235"/>
      <c r="Q831" s="250"/>
    </row>
    <row r="832">
      <c r="H832" s="235"/>
      <c r="Q832" s="250"/>
    </row>
    <row r="833">
      <c r="H833" s="235"/>
      <c r="Q833" s="250"/>
    </row>
    <row r="834">
      <c r="H834" s="235"/>
      <c r="Q834" s="250"/>
    </row>
    <row r="835">
      <c r="H835" s="235"/>
      <c r="Q835" s="250"/>
    </row>
    <row r="836">
      <c r="H836" s="235"/>
      <c r="Q836" s="250"/>
    </row>
    <row r="837">
      <c r="H837" s="235"/>
      <c r="Q837" s="250"/>
    </row>
    <row r="838">
      <c r="H838" s="235"/>
      <c r="Q838" s="250"/>
    </row>
    <row r="839">
      <c r="H839" s="235"/>
      <c r="Q839" s="250"/>
    </row>
    <row r="840">
      <c r="H840" s="235"/>
      <c r="Q840" s="250"/>
    </row>
    <row r="841">
      <c r="H841" s="235"/>
      <c r="Q841" s="250"/>
    </row>
    <row r="842">
      <c r="H842" s="235"/>
      <c r="Q842" s="250"/>
    </row>
    <row r="843">
      <c r="H843" s="235"/>
      <c r="Q843" s="250"/>
    </row>
    <row r="844">
      <c r="H844" s="235"/>
      <c r="Q844" s="250"/>
    </row>
    <row r="845">
      <c r="H845" s="235"/>
      <c r="Q845" s="250"/>
    </row>
    <row r="846">
      <c r="H846" s="235"/>
      <c r="Q846" s="250"/>
    </row>
    <row r="847">
      <c r="H847" s="235"/>
      <c r="Q847" s="250"/>
    </row>
    <row r="848">
      <c r="H848" s="235"/>
      <c r="Q848" s="250"/>
    </row>
    <row r="849">
      <c r="H849" s="235"/>
      <c r="Q849" s="250"/>
    </row>
    <row r="850">
      <c r="H850" s="235"/>
      <c r="Q850" s="250"/>
    </row>
    <row r="851">
      <c r="H851" s="235"/>
      <c r="Q851" s="250"/>
    </row>
    <row r="852">
      <c r="H852" s="235"/>
      <c r="Q852" s="250"/>
    </row>
    <row r="853">
      <c r="H853" s="235"/>
      <c r="Q853" s="250"/>
    </row>
    <row r="854">
      <c r="H854" s="235"/>
      <c r="Q854" s="250"/>
    </row>
    <row r="855">
      <c r="H855" s="235"/>
      <c r="Q855" s="250"/>
    </row>
    <row r="856">
      <c r="H856" s="235"/>
      <c r="Q856" s="250"/>
    </row>
    <row r="857">
      <c r="H857" s="235"/>
      <c r="Q857" s="250"/>
    </row>
    <row r="858">
      <c r="H858" s="235"/>
      <c r="Q858" s="250"/>
    </row>
    <row r="859">
      <c r="H859" s="235"/>
      <c r="Q859" s="250"/>
    </row>
    <row r="860">
      <c r="H860" s="235"/>
      <c r="Q860" s="250"/>
    </row>
    <row r="861">
      <c r="H861" s="235"/>
      <c r="Q861" s="250"/>
    </row>
    <row r="862">
      <c r="H862" s="235"/>
      <c r="Q862" s="250"/>
    </row>
    <row r="863">
      <c r="H863" s="235"/>
      <c r="Q863" s="250"/>
    </row>
    <row r="864">
      <c r="H864" s="235"/>
      <c r="Q864" s="250"/>
    </row>
    <row r="865">
      <c r="H865" s="235"/>
      <c r="Q865" s="250"/>
    </row>
    <row r="866">
      <c r="H866" s="235"/>
      <c r="Q866" s="250"/>
    </row>
    <row r="867">
      <c r="H867" s="235"/>
      <c r="Q867" s="250"/>
    </row>
    <row r="868">
      <c r="H868" s="235"/>
      <c r="Q868" s="250"/>
    </row>
    <row r="869">
      <c r="H869" s="235"/>
      <c r="Q869" s="250"/>
    </row>
    <row r="870">
      <c r="H870" s="235"/>
      <c r="Q870" s="250"/>
    </row>
    <row r="871">
      <c r="H871" s="235"/>
      <c r="Q871" s="250"/>
    </row>
    <row r="872">
      <c r="H872" s="235"/>
      <c r="Q872" s="250"/>
    </row>
    <row r="873">
      <c r="H873" s="235"/>
      <c r="Q873" s="250"/>
    </row>
    <row r="874">
      <c r="H874" s="235"/>
      <c r="Q874" s="250"/>
    </row>
    <row r="875">
      <c r="H875" s="235"/>
      <c r="Q875" s="250"/>
    </row>
    <row r="876">
      <c r="H876" s="235"/>
      <c r="Q876" s="250"/>
    </row>
    <row r="877">
      <c r="H877" s="235"/>
      <c r="Q877" s="250"/>
    </row>
    <row r="878">
      <c r="H878" s="235"/>
      <c r="Q878" s="250"/>
    </row>
    <row r="879">
      <c r="H879" s="235"/>
      <c r="Q879" s="250"/>
    </row>
    <row r="880">
      <c r="H880" s="235"/>
      <c r="Q880" s="250"/>
    </row>
    <row r="881">
      <c r="H881" s="235"/>
      <c r="Q881" s="250"/>
    </row>
    <row r="882">
      <c r="H882" s="235"/>
      <c r="Q882" s="250"/>
    </row>
    <row r="883">
      <c r="H883" s="235"/>
      <c r="Q883" s="250"/>
    </row>
    <row r="884">
      <c r="H884" s="235"/>
      <c r="Q884" s="250"/>
    </row>
    <row r="885">
      <c r="H885" s="235"/>
      <c r="Q885" s="250"/>
    </row>
    <row r="886">
      <c r="H886" s="235"/>
      <c r="Q886" s="250"/>
    </row>
    <row r="887">
      <c r="H887" s="235"/>
      <c r="Q887" s="250"/>
    </row>
    <row r="888">
      <c r="H888" s="235"/>
      <c r="Q888" s="250"/>
    </row>
    <row r="889">
      <c r="H889" s="235"/>
      <c r="Q889" s="250"/>
    </row>
    <row r="890">
      <c r="H890" s="235"/>
      <c r="Q890" s="250"/>
    </row>
    <row r="891">
      <c r="H891" s="235"/>
      <c r="Q891" s="250"/>
    </row>
    <row r="892">
      <c r="H892" s="235"/>
      <c r="Q892" s="250"/>
    </row>
    <row r="893">
      <c r="H893" s="235"/>
      <c r="Q893" s="250"/>
    </row>
    <row r="894">
      <c r="H894" s="235"/>
      <c r="Q894" s="250"/>
    </row>
    <row r="895">
      <c r="H895" s="235"/>
      <c r="Q895" s="250"/>
    </row>
    <row r="896">
      <c r="H896" s="235"/>
      <c r="Q896" s="250"/>
    </row>
    <row r="897">
      <c r="H897" s="235"/>
      <c r="Q897" s="250"/>
    </row>
    <row r="898">
      <c r="H898" s="235"/>
      <c r="Q898" s="250"/>
    </row>
    <row r="899">
      <c r="H899" s="235"/>
      <c r="Q899" s="250"/>
    </row>
    <row r="900">
      <c r="H900" s="235"/>
      <c r="Q900" s="250"/>
    </row>
    <row r="901">
      <c r="H901" s="235"/>
      <c r="Q901" s="250"/>
    </row>
    <row r="902">
      <c r="H902" s="235"/>
      <c r="Q902" s="250"/>
    </row>
    <row r="903">
      <c r="H903" s="235"/>
      <c r="Q903" s="250"/>
    </row>
    <row r="904">
      <c r="H904" s="235"/>
      <c r="Q904" s="250"/>
    </row>
    <row r="905">
      <c r="H905" s="235"/>
      <c r="Q905" s="250"/>
    </row>
    <row r="906">
      <c r="H906" s="235"/>
      <c r="Q906" s="250"/>
    </row>
    <row r="907">
      <c r="H907" s="235"/>
      <c r="Q907" s="250"/>
    </row>
    <row r="908">
      <c r="H908" s="235"/>
      <c r="Q908" s="250"/>
    </row>
    <row r="909">
      <c r="H909" s="235"/>
      <c r="Q909" s="250"/>
    </row>
    <row r="910">
      <c r="H910" s="235"/>
      <c r="Q910" s="250"/>
    </row>
    <row r="911">
      <c r="H911" s="235"/>
      <c r="Q911" s="250"/>
    </row>
    <row r="912">
      <c r="H912" s="235"/>
      <c r="Q912" s="250"/>
    </row>
    <row r="913">
      <c r="H913" s="235"/>
      <c r="Q913" s="250"/>
    </row>
    <row r="914">
      <c r="H914" s="235"/>
      <c r="Q914" s="250"/>
    </row>
    <row r="915">
      <c r="H915" s="235"/>
      <c r="Q915" s="250"/>
    </row>
    <row r="916">
      <c r="H916" s="235"/>
      <c r="Q916" s="250"/>
    </row>
    <row r="917">
      <c r="H917" s="235"/>
      <c r="Q917" s="250"/>
    </row>
    <row r="918">
      <c r="H918" s="235"/>
      <c r="Q918" s="250"/>
    </row>
    <row r="919">
      <c r="H919" s="235"/>
      <c r="Q919" s="250"/>
    </row>
    <row r="920">
      <c r="H920" s="235"/>
      <c r="Q920" s="250"/>
    </row>
    <row r="921">
      <c r="H921" s="235"/>
      <c r="Q921" s="250"/>
    </row>
    <row r="922">
      <c r="H922" s="235"/>
      <c r="Q922" s="250"/>
    </row>
    <row r="923">
      <c r="H923" s="235"/>
      <c r="Q923" s="250"/>
    </row>
    <row r="924">
      <c r="H924" s="235"/>
      <c r="Q924" s="250"/>
    </row>
    <row r="925">
      <c r="H925" s="235"/>
      <c r="Q925" s="250"/>
    </row>
    <row r="926">
      <c r="H926" s="235"/>
      <c r="Q926" s="250"/>
    </row>
    <row r="927">
      <c r="H927" s="235"/>
      <c r="Q927" s="250"/>
    </row>
    <row r="928">
      <c r="H928" s="235"/>
      <c r="Q928" s="250"/>
    </row>
    <row r="929">
      <c r="H929" s="235"/>
      <c r="Q929" s="250"/>
    </row>
    <row r="930">
      <c r="H930" s="235"/>
      <c r="Q930" s="250"/>
    </row>
    <row r="931">
      <c r="H931" s="235"/>
      <c r="Q931" s="250"/>
    </row>
    <row r="932">
      <c r="H932" s="235"/>
      <c r="Q932" s="250"/>
    </row>
    <row r="933">
      <c r="H933" s="235"/>
      <c r="Q933" s="250"/>
    </row>
    <row r="934">
      <c r="H934" s="235"/>
      <c r="Q934" s="250"/>
    </row>
    <row r="935">
      <c r="H935" s="235"/>
      <c r="Q935" s="250"/>
    </row>
    <row r="936">
      <c r="H936" s="235"/>
      <c r="Q936" s="250"/>
    </row>
    <row r="937">
      <c r="H937" s="235"/>
      <c r="Q937" s="250"/>
    </row>
    <row r="938">
      <c r="H938" s="235"/>
      <c r="Q938" s="250"/>
    </row>
    <row r="939">
      <c r="H939" s="235"/>
      <c r="Q939" s="250"/>
    </row>
    <row r="940">
      <c r="H940" s="235"/>
      <c r="Q940" s="250"/>
    </row>
    <row r="941">
      <c r="H941" s="235"/>
      <c r="Q941" s="250"/>
    </row>
    <row r="942">
      <c r="H942" s="235"/>
      <c r="Q942" s="250"/>
    </row>
    <row r="943">
      <c r="H943" s="235"/>
      <c r="Q943" s="250"/>
    </row>
    <row r="944">
      <c r="H944" s="235"/>
      <c r="Q944" s="250"/>
    </row>
    <row r="945">
      <c r="H945" s="235"/>
      <c r="Q945" s="250"/>
    </row>
    <row r="946">
      <c r="H946" s="235"/>
      <c r="Q946" s="250"/>
    </row>
    <row r="947">
      <c r="H947" s="235"/>
      <c r="Q947" s="250"/>
    </row>
    <row r="948">
      <c r="H948" s="235"/>
      <c r="Q948" s="250"/>
    </row>
    <row r="949">
      <c r="H949" s="235"/>
      <c r="Q949" s="250"/>
    </row>
    <row r="950">
      <c r="H950" s="235"/>
      <c r="Q950" s="250"/>
    </row>
    <row r="951">
      <c r="H951" s="235"/>
      <c r="Q951" s="250"/>
    </row>
    <row r="952">
      <c r="H952" s="235"/>
      <c r="Q952" s="250"/>
    </row>
    <row r="953">
      <c r="H953" s="235"/>
      <c r="Q953" s="250"/>
    </row>
    <row r="954">
      <c r="H954" s="235"/>
      <c r="Q954" s="250"/>
    </row>
    <row r="955">
      <c r="H955" s="235"/>
      <c r="Q955" s="250"/>
    </row>
    <row r="956">
      <c r="H956" s="235"/>
      <c r="Q956" s="250"/>
    </row>
    <row r="957">
      <c r="H957" s="235"/>
      <c r="Q957" s="250"/>
    </row>
    <row r="958">
      <c r="H958" s="235"/>
      <c r="Q958" s="250"/>
    </row>
    <row r="959">
      <c r="H959" s="235"/>
      <c r="Q959" s="250"/>
    </row>
    <row r="960">
      <c r="H960" s="235"/>
      <c r="Q960" s="250"/>
    </row>
    <row r="961">
      <c r="H961" s="235"/>
      <c r="Q961" s="250"/>
    </row>
    <row r="962">
      <c r="H962" s="235"/>
      <c r="Q962" s="250"/>
    </row>
    <row r="963">
      <c r="H963" s="235"/>
      <c r="Q963" s="250"/>
    </row>
    <row r="964">
      <c r="H964" s="235"/>
      <c r="Q964" s="250"/>
    </row>
    <row r="965">
      <c r="H965" s="235"/>
      <c r="Q965" s="250"/>
    </row>
    <row r="966">
      <c r="H966" s="235"/>
      <c r="Q966" s="250"/>
    </row>
    <row r="967">
      <c r="H967" s="235"/>
      <c r="Q967" s="250"/>
    </row>
    <row r="968">
      <c r="H968" s="235"/>
      <c r="Q968" s="250"/>
    </row>
    <row r="969">
      <c r="H969" s="235"/>
      <c r="Q969" s="250"/>
    </row>
    <row r="970">
      <c r="H970" s="235"/>
      <c r="Q970" s="250"/>
    </row>
    <row r="971">
      <c r="H971" s="235"/>
      <c r="Q971" s="250"/>
    </row>
    <row r="972">
      <c r="H972" s="235"/>
      <c r="Q972" s="250"/>
    </row>
    <row r="973">
      <c r="H973" s="235"/>
      <c r="Q973" s="250"/>
    </row>
    <row r="974">
      <c r="H974" s="235"/>
      <c r="Q974" s="250"/>
    </row>
    <row r="975">
      <c r="H975" s="235"/>
      <c r="Q975" s="250"/>
    </row>
    <row r="976">
      <c r="H976" s="235"/>
      <c r="Q976" s="250"/>
    </row>
    <row r="977">
      <c r="H977" s="235"/>
      <c r="Q977" s="250"/>
    </row>
    <row r="978">
      <c r="H978" s="235"/>
      <c r="Q978" s="250"/>
    </row>
    <row r="979">
      <c r="H979" s="235"/>
      <c r="Q979" s="250"/>
    </row>
    <row r="980">
      <c r="H980" s="235"/>
      <c r="Q980" s="250"/>
    </row>
    <row r="981">
      <c r="H981" s="235"/>
      <c r="Q981" s="250"/>
    </row>
    <row r="982">
      <c r="H982" s="235"/>
      <c r="Q982" s="250"/>
    </row>
    <row r="983">
      <c r="H983" s="235"/>
      <c r="Q983" s="250"/>
    </row>
    <row r="984">
      <c r="H984" s="235"/>
      <c r="Q984" s="250"/>
    </row>
    <row r="985">
      <c r="H985" s="235"/>
      <c r="Q985" s="250"/>
    </row>
    <row r="986">
      <c r="H986" s="235"/>
      <c r="Q986" s="250"/>
    </row>
    <row r="987">
      <c r="H987" s="235"/>
      <c r="Q987" s="250"/>
    </row>
    <row r="988">
      <c r="H988" s="235"/>
      <c r="Q988" s="250"/>
    </row>
    <row r="989">
      <c r="H989" s="235"/>
      <c r="Q989" s="250"/>
    </row>
    <row r="990">
      <c r="H990" s="235"/>
      <c r="Q990" s="250"/>
    </row>
    <row r="991">
      <c r="H991" s="235"/>
      <c r="Q991" s="250"/>
    </row>
    <row r="992">
      <c r="H992" s="235"/>
      <c r="Q992" s="250"/>
    </row>
    <row r="993">
      <c r="H993" s="235"/>
      <c r="Q993" s="250"/>
    </row>
    <row r="994">
      <c r="H994" s="235"/>
      <c r="Q994" s="250"/>
    </row>
    <row r="995">
      <c r="H995" s="235"/>
      <c r="Q995" s="250"/>
    </row>
    <row r="996">
      <c r="H996" s="235"/>
      <c r="Q996" s="250"/>
    </row>
    <row r="997">
      <c r="H997" s="235"/>
      <c r="Q997" s="250"/>
    </row>
    <row r="998">
      <c r="H998" s="235"/>
      <c r="Q998" s="250"/>
    </row>
    <row r="999">
      <c r="H999" s="235"/>
      <c r="Q999" s="250"/>
    </row>
    <row r="1000">
      <c r="H1000" s="235"/>
      <c r="Q1000" s="250"/>
    </row>
    <row r="1001">
      <c r="H1001" s="235"/>
      <c r="Q1001" s="250"/>
    </row>
    <row r="1002">
      <c r="H1002" s="235"/>
      <c r="Q1002" s="250"/>
    </row>
    <row r="1003">
      <c r="H1003" s="235"/>
      <c r="Q1003" s="250"/>
    </row>
    <row r="1004">
      <c r="H1004" s="235"/>
      <c r="Q1004" s="250"/>
    </row>
    <row r="1005">
      <c r="H1005" s="235"/>
      <c r="Q1005" s="250"/>
    </row>
    <row r="1006">
      <c r="H1006" s="235"/>
      <c r="Q1006" s="250"/>
    </row>
    <row r="1007">
      <c r="H1007" s="235"/>
      <c r="Q1007" s="250"/>
    </row>
    <row r="1008">
      <c r="H1008" s="235"/>
      <c r="Q1008" s="250"/>
    </row>
    <row r="1009">
      <c r="H1009" s="235"/>
      <c r="Q1009" s="250"/>
    </row>
    <row r="1010">
      <c r="H1010" s="235"/>
      <c r="Q1010" s="250"/>
    </row>
    <row r="1011">
      <c r="H1011" s="235"/>
      <c r="Q1011" s="250"/>
    </row>
    <row r="1012">
      <c r="H1012" s="235"/>
      <c r="Q1012" s="250"/>
    </row>
    <row r="1013">
      <c r="H1013" s="235"/>
      <c r="Q1013" s="250"/>
    </row>
    <row r="1014">
      <c r="H1014" s="235"/>
      <c r="Q1014" s="250"/>
    </row>
    <row r="1015">
      <c r="H1015" s="235"/>
      <c r="Q1015" s="250"/>
    </row>
    <row r="1016">
      <c r="H1016" s="235"/>
      <c r="Q1016" s="250"/>
    </row>
    <row r="1017">
      <c r="H1017" s="235"/>
      <c r="Q1017" s="250"/>
    </row>
    <row r="1018">
      <c r="H1018" s="235"/>
      <c r="Q1018" s="250"/>
    </row>
    <row r="1019">
      <c r="H1019" s="235"/>
      <c r="Q1019" s="250"/>
    </row>
    <row r="1020">
      <c r="H1020" s="235"/>
      <c r="Q1020" s="250"/>
    </row>
    <row r="1021">
      <c r="H1021" s="235"/>
      <c r="Q1021" s="250"/>
    </row>
    <row r="1022">
      <c r="H1022" s="235"/>
      <c r="Q1022" s="250"/>
    </row>
    <row r="1023">
      <c r="H1023" s="235"/>
      <c r="Q1023" s="250"/>
    </row>
    <row r="1024">
      <c r="H1024" s="235"/>
      <c r="Q1024" s="250"/>
    </row>
    <row r="1025">
      <c r="H1025" s="235"/>
      <c r="Q1025" s="250"/>
    </row>
    <row r="1026">
      <c r="H1026" s="235"/>
      <c r="Q1026" s="250"/>
    </row>
    <row r="1027">
      <c r="H1027" s="235"/>
      <c r="Q1027" s="250"/>
    </row>
    <row r="1028">
      <c r="H1028" s="235"/>
      <c r="Q1028" s="250"/>
    </row>
    <row r="1029">
      <c r="H1029" s="235"/>
      <c r="Q1029" s="250"/>
    </row>
    <row r="1030">
      <c r="H1030" s="235"/>
      <c r="Q1030" s="250"/>
    </row>
    <row r="1031">
      <c r="H1031" s="235"/>
      <c r="Q1031" s="250"/>
    </row>
    <row r="1032">
      <c r="H1032" s="235"/>
      <c r="Q1032" s="250"/>
    </row>
    <row r="1033">
      <c r="H1033" s="235"/>
      <c r="Q1033" s="250"/>
    </row>
    <row r="1034">
      <c r="H1034" s="235"/>
      <c r="Q1034" s="250"/>
    </row>
    <row r="1035">
      <c r="H1035" s="235"/>
      <c r="Q1035" s="250"/>
    </row>
    <row r="1036">
      <c r="H1036" s="235"/>
      <c r="Q1036" s="250"/>
    </row>
    <row r="1037">
      <c r="H1037" s="235"/>
      <c r="Q1037" s="250"/>
    </row>
    <row r="1038">
      <c r="H1038" s="235"/>
      <c r="Q1038" s="250"/>
    </row>
    <row r="1039">
      <c r="H1039" s="235"/>
      <c r="Q1039" s="250"/>
    </row>
    <row r="1040">
      <c r="H1040" s="235"/>
      <c r="Q1040" s="250"/>
    </row>
    <row r="1041">
      <c r="H1041" s="235"/>
      <c r="Q1041" s="250"/>
    </row>
    <row r="1042">
      <c r="H1042" s="235"/>
      <c r="Q1042" s="250"/>
    </row>
    <row r="1043">
      <c r="H1043" s="235"/>
      <c r="Q1043" s="250"/>
    </row>
    <row r="1044">
      <c r="H1044" s="235"/>
      <c r="Q1044" s="250"/>
    </row>
    <row r="1045">
      <c r="H1045" s="235"/>
      <c r="Q1045" s="250"/>
    </row>
    <row r="1046">
      <c r="H1046" s="235"/>
      <c r="Q1046" s="250"/>
    </row>
    <row r="1047">
      <c r="H1047" s="235"/>
      <c r="Q1047" s="250"/>
    </row>
    <row r="1048">
      <c r="H1048" s="235"/>
      <c r="Q1048" s="250"/>
    </row>
    <row r="1049">
      <c r="H1049" s="235"/>
      <c r="Q1049" s="250"/>
    </row>
    <row r="1050">
      <c r="H1050" s="235"/>
      <c r="Q1050" s="250"/>
    </row>
    <row r="1051">
      <c r="H1051" s="235"/>
      <c r="Q1051" s="250"/>
    </row>
    <row r="1052">
      <c r="H1052" s="235"/>
      <c r="Q1052" s="250"/>
    </row>
    <row r="1053">
      <c r="H1053" s="235"/>
      <c r="Q1053" s="250"/>
    </row>
    <row r="1054">
      <c r="H1054" s="235"/>
      <c r="Q1054" s="250"/>
    </row>
    <row r="1055">
      <c r="H1055" s="235"/>
      <c r="Q1055" s="250"/>
    </row>
    <row r="1056">
      <c r="H1056" s="235"/>
      <c r="Q1056" s="250"/>
    </row>
    <row r="1057">
      <c r="H1057" s="235"/>
      <c r="Q1057" s="250"/>
    </row>
    <row r="1058">
      <c r="H1058" s="235"/>
      <c r="Q1058" s="250"/>
    </row>
    <row r="1059">
      <c r="H1059" s="235"/>
      <c r="Q1059" s="250"/>
    </row>
    <row r="1060">
      <c r="H1060" s="235"/>
      <c r="Q1060" s="250"/>
    </row>
    <row r="1061">
      <c r="H1061" s="235"/>
      <c r="Q1061" s="250"/>
    </row>
    <row r="1062">
      <c r="H1062" s="235"/>
      <c r="Q1062" s="250"/>
    </row>
    <row r="1063">
      <c r="H1063" s="235"/>
      <c r="Q1063" s="250"/>
    </row>
    <row r="1064">
      <c r="H1064" s="235"/>
      <c r="Q1064" s="250"/>
    </row>
    <row r="1065">
      <c r="H1065" s="235"/>
      <c r="Q1065" s="250"/>
    </row>
    <row r="1066">
      <c r="H1066" s="235"/>
      <c r="Q1066" s="250"/>
    </row>
    <row r="1067">
      <c r="H1067" s="235"/>
      <c r="Q1067" s="250"/>
    </row>
    <row r="1068">
      <c r="H1068" s="235"/>
      <c r="Q1068" s="250"/>
    </row>
    <row r="1069">
      <c r="H1069" s="235"/>
      <c r="Q1069" s="250"/>
    </row>
    <row r="1070">
      <c r="H1070" s="235"/>
      <c r="Q1070" s="250"/>
    </row>
    <row r="1071">
      <c r="H1071" s="235"/>
      <c r="Q1071" s="250"/>
    </row>
    <row r="1072">
      <c r="H1072" s="235"/>
      <c r="Q1072" s="250"/>
    </row>
    <row r="1073">
      <c r="H1073" s="235"/>
      <c r="Q1073" s="250"/>
    </row>
    <row r="1074">
      <c r="H1074" s="235"/>
      <c r="Q1074" s="250"/>
    </row>
    <row r="1075">
      <c r="H1075" s="235"/>
      <c r="Q1075" s="250"/>
    </row>
    <row r="1076">
      <c r="H1076" s="235"/>
      <c r="Q1076" s="250"/>
    </row>
    <row r="1077">
      <c r="H1077" s="235"/>
      <c r="Q1077" s="250"/>
    </row>
    <row r="1078">
      <c r="H1078" s="235"/>
      <c r="Q1078" s="250"/>
    </row>
    <row r="1079">
      <c r="H1079" s="235"/>
      <c r="Q1079" s="250"/>
    </row>
    <row r="1080">
      <c r="H1080" s="235"/>
      <c r="Q1080" s="250"/>
    </row>
    <row r="1081">
      <c r="H1081" s="235"/>
      <c r="Q1081" s="250"/>
    </row>
    <row r="1082">
      <c r="H1082" s="235"/>
      <c r="Q1082" s="250"/>
    </row>
    <row r="1083">
      <c r="H1083" s="235"/>
      <c r="Q1083" s="250"/>
    </row>
    <row r="1084">
      <c r="H1084" s="235"/>
      <c r="Q1084" s="250"/>
    </row>
    <row r="1085">
      <c r="H1085" s="235"/>
      <c r="Q1085" s="250"/>
    </row>
    <row r="1086">
      <c r="H1086" s="235"/>
      <c r="Q1086" s="250"/>
    </row>
    <row r="1087">
      <c r="H1087" s="235"/>
      <c r="Q1087" s="250"/>
    </row>
    <row r="1088">
      <c r="H1088" s="235"/>
      <c r="Q1088" s="250"/>
    </row>
    <row r="1089">
      <c r="H1089" s="235"/>
      <c r="Q1089" s="250"/>
    </row>
    <row r="1090">
      <c r="H1090" s="235"/>
      <c r="Q1090" s="250"/>
    </row>
    <row r="1091">
      <c r="H1091" s="235"/>
      <c r="Q1091" s="250"/>
    </row>
    <row r="1092">
      <c r="H1092" s="235"/>
      <c r="Q1092" s="250"/>
    </row>
    <row r="1093">
      <c r="H1093" s="235"/>
      <c r="Q1093" s="250"/>
    </row>
    <row r="1094">
      <c r="H1094" s="235"/>
      <c r="Q1094" s="250"/>
    </row>
    <row r="1095">
      <c r="H1095" s="235"/>
      <c r="Q1095" s="250"/>
    </row>
    <row r="1096">
      <c r="H1096" s="235"/>
      <c r="Q1096" s="250"/>
    </row>
    <row r="1097">
      <c r="H1097" s="235"/>
      <c r="Q1097" s="250"/>
    </row>
    <row r="1098">
      <c r="H1098" s="235"/>
      <c r="Q1098" s="250"/>
    </row>
    <row r="1099">
      <c r="H1099" s="235"/>
      <c r="Q1099" s="250"/>
    </row>
    <row r="1100">
      <c r="H1100" s="235"/>
      <c r="Q1100" s="250"/>
    </row>
    <row r="1101">
      <c r="H1101" s="235"/>
      <c r="Q1101" s="250"/>
    </row>
    <row r="1102">
      <c r="H1102" s="235"/>
      <c r="Q1102" s="250"/>
    </row>
    <row r="1103">
      <c r="H1103" s="235"/>
      <c r="Q1103" s="250"/>
    </row>
    <row r="1104">
      <c r="H1104" s="235"/>
      <c r="Q1104" s="250"/>
    </row>
    <row r="1105">
      <c r="H1105" s="235"/>
      <c r="Q1105" s="250"/>
    </row>
    <row r="1106">
      <c r="H1106" s="235"/>
      <c r="Q1106" s="250"/>
    </row>
    <row r="1107">
      <c r="H1107" s="235"/>
      <c r="Q1107" s="250"/>
    </row>
    <row r="1108">
      <c r="H1108" s="235"/>
      <c r="Q1108" s="250"/>
    </row>
    <row r="1109">
      <c r="H1109" s="235"/>
      <c r="Q1109" s="250"/>
    </row>
    <row r="1110">
      <c r="H1110" s="235"/>
      <c r="Q1110" s="250"/>
    </row>
    <row r="1111">
      <c r="H1111" s="235"/>
      <c r="Q1111" s="250"/>
    </row>
    <row r="1112">
      <c r="H1112" s="235"/>
      <c r="Q1112" s="250"/>
    </row>
    <row r="1113">
      <c r="H1113" s="235"/>
      <c r="Q1113" s="250"/>
    </row>
    <row r="1114">
      <c r="H1114" s="235"/>
      <c r="Q1114" s="250"/>
    </row>
    <row r="1115">
      <c r="H1115" s="235"/>
      <c r="Q1115" s="250"/>
    </row>
    <row r="1116">
      <c r="H1116" s="235"/>
      <c r="Q1116" s="250"/>
    </row>
    <row r="1117">
      <c r="H1117" s="235"/>
      <c r="Q1117" s="250"/>
    </row>
    <row r="1118">
      <c r="H1118" s="235"/>
      <c r="Q1118" s="250"/>
    </row>
    <row r="1119">
      <c r="H1119" s="235"/>
      <c r="Q1119" s="250"/>
    </row>
    <row r="1120">
      <c r="H1120" s="235"/>
      <c r="Q1120" s="250"/>
    </row>
    <row r="1121">
      <c r="H1121" s="235"/>
      <c r="Q1121" s="250"/>
    </row>
    <row r="1122">
      <c r="H1122" s="235"/>
      <c r="Q1122" s="250"/>
    </row>
    <row r="1123">
      <c r="H1123" s="235"/>
      <c r="Q1123" s="250"/>
    </row>
    <row r="1124">
      <c r="H1124" s="235"/>
      <c r="Q1124" s="250"/>
    </row>
    <row r="1125">
      <c r="H1125" s="235"/>
      <c r="Q1125" s="250"/>
    </row>
    <row r="1126">
      <c r="H1126" s="235"/>
      <c r="Q1126" s="250"/>
    </row>
    <row r="1127">
      <c r="H1127" s="235"/>
      <c r="Q1127" s="250"/>
    </row>
    <row r="1128">
      <c r="H1128" s="235"/>
      <c r="Q1128" s="250"/>
    </row>
    <row r="1129">
      <c r="H1129" s="235"/>
      <c r="Q1129" s="250"/>
    </row>
    <row r="1130">
      <c r="H1130" s="235"/>
      <c r="Q1130" s="250"/>
    </row>
    <row r="1131">
      <c r="H1131" s="235"/>
      <c r="Q1131" s="250"/>
    </row>
    <row r="1132">
      <c r="H1132" s="235"/>
      <c r="Q1132" s="250"/>
    </row>
    <row r="1133">
      <c r="H1133" s="235"/>
      <c r="Q1133" s="250"/>
    </row>
    <row r="1134">
      <c r="H1134" s="235"/>
      <c r="Q1134" s="250"/>
    </row>
    <row r="1135">
      <c r="H1135" s="235"/>
      <c r="Q1135" s="250"/>
    </row>
    <row r="1136">
      <c r="H1136" s="235"/>
      <c r="Q1136" s="250"/>
    </row>
    <row r="1137">
      <c r="H1137" s="235"/>
      <c r="Q1137" s="250"/>
    </row>
    <row r="1138">
      <c r="H1138" s="235"/>
      <c r="Q1138" s="250"/>
    </row>
    <row r="1139">
      <c r="H1139" s="235"/>
      <c r="Q1139" s="250"/>
    </row>
    <row r="1140">
      <c r="H1140" s="235"/>
      <c r="Q1140" s="250"/>
    </row>
    <row r="1141">
      <c r="H1141" s="235"/>
      <c r="Q1141" s="250"/>
    </row>
    <row r="1142">
      <c r="H1142" s="235"/>
      <c r="Q1142" s="250"/>
    </row>
    <row r="1143">
      <c r="H1143" s="235"/>
      <c r="Q1143" s="250"/>
    </row>
    <row r="1144">
      <c r="H1144" s="235"/>
      <c r="Q1144" s="250"/>
    </row>
    <row r="1145">
      <c r="H1145" s="235"/>
      <c r="Q1145" s="250"/>
    </row>
    <row r="1146">
      <c r="H1146" s="235"/>
      <c r="Q1146" s="250"/>
    </row>
    <row r="1147">
      <c r="H1147" s="235"/>
      <c r="Q1147" s="250"/>
    </row>
    <row r="1148">
      <c r="H1148" s="235"/>
      <c r="Q1148" s="250"/>
    </row>
    <row r="1149">
      <c r="H1149" s="235"/>
      <c r="Q1149" s="250"/>
    </row>
    <row r="1150">
      <c r="H1150" s="235"/>
      <c r="Q1150" s="250"/>
    </row>
    <row r="1151">
      <c r="H1151" s="235"/>
      <c r="Q1151" s="250"/>
    </row>
    <row r="1152">
      <c r="H1152" s="235"/>
      <c r="Q1152" s="250"/>
    </row>
    <row r="1153">
      <c r="H1153" s="235"/>
      <c r="Q1153" s="250"/>
    </row>
    <row r="1154">
      <c r="H1154" s="235"/>
      <c r="Q1154" s="250"/>
    </row>
    <row r="1155">
      <c r="H1155" s="235"/>
      <c r="Q1155" s="250"/>
    </row>
    <row r="1156">
      <c r="H1156" s="235"/>
      <c r="Q1156" s="250"/>
    </row>
    <row r="1157">
      <c r="H1157" s="235"/>
      <c r="Q1157" s="250"/>
    </row>
    <row r="1158">
      <c r="H1158" s="235"/>
      <c r="Q1158" s="250"/>
    </row>
    <row r="1159">
      <c r="H1159" s="235"/>
      <c r="Q1159" s="250"/>
    </row>
    <row r="1160">
      <c r="H1160" s="235"/>
      <c r="Q1160" s="250"/>
    </row>
    <row r="1161">
      <c r="H1161" s="235"/>
      <c r="Q1161" s="250"/>
    </row>
    <row r="1162">
      <c r="H1162" s="235"/>
      <c r="Q1162" s="250"/>
    </row>
    <row r="1163">
      <c r="H1163" s="235"/>
      <c r="Q1163" s="250"/>
    </row>
    <row r="1164">
      <c r="H1164" s="235"/>
      <c r="Q1164" s="250"/>
    </row>
    <row r="1165">
      <c r="H1165" s="235"/>
      <c r="Q1165" s="250"/>
    </row>
    <row r="1166">
      <c r="H1166" s="235"/>
      <c r="Q1166" s="250"/>
    </row>
    <row r="1167">
      <c r="H1167" s="235"/>
      <c r="Q1167" s="250"/>
    </row>
    <row r="1168">
      <c r="H1168" s="235"/>
      <c r="Q1168" s="250"/>
    </row>
    <row r="1169">
      <c r="H1169" s="235"/>
      <c r="Q1169" s="250"/>
    </row>
    <row r="1170">
      <c r="H1170" s="235"/>
      <c r="Q1170" s="250"/>
    </row>
    <row r="1171">
      <c r="H1171" s="235"/>
      <c r="Q1171" s="250"/>
    </row>
    <row r="1172">
      <c r="H1172" s="235"/>
      <c r="Q1172" s="250"/>
    </row>
    <row r="1173">
      <c r="H1173" s="235"/>
      <c r="Q1173" s="250"/>
    </row>
    <row r="1174">
      <c r="H1174" s="235"/>
      <c r="Q1174" s="250"/>
    </row>
    <row r="1175">
      <c r="H1175" s="235"/>
      <c r="Q1175" s="250"/>
    </row>
    <row r="1176">
      <c r="H1176" s="235"/>
      <c r="Q1176" s="250"/>
    </row>
    <row r="1177">
      <c r="H1177" s="235"/>
      <c r="Q1177" s="250"/>
    </row>
    <row r="1178">
      <c r="H1178" s="235"/>
      <c r="Q1178" s="250"/>
    </row>
    <row r="1179">
      <c r="H1179" s="235"/>
      <c r="Q1179" s="250"/>
    </row>
    <row r="1180">
      <c r="H1180" s="235"/>
      <c r="Q1180" s="250"/>
    </row>
    <row r="1181">
      <c r="H1181" s="235"/>
      <c r="Q1181" s="250"/>
    </row>
    <row r="1182">
      <c r="H1182" s="235"/>
      <c r="Q1182" s="250"/>
    </row>
    <row r="1183">
      <c r="H1183" s="235"/>
      <c r="Q1183" s="250"/>
    </row>
    <row r="1184">
      <c r="H1184" s="235"/>
      <c r="Q1184" s="250"/>
    </row>
    <row r="1185">
      <c r="H1185" s="235"/>
      <c r="Q1185" s="250"/>
    </row>
    <row r="1186">
      <c r="H1186" s="235"/>
      <c r="Q1186" s="250"/>
    </row>
    <row r="1187">
      <c r="H1187" s="235"/>
      <c r="Q1187" s="250"/>
    </row>
    <row r="1188">
      <c r="H1188" s="235"/>
      <c r="Q1188" s="250"/>
    </row>
    <row r="1189">
      <c r="H1189" s="235"/>
      <c r="Q1189" s="250"/>
    </row>
    <row r="1190">
      <c r="H1190" s="235"/>
      <c r="Q1190" s="250"/>
    </row>
    <row r="1191">
      <c r="H1191" s="235"/>
      <c r="Q1191" s="250"/>
    </row>
    <row r="1192">
      <c r="H1192" s="235"/>
      <c r="Q1192" s="250"/>
    </row>
    <row r="1193">
      <c r="H1193" s="235"/>
      <c r="Q1193" s="250"/>
    </row>
    <row r="1194">
      <c r="H1194" s="235"/>
      <c r="Q1194" s="250"/>
    </row>
    <row r="1195">
      <c r="H1195" s="235"/>
      <c r="Q1195" s="250"/>
    </row>
    <row r="1196">
      <c r="H1196" s="235"/>
      <c r="Q1196" s="250"/>
    </row>
    <row r="1197">
      <c r="H1197" s="235"/>
      <c r="Q1197" s="250"/>
    </row>
    <row r="1198">
      <c r="H1198" s="235"/>
      <c r="Q1198" s="250"/>
    </row>
    <row r="1199">
      <c r="H1199" s="235"/>
      <c r="Q1199" s="250"/>
    </row>
    <row r="1200">
      <c r="H1200" s="235"/>
      <c r="Q1200" s="250"/>
    </row>
    <row r="1201">
      <c r="H1201" s="235"/>
      <c r="Q1201" s="250"/>
    </row>
    <row r="1202">
      <c r="H1202" s="235"/>
      <c r="Q1202" s="250"/>
    </row>
    <row r="1203">
      <c r="H1203" s="235"/>
      <c r="Q1203" s="250"/>
    </row>
    <row r="1204">
      <c r="H1204" s="235"/>
      <c r="Q1204" s="250"/>
    </row>
    <row r="1205">
      <c r="H1205" s="235"/>
      <c r="Q1205" s="250"/>
    </row>
    <row r="1206">
      <c r="H1206" s="235"/>
      <c r="Q1206" s="250"/>
    </row>
    <row r="1207">
      <c r="H1207" s="235"/>
      <c r="Q1207" s="250"/>
    </row>
    <row r="1208">
      <c r="H1208" s="235"/>
      <c r="Q1208" s="250"/>
    </row>
    <row r="1209">
      <c r="H1209" s="235"/>
      <c r="Q1209" s="250"/>
    </row>
    <row r="1210">
      <c r="H1210" s="235"/>
      <c r="Q1210" s="250"/>
    </row>
    <row r="1211">
      <c r="H1211" s="235"/>
      <c r="Q1211" s="250"/>
    </row>
    <row r="1212">
      <c r="H1212" s="235"/>
      <c r="Q1212" s="250"/>
    </row>
    <row r="1213">
      <c r="H1213" s="235"/>
      <c r="Q1213" s="250"/>
    </row>
    <row r="1214">
      <c r="H1214" s="235"/>
      <c r="Q1214" s="250"/>
    </row>
    <row r="1215">
      <c r="H1215" s="235"/>
      <c r="Q1215" s="250"/>
    </row>
    <row r="1216">
      <c r="H1216" s="235"/>
      <c r="Q1216" s="250"/>
    </row>
    <row r="1217">
      <c r="H1217" s="235"/>
      <c r="Q1217" s="250"/>
    </row>
    <row r="1218">
      <c r="H1218" s="235"/>
      <c r="Q1218" s="250"/>
    </row>
    <row r="1219">
      <c r="H1219" s="235"/>
      <c r="Q1219" s="250"/>
    </row>
    <row r="1220">
      <c r="H1220" s="235"/>
      <c r="Q1220" s="250"/>
    </row>
    <row r="1221">
      <c r="H1221" s="235"/>
      <c r="Q1221" s="250"/>
    </row>
    <row r="1222">
      <c r="H1222" s="235"/>
      <c r="Q1222" s="250"/>
    </row>
    <row r="1223">
      <c r="H1223" s="235"/>
      <c r="Q1223" s="250"/>
    </row>
    <row r="1224">
      <c r="H1224" s="235"/>
      <c r="Q1224" s="250"/>
    </row>
    <row r="1225">
      <c r="H1225" s="235"/>
      <c r="Q1225" s="250"/>
    </row>
    <row r="1226">
      <c r="H1226" s="235"/>
      <c r="Q1226" s="250"/>
    </row>
    <row r="1227">
      <c r="H1227" s="235"/>
      <c r="Q1227" s="250"/>
    </row>
    <row r="1228">
      <c r="H1228" s="235"/>
      <c r="Q1228" s="250"/>
    </row>
    <row r="1229">
      <c r="H1229" s="235"/>
      <c r="Q1229" s="250"/>
    </row>
  </sheetData>
  <conditionalFormatting sqref="J5:J35 K5:K51 L18:L5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5:N3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5:Q35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1" max="1" width="8.5"/>
    <col customWidth="1" min="2" max="32" width="5.5"/>
    <col customWidth="1" min="33" max="300" width="7.0"/>
  </cols>
  <sheetData>
    <row r="1">
      <c r="A1" s="252">
        <v>2023.0</v>
      </c>
      <c r="AI1" s="252"/>
      <c r="AJ1" s="252"/>
      <c r="AK1" s="252"/>
      <c r="AL1" s="252"/>
      <c r="AM1" s="252"/>
      <c r="AN1" s="252"/>
      <c r="AO1" s="252"/>
      <c r="AP1" s="252"/>
      <c r="AQ1" s="252"/>
      <c r="AR1" s="252"/>
      <c r="AS1" s="252"/>
      <c r="AT1" s="252"/>
      <c r="AU1" s="252"/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2"/>
      <c r="BH1" s="252"/>
      <c r="BI1" s="252"/>
      <c r="BJ1" s="252"/>
      <c r="BK1" s="252"/>
      <c r="BL1" s="252"/>
      <c r="BM1" s="252"/>
      <c r="BN1" s="252"/>
      <c r="BO1" s="252"/>
      <c r="BP1" s="252"/>
      <c r="BQ1" s="252"/>
      <c r="BR1" s="252"/>
      <c r="BS1" s="252"/>
      <c r="BT1" s="252"/>
      <c r="BU1" s="252"/>
      <c r="BV1" s="252"/>
      <c r="BW1" s="252"/>
      <c r="BX1" s="252"/>
      <c r="BY1" s="252"/>
      <c r="BZ1" s="252"/>
      <c r="CA1" s="252"/>
      <c r="CB1" s="252"/>
      <c r="CC1" s="252"/>
      <c r="CD1" s="252"/>
      <c r="CE1" s="252"/>
      <c r="CF1" s="252"/>
      <c r="CG1" s="252"/>
      <c r="CH1" s="252"/>
      <c r="CI1" s="252"/>
      <c r="CJ1" s="252"/>
      <c r="CK1" s="252"/>
      <c r="CL1" s="252"/>
      <c r="CM1" s="252"/>
      <c r="CN1" s="252"/>
      <c r="CO1" s="252"/>
      <c r="CP1" s="252"/>
      <c r="CQ1" s="252"/>
      <c r="CR1" s="252"/>
      <c r="CS1" s="252"/>
      <c r="CT1" s="252"/>
      <c r="CU1" s="252"/>
      <c r="CV1" s="252"/>
      <c r="CW1" s="252"/>
      <c r="CX1" s="252"/>
      <c r="CY1" s="252"/>
      <c r="CZ1" s="252"/>
      <c r="DA1" s="252"/>
      <c r="DB1" s="252"/>
      <c r="DC1" s="252"/>
      <c r="DD1" s="252"/>
      <c r="DE1" s="252"/>
      <c r="DF1" s="252"/>
      <c r="DG1" s="252"/>
      <c r="DH1" s="252"/>
      <c r="DI1" s="252"/>
      <c r="DJ1" s="252"/>
      <c r="DK1" s="252"/>
      <c r="DL1" s="252"/>
      <c r="DM1" s="252"/>
      <c r="DN1" s="252"/>
      <c r="DO1" s="252"/>
      <c r="DP1" s="252"/>
      <c r="DQ1" s="252"/>
      <c r="DR1" s="252"/>
      <c r="DS1" s="252"/>
      <c r="DT1" s="252"/>
      <c r="DU1" s="252"/>
      <c r="DV1" s="252"/>
      <c r="DW1" s="252"/>
      <c r="DX1" s="252"/>
      <c r="DY1" s="252"/>
      <c r="DZ1" s="252"/>
      <c r="EA1" s="252"/>
      <c r="EB1" s="252"/>
      <c r="EC1" s="252"/>
      <c r="ED1" s="252"/>
      <c r="EE1" s="252"/>
      <c r="EF1" s="252"/>
      <c r="EG1" s="252"/>
      <c r="EH1" s="252"/>
      <c r="EI1" s="252"/>
      <c r="EJ1" s="252"/>
      <c r="EK1" s="252"/>
      <c r="EL1" s="252"/>
      <c r="EM1" s="252"/>
      <c r="EN1" s="252"/>
      <c r="EO1" s="252"/>
      <c r="EP1" s="252"/>
      <c r="EQ1" s="252"/>
      <c r="ER1" s="252"/>
      <c r="ES1" s="252"/>
      <c r="ET1" s="252"/>
      <c r="EU1" s="252"/>
      <c r="EV1" s="252"/>
      <c r="EW1" s="252"/>
      <c r="EX1" s="252"/>
      <c r="EY1" s="252"/>
      <c r="EZ1" s="252"/>
      <c r="FA1" s="252"/>
      <c r="FB1" s="252"/>
      <c r="FC1" s="252"/>
      <c r="FD1" s="252"/>
      <c r="FE1" s="252"/>
      <c r="FF1" s="252"/>
      <c r="FG1" s="252"/>
      <c r="FH1" s="252"/>
      <c r="FI1" s="252"/>
      <c r="FJ1" s="252"/>
      <c r="FK1" s="252"/>
      <c r="FL1" s="252"/>
      <c r="FM1" s="252"/>
      <c r="FN1" s="252"/>
      <c r="FO1" s="252"/>
      <c r="FP1" s="252"/>
      <c r="FQ1" s="252"/>
      <c r="FR1" s="252"/>
      <c r="FS1" s="252"/>
      <c r="FT1" s="252"/>
      <c r="FU1" s="252"/>
      <c r="FV1" s="252"/>
      <c r="FW1" s="252"/>
      <c r="FX1" s="252"/>
      <c r="FY1" s="252"/>
      <c r="FZ1" s="252"/>
      <c r="GA1" s="252"/>
      <c r="GB1" s="252"/>
      <c r="GC1" s="252"/>
      <c r="GD1" s="252"/>
      <c r="GE1" s="252"/>
      <c r="GF1" s="252"/>
      <c r="GG1" s="252"/>
      <c r="GH1" s="252"/>
      <c r="GI1" s="252"/>
      <c r="GJ1" s="252"/>
      <c r="GK1" s="252"/>
      <c r="GL1" s="252"/>
      <c r="GM1" s="252"/>
      <c r="GN1" s="252"/>
      <c r="GO1" s="252"/>
      <c r="GP1" s="252"/>
      <c r="GQ1" s="252"/>
      <c r="GR1" s="252"/>
      <c r="GS1" s="252"/>
      <c r="GT1" s="252"/>
      <c r="GU1" s="252"/>
      <c r="GV1" s="252"/>
      <c r="GW1" s="252"/>
      <c r="GX1" s="252"/>
      <c r="GY1" s="252"/>
      <c r="GZ1" s="252"/>
      <c r="HA1" s="252"/>
      <c r="HB1" s="252"/>
      <c r="HC1" s="252"/>
      <c r="HD1" s="252"/>
      <c r="HE1" s="252"/>
      <c r="HF1" s="252"/>
      <c r="HG1" s="252"/>
      <c r="HH1" s="252"/>
      <c r="HI1" s="252"/>
      <c r="HJ1" s="252"/>
      <c r="HK1" s="252"/>
      <c r="HL1" s="252"/>
      <c r="HM1" s="252"/>
      <c r="HN1" s="252"/>
      <c r="HO1" s="252"/>
      <c r="HP1" s="252"/>
      <c r="HQ1" s="252"/>
      <c r="HR1" s="252"/>
      <c r="HS1" s="252"/>
      <c r="HT1" s="252"/>
      <c r="HU1" s="252"/>
      <c r="HV1" s="252"/>
      <c r="HW1" s="252"/>
      <c r="HX1" s="252"/>
      <c r="HY1" s="252"/>
      <c r="HZ1" s="252"/>
      <c r="IA1" s="252"/>
      <c r="IB1" s="252"/>
      <c r="IC1" s="252"/>
      <c r="ID1" s="252"/>
      <c r="IE1" s="252"/>
      <c r="IF1" s="252"/>
      <c r="IG1" s="252"/>
      <c r="IH1" s="252"/>
      <c r="II1" s="252"/>
      <c r="IJ1" s="252"/>
      <c r="IK1" s="252"/>
      <c r="IL1" s="252"/>
      <c r="IM1" s="252"/>
      <c r="IN1" s="252"/>
      <c r="IO1" s="252"/>
      <c r="IP1" s="252"/>
      <c r="IQ1" s="252"/>
      <c r="IR1" s="252"/>
      <c r="IS1" s="252"/>
      <c r="IT1" s="252"/>
      <c r="IU1" s="252"/>
      <c r="IV1" s="252"/>
      <c r="IW1" s="252"/>
      <c r="IX1" s="252"/>
      <c r="IY1" s="252"/>
      <c r="IZ1" s="252"/>
      <c r="JA1" s="252"/>
      <c r="JB1" s="252"/>
      <c r="JC1" s="252"/>
      <c r="JD1" s="252"/>
      <c r="JE1" s="252"/>
      <c r="JF1" s="252"/>
      <c r="JG1" s="252"/>
      <c r="JH1" s="252"/>
      <c r="JI1" s="252"/>
      <c r="JJ1" s="252"/>
      <c r="JK1" s="252"/>
      <c r="JL1" s="252"/>
      <c r="JM1" s="252"/>
      <c r="JN1" s="252"/>
      <c r="JO1" s="252"/>
      <c r="JP1" s="252"/>
      <c r="JQ1" s="252"/>
      <c r="JR1" s="252"/>
      <c r="JS1" s="252"/>
      <c r="JT1" s="252"/>
      <c r="JU1" s="252"/>
      <c r="JV1" s="252"/>
      <c r="JW1" s="252"/>
      <c r="JX1" s="252"/>
      <c r="JY1" s="252"/>
      <c r="JZ1" s="252"/>
      <c r="KA1" s="252"/>
      <c r="KB1" s="252"/>
      <c r="KC1" s="252"/>
      <c r="KD1" s="252"/>
      <c r="KE1" s="252"/>
      <c r="KF1" s="252"/>
      <c r="KG1" s="252"/>
      <c r="KH1" s="252"/>
      <c r="KI1" s="252"/>
      <c r="KJ1" s="252"/>
      <c r="KK1" s="252"/>
      <c r="KL1" s="252"/>
      <c r="KM1" s="252"/>
      <c r="KN1" s="252"/>
    </row>
    <row r="2" outlineLevel="1" collapsed="1">
      <c r="A2" s="253" t="s">
        <v>10211</v>
      </c>
      <c r="B2" s="254">
        <v>44927.0</v>
      </c>
      <c r="C2" s="255">
        <v>44928.0</v>
      </c>
      <c r="D2" s="255">
        <v>44929.0</v>
      </c>
      <c r="E2" s="255">
        <v>44930.0</v>
      </c>
      <c r="F2" s="255">
        <v>44931.0</v>
      </c>
      <c r="G2" s="255">
        <v>44932.0</v>
      </c>
      <c r="H2" s="254">
        <v>44933.0</v>
      </c>
      <c r="I2" s="254">
        <v>44934.0</v>
      </c>
      <c r="J2" s="255">
        <v>44935.0</v>
      </c>
      <c r="K2" s="255">
        <v>44936.0</v>
      </c>
      <c r="L2" s="255">
        <v>44937.0</v>
      </c>
      <c r="M2" s="255">
        <v>44938.0</v>
      </c>
      <c r="N2" s="255">
        <v>44939.0</v>
      </c>
      <c r="O2" s="254">
        <v>44940.0</v>
      </c>
      <c r="P2" s="254">
        <v>44941.0</v>
      </c>
      <c r="Q2" s="255">
        <v>44942.0</v>
      </c>
      <c r="R2" s="255">
        <v>44943.0</v>
      </c>
      <c r="S2" s="255">
        <v>44944.0</v>
      </c>
      <c r="T2" s="255">
        <v>44945.0</v>
      </c>
      <c r="U2" s="255">
        <v>44946.0</v>
      </c>
      <c r="V2" s="254">
        <v>44947.0</v>
      </c>
      <c r="W2" s="254">
        <v>44948.0</v>
      </c>
      <c r="X2" s="255">
        <v>44949.0</v>
      </c>
      <c r="Y2" s="255">
        <v>44950.0</v>
      </c>
      <c r="Z2" s="255">
        <v>44951.0</v>
      </c>
      <c r="AA2" s="255">
        <v>44952.0</v>
      </c>
      <c r="AB2" s="255">
        <v>44953.0</v>
      </c>
      <c r="AC2" s="254">
        <v>44954.0</v>
      </c>
      <c r="AD2" s="254">
        <v>44955.0</v>
      </c>
      <c r="AE2" s="255">
        <v>44956.0</v>
      </c>
      <c r="AF2" s="255">
        <v>44957.0</v>
      </c>
      <c r="AG2" s="75" t="s">
        <v>41</v>
      </c>
      <c r="AH2" s="75" t="s">
        <v>10252</v>
      </c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75"/>
      <c r="EB2" s="75"/>
      <c r="EC2" s="75"/>
      <c r="ED2" s="75"/>
      <c r="EE2" s="75"/>
      <c r="EF2" s="75"/>
      <c r="EG2" s="75"/>
      <c r="EH2" s="75"/>
      <c r="EI2" s="75"/>
      <c r="EJ2" s="75"/>
      <c r="EK2" s="75"/>
      <c r="EL2" s="75"/>
      <c r="EM2" s="75"/>
      <c r="EN2" s="75"/>
      <c r="EO2" s="75"/>
      <c r="EP2" s="75"/>
      <c r="EQ2" s="75"/>
      <c r="ER2" s="75"/>
      <c r="ES2" s="75"/>
      <c r="ET2" s="75"/>
      <c r="EU2" s="75"/>
      <c r="EV2" s="75"/>
      <c r="EW2" s="75"/>
      <c r="EX2" s="75"/>
      <c r="EY2" s="75"/>
      <c r="EZ2" s="75"/>
      <c r="FA2" s="75"/>
      <c r="FB2" s="75"/>
      <c r="FC2" s="75"/>
      <c r="FD2" s="75"/>
      <c r="FE2" s="75"/>
      <c r="FF2" s="75"/>
      <c r="FG2" s="75"/>
      <c r="FH2" s="75"/>
      <c r="FI2" s="75"/>
      <c r="FJ2" s="75"/>
      <c r="FK2" s="75"/>
      <c r="FL2" s="75"/>
      <c r="FM2" s="75"/>
      <c r="FN2" s="75"/>
      <c r="FO2" s="75"/>
      <c r="FP2" s="75"/>
      <c r="FQ2" s="75"/>
      <c r="FR2" s="75"/>
      <c r="FS2" s="75"/>
      <c r="FT2" s="75"/>
      <c r="FU2" s="75"/>
      <c r="FV2" s="75"/>
      <c r="FW2" s="75"/>
      <c r="FX2" s="75"/>
      <c r="FY2" s="75"/>
      <c r="FZ2" s="75"/>
      <c r="GA2" s="75"/>
      <c r="GB2" s="75"/>
      <c r="GC2" s="75"/>
      <c r="GD2" s="75"/>
      <c r="GE2" s="75"/>
      <c r="GF2" s="75"/>
      <c r="GG2" s="75"/>
      <c r="GH2" s="75"/>
      <c r="GI2" s="75"/>
      <c r="GJ2" s="75"/>
      <c r="GK2" s="75"/>
      <c r="GL2" s="75"/>
      <c r="GM2" s="75"/>
      <c r="GN2" s="75"/>
      <c r="GO2" s="75"/>
      <c r="GP2" s="75"/>
      <c r="GQ2" s="75"/>
      <c r="GR2" s="75"/>
      <c r="GS2" s="75"/>
      <c r="GT2" s="75"/>
      <c r="GU2" s="75"/>
      <c r="GV2" s="75"/>
      <c r="GW2" s="75"/>
      <c r="GX2" s="75"/>
      <c r="GY2" s="75"/>
      <c r="GZ2" s="75"/>
      <c r="HA2" s="75"/>
      <c r="HB2" s="75"/>
      <c r="HC2" s="75"/>
      <c r="HD2" s="75"/>
      <c r="HE2" s="75"/>
      <c r="HF2" s="75"/>
      <c r="HG2" s="75"/>
      <c r="HH2" s="75"/>
      <c r="HI2" s="75"/>
      <c r="HJ2" s="75"/>
      <c r="HK2" s="75"/>
      <c r="HL2" s="75"/>
      <c r="HM2" s="75"/>
      <c r="HN2" s="75"/>
      <c r="HO2" s="75"/>
      <c r="HP2" s="75"/>
      <c r="HQ2" s="75"/>
      <c r="HR2" s="75"/>
      <c r="HS2" s="75"/>
      <c r="HT2" s="75"/>
      <c r="HU2" s="75"/>
      <c r="HV2" s="75"/>
      <c r="HW2" s="75"/>
      <c r="HX2" s="75"/>
      <c r="HY2" s="75"/>
      <c r="HZ2" s="75"/>
      <c r="IA2" s="75"/>
      <c r="IB2" s="75"/>
      <c r="IC2" s="75"/>
      <c r="ID2" s="75"/>
      <c r="IE2" s="75"/>
      <c r="IF2" s="75"/>
      <c r="IG2" s="75"/>
      <c r="IH2" s="75"/>
      <c r="II2" s="75"/>
      <c r="IJ2" s="75"/>
      <c r="IK2" s="75"/>
      <c r="IL2" s="75"/>
      <c r="IM2" s="75"/>
      <c r="IN2" s="75"/>
      <c r="IO2" s="75"/>
      <c r="IP2" s="75"/>
      <c r="IQ2" s="75"/>
      <c r="IR2" s="75"/>
      <c r="IS2" s="75"/>
      <c r="IT2" s="75"/>
      <c r="IU2" s="75"/>
      <c r="IV2" s="75"/>
      <c r="IW2" s="75"/>
      <c r="IX2" s="75"/>
      <c r="IY2" s="75"/>
      <c r="IZ2" s="75"/>
      <c r="JA2" s="75"/>
      <c r="JB2" s="75"/>
      <c r="JC2" s="75"/>
      <c r="JD2" s="75"/>
      <c r="JE2" s="75"/>
      <c r="JF2" s="75"/>
      <c r="JG2" s="75"/>
      <c r="JH2" s="75"/>
      <c r="JI2" s="75"/>
      <c r="JJ2" s="75"/>
      <c r="JK2" s="75"/>
      <c r="JL2" s="75"/>
      <c r="JM2" s="75"/>
      <c r="JN2" s="75"/>
      <c r="JO2" s="75"/>
      <c r="JP2" s="75"/>
      <c r="JQ2" s="75"/>
      <c r="JR2" s="75"/>
      <c r="JS2" s="75"/>
      <c r="JT2" s="75"/>
      <c r="JU2" s="75"/>
      <c r="JV2" s="75"/>
      <c r="JW2" s="75"/>
      <c r="JX2" s="75"/>
      <c r="JY2" s="75"/>
      <c r="JZ2" s="75"/>
      <c r="KA2" s="75"/>
      <c r="KB2" s="75"/>
      <c r="KC2" s="75"/>
      <c r="KD2" s="75"/>
      <c r="KE2" s="75"/>
      <c r="KF2" s="75"/>
      <c r="KG2" s="75"/>
      <c r="KH2" s="75"/>
      <c r="KI2" s="75"/>
      <c r="KJ2" s="75"/>
      <c r="KK2" s="75"/>
      <c r="KL2" s="75"/>
      <c r="KM2" s="75"/>
      <c r="KN2" s="75"/>
    </row>
    <row r="3" hidden="1" outlineLevel="2">
      <c r="A3" s="256" t="s">
        <v>9</v>
      </c>
      <c r="B3" s="20">
        <f>SUMIF(Inventory!$D2:$D1136,"="&amp;B2, Inventory!$F2:$F1136)</f>
        <v>0.04</v>
      </c>
      <c r="C3" s="20">
        <f>SUMIF(Inventory!$D2:$D1136,"="&amp;C2, Inventory!$F2:$F1136)</f>
        <v>0</v>
      </c>
      <c r="D3" s="20">
        <f>SUMIF(Inventory!$D2:$D1136,"="&amp;D2, Inventory!$F2:$F1136)</f>
        <v>0</v>
      </c>
      <c r="E3" s="20">
        <f>SUMIF(Inventory!$D2:$D1136,"="&amp;E2, Inventory!$F2:$F1136)</f>
        <v>20.56</v>
      </c>
      <c r="F3" s="20">
        <f>SUMIF(Inventory!$D2:$D1136,"="&amp;F2, Inventory!$F2:$F1136)</f>
        <v>54.1</v>
      </c>
      <c r="G3" s="20">
        <f>SUMIF(Inventory!$D2:$D1136,"="&amp;G2, Inventory!$F2:$F1136)</f>
        <v>32.06</v>
      </c>
      <c r="H3" s="20">
        <f>SUMIF(Inventory!$D2:$D1136,"="&amp;H2, Inventory!$F2:$F1136)</f>
        <v>65.31</v>
      </c>
      <c r="I3" s="20">
        <f>SUMIF(Inventory!$D2:$D1136,"="&amp;I2, Inventory!$F2:$F1136)</f>
        <v>40.42</v>
      </c>
      <c r="J3" s="20">
        <f>SUMIF(Inventory!$D2:$D1136,"="&amp;J2, Inventory!$F2:$F1136)</f>
        <v>0</v>
      </c>
      <c r="K3" s="20">
        <f>SUMIF(Inventory!$D2:$D1136,"="&amp;K2, Inventory!$F2:$F1136)</f>
        <v>14.21</v>
      </c>
      <c r="L3" s="20">
        <f>SUMIF(Inventory!$D2:$D1136,"="&amp;L2, Inventory!$F2:$F1136)</f>
        <v>38.25</v>
      </c>
      <c r="M3" s="20">
        <f>SUMIF(Inventory!$D2:$D1136,"="&amp;M2, Inventory!$F2:$F1136)</f>
        <v>64.85</v>
      </c>
      <c r="N3" s="20">
        <f>SUMIF(Inventory!$D2:$D1136,"="&amp;N2, Inventory!$F2:$F1136)</f>
        <v>50.68</v>
      </c>
      <c r="O3" s="20">
        <f>SUMIF(Inventory!$D2:$D1136,"="&amp;O2, Inventory!$F2:$F1136)</f>
        <v>174.44</v>
      </c>
      <c r="P3" s="20">
        <f>SUMIF(Inventory!$D2:$D1136,"="&amp;P2, Inventory!$F2:$F1136)</f>
        <v>0</v>
      </c>
      <c r="Q3" s="20">
        <f>SUMIF(Inventory!$D2:$D1136,"="&amp;Q2, Inventory!$F2:$F1136)</f>
        <v>16.21</v>
      </c>
      <c r="R3" s="20">
        <f>SUMIF(Inventory!$D2:$D1136,"="&amp;R2, Inventory!$F2:$F1136)</f>
        <v>0</v>
      </c>
      <c r="S3" s="20">
        <f>SUMIF(Inventory!$D2:$D1136,"="&amp;S2, Inventory!$F2:$F1136)</f>
        <v>0</v>
      </c>
      <c r="T3" s="20">
        <f>SUMIF(Inventory!$D2:$D1136,"="&amp;T2, Inventory!$F2:$F1136)</f>
        <v>62.74</v>
      </c>
      <c r="U3" s="20">
        <f>SUMIF(Inventory!$D2:$D1136,"="&amp;U2, Inventory!$F2:$F1136)</f>
        <v>82.82</v>
      </c>
      <c r="V3" s="20">
        <f>SUMIF(Inventory!$D2:$D1136,"="&amp;V2, Inventory!$F2:$F1136)</f>
        <v>26.7</v>
      </c>
      <c r="W3" s="20">
        <f>SUMIF(Inventory!$D2:$D1136,"="&amp;W2, Inventory!$F2:$F1136)</f>
        <v>13.35</v>
      </c>
      <c r="X3" s="20">
        <f>SUMIF(Inventory!$D2:$D1136,"="&amp;X2, Inventory!$F2:$F1136)</f>
        <v>26.7</v>
      </c>
      <c r="Y3" s="20">
        <f>SUMIF(Inventory!$D2:$D1136,"="&amp;Y2, Inventory!$F2:$F1136)</f>
        <v>84.48</v>
      </c>
      <c r="Z3" s="20">
        <f>SUMIF(Inventory!$D2:$D1136,"="&amp;Z2, Inventory!$F2:$F1136)</f>
        <v>239.01</v>
      </c>
      <c r="AA3" s="20">
        <f>SUMIF(Inventory!$D2:$D1136,"="&amp;AA2, Inventory!$F2:$F1136)</f>
        <v>33.83</v>
      </c>
      <c r="AB3" s="20">
        <f>SUMIF(Inventory!$D2:$D1136,"="&amp;AB2, Inventory!$F2:$F1136)</f>
        <v>90.31</v>
      </c>
      <c r="AC3" s="20">
        <f>SUMIF(Inventory!$D2:$D1136,"="&amp;AC2, Inventory!$F2:$F1136)</f>
        <v>70.91</v>
      </c>
      <c r="AD3" s="20">
        <f>SUMIF(Inventory!$D2:$D1136,"="&amp;AD2, Inventory!$F2:$F1136)</f>
        <v>22.24</v>
      </c>
      <c r="AE3" s="20">
        <f>SUMIF(Inventory!$D2:$D1136,"="&amp;AE2, Inventory!$F2:$F1136)</f>
        <v>12.32</v>
      </c>
      <c r="AF3" s="20">
        <f>SUMIF(Inventory!$D2:$D1136,"="&amp;AF2, Inventory!$F2:$F1136)</f>
        <v>44.89</v>
      </c>
      <c r="AG3" s="20">
        <f t="shared" ref="AG3:AG5" si="1">SUM(B3:AF3)</f>
        <v>1381.43</v>
      </c>
      <c r="AH3" s="21">
        <f t="shared" ref="AH3:AH5" si="2">AVERAGE(B3:AF3)</f>
        <v>44.56225806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</row>
    <row r="4" hidden="1" outlineLevel="2">
      <c r="A4" s="256" t="s">
        <v>10</v>
      </c>
      <c r="B4" s="20">
        <f>SUMIF(Inventory!$D2:$D1136,"="&amp;B2, Inventory!$E2:$E1136)</f>
        <v>3.06</v>
      </c>
      <c r="C4" s="20">
        <f>SUMIF(Inventory!$D2:$D1136,"="&amp;C2, Inventory!$E2:$E1136)</f>
        <v>0</v>
      </c>
      <c r="D4" s="20">
        <f>SUMIF(Inventory!$D2:$D1136,"="&amp;D2, Inventory!$E2:$E1136)</f>
        <v>0</v>
      </c>
      <c r="E4" s="20">
        <f>SUMIF(Inventory!$D2:$D1136,"="&amp;E2, Inventory!$E2:$E1136)</f>
        <v>19.37</v>
      </c>
      <c r="F4" s="20">
        <f>SUMIF(Inventory!$D2:$D1136,"="&amp;F2, Inventory!$E2:$E1136)</f>
        <v>46.73</v>
      </c>
      <c r="G4" s="20">
        <f>SUMIF(Inventory!$D2:$D1136,"="&amp;G2, Inventory!$E2:$E1136)</f>
        <v>25.53</v>
      </c>
      <c r="H4" s="20">
        <f>SUMIF(Inventory!$D2:$D1136,"="&amp;H2, Inventory!$E2:$E1136)</f>
        <v>43.82</v>
      </c>
      <c r="I4" s="20">
        <f>SUMIF(Inventory!$D2:$D1136,"="&amp;I2, Inventory!$E2:$E1136)</f>
        <v>30.34</v>
      </c>
      <c r="J4" s="20">
        <f>SUMIF(Inventory!$D2:$D1136,"="&amp;J2, Inventory!$E2:$E1136)</f>
        <v>0</v>
      </c>
      <c r="K4" s="20">
        <f>SUMIF(Inventory!$D2:$D1136,"="&amp;K2, Inventory!$E2:$E1136)</f>
        <v>10</v>
      </c>
      <c r="L4" s="20">
        <f>SUMIF(Inventory!$D2:$D1136,"="&amp;L2, Inventory!$E2:$E1136)</f>
        <v>32.15</v>
      </c>
      <c r="M4" s="20">
        <f>SUMIF(Inventory!$D2:$D1136,"="&amp;M2, Inventory!$E2:$E1136)</f>
        <v>45.16</v>
      </c>
      <c r="N4" s="20">
        <f>SUMIF(Inventory!$D2:$D1136,"="&amp;N2, Inventory!$E2:$E1136)</f>
        <v>31.84</v>
      </c>
      <c r="O4" s="20">
        <f>SUMIF(Inventory!$D2:$D1136,"="&amp;O2, Inventory!$E2:$E1136)</f>
        <v>125.08</v>
      </c>
      <c r="P4" s="20">
        <f>SUMIF(Inventory!$D2:$D1136,"="&amp;P2, Inventory!$E2:$E1136)</f>
        <v>0</v>
      </c>
      <c r="Q4" s="20">
        <f>SUMIF(Inventory!$D2:$D1136,"="&amp;Q2, Inventory!$E2:$E1136)</f>
        <v>11.64</v>
      </c>
      <c r="R4" s="20">
        <f>SUMIF(Inventory!$D2:$D1136,"="&amp;R2, Inventory!$E2:$E1136)</f>
        <v>0</v>
      </c>
      <c r="S4" s="20">
        <f>SUMIF(Inventory!$D2:$D1136,"="&amp;S2, Inventory!$E2:$E1136)</f>
        <v>0</v>
      </c>
      <c r="T4" s="20">
        <f>SUMIF(Inventory!$D2:$D1136,"="&amp;T2, Inventory!$E2:$E1136)</f>
        <v>53.76</v>
      </c>
      <c r="U4" s="20">
        <f>SUMIF(Inventory!$D2:$D1136,"="&amp;U2, Inventory!$E2:$E1136)</f>
        <v>65.23</v>
      </c>
      <c r="V4" s="20">
        <f>SUMIF(Inventory!$D2:$D1136,"="&amp;V2, Inventory!$E2:$E1136)</f>
        <v>19.78</v>
      </c>
      <c r="W4" s="20">
        <f>SUMIF(Inventory!$D2:$D1136,"="&amp;W2, Inventory!$E2:$E1136)</f>
        <v>9.89</v>
      </c>
      <c r="X4" s="20">
        <f>SUMIF(Inventory!$D2:$D1136,"="&amp;X2, Inventory!$E2:$E1136)</f>
        <v>19.78</v>
      </c>
      <c r="Y4" s="20">
        <f>SUMIF(Inventory!$D2:$D1136,"="&amp;Y2, Inventory!$E2:$E1136)</f>
        <v>58.34</v>
      </c>
      <c r="Z4" s="20">
        <f>SUMIF(Inventory!$D2:$D1136,"="&amp;Z2, Inventory!$E2:$E1136)</f>
        <v>193.06</v>
      </c>
      <c r="AA4" s="20">
        <f>SUMIF(Inventory!$D2:$D1136,"="&amp;AA2, Inventory!$E2:$E1136)</f>
        <v>29.29</v>
      </c>
      <c r="AB4" s="20">
        <f>SUMIF(Inventory!$D2:$D1136,"="&amp;AB2, Inventory!$E2:$E1136)</f>
        <v>59.49</v>
      </c>
      <c r="AC4" s="20">
        <f>SUMIF(Inventory!$D2:$D1136,"="&amp;AC2, Inventory!$E2:$E1136)</f>
        <v>50.01</v>
      </c>
      <c r="AD4" s="20">
        <f>SUMIF(Inventory!$D2:$D1136,"="&amp;AD2, Inventory!$E2:$E1136)</f>
        <v>18.88</v>
      </c>
      <c r="AE4" s="20">
        <f>SUMIF(Inventory!$D2:$D1136,"="&amp;AE2, Inventory!$E2:$E1136)</f>
        <v>9.89</v>
      </c>
      <c r="AF4" s="20">
        <f>SUMIF(Inventory!$D2:$D1136,"="&amp;AF2, Inventory!$E2:$E1136)</f>
        <v>36.94</v>
      </c>
      <c r="AG4" s="20">
        <f t="shared" si="1"/>
        <v>1049.06</v>
      </c>
      <c r="AH4" s="21">
        <f t="shared" si="2"/>
        <v>33.84064516</v>
      </c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</row>
    <row r="5" hidden="1" outlineLevel="2">
      <c r="A5" s="256" t="s">
        <v>11</v>
      </c>
      <c r="B5" s="20">
        <f>SUMIF(Inventory!$D2:$D1136,"="&amp;B2, Inventory!$G2:$G1136)</f>
        <v>-3.02</v>
      </c>
      <c r="C5" s="20">
        <f>SUMIF(Inventory!$D2:$D1136,"="&amp;C2, Inventory!$G2:$G1136)</f>
        <v>0</v>
      </c>
      <c r="D5" s="20">
        <f>SUMIF(Inventory!$D2:$D1136,"="&amp;D2, Inventory!$G2:$G1136)</f>
        <v>0</v>
      </c>
      <c r="E5" s="20">
        <f>SUMIF(Inventory!$D2:$D1136,"="&amp;E2, Inventory!$G2:$G1136)</f>
        <v>1.19</v>
      </c>
      <c r="F5" s="20">
        <f>SUMIF(Inventory!$D2:$D1136,"="&amp;F2, Inventory!$G2:$G1136)</f>
        <v>7.37</v>
      </c>
      <c r="G5" s="20">
        <f>SUMIF(Inventory!$D2:$D1136,"="&amp;G2, Inventory!$G2:$G1136)</f>
        <v>6.53</v>
      </c>
      <c r="H5" s="20">
        <f>SUMIF(Inventory!$D2:$D1136,"="&amp;H2, Inventory!$G2:$G1136)</f>
        <v>21.49</v>
      </c>
      <c r="I5" s="20">
        <f>SUMIF(Inventory!$D2:$D1136,"="&amp;I2, Inventory!$G2:$G1136)</f>
        <v>10.08</v>
      </c>
      <c r="J5" s="20">
        <f>SUMIF(Inventory!$D2:$D1136,"="&amp;J2, Inventory!$G2:$G1136)</f>
        <v>0</v>
      </c>
      <c r="K5" s="20">
        <f>SUMIF(Inventory!$D2:$D1136,"="&amp;K2, Inventory!$G2:$G1136)</f>
        <v>4.21</v>
      </c>
      <c r="L5" s="20">
        <f>SUMIF(Inventory!$D2:$D1136,"="&amp;L2, Inventory!$G2:$G1136)</f>
        <v>6.1</v>
      </c>
      <c r="M5" s="20">
        <f>SUMIF(Inventory!$D2:$D1136,"="&amp;M2, Inventory!$G2:$G1136)</f>
        <v>19.69</v>
      </c>
      <c r="N5" s="20">
        <f>SUMIF(Inventory!$D2:$D1136,"="&amp;N2, Inventory!$G2:$G1136)</f>
        <v>18.84</v>
      </c>
      <c r="O5" s="20">
        <f>SUMIF(Inventory!$D2:$D1136,"="&amp;O2, Inventory!$G2:$G1136)</f>
        <v>49.36</v>
      </c>
      <c r="P5" s="20">
        <f>SUMIF(Inventory!$D2:$D1136,"="&amp;P2, Inventory!$G2:$G1136)</f>
        <v>0</v>
      </c>
      <c r="Q5" s="20">
        <f>SUMIF(Inventory!$D2:$D1136,"="&amp;Q2, Inventory!$G2:$G1136)</f>
        <v>4.57</v>
      </c>
      <c r="R5" s="20">
        <f>SUMIF(Inventory!$D2:$D1136,"="&amp;R2, Inventory!$G2:$G1136)</f>
        <v>0</v>
      </c>
      <c r="S5" s="20">
        <f>SUMIF(Inventory!$D2:$D1136,"="&amp;S2, Inventory!$G2:$G1136)</f>
        <v>0</v>
      </c>
      <c r="T5" s="20">
        <f>SUMIF(Inventory!$D2:$D1136,"="&amp;T2, Inventory!$G2:$G1136)</f>
        <v>8.98</v>
      </c>
      <c r="U5" s="20">
        <f>SUMIF(Inventory!$D2:$D1136,"="&amp;U2, Inventory!$G2:$G1136)</f>
        <v>17.59</v>
      </c>
      <c r="V5" s="20">
        <f>SUMIF(Inventory!$D2:$D1136,"="&amp;V2, Inventory!$G2:$G1136)</f>
        <v>6.92</v>
      </c>
      <c r="W5" s="20">
        <f>SUMIF(Inventory!$D2:$D1136,"="&amp;W2, Inventory!$G2:$G1136)</f>
        <v>3.46</v>
      </c>
      <c r="X5" s="20">
        <f>SUMIF(Inventory!$D2:$D1136,"="&amp;X2, Inventory!$G2:$G1136)</f>
        <v>6.92</v>
      </c>
      <c r="Y5" s="20">
        <f>SUMIF(Inventory!$D2:$D1136,"="&amp;Y2, Inventory!$G2:$G1136)</f>
        <v>26.14</v>
      </c>
      <c r="Z5" s="20">
        <f>SUMIF(Inventory!$D2:$D1136,"="&amp;Z2, Inventory!$G2:$G1136)</f>
        <v>45.95</v>
      </c>
      <c r="AA5" s="20">
        <f>SUMIF(Inventory!$D2:$D1136,"="&amp;AA2, Inventory!$G2:$G1136)</f>
        <v>4.54</v>
      </c>
      <c r="AB5" s="20">
        <f>SUMIF(Inventory!$D2:$D1136,"="&amp;AB2, Inventory!$G2:$G1136)</f>
        <v>30.82</v>
      </c>
      <c r="AC5" s="20">
        <f>SUMIF(Inventory!$D2:$D1136,"="&amp;AC2, Inventory!$G2:$G1136)</f>
        <v>20.9</v>
      </c>
      <c r="AD5" s="20">
        <f>SUMIF(Inventory!$D2:$D1136,"="&amp;AD2, Inventory!$G2:$G1136)</f>
        <v>3.36</v>
      </c>
      <c r="AE5" s="20">
        <f>SUMIF(Inventory!$D2:$D1136,"="&amp;AE2, Inventory!$G2:$G1136)</f>
        <v>2.43</v>
      </c>
      <c r="AF5" s="20">
        <f>SUMIF(Inventory!$D2:$D1136,"="&amp;AF2, Inventory!$G2:$G1136)</f>
        <v>7.95</v>
      </c>
      <c r="AG5" s="20">
        <f t="shared" si="1"/>
        <v>332.37</v>
      </c>
      <c r="AH5" s="21">
        <f t="shared" si="2"/>
        <v>10.7216129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</row>
    <row r="6" hidden="1" outlineLevel="2">
      <c r="A6" s="256" t="s">
        <v>10566</v>
      </c>
      <c r="B6" s="20">
        <f>COUNTIFS(Inventory!$D2:$D1136,"="&amp;B2, Inventory!$J2:$J1136,"Closed")</f>
        <v>1</v>
      </c>
      <c r="C6" s="20">
        <f>COUNTIFS(Inventory!$D2:$D1136,"="&amp;C2, Inventory!$J2:$J1136,"Closed")</f>
        <v>0</v>
      </c>
      <c r="D6" s="20">
        <f>COUNTIFS(Inventory!$D2:$D1136,"="&amp;D2, Inventory!$J2:$J1136,"Closed")</f>
        <v>0</v>
      </c>
      <c r="E6" s="20">
        <f>COUNTIFS(Inventory!$D2:$D1136,"="&amp;E2, Inventory!$J2:$J1136,"Closed")</f>
        <v>1</v>
      </c>
      <c r="F6" s="20">
        <f>COUNTIFS(Inventory!$D2:$D1136,"="&amp;F2, Inventory!$J2:$J1136,"Closed")</f>
        <v>2</v>
      </c>
      <c r="G6" s="20">
        <f>COUNTIFS(Inventory!$D2:$D1136,"="&amp;G2, Inventory!$J2:$J1136,"Closed")</f>
        <v>2</v>
      </c>
      <c r="H6" s="20">
        <f>COUNTIFS(Inventory!$D2:$D1136,"="&amp;H2, Inventory!$J2:$J1136,"Closed")</f>
        <v>5</v>
      </c>
      <c r="I6" s="20">
        <f>COUNTIFS(Inventory!$D2:$D1136,"="&amp;I2, Inventory!$J2:$J1136,"Closed")</f>
        <v>3</v>
      </c>
      <c r="J6" s="20">
        <f>COUNTIFS(Inventory!$D2:$D1136,"="&amp;J2, Inventory!$J2:$J1136,"Closed")</f>
        <v>0</v>
      </c>
      <c r="K6" s="20">
        <f>COUNTIFS(Inventory!$D2:$D1136,"="&amp;K2, Inventory!$J2:$J1136,"Closed")</f>
        <v>1</v>
      </c>
      <c r="L6" s="20">
        <f>COUNTIFS(Inventory!$D2:$D1136,"="&amp;L2, Inventory!$J2:$J1136,"Closed")</f>
        <v>1</v>
      </c>
      <c r="M6" s="20">
        <f>COUNTIFS(Inventory!$D2:$D1136,"="&amp;M2, Inventory!$J2:$J1136,"Closed")</f>
        <v>2</v>
      </c>
      <c r="N6" s="20">
        <f>COUNTIFS(Inventory!$D2:$D1136,"="&amp;N2, Inventory!$J2:$J1136,"Closed")</f>
        <v>1</v>
      </c>
      <c r="O6" s="20">
        <f>COUNTIFS(Inventory!$D2:$D1136,"="&amp;O2, Inventory!$J2:$J1136,"Closed")</f>
        <v>6</v>
      </c>
      <c r="P6" s="20">
        <f>COUNTIFS(Inventory!$D2:$D1136,"="&amp;P2, Inventory!$J2:$J1136,"Closed")</f>
        <v>0</v>
      </c>
      <c r="Q6" s="20">
        <f>COUNTIFS(Inventory!$D2:$D1136,"="&amp;Q2, Inventory!$J2:$J1136,"Closed")</f>
        <v>1</v>
      </c>
      <c r="R6" s="20">
        <f>COUNTIFS(Inventory!$D2:$D1136,"="&amp;R2, Inventory!$J2:$J1136,"Closed")</f>
        <v>0</v>
      </c>
      <c r="S6" s="20">
        <f>COUNTIFS(Inventory!$D2:$D1136,"="&amp;S2, Inventory!$J2:$J1136,"Closed")</f>
        <v>0</v>
      </c>
      <c r="T6" s="20">
        <f>COUNTIFS(Inventory!$D2:$D1136,"="&amp;T2, Inventory!$J2:$J1136,"Closed")</f>
        <v>4</v>
      </c>
      <c r="U6" s="20">
        <f>COUNTIFS(Inventory!$D2:$D1136,"="&amp;U2, Inventory!$J2:$J1136,"Closed")</f>
        <v>5</v>
      </c>
      <c r="V6" s="20">
        <f>COUNTIFS(Inventory!$D2:$D1136,"="&amp;V2, Inventory!$J2:$J1136,"Closed")</f>
        <v>2</v>
      </c>
      <c r="W6" s="20">
        <f>COUNTIFS(Inventory!$D2:$D1136,"="&amp;W2, Inventory!$J2:$J1136,"Closed")</f>
        <v>1</v>
      </c>
      <c r="X6" s="20">
        <f>COUNTIFS(Inventory!$D2:$D1136,"="&amp;X2, Inventory!$J2:$J1136,"Closed")</f>
        <v>2</v>
      </c>
      <c r="Y6" s="20">
        <f>COUNTIFS(Inventory!$D2:$D1136,"="&amp;Y2, Inventory!$J2:$J1136,"Closed")</f>
        <v>3</v>
      </c>
      <c r="Z6" s="20">
        <f>COUNTIFS(Inventory!$D2:$D1136,"="&amp;Z2, Inventory!$J2:$J1136,"Closed")</f>
        <v>8</v>
      </c>
      <c r="AA6" s="20">
        <f>COUNTIFS(Inventory!$D2:$D1136,"="&amp;AA2, Inventory!$J2:$J1136,"Closed")</f>
        <v>2</v>
      </c>
      <c r="AB6" s="20">
        <f>COUNTIFS(Inventory!$D2:$D1136,"="&amp;AB2, Inventory!$J2:$J1136,"Closed")</f>
        <v>9</v>
      </c>
      <c r="AC6" s="20">
        <f>COUNTIFS(Inventory!$D2:$D1136,"="&amp;AC2, Inventory!$J2:$J1136,"Closed")</f>
        <v>7</v>
      </c>
      <c r="AD6" s="20">
        <f>COUNTIFS(Inventory!$D2:$D1136,"="&amp;AD2, Inventory!$J2:$J1136,"Closed")</f>
        <v>3</v>
      </c>
      <c r="AE6" s="20">
        <f>COUNTIFS(Inventory!$D2:$D1136,"="&amp;AE2, Inventory!$J2:$J1136,"Closed")</f>
        <v>1</v>
      </c>
      <c r="AF6" s="20">
        <f>COUNTIFS(Inventory!$D2:$D1136,"="&amp;AF2, Inventory!$J2:$J1136,"Closed")</f>
        <v>5</v>
      </c>
      <c r="AG6" s="20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/>
      <c r="KA6" s="21"/>
      <c r="KB6" s="21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</row>
    <row r="7" outlineLevel="1" collapsed="1">
      <c r="A7" s="253" t="s">
        <v>10212</v>
      </c>
      <c r="B7" s="255">
        <v>44958.0</v>
      </c>
      <c r="C7" s="255">
        <v>44959.0</v>
      </c>
      <c r="D7" s="255">
        <v>44960.0</v>
      </c>
      <c r="E7" s="254">
        <v>44961.0</v>
      </c>
      <c r="F7" s="254">
        <v>44962.0</v>
      </c>
      <c r="G7" s="255">
        <v>44963.0</v>
      </c>
      <c r="H7" s="255">
        <v>44964.0</v>
      </c>
      <c r="I7" s="255">
        <v>44965.0</v>
      </c>
      <c r="J7" s="255">
        <v>44966.0</v>
      </c>
      <c r="K7" s="255">
        <v>44967.0</v>
      </c>
      <c r="L7" s="254">
        <v>44968.0</v>
      </c>
      <c r="M7" s="254">
        <v>44969.0</v>
      </c>
      <c r="N7" s="255">
        <v>44970.0</v>
      </c>
      <c r="O7" s="255">
        <v>44971.0</v>
      </c>
      <c r="P7" s="255">
        <v>44972.0</v>
      </c>
      <c r="Q7" s="255">
        <v>44973.0</v>
      </c>
      <c r="R7" s="255">
        <v>44974.0</v>
      </c>
      <c r="S7" s="254">
        <v>44975.0</v>
      </c>
      <c r="T7" s="254">
        <v>44976.0</v>
      </c>
      <c r="U7" s="255">
        <v>44977.0</v>
      </c>
      <c r="V7" s="255">
        <v>44978.0</v>
      </c>
      <c r="W7" s="255">
        <v>44979.0</v>
      </c>
      <c r="X7" s="255">
        <v>44980.0</v>
      </c>
      <c r="Y7" s="255">
        <v>44981.0</v>
      </c>
      <c r="Z7" s="254">
        <v>44982.0</v>
      </c>
      <c r="AA7" s="254">
        <v>44983.0</v>
      </c>
      <c r="AB7" s="255">
        <v>44984.0</v>
      </c>
      <c r="AC7" s="255">
        <v>44985.0</v>
      </c>
      <c r="AD7" s="255"/>
      <c r="AE7" s="255"/>
      <c r="AF7" s="255"/>
      <c r="AG7" s="20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</row>
    <row r="8" hidden="1" outlineLevel="2">
      <c r="A8" s="256" t="s">
        <v>9</v>
      </c>
      <c r="B8" s="20">
        <f>SUMIF(Inventory!$D2:$D1136,"="&amp;B7, Inventory!$F2:$F1136)</f>
        <v>12.33</v>
      </c>
      <c r="C8" s="20">
        <f>SUMIF(Inventory!$D2:$D1136,"="&amp;C7, Inventory!$F2:$F1136)</f>
        <v>24.76</v>
      </c>
      <c r="D8" s="20">
        <f>SUMIF(Inventory!$D2:$D1136,"="&amp;D7, Inventory!$F2:$F1136)</f>
        <v>91.23</v>
      </c>
      <c r="E8" s="20">
        <f>SUMIF(Inventory!$D2:$D1136,"="&amp;E7, Inventory!$F2:$F1136)</f>
        <v>175.03</v>
      </c>
      <c r="F8" s="20">
        <f>SUMIF(Inventory!$D2:$D1136,"="&amp;F7, Inventory!$F2:$F1136)</f>
        <v>138.69</v>
      </c>
      <c r="G8" s="20">
        <f>SUMIF(Inventory!$D2:$D1136,"="&amp;G7, Inventory!$F2:$F1136)</f>
        <v>79.9</v>
      </c>
      <c r="H8" s="20">
        <f>SUMIF(Inventory!$D2:$D1136,"="&amp;H7, Inventory!$F2:$F1136)</f>
        <v>101.39</v>
      </c>
      <c r="I8" s="20">
        <f>SUMIF(Inventory!$D2:$D1136,"="&amp;I7, Inventory!$F2:$F1136)</f>
        <v>59.83</v>
      </c>
      <c r="J8" s="20">
        <f>SUMIF(Inventory!$D2:$D1136,"="&amp;J7, Inventory!$F2:$F1136)</f>
        <v>60.57</v>
      </c>
      <c r="K8" s="20">
        <f>SUMIF(Inventory!$D2:$D1136,"="&amp;K7, Inventory!$F2:$F1136)</f>
        <v>62.67</v>
      </c>
      <c r="L8" s="20">
        <f>SUMIF(Inventory!$D2:$D1136,"="&amp;L7, Inventory!$F2:$F1136)</f>
        <v>212.17</v>
      </c>
      <c r="M8" s="20">
        <f>SUMIF(Inventory!$D2:$D1136,"="&amp;M7, Inventory!$F2:$F1136)</f>
        <v>78.75</v>
      </c>
      <c r="N8" s="20">
        <f>SUMIF(Inventory!$D2:$D1136,"="&amp;N7, Inventory!$F2:$F1136)</f>
        <v>78.42</v>
      </c>
      <c r="O8" s="20">
        <f>SUMIF(Inventory!$D2:$D1136,"="&amp;O7, Inventory!$F2:$F1136)</f>
        <v>103.48</v>
      </c>
      <c r="P8" s="20">
        <f>SUMIF(Inventory!$D2:$D1136,"="&amp;P7, Inventory!$F2:$F1136)</f>
        <v>75.66</v>
      </c>
      <c r="Q8" s="20">
        <f>SUMIF(Inventory!$D2:$D1136,"="&amp;Q7, Inventory!$F2:$F1136)</f>
        <v>142.69</v>
      </c>
      <c r="R8" s="20">
        <f>SUMIF(Inventory!$D2:$D1136,"="&amp;R7, Inventory!$F2:$F1136)</f>
        <v>47</v>
      </c>
      <c r="S8" s="20">
        <f>SUMIF(Inventory!$D2:$D1136,"="&amp;S7, Inventory!$F2:$F1136)</f>
        <v>128.86</v>
      </c>
      <c r="T8" s="20">
        <f>SUMIF(Inventory!$D2:$D1136,"="&amp;T7, Inventory!$F2:$F1136)</f>
        <v>73.41</v>
      </c>
      <c r="U8" s="20">
        <f>SUMIF(Inventory!$D2:$D1136,"="&amp;U7, Inventory!$F2:$F1136)</f>
        <v>21.95</v>
      </c>
      <c r="V8" s="20">
        <f>SUMIF(Inventory!$D2:$D1136,"="&amp;V7, Inventory!$F2:$F1136)</f>
        <v>11.39</v>
      </c>
      <c r="W8" s="20">
        <f>SUMIF(Inventory!$D2:$D1136,"="&amp;W7, Inventory!$F2:$F1136)</f>
        <v>0</v>
      </c>
      <c r="X8" s="20">
        <f>SUMIF(Inventory!$D2:$D1136,"="&amp;X7, Inventory!$F2:$F1136)</f>
        <v>20.79</v>
      </c>
      <c r="Y8" s="20">
        <f>SUMIF(Inventory!$D2:$D1136,"="&amp;Y7, Inventory!$F2:$F1136)</f>
        <v>65.95</v>
      </c>
      <c r="Z8" s="20">
        <f>SUMIF(Inventory!$D2:$D1136,"="&amp;Z7, Inventory!$F2:$F1136)</f>
        <v>122.02</v>
      </c>
      <c r="AA8" s="20">
        <f>SUMIF(Inventory!$D2:$D1136,"="&amp;AA7, Inventory!$F2:$F1136)</f>
        <v>135.14</v>
      </c>
      <c r="AB8" s="20">
        <f>SUMIF(Inventory!$D2:$D1136,"="&amp;AB7, Inventory!$F2:$F1136)</f>
        <v>20.04</v>
      </c>
      <c r="AC8" s="20">
        <f>SUMIF(Inventory!$D2:$D1136,"="&amp;AC7, Inventory!$F2:$F1136)</f>
        <v>13.83</v>
      </c>
      <c r="AD8" s="20"/>
      <c r="AE8" s="20"/>
      <c r="AF8" s="20"/>
      <c r="AG8" s="20">
        <f t="shared" ref="AG8:AG10" si="3">SUM(B8:AF8)</f>
        <v>2157.95</v>
      </c>
      <c r="AH8" s="21">
        <f t="shared" ref="AH8:AH10" si="4">AVERAGE(B8:AF8)</f>
        <v>77.06964286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</row>
    <row r="9" hidden="1" outlineLevel="2">
      <c r="A9" s="256" t="s">
        <v>10</v>
      </c>
      <c r="B9" s="20">
        <f>SUMIF(Inventory!$D2:$D1136,"="&amp;B7, Inventory!$E2:$E1136)</f>
        <v>9.89</v>
      </c>
      <c r="C9" s="20">
        <f>SUMIF(Inventory!$D2:$D1136,"="&amp;C7, Inventory!$E2:$E1136)</f>
        <v>19.05</v>
      </c>
      <c r="D9" s="20">
        <f>SUMIF(Inventory!$D2:$D1136,"="&amp;D7, Inventory!$E2:$E1136)</f>
        <v>65.64</v>
      </c>
      <c r="E9" s="20">
        <f>SUMIF(Inventory!$D2:$D1136,"="&amp;E7, Inventory!$E2:$E1136)</f>
        <v>151.69</v>
      </c>
      <c r="F9" s="20">
        <f>SUMIF(Inventory!$D2:$D1136,"="&amp;F7, Inventory!$E2:$E1136)</f>
        <v>113.97</v>
      </c>
      <c r="G9" s="20">
        <f>SUMIF(Inventory!$D2:$D1136,"="&amp;G7, Inventory!$E2:$E1136)</f>
        <v>61.51</v>
      </c>
      <c r="H9" s="20">
        <f>SUMIF(Inventory!$D2:$D1136,"="&amp;H7, Inventory!$E2:$E1136)</f>
        <v>80.15</v>
      </c>
      <c r="I9" s="20">
        <f>SUMIF(Inventory!$D2:$D1136,"="&amp;I7, Inventory!$E2:$E1136)</f>
        <v>45</v>
      </c>
      <c r="J9" s="20">
        <f>SUMIF(Inventory!$D2:$D1136,"="&amp;J7, Inventory!$E2:$E1136)</f>
        <v>48.84</v>
      </c>
      <c r="K9" s="20">
        <f>SUMIF(Inventory!$D2:$D1136,"="&amp;K7, Inventory!$E2:$E1136)</f>
        <v>50.53</v>
      </c>
      <c r="L9" s="20">
        <f>SUMIF(Inventory!$D2:$D1136,"="&amp;L7, Inventory!$E2:$E1136)</f>
        <v>180.88</v>
      </c>
      <c r="M9" s="20">
        <f>SUMIF(Inventory!$D2:$D1136,"="&amp;M7, Inventory!$E2:$E1136)</f>
        <v>62.44</v>
      </c>
      <c r="N9" s="20">
        <f>SUMIF(Inventory!$D2:$D1136,"="&amp;N7, Inventory!$E2:$E1136)</f>
        <v>63.03</v>
      </c>
      <c r="O9" s="20">
        <f>SUMIF(Inventory!$D2:$D1136,"="&amp;O7, Inventory!$E2:$E1136)</f>
        <v>80.67</v>
      </c>
      <c r="P9" s="20">
        <f>SUMIF(Inventory!$D2:$D1136,"="&amp;P7, Inventory!$E2:$E1136)</f>
        <v>59.54</v>
      </c>
      <c r="Q9" s="20">
        <f>SUMIF(Inventory!$D2:$D1136,"="&amp;Q7, Inventory!$E2:$E1136)</f>
        <v>110.01</v>
      </c>
      <c r="R9" s="20">
        <f>SUMIF(Inventory!$D2:$D1136,"="&amp;R7, Inventory!$E2:$E1136)</f>
        <v>35.24</v>
      </c>
      <c r="S9" s="20">
        <f>SUMIF(Inventory!$D2:$D1136,"="&amp;S7, Inventory!$E2:$E1136)</f>
        <v>97.67</v>
      </c>
      <c r="T9" s="20">
        <f>SUMIF(Inventory!$D2:$D1136,"="&amp;T7, Inventory!$E2:$E1136)</f>
        <v>60.59</v>
      </c>
      <c r="U9" s="20">
        <f>SUMIF(Inventory!$D2:$D1136,"="&amp;U7, Inventory!$E2:$E1136)</f>
        <v>17.74</v>
      </c>
      <c r="V9" s="20">
        <f>SUMIF(Inventory!$D2:$D1136,"="&amp;V7, Inventory!$E2:$E1136)</f>
        <v>9.69</v>
      </c>
      <c r="W9" s="20">
        <f>SUMIF(Inventory!$D2:$D1136,"="&amp;W7, Inventory!$E2:$E1136)</f>
        <v>0</v>
      </c>
      <c r="X9" s="20">
        <f>SUMIF(Inventory!$D2:$D1136,"="&amp;X7, Inventory!$E2:$E1136)</f>
        <v>17.74</v>
      </c>
      <c r="Y9" s="20">
        <f>SUMIF(Inventory!$D2:$D1136,"="&amp;Y7, Inventory!$E2:$E1136)</f>
        <v>55.28</v>
      </c>
      <c r="Z9" s="20">
        <f>SUMIF(Inventory!$D2:$D1136,"="&amp;Z7, Inventory!$E2:$E1136)</f>
        <v>93.79</v>
      </c>
      <c r="AA9" s="20">
        <f>SUMIF(Inventory!$D2:$D1136,"="&amp;AA7, Inventory!$E2:$E1136)</f>
        <v>103.9</v>
      </c>
      <c r="AB9" s="20">
        <f>SUMIF(Inventory!$D2:$D1136,"="&amp;AB7, Inventory!$E2:$E1136)</f>
        <v>14.25</v>
      </c>
      <c r="AC9" s="20">
        <f>SUMIF(Inventory!$D2:$D1136,"="&amp;AC7, Inventory!$E2:$E1136)</f>
        <v>9.78</v>
      </c>
      <c r="AD9" s="20"/>
      <c r="AE9" s="20"/>
      <c r="AF9" s="20"/>
      <c r="AG9" s="20">
        <f t="shared" si="3"/>
        <v>1718.51</v>
      </c>
      <c r="AH9" s="21">
        <f t="shared" si="4"/>
        <v>61.37535714</v>
      </c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</row>
    <row r="10" hidden="1" outlineLevel="2">
      <c r="A10" s="256" t="s">
        <v>11</v>
      </c>
      <c r="B10" s="20">
        <f>SUMIF(Inventory!$D2:$D1136,"="&amp;B7, Inventory!$G2:$G1136)</f>
        <v>2.44</v>
      </c>
      <c r="C10" s="20">
        <f>SUMIF(Inventory!$D2:$D1136,"="&amp;C7, Inventory!$G2:$G1136)</f>
        <v>5.71</v>
      </c>
      <c r="D10" s="20">
        <f>SUMIF(Inventory!$D2:$D1136,"="&amp;D7, Inventory!$G2:$G1136)</f>
        <v>25.59</v>
      </c>
      <c r="E10" s="20">
        <f>SUMIF(Inventory!$D2:$D1136,"="&amp;E7, Inventory!$G2:$G1136)</f>
        <v>23.34</v>
      </c>
      <c r="F10" s="20">
        <f>SUMIF(Inventory!$D2:$D1136,"="&amp;F7, Inventory!$G2:$G1136)</f>
        <v>24.72</v>
      </c>
      <c r="G10" s="20">
        <f>SUMIF(Inventory!$D2:$D1136,"="&amp;G7, Inventory!$G2:$G1136)</f>
        <v>18.39</v>
      </c>
      <c r="H10" s="20">
        <f>SUMIF(Inventory!$D2:$D1136,"="&amp;H7, Inventory!$G2:$G1136)</f>
        <v>21.24</v>
      </c>
      <c r="I10" s="20">
        <f>SUMIF(Inventory!$D2:$D1136,"="&amp;I7, Inventory!$G2:$G1136)</f>
        <v>14.83</v>
      </c>
      <c r="J10" s="20">
        <f>SUMIF(Inventory!$D2:$D1136,"="&amp;J7, Inventory!$G2:$G1136)</f>
        <v>11.73</v>
      </c>
      <c r="K10" s="20">
        <f>SUMIF(Inventory!$D2:$D1136,"="&amp;K7, Inventory!$G2:$G1136)</f>
        <v>12.14</v>
      </c>
      <c r="L10" s="20">
        <f>SUMIF(Inventory!$D2:$D1136,"="&amp;L7, Inventory!$G2:$G1136)</f>
        <v>31.29</v>
      </c>
      <c r="M10" s="20">
        <f>SUMIF(Inventory!$D2:$D1136,"="&amp;M7, Inventory!$G2:$G1136)</f>
        <v>16.31</v>
      </c>
      <c r="N10" s="20">
        <f>SUMIF(Inventory!$D2:$D1136,"="&amp;N7, Inventory!$G2:$G1136)</f>
        <v>15.39</v>
      </c>
      <c r="O10" s="20">
        <f>SUMIF(Inventory!$D2:$D1136,"="&amp;O7, Inventory!$G2:$G1136)</f>
        <v>22.81</v>
      </c>
      <c r="P10" s="20">
        <f>SUMIF(Inventory!$D2:$D1136,"="&amp;P7, Inventory!$G2:$G1136)</f>
        <v>16.12</v>
      </c>
      <c r="Q10" s="20">
        <f>SUMIF(Inventory!$D2:$D1136,"="&amp;Q7, Inventory!$G2:$G1136)</f>
        <v>32.68</v>
      </c>
      <c r="R10" s="20">
        <f>SUMIF(Inventory!$D2:$D1136,"="&amp;R7, Inventory!$G2:$G1136)</f>
        <v>11.76</v>
      </c>
      <c r="S10" s="20">
        <f>SUMIF(Inventory!$D2:$D1136,"="&amp;S7, Inventory!$G2:$G1136)</f>
        <v>31.19</v>
      </c>
      <c r="T10" s="20">
        <f>SUMIF(Inventory!$D2:$D1136,"="&amp;T7, Inventory!$G2:$G1136)</f>
        <v>12.82</v>
      </c>
      <c r="U10" s="20">
        <f>SUMIF(Inventory!$D2:$D1136,"="&amp;U7, Inventory!$G2:$G1136)</f>
        <v>4.21</v>
      </c>
      <c r="V10" s="20">
        <f>SUMIF(Inventory!$D2:$D1136,"="&amp;V7, Inventory!$G2:$G1136)</f>
        <v>1.7</v>
      </c>
      <c r="W10" s="20">
        <f>SUMIF(Inventory!$D2:$D1136,"="&amp;W7, Inventory!$G2:$G1136)</f>
        <v>0</v>
      </c>
      <c r="X10" s="20">
        <f>SUMIF(Inventory!$D2:$D1136,"="&amp;X7, Inventory!$G2:$G1136)</f>
        <v>3.05</v>
      </c>
      <c r="Y10" s="20">
        <f>SUMIF(Inventory!$D2:$D1136,"="&amp;Y7, Inventory!$G2:$G1136)</f>
        <v>10.67</v>
      </c>
      <c r="Z10" s="20">
        <f>SUMIF(Inventory!$D2:$D1136,"="&amp;Z7, Inventory!$G2:$G1136)</f>
        <v>28.23</v>
      </c>
      <c r="AA10" s="20">
        <f>SUMIF(Inventory!$D2:$D1136,"="&amp;AA7, Inventory!$G2:$G1136)</f>
        <v>31.24</v>
      </c>
      <c r="AB10" s="20">
        <f>SUMIF(Inventory!$D2:$D1136,"="&amp;AB7, Inventory!$G2:$G1136)</f>
        <v>5.79</v>
      </c>
      <c r="AC10" s="20">
        <f>SUMIF(Inventory!$D2:$D1136,"="&amp;AC7, Inventory!$G2:$G1136)</f>
        <v>4.05</v>
      </c>
      <c r="AD10" s="20"/>
      <c r="AE10" s="20"/>
      <c r="AF10" s="20"/>
      <c r="AG10" s="20">
        <f t="shared" si="3"/>
        <v>439.44</v>
      </c>
      <c r="AH10" s="21">
        <f t="shared" si="4"/>
        <v>15.69428571</v>
      </c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</row>
    <row r="11" hidden="1" outlineLevel="2">
      <c r="A11" s="256" t="s">
        <v>10566</v>
      </c>
      <c r="B11" s="20">
        <f>COUNTIFS(Inventory!$D2:$D1136,"="&amp;B7, Inventory!$J2:$J1136,"Closed")</f>
        <v>1</v>
      </c>
      <c r="C11" s="20">
        <f>COUNTIFS(Inventory!$D2:$D1136,"="&amp;C7, Inventory!$J2:$J1136,"Closed")</f>
        <v>2</v>
      </c>
      <c r="D11" s="20">
        <f>COUNTIFS(Inventory!$D2:$D1136,"="&amp;D7, Inventory!$J2:$J1136,"Closed")</f>
        <v>8</v>
      </c>
      <c r="E11" s="20">
        <f>COUNTIFS(Inventory!$D2:$D1136,"="&amp;E7, Inventory!$J2:$J1136,"Closed")</f>
        <v>11</v>
      </c>
      <c r="F11" s="20">
        <f>COUNTIFS(Inventory!$D2:$D1136,"="&amp;F7, Inventory!$J2:$J1136,"Closed")</f>
        <v>10</v>
      </c>
      <c r="G11" s="20">
        <f>COUNTIFS(Inventory!$D2:$D1136,"="&amp;G7, Inventory!$J2:$J1136,"Closed")</f>
        <v>5</v>
      </c>
      <c r="H11" s="20">
        <f>COUNTIFS(Inventory!$D2:$D1136,"="&amp;H7, Inventory!$J2:$J1136,"Closed")</f>
        <v>10</v>
      </c>
      <c r="I11" s="20">
        <f>COUNTIFS(Inventory!$D2:$D1136,"="&amp;I7, Inventory!$J2:$J1136,"Closed")</f>
        <v>4</v>
      </c>
      <c r="J11" s="20">
        <f>COUNTIFS(Inventory!$D2:$D1136,"="&amp;J7, Inventory!$J2:$J1136,"Closed")</f>
        <v>5</v>
      </c>
      <c r="K11" s="20">
        <f>COUNTIFS(Inventory!$D2:$D1136,"="&amp;K7, Inventory!$J2:$J1136,"Closed")</f>
        <v>8</v>
      </c>
      <c r="L11" s="20">
        <f>COUNTIFS(Inventory!$D2:$D1136,"="&amp;L7, Inventory!$J2:$J1136,"Closed")</f>
        <v>16</v>
      </c>
      <c r="M11" s="20">
        <f>COUNTIFS(Inventory!$D2:$D1136,"="&amp;M7, Inventory!$J2:$J1136,"Closed")</f>
        <v>8</v>
      </c>
      <c r="N11" s="20">
        <f>COUNTIFS(Inventory!$D2:$D1136,"="&amp;N7, Inventory!$J2:$J1136,"Closed")</f>
        <v>7</v>
      </c>
      <c r="O11" s="20">
        <f>COUNTIFS(Inventory!$D2:$D1136,"="&amp;O7, Inventory!$J2:$J1136,"Closed")</f>
        <v>8</v>
      </c>
      <c r="P11" s="20">
        <f>COUNTIFS(Inventory!$D2:$D1136,"="&amp;P7, Inventory!$J2:$J1136,"Closed")</f>
        <v>5</v>
      </c>
      <c r="Q11" s="20">
        <f>COUNTIFS(Inventory!$D2:$D1136,"="&amp;Q7, Inventory!$J2:$J1136,"Closed")</f>
        <v>12</v>
      </c>
      <c r="R11" s="20">
        <f>COUNTIFS(Inventory!$D2:$D1136,"="&amp;R7, Inventory!$J2:$J1136,"Closed")</f>
        <v>6</v>
      </c>
      <c r="S11" s="20">
        <f>COUNTIFS(Inventory!$D2:$D1136,"="&amp;S7, Inventory!$J2:$J1136,"Closed")</f>
        <v>12</v>
      </c>
      <c r="T11" s="20">
        <f>COUNTIFS(Inventory!$D2:$D1136,"="&amp;T7, Inventory!$J2:$J1136,"Closed")</f>
        <v>6</v>
      </c>
      <c r="U11" s="20">
        <f>COUNTIFS(Inventory!$D2:$D1136,"="&amp;U7, Inventory!$J2:$J1136,"Closed")</f>
        <v>2</v>
      </c>
      <c r="V11" s="20">
        <f>COUNTIFS(Inventory!$D2:$D1136,"="&amp;V7, Inventory!$J2:$J1136,"Closed")</f>
        <v>1</v>
      </c>
      <c r="W11" s="20">
        <f>COUNTIFS(Inventory!$D2:$D1136,"="&amp;W7, Inventory!$J2:$J1136,"Closed")</f>
        <v>0</v>
      </c>
      <c r="X11" s="20">
        <f>COUNTIFS(Inventory!$D2:$D1136,"="&amp;X7, Inventory!$J2:$J1136,"Closed")</f>
        <v>3</v>
      </c>
      <c r="Y11" s="20">
        <f>COUNTIFS(Inventory!$D2:$D1136,"="&amp;Y7, Inventory!$J2:$J1136,"Closed")</f>
        <v>6</v>
      </c>
      <c r="Z11" s="20">
        <f>COUNTIFS(Inventory!$D2:$D1136,"="&amp;Z7, Inventory!$J2:$J1136,"Closed")</f>
        <v>10</v>
      </c>
      <c r="AA11" s="20">
        <f>COUNTIFS(Inventory!$D2:$D1136,"="&amp;AA7, Inventory!$J2:$J1136,"Closed")</f>
        <v>17</v>
      </c>
      <c r="AB11" s="20">
        <f>COUNTIFS(Inventory!$D2:$D1136,"="&amp;AB7, Inventory!$J2:$J1136,"Closed")</f>
        <v>2</v>
      </c>
      <c r="AC11" s="20">
        <f>COUNTIFS(Inventory!$D2:$D1136,"="&amp;AC7, Inventory!$J2:$J1136,"Closed")</f>
        <v>1</v>
      </c>
      <c r="AD11" s="20"/>
      <c r="AE11" s="20"/>
      <c r="AF11" s="20"/>
      <c r="AG11" s="20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</row>
    <row r="12" outlineLevel="1" collapsed="1">
      <c r="A12" s="253" t="s">
        <v>10213</v>
      </c>
      <c r="B12" s="255">
        <v>44986.0</v>
      </c>
      <c r="C12" s="255">
        <v>44987.0</v>
      </c>
      <c r="D12" s="255">
        <v>44988.0</v>
      </c>
      <c r="E12" s="255">
        <v>44989.0</v>
      </c>
      <c r="F12" s="255">
        <v>44990.0</v>
      </c>
      <c r="G12" s="255">
        <v>44991.0</v>
      </c>
      <c r="H12" s="255">
        <v>44992.0</v>
      </c>
      <c r="I12" s="255">
        <v>44993.0</v>
      </c>
      <c r="J12" s="255">
        <v>44994.0</v>
      </c>
      <c r="K12" s="255">
        <v>44995.0</v>
      </c>
      <c r="L12" s="255">
        <v>44996.0</v>
      </c>
      <c r="M12" s="255">
        <v>44997.0</v>
      </c>
      <c r="N12" s="255">
        <v>44998.0</v>
      </c>
      <c r="O12" s="255">
        <v>44999.0</v>
      </c>
      <c r="P12" s="255">
        <v>45000.0</v>
      </c>
      <c r="Q12" s="255">
        <v>45001.0</v>
      </c>
      <c r="R12" s="255">
        <v>45002.0</v>
      </c>
      <c r="S12" s="255">
        <v>45003.0</v>
      </c>
      <c r="T12" s="255">
        <v>45004.0</v>
      </c>
      <c r="U12" s="255">
        <v>45005.0</v>
      </c>
      <c r="V12" s="255">
        <v>45006.0</v>
      </c>
      <c r="W12" s="255">
        <v>45007.0</v>
      </c>
      <c r="X12" s="255">
        <v>45008.0</v>
      </c>
      <c r="Y12" s="255">
        <v>45009.0</v>
      </c>
      <c r="Z12" s="255">
        <v>45010.0</v>
      </c>
      <c r="AA12" s="255">
        <v>45011.0</v>
      </c>
      <c r="AB12" s="255">
        <v>45012.0</v>
      </c>
      <c r="AC12" s="255">
        <v>45013.0</v>
      </c>
      <c r="AD12" s="255">
        <v>45014.0</v>
      </c>
      <c r="AE12" s="255">
        <v>45015.0</v>
      </c>
      <c r="AF12" s="255">
        <v>45016.0</v>
      </c>
      <c r="AG12" s="20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</row>
    <row r="13" hidden="1" outlineLevel="2">
      <c r="A13" s="256" t="s">
        <v>9</v>
      </c>
      <c r="B13" s="20">
        <f>SUMIF(Inventory!$D2:$D1136,"="&amp;B12, Inventory!$F2:$F1136)</f>
        <v>64.36</v>
      </c>
      <c r="C13" s="20">
        <f>SUMIF(Inventory!$D2:$D1136,"="&amp;C12, Inventory!$F2:$F1136)</f>
        <v>51.96</v>
      </c>
      <c r="D13" s="20">
        <f>SUMIF(Inventory!$D2:$D1136,"="&amp;D12, Inventory!$F2:$F1136)</f>
        <v>76.54</v>
      </c>
      <c r="E13" s="20">
        <f>SUMIF(Inventory!$D2:$D1136,"="&amp;E12, Inventory!$F2:$F1136)</f>
        <v>44.46</v>
      </c>
      <c r="F13" s="20">
        <f>SUMIF(Inventory!$D2:$D1136,"="&amp;F12, Inventory!$F2:$F1136)</f>
        <v>66.29</v>
      </c>
      <c r="G13" s="20">
        <f>SUMIF(Inventory!$D2:$D1136,"="&amp;G12, Inventory!$F2:$F1136)</f>
        <v>124.91</v>
      </c>
      <c r="H13" s="20">
        <f>SUMIF(Inventory!$D2:$D1136,"="&amp;H12, Inventory!$F2:$F1136)</f>
        <v>64.96</v>
      </c>
      <c r="I13" s="20">
        <f>SUMIF(Inventory!$D2:$D1136,"="&amp;I12, Inventory!$F2:$F1136)</f>
        <v>39.87</v>
      </c>
      <c r="J13" s="20">
        <f>SUMIF(Inventory!$D2:$D1136,"="&amp;J12, Inventory!$F2:$F1136)</f>
        <v>76.49</v>
      </c>
      <c r="K13" s="20">
        <f>SUMIF(Inventory!$D2:$D1136,"="&amp;K12, Inventory!$F2:$F1136)</f>
        <v>53.02</v>
      </c>
      <c r="L13" s="20">
        <f>SUMIF(Inventory!$D2:$D1136,"="&amp;L12, Inventory!$F2:$F1136)</f>
        <v>123.28</v>
      </c>
      <c r="M13" s="20">
        <f>SUMIF(Inventory!$D2:$D1136,"="&amp;M12, Inventory!$F2:$F1136)</f>
        <v>65.27</v>
      </c>
      <c r="N13" s="20">
        <f>SUMIF(Inventory!$D2:$D1136,"="&amp;N12, Inventory!$F2:$F1136)</f>
        <v>26.84</v>
      </c>
      <c r="O13" s="20">
        <f>SUMIF(Inventory!$D2:$D1136,"="&amp;O12, Inventory!$F2:$F1136)</f>
        <v>27.96</v>
      </c>
      <c r="P13" s="20">
        <f>SUMIF(Inventory!$D2:$D1136,"="&amp;P12, Inventory!$F2:$F1136)</f>
        <v>58.5</v>
      </c>
      <c r="Q13" s="20">
        <f>SUMIF(Inventory!$D2:$D1136,"="&amp;Q12, Inventory!$F2:$F1136)</f>
        <v>46.81</v>
      </c>
      <c r="R13" s="20">
        <f>SUMIF(Inventory!$D2:$D1136,"="&amp;R12, Inventory!$F2:$F1136)</f>
        <v>38.14</v>
      </c>
      <c r="S13" s="20">
        <f>SUMIF(Inventory!$D2:$D1136,"="&amp;S12, Inventory!$F2:$F1136)</f>
        <v>79.86</v>
      </c>
      <c r="T13" s="20">
        <f>SUMIF(Inventory!$D2:$D1136,"="&amp;T12, Inventory!$F2:$F1136)</f>
        <v>58.4</v>
      </c>
      <c r="U13" s="20">
        <f>SUMIF(Inventory!$D2:$D1136,"="&amp;U12, Inventory!$F2:$F1136)</f>
        <v>57.4</v>
      </c>
      <c r="V13" s="20">
        <f>SUMIF(Inventory!$D2:$D1136,"="&amp;V12, Inventory!$F2:$F1136)</f>
        <v>204.42</v>
      </c>
      <c r="W13" s="20">
        <f>SUMIF(Inventory!$D2:$D1136,"="&amp;W12, Inventory!$F2:$F1136)</f>
        <v>0.01</v>
      </c>
      <c r="X13" s="20">
        <f>SUMIF(Inventory!$D2:$D1136,"="&amp;X12, Inventory!$F2:$F1136)</f>
        <v>37.54</v>
      </c>
      <c r="Y13" s="20">
        <f>SUMIF(Inventory!$D2:$D1136,"="&amp;Y12, Inventory!$F2:$F1136)</f>
        <v>57.21</v>
      </c>
      <c r="Z13" s="20">
        <f>SUMIF(Inventory!$D2:$D1136,"="&amp;Z12, Inventory!$F2:$F1136)</f>
        <v>23.41</v>
      </c>
      <c r="AA13" s="20">
        <f>SUMIF(Inventory!$D2:$D1136,"="&amp;AA12, Inventory!$F2:$F1136)</f>
        <v>50.76</v>
      </c>
      <c r="AB13" s="20">
        <f>SUMIF(Inventory!$D2:$D1136,"="&amp;AB12, Inventory!$F2:$F1136)</f>
        <v>36.5</v>
      </c>
      <c r="AC13" s="20">
        <f>SUMIF(Inventory!$D2:$D1136,"="&amp;AC12, Inventory!$F2:$F1136)</f>
        <v>22.18</v>
      </c>
      <c r="AD13" s="20">
        <f>SUMIF(Inventory!$D2:$D1136,"="&amp;AD12, Inventory!$F2:$F1136)</f>
        <v>7.28</v>
      </c>
      <c r="AE13" s="20">
        <f>SUMIF(Inventory!$D2:$D1136,"="&amp;AE12, Inventory!$F2:$F1136)</f>
        <v>65.29</v>
      </c>
      <c r="AF13" s="20">
        <f>SUMIF(Inventory!$D2:$D1136,"="&amp;AF12, Inventory!$F2:$F1136)</f>
        <v>27.1</v>
      </c>
      <c r="AG13" s="20">
        <f t="shared" ref="AG13:AG15" si="5">SUM(B13:AF13)</f>
        <v>1777.02</v>
      </c>
      <c r="AH13" s="21">
        <f t="shared" ref="AH13:AH15" si="6">AVERAGE(B13:AF13)</f>
        <v>57.32322581</v>
      </c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  <c r="KJ13" s="21"/>
      <c r="KK13" s="21"/>
      <c r="KL13" s="21"/>
      <c r="KM13" s="21"/>
      <c r="KN13" s="21"/>
    </row>
    <row r="14" hidden="1" outlineLevel="2">
      <c r="A14" s="256" t="s">
        <v>10</v>
      </c>
      <c r="B14" s="20">
        <f>SUMIF(Inventory!$D2:$D1136,"="&amp;B12, Inventory!$E2:$E1136)</f>
        <v>51.63</v>
      </c>
      <c r="C14" s="20">
        <f>SUMIF(Inventory!$D2:$D1136,"="&amp;C12, Inventory!$E2:$E1136)</f>
        <v>45.85</v>
      </c>
      <c r="D14" s="20">
        <f>SUMIF(Inventory!$D2:$D1136,"="&amp;D12, Inventory!$E2:$E1136)</f>
        <v>60.09</v>
      </c>
      <c r="E14" s="20">
        <f>SUMIF(Inventory!$D2:$D1136,"="&amp;E12, Inventory!$E2:$E1136)</f>
        <v>29.52</v>
      </c>
      <c r="F14" s="20">
        <f>SUMIF(Inventory!$D2:$D1136,"="&amp;F12, Inventory!$E2:$E1136)</f>
        <v>53.7</v>
      </c>
      <c r="G14" s="20">
        <f>SUMIF(Inventory!$D2:$D1136,"="&amp;G12, Inventory!$E2:$E1136)</f>
        <v>101.13</v>
      </c>
      <c r="H14" s="20">
        <f>SUMIF(Inventory!$D2:$D1136,"="&amp;H12, Inventory!$E2:$E1136)</f>
        <v>49.14</v>
      </c>
      <c r="I14" s="20">
        <f>SUMIF(Inventory!$D2:$D1136,"="&amp;I12, Inventory!$E2:$E1136)</f>
        <v>32.77</v>
      </c>
      <c r="J14" s="20">
        <f>SUMIF(Inventory!$D2:$D1136,"="&amp;J12, Inventory!$E2:$E1136)</f>
        <v>64.09</v>
      </c>
      <c r="K14" s="20">
        <f>SUMIF(Inventory!$D2:$D1136,"="&amp;K12, Inventory!$E2:$E1136)</f>
        <v>41.18</v>
      </c>
      <c r="L14" s="20">
        <f>SUMIF(Inventory!$D2:$D1136,"="&amp;L12, Inventory!$E2:$E1136)</f>
        <v>96.1</v>
      </c>
      <c r="M14" s="20">
        <f>SUMIF(Inventory!$D2:$D1136,"="&amp;M12, Inventory!$E2:$E1136)</f>
        <v>50.62</v>
      </c>
      <c r="N14" s="20">
        <f>SUMIF(Inventory!$D2:$D1136,"="&amp;N12, Inventory!$E2:$E1136)</f>
        <v>22.07</v>
      </c>
      <c r="O14" s="20">
        <f>SUMIF(Inventory!$D2:$D1136,"="&amp;O12, Inventory!$E2:$E1136)</f>
        <v>22.86</v>
      </c>
      <c r="P14" s="20">
        <f>SUMIF(Inventory!$D2:$D1136,"="&amp;P12, Inventory!$E2:$E1136)</f>
        <v>45.18</v>
      </c>
      <c r="Q14" s="20">
        <f>SUMIF(Inventory!$D2:$D1136,"="&amp;Q12, Inventory!$E2:$E1136)</f>
        <v>34.54</v>
      </c>
      <c r="R14" s="20">
        <f>SUMIF(Inventory!$D2:$D1136,"="&amp;R12, Inventory!$E2:$E1136)</f>
        <v>26.11</v>
      </c>
      <c r="S14" s="20">
        <f>SUMIF(Inventory!$D2:$D1136,"="&amp;S12, Inventory!$E2:$E1136)</f>
        <v>57.88</v>
      </c>
      <c r="T14" s="20">
        <f>SUMIF(Inventory!$D2:$D1136,"="&amp;T12, Inventory!$E2:$E1136)</f>
        <v>44.58</v>
      </c>
      <c r="U14" s="20">
        <f>SUMIF(Inventory!$D2:$D1136,"="&amp;U12, Inventory!$E2:$E1136)</f>
        <v>45.15</v>
      </c>
      <c r="V14" s="20">
        <f>SUMIF(Inventory!$D2:$D1136,"="&amp;V12, Inventory!$E2:$E1136)</f>
        <v>142.93</v>
      </c>
      <c r="W14" s="20">
        <f>SUMIF(Inventory!$D2:$D1136,"="&amp;W12, Inventory!$E2:$E1136)</f>
        <v>0</v>
      </c>
      <c r="X14" s="20">
        <f>SUMIF(Inventory!$D2:$D1136,"="&amp;X12, Inventory!$E2:$E1136)</f>
        <v>31.98</v>
      </c>
      <c r="Y14" s="20">
        <f>SUMIF(Inventory!$D2:$D1136,"="&amp;Y12, Inventory!$E2:$E1136)</f>
        <v>47.04</v>
      </c>
      <c r="Z14" s="20">
        <f>SUMIF(Inventory!$D2:$D1136,"="&amp;Z12, Inventory!$E2:$E1136)</f>
        <v>22.58</v>
      </c>
      <c r="AA14" s="20">
        <f>SUMIF(Inventory!$D2:$D1136,"="&amp;AA12, Inventory!$E2:$E1136)</f>
        <v>40.08</v>
      </c>
      <c r="AB14" s="20">
        <f>SUMIF(Inventory!$D2:$D1136,"="&amp;AB12, Inventory!$E2:$E1136)</f>
        <v>27.76</v>
      </c>
      <c r="AC14" s="20">
        <f>SUMIF(Inventory!$D2:$D1136,"="&amp;AC12, Inventory!$E2:$E1136)</f>
        <v>15.35</v>
      </c>
      <c r="AD14" s="20">
        <f>SUMIF(Inventory!$D2:$D1136,"="&amp;AD12, Inventory!$E2:$E1136)</f>
        <v>4.73</v>
      </c>
      <c r="AE14" s="20">
        <f>SUMIF(Inventory!$D2:$D1136,"="&amp;AE12, Inventory!$E2:$E1136)</f>
        <v>47.23</v>
      </c>
      <c r="AF14" s="20">
        <f>SUMIF(Inventory!$D2:$D1136,"="&amp;AF12, Inventory!$E2:$E1136)</f>
        <v>16.03</v>
      </c>
      <c r="AG14" s="20">
        <f t="shared" si="5"/>
        <v>1369.9</v>
      </c>
      <c r="AH14" s="21">
        <f t="shared" si="6"/>
        <v>44.19032258</v>
      </c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1"/>
    </row>
    <row r="15" hidden="1" outlineLevel="2">
      <c r="A15" s="256" t="s">
        <v>11</v>
      </c>
      <c r="B15" s="20">
        <f>SUMIF(Inventory!$D2:$D1136,"="&amp;B12, Inventory!$G2:$G1136)</f>
        <v>12.73</v>
      </c>
      <c r="C15" s="20">
        <f>SUMIF(Inventory!$D2:$D1136,"="&amp;C12, Inventory!$G2:$G1136)</f>
        <v>6.11</v>
      </c>
      <c r="D15" s="20">
        <f>SUMIF(Inventory!$D2:$D1136,"="&amp;D12, Inventory!$G2:$G1136)</f>
        <v>16.45</v>
      </c>
      <c r="E15" s="20">
        <f>SUMIF(Inventory!$D2:$D1136,"="&amp;E12, Inventory!$G2:$G1136)</f>
        <v>14.94</v>
      </c>
      <c r="F15" s="20">
        <f>SUMIF(Inventory!$D2:$D1136,"="&amp;F12, Inventory!$G2:$G1136)</f>
        <v>12.59</v>
      </c>
      <c r="G15" s="20">
        <f>SUMIF(Inventory!$D2:$D1136,"="&amp;G12, Inventory!$G2:$G1136)</f>
        <v>23.78</v>
      </c>
      <c r="H15" s="20">
        <f>SUMIF(Inventory!$D2:$D1136,"="&amp;H12, Inventory!$G2:$G1136)</f>
        <v>15.82</v>
      </c>
      <c r="I15" s="20">
        <f>SUMIF(Inventory!$D2:$D1136,"="&amp;I12, Inventory!$G2:$G1136)</f>
        <v>7.1</v>
      </c>
      <c r="J15" s="20">
        <f>SUMIF(Inventory!$D2:$D1136,"="&amp;J12, Inventory!$G2:$G1136)</f>
        <v>12.4</v>
      </c>
      <c r="K15" s="20">
        <f>SUMIF(Inventory!$D2:$D1136,"="&amp;K12, Inventory!$G2:$G1136)</f>
        <v>11.84</v>
      </c>
      <c r="L15" s="20">
        <f>SUMIF(Inventory!$D2:$D1136,"="&amp;L12, Inventory!$G2:$G1136)</f>
        <v>27.18</v>
      </c>
      <c r="M15" s="20">
        <f>SUMIF(Inventory!$D2:$D1136,"="&amp;M12, Inventory!$G2:$G1136)</f>
        <v>14.65</v>
      </c>
      <c r="N15" s="20">
        <f>SUMIF(Inventory!$D2:$D1136,"="&amp;N12, Inventory!$G2:$G1136)</f>
        <v>4.77</v>
      </c>
      <c r="O15" s="20">
        <f>SUMIF(Inventory!$D2:$D1136,"="&amp;O12, Inventory!$G2:$G1136)</f>
        <v>5.1</v>
      </c>
      <c r="P15" s="20">
        <f>SUMIF(Inventory!$D2:$D1136,"="&amp;P12, Inventory!$G2:$G1136)</f>
        <v>13.32</v>
      </c>
      <c r="Q15" s="20">
        <f>SUMIF(Inventory!$D2:$D1136,"="&amp;Q12, Inventory!$G2:$G1136)</f>
        <v>12.27</v>
      </c>
      <c r="R15" s="20">
        <f>SUMIF(Inventory!$D2:$D1136,"="&amp;R12, Inventory!$G2:$G1136)</f>
        <v>12.03</v>
      </c>
      <c r="S15" s="20">
        <f>SUMIF(Inventory!$D2:$D1136,"="&amp;S12, Inventory!$G2:$G1136)</f>
        <v>21.98</v>
      </c>
      <c r="T15" s="20">
        <f>SUMIF(Inventory!$D2:$D1136,"="&amp;T12, Inventory!$G2:$G1136)</f>
        <v>13.82</v>
      </c>
      <c r="U15" s="20">
        <f>SUMIF(Inventory!$D2:$D1136,"="&amp;U12, Inventory!$G2:$G1136)</f>
        <v>12.25</v>
      </c>
      <c r="V15" s="20">
        <f>SUMIF(Inventory!$D2:$D1136,"="&amp;V12, Inventory!$G2:$G1136)</f>
        <v>61.49</v>
      </c>
      <c r="W15" s="20">
        <f>SUMIF(Inventory!$D2:$D1136,"="&amp;W12, Inventory!$G2:$G1136)</f>
        <v>0.01</v>
      </c>
      <c r="X15" s="20">
        <f>SUMIF(Inventory!$D2:$D1136,"="&amp;X12, Inventory!$G2:$G1136)</f>
        <v>5.56</v>
      </c>
      <c r="Y15" s="20">
        <f>SUMIF(Inventory!$D2:$D1136,"="&amp;Y12, Inventory!$G2:$G1136)</f>
        <v>10.17</v>
      </c>
      <c r="Z15" s="20">
        <f>SUMIF(Inventory!$D2:$D1136,"="&amp;Z12, Inventory!$G2:$G1136)</f>
        <v>0.83</v>
      </c>
      <c r="AA15" s="20">
        <f>SUMIF(Inventory!$D2:$D1136,"="&amp;AA12, Inventory!$G2:$G1136)</f>
        <v>10.68</v>
      </c>
      <c r="AB15" s="20">
        <f>SUMIF(Inventory!$D2:$D1136,"="&amp;AB12, Inventory!$G2:$G1136)</f>
        <v>8.74</v>
      </c>
      <c r="AC15" s="20">
        <f>SUMIF(Inventory!$D2:$D1136,"="&amp;AC12, Inventory!$G2:$G1136)</f>
        <v>6.83</v>
      </c>
      <c r="AD15" s="20">
        <f>SUMIF(Inventory!$D2:$D1136,"="&amp;AD12, Inventory!$G2:$G1136)</f>
        <v>2.55</v>
      </c>
      <c r="AE15" s="20">
        <f>SUMIF(Inventory!$D2:$D1136,"="&amp;AE12, Inventory!$G2:$G1136)</f>
        <v>18.06</v>
      </c>
      <c r="AF15" s="20">
        <f>SUMIF(Inventory!$D2:$D1136,"="&amp;AF12, Inventory!$G2:$G1136)</f>
        <v>11.07</v>
      </c>
      <c r="AG15" s="20">
        <f t="shared" si="5"/>
        <v>407.12</v>
      </c>
      <c r="AH15" s="21">
        <f t="shared" si="6"/>
        <v>13.13290323</v>
      </c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  <c r="KJ15" s="21"/>
      <c r="KK15" s="21"/>
      <c r="KL15" s="21"/>
      <c r="KM15" s="21"/>
      <c r="KN15" s="21"/>
    </row>
    <row r="16" hidden="1" outlineLevel="2">
      <c r="A16" s="256" t="s">
        <v>10566</v>
      </c>
      <c r="B16" s="20">
        <f>COUNTIFS(Inventory!$D2:$D1136,"="&amp;B12, Inventory!$J2:$J1136,"Closed")</f>
        <v>8</v>
      </c>
      <c r="C16" s="20">
        <f>COUNTIFS(Inventory!$D2:$D1136,"="&amp;C12, Inventory!$J2:$J1136,"Closed")</f>
        <v>6</v>
      </c>
      <c r="D16" s="20">
        <f>COUNTIFS(Inventory!$D2:$D1136,"="&amp;D12, Inventory!$J2:$J1136,"Closed")</f>
        <v>8</v>
      </c>
      <c r="E16" s="20">
        <f>COUNTIFS(Inventory!$D2:$D1136,"="&amp;E12, Inventory!$J2:$J1136,"Closed")</f>
        <v>5</v>
      </c>
      <c r="F16" s="20">
        <f>COUNTIFS(Inventory!$D2:$D1136,"="&amp;F12, Inventory!$J2:$J1136,"Closed")</f>
        <v>6</v>
      </c>
      <c r="G16" s="20">
        <f>COUNTIFS(Inventory!$D2:$D1136,"="&amp;G12, Inventory!$J2:$J1136,"Closed")</f>
        <v>13</v>
      </c>
      <c r="H16" s="20">
        <f>COUNTIFS(Inventory!$D2:$D1136,"="&amp;H12, Inventory!$J2:$J1136,"Closed")</f>
        <v>8</v>
      </c>
      <c r="I16" s="20">
        <f>COUNTIFS(Inventory!$D2:$D1136,"="&amp;I12, Inventory!$J2:$J1136,"Closed")</f>
        <v>5</v>
      </c>
      <c r="J16" s="20">
        <f>COUNTIFS(Inventory!$D2:$D1136,"="&amp;J12, Inventory!$J2:$J1136,"Closed")</f>
        <v>12</v>
      </c>
      <c r="K16" s="20">
        <f>COUNTIFS(Inventory!$D2:$D1136,"="&amp;K12, Inventory!$J2:$J1136,"Closed")</f>
        <v>12</v>
      </c>
      <c r="L16" s="20">
        <f>COUNTIFS(Inventory!$D2:$D1136,"="&amp;L12, Inventory!$J2:$J1136,"Closed")</f>
        <v>14</v>
      </c>
      <c r="M16" s="20">
        <f>COUNTIFS(Inventory!$D2:$D1136,"="&amp;M12, Inventory!$J2:$J1136,"Closed")</f>
        <v>6</v>
      </c>
      <c r="N16" s="20">
        <f>COUNTIFS(Inventory!$D2:$D1136,"="&amp;N12, Inventory!$J2:$J1136,"Closed")</f>
        <v>2</v>
      </c>
      <c r="O16" s="20">
        <f>COUNTIFS(Inventory!$D2:$D1136,"="&amp;O12, Inventory!$J2:$J1136,"Closed")</f>
        <v>4</v>
      </c>
      <c r="P16" s="20">
        <f>COUNTIFS(Inventory!$D2:$D1136,"="&amp;P12, Inventory!$J2:$J1136,"Closed")</f>
        <v>6</v>
      </c>
      <c r="Q16" s="20">
        <f>COUNTIFS(Inventory!$D2:$D1136,"="&amp;Q12, Inventory!$J2:$J1136,"Closed")</f>
        <v>4</v>
      </c>
      <c r="R16" s="20">
        <f>COUNTIFS(Inventory!$D2:$D1136,"="&amp;R12, Inventory!$J2:$J1136,"Closed")</f>
        <v>4</v>
      </c>
      <c r="S16" s="20">
        <f>COUNTIFS(Inventory!$D2:$D1136,"="&amp;S12, Inventory!$J2:$J1136,"Closed")</f>
        <v>8</v>
      </c>
      <c r="T16" s="20">
        <f>COUNTIFS(Inventory!$D2:$D1136,"="&amp;T12, Inventory!$J2:$J1136,"Closed")</f>
        <v>8</v>
      </c>
      <c r="U16" s="20">
        <f>COUNTIFS(Inventory!$D2:$D1136,"="&amp;U12, Inventory!$J2:$J1136,"Closed")</f>
        <v>3</v>
      </c>
      <c r="V16" s="20">
        <f>COUNTIFS(Inventory!$D2:$D1136,"="&amp;V12, Inventory!$J2:$J1136,"Closed")</f>
        <v>8</v>
      </c>
      <c r="W16" s="20">
        <f>COUNTIFS(Inventory!$D2:$D1136,"="&amp;W12, Inventory!$J2:$J1136,"Closed")</f>
        <v>1</v>
      </c>
      <c r="X16" s="20">
        <f>COUNTIFS(Inventory!$D2:$D1136,"="&amp;X12, Inventory!$J2:$J1136,"Closed")</f>
        <v>5</v>
      </c>
      <c r="Y16" s="20">
        <f>COUNTIFS(Inventory!$D2:$D1136,"="&amp;Y12, Inventory!$J2:$J1136,"Closed")</f>
        <v>6</v>
      </c>
      <c r="Z16" s="20">
        <f>COUNTIFS(Inventory!$D2:$D1136,"="&amp;Z12, Inventory!$J2:$J1136,"Closed")</f>
        <v>3</v>
      </c>
      <c r="AA16" s="20">
        <f>COUNTIFS(Inventory!$D2:$D1136,"="&amp;AA12, Inventory!$J2:$J1136,"Closed")</f>
        <v>8</v>
      </c>
      <c r="AB16" s="20">
        <f>COUNTIFS(Inventory!$D2:$D1136,"="&amp;AB12, Inventory!$J2:$J1136,"Closed")</f>
        <v>6</v>
      </c>
      <c r="AC16" s="20">
        <f>COUNTIFS(Inventory!$D2:$D1136,"="&amp;AC12, Inventory!$J2:$J1136,"Closed")</f>
        <v>3</v>
      </c>
      <c r="AD16" s="20">
        <f>COUNTIFS(Inventory!$D2:$D1136,"="&amp;AD12, Inventory!$J2:$J1136,"Closed")</f>
        <v>1</v>
      </c>
      <c r="AE16" s="20">
        <f>COUNTIFS(Inventory!$D2:$D1136,"="&amp;AE12, Inventory!$J2:$J1136,"Closed")</f>
        <v>6</v>
      </c>
      <c r="AF16" s="20">
        <f>COUNTIFS(Inventory!$D2:$D1136,"="&amp;AF12, Inventory!$J2:$J1136,"Closed")</f>
        <v>2</v>
      </c>
      <c r="AG16" s="20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</row>
    <row r="17" outlineLevel="1" collapsed="1">
      <c r="A17" s="253" t="s">
        <v>10202</v>
      </c>
      <c r="B17" s="255">
        <v>45017.0</v>
      </c>
      <c r="C17" s="255">
        <v>45018.0</v>
      </c>
      <c r="D17" s="255">
        <v>45019.0</v>
      </c>
      <c r="E17" s="255">
        <v>45020.0</v>
      </c>
      <c r="F17" s="255">
        <v>45021.0</v>
      </c>
      <c r="G17" s="255">
        <v>45022.0</v>
      </c>
      <c r="H17" s="255">
        <v>45023.0</v>
      </c>
      <c r="I17" s="255">
        <v>45024.0</v>
      </c>
      <c r="J17" s="255">
        <v>45025.0</v>
      </c>
      <c r="K17" s="255">
        <v>45026.0</v>
      </c>
      <c r="L17" s="255">
        <v>45027.0</v>
      </c>
      <c r="M17" s="255">
        <v>45028.0</v>
      </c>
      <c r="N17" s="255">
        <v>45029.0</v>
      </c>
      <c r="O17" s="255">
        <v>45030.0</v>
      </c>
      <c r="P17" s="255">
        <v>45031.0</v>
      </c>
      <c r="Q17" s="255">
        <v>45032.0</v>
      </c>
      <c r="R17" s="255">
        <v>45033.0</v>
      </c>
      <c r="S17" s="255">
        <v>45034.0</v>
      </c>
      <c r="T17" s="255">
        <v>45035.0</v>
      </c>
      <c r="U17" s="255">
        <v>45036.0</v>
      </c>
      <c r="V17" s="255">
        <v>45037.0</v>
      </c>
      <c r="W17" s="255">
        <v>45038.0</v>
      </c>
      <c r="X17" s="255">
        <v>45039.0</v>
      </c>
      <c r="Y17" s="255">
        <v>45040.0</v>
      </c>
      <c r="Z17" s="255">
        <v>45041.0</v>
      </c>
      <c r="AA17" s="255">
        <v>45042.0</v>
      </c>
      <c r="AB17" s="255">
        <v>45043.0</v>
      </c>
      <c r="AC17" s="255">
        <v>45044.0</v>
      </c>
      <c r="AD17" s="255">
        <v>45045.0</v>
      </c>
      <c r="AE17" s="255">
        <v>45046.0</v>
      </c>
      <c r="AF17" s="255"/>
      <c r="AG17" s="20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</row>
    <row r="18" hidden="1" outlineLevel="2">
      <c r="A18" s="256" t="s">
        <v>9</v>
      </c>
      <c r="B18" s="20">
        <f>SUMIF(Inventory!$D2:$D1136,"="&amp;B17, Inventory!$F2:$F1136)</f>
        <v>0</v>
      </c>
      <c r="C18" s="20">
        <f>SUMIF(Inventory!$D2:$D1136,"="&amp;C17, Inventory!$F2:$F1136)</f>
        <v>64.23</v>
      </c>
      <c r="D18" s="20">
        <f>SUMIF(Inventory!$D2:$D1136,"="&amp;D17, Inventory!$F2:$F1136)</f>
        <v>32.82</v>
      </c>
      <c r="E18" s="20">
        <f>SUMIF(Inventory!$D2:$D1136,"="&amp;E17, Inventory!$F2:$F1136)</f>
        <v>20.64</v>
      </c>
      <c r="F18" s="20">
        <f>SUMIF(Inventory!$D2:$D1136,"="&amp;F17, Inventory!$F2:$F1136)</f>
        <v>53.22</v>
      </c>
      <c r="G18" s="20">
        <f>SUMIF(Inventory!$D2:$D1136,"="&amp;G17, Inventory!$F2:$F1136)</f>
        <v>20.75</v>
      </c>
      <c r="H18" s="20">
        <f>SUMIF(Inventory!$D2:$D1136,"="&amp;H17, Inventory!$F2:$F1136)</f>
        <v>70.02</v>
      </c>
      <c r="I18" s="20">
        <f>SUMIF(Inventory!$D2:$D1136,"="&amp;I17, Inventory!$F2:$F1136)</f>
        <v>32.71</v>
      </c>
      <c r="J18" s="20">
        <f>SUMIF(Inventory!$D2:$D1136,"="&amp;J17, Inventory!$F2:$F1136)</f>
        <v>51.03</v>
      </c>
      <c r="K18" s="20">
        <f>SUMIF(Inventory!$D2:$D1136,"="&amp;K17, Inventory!$F2:$F1136)</f>
        <v>78.97</v>
      </c>
      <c r="L18" s="20">
        <f>SUMIF(Inventory!$D2:$D1136,"="&amp;L17, Inventory!$F2:$F1136)</f>
        <v>26.693</v>
      </c>
      <c r="M18" s="20">
        <f>SUMIF(Inventory!$D2:$D1136,"="&amp;M17, Inventory!$F2:$F1136)</f>
        <v>72.04</v>
      </c>
      <c r="N18" s="20">
        <f>SUMIF(Inventory!$D2:$D1136,"="&amp;N17, Inventory!$F2:$F1136)</f>
        <v>28.36</v>
      </c>
      <c r="O18" s="20">
        <f>SUMIF(Inventory!$D2:$D1136,"="&amp;O17, Inventory!$F2:$F1136)</f>
        <v>61.97</v>
      </c>
      <c r="P18" s="20">
        <f>SUMIF(Inventory!$D2:$D1136,"="&amp;P17, Inventory!$F2:$F1136)</f>
        <v>63.95</v>
      </c>
      <c r="Q18" s="20">
        <f>SUMIF(Inventory!$D2:$D1136,"="&amp;Q17, Inventory!$F2:$F1136)</f>
        <v>137.13</v>
      </c>
      <c r="R18" s="20">
        <f>SUMIF(Inventory!$D2:$D1136,"="&amp;R17, Inventory!$F2:$F1136)</f>
        <v>66.39</v>
      </c>
      <c r="S18" s="20">
        <f>SUMIF(Inventory!$D2:$D1136,"="&amp;S17, Inventory!$F2:$F1136)</f>
        <v>60.25</v>
      </c>
      <c r="T18" s="20">
        <f>SUMIF(Inventory!$D2:$D1136,"="&amp;T17, Inventory!$F2:$F1136)</f>
        <v>46.39</v>
      </c>
      <c r="U18" s="20">
        <f>SUMIF(Inventory!$D2:$D1136,"="&amp;U17, Inventory!$F2:$F1136)</f>
        <v>5.94</v>
      </c>
      <c r="V18" s="20">
        <f>SUMIF(Inventory!$D2:$D1136,"="&amp;V17, Inventory!$F2:$F1136)</f>
        <v>46.84</v>
      </c>
      <c r="W18" s="20">
        <f>SUMIF(Inventory!$D2:$D1136,"="&amp;W17, Inventory!$F2:$F1136)</f>
        <v>77.2</v>
      </c>
      <c r="X18" s="20">
        <f>SUMIF(Inventory!$D2:$D1136,"="&amp;X17, Inventory!$F2:$F1136)</f>
        <v>41.94</v>
      </c>
      <c r="Y18" s="20">
        <f>SUMIF(Inventory!$D2:$D1136,"="&amp;Y17, Inventory!$F2:$F1136)</f>
        <v>46.11</v>
      </c>
      <c r="Z18" s="20">
        <f>SUMIF(Inventory!$D2:$D1136,"="&amp;Z17, Inventory!$F2:$F1136)</f>
        <v>15.56</v>
      </c>
      <c r="AA18" s="20">
        <f>SUMIF(Inventory!$D2:$D1136,"="&amp;AA17, Inventory!$F2:$F1136)</f>
        <v>48.91</v>
      </c>
      <c r="AB18" s="20">
        <f>SUMIF(Inventory!$D2:$D1136,"="&amp;AB17, Inventory!$F2:$F1136)</f>
        <v>36.96</v>
      </c>
      <c r="AC18" s="20">
        <f>SUMIF(Inventory!$D2:$D1136,"="&amp;AC17, Inventory!$F2:$F1136)</f>
        <v>118.85</v>
      </c>
      <c r="AD18" s="20">
        <f>SUMIF(Inventory!$D2:$D1136,"="&amp;AD17, Inventory!$F2:$F1136)</f>
        <v>515.62</v>
      </c>
      <c r="AE18" s="20">
        <f>SUMIF(Inventory!$D2:$D1136,"="&amp;AE17, Inventory!$F2:$F1136)</f>
        <v>280.3</v>
      </c>
      <c r="AG18" s="20">
        <f t="shared" ref="AG18:AG20" si="7">SUM(B18:AF18)</f>
        <v>2221.793</v>
      </c>
      <c r="AH18" s="21">
        <f t="shared" ref="AH18:AH20" si="8">AVERAGE(B18:AF18)</f>
        <v>74.05976667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</row>
    <row r="19" hidden="1" outlineLevel="2">
      <c r="A19" s="256" t="s">
        <v>10</v>
      </c>
      <c r="B19" s="20">
        <f>SUMIF(Inventory!$D2:$D1136,"="&amp;B17, Inventory!$E2:$E1136)</f>
        <v>0</v>
      </c>
      <c r="C19" s="20">
        <f>SUMIF(Inventory!$D2:$D1136,"="&amp;C17, Inventory!$E2:$E1136)</f>
        <v>54.09</v>
      </c>
      <c r="D19" s="20">
        <f>SUMIF(Inventory!$D2:$D1136,"="&amp;D17, Inventory!$E2:$E1136)</f>
        <v>24.41</v>
      </c>
      <c r="E19" s="20">
        <f>SUMIF(Inventory!$D2:$D1136,"="&amp;E17, Inventory!$E2:$E1136)</f>
        <v>14.93</v>
      </c>
      <c r="F19" s="20">
        <f>SUMIF(Inventory!$D2:$D1136,"="&amp;F17, Inventory!$E2:$E1136)</f>
        <v>41.52</v>
      </c>
      <c r="G19" s="20">
        <f>SUMIF(Inventory!$D2:$D1136,"="&amp;G17, Inventory!$E2:$E1136)</f>
        <v>12.89</v>
      </c>
      <c r="H19" s="20">
        <f>SUMIF(Inventory!$D2:$D1136,"="&amp;H17, Inventory!$E2:$E1136)</f>
        <v>52.18</v>
      </c>
      <c r="I19" s="20">
        <f>SUMIF(Inventory!$D2:$D1136,"="&amp;I17, Inventory!$E2:$E1136)</f>
        <v>24.26</v>
      </c>
      <c r="J19" s="20">
        <f>SUMIF(Inventory!$D2:$D1136,"="&amp;J17, Inventory!$E2:$E1136)</f>
        <v>30.62</v>
      </c>
      <c r="K19" s="20">
        <f>SUMIF(Inventory!$D2:$D1136,"="&amp;K17, Inventory!$E2:$E1136)</f>
        <v>53.64</v>
      </c>
      <c r="L19" s="20">
        <f>SUMIF(Inventory!$D2:$D1136,"="&amp;L17, Inventory!$E2:$E1136)</f>
        <v>18.01</v>
      </c>
      <c r="M19" s="20">
        <f>SUMIF(Inventory!$D2:$D1136,"="&amp;M17, Inventory!$E2:$E1136)</f>
        <v>55.88</v>
      </c>
      <c r="N19" s="20">
        <f>SUMIF(Inventory!$D2:$D1136,"="&amp;N17, Inventory!$E2:$E1136)</f>
        <v>22.48</v>
      </c>
      <c r="O19" s="20">
        <f>SUMIF(Inventory!$D2:$D1136,"="&amp;O17, Inventory!$E2:$E1136)</f>
        <v>44.15</v>
      </c>
      <c r="P19" s="20">
        <f>SUMIF(Inventory!$D2:$D1136,"="&amp;P17, Inventory!$E2:$E1136)</f>
        <v>51.18</v>
      </c>
      <c r="Q19" s="20">
        <f>SUMIF(Inventory!$D2:$D1136,"="&amp;Q17, Inventory!$E2:$E1136)</f>
        <v>97.58</v>
      </c>
      <c r="R19" s="20">
        <f>SUMIF(Inventory!$D2:$D1136,"="&amp;R17, Inventory!$E2:$E1136)</f>
        <v>52.26</v>
      </c>
      <c r="S19" s="20">
        <f>SUMIF(Inventory!$D2:$D1136,"="&amp;S17, Inventory!$E2:$E1136)</f>
        <v>46.58</v>
      </c>
      <c r="T19" s="20">
        <f>SUMIF(Inventory!$D2:$D1136,"="&amp;T17, Inventory!$E2:$E1136)</f>
        <v>36.93</v>
      </c>
      <c r="U19" s="20">
        <f>SUMIF(Inventory!$D2:$D1136,"="&amp;U17, Inventory!$E2:$E1136)</f>
        <v>5.12</v>
      </c>
      <c r="V19" s="20">
        <f>SUMIF(Inventory!$D2:$D1136,"="&amp;V17, Inventory!$E2:$E1136)</f>
        <v>36.34</v>
      </c>
      <c r="W19" s="20">
        <f>SUMIF(Inventory!$D2:$D1136,"="&amp;W17, Inventory!$E2:$E1136)</f>
        <v>55.18</v>
      </c>
      <c r="X19" s="20">
        <f>SUMIF(Inventory!$D2:$D1136,"="&amp;X17, Inventory!$E2:$E1136)</f>
        <v>29.19</v>
      </c>
      <c r="Y19" s="20">
        <f>SUMIF(Inventory!$D2:$D1136,"="&amp;Y17, Inventory!$E2:$E1136)</f>
        <v>34.08</v>
      </c>
      <c r="Z19" s="20">
        <f>SUMIF(Inventory!$D2:$D1136,"="&amp;Z17, Inventory!$E2:$E1136)</f>
        <v>10.45</v>
      </c>
      <c r="AA19" s="20">
        <f>SUMIF(Inventory!$D2:$D1136,"="&amp;AA17, Inventory!$E2:$E1136)</f>
        <v>40.35</v>
      </c>
      <c r="AB19" s="20">
        <f>SUMIF(Inventory!$D2:$D1136,"="&amp;AB17, Inventory!$E2:$E1136)</f>
        <v>28.14</v>
      </c>
      <c r="AC19" s="20">
        <f>SUMIF(Inventory!$D2:$D1136,"="&amp;AC17, Inventory!$E2:$E1136)</f>
        <v>92.95</v>
      </c>
      <c r="AD19" s="20">
        <f>SUMIF(Inventory!$D2:$D1136,"="&amp;AD17, Inventory!$E2:$E1136)</f>
        <v>341.17</v>
      </c>
      <c r="AE19" s="20">
        <f>SUMIF(Inventory!$D2:$D1136,"="&amp;AE17, Inventory!$E2:$E1136)</f>
        <v>223.39</v>
      </c>
      <c r="AG19" s="20">
        <f t="shared" si="7"/>
        <v>1629.95</v>
      </c>
      <c r="AH19" s="21">
        <f t="shared" si="8"/>
        <v>54.33166667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</row>
    <row r="20" hidden="1" outlineLevel="2">
      <c r="A20" s="256" t="s">
        <v>11</v>
      </c>
      <c r="B20" s="20">
        <f>SUMIF(Inventory!$D2:$D1136,"="&amp;B17, Inventory!$G2:$G1136)</f>
        <v>0</v>
      </c>
      <c r="C20" s="20">
        <f>SUMIF(Inventory!$D2:$D1136,"="&amp;C17, Inventory!$G2:$G1136)</f>
        <v>10.14</v>
      </c>
      <c r="D20" s="20">
        <f>SUMIF(Inventory!$D2:$D1136,"="&amp;D17, Inventory!$G2:$G1136)</f>
        <v>8.41</v>
      </c>
      <c r="E20" s="20">
        <f>SUMIF(Inventory!$D2:$D1136,"="&amp;E17, Inventory!$G2:$G1136)</f>
        <v>5.71</v>
      </c>
      <c r="F20" s="20">
        <f>SUMIF(Inventory!$D2:$D1136,"="&amp;F17, Inventory!$G2:$G1136)</f>
        <v>11.7</v>
      </c>
      <c r="G20" s="20">
        <f>SUMIF(Inventory!$D2:$D1136,"="&amp;G17, Inventory!$G2:$G1136)</f>
        <v>7.86</v>
      </c>
      <c r="H20" s="20">
        <f>SUMIF(Inventory!$D2:$D1136,"="&amp;H17, Inventory!$G2:$G1136)</f>
        <v>17.84</v>
      </c>
      <c r="I20" s="20">
        <f>SUMIF(Inventory!$D2:$D1136,"="&amp;I17, Inventory!$G2:$G1136)</f>
        <v>8.45</v>
      </c>
      <c r="J20" s="20">
        <f>SUMIF(Inventory!$D2:$D1136,"="&amp;J17, Inventory!$G2:$G1136)</f>
        <v>20.41</v>
      </c>
      <c r="K20" s="20">
        <f>SUMIF(Inventory!$D2:$D1136,"="&amp;K17, Inventory!$G2:$G1136)</f>
        <v>25.33</v>
      </c>
      <c r="L20" s="20">
        <f>SUMIF(Inventory!$D2:$D1136,"="&amp;L17, Inventory!$G2:$G1136)</f>
        <v>8.683</v>
      </c>
      <c r="M20" s="20">
        <f>SUMIF(Inventory!$D2:$D1136,"="&amp;M17, Inventory!$G2:$G1136)</f>
        <v>16.16</v>
      </c>
      <c r="N20" s="20">
        <f>SUMIF(Inventory!$D2:$D1136,"="&amp;N17, Inventory!$G2:$G1136)</f>
        <v>5.88</v>
      </c>
      <c r="O20" s="20">
        <f>SUMIF(Inventory!$D2:$D1136,"="&amp;O17, Inventory!$G2:$G1136)</f>
        <v>17.82</v>
      </c>
      <c r="P20" s="20">
        <f>SUMIF(Inventory!$D2:$D1136,"="&amp;P17, Inventory!$G2:$G1136)</f>
        <v>12.77</v>
      </c>
      <c r="Q20" s="20">
        <f>SUMIF(Inventory!$D2:$D1136,"="&amp;Q17, Inventory!$G2:$G1136)</f>
        <v>39.55</v>
      </c>
      <c r="R20" s="20">
        <f>SUMIF(Inventory!$D2:$D1136,"="&amp;R17, Inventory!$G2:$G1136)</f>
        <v>14.13</v>
      </c>
      <c r="S20" s="20">
        <f>SUMIF(Inventory!$D2:$D1136,"="&amp;S17, Inventory!$G2:$G1136)</f>
        <v>13.67</v>
      </c>
      <c r="T20" s="20">
        <f>SUMIF(Inventory!$D2:$D1136,"="&amp;T17, Inventory!$G2:$G1136)</f>
        <v>9.46</v>
      </c>
      <c r="U20" s="20">
        <f>SUMIF(Inventory!$D2:$D1136,"="&amp;U17, Inventory!$G2:$G1136)</f>
        <v>0.82</v>
      </c>
      <c r="V20" s="20">
        <f>SUMIF(Inventory!$D2:$D1136,"="&amp;V17, Inventory!$G2:$G1136)</f>
        <v>10.5</v>
      </c>
      <c r="W20" s="20">
        <f>SUMIF(Inventory!$D2:$D1136,"="&amp;W17, Inventory!$G2:$G1136)</f>
        <v>22.02</v>
      </c>
      <c r="X20" s="20">
        <f>SUMIF(Inventory!$D2:$D1136,"="&amp;X17, Inventory!$G2:$G1136)</f>
        <v>12.75</v>
      </c>
      <c r="Y20" s="20">
        <f>SUMIF(Inventory!$D2:$D1136,"="&amp;Y17, Inventory!$G2:$G1136)</f>
        <v>12.03</v>
      </c>
      <c r="Z20" s="20">
        <f>SUMIF(Inventory!$D2:$D1136,"="&amp;Z17, Inventory!$G2:$G1136)</f>
        <v>5.11</v>
      </c>
      <c r="AA20" s="20">
        <f>SUMIF(Inventory!$D2:$D1136,"="&amp;AA17, Inventory!$G2:$G1136)</f>
        <v>8.56</v>
      </c>
      <c r="AB20" s="20">
        <f>SUMIF(Inventory!$D2:$D1136,"="&amp;AB17, Inventory!$G2:$G1136)</f>
        <v>8.82</v>
      </c>
      <c r="AC20" s="20">
        <f>SUMIF(Inventory!$D2:$D1136,"="&amp;AC17, Inventory!$G2:$G1136)</f>
        <v>25.9</v>
      </c>
      <c r="AD20" s="20">
        <f>SUMIF(Inventory!$D2:$D1136,"="&amp;AD17, Inventory!$G2:$G1136)</f>
        <v>174.45</v>
      </c>
      <c r="AE20" s="20">
        <f>SUMIF(Inventory!$D2:$D1136,"="&amp;AE17, Inventory!$G2:$G1136)</f>
        <v>56.91</v>
      </c>
      <c r="AG20" s="20">
        <f t="shared" si="7"/>
        <v>591.843</v>
      </c>
      <c r="AH20" s="21">
        <f t="shared" si="8"/>
        <v>19.7281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</row>
    <row r="21" hidden="1" outlineLevel="2">
      <c r="A21" s="256" t="s">
        <v>10566</v>
      </c>
      <c r="B21" s="20">
        <f>COUNTIFS(Inventory!$D2:$D1136,"="&amp;B17, Inventory!$J2:$J1136,"Closed")</f>
        <v>0</v>
      </c>
      <c r="C21" s="20">
        <f>COUNTIFS(Inventory!$D2:$D1136,"="&amp;C17, Inventory!$J2:$J1136,"Closed")</f>
        <v>5</v>
      </c>
      <c r="D21" s="20">
        <f>COUNTIFS(Inventory!$D2:$D1136,"="&amp;D17, Inventory!$J2:$J1136,"Closed")</f>
        <v>2</v>
      </c>
      <c r="E21" s="20">
        <f>COUNTIFS(Inventory!$D2:$D1136,"="&amp;E17, Inventory!$J2:$J1136,"Closed")</f>
        <v>3</v>
      </c>
      <c r="F21" s="20">
        <f>COUNTIFS(Inventory!$D2:$D1136,"="&amp;F17, Inventory!$J2:$J1136,"Closed")</f>
        <v>8</v>
      </c>
      <c r="G21" s="20">
        <f>COUNTIFS(Inventory!$D2:$D1136,"="&amp;G17, Inventory!$J2:$J1136,"Closed")</f>
        <v>2</v>
      </c>
      <c r="H21" s="20">
        <f>COUNTIFS(Inventory!$D2:$D1136,"="&amp;H17, Inventory!$J2:$J1136,"Closed")</f>
        <v>9</v>
      </c>
      <c r="I21" s="20">
        <f>COUNTIFS(Inventory!$D2:$D1136,"="&amp;I17, Inventory!$J2:$J1136,"Closed")</f>
        <v>6</v>
      </c>
      <c r="J21" s="20">
        <f>COUNTIFS(Inventory!$D2:$D1136,"="&amp;J17, Inventory!$J2:$J1136,"Closed")</f>
        <v>3</v>
      </c>
      <c r="K21" s="20">
        <f>COUNTIFS(Inventory!$D2:$D1136,"="&amp;K17, Inventory!$J2:$J1136,"Closed")</f>
        <v>5</v>
      </c>
      <c r="L21" s="20">
        <f>COUNTIFS(Inventory!$D2:$D1136,"="&amp;L17, Inventory!$J2:$J1136,"Closed")</f>
        <v>5</v>
      </c>
      <c r="M21" s="20">
        <f>COUNTIFS(Inventory!$D2:$D1136,"="&amp;M17, Inventory!$J2:$J1136,"Closed")</f>
        <v>9</v>
      </c>
      <c r="N21" s="20">
        <f>COUNTIFS(Inventory!$D2:$D1136,"="&amp;N17, Inventory!$J2:$J1136,"Closed")</f>
        <v>2</v>
      </c>
      <c r="O21" s="20">
        <f>COUNTIFS(Inventory!$D2:$D1136,"="&amp;O17, Inventory!$J2:$J1136,"Closed")</f>
        <v>8</v>
      </c>
      <c r="P21" s="20">
        <f>COUNTIFS(Inventory!$D2:$D1136,"="&amp;P17, Inventory!$J2:$J1136,"Closed")</f>
        <v>9</v>
      </c>
      <c r="Q21" s="20">
        <f>COUNTIFS(Inventory!$D2:$D1136,"="&amp;Q17, Inventory!$J2:$J1136,"Closed")</f>
        <v>8</v>
      </c>
      <c r="R21" s="20">
        <f>COUNTIFS(Inventory!$D2:$D1136,"="&amp;R17, Inventory!$J2:$J1136,"Closed")</f>
        <v>6</v>
      </c>
      <c r="S21" s="20">
        <f>COUNTIFS(Inventory!$D2:$D1136,"="&amp;S17, Inventory!$J2:$J1136,"Closed")</f>
        <v>7</v>
      </c>
      <c r="T21" s="20">
        <f>COUNTIFS(Inventory!$D2:$D1136,"="&amp;T17, Inventory!$J2:$J1136,"Closed")</f>
        <v>5</v>
      </c>
      <c r="U21" s="20">
        <f>COUNTIFS(Inventory!$D2:$D1136,"="&amp;U17, Inventory!$J2:$J1136,"Closed")</f>
        <v>1</v>
      </c>
      <c r="V21" s="20">
        <f>COUNTIFS(Inventory!$D2:$D1136,"="&amp;V17, Inventory!$J2:$J1136,"Closed")</f>
        <v>7</v>
      </c>
      <c r="W21" s="20">
        <f>COUNTIFS(Inventory!$D2:$D1136,"="&amp;W17, Inventory!$J2:$J1136,"Closed")</f>
        <v>7</v>
      </c>
      <c r="X21" s="20">
        <f>COUNTIFS(Inventory!$D2:$D1136,"="&amp;X17, Inventory!$J2:$J1136,"Closed")</f>
        <v>5</v>
      </c>
      <c r="Y21" s="20">
        <f>COUNTIFS(Inventory!$D2:$D1136,"="&amp;Y17, Inventory!$J2:$J1136,"Closed")</f>
        <v>5</v>
      </c>
      <c r="Z21" s="20">
        <f>COUNTIFS(Inventory!$D2:$D1136,"="&amp;Z17, Inventory!$J2:$J1136,"Closed")</f>
        <v>3</v>
      </c>
      <c r="AA21" s="20">
        <f>COUNTIFS(Inventory!$D2:$D1136,"="&amp;AA17, Inventory!$J2:$J1136,"Closed")</f>
        <v>5</v>
      </c>
      <c r="AB21" s="20">
        <f>COUNTIFS(Inventory!$D2:$D1136,"="&amp;AB17, Inventory!$J2:$J1136,"Closed")</f>
        <v>5</v>
      </c>
      <c r="AC21" s="20">
        <f>COUNTIFS(Inventory!$D2:$D1136,"="&amp;AC17, Inventory!$J2:$J1136,"Closed")</f>
        <v>7</v>
      </c>
      <c r="AD21" s="20">
        <f>COUNTIFS(Inventory!$D2:$D1136,"="&amp;AD17, Inventory!$J2:$J1136,"Closed")</f>
        <v>24</v>
      </c>
      <c r="AE21" s="20">
        <f>COUNTIFS(Inventory!$D2:$D1136,"="&amp;AE17, Inventory!$J2:$J1136,"Closed")</f>
        <v>16</v>
      </c>
      <c r="AG21" s="20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</row>
    <row r="22" outlineLevel="1" collapsed="1">
      <c r="A22" s="253" t="s">
        <v>10203</v>
      </c>
      <c r="B22" s="255">
        <v>45047.0</v>
      </c>
      <c r="C22" s="255">
        <v>45048.0</v>
      </c>
      <c r="D22" s="255">
        <v>45049.0</v>
      </c>
      <c r="E22" s="255">
        <v>45050.0</v>
      </c>
      <c r="F22" s="255">
        <v>45051.0</v>
      </c>
      <c r="G22" s="255">
        <v>45052.0</v>
      </c>
      <c r="H22" s="255">
        <v>45053.0</v>
      </c>
      <c r="I22" s="255">
        <v>45054.0</v>
      </c>
      <c r="J22" s="255">
        <v>45055.0</v>
      </c>
      <c r="K22" s="255">
        <v>45056.0</v>
      </c>
      <c r="L22" s="255">
        <v>45057.0</v>
      </c>
      <c r="M22" s="255">
        <v>45058.0</v>
      </c>
      <c r="N22" s="255">
        <v>45059.0</v>
      </c>
      <c r="O22" s="255">
        <v>45060.0</v>
      </c>
      <c r="P22" s="255">
        <v>45061.0</v>
      </c>
      <c r="Q22" s="255">
        <v>45062.0</v>
      </c>
      <c r="R22" s="255">
        <v>45063.0</v>
      </c>
      <c r="S22" s="255">
        <v>45064.0</v>
      </c>
      <c r="T22" s="255">
        <v>45065.0</v>
      </c>
      <c r="U22" s="255">
        <v>45066.0</v>
      </c>
      <c r="V22" s="255">
        <v>45067.0</v>
      </c>
      <c r="W22" s="255">
        <v>45068.0</v>
      </c>
      <c r="X22" s="255">
        <v>45069.0</v>
      </c>
      <c r="Y22" s="255">
        <v>45070.0</v>
      </c>
      <c r="Z22" s="255">
        <v>45071.0</v>
      </c>
      <c r="AA22" s="255">
        <v>45072.0</v>
      </c>
      <c r="AB22" s="255">
        <v>45073.0</v>
      </c>
      <c r="AC22" s="255">
        <v>45074.0</v>
      </c>
      <c r="AD22" s="255">
        <v>45075.0</v>
      </c>
      <c r="AE22" s="255">
        <v>45076.0</v>
      </c>
      <c r="AF22" s="255">
        <v>45077.0</v>
      </c>
      <c r="AG22" s="20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1"/>
    </row>
    <row r="23" hidden="1" outlineLevel="2">
      <c r="A23" s="256" t="s">
        <v>9</v>
      </c>
      <c r="B23" s="20">
        <f>SUMIF(Inventory!$D2:$D1136,"="&amp;B22, Inventory!$F2:$F1136)</f>
        <v>265.05</v>
      </c>
      <c r="C23" s="20">
        <f>SUMIF(Inventory!$D2:$D1136,"="&amp;C22, Inventory!$F2:$F1136)</f>
        <v>46.4</v>
      </c>
      <c r="D23" s="20">
        <f>SUMIF(Inventory!$D2:$D1136,"="&amp;D22, Inventory!$F2:$F1136)</f>
        <v>146.6</v>
      </c>
      <c r="E23" s="20">
        <f>SUMIF(Inventory!$D2:$D1136,"="&amp;E22, Inventory!$F2:$F1136)</f>
        <v>46.12</v>
      </c>
      <c r="F23" s="20">
        <f>SUMIF(Inventory!$D2:$D1136,"="&amp;F22, Inventory!$F2:$F1136)</f>
        <v>92.48</v>
      </c>
      <c r="G23" s="20">
        <f>SUMIF(Inventory!$D2:$D1136,"="&amp;G22, Inventory!$F2:$F1136)</f>
        <v>24.51</v>
      </c>
      <c r="H23" s="20">
        <f>SUMIF(Inventory!$D2:$D1136,"="&amp;H22, Inventory!$F2:$F1136)</f>
        <v>28.04</v>
      </c>
      <c r="I23" s="20">
        <f>SUMIF(Inventory!$D2:$D1136,"="&amp;I22, Inventory!$F2:$F1136)</f>
        <v>22</v>
      </c>
      <c r="J23" s="20">
        <f>SUMIF(Inventory!$D2:$D1136,"="&amp;J22, Inventory!$F2:$F1136)</f>
        <v>34.54</v>
      </c>
      <c r="K23" s="20">
        <f>SUMIF(Inventory!$D2:$D1136,"="&amp;K22, Inventory!$F2:$F1136)</f>
        <v>38.32</v>
      </c>
      <c r="L23" s="20">
        <f>SUMIF(Inventory!$D2:$D1136,"="&amp;L22, Inventory!$F2:$F1136)</f>
        <v>5.9</v>
      </c>
      <c r="M23" s="20">
        <f>SUMIF(Inventory!$D2:$D1136,"="&amp;M22, Inventory!$F2:$F1136)</f>
        <v>40.58</v>
      </c>
      <c r="N23" s="20">
        <f>SUMIF(Inventory!$D2:$D1136,"="&amp;N22, Inventory!$F2:$F1136)</f>
        <v>97.59</v>
      </c>
      <c r="O23" s="20">
        <f>SUMIF(Inventory!$D2:$D1136,"="&amp;O22, Inventory!$F2:$F1136)</f>
        <v>39.54</v>
      </c>
      <c r="P23" s="20">
        <f>SUMIF(Inventory!$D2:$D1136,"="&amp;P22, Inventory!$F2:$F1136)</f>
        <v>34.47</v>
      </c>
      <c r="Q23" s="20">
        <f>SUMIF(Inventory!$D2:$D1136,"="&amp;Q22, Inventory!$F2:$F1136)</f>
        <v>15.16</v>
      </c>
      <c r="R23" s="20">
        <f>SUMIF(Inventory!$D2:$D1136,"="&amp;R22, Inventory!$F2:$F1136)</f>
        <v>0</v>
      </c>
      <c r="S23" s="20">
        <f>SUMIF(Inventory!$D2:$D1136,"="&amp;S22, Inventory!$F2:$F1136)</f>
        <v>25.86</v>
      </c>
      <c r="T23" s="20">
        <f>SUMIF(Inventory!$D2:$D1136,"="&amp;T22, Inventory!$F2:$F1136)</f>
        <v>0</v>
      </c>
      <c r="U23" s="20">
        <f>SUMIF(Inventory!$D2:$D1136,"="&amp;U22, Inventory!$F2:$F1136)</f>
        <v>40.72</v>
      </c>
      <c r="V23" s="20">
        <f>SUMIF(Inventory!$D2:$D1136,"="&amp;V22, Inventory!$F2:$F1136)</f>
        <v>17.56</v>
      </c>
      <c r="W23" s="20">
        <f>SUMIF(Inventory!$D2:$D1136,"="&amp;W22, Inventory!$F2:$F1136)</f>
        <v>28.59</v>
      </c>
      <c r="X23" s="20">
        <f>SUMIF(Inventory!$D2:$D1136,"="&amp;X22, Inventory!$F2:$F1136)</f>
        <v>15.16</v>
      </c>
      <c r="Y23" s="20">
        <f>SUMIF(Inventory!$D2:$D1136,"="&amp;Y22, Inventory!$F2:$F1136)</f>
        <v>136.51</v>
      </c>
      <c r="Z23" s="20">
        <f>SUMIF(Inventory!$D2:$D1136,"="&amp;Z22, Inventory!$F2:$F1136)</f>
        <v>49.3</v>
      </c>
      <c r="AA23" s="20">
        <f>SUMIF(Inventory!$D2:$D1136,"="&amp;AA22, Inventory!$F2:$F1136)</f>
        <v>63.22</v>
      </c>
      <c r="AB23" s="20">
        <f>SUMIF(Inventory!$D2:$D1136,"="&amp;AB22, Inventory!$F2:$F1136)</f>
        <v>147.91</v>
      </c>
      <c r="AC23" s="20">
        <f>SUMIF(Inventory!$D2:$D1136,"="&amp;AC22, Inventory!$F2:$F1136)</f>
        <v>119.84</v>
      </c>
      <c r="AD23" s="20">
        <f>SUMIF(Inventory!$D2:$D1136,"="&amp;AD22, Inventory!$F2:$F1136)</f>
        <v>5.43</v>
      </c>
      <c r="AE23" s="20">
        <f>SUMIF(Inventory!$D2:$D1136,"="&amp;AE22, Inventory!$F2:$F1136)</f>
        <v>134.3</v>
      </c>
      <c r="AF23" s="20">
        <f>SUMIF(Inventory!$D2:$D1136,"="&amp;AF22, Inventory!$F2:$F1136)</f>
        <v>81.94</v>
      </c>
      <c r="AG23" s="20">
        <f t="shared" ref="AG23:AG25" si="9">SUM(B23:AF23)</f>
        <v>1843.64</v>
      </c>
      <c r="AH23" s="21">
        <f t="shared" ref="AH23:AH25" si="10">AVERAGE(B23:AF23)</f>
        <v>59.47225806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</row>
    <row r="24" hidden="1" outlineLevel="2">
      <c r="A24" s="256" t="s">
        <v>10</v>
      </c>
      <c r="B24" s="20">
        <f>SUMIF(Inventory!$D2:$D1136,"="&amp;B22, Inventory!$E2:$E1136)</f>
        <v>218.58</v>
      </c>
      <c r="C24" s="20">
        <f>SUMIF(Inventory!$D2:$D1136,"="&amp;C22, Inventory!$E2:$E1136)</f>
        <v>36.98</v>
      </c>
      <c r="D24" s="20">
        <f>SUMIF(Inventory!$D2:$D1136,"="&amp;D22, Inventory!$E2:$E1136)</f>
        <v>104.11</v>
      </c>
      <c r="E24" s="20">
        <f>SUMIF(Inventory!$D2:$D1136,"="&amp;E22, Inventory!$E2:$E1136)</f>
        <v>36.2</v>
      </c>
      <c r="F24" s="20">
        <f>SUMIF(Inventory!$D2:$D1136,"="&amp;F22, Inventory!$E2:$E1136)</f>
        <v>58.61</v>
      </c>
      <c r="G24" s="20">
        <f>SUMIF(Inventory!$D2:$D1136,"="&amp;G22, Inventory!$E2:$E1136)</f>
        <v>19.58</v>
      </c>
      <c r="H24" s="20">
        <f>SUMIF(Inventory!$D2:$D1136,"="&amp;H22, Inventory!$E2:$E1136)</f>
        <v>18.93</v>
      </c>
      <c r="I24" s="20">
        <f>SUMIF(Inventory!$D2:$D1136,"="&amp;I22, Inventory!$E2:$E1136)</f>
        <v>13.84</v>
      </c>
      <c r="J24" s="20">
        <f>SUMIF(Inventory!$D2:$D1136,"="&amp;J22, Inventory!$E2:$E1136)</f>
        <v>27.54</v>
      </c>
      <c r="K24" s="20">
        <f>SUMIF(Inventory!$D2:$D1136,"="&amp;K22, Inventory!$E2:$E1136)</f>
        <v>24.71</v>
      </c>
      <c r="L24" s="20">
        <f>SUMIF(Inventory!$D2:$D1136,"="&amp;L22, Inventory!$E2:$E1136)</f>
        <v>3.78</v>
      </c>
      <c r="M24" s="20">
        <f>SUMIF(Inventory!$D2:$D1136,"="&amp;M22, Inventory!$E2:$E1136)</f>
        <v>32.55</v>
      </c>
      <c r="N24" s="20">
        <f>SUMIF(Inventory!$D2:$D1136,"="&amp;N22, Inventory!$E2:$E1136)</f>
        <v>74.93</v>
      </c>
      <c r="O24" s="20">
        <f>SUMIF(Inventory!$D2:$D1136,"="&amp;O22, Inventory!$E2:$E1136)</f>
        <v>27.02</v>
      </c>
      <c r="P24" s="20">
        <f>SUMIF(Inventory!$D2:$D1136,"="&amp;P22, Inventory!$E2:$E1136)</f>
        <v>24.09</v>
      </c>
      <c r="Q24" s="20">
        <f>SUMIF(Inventory!$D2:$D1136,"="&amp;Q22, Inventory!$E2:$E1136)</f>
        <v>9.19</v>
      </c>
      <c r="R24" s="20">
        <f>SUMIF(Inventory!$D2:$D1136,"="&amp;R22, Inventory!$E2:$E1136)</f>
        <v>0</v>
      </c>
      <c r="S24" s="20">
        <f>SUMIF(Inventory!$D2:$D1136,"="&amp;S22, Inventory!$E2:$E1136)</f>
        <v>22.78</v>
      </c>
      <c r="T24" s="20">
        <f>SUMIF(Inventory!$D2:$D1136,"="&amp;T22, Inventory!$E2:$E1136)</f>
        <v>0</v>
      </c>
      <c r="U24" s="20">
        <f>SUMIF(Inventory!$D2:$D1136,"="&amp;U22, Inventory!$E2:$E1136)</f>
        <v>35.59</v>
      </c>
      <c r="V24" s="20">
        <f>SUMIF(Inventory!$D2:$D1136,"="&amp;V22, Inventory!$E2:$E1136)</f>
        <v>14.65</v>
      </c>
      <c r="W24" s="20">
        <f>SUMIF(Inventory!$D2:$D1136,"="&amp;W22, Inventory!$E2:$E1136)</f>
        <v>23.04</v>
      </c>
      <c r="X24" s="20">
        <f>SUMIF(Inventory!$D2:$D1136,"="&amp;X22, Inventory!$E2:$E1136)</f>
        <v>9.19</v>
      </c>
      <c r="Y24" s="20">
        <f>SUMIF(Inventory!$D2:$D1136,"="&amp;Y22, Inventory!$E2:$E1136)</f>
        <v>91.98</v>
      </c>
      <c r="Z24" s="20">
        <f>SUMIF(Inventory!$D2:$D1136,"="&amp;Z22, Inventory!$E2:$E1136)</f>
        <v>33.67</v>
      </c>
      <c r="AA24" s="20">
        <f>SUMIF(Inventory!$D2:$D1136,"="&amp;AA22, Inventory!$E2:$E1136)</f>
        <v>44.14</v>
      </c>
      <c r="AB24" s="20">
        <f>SUMIF(Inventory!$D2:$D1136,"="&amp;AB22, Inventory!$E2:$E1136)</f>
        <v>104.22</v>
      </c>
      <c r="AC24" s="20">
        <f>SUMIF(Inventory!$D2:$D1136,"="&amp;AC22, Inventory!$E2:$E1136)</f>
        <v>85.06</v>
      </c>
      <c r="AD24" s="20">
        <f>SUMIF(Inventory!$D2:$D1136,"="&amp;AD22, Inventory!$E2:$E1136)</f>
        <v>3.33</v>
      </c>
      <c r="AE24" s="20">
        <f>SUMIF(Inventory!$D2:$D1136,"="&amp;AE22, Inventory!$E2:$E1136)</f>
        <v>110.98</v>
      </c>
      <c r="AF24" s="20">
        <f>SUMIF(Inventory!$D2:$D1136,"="&amp;AF22, Inventory!$E2:$E1136)</f>
        <v>61.53</v>
      </c>
      <c r="AG24" s="20">
        <f t="shared" si="9"/>
        <v>1370.8</v>
      </c>
      <c r="AH24" s="21">
        <f t="shared" si="10"/>
        <v>44.21935484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</row>
    <row r="25" hidden="1" outlineLevel="2">
      <c r="A25" s="256" t="s">
        <v>11</v>
      </c>
      <c r="B25" s="20">
        <f>SUMIF(Inventory!$D2:$D1136,"="&amp;B22, Inventory!$G2:$G1136)</f>
        <v>46.47</v>
      </c>
      <c r="C25" s="20">
        <f>SUMIF(Inventory!$D2:$D1136,"="&amp;C22, Inventory!$G2:$G1136)</f>
        <v>9.42</v>
      </c>
      <c r="D25" s="20">
        <f>SUMIF(Inventory!$D2:$D1136,"="&amp;D22, Inventory!$G2:$G1136)</f>
        <v>42.49</v>
      </c>
      <c r="E25" s="20">
        <f>SUMIF(Inventory!$D2:$D1136,"="&amp;E22, Inventory!$G2:$G1136)</f>
        <v>9.92</v>
      </c>
      <c r="F25" s="20">
        <f>SUMIF(Inventory!$D2:$D1136,"="&amp;F22, Inventory!$G2:$G1136)</f>
        <v>33.87</v>
      </c>
      <c r="G25" s="20">
        <f>SUMIF(Inventory!$D2:$D1136,"="&amp;G22, Inventory!$G2:$G1136)</f>
        <v>4.93</v>
      </c>
      <c r="H25" s="20">
        <f>SUMIF(Inventory!$D2:$D1136,"="&amp;H22, Inventory!$G2:$G1136)</f>
        <v>9.11</v>
      </c>
      <c r="I25" s="20">
        <f>SUMIF(Inventory!$D2:$D1136,"="&amp;I22, Inventory!$G2:$G1136)</f>
        <v>8.16</v>
      </c>
      <c r="J25" s="20">
        <f>SUMIF(Inventory!$D2:$D1136,"="&amp;J22, Inventory!$G2:$G1136)</f>
        <v>7</v>
      </c>
      <c r="K25" s="20">
        <f>SUMIF(Inventory!$D2:$D1136,"="&amp;K22, Inventory!$G2:$G1136)</f>
        <v>13.61</v>
      </c>
      <c r="L25" s="20">
        <f>SUMIF(Inventory!$D2:$D1136,"="&amp;L22, Inventory!$G2:$G1136)</f>
        <v>2.12</v>
      </c>
      <c r="M25" s="20">
        <f>SUMIF(Inventory!$D2:$D1136,"="&amp;M22, Inventory!$G2:$G1136)</f>
        <v>8.03</v>
      </c>
      <c r="N25" s="20">
        <f>SUMIF(Inventory!$D2:$D1136,"="&amp;N22, Inventory!$G2:$G1136)</f>
        <v>22.66</v>
      </c>
      <c r="O25" s="20">
        <f>SUMIF(Inventory!$D2:$D1136,"="&amp;O22, Inventory!$G2:$G1136)</f>
        <v>12.52</v>
      </c>
      <c r="P25" s="20">
        <f>SUMIF(Inventory!$D2:$D1136,"="&amp;P22, Inventory!$G2:$G1136)</f>
        <v>10.38</v>
      </c>
      <c r="Q25" s="20">
        <f>SUMIF(Inventory!$D2:$D1136,"="&amp;Q22, Inventory!$G2:$G1136)</f>
        <v>5.97</v>
      </c>
      <c r="R25" s="20">
        <f>SUMIF(Inventory!$D2:$D1136,"="&amp;R22, Inventory!$G2:$G1136)</f>
        <v>0</v>
      </c>
      <c r="S25" s="20">
        <f>SUMIF(Inventory!$D2:$D1136,"="&amp;S22, Inventory!$G2:$G1136)</f>
        <v>3.08</v>
      </c>
      <c r="T25" s="20">
        <f>SUMIF(Inventory!$D2:$D1136,"="&amp;T22, Inventory!$G2:$G1136)</f>
        <v>0</v>
      </c>
      <c r="U25" s="20">
        <f>SUMIF(Inventory!$D2:$D1136,"="&amp;U22, Inventory!$G2:$G1136)</f>
        <v>5.13</v>
      </c>
      <c r="V25" s="20">
        <f>SUMIF(Inventory!$D2:$D1136,"="&amp;V22, Inventory!$G2:$G1136)</f>
        <v>2.91</v>
      </c>
      <c r="W25" s="20">
        <f>SUMIF(Inventory!$D2:$D1136,"="&amp;W22, Inventory!$G2:$G1136)</f>
        <v>5.55</v>
      </c>
      <c r="X25" s="20">
        <f>SUMIF(Inventory!$D2:$D1136,"="&amp;X22, Inventory!$G2:$G1136)</f>
        <v>5.97</v>
      </c>
      <c r="Y25" s="20">
        <f>SUMIF(Inventory!$D2:$D1136,"="&amp;Y22, Inventory!$G2:$G1136)</f>
        <v>44.53</v>
      </c>
      <c r="Z25" s="20">
        <f>SUMIF(Inventory!$D2:$D1136,"="&amp;Z22, Inventory!$G2:$G1136)</f>
        <v>15.63</v>
      </c>
      <c r="AA25" s="20">
        <f>SUMIF(Inventory!$D2:$D1136,"="&amp;AA22, Inventory!$G2:$G1136)</f>
        <v>19.08</v>
      </c>
      <c r="AB25" s="20">
        <f>SUMIF(Inventory!$D2:$D1136,"="&amp;AB22, Inventory!$G2:$G1136)</f>
        <v>43.69</v>
      </c>
      <c r="AC25" s="20">
        <f>SUMIF(Inventory!$D2:$D1136,"="&amp;AC22, Inventory!$G2:$G1136)</f>
        <v>34.78</v>
      </c>
      <c r="AD25" s="20">
        <f>SUMIF(Inventory!$D2:$D1136,"="&amp;AD22, Inventory!$G2:$G1136)</f>
        <v>2.1</v>
      </c>
      <c r="AE25" s="20">
        <f>SUMIF(Inventory!$D2:$D1136,"="&amp;AE22, Inventory!$G2:$G1136)</f>
        <v>23.32</v>
      </c>
      <c r="AF25" s="20">
        <f>SUMIF(Inventory!$D2:$D1136,"="&amp;AF22, Inventory!$G2:$G1136)</f>
        <v>20.41</v>
      </c>
      <c r="AG25" s="20">
        <f t="shared" si="9"/>
        <v>472.84</v>
      </c>
      <c r="AH25" s="21">
        <f t="shared" si="10"/>
        <v>15.25290323</v>
      </c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</row>
    <row r="26" hidden="1" outlineLevel="2">
      <c r="A26" s="256" t="s">
        <v>10566</v>
      </c>
      <c r="B26" s="20">
        <f>COUNTIFS(Inventory!$D2:$D1136,"="&amp;B22, Inventory!$J2:$J1136,"Closed")</f>
        <v>15</v>
      </c>
      <c r="C26" s="20">
        <f>COUNTIFS(Inventory!$D2:$D1136,"="&amp;C22, Inventory!$J2:$J1136,"Closed")</f>
        <v>3</v>
      </c>
      <c r="D26" s="20">
        <f>COUNTIFS(Inventory!$D2:$D1136,"="&amp;D22, Inventory!$J2:$J1136,"Closed")</f>
        <v>9</v>
      </c>
      <c r="E26" s="20">
        <f>COUNTIFS(Inventory!$D2:$D1136,"="&amp;E22, Inventory!$J2:$J1136,"Closed")</f>
        <v>3</v>
      </c>
      <c r="F26" s="20">
        <f>COUNTIFS(Inventory!$D2:$D1136,"="&amp;F22, Inventory!$J2:$J1136,"Closed")</f>
        <v>7</v>
      </c>
      <c r="G26" s="20">
        <f>COUNTIFS(Inventory!$D2:$D1136,"="&amp;G22, Inventory!$J2:$J1136,"Closed")</f>
        <v>2</v>
      </c>
      <c r="H26" s="20">
        <f>COUNTIFS(Inventory!$D2:$D1136,"="&amp;H22, Inventory!$J2:$J1136,"Closed")</f>
        <v>4</v>
      </c>
      <c r="I26" s="20">
        <f>COUNTIFS(Inventory!$D2:$D1136,"="&amp;I22, Inventory!$J2:$J1136,"Closed")</f>
        <v>3</v>
      </c>
      <c r="J26" s="20">
        <f>COUNTIFS(Inventory!$D2:$D1136,"="&amp;J22, Inventory!$J2:$J1136,"Closed")</f>
        <v>5</v>
      </c>
      <c r="K26" s="20">
        <f>COUNTIFS(Inventory!$D2:$D1136,"="&amp;K22, Inventory!$J2:$J1136,"Closed")</f>
        <v>2</v>
      </c>
      <c r="L26" s="20">
        <f>COUNTIFS(Inventory!$D2:$D1136,"="&amp;L22, Inventory!$J2:$J1136,"Closed")</f>
        <v>1</v>
      </c>
      <c r="M26" s="20">
        <f>COUNTIFS(Inventory!$D2:$D1136,"="&amp;M22, Inventory!$J2:$J1136,"Closed")</f>
        <v>3</v>
      </c>
      <c r="N26" s="20">
        <f>COUNTIFS(Inventory!$D2:$D1136,"="&amp;N22, Inventory!$J2:$J1136,"Closed")</f>
        <v>5</v>
      </c>
      <c r="O26" s="20">
        <f>COUNTIFS(Inventory!$D2:$D1136,"="&amp;O22, Inventory!$J2:$J1136,"Closed")</f>
        <v>6</v>
      </c>
      <c r="P26" s="20">
        <f>COUNTIFS(Inventory!$D2:$D1136,"="&amp;P22, Inventory!$J2:$J1136,"Closed")</f>
        <v>1</v>
      </c>
      <c r="Q26" s="20">
        <f>COUNTIFS(Inventory!$D2:$D1136,"="&amp;Q22, Inventory!$J2:$J1136,"Closed")</f>
        <v>1</v>
      </c>
      <c r="R26" s="20">
        <f>COUNTIFS(Inventory!$D2:$D1136,"="&amp;R22, Inventory!$J2:$J1136,"Closed")</f>
        <v>0</v>
      </c>
      <c r="S26" s="20">
        <f>COUNTIFS(Inventory!$D2:$D1136,"="&amp;S22, Inventory!$J2:$J1136,"Closed")</f>
        <v>2</v>
      </c>
      <c r="T26" s="20">
        <f>COUNTIFS(Inventory!$D2:$D1136,"="&amp;T22, Inventory!$J2:$J1136,"Closed")</f>
        <v>0</v>
      </c>
      <c r="U26" s="20">
        <f>COUNTIFS(Inventory!$D2:$D1136,"="&amp;U22, Inventory!$J2:$J1136,"Closed")</f>
        <v>1</v>
      </c>
      <c r="V26" s="20">
        <f>COUNTIFS(Inventory!$D2:$D1136,"="&amp;V22, Inventory!$J2:$J1136,"Closed")</f>
        <v>2</v>
      </c>
      <c r="W26" s="20">
        <f>COUNTIFS(Inventory!$D2:$D1136,"="&amp;W22, Inventory!$J2:$J1136,"Closed")</f>
        <v>3</v>
      </c>
      <c r="X26" s="20">
        <f>COUNTIFS(Inventory!$D2:$D1136,"="&amp;X22, Inventory!$J2:$J1136,"Closed")</f>
        <v>1</v>
      </c>
      <c r="Y26" s="20">
        <f>COUNTIFS(Inventory!$D2:$D1136,"="&amp;Y22, Inventory!$J2:$J1136,"Closed")</f>
        <v>8</v>
      </c>
      <c r="Z26" s="20">
        <f>COUNTIFS(Inventory!$D2:$D1136,"="&amp;Z22, Inventory!$J2:$J1136,"Closed")</f>
        <v>4</v>
      </c>
      <c r="AA26" s="20">
        <f>COUNTIFS(Inventory!$D2:$D1136,"="&amp;AA22, Inventory!$J2:$J1136,"Closed")</f>
        <v>6</v>
      </c>
      <c r="AB26" s="20">
        <f>COUNTIFS(Inventory!$D2:$D1136,"="&amp;AB22, Inventory!$J2:$J1136,"Closed")</f>
        <v>10</v>
      </c>
      <c r="AC26" s="20">
        <f>COUNTIFS(Inventory!$D2:$D1136,"="&amp;AC22, Inventory!$J2:$J1136,"Closed")</f>
        <v>10</v>
      </c>
      <c r="AD26" s="20">
        <f>COUNTIFS(Inventory!$D2:$D1136,"="&amp;AD22, Inventory!$J2:$J1136,"Closed")</f>
        <v>1</v>
      </c>
      <c r="AE26" s="20">
        <f>COUNTIFS(Inventory!$D2:$D1136,"="&amp;AE22, Inventory!$J2:$J1136,"Closed")</f>
        <v>8</v>
      </c>
      <c r="AF26" s="20">
        <f>COUNTIFS(Inventory!$D2:$D1136,"="&amp;AF22, Inventory!$J2:$J1136,"Closed")</f>
        <v>10</v>
      </c>
      <c r="AG26" s="20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</row>
    <row r="27" outlineLevel="1" collapsed="1">
      <c r="A27" s="253" t="s">
        <v>10204</v>
      </c>
      <c r="B27" s="255">
        <v>45078.0</v>
      </c>
      <c r="C27" s="255">
        <v>45079.0</v>
      </c>
      <c r="D27" s="255">
        <v>45080.0</v>
      </c>
      <c r="E27" s="255">
        <v>45081.0</v>
      </c>
      <c r="F27" s="255">
        <v>45082.0</v>
      </c>
      <c r="G27" s="255">
        <v>45083.0</v>
      </c>
      <c r="H27" s="255">
        <v>45084.0</v>
      </c>
      <c r="I27" s="255">
        <v>45085.0</v>
      </c>
      <c r="J27" s="255">
        <v>45086.0</v>
      </c>
      <c r="K27" s="255">
        <v>45087.0</v>
      </c>
      <c r="L27" s="255">
        <v>45088.0</v>
      </c>
      <c r="M27" s="255">
        <v>45089.0</v>
      </c>
      <c r="N27" s="255">
        <v>45090.0</v>
      </c>
      <c r="O27" s="255">
        <v>45091.0</v>
      </c>
      <c r="P27" s="255">
        <v>45092.0</v>
      </c>
      <c r="Q27" s="255">
        <v>45093.0</v>
      </c>
      <c r="R27" s="255">
        <v>45094.0</v>
      </c>
      <c r="S27" s="255">
        <v>45095.0</v>
      </c>
      <c r="T27" s="255">
        <v>45096.0</v>
      </c>
      <c r="U27" s="255">
        <v>45097.0</v>
      </c>
      <c r="V27" s="255">
        <v>45098.0</v>
      </c>
      <c r="W27" s="255">
        <v>45099.0</v>
      </c>
      <c r="X27" s="255">
        <v>45100.0</v>
      </c>
      <c r="Y27" s="255">
        <v>45101.0</v>
      </c>
      <c r="Z27" s="255">
        <v>45102.0</v>
      </c>
      <c r="AA27" s="255">
        <v>45103.0</v>
      </c>
      <c r="AB27" s="255">
        <v>45104.0</v>
      </c>
      <c r="AC27" s="255">
        <v>45105.0</v>
      </c>
      <c r="AD27" s="255">
        <v>45106.0</v>
      </c>
      <c r="AE27" s="255">
        <v>45107.0</v>
      </c>
      <c r="AF27" s="255"/>
      <c r="AG27" s="20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  <c r="KJ27" s="21"/>
      <c r="KK27" s="21"/>
      <c r="KL27" s="21"/>
      <c r="KM27" s="21"/>
      <c r="KN27" s="21"/>
    </row>
    <row r="28" hidden="1" outlineLevel="2">
      <c r="A28" s="256" t="s">
        <v>9</v>
      </c>
      <c r="B28" s="20">
        <f>SUMIF(Inventory!$D2:$D1136,"="&amp;B27, Inventory!$F2:$F1136)</f>
        <v>73.99</v>
      </c>
      <c r="C28" s="20">
        <f>SUMIF(Inventory!$D2:$D1136,"="&amp;C27, Inventory!$F2:$F1136)</f>
        <v>23.12</v>
      </c>
      <c r="D28" s="20">
        <f>SUMIF(Inventory!$D2:$D1136,"="&amp;D27, Inventory!$F2:$F1136)</f>
        <v>31.24</v>
      </c>
      <c r="E28" s="20">
        <f>SUMIF(Inventory!$D2:$D1136,"="&amp;E27, Inventory!$F2:$F1136)</f>
        <v>460.63</v>
      </c>
      <c r="F28" s="20">
        <f>SUMIF(Inventory!$D2:$D1136,"="&amp;F27, Inventory!$F2:$F1136)</f>
        <v>176.28</v>
      </c>
      <c r="G28" s="20">
        <f>SUMIF(Inventory!$D2:$D1136,"="&amp;G27, Inventory!$F2:$F1136)</f>
        <v>51.45</v>
      </c>
      <c r="H28" s="20">
        <f>SUMIF(Inventory!$D2:$D1136,"="&amp;H27, Inventory!$F2:$F1136)</f>
        <v>8.85</v>
      </c>
      <c r="I28" s="20">
        <f>SUMIF(Inventory!$D2:$D1136,"="&amp;I27, Inventory!$F2:$F1136)</f>
        <v>79.41</v>
      </c>
      <c r="J28" s="20">
        <f>SUMIF(Inventory!$D2:$D1136,"="&amp;J27, Inventory!$F2:$F1136)</f>
        <v>19.13</v>
      </c>
      <c r="K28" s="20">
        <f>SUMIF(Inventory!$D2:$D1136,"="&amp;K27, Inventory!$F2:$F1136)</f>
        <v>110.63</v>
      </c>
      <c r="L28" s="20">
        <f>SUMIF(Inventory!$D2:$D1136,"="&amp;L27, Inventory!$F2:$F1136)</f>
        <v>87.1</v>
      </c>
      <c r="M28" s="20">
        <f>SUMIF(Inventory!$D2:$D1136,"="&amp;M27, Inventory!$F2:$F1136)</f>
        <v>95.36</v>
      </c>
      <c r="N28" s="20">
        <f>SUMIF(Inventory!$D2:$D1136,"="&amp;N27, Inventory!$F2:$F1136)</f>
        <v>99.54</v>
      </c>
      <c r="O28" s="20">
        <f>SUMIF(Inventory!$D2:$D1136,"="&amp;O27, Inventory!$F2:$F1136)</f>
        <v>76.08</v>
      </c>
      <c r="P28" s="20">
        <f>SUMIF(Inventory!$D2:$D1136,"="&amp;P27, Inventory!$F2:$F1136)</f>
        <v>22.91</v>
      </c>
      <c r="Q28" s="20">
        <f>SUMIF(Inventory!$D2:$D1136,"="&amp;Q27, Inventory!$F2:$F1136)</f>
        <v>102.47</v>
      </c>
      <c r="R28" s="20">
        <f>SUMIF(Inventory!$D2:$D1136,"="&amp;R27, Inventory!$F2:$F1136)</f>
        <v>586.98</v>
      </c>
      <c r="S28" s="20">
        <f>SUMIF(Inventory!$D2:$D1136,"="&amp;S27, Inventory!$F2:$F1136)</f>
        <v>404.77</v>
      </c>
      <c r="T28" s="20">
        <f>SUMIF(Inventory!$D2:$D1136,"="&amp;T27, Inventory!$F2:$F1136)</f>
        <v>140.59</v>
      </c>
      <c r="U28" s="20">
        <f>SUMIF(Inventory!$D2:$D1136,"="&amp;U27, Inventory!$F2:$F1136)</f>
        <v>13.03</v>
      </c>
      <c r="V28" s="20">
        <f>SUMIF(Inventory!$D2:$D1136,"="&amp;V27, Inventory!$F2:$F1136)</f>
        <v>21.45</v>
      </c>
      <c r="W28" s="20">
        <f>SUMIF(Inventory!$D2:$D1136,"="&amp;W27, Inventory!$F2:$F1136)</f>
        <v>0</v>
      </c>
      <c r="X28" s="20">
        <f>SUMIF(Inventory!$D2:$D1136,"="&amp;X27, Inventory!$F2:$F1136)</f>
        <v>0</v>
      </c>
      <c r="Y28" s="20">
        <f>SUMIF(Inventory!$D2:$D1136,"="&amp;Y27, Inventory!$F2:$F1136)</f>
        <v>112.7</v>
      </c>
      <c r="Z28" s="20">
        <f>SUMIF(Inventory!$D2:$D1136,"="&amp;Z27, Inventory!$F2:$F1136)</f>
        <v>68.51</v>
      </c>
      <c r="AA28" s="20">
        <f>SUMIF(Inventory!$D2:$D1136,"="&amp;AA27, Inventory!$F2:$F1136)</f>
        <v>140.05</v>
      </c>
      <c r="AB28" s="20">
        <f>SUMIF(Inventory!$D2:$D1136,"="&amp;AB27, Inventory!$F2:$F1136)</f>
        <v>24.7</v>
      </c>
      <c r="AC28" s="20">
        <f>SUMIF(Inventory!$D2:$D1136,"="&amp;AC27, Inventory!$F2:$F1136)</f>
        <v>24.68</v>
      </c>
      <c r="AD28" s="20">
        <f>SUMIF(Inventory!$D2:$D1136,"="&amp;AD27, Inventory!$F2:$F1136)</f>
        <v>0</v>
      </c>
      <c r="AE28" s="20">
        <f>SUMIF(Inventory!$D2:$D1136,"="&amp;AE27, Inventory!$F2:$F1136)</f>
        <v>8.56</v>
      </c>
      <c r="AG28" s="20">
        <f t="shared" ref="AG28:AG30" si="11">SUM(B28:AF28)</f>
        <v>3064.21</v>
      </c>
      <c r="AH28" s="21">
        <f t="shared" ref="AH28:AH30" si="12">AVERAGE(B28:AF28)</f>
        <v>102.1403333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  <c r="KJ28" s="21"/>
      <c r="KK28" s="21"/>
      <c r="KL28" s="21"/>
      <c r="KM28" s="21"/>
      <c r="KN28" s="21"/>
    </row>
    <row r="29" hidden="1" outlineLevel="2">
      <c r="A29" s="256" t="s">
        <v>10</v>
      </c>
      <c r="B29" s="20">
        <f>SUMIF(Inventory!$D2:$D1136,"="&amp;B27, Inventory!$E2:$E1136)</f>
        <v>49.93</v>
      </c>
      <c r="C29" s="20">
        <f>SUMIF(Inventory!$D2:$D1136,"="&amp;C27, Inventory!$E2:$E1136)</f>
        <v>17.19</v>
      </c>
      <c r="D29" s="20">
        <f>SUMIF(Inventory!$D2:$D1136,"="&amp;D27, Inventory!$E2:$E1136)</f>
        <v>25.23</v>
      </c>
      <c r="E29" s="20">
        <f>SUMIF(Inventory!$D2:$D1136,"="&amp;E27, Inventory!$E2:$E1136)</f>
        <v>383.08</v>
      </c>
      <c r="F29" s="20">
        <f>SUMIF(Inventory!$D2:$D1136,"="&amp;F27, Inventory!$E2:$E1136)</f>
        <v>139.98</v>
      </c>
      <c r="G29" s="20">
        <f>SUMIF(Inventory!$D2:$D1136,"="&amp;G27, Inventory!$E2:$E1136)</f>
        <v>44.3</v>
      </c>
      <c r="H29" s="20">
        <f>SUMIF(Inventory!$D2:$D1136,"="&amp;H27, Inventory!$E2:$E1136)</f>
        <v>6.79</v>
      </c>
      <c r="I29" s="20">
        <f>SUMIF(Inventory!$D2:$D1136,"="&amp;I27, Inventory!$E2:$E1136)</f>
        <v>59.21</v>
      </c>
      <c r="J29" s="20">
        <f>SUMIF(Inventory!$D2:$D1136,"="&amp;J27, Inventory!$E2:$E1136)</f>
        <v>13.65</v>
      </c>
      <c r="K29" s="20">
        <f>SUMIF(Inventory!$D2:$D1136,"="&amp;K27, Inventory!$E2:$E1136)</f>
        <v>84.97</v>
      </c>
      <c r="L29" s="20">
        <f>SUMIF(Inventory!$D2:$D1136,"="&amp;L27, Inventory!$E2:$E1136)</f>
        <v>66.74</v>
      </c>
      <c r="M29" s="20">
        <f>SUMIF(Inventory!$D2:$D1136,"="&amp;M27, Inventory!$E2:$E1136)</f>
        <v>67.39</v>
      </c>
      <c r="N29" s="20">
        <f>SUMIF(Inventory!$D2:$D1136,"="&amp;N27, Inventory!$E2:$E1136)</f>
        <v>75.32</v>
      </c>
      <c r="O29" s="20">
        <f>SUMIF(Inventory!$D2:$D1136,"="&amp;O27, Inventory!$E2:$E1136)</f>
        <v>60.72</v>
      </c>
      <c r="P29" s="20">
        <f>SUMIF(Inventory!$D2:$D1136,"="&amp;P27, Inventory!$E2:$E1136)</f>
        <v>18.94</v>
      </c>
      <c r="Q29" s="20">
        <f>SUMIF(Inventory!$D2:$D1136,"="&amp;Q27, Inventory!$E2:$E1136)</f>
        <v>80.34</v>
      </c>
      <c r="R29" s="20">
        <f>SUMIF(Inventory!$D2:$D1136,"="&amp;R27, Inventory!$E2:$E1136)</f>
        <v>483.59</v>
      </c>
      <c r="S29" s="20">
        <f>SUMIF(Inventory!$D2:$D1136,"="&amp;S27, Inventory!$E2:$E1136)</f>
        <v>330.46</v>
      </c>
      <c r="T29" s="20">
        <f>SUMIF(Inventory!$D2:$D1136,"="&amp;T27, Inventory!$E2:$E1136)</f>
        <v>103.69</v>
      </c>
      <c r="U29" s="20">
        <f>SUMIF(Inventory!$D2:$D1136,"="&amp;U27, Inventory!$E2:$E1136)</f>
        <v>10.14</v>
      </c>
      <c r="V29" s="20">
        <f>SUMIF(Inventory!$D2:$D1136,"="&amp;V27, Inventory!$E2:$E1136)</f>
        <v>18.34</v>
      </c>
      <c r="W29" s="20">
        <f>SUMIF(Inventory!$D2:$D1136,"="&amp;W27, Inventory!$E2:$E1136)</f>
        <v>0</v>
      </c>
      <c r="X29" s="20">
        <f>SUMIF(Inventory!$D2:$D1136,"="&amp;X27, Inventory!$E2:$E1136)</f>
        <v>0</v>
      </c>
      <c r="Y29" s="20">
        <f>SUMIF(Inventory!$D2:$D1136,"="&amp;Y27, Inventory!$E2:$E1136)</f>
        <v>90.88</v>
      </c>
      <c r="Z29" s="20">
        <f>SUMIF(Inventory!$D2:$D1136,"="&amp;Z27, Inventory!$E2:$E1136)</f>
        <v>54.33</v>
      </c>
      <c r="AA29" s="20">
        <f>SUMIF(Inventory!$D2:$D1136,"="&amp;AA27, Inventory!$E2:$E1136)</f>
        <v>107.93</v>
      </c>
      <c r="AB29" s="20">
        <f>SUMIF(Inventory!$D2:$D1136,"="&amp;AB27, Inventory!$E2:$E1136)</f>
        <v>16.79</v>
      </c>
      <c r="AC29" s="20">
        <f>SUMIF(Inventory!$D2:$D1136,"="&amp;AC27, Inventory!$E2:$E1136)</f>
        <v>16.79</v>
      </c>
      <c r="AD29" s="20">
        <f>SUMIF(Inventory!$D2:$D1136,"="&amp;AD27, Inventory!$E2:$E1136)</f>
        <v>0</v>
      </c>
      <c r="AE29" s="20">
        <f>SUMIF(Inventory!$D2:$D1136,"="&amp;AE27, Inventory!$E2:$E1136)</f>
        <v>6.96</v>
      </c>
      <c r="AG29" s="20">
        <f t="shared" si="11"/>
        <v>2433.68</v>
      </c>
      <c r="AH29" s="21">
        <f t="shared" si="12"/>
        <v>81.12266667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</row>
    <row r="30" hidden="1" outlineLevel="2">
      <c r="A30" s="256" t="s">
        <v>11</v>
      </c>
      <c r="B30" s="20">
        <f>SUMIF(Inventory!$D2:$D1136,"="&amp;B27, Inventory!$G2:$G1136)</f>
        <v>24.06</v>
      </c>
      <c r="C30" s="20">
        <f>SUMIF(Inventory!$D2:$D1136,"="&amp;C27, Inventory!$G2:$G1136)</f>
        <v>5.93</v>
      </c>
      <c r="D30" s="20">
        <f>SUMIF(Inventory!$D2:$D1136,"="&amp;D27, Inventory!$G2:$G1136)</f>
        <v>6.01</v>
      </c>
      <c r="E30" s="20">
        <f>SUMIF(Inventory!$D2:$D1136,"="&amp;E27, Inventory!$G2:$G1136)</f>
        <v>77.55</v>
      </c>
      <c r="F30" s="20">
        <f>SUMIF(Inventory!$D2:$D1136,"="&amp;F27, Inventory!$G2:$G1136)</f>
        <v>36.3</v>
      </c>
      <c r="G30" s="20">
        <f>SUMIF(Inventory!$D2:$D1136,"="&amp;G27, Inventory!$G2:$G1136)</f>
        <v>7.15</v>
      </c>
      <c r="H30" s="20">
        <f>SUMIF(Inventory!$D2:$D1136,"="&amp;H27, Inventory!$G2:$G1136)</f>
        <v>2.06</v>
      </c>
      <c r="I30" s="20">
        <f>SUMIF(Inventory!$D2:$D1136,"="&amp;I27, Inventory!$G2:$G1136)</f>
        <v>20.2</v>
      </c>
      <c r="J30" s="20">
        <f>SUMIF(Inventory!$D2:$D1136,"="&amp;J27, Inventory!$G2:$G1136)</f>
        <v>5.48</v>
      </c>
      <c r="K30" s="20">
        <f>SUMIF(Inventory!$D2:$D1136,"="&amp;K27, Inventory!$G2:$G1136)</f>
        <v>25.66</v>
      </c>
      <c r="L30" s="20">
        <f>SUMIF(Inventory!$D2:$D1136,"="&amp;L27, Inventory!$G2:$G1136)</f>
        <v>20.36</v>
      </c>
      <c r="M30" s="20">
        <f>SUMIF(Inventory!$D2:$D1136,"="&amp;M27, Inventory!$G2:$G1136)</f>
        <v>27.97</v>
      </c>
      <c r="N30" s="20">
        <f>SUMIF(Inventory!$D2:$D1136,"="&amp;N27, Inventory!$G2:$G1136)</f>
        <v>24.22</v>
      </c>
      <c r="O30" s="20">
        <f>SUMIF(Inventory!$D2:$D1136,"="&amp;O27, Inventory!$G2:$G1136)</f>
        <v>15.36</v>
      </c>
      <c r="P30" s="20">
        <f>SUMIF(Inventory!$D2:$D1136,"="&amp;P27, Inventory!$G2:$G1136)</f>
        <v>3.97</v>
      </c>
      <c r="Q30" s="20">
        <f>SUMIF(Inventory!$D2:$D1136,"="&amp;Q27, Inventory!$G2:$G1136)</f>
        <v>22.13</v>
      </c>
      <c r="R30" s="20">
        <f>SUMIF(Inventory!$D2:$D1136,"="&amp;R27, Inventory!$G2:$G1136)</f>
        <v>103.39</v>
      </c>
      <c r="S30" s="20">
        <f>SUMIF(Inventory!$D2:$D1136,"="&amp;S27, Inventory!$G2:$G1136)</f>
        <v>74.31</v>
      </c>
      <c r="T30" s="20">
        <f>SUMIF(Inventory!$D2:$D1136,"="&amp;T27, Inventory!$G2:$G1136)</f>
        <v>36.9</v>
      </c>
      <c r="U30" s="20">
        <f>SUMIF(Inventory!$D2:$D1136,"="&amp;U27, Inventory!$G2:$G1136)</f>
        <v>2.89</v>
      </c>
      <c r="V30" s="20">
        <f>SUMIF(Inventory!$D2:$D1136,"="&amp;V27, Inventory!$G2:$G1136)</f>
        <v>3.11</v>
      </c>
      <c r="W30" s="20">
        <f>SUMIF(Inventory!$D2:$D1136,"="&amp;W27, Inventory!$G2:$G1136)</f>
        <v>0</v>
      </c>
      <c r="X30" s="20">
        <f>SUMIF(Inventory!$D2:$D1136,"="&amp;X27, Inventory!$G2:$G1136)</f>
        <v>0</v>
      </c>
      <c r="Y30" s="20">
        <f>SUMIF(Inventory!$D2:$D1136,"="&amp;Y27, Inventory!$G2:$G1136)</f>
        <v>21.82</v>
      </c>
      <c r="Z30" s="20">
        <f>SUMIF(Inventory!$D2:$D1136,"="&amp;Z27, Inventory!$G2:$G1136)</f>
        <v>14.18</v>
      </c>
      <c r="AA30" s="20">
        <f>SUMIF(Inventory!$D2:$D1136,"="&amp;AA27, Inventory!$G2:$G1136)</f>
        <v>32.12</v>
      </c>
      <c r="AB30" s="20">
        <f>SUMIF(Inventory!$D2:$D1136,"="&amp;AB27, Inventory!$G2:$G1136)</f>
        <v>7.91</v>
      </c>
      <c r="AC30" s="20">
        <f>SUMIF(Inventory!$D2:$D1136,"="&amp;AC27, Inventory!$G2:$G1136)</f>
        <v>7.89</v>
      </c>
      <c r="AD30" s="20">
        <f>SUMIF(Inventory!$D2:$D1136,"="&amp;AD27, Inventory!$G2:$G1136)</f>
        <v>0</v>
      </c>
      <c r="AE30" s="20">
        <f>SUMIF(Inventory!$D2:$D1136,"="&amp;AE27, Inventory!$G2:$G1136)</f>
        <v>1.6</v>
      </c>
      <c r="AG30" s="20">
        <f t="shared" si="11"/>
        <v>630.53</v>
      </c>
      <c r="AH30" s="21">
        <f t="shared" si="12"/>
        <v>21.01766667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1"/>
    </row>
    <row r="31" outlineLevel="1" collapsed="1">
      <c r="A31" s="253" t="s">
        <v>10205</v>
      </c>
      <c r="B31" s="255">
        <v>45108.0</v>
      </c>
      <c r="C31" s="255">
        <v>45109.0</v>
      </c>
      <c r="D31" s="255">
        <v>45110.0</v>
      </c>
      <c r="E31" s="255">
        <v>45111.0</v>
      </c>
      <c r="F31" s="255">
        <v>45112.0</v>
      </c>
      <c r="G31" s="255">
        <v>45113.0</v>
      </c>
      <c r="H31" s="255">
        <v>45114.0</v>
      </c>
      <c r="I31" s="255">
        <v>45115.0</v>
      </c>
      <c r="J31" s="255">
        <v>45116.0</v>
      </c>
      <c r="K31" s="255">
        <v>45117.0</v>
      </c>
      <c r="L31" s="255">
        <v>45118.0</v>
      </c>
      <c r="M31" s="255">
        <v>45119.0</v>
      </c>
      <c r="N31" s="255">
        <v>45120.0</v>
      </c>
      <c r="O31" s="255">
        <v>45121.0</v>
      </c>
      <c r="P31" s="255">
        <v>45122.0</v>
      </c>
      <c r="Q31" s="255">
        <v>45123.0</v>
      </c>
      <c r="R31" s="255">
        <v>45124.0</v>
      </c>
      <c r="S31" s="255">
        <v>45125.0</v>
      </c>
      <c r="T31" s="255">
        <v>45126.0</v>
      </c>
      <c r="U31" s="255">
        <v>45127.0</v>
      </c>
      <c r="V31" s="255">
        <v>45128.0</v>
      </c>
      <c r="W31" s="255">
        <v>45129.0</v>
      </c>
      <c r="X31" s="255">
        <v>45130.0</v>
      </c>
      <c r="Y31" s="255">
        <v>45131.0</v>
      </c>
      <c r="Z31" s="255">
        <v>45132.0</v>
      </c>
      <c r="AA31" s="255">
        <v>45133.0</v>
      </c>
      <c r="AB31" s="255">
        <v>45134.0</v>
      </c>
      <c r="AC31" s="255">
        <v>45135.0</v>
      </c>
      <c r="AD31" s="255">
        <v>45136.0</v>
      </c>
      <c r="AE31" s="255">
        <v>45137.0</v>
      </c>
      <c r="AF31" s="255">
        <v>45138.0</v>
      </c>
      <c r="AG31" s="20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</row>
    <row r="32" hidden="1" outlineLevel="2">
      <c r="A32" s="256" t="s">
        <v>9</v>
      </c>
      <c r="B32" s="20">
        <f>SUMIF(Inventory!$D2:$D1136,"="&amp;B31, Inventory!$F2:$F1136)</f>
        <v>4.54</v>
      </c>
      <c r="C32" s="20">
        <f>SUMIF(Inventory!$D2:$D1136,"="&amp;C31, Inventory!$F2:$F1136)</f>
        <v>49.98</v>
      </c>
      <c r="D32" s="20">
        <f>SUMIF(Inventory!$D2:$D1136,"="&amp;D31, Inventory!$F2:$F1136)</f>
        <v>0</v>
      </c>
      <c r="E32" s="20">
        <f>SUMIF(Inventory!$D2:$D1136,"="&amp;E31, Inventory!$F2:$F1136)</f>
        <v>0</v>
      </c>
      <c r="F32" s="20">
        <f>SUMIF(Inventory!$D2:$D1136,"="&amp;F31, Inventory!$F2:$F1136)</f>
        <v>6.6</v>
      </c>
      <c r="G32" s="20">
        <f>SUMIF(Inventory!$D2:$D1136,"="&amp;G31, Inventory!$F2:$F1136)</f>
        <v>26.67</v>
      </c>
      <c r="H32" s="20">
        <f>SUMIF(Inventory!$D2:$D1136,"="&amp;H31, Inventory!$F2:$F1136)</f>
        <v>96.26</v>
      </c>
      <c r="I32" s="20">
        <f>SUMIF(Inventory!$D2:$D1136,"="&amp;I31, Inventory!$F2:$F1136)</f>
        <v>74.35</v>
      </c>
      <c r="J32" s="20">
        <f>SUMIF(Inventory!$D2:$D1136,"="&amp;J31, Inventory!$F2:$F1136)</f>
        <v>37.96</v>
      </c>
      <c r="K32" s="20">
        <f>SUMIF(Inventory!$D2:$D1136,"="&amp;K31, Inventory!$F2:$F1136)</f>
        <v>66.35</v>
      </c>
      <c r="L32" s="20">
        <f>SUMIF(Inventory!$D2:$D1136,"="&amp;L31, Inventory!$F2:$F1136)</f>
        <v>0</v>
      </c>
      <c r="M32" s="20">
        <f>SUMIF(Inventory!$D2:$D1136,"="&amp;M31, Inventory!$F2:$F1136)</f>
        <v>3.01</v>
      </c>
      <c r="N32" s="20">
        <f>SUMIF(Inventory!$D2:$D1136,"="&amp;N31, Inventory!$F2:$F1136)</f>
        <v>66.96</v>
      </c>
      <c r="O32" s="20">
        <f>SUMIF(Inventory!$D2:$D1136,"="&amp;O31, Inventory!$F2:$F1136)</f>
        <v>100.82</v>
      </c>
      <c r="P32" s="20">
        <f>SUMIF(Inventory!$D2:$D1136,"="&amp;P31, Inventory!$F2:$F1136)</f>
        <v>183.99</v>
      </c>
      <c r="Q32" s="20">
        <f>SUMIF(Inventory!$D2:$D1136,"="&amp;Q31, Inventory!$F2:$F1136)</f>
        <v>73.43</v>
      </c>
      <c r="R32" s="20">
        <f>SUMIF(Inventory!$D2:$D1136,"="&amp;R31, Inventory!$F2:$F1136)</f>
        <v>26.74</v>
      </c>
      <c r="S32" s="20">
        <f>SUMIF(Inventory!$D2:$D1136,"="&amp;S31, Inventory!$F2:$F1136)</f>
        <v>25.06</v>
      </c>
      <c r="T32" s="20">
        <f>SUMIF(Inventory!$D2:$D1136,"="&amp;T31, Inventory!$F2:$F1136)</f>
        <v>63.73</v>
      </c>
      <c r="U32" s="20">
        <f>SUMIF(Inventory!$D2:$D1136,"="&amp;U31, Inventory!$F2:$F1136)</f>
        <v>167.13</v>
      </c>
      <c r="V32" s="20">
        <f>SUMIF(Inventory!$D2:$D1136,"="&amp;V31, Inventory!$F2:$F1136)</f>
        <v>172.81</v>
      </c>
      <c r="W32" s="20">
        <f>SUMIF(Inventory!$D2:$D1136,"="&amp;W31, Inventory!$F2:$F1136)</f>
        <v>30.97</v>
      </c>
      <c r="X32" s="20">
        <f>SUMIF(Inventory!$D2:$D1136,"="&amp;X31, Inventory!$F2:$F1136)</f>
        <v>212.61</v>
      </c>
      <c r="Y32" s="20">
        <f>SUMIF(Inventory!$D2:$D1136,"="&amp;Y31, Inventory!$F2:$F1136)</f>
        <v>273.78</v>
      </c>
      <c r="Z32" s="20">
        <f>SUMIF(Inventory!$D2:$D1136,"="&amp;Z31, Inventory!$F2:$F1136)</f>
        <v>40.93</v>
      </c>
      <c r="AA32" s="20">
        <f>SUMIF(Inventory!$D2:$D1136,"="&amp;AA31, Inventory!$F2:$F1136)</f>
        <v>14.28</v>
      </c>
      <c r="AB32" s="20">
        <f>SUMIF(Inventory!$D2:$D1136,"="&amp;AB31, Inventory!$F2:$F1136)</f>
        <v>75.12</v>
      </c>
      <c r="AC32" s="20">
        <f>SUMIF(Inventory!$D2:$D1136,"="&amp;AC31, Inventory!$F2:$F1136)</f>
        <v>43.43</v>
      </c>
      <c r="AD32" s="20">
        <f>SUMIF(Inventory!$D2:$D1136,"="&amp;AD31, Inventory!$F2:$F1136)</f>
        <v>67.54</v>
      </c>
      <c r="AE32" s="20">
        <f>SUMIF(Inventory!$D2:$D1136,"="&amp;AE31, Inventory!$F2:$F1136)</f>
        <v>124.85</v>
      </c>
      <c r="AF32" s="20">
        <f>SUMIF(Inventory!$D2:$D1136,"="&amp;AF31, Inventory!$F2:$F1136)</f>
        <v>123.79</v>
      </c>
      <c r="AG32" s="20">
        <f t="shared" ref="AG32:AG34" si="13">SUM(B32:AF32)</f>
        <v>2253.69</v>
      </c>
      <c r="AH32" s="21">
        <f t="shared" ref="AH32:AH34" si="14">AVERAGE(B32:AF32)</f>
        <v>72.69967742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</row>
    <row r="33" hidden="1" outlineLevel="2">
      <c r="A33" s="256" t="s">
        <v>10</v>
      </c>
      <c r="B33" s="20">
        <f>SUMIF(Inventory!$D2:$D1136,"="&amp;B31, Inventory!$E2:$E1136)</f>
        <v>2.25</v>
      </c>
      <c r="C33" s="20">
        <f>SUMIF(Inventory!$D2:$D1136,"="&amp;C31, Inventory!$E2:$E1136)</f>
        <v>41.08</v>
      </c>
      <c r="D33" s="20">
        <f>SUMIF(Inventory!$D2:$D1136,"="&amp;D31, Inventory!$E2:$E1136)</f>
        <v>0</v>
      </c>
      <c r="E33" s="20">
        <f>SUMIF(Inventory!$D2:$D1136,"="&amp;E31, Inventory!$E2:$E1136)</f>
        <v>0</v>
      </c>
      <c r="F33" s="20">
        <f>SUMIF(Inventory!$D2:$D1136,"="&amp;F31, Inventory!$E2:$E1136)</f>
        <v>5.3</v>
      </c>
      <c r="G33" s="20">
        <f>SUMIF(Inventory!$D2:$D1136,"="&amp;G31, Inventory!$E2:$E1136)</f>
        <v>15.96</v>
      </c>
      <c r="H33" s="20">
        <f>SUMIF(Inventory!$D2:$D1136,"="&amp;H31, Inventory!$E2:$E1136)</f>
        <v>76.75</v>
      </c>
      <c r="I33" s="20">
        <f>SUMIF(Inventory!$D2:$D1136,"="&amp;I31, Inventory!$E2:$E1136)</f>
        <v>62.54</v>
      </c>
      <c r="J33" s="20">
        <f>SUMIF(Inventory!$D2:$D1136,"="&amp;J31, Inventory!$E2:$E1136)</f>
        <v>30.65</v>
      </c>
      <c r="K33" s="20">
        <f>SUMIF(Inventory!$D2:$D1136,"="&amp;K31, Inventory!$E2:$E1136)</f>
        <v>47.26</v>
      </c>
      <c r="L33" s="20">
        <f>SUMIF(Inventory!$D2:$D1136,"="&amp;L31, Inventory!$E2:$E1136)</f>
        <v>0</v>
      </c>
      <c r="M33" s="20">
        <f>SUMIF(Inventory!$D2:$D1136,"="&amp;M31, Inventory!$E2:$E1136)</f>
        <v>0.94</v>
      </c>
      <c r="N33" s="20">
        <f>SUMIF(Inventory!$D2:$D1136,"="&amp;N31, Inventory!$E2:$E1136)</f>
        <v>51.75</v>
      </c>
      <c r="O33" s="20">
        <f>SUMIF(Inventory!$D2:$D1136,"="&amp;O31, Inventory!$E2:$E1136)</f>
        <v>83.8</v>
      </c>
      <c r="P33" s="20">
        <f>SUMIF(Inventory!$D2:$D1136,"="&amp;P31, Inventory!$E2:$E1136)</f>
        <v>142.79</v>
      </c>
      <c r="Q33" s="20">
        <f>SUMIF(Inventory!$D2:$D1136,"="&amp;Q31, Inventory!$E2:$E1136)</f>
        <v>63.63</v>
      </c>
      <c r="R33" s="20">
        <f>SUMIF(Inventory!$D2:$D1136,"="&amp;R31, Inventory!$E2:$E1136)</f>
        <v>21.23</v>
      </c>
      <c r="S33" s="20">
        <f>SUMIF(Inventory!$D2:$D1136,"="&amp;S31, Inventory!$E2:$E1136)</f>
        <v>22.56</v>
      </c>
      <c r="T33" s="20">
        <f>SUMIF(Inventory!$D2:$D1136,"="&amp;T31, Inventory!$E2:$E1136)</f>
        <v>50.12</v>
      </c>
      <c r="U33" s="20">
        <f>SUMIF(Inventory!$D2:$D1136,"="&amp;U31, Inventory!$E2:$E1136)</f>
        <v>141.76</v>
      </c>
      <c r="V33" s="20">
        <f>SUMIF(Inventory!$D2:$D1136,"="&amp;V31, Inventory!$E2:$E1136)</f>
        <v>146.16</v>
      </c>
      <c r="W33" s="20">
        <f>SUMIF(Inventory!$D2:$D1136,"="&amp;W31, Inventory!$E2:$E1136)</f>
        <v>26.24</v>
      </c>
      <c r="X33" s="20">
        <f>SUMIF(Inventory!$D2:$D1136,"="&amp;X31, Inventory!$E2:$E1136)</f>
        <v>165.07</v>
      </c>
      <c r="Y33" s="20">
        <f>SUMIF(Inventory!$D2:$D1136,"="&amp;Y31, Inventory!$E2:$E1136)</f>
        <v>224.43</v>
      </c>
      <c r="Z33" s="20">
        <f>SUMIF(Inventory!$D2:$D1136,"="&amp;Z31, Inventory!$E2:$E1136)</f>
        <v>22.48</v>
      </c>
      <c r="AA33" s="20">
        <f>SUMIF(Inventory!$D2:$D1136,"="&amp;AA31, Inventory!$E2:$E1136)</f>
        <v>11.48</v>
      </c>
      <c r="AB33" s="20">
        <f>SUMIF(Inventory!$D2:$D1136,"="&amp;AB31, Inventory!$E2:$E1136)</f>
        <v>61.46</v>
      </c>
      <c r="AC33" s="20">
        <f>SUMIF(Inventory!$D2:$D1136,"="&amp;AC31, Inventory!$E2:$E1136)</f>
        <v>38.29</v>
      </c>
      <c r="AD33" s="20">
        <f>SUMIF(Inventory!$D2:$D1136,"="&amp;AD31, Inventory!$E2:$E1136)</f>
        <v>62.45</v>
      </c>
      <c r="AE33" s="20">
        <f>SUMIF(Inventory!$D2:$D1136,"="&amp;AE31, Inventory!$E2:$E1136)</f>
        <v>102.6</v>
      </c>
      <c r="AF33" s="20">
        <f>SUMIF(Inventory!$D2:$D1136,"="&amp;AF31, Inventory!$E2:$E1136)</f>
        <v>94.31</v>
      </c>
      <c r="AG33" s="20">
        <f t="shared" si="13"/>
        <v>1815.34</v>
      </c>
      <c r="AH33" s="21">
        <f t="shared" si="14"/>
        <v>58.55935484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</row>
    <row r="34" hidden="1" outlineLevel="2">
      <c r="A34" s="256" t="s">
        <v>11</v>
      </c>
      <c r="B34" s="20">
        <f>SUMIF(Inventory!$D2:$D1136,"="&amp;B31, Inventory!$G2:$G1136)</f>
        <v>2.29</v>
      </c>
      <c r="C34" s="20">
        <f>SUMIF(Inventory!$D2:$D1136,"="&amp;C31, Inventory!$G2:$G1136)</f>
        <v>8.9</v>
      </c>
      <c r="D34" s="20">
        <f>SUMIF(Inventory!$D2:$D1136,"="&amp;D31, Inventory!$G2:$G1136)</f>
        <v>0</v>
      </c>
      <c r="E34" s="20">
        <f>SUMIF(Inventory!$D2:$D1136,"="&amp;E31, Inventory!$G2:$G1136)</f>
        <v>0</v>
      </c>
      <c r="F34" s="20">
        <f>SUMIF(Inventory!$D2:$D1136,"="&amp;F31, Inventory!$G2:$G1136)</f>
        <v>1.3</v>
      </c>
      <c r="G34" s="20">
        <f>SUMIF(Inventory!$D2:$D1136,"="&amp;G31, Inventory!$G2:$G1136)</f>
        <v>10.71</v>
      </c>
      <c r="H34" s="20">
        <f>SUMIF(Inventory!$D2:$D1136,"="&amp;H31, Inventory!$G2:$G1136)</f>
        <v>19.51</v>
      </c>
      <c r="I34" s="20">
        <f>SUMIF(Inventory!$D2:$D1136,"="&amp;I31, Inventory!$G2:$G1136)</f>
        <v>11.81</v>
      </c>
      <c r="J34" s="20">
        <f>SUMIF(Inventory!$D2:$D1136,"="&amp;J31, Inventory!$G2:$G1136)</f>
        <v>7.31</v>
      </c>
      <c r="K34" s="20">
        <f>SUMIF(Inventory!$D2:$D1136,"="&amp;K31, Inventory!$G2:$G1136)</f>
        <v>19.09</v>
      </c>
      <c r="L34" s="20">
        <f>SUMIF(Inventory!$D2:$D1136,"="&amp;L31, Inventory!$G2:$G1136)</f>
        <v>0</v>
      </c>
      <c r="M34" s="20">
        <f>SUMIF(Inventory!$D2:$D1136,"="&amp;M31, Inventory!$G2:$G1136)</f>
        <v>2.07</v>
      </c>
      <c r="N34" s="20">
        <f>SUMIF(Inventory!$D2:$D1136,"="&amp;N31, Inventory!$G2:$G1136)</f>
        <v>15.21</v>
      </c>
      <c r="O34" s="20">
        <f>SUMIF(Inventory!$D2:$D1136,"="&amp;O31, Inventory!$G2:$G1136)</f>
        <v>17.02</v>
      </c>
      <c r="P34" s="20">
        <f>SUMIF(Inventory!$D2:$D1136,"="&amp;P31, Inventory!$G2:$G1136)</f>
        <v>41.2</v>
      </c>
      <c r="Q34" s="20">
        <f>SUMIF(Inventory!$D2:$D1136,"="&amp;Q31, Inventory!$G2:$G1136)</f>
        <v>9.8</v>
      </c>
      <c r="R34" s="20">
        <f>SUMIF(Inventory!$D2:$D1136,"="&amp;R31, Inventory!$G2:$G1136)</f>
        <v>5.51</v>
      </c>
      <c r="S34" s="20">
        <f>SUMIF(Inventory!$D2:$D1136,"="&amp;S31, Inventory!$G2:$G1136)</f>
        <v>2.5</v>
      </c>
      <c r="T34" s="20">
        <f>SUMIF(Inventory!$D2:$D1136,"="&amp;T31, Inventory!$G2:$G1136)</f>
        <v>13.61</v>
      </c>
      <c r="U34" s="20">
        <f>SUMIF(Inventory!$D2:$D1136,"="&amp;U31, Inventory!$G2:$G1136)</f>
        <v>25.37</v>
      </c>
      <c r="V34" s="20">
        <f>SUMIF(Inventory!$D2:$D1136,"="&amp;V31, Inventory!$G2:$G1136)</f>
        <v>26.65</v>
      </c>
      <c r="W34" s="20">
        <f>SUMIF(Inventory!$D2:$D1136,"="&amp;W31, Inventory!$G2:$G1136)</f>
        <v>4.73</v>
      </c>
      <c r="X34" s="20">
        <f>SUMIF(Inventory!$D2:$D1136,"="&amp;X31, Inventory!$G2:$G1136)</f>
        <v>47.54</v>
      </c>
      <c r="Y34" s="20">
        <f>SUMIF(Inventory!$D2:$D1136,"="&amp;Y31, Inventory!$G2:$G1136)</f>
        <v>49.35</v>
      </c>
      <c r="Z34" s="20">
        <f>SUMIF(Inventory!$D2:$D1136,"="&amp;Z31, Inventory!$G2:$G1136)</f>
        <v>18.45</v>
      </c>
      <c r="AA34" s="20">
        <f>SUMIF(Inventory!$D2:$D1136,"="&amp;AA31, Inventory!$G2:$G1136)</f>
        <v>2.8</v>
      </c>
      <c r="AB34" s="20">
        <f>SUMIF(Inventory!$D2:$D1136,"="&amp;AB31, Inventory!$G2:$G1136)</f>
        <v>13.66</v>
      </c>
      <c r="AC34" s="20">
        <f>SUMIF(Inventory!$D2:$D1136,"="&amp;AC31, Inventory!$G2:$G1136)</f>
        <v>5.14</v>
      </c>
      <c r="AD34" s="20">
        <f>SUMIF(Inventory!$D2:$D1136,"="&amp;AD31, Inventory!$G2:$G1136)</f>
        <v>5.09</v>
      </c>
      <c r="AE34" s="20">
        <f>SUMIF(Inventory!$D2:$D1136,"="&amp;AE31, Inventory!$G2:$G1136)</f>
        <v>22.25</v>
      </c>
      <c r="AF34" s="20">
        <f>SUMIF(Inventory!$D2:$D1136,"="&amp;AF31, Inventory!$G2:$G1136)</f>
        <v>29.48</v>
      </c>
      <c r="AG34" s="20">
        <f t="shared" si="13"/>
        <v>438.35</v>
      </c>
      <c r="AH34" s="21">
        <f t="shared" si="14"/>
        <v>14.14032258</v>
      </c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</row>
    <row r="35" outlineLevel="1" collapsed="1">
      <c r="A35" s="253" t="s">
        <v>10206</v>
      </c>
      <c r="B35" s="255">
        <v>45139.0</v>
      </c>
      <c r="C35" s="255">
        <v>45140.0</v>
      </c>
      <c r="D35" s="255">
        <v>45141.0</v>
      </c>
      <c r="E35" s="255">
        <v>45142.0</v>
      </c>
      <c r="F35" s="255">
        <v>45143.0</v>
      </c>
      <c r="G35" s="255">
        <v>45144.0</v>
      </c>
      <c r="H35" s="255">
        <v>45145.0</v>
      </c>
      <c r="I35" s="255">
        <v>45146.0</v>
      </c>
      <c r="J35" s="255">
        <v>45147.0</v>
      </c>
      <c r="K35" s="255">
        <v>45148.0</v>
      </c>
      <c r="L35" s="255">
        <v>45149.0</v>
      </c>
      <c r="M35" s="255">
        <v>45150.0</v>
      </c>
      <c r="N35" s="255">
        <v>45151.0</v>
      </c>
      <c r="O35" s="255">
        <v>45152.0</v>
      </c>
      <c r="P35" s="255">
        <v>45153.0</v>
      </c>
      <c r="Q35" s="255">
        <v>45154.0</v>
      </c>
      <c r="R35" s="255">
        <v>45155.0</v>
      </c>
      <c r="S35" s="255">
        <v>45156.0</v>
      </c>
      <c r="T35" s="255">
        <v>45157.0</v>
      </c>
      <c r="U35" s="255">
        <v>45158.0</v>
      </c>
      <c r="V35" s="255">
        <v>45159.0</v>
      </c>
      <c r="W35" s="255">
        <v>45160.0</v>
      </c>
      <c r="X35" s="255">
        <v>45161.0</v>
      </c>
      <c r="Y35" s="255">
        <v>45162.0</v>
      </c>
      <c r="Z35" s="255">
        <v>45163.0</v>
      </c>
      <c r="AA35" s="255">
        <v>45164.0</v>
      </c>
      <c r="AB35" s="255">
        <v>45165.0</v>
      </c>
      <c r="AC35" s="255">
        <v>45166.0</v>
      </c>
      <c r="AD35" s="255">
        <v>45167.0</v>
      </c>
      <c r="AE35" s="255">
        <v>45168.0</v>
      </c>
      <c r="AF35" s="255">
        <v>45169.0</v>
      </c>
      <c r="AG35" s="20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</row>
    <row r="36" hidden="1" outlineLevel="2">
      <c r="A36" s="256" t="s">
        <v>9</v>
      </c>
      <c r="B36" s="20">
        <f>SUMIF(Inventory!$D2:$D1136,"="&amp;B35, Inventory!$F2:$F1136)</f>
        <v>119.63</v>
      </c>
      <c r="C36" s="20">
        <f>SUMIF(Inventory!$D2:$D1136,"="&amp;C35, Inventory!$F2:$F1136)</f>
        <v>104.31</v>
      </c>
      <c r="D36" s="20">
        <f>SUMIF(Inventory!$D2:$D1136,"="&amp;D35, Inventory!$F2:$F1136)</f>
        <v>100.56</v>
      </c>
      <c r="E36" s="20">
        <f>SUMIF(Inventory!$D2:$D1136,"="&amp;E35, Inventory!$F2:$F1136)</f>
        <v>37.31</v>
      </c>
      <c r="F36" s="20">
        <f>SUMIF(Inventory!$D2:$D1136,"="&amp;F35, Inventory!$F2:$F1136)</f>
        <v>66.528</v>
      </c>
      <c r="G36" s="20">
        <f>SUMIF(Inventory!$D2:$D1136,"="&amp;G35, Inventory!$F2:$F1136)</f>
        <v>45.68</v>
      </c>
      <c r="H36" s="20">
        <f>SUMIF(Inventory!$D2:$D1136,"="&amp;H35, Inventory!$F2:$F1136)</f>
        <v>40.8</v>
      </c>
      <c r="I36" s="20">
        <f>SUMIF(Inventory!$D2:$D1136,"="&amp;I35, Inventory!$F2:$F1136)</f>
        <v>92.46</v>
      </c>
      <c r="J36" s="20">
        <f>SUMIF(Inventory!$D2:$D1136,"="&amp;J35, Inventory!$F2:$F1136)</f>
        <v>48.52</v>
      </c>
      <c r="K36" s="20">
        <f>SUMIF(Inventory!$D2:$D1136,"="&amp;K35, Inventory!$F2:$F1136)</f>
        <v>28.37</v>
      </c>
      <c r="L36" s="20">
        <f>SUMIF(Inventory!$D2:$D1136,"="&amp;L35, Inventory!$F2:$F1136)</f>
        <v>46.54</v>
      </c>
      <c r="M36" s="20">
        <f>SUMIF(Inventory!$D2:$D1136,"="&amp;M35, Inventory!$F2:$F1136)</f>
        <v>38.98</v>
      </c>
      <c r="N36" s="20">
        <f>SUMIF(Inventory!$D2:$D1136,"="&amp;N35, Inventory!$F2:$F1136)</f>
        <v>48.1</v>
      </c>
      <c r="O36" s="20">
        <f>SUMIF(Inventory!$D2:$D1136,"="&amp;O35, Inventory!$F2:$F1136)</f>
        <v>24.32</v>
      </c>
      <c r="P36" s="20">
        <f>SUMIF(Inventory!$D2:$D1136,"="&amp;P35, Inventory!$F2:$F1136)</f>
        <v>14.4</v>
      </c>
      <c r="Q36" s="20">
        <f>SUMIF(Inventory!$D2:$D1136,"="&amp;Q35, Inventory!$F2:$F1136)</f>
        <v>83.34</v>
      </c>
      <c r="R36" s="20">
        <f>SUMIF(Inventory!$D2:$D1136,"="&amp;R35, Inventory!$F2:$F1136)</f>
        <v>46.35</v>
      </c>
      <c r="S36" s="20">
        <f>SUMIF(Inventory!$D2:$D1136,"="&amp;S35, Inventory!$F2:$F1136)</f>
        <v>14.11</v>
      </c>
      <c r="T36" s="20">
        <f>SUMIF(Inventory!$D2:$D1136,"="&amp;T35, Inventory!$F2:$F1136)</f>
        <v>42.06</v>
      </c>
      <c r="U36" s="20">
        <f>SUMIF(Inventory!$D2:$D1136,"="&amp;U35, Inventory!$F2:$F1136)</f>
        <v>103.87</v>
      </c>
      <c r="V36" s="20">
        <f>SUMIF(Inventory!$D2:$D1136,"="&amp;V35, Inventory!$F2:$F1136)</f>
        <v>84.37</v>
      </c>
      <c r="W36" s="20">
        <f>SUMIF(Inventory!$D2:$D1136,"="&amp;W35, Inventory!$F2:$F1136)</f>
        <v>58.99</v>
      </c>
      <c r="X36" s="20">
        <f>SUMIF(Inventory!$D2:$D1136,"="&amp;X35, Inventory!$F2:$F1136)</f>
        <v>59.37</v>
      </c>
      <c r="Y36" s="20">
        <f>SUMIF(Inventory!$D2:$D1136,"="&amp;Y35, Inventory!$F2:$F1136)</f>
        <v>20.24</v>
      </c>
      <c r="Z36" s="20">
        <f>SUMIF(Inventory!$D2:$D1136,"="&amp;Z35, Inventory!$F2:$F1136)</f>
        <v>110.45</v>
      </c>
      <c r="AA36" s="20">
        <f>SUMIF(Inventory!$D2:$D1136,"="&amp;AA35, Inventory!$F2:$F1136)</f>
        <v>136.15</v>
      </c>
      <c r="AB36" s="20">
        <f>SUMIF(Inventory!$D2:$D1136,"="&amp;AB35, Inventory!$F2:$F1136)</f>
        <v>50.73</v>
      </c>
      <c r="AC36" s="20">
        <f>SUMIF(Inventory!$D2:$D1136,"="&amp;AC35, Inventory!$F2:$F1136)</f>
        <v>139.37</v>
      </c>
      <c r="AD36" s="20">
        <f>SUMIF(Inventory!$D2:$D1136,"="&amp;AD35, Inventory!$F2:$F1136)</f>
        <v>40.64</v>
      </c>
      <c r="AE36" s="20">
        <f>SUMIF(Inventory!$D2:$D1136,"="&amp;AE35, Inventory!$F2:$F1136)</f>
        <v>62.49</v>
      </c>
      <c r="AF36" s="20">
        <f>SUMIF(Inventory!$D2:$D1136,"="&amp;AF35, Inventory!$F2:$F1136)</f>
        <v>63.49</v>
      </c>
      <c r="AG36" s="20">
        <f t="shared" ref="AG36:AG38" si="15">SUM(B36:AF36)</f>
        <v>1972.528</v>
      </c>
      <c r="AH36" s="21">
        <f t="shared" ref="AH36:AH38" si="16">AVERAGE(B36:AF36)</f>
        <v>63.62993548</v>
      </c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</row>
    <row r="37" hidden="1" outlineLevel="2">
      <c r="A37" s="256" t="s">
        <v>10</v>
      </c>
      <c r="B37" s="20">
        <f>SUMIF(Inventory!$D2:$D1136,"="&amp;B35, Inventory!$E2:$E1136)</f>
        <v>92.9</v>
      </c>
      <c r="C37" s="20">
        <f>SUMIF(Inventory!$D2:$D1136,"="&amp;C35, Inventory!$E2:$E1136)</f>
        <v>75.49</v>
      </c>
      <c r="D37" s="20">
        <f>SUMIF(Inventory!$D2:$D1136,"="&amp;D35, Inventory!$E2:$E1136)</f>
        <v>81.54</v>
      </c>
      <c r="E37" s="20">
        <f>SUMIF(Inventory!$D2:$D1136,"="&amp;E35, Inventory!$E2:$E1136)</f>
        <v>29.92</v>
      </c>
      <c r="F37" s="20">
        <f>SUMIF(Inventory!$D2:$D1136,"="&amp;F35, Inventory!$E2:$E1136)</f>
        <v>48.43</v>
      </c>
      <c r="G37" s="20">
        <f>SUMIF(Inventory!$D2:$D1136,"="&amp;G35, Inventory!$E2:$E1136)</f>
        <v>35.45</v>
      </c>
      <c r="H37" s="20">
        <f>SUMIF(Inventory!$D2:$D1136,"="&amp;H35, Inventory!$E2:$E1136)</f>
        <v>31.46</v>
      </c>
      <c r="I37" s="20">
        <f>SUMIF(Inventory!$D2:$D1136,"="&amp;I35, Inventory!$E2:$E1136)</f>
        <v>76.85</v>
      </c>
      <c r="J37" s="20">
        <f>SUMIF(Inventory!$D2:$D1136,"="&amp;J35, Inventory!$E2:$E1136)</f>
        <v>38.61</v>
      </c>
      <c r="K37" s="20">
        <f>SUMIF(Inventory!$D2:$D1136,"="&amp;K35, Inventory!$E2:$E1136)</f>
        <v>23.59</v>
      </c>
      <c r="L37" s="20">
        <f>SUMIF(Inventory!$D2:$D1136,"="&amp;L35, Inventory!$E2:$E1136)</f>
        <v>39.35</v>
      </c>
      <c r="M37" s="20">
        <f>SUMIF(Inventory!$D2:$D1136,"="&amp;M35, Inventory!$E2:$E1136)</f>
        <v>34.61</v>
      </c>
      <c r="N37" s="20">
        <f>SUMIF(Inventory!$D2:$D1136,"="&amp;N35, Inventory!$E2:$E1136)</f>
        <v>40.15</v>
      </c>
      <c r="O37" s="20">
        <f>SUMIF(Inventory!$D2:$D1136,"="&amp;O35, Inventory!$E2:$E1136)</f>
        <v>22.53</v>
      </c>
      <c r="P37" s="20">
        <f>SUMIF(Inventory!$D2:$D1136,"="&amp;P35, Inventory!$E2:$E1136)</f>
        <v>9.16</v>
      </c>
      <c r="Q37" s="20">
        <f>SUMIF(Inventory!$D2:$D1136,"="&amp;Q35, Inventory!$E2:$E1136)</f>
        <v>62.05</v>
      </c>
      <c r="R37" s="20">
        <f>SUMIF(Inventory!$D2:$D1136,"="&amp;R35, Inventory!$E2:$E1136)</f>
        <v>34.25</v>
      </c>
      <c r="S37" s="20">
        <f>SUMIF(Inventory!$D2:$D1136,"="&amp;S35, Inventory!$E2:$E1136)</f>
        <v>9.01</v>
      </c>
      <c r="T37" s="20">
        <f>SUMIF(Inventory!$D2:$D1136,"="&amp;T35, Inventory!$E2:$E1136)</f>
        <v>33.49</v>
      </c>
      <c r="U37" s="20">
        <f>SUMIF(Inventory!$D2:$D1136,"="&amp;U35, Inventory!$E2:$E1136)</f>
        <v>87.96</v>
      </c>
      <c r="V37" s="20">
        <f>SUMIF(Inventory!$D2:$D1136,"="&amp;V35, Inventory!$E2:$E1136)</f>
        <v>70.55</v>
      </c>
      <c r="W37" s="20">
        <f>SUMIF(Inventory!$D2:$D1136,"="&amp;W35, Inventory!$E2:$E1136)</f>
        <v>53.89</v>
      </c>
      <c r="X37" s="20">
        <f>SUMIF(Inventory!$D2:$D1136,"="&amp;X35, Inventory!$E2:$E1136)</f>
        <v>50.01</v>
      </c>
      <c r="Y37" s="20">
        <f>SUMIF(Inventory!$D2:$D1136,"="&amp;Y35, Inventory!$E2:$E1136)</f>
        <v>17.64</v>
      </c>
      <c r="Z37" s="20">
        <f>SUMIF(Inventory!$D2:$D1136,"="&amp;Z35, Inventory!$E2:$E1136)</f>
        <v>93.68</v>
      </c>
      <c r="AA37" s="20">
        <f>SUMIF(Inventory!$D2:$D1136,"="&amp;AA35, Inventory!$E2:$E1136)</f>
        <v>110.19</v>
      </c>
      <c r="AB37" s="20">
        <f>SUMIF(Inventory!$D2:$D1136,"="&amp;AB35, Inventory!$E2:$E1136)</f>
        <v>41.93</v>
      </c>
      <c r="AC37" s="20">
        <f>SUMIF(Inventory!$D2:$D1136,"="&amp;AC35, Inventory!$E2:$E1136)</f>
        <v>111.3</v>
      </c>
      <c r="AD37" s="20">
        <f>SUMIF(Inventory!$D2:$D1136,"="&amp;AD35, Inventory!$E2:$E1136)</f>
        <v>34.3</v>
      </c>
      <c r="AE37" s="20">
        <f>SUMIF(Inventory!$D2:$D1136,"="&amp;AE35, Inventory!$E2:$E1136)</f>
        <v>47.09</v>
      </c>
      <c r="AF37" s="20">
        <f>SUMIF(Inventory!$D2:$D1136,"="&amp;AF35, Inventory!$E2:$E1136)</f>
        <v>58.68</v>
      </c>
      <c r="AG37" s="20">
        <f t="shared" si="15"/>
        <v>1596.06</v>
      </c>
      <c r="AH37" s="21">
        <f t="shared" si="16"/>
        <v>51.48580645</v>
      </c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1"/>
    </row>
    <row r="38" hidden="1" outlineLevel="2">
      <c r="A38" s="256" t="s">
        <v>11</v>
      </c>
      <c r="B38" s="20">
        <f>SUMIF(Inventory!$D2:$D1136,"="&amp;B35, Inventory!$G2:$G1136)</f>
        <v>26.73</v>
      </c>
      <c r="C38" s="20">
        <f>SUMIF(Inventory!$D2:$D1136,"="&amp;C35, Inventory!$G2:$G1136)</f>
        <v>28.82</v>
      </c>
      <c r="D38" s="20">
        <f>SUMIF(Inventory!$D2:$D1136,"="&amp;D35, Inventory!$G2:$G1136)</f>
        <v>19.02</v>
      </c>
      <c r="E38" s="20">
        <f>SUMIF(Inventory!$D2:$D1136,"="&amp;E35, Inventory!$G2:$G1136)</f>
        <v>7.39</v>
      </c>
      <c r="F38" s="20">
        <f>SUMIF(Inventory!$D2:$D1136,"="&amp;F35, Inventory!$G2:$G1136)</f>
        <v>18.098</v>
      </c>
      <c r="G38" s="20">
        <f>SUMIF(Inventory!$D2:$D1136,"="&amp;G35, Inventory!$G2:$G1136)</f>
        <v>10.23</v>
      </c>
      <c r="H38" s="20">
        <f>SUMIF(Inventory!$D2:$D1136,"="&amp;H35, Inventory!$G2:$G1136)</f>
        <v>9.34</v>
      </c>
      <c r="I38" s="20">
        <f>SUMIF(Inventory!$D2:$D1136,"="&amp;I35, Inventory!$G2:$G1136)</f>
        <v>15.61</v>
      </c>
      <c r="J38" s="20">
        <f>SUMIF(Inventory!$D2:$D1136,"="&amp;J35, Inventory!$G2:$G1136)</f>
        <v>9.91</v>
      </c>
      <c r="K38" s="20">
        <f>SUMIF(Inventory!$D2:$D1136,"="&amp;K35, Inventory!$G2:$G1136)</f>
        <v>4.78</v>
      </c>
      <c r="L38" s="20">
        <f>SUMIF(Inventory!$D2:$D1136,"="&amp;L35, Inventory!$G2:$G1136)</f>
        <v>7.19</v>
      </c>
      <c r="M38" s="20">
        <f>SUMIF(Inventory!$D2:$D1136,"="&amp;M35, Inventory!$G2:$G1136)</f>
        <v>4.37</v>
      </c>
      <c r="N38" s="20">
        <f>SUMIF(Inventory!$D2:$D1136,"="&amp;N35, Inventory!$G2:$G1136)</f>
        <v>7.95</v>
      </c>
      <c r="O38" s="20">
        <f>SUMIF(Inventory!$D2:$D1136,"="&amp;O35, Inventory!$G2:$G1136)</f>
        <v>1.79</v>
      </c>
      <c r="P38" s="20">
        <f>SUMIF(Inventory!$D2:$D1136,"="&amp;P35, Inventory!$G2:$G1136)</f>
        <v>5.24</v>
      </c>
      <c r="Q38" s="20">
        <f>SUMIF(Inventory!$D2:$D1136,"="&amp;Q35, Inventory!$G2:$G1136)</f>
        <v>21.29</v>
      </c>
      <c r="R38" s="20">
        <f>SUMIF(Inventory!$D2:$D1136,"="&amp;R35, Inventory!$G2:$G1136)</f>
        <v>12.1</v>
      </c>
      <c r="S38" s="20">
        <f>SUMIF(Inventory!$D2:$D1136,"="&amp;S35, Inventory!$G2:$G1136)</f>
        <v>5.1</v>
      </c>
      <c r="T38" s="20">
        <f>SUMIF(Inventory!$D2:$D1136,"="&amp;T35, Inventory!$G2:$G1136)</f>
        <v>8.57</v>
      </c>
      <c r="U38" s="20">
        <f>SUMIF(Inventory!$D2:$D1136,"="&amp;U35, Inventory!$G2:$G1136)</f>
        <v>15.91</v>
      </c>
      <c r="V38" s="20">
        <f>SUMIF(Inventory!$D2:$D1136,"="&amp;V35, Inventory!$G2:$G1136)</f>
        <v>13.82</v>
      </c>
      <c r="W38" s="20">
        <f>SUMIF(Inventory!$D2:$D1136,"="&amp;W35, Inventory!$G2:$G1136)</f>
        <v>5.1</v>
      </c>
      <c r="X38" s="20">
        <f>SUMIF(Inventory!$D2:$D1136,"="&amp;X35, Inventory!$G2:$G1136)</f>
        <v>9.36</v>
      </c>
      <c r="Y38" s="20">
        <f>SUMIF(Inventory!$D2:$D1136,"="&amp;Y35, Inventory!$G2:$G1136)</f>
        <v>2.6</v>
      </c>
      <c r="Z38" s="20">
        <f>SUMIF(Inventory!$D2:$D1136,"="&amp;Z35, Inventory!$G2:$G1136)</f>
        <v>16.77</v>
      </c>
      <c r="AA38" s="20">
        <f>SUMIF(Inventory!$D2:$D1136,"="&amp;AA35, Inventory!$G2:$G1136)</f>
        <v>25.96</v>
      </c>
      <c r="AB38" s="20">
        <f>SUMIF(Inventory!$D2:$D1136,"="&amp;AB35, Inventory!$G2:$G1136)</f>
        <v>8.8</v>
      </c>
      <c r="AC38" s="20">
        <f>SUMIF(Inventory!$D2:$D1136,"="&amp;AC35, Inventory!$G2:$G1136)</f>
        <v>28.07</v>
      </c>
      <c r="AD38" s="20">
        <f>SUMIF(Inventory!$D2:$D1136,"="&amp;AD35, Inventory!$G2:$G1136)</f>
        <v>6.34</v>
      </c>
      <c r="AE38" s="20">
        <f>SUMIF(Inventory!$D2:$D1136,"="&amp;AE35, Inventory!$G2:$G1136)</f>
        <v>15.4</v>
      </c>
      <c r="AF38" s="20">
        <f>SUMIF(Inventory!$D2:$D1136,"="&amp;AF35, Inventory!$G2:$G1136)</f>
        <v>4.81</v>
      </c>
      <c r="AG38" s="20">
        <f t="shared" si="15"/>
        <v>376.468</v>
      </c>
      <c r="AH38" s="21">
        <f t="shared" si="16"/>
        <v>12.14412903</v>
      </c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1"/>
    </row>
    <row r="39" outlineLevel="1" collapsed="1">
      <c r="A39" s="253" t="s">
        <v>10207</v>
      </c>
      <c r="B39" s="255">
        <v>45170.0</v>
      </c>
      <c r="C39" s="255">
        <v>45171.0</v>
      </c>
      <c r="D39" s="255">
        <v>45172.0</v>
      </c>
      <c r="E39" s="255">
        <v>45173.0</v>
      </c>
      <c r="F39" s="255">
        <v>45174.0</v>
      </c>
      <c r="G39" s="255">
        <v>45175.0</v>
      </c>
      <c r="H39" s="255">
        <v>45176.0</v>
      </c>
      <c r="I39" s="255">
        <v>45177.0</v>
      </c>
      <c r="J39" s="255">
        <v>45178.0</v>
      </c>
      <c r="K39" s="255">
        <v>45179.0</v>
      </c>
      <c r="L39" s="255">
        <v>45180.0</v>
      </c>
      <c r="M39" s="255">
        <v>45181.0</v>
      </c>
      <c r="N39" s="255">
        <v>45182.0</v>
      </c>
      <c r="O39" s="255">
        <v>45183.0</v>
      </c>
      <c r="P39" s="255">
        <v>45184.0</v>
      </c>
      <c r="Q39" s="255">
        <v>45185.0</v>
      </c>
      <c r="R39" s="255">
        <v>45186.0</v>
      </c>
      <c r="S39" s="255">
        <v>45187.0</v>
      </c>
      <c r="T39" s="255">
        <v>45188.0</v>
      </c>
      <c r="U39" s="255">
        <v>45189.0</v>
      </c>
      <c r="V39" s="255">
        <v>45190.0</v>
      </c>
      <c r="W39" s="255">
        <v>45191.0</v>
      </c>
      <c r="X39" s="255">
        <v>45192.0</v>
      </c>
      <c r="Y39" s="255">
        <v>45193.0</v>
      </c>
      <c r="Z39" s="255">
        <v>45194.0</v>
      </c>
      <c r="AA39" s="255">
        <v>45195.0</v>
      </c>
      <c r="AB39" s="255">
        <v>45196.0</v>
      </c>
      <c r="AC39" s="255">
        <v>45197.0</v>
      </c>
      <c r="AD39" s="255">
        <v>45198.0</v>
      </c>
      <c r="AE39" s="255">
        <v>45199.0</v>
      </c>
      <c r="AF39" s="255"/>
      <c r="AG39" s="20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  <c r="KJ39" s="21"/>
      <c r="KK39" s="21"/>
      <c r="KL39" s="21"/>
      <c r="KM39" s="21"/>
      <c r="KN39" s="21"/>
    </row>
    <row r="40" hidden="1" outlineLevel="2">
      <c r="A40" s="256" t="s">
        <v>9</v>
      </c>
      <c r="B40" s="20">
        <f>SUMIF(Inventory!$D2:$D1136,"="&amp;B39, Inventory!$F2:$F1136)</f>
        <v>183.82</v>
      </c>
      <c r="C40" s="20">
        <f>SUMIF(Inventory!$D2:$D1136,"="&amp;C39, Inventory!$F2:$F1136)</f>
        <v>92.26</v>
      </c>
      <c r="D40" s="20">
        <f>SUMIF(Inventory!$D2:$D1136,"="&amp;D39, Inventory!$F2:$F1136)</f>
        <v>318.91</v>
      </c>
      <c r="E40" s="20">
        <f>SUMIF(Inventory!$D2:$D1136,"="&amp;E39, Inventory!$F2:$F1136)</f>
        <v>121.3</v>
      </c>
      <c r="F40" s="20">
        <f>SUMIF(Inventory!$D2:$D1136,"="&amp;F39, Inventory!$F2:$F1136)</f>
        <v>48.4</v>
      </c>
      <c r="G40" s="20">
        <f>SUMIF(Inventory!$D2:$D1136,"="&amp;G39, Inventory!$F2:$F1136)</f>
        <v>23.16</v>
      </c>
      <c r="H40" s="20">
        <f>SUMIF(Inventory!$D2:$D1136,"="&amp;H39, Inventory!$F2:$F1136)</f>
        <v>58.93</v>
      </c>
      <c r="I40" s="20">
        <f>SUMIF(Inventory!$D2:$D1136,"="&amp;I39, Inventory!$F2:$F1136)</f>
        <v>136.71</v>
      </c>
      <c r="J40" s="20">
        <f>SUMIF(Inventory!$D2:$D1136,"="&amp;J39, Inventory!$F2:$F1136)</f>
        <v>106.03</v>
      </c>
      <c r="K40" s="20">
        <f>SUMIF(Inventory!$D2:$D1136,"="&amp;K39, Inventory!$F2:$F1136)</f>
        <v>103.1</v>
      </c>
      <c r="L40" s="20">
        <f>SUMIF(Inventory!$D2:$D1136,"="&amp;L39, Inventory!$F2:$F1136)</f>
        <v>107.86</v>
      </c>
      <c r="M40" s="20">
        <f>SUMIF(Inventory!$D2:$D1136,"="&amp;M39, Inventory!$F2:$F1136)</f>
        <v>64.47</v>
      </c>
      <c r="N40" s="20">
        <f>SUMIF(Inventory!$D2:$D1136,"="&amp;N39, Inventory!$F2:$F1136)</f>
        <v>231.56</v>
      </c>
      <c r="O40" s="20">
        <f>SUMIF(Inventory!$D2:$D1136,"="&amp;O39, Inventory!$F2:$F1136)</f>
        <v>175.84</v>
      </c>
      <c r="P40" s="20">
        <f>SUMIF(Inventory!$D2:$D1136,"="&amp;P39, Inventory!$F2:$F1136)</f>
        <v>48.3</v>
      </c>
      <c r="Q40" s="20">
        <f>SUMIF(Inventory!$D2:$D1136,"="&amp;Q39, Inventory!$F2:$F1136)</f>
        <v>88.09</v>
      </c>
      <c r="R40" s="20">
        <f>SUMIF(Inventory!$D2:$D1136,"="&amp;R39, Inventory!$F2:$F1136)</f>
        <v>91.99</v>
      </c>
      <c r="S40" s="20">
        <f>SUMIF(Inventory!$D2:$D1136,"="&amp;S39, Inventory!$F2:$F1136)</f>
        <v>30.93</v>
      </c>
      <c r="T40" s="20">
        <f>SUMIF(Inventory!$D2:$D1136,"="&amp;T39, Inventory!$F2:$F1136)</f>
        <v>147.72</v>
      </c>
      <c r="U40" s="20">
        <f>SUMIF(Inventory!$D2:$D1136,"="&amp;U39, Inventory!$F2:$F1136)</f>
        <v>239.12</v>
      </c>
      <c r="V40" s="20">
        <f>SUMIF(Inventory!$D2:$D1136,"="&amp;V39, Inventory!$F2:$F1136)</f>
        <v>104.98</v>
      </c>
      <c r="W40" s="20">
        <f>SUMIF(Inventory!$D2:$D1136,"="&amp;W39, Inventory!$F2:$F1136)</f>
        <v>104.53</v>
      </c>
      <c r="X40" s="20">
        <f>SUMIF(Inventory!$D2:$D1136,"="&amp;X39, Inventory!$F2:$F1136)</f>
        <v>108.93</v>
      </c>
      <c r="Y40" s="20">
        <f>SUMIF(Inventory!$D2:$D1136,"="&amp;Y39, Inventory!$F2:$F1136)</f>
        <v>172.21</v>
      </c>
      <c r="Z40" s="20">
        <f>SUMIF(Inventory!$D2:$D1136,"="&amp;Z39, Inventory!$F2:$F1136)</f>
        <v>84.88</v>
      </c>
      <c r="AA40" s="20">
        <f>SUMIF(Inventory!$D2:$D1136,"="&amp;AA39, Inventory!$F2:$F1136)</f>
        <v>144.62</v>
      </c>
      <c r="AB40" s="20">
        <f>SUMIF(Inventory!$D2:$D1136,"="&amp;AB39, Inventory!$F2:$F1136)</f>
        <v>136.62</v>
      </c>
      <c r="AC40" s="20">
        <f>SUMIF(Inventory!$D2:$D1136,"="&amp;AC39, Inventory!$F2:$F1136)</f>
        <v>0</v>
      </c>
      <c r="AD40" s="20">
        <f>SUMIF(Inventory!$D2:$D1136,"="&amp;AD39, Inventory!$F2:$F1136)</f>
        <v>93.89</v>
      </c>
      <c r="AE40" s="20">
        <f>SUMIF(Inventory!$D2:$D1136,"="&amp;AE39, Inventory!$F2:$F1136)</f>
        <v>70.41</v>
      </c>
      <c r="AG40" s="20">
        <f t="shared" ref="AG40:AG42" si="17">SUM(B40:AF40)</f>
        <v>3439.57</v>
      </c>
      <c r="AH40" s="21">
        <f t="shared" ref="AH40:AH42" si="18">AVERAGE(B40:AF40)</f>
        <v>114.6523333</v>
      </c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  <c r="KJ40" s="21"/>
      <c r="KK40" s="21"/>
      <c r="KL40" s="21"/>
      <c r="KM40" s="21"/>
      <c r="KN40" s="21"/>
    </row>
    <row r="41" hidden="1" outlineLevel="2">
      <c r="A41" s="256" t="s">
        <v>10</v>
      </c>
      <c r="B41" s="20">
        <f>SUMIF(Inventory!$D2:$D1136,"="&amp;B39, Inventory!$E2:$E1136)</f>
        <v>163</v>
      </c>
      <c r="C41" s="20">
        <f>SUMIF(Inventory!$D2:$D1136,"="&amp;C39, Inventory!$E2:$E1136)</f>
        <v>75.47</v>
      </c>
      <c r="D41" s="20">
        <f>SUMIF(Inventory!$D2:$D1136,"="&amp;D39, Inventory!$E2:$E1136)</f>
        <v>254.17</v>
      </c>
      <c r="E41" s="20">
        <f>SUMIF(Inventory!$D2:$D1136,"="&amp;E39, Inventory!$E2:$E1136)</f>
        <v>99.18</v>
      </c>
      <c r="F41" s="20">
        <f>SUMIF(Inventory!$D2:$D1136,"="&amp;F39, Inventory!$E2:$E1136)</f>
        <v>45.98</v>
      </c>
      <c r="G41" s="20">
        <f>SUMIF(Inventory!$D2:$D1136,"="&amp;G39, Inventory!$E2:$E1136)</f>
        <v>25.54</v>
      </c>
      <c r="H41" s="20">
        <f>SUMIF(Inventory!$D2:$D1136,"="&amp;H39, Inventory!$E2:$E1136)</f>
        <v>51.3</v>
      </c>
      <c r="I41" s="20">
        <f>SUMIF(Inventory!$D2:$D1136,"="&amp;I39, Inventory!$E2:$E1136)</f>
        <v>116.91</v>
      </c>
      <c r="J41" s="20">
        <f>SUMIF(Inventory!$D2:$D1136,"="&amp;J39, Inventory!$E2:$E1136)</f>
        <v>85.61</v>
      </c>
      <c r="K41" s="20">
        <f>SUMIF(Inventory!$D2:$D1136,"="&amp;K39, Inventory!$E2:$E1136)</f>
        <v>100.33</v>
      </c>
      <c r="L41" s="20">
        <f>SUMIF(Inventory!$D2:$D1136,"="&amp;L39, Inventory!$E2:$E1136)</f>
        <v>85.08</v>
      </c>
      <c r="M41" s="20">
        <f>SUMIF(Inventory!$D2:$D1136,"="&amp;M39, Inventory!$E2:$E1136)</f>
        <v>48.18</v>
      </c>
      <c r="N41" s="20">
        <f>SUMIF(Inventory!$D2:$D1136,"="&amp;N39, Inventory!$E2:$E1136)</f>
        <v>200.53</v>
      </c>
      <c r="O41" s="20">
        <f>SUMIF(Inventory!$D2:$D1136,"="&amp;O39, Inventory!$E2:$E1136)</f>
        <v>138.92</v>
      </c>
      <c r="P41" s="20">
        <f>SUMIF(Inventory!$D2:$D1136,"="&amp;P39, Inventory!$E2:$E1136)</f>
        <v>38.29</v>
      </c>
      <c r="Q41" s="20">
        <f>SUMIF(Inventory!$D2:$D1136,"="&amp;Q39, Inventory!$E2:$E1136)</f>
        <v>69.29</v>
      </c>
      <c r="R41" s="20">
        <f>SUMIF(Inventory!$D2:$D1136,"="&amp;R39, Inventory!$E2:$E1136)</f>
        <v>80.76</v>
      </c>
      <c r="S41" s="20">
        <f>SUMIF(Inventory!$D2:$D1136,"="&amp;S39, Inventory!$E2:$E1136)</f>
        <v>25.24</v>
      </c>
      <c r="T41" s="20">
        <f>SUMIF(Inventory!$D2:$D1136,"="&amp;T39, Inventory!$E2:$E1136)</f>
        <v>121.59</v>
      </c>
      <c r="U41" s="20">
        <f>SUMIF(Inventory!$D2:$D1136,"="&amp;U39, Inventory!$E2:$E1136)</f>
        <v>159.3</v>
      </c>
      <c r="V41" s="20">
        <f>SUMIF(Inventory!$D2:$D1136,"="&amp;V39, Inventory!$E2:$E1136)</f>
        <v>73.94</v>
      </c>
      <c r="W41" s="20">
        <f>SUMIF(Inventory!$D2:$D1136,"="&amp;W39, Inventory!$E2:$E1136)</f>
        <v>89</v>
      </c>
      <c r="X41" s="20">
        <f>SUMIF(Inventory!$D2:$D1136,"="&amp;X39, Inventory!$E2:$E1136)</f>
        <v>85.02</v>
      </c>
      <c r="Y41" s="20">
        <f>SUMIF(Inventory!$D2:$D1136,"="&amp;Y39, Inventory!$E2:$E1136)</f>
        <v>149.93</v>
      </c>
      <c r="Z41" s="20">
        <f>SUMIF(Inventory!$D2:$D1136,"="&amp;Z39, Inventory!$E2:$E1136)</f>
        <v>64.66</v>
      </c>
      <c r="AA41" s="20">
        <f>SUMIF(Inventory!$D2:$D1136,"="&amp;AA39, Inventory!$E2:$E1136)</f>
        <v>130.79</v>
      </c>
      <c r="AB41" s="20">
        <f>SUMIF(Inventory!$D2:$D1136,"="&amp;AB39, Inventory!$E2:$E1136)</f>
        <v>120.01</v>
      </c>
      <c r="AC41" s="20">
        <f>SUMIF(Inventory!$D2:$D1136,"="&amp;AC39, Inventory!$E2:$E1136)</f>
        <v>0</v>
      </c>
      <c r="AD41" s="20">
        <f>SUMIF(Inventory!$D2:$D1136,"="&amp;AD39, Inventory!$E2:$E1136)</f>
        <v>86.85</v>
      </c>
      <c r="AE41" s="20">
        <f>SUMIF(Inventory!$D2:$D1136,"="&amp;AE39, Inventory!$E2:$E1136)</f>
        <v>57.72</v>
      </c>
      <c r="AG41" s="20">
        <f t="shared" si="17"/>
        <v>2842.59</v>
      </c>
      <c r="AH41" s="21">
        <f t="shared" si="18"/>
        <v>94.753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N41" s="21"/>
    </row>
    <row r="42" hidden="1" outlineLevel="2">
      <c r="A42" s="256" t="s">
        <v>11</v>
      </c>
      <c r="B42" s="20">
        <f>SUMIF(Inventory!$D2:$D1136,"="&amp;B39, Inventory!$G2:$G1136)</f>
        <v>20.82</v>
      </c>
      <c r="C42" s="20">
        <f>SUMIF(Inventory!$D2:$D1136,"="&amp;C39, Inventory!$G2:$G1136)</f>
        <v>16.79</v>
      </c>
      <c r="D42" s="20">
        <f>SUMIF(Inventory!$D2:$D1136,"="&amp;D39, Inventory!$G2:$G1136)</f>
        <v>64.74</v>
      </c>
      <c r="E42" s="20">
        <f>SUMIF(Inventory!$D2:$D1136,"="&amp;E39, Inventory!$G2:$G1136)</f>
        <v>22.12</v>
      </c>
      <c r="F42" s="20">
        <f>SUMIF(Inventory!$D2:$D1136,"="&amp;F39, Inventory!$G2:$G1136)</f>
        <v>2.42</v>
      </c>
      <c r="G42" s="20">
        <f>SUMIF(Inventory!$D2:$D1136,"="&amp;G39, Inventory!$G2:$G1136)</f>
        <v>-2.38</v>
      </c>
      <c r="H42" s="20">
        <f>SUMIF(Inventory!$D2:$D1136,"="&amp;H39, Inventory!$G2:$G1136)</f>
        <v>7.63</v>
      </c>
      <c r="I42" s="20">
        <f>SUMIF(Inventory!$D2:$D1136,"="&amp;I39, Inventory!$G2:$G1136)</f>
        <v>19.8</v>
      </c>
      <c r="J42" s="20">
        <f>SUMIF(Inventory!$D2:$D1136,"="&amp;J39, Inventory!$G2:$G1136)</f>
        <v>20.42</v>
      </c>
      <c r="K42" s="20">
        <f>SUMIF(Inventory!$D2:$D1136,"="&amp;K39, Inventory!$G2:$G1136)</f>
        <v>2.77</v>
      </c>
      <c r="L42" s="20">
        <f>SUMIF(Inventory!$D2:$D1136,"="&amp;L39, Inventory!$G2:$G1136)</f>
        <v>22.78</v>
      </c>
      <c r="M42" s="20">
        <f>SUMIF(Inventory!$D2:$D1136,"="&amp;M39, Inventory!$G2:$G1136)</f>
        <v>16.29</v>
      </c>
      <c r="N42" s="20">
        <f>SUMIF(Inventory!$D2:$D1136,"="&amp;N39, Inventory!$G2:$G1136)</f>
        <v>31.03</v>
      </c>
      <c r="O42" s="20">
        <f>SUMIF(Inventory!$D2:$D1136,"="&amp;O39, Inventory!$G2:$G1136)</f>
        <v>36.92</v>
      </c>
      <c r="P42" s="20">
        <f>SUMIF(Inventory!$D2:$D1136,"="&amp;P39, Inventory!$G2:$G1136)</f>
        <v>10.01</v>
      </c>
      <c r="Q42" s="20">
        <f>SUMIF(Inventory!$D2:$D1136,"="&amp;Q39, Inventory!$G2:$G1136)</f>
        <v>18.8</v>
      </c>
      <c r="R42" s="20">
        <f>SUMIF(Inventory!$D2:$D1136,"="&amp;R39, Inventory!$G2:$G1136)</f>
        <v>11.23</v>
      </c>
      <c r="S42" s="20">
        <f>SUMIF(Inventory!$D2:$D1136,"="&amp;S39, Inventory!$G2:$G1136)</f>
        <v>5.69</v>
      </c>
      <c r="T42" s="20">
        <f>SUMIF(Inventory!$D2:$D1136,"="&amp;T39, Inventory!$G2:$G1136)</f>
        <v>26.13</v>
      </c>
      <c r="U42" s="20">
        <f>SUMIF(Inventory!$D2:$D1136,"="&amp;U39, Inventory!$G2:$G1136)</f>
        <v>79.82</v>
      </c>
      <c r="V42" s="20">
        <f>SUMIF(Inventory!$D2:$D1136,"="&amp;V39, Inventory!$G2:$G1136)</f>
        <v>31.04</v>
      </c>
      <c r="W42" s="20">
        <f>SUMIF(Inventory!$D2:$D1136,"="&amp;W39, Inventory!$G2:$G1136)</f>
        <v>15.53</v>
      </c>
      <c r="X42" s="20">
        <f>SUMIF(Inventory!$D2:$D1136,"="&amp;X39, Inventory!$G2:$G1136)</f>
        <v>23.91</v>
      </c>
      <c r="Y42" s="20">
        <f>SUMIF(Inventory!$D2:$D1136,"="&amp;Y39, Inventory!$G2:$G1136)</f>
        <v>22.28</v>
      </c>
      <c r="Z42" s="20">
        <f>SUMIF(Inventory!$D2:$D1136,"="&amp;Z39, Inventory!$G2:$G1136)</f>
        <v>20.22</v>
      </c>
      <c r="AA42" s="20">
        <f>SUMIF(Inventory!$D2:$D1136,"="&amp;AA39, Inventory!$G2:$G1136)</f>
        <v>13.83</v>
      </c>
      <c r="AB42" s="20">
        <f>SUMIF(Inventory!$D2:$D1136,"="&amp;AB39, Inventory!$G2:$G1136)</f>
        <v>16.61</v>
      </c>
      <c r="AC42" s="20">
        <f>SUMIF(Inventory!$D2:$D1136,"="&amp;AC39, Inventory!$G2:$G1136)</f>
        <v>0</v>
      </c>
      <c r="AD42" s="20">
        <f>SUMIF(Inventory!$D2:$D1136,"="&amp;AD39, Inventory!$G2:$G1136)</f>
        <v>7.04</v>
      </c>
      <c r="AE42" s="20">
        <f>SUMIF(Inventory!$D2:$D1136,"="&amp;AE39, Inventory!$G2:$G1136)</f>
        <v>12.69</v>
      </c>
      <c r="AG42" s="20">
        <f t="shared" si="17"/>
        <v>596.98</v>
      </c>
      <c r="AH42" s="21">
        <f t="shared" si="18"/>
        <v>19.89933333</v>
      </c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</row>
    <row r="43" outlineLevel="1" collapsed="1">
      <c r="A43" s="253" t="s">
        <v>10208</v>
      </c>
      <c r="B43" s="255">
        <v>45200.0</v>
      </c>
      <c r="C43" s="255">
        <v>45201.0</v>
      </c>
      <c r="D43" s="255">
        <v>45202.0</v>
      </c>
      <c r="E43" s="255">
        <v>45203.0</v>
      </c>
      <c r="F43" s="255">
        <v>45204.0</v>
      </c>
      <c r="G43" s="255">
        <v>45205.0</v>
      </c>
      <c r="H43" s="255">
        <v>45206.0</v>
      </c>
      <c r="I43" s="255">
        <v>45207.0</v>
      </c>
      <c r="J43" s="255">
        <v>45208.0</v>
      </c>
      <c r="K43" s="255">
        <v>45209.0</v>
      </c>
      <c r="L43" s="255">
        <v>45210.0</v>
      </c>
      <c r="M43" s="255">
        <v>45211.0</v>
      </c>
      <c r="N43" s="255">
        <v>45212.0</v>
      </c>
      <c r="O43" s="255">
        <v>45213.0</v>
      </c>
      <c r="P43" s="255">
        <v>45214.0</v>
      </c>
      <c r="Q43" s="255">
        <v>45215.0</v>
      </c>
      <c r="R43" s="255">
        <v>45216.0</v>
      </c>
      <c r="S43" s="255">
        <v>45217.0</v>
      </c>
      <c r="T43" s="255">
        <v>45218.0</v>
      </c>
      <c r="U43" s="255">
        <v>45219.0</v>
      </c>
      <c r="V43" s="255">
        <v>45220.0</v>
      </c>
      <c r="W43" s="255">
        <v>45221.0</v>
      </c>
      <c r="X43" s="255">
        <v>45222.0</v>
      </c>
      <c r="Y43" s="255">
        <v>45223.0</v>
      </c>
      <c r="Z43" s="255">
        <v>45224.0</v>
      </c>
      <c r="AA43" s="255">
        <v>45225.0</v>
      </c>
      <c r="AB43" s="255">
        <v>45226.0</v>
      </c>
      <c r="AC43" s="255">
        <v>45227.0</v>
      </c>
      <c r="AD43" s="255">
        <v>45228.0</v>
      </c>
      <c r="AE43" s="255">
        <v>45229.0</v>
      </c>
      <c r="AF43" s="255">
        <v>45230.0</v>
      </c>
      <c r="AG43" s="20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1"/>
    </row>
    <row r="44" hidden="1" outlineLevel="2">
      <c r="A44" s="256" t="s">
        <v>9</v>
      </c>
      <c r="B44" s="20">
        <f>SUMIF(Inventory!$D2:$D1136,"="&amp;B43, Inventory!$F2:$F1136)</f>
        <v>79.12</v>
      </c>
      <c r="C44" s="20">
        <f>SUMIF(Inventory!$D2:$D1136,"="&amp;C43, Inventory!$F2:$F1136)</f>
        <v>78.78</v>
      </c>
      <c r="D44" s="20">
        <f>SUMIF(Inventory!$D2:$D1136,"="&amp;D43, Inventory!$F2:$F1136)</f>
        <v>56.88</v>
      </c>
      <c r="E44" s="20">
        <f>SUMIF(Inventory!$D2:$D1136,"="&amp;E43, Inventory!$F2:$F1136)</f>
        <v>83.44</v>
      </c>
      <c r="F44" s="20">
        <f>SUMIF(Inventory!$D2:$D1136,"="&amp;F43, Inventory!$F2:$F1136)</f>
        <v>139.63</v>
      </c>
      <c r="G44" s="20">
        <f>SUMIF(Inventory!$D2:$D1136,"="&amp;G43, Inventory!$F2:$F1136)</f>
        <v>376.11</v>
      </c>
      <c r="H44" s="20">
        <f>SUMIF(Inventory!$D2:$D1136,"="&amp;H43, Inventory!$F2:$F1136)</f>
        <v>182.96</v>
      </c>
      <c r="I44" s="20">
        <f>SUMIF(Inventory!$D2:$D1136,"="&amp;I43, Inventory!$F2:$F1136)</f>
        <v>164.17</v>
      </c>
      <c r="J44" s="20">
        <f>SUMIF(Inventory!$D2:$D1136,"="&amp;J43, Inventory!$F2:$F1136)</f>
        <v>203.18</v>
      </c>
      <c r="K44" s="20">
        <f>SUMIF(Inventory!$D2:$D1136,"="&amp;K43, Inventory!$F2:$F1136)</f>
        <v>187.11</v>
      </c>
      <c r="L44" s="20">
        <f>SUMIF(Inventory!$D2:$D1136,"="&amp;L43, Inventory!$F2:$F1136)</f>
        <v>79.5</v>
      </c>
      <c r="M44" s="20">
        <f>SUMIF(Inventory!$D2:$D1136,"="&amp;M43, Inventory!$F2:$F1136)</f>
        <v>162.48</v>
      </c>
      <c r="N44" s="20">
        <f>SUMIF(Inventory!$D2:$D1136,"="&amp;N43, Inventory!$F2:$F1136)</f>
        <v>190.19</v>
      </c>
      <c r="O44" s="20">
        <f>SUMIF(Inventory!$D2:$D1136,"="&amp;O43, Inventory!$F2:$F1136)</f>
        <v>113.37</v>
      </c>
      <c r="P44" s="20">
        <f>SUMIF(Inventory!$D2:$D1136,"="&amp;P43, Inventory!$F2:$F1136)</f>
        <v>80.32</v>
      </c>
      <c r="Q44" s="20">
        <f>SUMIF(Inventory!$D2:$D1136,"="&amp;Q43, Inventory!$F2:$F1136)</f>
        <v>50.37</v>
      </c>
      <c r="R44" s="20">
        <f>SUMIF(Inventory!$D2:$D1136,"="&amp;R43, Inventory!$F2:$F1136)</f>
        <v>101.93</v>
      </c>
      <c r="S44" s="20">
        <f>SUMIF(Inventory!$D2:$D1136,"="&amp;S43, Inventory!$F2:$F1136)</f>
        <v>63.61</v>
      </c>
      <c r="T44" s="20">
        <f>SUMIF(Inventory!$D2:$D1136,"="&amp;T43, Inventory!$F2:$F1136)</f>
        <v>79.55</v>
      </c>
      <c r="U44" s="20">
        <f>SUMIF(Inventory!$D2:$D1136,"="&amp;U43, Inventory!$F2:$F1136)</f>
        <v>206.69</v>
      </c>
      <c r="V44" s="20">
        <f>SUMIF(Inventory!$D2:$D1136,"="&amp;V43, Inventory!$F2:$F1136)</f>
        <v>407.35</v>
      </c>
      <c r="W44" s="20">
        <f>SUMIF(Inventory!$D2:$D1136,"="&amp;W43, Inventory!$F2:$F1136)</f>
        <v>243.23</v>
      </c>
      <c r="X44" s="20">
        <f>SUMIF(Inventory!$D2:$D1136,"="&amp;X43, Inventory!$F2:$F1136)</f>
        <v>275.29</v>
      </c>
      <c r="Y44" s="20">
        <f>SUMIF(Inventory!$D2:$D1136,"="&amp;Y43, Inventory!$F2:$F1136)</f>
        <v>203.5</v>
      </c>
      <c r="Z44" s="20">
        <f>SUMIF(Inventory!$D2:$D1136,"="&amp;Z43, Inventory!$F2:$F1136)</f>
        <v>149.81</v>
      </c>
      <c r="AA44" s="20">
        <f>SUMIF(Inventory!$D2:$D1136,"="&amp;AA43, Inventory!$F2:$F1136)</f>
        <v>101.1</v>
      </c>
      <c r="AB44" s="20">
        <f>SUMIF(Inventory!$D2:$D1136,"="&amp;AB43, Inventory!$F2:$F1136)</f>
        <v>5.53</v>
      </c>
      <c r="AC44" s="20">
        <f>SUMIF(Inventory!$D2:$D1136,"="&amp;AC43, Inventory!$F2:$F1136)</f>
        <v>0</v>
      </c>
      <c r="AD44" s="20">
        <f>SUMIF(Inventory!$D2:$D1136,"="&amp;AD43, Inventory!$F2:$F1136)</f>
        <v>4.87</v>
      </c>
      <c r="AE44" s="20">
        <f>SUMIF(Inventory!$D2:$D1136,"="&amp;AE43, Inventory!$F2:$F1136)</f>
        <v>62.13</v>
      </c>
      <c r="AF44" s="20">
        <f>SUMIF(Inventory!$D2:$D1136,"="&amp;AF43, Inventory!$F2:$F1136)</f>
        <v>82.19</v>
      </c>
      <c r="AG44" s="20">
        <f t="shared" ref="AG44:AG46" si="19">SUM(B44:AF44)</f>
        <v>4214.39</v>
      </c>
      <c r="AH44" s="21">
        <f t="shared" ref="AH44:AH46" si="20">AVERAGE(B44:AF44)</f>
        <v>135.9480645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</row>
    <row r="45" hidden="1" outlineLevel="2">
      <c r="A45" s="256" t="s">
        <v>10</v>
      </c>
      <c r="B45" s="20">
        <f>SUMIF(Inventory!$D2:$D1136,"="&amp;B43, Inventory!$E2:$E1136)</f>
        <v>64</v>
      </c>
      <c r="C45" s="20">
        <f>SUMIF(Inventory!$D2:$D1136,"="&amp;C43, Inventory!$E2:$E1136)</f>
        <v>72.31</v>
      </c>
      <c r="D45" s="20">
        <f>SUMIF(Inventory!$D2:$D1136,"="&amp;D43, Inventory!$E2:$E1136)</f>
        <v>46.82</v>
      </c>
      <c r="E45" s="20">
        <f>SUMIF(Inventory!$D2:$D1136,"="&amp;E43, Inventory!$E2:$E1136)</f>
        <v>74.28</v>
      </c>
      <c r="F45" s="20">
        <f>SUMIF(Inventory!$D2:$D1136,"="&amp;F43, Inventory!$E2:$E1136)</f>
        <v>125.25</v>
      </c>
      <c r="G45" s="20">
        <f>SUMIF(Inventory!$D2:$D1136,"="&amp;G43, Inventory!$E2:$E1136)</f>
        <v>307.88</v>
      </c>
      <c r="H45" s="20">
        <f>SUMIF(Inventory!$D2:$D1136,"="&amp;H43, Inventory!$E2:$E1136)</f>
        <v>154.96</v>
      </c>
      <c r="I45" s="20">
        <f>SUMIF(Inventory!$D2:$D1136,"="&amp;I43, Inventory!$E2:$E1136)</f>
        <v>125.61</v>
      </c>
      <c r="J45" s="20">
        <f>SUMIF(Inventory!$D2:$D1136,"="&amp;J43, Inventory!$E2:$E1136)</f>
        <v>143.96</v>
      </c>
      <c r="K45" s="20">
        <f>SUMIF(Inventory!$D2:$D1136,"="&amp;K43, Inventory!$E2:$E1136)</f>
        <v>153.61</v>
      </c>
      <c r="L45" s="20">
        <f>SUMIF(Inventory!$D2:$D1136,"="&amp;L43, Inventory!$E2:$E1136)</f>
        <v>65.82</v>
      </c>
      <c r="M45" s="20">
        <f>SUMIF(Inventory!$D2:$D1136,"="&amp;M43, Inventory!$E2:$E1136)</f>
        <v>138.07</v>
      </c>
      <c r="N45" s="20">
        <f>SUMIF(Inventory!$D2:$D1136,"="&amp;N43, Inventory!$E2:$E1136)</f>
        <v>137.63</v>
      </c>
      <c r="O45" s="20">
        <f>SUMIF(Inventory!$D2:$D1136,"="&amp;O43, Inventory!$E2:$E1136)</f>
        <v>104.5</v>
      </c>
      <c r="P45" s="20">
        <f>SUMIF(Inventory!$D2:$D1136,"="&amp;P43, Inventory!$E2:$E1136)</f>
        <v>47.34</v>
      </c>
      <c r="Q45" s="20">
        <f>SUMIF(Inventory!$D2:$D1136,"="&amp;Q43, Inventory!$E2:$E1136)</f>
        <v>45.41</v>
      </c>
      <c r="R45" s="20">
        <f>SUMIF(Inventory!$D2:$D1136,"="&amp;R43, Inventory!$E2:$E1136)</f>
        <v>73.83</v>
      </c>
      <c r="S45" s="20">
        <f>SUMIF(Inventory!$D2:$D1136,"="&amp;S43, Inventory!$E2:$E1136)</f>
        <v>47.54</v>
      </c>
      <c r="T45" s="20">
        <f>SUMIF(Inventory!$D2:$D1136,"="&amp;T43, Inventory!$E2:$E1136)</f>
        <v>67.39</v>
      </c>
      <c r="U45" s="20">
        <f>SUMIF(Inventory!$D2:$D1136,"="&amp;U43, Inventory!$E2:$E1136)</f>
        <v>181.95</v>
      </c>
      <c r="V45" s="20">
        <f>SUMIF(Inventory!$D2:$D1136,"="&amp;V43, Inventory!$E2:$E1136)</f>
        <v>330.64</v>
      </c>
      <c r="W45" s="20">
        <f>SUMIF(Inventory!$D2:$D1136,"="&amp;W43, Inventory!$E2:$E1136)</f>
        <v>204.33</v>
      </c>
      <c r="X45" s="20">
        <f>SUMIF(Inventory!$D2:$D1136,"="&amp;X43, Inventory!$E2:$E1136)</f>
        <v>229.03</v>
      </c>
      <c r="Y45" s="20">
        <f>SUMIF(Inventory!$D2:$D1136,"="&amp;Y43, Inventory!$E2:$E1136)</f>
        <v>163.32</v>
      </c>
      <c r="Z45" s="20">
        <f>SUMIF(Inventory!$D2:$D1136,"="&amp;Z43, Inventory!$E2:$E1136)</f>
        <v>124.41</v>
      </c>
      <c r="AA45" s="20">
        <f>SUMIF(Inventory!$D2:$D1136,"="&amp;AA43, Inventory!$E2:$E1136)</f>
        <v>76.66</v>
      </c>
      <c r="AB45" s="20">
        <f>SUMIF(Inventory!$D2:$D1136,"="&amp;AB43, Inventory!$E2:$E1136)</f>
        <v>2.38</v>
      </c>
      <c r="AC45" s="20">
        <f>SUMIF(Inventory!$D2:$D1136,"="&amp;AC43, Inventory!$E2:$E1136)</f>
        <v>0</v>
      </c>
      <c r="AD45" s="20">
        <f>SUMIF(Inventory!$D2:$D1136,"="&amp;AD43, Inventory!$E2:$E1136)</f>
        <v>4.37</v>
      </c>
      <c r="AE45" s="20">
        <f>SUMIF(Inventory!$D2:$D1136,"="&amp;AE43, Inventory!$E2:$E1136)</f>
        <v>62.01</v>
      </c>
      <c r="AF45" s="20">
        <f>SUMIF(Inventory!$D2:$D1136,"="&amp;AF43, Inventory!$E2:$E1136)</f>
        <v>66.71</v>
      </c>
      <c r="AG45" s="20">
        <f t="shared" si="19"/>
        <v>3442.02</v>
      </c>
      <c r="AH45" s="21">
        <f t="shared" si="20"/>
        <v>111.0329032</v>
      </c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1"/>
    </row>
    <row r="46" hidden="1" outlineLevel="2">
      <c r="A46" s="256" t="s">
        <v>11</v>
      </c>
      <c r="B46" s="20">
        <f>SUMIF(Inventory!$D2:$D1136,"="&amp;B43, Inventory!$G2:$G1136)</f>
        <v>15.12</v>
      </c>
      <c r="C46" s="20">
        <f>SUMIF(Inventory!$D2:$D1136,"="&amp;C43, Inventory!$G2:$G1136)</f>
        <v>6.47</v>
      </c>
      <c r="D46" s="20">
        <f>SUMIF(Inventory!$D2:$D1136,"="&amp;D43, Inventory!$G2:$G1136)</f>
        <v>10.06</v>
      </c>
      <c r="E46" s="20">
        <f>SUMIF(Inventory!$D2:$D1136,"="&amp;E43, Inventory!$G2:$G1136)</f>
        <v>9.16</v>
      </c>
      <c r="F46" s="20">
        <f>SUMIF(Inventory!$D2:$D1136,"="&amp;F43, Inventory!$G2:$G1136)</f>
        <v>14.38</v>
      </c>
      <c r="G46" s="20">
        <f>SUMIF(Inventory!$D2:$D1136,"="&amp;G43, Inventory!$G2:$G1136)</f>
        <v>68.23</v>
      </c>
      <c r="H46" s="20">
        <f>SUMIF(Inventory!$D2:$D1136,"="&amp;H43, Inventory!$G2:$G1136)</f>
        <v>28</v>
      </c>
      <c r="I46" s="20">
        <f>SUMIF(Inventory!$D2:$D1136,"="&amp;I43, Inventory!$G2:$G1136)</f>
        <v>38.56</v>
      </c>
      <c r="J46" s="20">
        <f>SUMIF(Inventory!$D2:$D1136,"="&amp;J43, Inventory!$G2:$G1136)</f>
        <v>59.22</v>
      </c>
      <c r="K46" s="20">
        <f>SUMIF(Inventory!$D2:$D1136,"="&amp;K43, Inventory!$G2:$G1136)</f>
        <v>33.5</v>
      </c>
      <c r="L46" s="20">
        <f>SUMIF(Inventory!$D2:$D1136,"="&amp;L43, Inventory!$G2:$G1136)</f>
        <v>13.68</v>
      </c>
      <c r="M46" s="20">
        <f>SUMIF(Inventory!$D2:$D1136,"="&amp;M43, Inventory!$G2:$G1136)</f>
        <v>24.41</v>
      </c>
      <c r="N46" s="20">
        <f>SUMIF(Inventory!$D2:$D1136,"="&amp;N43, Inventory!$G2:$G1136)</f>
        <v>52.56</v>
      </c>
      <c r="O46" s="20">
        <f>SUMIF(Inventory!$D2:$D1136,"="&amp;O43, Inventory!$G2:$G1136)</f>
        <v>8.87</v>
      </c>
      <c r="P46" s="20">
        <f>SUMIF(Inventory!$D2:$D1136,"="&amp;P43, Inventory!$G2:$G1136)</f>
        <v>32.98</v>
      </c>
      <c r="Q46" s="20">
        <f>SUMIF(Inventory!$D2:$D1136,"="&amp;Q43, Inventory!$G2:$G1136)</f>
        <v>4.96</v>
      </c>
      <c r="R46" s="20">
        <f>SUMIF(Inventory!$D2:$D1136,"="&amp;R43, Inventory!$G2:$G1136)</f>
        <v>28.1</v>
      </c>
      <c r="S46" s="20">
        <f>SUMIF(Inventory!$D2:$D1136,"="&amp;S43, Inventory!$G2:$G1136)</f>
        <v>16.07</v>
      </c>
      <c r="T46" s="20">
        <f>SUMIF(Inventory!$D2:$D1136,"="&amp;T43, Inventory!$G2:$G1136)</f>
        <v>12.16</v>
      </c>
      <c r="U46" s="20">
        <f>SUMIF(Inventory!$D2:$D1136,"="&amp;U43, Inventory!$G2:$G1136)</f>
        <v>24.74</v>
      </c>
      <c r="V46" s="20">
        <f>SUMIF(Inventory!$D2:$D1136,"="&amp;V43, Inventory!$G2:$G1136)</f>
        <v>76.71</v>
      </c>
      <c r="W46" s="20">
        <f>SUMIF(Inventory!$D2:$D1136,"="&amp;W43, Inventory!$G2:$G1136)</f>
        <v>38.9</v>
      </c>
      <c r="X46" s="20">
        <f>SUMIF(Inventory!$D2:$D1136,"="&amp;X43, Inventory!$G2:$G1136)</f>
        <v>46.26</v>
      </c>
      <c r="Y46" s="20">
        <f>SUMIF(Inventory!$D2:$D1136,"="&amp;Y43, Inventory!$G2:$G1136)</f>
        <v>40.18</v>
      </c>
      <c r="Z46" s="20">
        <f>SUMIF(Inventory!$D2:$D1136,"="&amp;Z43, Inventory!$G2:$G1136)</f>
        <v>25.4</v>
      </c>
      <c r="AA46" s="20">
        <f>SUMIF(Inventory!$D2:$D1136,"="&amp;AA43, Inventory!$G2:$G1136)</f>
        <v>24.44</v>
      </c>
      <c r="AB46" s="20">
        <f>SUMIF(Inventory!$D2:$D1136,"="&amp;AB43, Inventory!$G2:$G1136)</f>
        <v>3.15</v>
      </c>
      <c r="AC46" s="20">
        <f>SUMIF(Inventory!$D2:$D1136,"="&amp;AC43, Inventory!$G2:$G1136)</f>
        <v>0</v>
      </c>
      <c r="AD46" s="20">
        <f>SUMIF(Inventory!$D2:$D1136,"="&amp;AD43, Inventory!$G2:$G1136)</f>
        <v>0.5</v>
      </c>
      <c r="AE46" s="20">
        <f>SUMIF(Inventory!$D2:$D1136,"="&amp;AE43, Inventory!$G2:$G1136)</f>
        <v>0.12</v>
      </c>
      <c r="AF46" s="20">
        <f>SUMIF(Inventory!$D2:$D1136,"="&amp;AF43, Inventory!$G2:$G1136)</f>
        <v>15.48</v>
      </c>
      <c r="AG46" s="20">
        <f t="shared" si="19"/>
        <v>772.37</v>
      </c>
      <c r="AH46" s="21">
        <f t="shared" si="20"/>
        <v>24.91516129</v>
      </c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</row>
    <row r="47" outlineLevel="1" collapsed="1">
      <c r="A47" s="253" t="s">
        <v>10209</v>
      </c>
      <c r="B47" s="255">
        <v>45231.0</v>
      </c>
      <c r="C47" s="255">
        <v>45232.0</v>
      </c>
      <c r="D47" s="255">
        <v>45233.0</v>
      </c>
      <c r="E47" s="255">
        <v>45234.0</v>
      </c>
      <c r="F47" s="255">
        <v>45235.0</v>
      </c>
      <c r="G47" s="255">
        <v>45236.0</v>
      </c>
      <c r="H47" s="255">
        <v>45237.0</v>
      </c>
      <c r="I47" s="255">
        <v>45238.0</v>
      </c>
      <c r="J47" s="255">
        <v>45239.0</v>
      </c>
      <c r="K47" s="255">
        <v>45240.0</v>
      </c>
      <c r="L47" s="255">
        <v>45241.0</v>
      </c>
      <c r="M47" s="255">
        <v>45242.0</v>
      </c>
      <c r="N47" s="255">
        <v>45243.0</v>
      </c>
      <c r="O47" s="255">
        <v>45244.0</v>
      </c>
      <c r="P47" s="255">
        <v>45245.0</v>
      </c>
      <c r="Q47" s="255">
        <v>45246.0</v>
      </c>
      <c r="R47" s="255">
        <v>45247.0</v>
      </c>
      <c r="S47" s="255">
        <v>45248.0</v>
      </c>
      <c r="T47" s="255">
        <v>45249.0</v>
      </c>
      <c r="U47" s="255">
        <v>45250.0</v>
      </c>
      <c r="V47" s="255">
        <v>45251.0</v>
      </c>
      <c r="W47" s="255">
        <v>45252.0</v>
      </c>
      <c r="X47" s="255">
        <v>45253.0</v>
      </c>
      <c r="Y47" s="255">
        <v>45254.0</v>
      </c>
      <c r="Z47" s="255">
        <v>45255.0</v>
      </c>
      <c r="AA47" s="255">
        <v>45256.0</v>
      </c>
      <c r="AB47" s="255">
        <v>45257.0</v>
      </c>
      <c r="AC47" s="255">
        <v>45258.0</v>
      </c>
      <c r="AD47" s="255">
        <v>45259.0</v>
      </c>
      <c r="AE47" s="255">
        <v>45260.0</v>
      </c>
      <c r="AF47" s="255"/>
      <c r="AG47" s="20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</row>
    <row r="48" hidden="1" outlineLevel="2">
      <c r="A48" s="256" t="s">
        <v>9</v>
      </c>
      <c r="B48" s="20">
        <f>SUMIF(Inventory!$D2:$D1136,"="&amp;B47, Inventory!$F2:$F1136)</f>
        <v>64.97</v>
      </c>
      <c r="C48" s="20">
        <f>SUMIF(Inventory!$D2:$D1136,"="&amp;C47, Inventory!$F2:$F1136)</f>
        <v>476.38</v>
      </c>
      <c r="D48" s="20">
        <f>SUMIF(Inventory!$D2:$D1136,"="&amp;D47, Inventory!$F2:$F1136)</f>
        <v>308.08</v>
      </c>
      <c r="E48" s="20">
        <f>SUMIF(Inventory!$D2:$D1136,"="&amp;E47, Inventory!$F2:$F1136)</f>
        <v>252.11</v>
      </c>
      <c r="F48" s="20">
        <f>SUMIF(Inventory!$D2:$D1136,"="&amp;F47, Inventory!$F2:$F1136)</f>
        <v>30.42</v>
      </c>
      <c r="G48" s="20">
        <f>SUMIF(Inventory!$D2:$D1136,"="&amp;G47, Inventory!$F2:$F1136)</f>
        <v>22.17</v>
      </c>
      <c r="H48" s="20">
        <f>SUMIF(Inventory!$D2:$D1136,"="&amp;H47, Inventory!$F2:$F1136)</f>
        <v>150.76</v>
      </c>
      <c r="I48" s="20">
        <f>SUMIF(Inventory!$D2:$D1136,"="&amp;I47, Inventory!$F2:$F1136)</f>
        <v>190.54</v>
      </c>
      <c r="J48" s="20">
        <f>SUMIF(Inventory!$D2:$D1136,"="&amp;J47, Inventory!$F2:$F1136)</f>
        <v>110.82</v>
      </c>
      <c r="K48" s="20">
        <f>SUMIF(Inventory!$D2:$D1136,"="&amp;K47, Inventory!$F2:$F1136)</f>
        <v>174.17</v>
      </c>
      <c r="L48" s="20">
        <f>SUMIF(Inventory!$D2:$D1136,"="&amp;L47, Inventory!$F2:$F1136)</f>
        <v>459.25</v>
      </c>
      <c r="M48" s="20">
        <f>SUMIF(Inventory!$D2:$D1136,"="&amp;M47, Inventory!$F2:$F1136)</f>
        <v>258.25</v>
      </c>
      <c r="N48" s="20">
        <f>SUMIF(Inventory!$D2:$D1136,"="&amp;N47, Inventory!$F2:$F1136)</f>
        <v>192.73</v>
      </c>
      <c r="O48" s="20">
        <f>SUMIF(Inventory!$D2:$D1136,"="&amp;O47, Inventory!$F2:$F1136)</f>
        <v>73.69</v>
      </c>
      <c r="P48" s="20">
        <f>SUMIF(Inventory!$D2:$D1136,"="&amp;P47, Inventory!$F2:$F1136)</f>
        <v>74.23</v>
      </c>
      <c r="Q48" s="20">
        <f>SUMIF(Inventory!$D2:$D1136,"="&amp;Q47, Inventory!$F2:$F1136)</f>
        <v>169.65</v>
      </c>
      <c r="R48" s="20">
        <f>SUMIF(Inventory!$D2:$D1136,"="&amp;R47, Inventory!$F2:$F1136)</f>
        <v>203.79</v>
      </c>
      <c r="S48" s="20">
        <f>SUMIF(Inventory!$D2:$D1136,"="&amp;S47, Inventory!$F2:$F1136)</f>
        <v>128.09</v>
      </c>
      <c r="T48" s="20">
        <f>SUMIF(Inventory!$D2:$D1136,"="&amp;T47, Inventory!$F2:$F1136)</f>
        <v>154.74</v>
      </c>
      <c r="U48" s="20">
        <f>SUMIF(Inventory!$D2:$D1136,"="&amp;U47, Inventory!$F2:$F1136)</f>
        <v>106.63</v>
      </c>
      <c r="V48" s="20">
        <f>SUMIF(Inventory!$D2:$D1136,"="&amp;V47, Inventory!$F2:$F1136)</f>
        <v>53.42</v>
      </c>
      <c r="W48" s="20">
        <f>SUMIF(Inventory!$D2:$D1136,"="&amp;W47, Inventory!$F2:$F1136)</f>
        <v>53.48</v>
      </c>
      <c r="X48" s="20">
        <f>SUMIF(Inventory!$D2:$D1136,"="&amp;X47, Inventory!$F2:$F1136)</f>
        <v>62.9</v>
      </c>
      <c r="Y48" s="20">
        <f>SUMIF(Inventory!$D2:$D1136,"="&amp;Y47, Inventory!$F2:$F1136)</f>
        <v>302.97</v>
      </c>
      <c r="Z48" s="20">
        <f>SUMIF(Inventory!$D2:$D1136,"="&amp;Z47, Inventory!$F2:$F1136)</f>
        <v>66.31</v>
      </c>
      <c r="AA48" s="20">
        <f>SUMIF(Inventory!$D2:$D1136,"="&amp;AA47, Inventory!$F2:$F1136)</f>
        <v>70.37</v>
      </c>
      <c r="AB48" s="20">
        <f>SUMIF(Inventory!$D2:$D1136,"="&amp;AB47, Inventory!$F2:$F1136)</f>
        <v>59.15</v>
      </c>
      <c r="AC48" s="20">
        <f>SUMIF(Inventory!$D2:$D1136,"="&amp;AC47, Inventory!$F2:$F1136)</f>
        <v>59.65</v>
      </c>
      <c r="AD48" s="20">
        <f>SUMIF(Inventory!$D2:$D1136,"="&amp;AD47, Inventory!$F2:$F1136)</f>
        <v>67.51</v>
      </c>
      <c r="AE48" s="20">
        <f>SUMIF(Inventory!$D2:$D1136,"="&amp;AE47, Inventory!$F2:$F1136)</f>
        <v>151.17</v>
      </c>
      <c r="AG48" s="20">
        <f t="shared" ref="AG48:AG50" si="21">SUM(B48:AF48)</f>
        <v>4548.4</v>
      </c>
      <c r="AH48" s="21">
        <f t="shared" ref="AH48:AH50" si="22">AVERAGE(B48:AF48)</f>
        <v>151.6133333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</row>
    <row r="49" hidden="1" outlineLevel="2">
      <c r="A49" s="256" t="s">
        <v>10</v>
      </c>
      <c r="B49" s="20">
        <f>SUMIF(Inventory!$D2:$D1136,"="&amp;B47, Inventory!$E2:$E1136)</f>
        <v>57.24</v>
      </c>
      <c r="C49" s="20">
        <f>SUMIF(Inventory!$D2:$D1136,"="&amp;C47, Inventory!$E2:$E1136)</f>
        <v>359.58</v>
      </c>
      <c r="D49" s="20">
        <f>SUMIF(Inventory!$D2:$D1136,"="&amp;D47, Inventory!$E2:$E1136)</f>
        <v>223.06</v>
      </c>
      <c r="E49" s="20">
        <f>SUMIF(Inventory!$D2:$D1136,"="&amp;E47, Inventory!$E2:$E1136)</f>
        <v>175.75</v>
      </c>
      <c r="F49" s="20">
        <f>SUMIF(Inventory!$D2:$D1136,"="&amp;F47, Inventory!$E2:$E1136)</f>
        <v>23.59</v>
      </c>
      <c r="G49" s="20">
        <f>SUMIF(Inventory!$D2:$D1136,"="&amp;G47, Inventory!$E2:$E1136)</f>
        <v>14.03</v>
      </c>
      <c r="H49" s="20">
        <f>SUMIF(Inventory!$D2:$D1136,"="&amp;H47, Inventory!$E2:$E1136)</f>
        <v>120.3</v>
      </c>
      <c r="I49" s="20">
        <f>SUMIF(Inventory!$D2:$D1136,"="&amp;I47, Inventory!$E2:$E1136)</f>
        <v>151.25</v>
      </c>
      <c r="J49" s="20">
        <f>SUMIF(Inventory!$D2:$D1136,"="&amp;J47, Inventory!$E2:$E1136)</f>
        <v>78.73</v>
      </c>
      <c r="K49" s="20">
        <f>SUMIF(Inventory!$D2:$D1136,"="&amp;K47, Inventory!$E2:$E1136)</f>
        <v>142.79</v>
      </c>
      <c r="L49" s="20">
        <f>SUMIF(Inventory!$D2:$D1136,"="&amp;L47, Inventory!$E2:$E1136)</f>
        <v>395.03</v>
      </c>
      <c r="M49" s="20">
        <f>SUMIF(Inventory!$D2:$D1136,"="&amp;M47, Inventory!$E2:$E1136)</f>
        <v>208.95</v>
      </c>
      <c r="N49" s="20">
        <f>SUMIF(Inventory!$D2:$D1136,"="&amp;N47, Inventory!$E2:$E1136)</f>
        <v>169.61</v>
      </c>
      <c r="O49" s="20">
        <f>SUMIF(Inventory!$D2:$D1136,"="&amp;O47, Inventory!$E2:$E1136)</f>
        <v>65.11</v>
      </c>
      <c r="P49" s="20">
        <f>SUMIF(Inventory!$D2:$D1136,"="&amp;P47, Inventory!$E2:$E1136)</f>
        <v>64.68</v>
      </c>
      <c r="Q49" s="20">
        <f>SUMIF(Inventory!$D2:$D1136,"="&amp;Q47, Inventory!$E2:$E1136)</f>
        <v>146.63</v>
      </c>
      <c r="R49" s="20">
        <f>SUMIF(Inventory!$D2:$D1136,"="&amp;R47, Inventory!$E2:$E1136)</f>
        <v>162.83</v>
      </c>
      <c r="S49" s="20">
        <f>SUMIF(Inventory!$D2:$D1136,"="&amp;S47, Inventory!$E2:$E1136)</f>
        <v>112.62</v>
      </c>
      <c r="T49" s="20">
        <f>SUMIF(Inventory!$D2:$D1136,"="&amp;T47, Inventory!$E2:$E1136)</f>
        <v>99.71</v>
      </c>
      <c r="U49" s="20">
        <f>SUMIF(Inventory!$D2:$D1136,"="&amp;U47, Inventory!$E2:$E1136)</f>
        <v>76.97</v>
      </c>
      <c r="V49" s="20">
        <f>SUMIF(Inventory!$D2:$D1136,"="&amp;V47, Inventory!$E2:$E1136)</f>
        <v>40.23</v>
      </c>
      <c r="W49" s="20">
        <f>SUMIF(Inventory!$D2:$D1136,"="&amp;W47, Inventory!$E2:$E1136)</f>
        <v>45.66</v>
      </c>
      <c r="X49" s="20">
        <f>SUMIF(Inventory!$D2:$D1136,"="&amp;X47, Inventory!$E2:$E1136)</f>
        <v>54.2</v>
      </c>
      <c r="Y49" s="20">
        <f>SUMIF(Inventory!$D2:$D1136,"="&amp;Y47, Inventory!$E2:$E1136)</f>
        <v>239.73</v>
      </c>
      <c r="Z49" s="20">
        <f>SUMIF(Inventory!$D2:$D1136,"="&amp;Z47, Inventory!$E2:$E1136)</f>
        <v>52.51</v>
      </c>
      <c r="AA49" s="20">
        <f>SUMIF(Inventory!$D2:$D1136,"="&amp;AA47, Inventory!$E2:$E1136)</f>
        <v>46.25</v>
      </c>
      <c r="AB49" s="20">
        <f>SUMIF(Inventory!$D2:$D1136,"="&amp;AB47, Inventory!$E2:$E1136)</f>
        <v>49.18</v>
      </c>
      <c r="AC49" s="20">
        <f>SUMIF(Inventory!$D2:$D1136,"="&amp;AC47, Inventory!$E2:$E1136)</f>
        <v>44.78</v>
      </c>
      <c r="AD49" s="20">
        <f>SUMIF(Inventory!$D2:$D1136,"="&amp;AD47, Inventory!$E2:$E1136)</f>
        <v>54.59</v>
      </c>
      <c r="AE49" s="20">
        <f>SUMIF(Inventory!$D2:$D1136,"="&amp;AE47, Inventory!$E2:$E1136)</f>
        <v>120.64</v>
      </c>
      <c r="AG49" s="20">
        <f t="shared" si="21"/>
        <v>3596.23</v>
      </c>
      <c r="AH49" s="21">
        <f t="shared" si="22"/>
        <v>119.8743333</v>
      </c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</row>
    <row r="50" hidden="1" outlineLevel="2">
      <c r="A50" s="256" t="s">
        <v>11</v>
      </c>
      <c r="B50" s="20">
        <f>SUMIF(Inventory!$D2:$D1136,"="&amp;B47, Inventory!$G2:$G1136)</f>
        <v>7.73</v>
      </c>
      <c r="C50" s="20">
        <f>SUMIF(Inventory!$D2:$D1136,"="&amp;C47, Inventory!$G2:$G1136)</f>
        <v>116.8</v>
      </c>
      <c r="D50" s="20">
        <f>SUMIF(Inventory!$D2:$D1136,"="&amp;D47, Inventory!$G2:$G1136)</f>
        <v>85.02</v>
      </c>
      <c r="E50" s="20">
        <f>SUMIF(Inventory!$D2:$D1136,"="&amp;E47, Inventory!$G2:$G1136)</f>
        <v>76.36</v>
      </c>
      <c r="F50" s="20">
        <f>SUMIF(Inventory!$D2:$D1136,"="&amp;F47, Inventory!$G2:$G1136)</f>
        <v>6.83</v>
      </c>
      <c r="G50" s="20">
        <f>SUMIF(Inventory!$D2:$D1136,"="&amp;G47, Inventory!$G2:$G1136)</f>
        <v>8.14</v>
      </c>
      <c r="H50" s="20">
        <f>SUMIF(Inventory!$D2:$D1136,"="&amp;H47, Inventory!$G2:$G1136)</f>
        <v>30.46</v>
      </c>
      <c r="I50" s="20">
        <f>SUMIF(Inventory!$D2:$D1136,"="&amp;I47, Inventory!$G2:$G1136)</f>
        <v>39.29</v>
      </c>
      <c r="J50" s="20">
        <f>SUMIF(Inventory!$D2:$D1136,"="&amp;J47, Inventory!$G2:$G1136)</f>
        <v>32.09</v>
      </c>
      <c r="K50" s="20">
        <f>SUMIF(Inventory!$D2:$D1136,"="&amp;K47, Inventory!$G2:$G1136)</f>
        <v>31.38</v>
      </c>
      <c r="L50" s="20">
        <f>SUMIF(Inventory!$D2:$D1136,"="&amp;L47, Inventory!$G2:$G1136)</f>
        <v>64.22</v>
      </c>
      <c r="M50" s="20">
        <f>SUMIF(Inventory!$D2:$D1136,"="&amp;M47, Inventory!$G2:$G1136)</f>
        <v>49.3</v>
      </c>
      <c r="N50" s="20">
        <f>SUMIF(Inventory!$D2:$D1136,"="&amp;N47, Inventory!$G2:$G1136)</f>
        <v>23.12</v>
      </c>
      <c r="O50" s="20">
        <f>SUMIF(Inventory!$D2:$D1136,"="&amp;O47, Inventory!$G2:$G1136)</f>
        <v>8.58</v>
      </c>
      <c r="P50" s="20">
        <f>SUMIF(Inventory!$D2:$D1136,"="&amp;P47, Inventory!$G2:$G1136)</f>
        <v>9.55</v>
      </c>
      <c r="Q50" s="20">
        <f>SUMIF(Inventory!$D2:$D1136,"="&amp;Q47, Inventory!$G2:$G1136)</f>
        <v>23.02</v>
      </c>
      <c r="R50" s="20">
        <f>SUMIF(Inventory!$D2:$D1136,"="&amp;R47, Inventory!$G2:$G1136)</f>
        <v>40.96</v>
      </c>
      <c r="S50" s="20">
        <f>SUMIF(Inventory!$D2:$D1136,"="&amp;S47, Inventory!$G2:$G1136)</f>
        <v>15.47</v>
      </c>
      <c r="T50" s="20">
        <f>SUMIF(Inventory!$D2:$D1136,"="&amp;T47, Inventory!$G2:$G1136)</f>
        <v>55.03</v>
      </c>
      <c r="U50" s="20">
        <f>SUMIF(Inventory!$D2:$D1136,"="&amp;U47, Inventory!$G2:$G1136)</f>
        <v>29.66</v>
      </c>
      <c r="V50" s="20">
        <f>SUMIF(Inventory!$D2:$D1136,"="&amp;V47, Inventory!$G2:$G1136)</f>
        <v>13.19</v>
      </c>
      <c r="W50" s="20">
        <f>SUMIF(Inventory!$D2:$D1136,"="&amp;W47, Inventory!$G2:$G1136)</f>
        <v>7.82</v>
      </c>
      <c r="X50" s="20">
        <f>SUMIF(Inventory!$D2:$D1136,"="&amp;X47, Inventory!$G2:$G1136)</f>
        <v>8.7</v>
      </c>
      <c r="Y50" s="20">
        <f>SUMIF(Inventory!$D2:$D1136,"="&amp;Y47, Inventory!$G2:$G1136)</f>
        <v>63.24</v>
      </c>
      <c r="Z50" s="20">
        <f>SUMIF(Inventory!$D2:$D1136,"="&amp;Z47, Inventory!$G2:$G1136)</f>
        <v>13.8</v>
      </c>
      <c r="AA50" s="20">
        <f>SUMIF(Inventory!$D2:$D1136,"="&amp;AA47, Inventory!$G2:$G1136)</f>
        <v>24.12</v>
      </c>
      <c r="AB50" s="20">
        <f>SUMIF(Inventory!$D2:$D1136,"="&amp;AB47, Inventory!$G2:$G1136)</f>
        <v>9.97</v>
      </c>
      <c r="AC50" s="20">
        <f>SUMIF(Inventory!$D2:$D1136,"="&amp;AC47, Inventory!$G2:$G1136)</f>
        <v>14.87</v>
      </c>
      <c r="AD50" s="20">
        <f>SUMIF(Inventory!$D2:$D1136,"="&amp;AD47, Inventory!$G2:$G1136)</f>
        <v>12.92</v>
      </c>
      <c r="AE50" s="20">
        <f>SUMIF(Inventory!$D2:$D1136,"="&amp;AE47, Inventory!$G2:$G1136)</f>
        <v>30.53</v>
      </c>
      <c r="AG50" s="20">
        <f t="shared" si="21"/>
        <v>952.17</v>
      </c>
      <c r="AH50" s="21">
        <f t="shared" si="22"/>
        <v>31.739</v>
      </c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</row>
    <row r="51" outlineLevel="1" collapsed="1">
      <c r="A51" s="253" t="s">
        <v>10210</v>
      </c>
      <c r="B51" s="255">
        <v>45261.0</v>
      </c>
      <c r="C51" s="255">
        <v>45262.0</v>
      </c>
      <c r="D51" s="255">
        <v>45263.0</v>
      </c>
      <c r="E51" s="255">
        <v>45264.0</v>
      </c>
      <c r="F51" s="255">
        <v>45265.0</v>
      </c>
      <c r="G51" s="255">
        <v>45266.0</v>
      </c>
      <c r="H51" s="255">
        <v>45267.0</v>
      </c>
      <c r="I51" s="255">
        <v>45268.0</v>
      </c>
      <c r="J51" s="255">
        <v>45269.0</v>
      </c>
      <c r="K51" s="255">
        <v>45270.0</v>
      </c>
      <c r="L51" s="255">
        <v>45271.0</v>
      </c>
      <c r="M51" s="255">
        <v>45272.0</v>
      </c>
      <c r="N51" s="255">
        <v>45273.0</v>
      </c>
      <c r="O51" s="255">
        <v>45274.0</v>
      </c>
      <c r="P51" s="255">
        <v>45275.0</v>
      </c>
      <c r="Q51" s="255">
        <v>45276.0</v>
      </c>
      <c r="R51" s="255">
        <v>45277.0</v>
      </c>
      <c r="S51" s="255">
        <v>45278.0</v>
      </c>
      <c r="T51" s="255">
        <v>45279.0</v>
      </c>
      <c r="U51" s="255">
        <v>45280.0</v>
      </c>
      <c r="V51" s="255">
        <v>45281.0</v>
      </c>
      <c r="W51" s="255">
        <v>45282.0</v>
      </c>
      <c r="X51" s="255">
        <v>45283.0</v>
      </c>
      <c r="Y51" s="255">
        <v>45284.0</v>
      </c>
      <c r="Z51" s="255">
        <v>45285.0</v>
      </c>
      <c r="AA51" s="255">
        <v>45286.0</v>
      </c>
      <c r="AB51" s="255">
        <v>45287.0</v>
      </c>
      <c r="AC51" s="255">
        <v>45288.0</v>
      </c>
      <c r="AD51" s="255">
        <v>45289.0</v>
      </c>
      <c r="AE51" s="255">
        <v>45290.0</v>
      </c>
      <c r="AF51" s="255">
        <v>45291.0</v>
      </c>
      <c r="AG51" s="20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</row>
    <row r="52" hidden="1" outlineLevel="2">
      <c r="A52" s="256" t="s">
        <v>9</v>
      </c>
      <c r="B52" s="20">
        <f>SUMIF(Inventory!$D2:$D1136,"="&amp;B51, Inventory!$F2:$F1136)</f>
        <v>23.04</v>
      </c>
      <c r="C52" s="20">
        <f>SUMIF(Inventory!$D2:$D1136,"="&amp;C51, Inventory!$F2:$F1136)</f>
        <v>56.43</v>
      </c>
      <c r="D52" s="20">
        <f>SUMIF(Inventory!$D2:$D1136,"="&amp;D51, Inventory!$F2:$F1136)</f>
        <v>71.24</v>
      </c>
      <c r="E52" s="20">
        <f>SUMIF(Inventory!$D2:$D1136,"="&amp;E51, Inventory!$F2:$F1136)</f>
        <v>23.2</v>
      </c>
      <c r="F52" s="20">
        <f>SUMIF(Inventory!$D2:$D1136,"="&amp;F51, Inventory!$F2:$F1136)</f>
        <v>0</v>
      </c>
      <c r="G52" s="20">
        <f>SUMIF(Inventory!$D2:$D1136,"="&amp;G51, Inventory!$F2:$F1136)</f>
        <v>0</v>
      </c>
      <c r="H52" s="20">
        <f>SUMIF(Inventory!$D2:$D1136,"="&amp;H51, Inventory!$F2:$F1136)</f>
        <v>0</v>
      </c>
      <c r="I52" s="20">
        <f>SUMIF(Inventory!$D2:$D1136,"="&amp;I51, Inventory!$F2:$F1136)</f>
        <v>68.99</v>
      </c>
      <c r="J52" s="20">
        <f>SUMIF(Inventory!$D2:$D1136,"="&amp;J51, Inventory!$F2:$F1136)</f>
        <v>86.3</v>
      </c>
      <c r="K52" s="20">
        <f>SUMIF(Inventory!$D2:$D1136,"="&amp;K51, Inventory!$F2:$F1136)</f>
        <v>21.43</v>
      </c>
      <c r="L52" s="20">
        <f>SUMIF(Inventory!$D2:$D1136,"="&amp;L51, Inventory!$F2:$F1136)</f>
        <v>61.16</v>
      </c>
      <c r="M52" s="20">
        <f>SUMIF(Inventory!$D2:$D1136,"="&amp;M51, Inventory!$F2:$F1136)</f>
        <v>46.85</v>
      </c>
      <c r="N52" s="20">
        <f>SUMIF(Inventory!$D2:$D1136,"="&amp;N51, Inventory!$F2:$F1136)</f>
        <v>200.22</v>
      </c>
      <c r="O52" s="20">
        <f>SUMIF(Inventory!$D2:$D1136,"="&amp;O51, Inventory!$F2:$F1136)</f>
        <v>211.28</v>
      </c>
      <c r="P52" s="20">
        <f>SUMIF(Inventory!$D2:$D1136,"="&amp;P51, Inventory!$F2:$F1136)</f>
        <v>243.66</v>
      </c>
      <c r="Q52" s="20">
        <f>SUMIF(Inventory!$D2:$D1136,"="&amp;Q51, Inventory!$F2:$F1136)</f>
        <v>92.88</v>
      </c>
      <c r="R52" s="20">
        <f>SUMIF(Inventory!$D2:$D1136,"="&amp;R51, Inventory!$F2:$F1136)</f>
        <v>57.97</v>
      </c>
      <c r="S52" s="20">
        <f>SUMIF(Inventory!$D2:$D1136,"="&amp;S51, Inventory!$F2:$F1136)</f>
        <v>3.78</v>
      </c>
      <c r="T52" s="20">
        <f>SUMIF(Inventory!$D2:$D1136,"="&amp;T51, Inventory!$F2:$F1136)</f>
        <v>0</v>
      </c>
      <c r="U52" s="20">
        <f>SUMIF(Inventory!$D2:$D1136,"="&amp;U51, Inventory!$F2:$F1136)</f>
        <v>7.68</v>
      </c>
      <c r="V52" s="20">
        <f>SUMIF(Inventory!$D2:$D1136,"="&amp;V51, Inventory!$F2:$F1136)</f>
        <v>84.67</v>
      </c>
      <c r="W52" s="20">
        <f>SUMIF(Inventory!$D2:$D1136,"="&amp;W51, Inventory!$F2:$F1136)</f>
        <v>12.74</v>
      </c>
      <c r="X52" s="20">
        <f>SUMIF(Inventory!$D2:$D1136,"="&amp;X51, Inventory!$F2:$F1136)</f>
        <v>0</v>
      </c>
      <c r="Y52" s="20">
        <f>SUMIF(Inventory!$D2:$D1136,"="&amp;Y51, Inventory!$F2:$F1136)</f>
        <v>11.12</v>
      </c>
      <c r="Z52" s="20">
        <f>SUMIF(Inventory!$D2:$D1136,"="&amp;Z51, Inventory!$F2:$F1136)</f>
        <v>20.46</v>
      </c>
      <c r="AA52" s="20">
        <f>SUMIF(Inventory!$D2:$D1136,"="&amp;AA51, Inventory!$F2:$F1136)</f>
        <v>7.69</v>
      </c>
      <c r="AB52" s="20">
        <f>SUMIF(Inventory!$D2:$D1136,"="&amp;AB51, Inventory!$F2:$F1136)</f>
        <v>20.32</v>
      </c>
      <c r="AC52" s="20">
        <f>SUMIF(Inventory!$D2:$D1136,"="&amp;AC51, Inventory!$F2:$F1136)</f>
        <v>20.32</v>
      </c>
      <c r="AD52" s="20">
        <f>SUMIF(Inventory!$D2:$D1136,"="&amp;AD51, Inventory!$F2:$F1136)</f>
        <v>0</v>
      </c>
      <c r="AE52" s="20">
        <f>SUMIF(Inventory!$D2:$D1136,"="&amp;AE51, Inventory!$F2:$F1136)</f>
        <v>30.84</v>
      </c>
      <c r="AF52" s="20">
        <f>SUMIF(Inventory!$D2:$D1136,"="&amp;AF51, Inventory!$F2:$F1136)</f>
        <v>0</v>
      </c>
      <c r="AG52" s="20">
        <f t="shared" ref="AG52:AG54" si="23">SUM(B52:AF52)</f>
        <v>1484.27</v>
      </c>
      <c r="AH52" s="21">
        <f t="shared" ref="AH52:AH54" si="24">AVERAGE(B52:AF52)</f>
        <v>47.87967742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</row>
    <row r="53" hidden="1" outlineLevel="2">
      <c r="A53" s="256" t="s">
        <v>10</v>
      </c>
      <c r="B53" s="20">
        <f>SUMIF(Inventory!$D2:$D1136,"="&amp;B51, Inventory!$E2:$E1136)</f>
        <v>18.86</v>
      </c>
      <c r="C53" s="20">
        <f>SUMIF(Inventory!$D2:$D1136,"="&amp;C51, Inventory!$E2:$E1136)</f>
        <v>46.82</v>
      </c>
      <c r="D53" s="20">
        <f>SUMIF(Inventory!$D2:$D1136,"="&amp;D51, Inventory!$E2:$E1136)</f>
        <v>59.75</v>
      </c>
      <c r="E53" s="20">
        <f>SUMIF(Inventory!$D2:$D1136,"="&amp;E51, Inventory!$E2:$E1136)</f>
        <v>17.84</v>
      </c>
      <c r="F53" s="20">
        <f>SUMIF(Inventory!$D2:$D1136,"="&amp;F51, Inventory!$E2:$E1136)</f>
        <v>0</v>
      </c>
      <c r="G53" s="20">
        <f>SUMIF(Inventory!$D2:$D1136,"="&amp;G51, Inventory!$E2:$E1136)</f>
        <v>0</v>
      </c>
      <c r="H53" s="20">
        <f>SUMIF(Inventory!$D2:$D1136,"="&amp;H51, Inventory!$E2:$E1136)</f>
        <v>0</v>
      </c>
      <c r="I53" s="20">
        <f>SUMIF(Inventory!$D2:$D1136,"="&amp;I51, Inventory!$E2:$E1136)</f>
        <v>58.4</v>
      </c>
      <c r="J53" s="20">
        <f>SUMIF(Inventory!$D2:$D1136,"="&amp;J51, Inventory!$E2:$E1136)</f>
        <v>73.57</v>
      </c>
      <c r="K53" s="20">
        <f>SUMIF(Inventory!$D2:$D1136,"="&amp;K51, Inventory!$E2:$E1136)</f>
        <v>16.42</v>
      </c>
      <c r="L53" s="20">
        <f>SUMIF(Inventory!$D2:$D1136,"="&amp;L51, Inventory!$E2:$E1136)</f>
        <v>44.34</v>
      </c>
      <c r="M53" s="20">
        <f>SUMIF(Inventory!$D2:$D1136,"="&amp;M51, Inventory!$E2:$E1136)</f>
        <v>31.86</v>
      </c>
      <c r="N53" s="20">
        <f>SUMIF(Inventory!$D2:$D1136,"="&amp;N51, Inventory!$E2:$E1136)</f>
        <v>125.12</v>
      </c>
      <c r="O53" s="20">
        <f>SUMIF(Inventory!$D2:$D1136,"="&amp;O51, Inventory!$E2:$E1136)</f>
        <v>118.8</v>
      </c>
      <c r="P53" s="20">
        <f>SUMIF(Inventory!$D2:$D1136,"="&amp;P51, Inventory!$E2:$E1136)</f>
        <v>153.24</v>
      </c>
      <c r="Q53" s="20">
        <f>SUMIF(Inventory!$D2:$D1136,"="&amp;Q51, Inventory!$E2:$E1136)</f>
        <v>82.21</v>
      </c>
      <c r="R53" s="20">
        <f>SUMIF(Inventory!$D2:$D1136,"="&amp;R51, Inventory!$E2:$E1136)</f>
        <v>50.72</v>
      </c>
      <c r="S53" s="20">
        <f>SUMIF(Inventory!$D2:$D1136,"="&amp;S51, Inventory!$E2:$E1136)</f>
        <v>3.57</v>
      </c>
      <c r="T53" s="20">
        <f>SUMIF(Inventory!$D2:$D1136,"="&amp;T51, Inventory!$E2:$E1136)</f>
        <v>0</v>
      </c>
      <c r="U53" s="20">
        <f>SUMIF(Inventory!$D2:$D1136,"="&amp;U51, Inventory!$E2:$E1136)</f>
        <v>6.29</v>
      </c>
      <c r="V53" s="20">
        <f>SUMIF(Inventory!$D2:$D1136,"="&amp;V51, Inventory!$E2:$E1136)</f>
        <v>76.08</v>
      </c>
      <c r="W53" s="20">
        <f>SUMIF(Inventory!$D2:$D1136,"="&amp;W51, Inventory!$E2:$E1136)</f>
        <v>10.28</v>
      </c>
      <c r="X53" s="20">
        <f>SUMIF(Inventory!$D2:$D1136,"="&amp;X51, Inventory!$E2:$E1136)</f>
        <v>0</v>
      </c>
      <c r="Y53" s="20">
        <f>SUMIF(Inventory!$D2:$D1136,"="&amp;Y51, Inventory!$E2:$E1136)</f>
        <v>9.19</v>
      </c>
      <c r="Z53" s="20">
        <f>SUMIF(Inventory!$D2:$D1136,"="&amp;Z51, Inventory!$E2:$E1136)</f>
        <v>16.69</v>
      </c>
      <c r="AA53" s="20">
        <f>SUMIF(Inventory!$D2:$D1136,"="&amp;AA51, Inventory!$E2:$E1136)</f>
        <v>6.29</v>
      </c>
      <c r="AB53" s="20">
        <f>SUMIF(Inventory!$D2:$D1136,"="&amp;AB51, Inventory!$E2:$E1136)</f>
        <v>17.56</v>
      </c>
      <c r="AC53" s="20">
        <f>SUMIF(Inventory!$D2:$D1136,"="&amp;AC51, Inventory!$E2:$E1136)</f>
        <v>17.56</v>
      </c>
      <c r="AD53" s="20">
        <f>SUMIF(Inventory!$D2:$D1136,"="&amp;AD51, Inventory!$E2:$E1136)</f>
        <v>0</v>
      </c>
      <c r="AE53" s="20">
        <f>SUMIF(Inventory!$D2:$D1136,"="&amp;AE51, Inventory!$E2:$E1136)</f>
        <v>24.33</v>
      </c>
      <c r="AF53" s="20">
        <f>SUMIF(Inventory!$D2:$D1136,"="&amp;AF51, Inventory!$E2:$E1136)</f>
        <v>0</v>
      </c>
      <c r="AG53" s="20">
        <f t="shared" si="23"/>
        <v>1085.79</v>
      </c>
      <c r="AH53" s="21">
        <f t="shared" si="24"/>
        <v>35.02548387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</row>
    <row r="54" hidden="1" outlineLevel="2">
      <c r="A54" s="256" t="s">
        <v>11</v>
      </c>
      <c r="B54" s="20">
        <f>SUMIF(Inventory!$D2:$D1136,"="&amp;B51, Inventory!$G2:$G1136)</f>
        <v>4.18</v>
      </c>
      <c r="C54" s="20">
        <f>SUMIF(Inventory!$D2:$D1136,"="&amp;C51, Inventory!$G2:$G1136)</f>
        <v>9.61</v>
      </c>
      <c r="D54" s="20">
        <f>SUMIF(Inventory!$D2:$D1136,"="&amp;D51, Inventory!$G2:$G1136)</f>
        <v>11.49</v>
      </c>
      <c r="E54" s="20">
        <f>SUMIF(Inventory!$D2:$D1136,"="&amp;E51, Inventory!$G2:$G1136)</f>
        <v>5.36</v>
      </c>
      <c r="F54" s="20">
        <f>SUMIF(Inventory!$D2:$D1136,"="&amp;F51, Inventory!$G2:$G1136)</f>
        <v>0</v>
      </c>
      <c r="G54" s="20">
        <f>SUMIF(Inventory!$D2:$D1136,"="&amp;G51, Inventory!$G2:$G1136)</f>
        <v>0</v>
      </c>
      <c r="H54" s="20">
        <f>SUMIF(Inventory!$D2:$D1136,"="&amp;H51, Inventory!$G2:$G1136)</f>
        <v>0</v>
      </c>
      <c r="I54" s="20">
        <f>SUMIF(Inventory!$D2:$D1136,"="&amp;I51, Inventory!$G2:$G1136)</f>
        <v>10.59</v>
      </c>
      <c r="J54" s="20">
        <f>SUMIF(Inventory!$D2:$D1136,"="&amp;J51, Inventory!$G2:$G1136)</f>
        <v>12.73</v>
      </c>
      <c r="K54" s="20">
        <f>SUMIF(Inventory!$D2:$D1136,"="&amp;K51, Inventory!$G2:$G1136)</f>
        <v>5.01</v>
      </c>
      <c r="L54" s="20">
        <f>SUMIF(Inventory!$D2:$D1136,"="&amp;L51, Inventory!$G2:$G1136)</f>
        <v>16.82</v>
      </c>
      <c r="M54" s="20">
        <f>SUMIF(Inventory!$D2:$D1136,"="&amp;M51, Inventory!$G2:$G1136)</f>
        <v>14.99</v>
      </c>
      <c r="N54" s="20">
        <f>SUMIF(Inventory!$D2:$D1136,"="&amp;N51, Inventory!$G2:$G1136)</f>
        <v>75.1</v>
      </c>
      <c r="O54" s="20">
        <f>SUMIF(Inventory!$D2:$D1136,"="&amp;O51, Inventory!$G2:$G1136)</f>
        <v>92.48</v>
      </c>
      <c r="P54" s="20">
        <f>SUMIF(Inventory!$D2:$D1136,"="&amp;P51, Inventory!$G2:$G1136)</f>
        <v>90.42</v>
      </c>
      <c r="Q54" s="20">
        <f>SUMIF(Inventory!$D2:$D1136,"="&amp;Q51, Inventory!$G2:$G1136)</f>
        <v>10.67</v>
      </c>
      <c r="R54" s="20">
        <f>SUMIF(Inventory!$D2:$D1136,"="&amp;R51, Inventory!$G2:$G1136)</f>
        <v>7.25</v>
      </c>
      <c r="S54" s="20">
        <f>SUMIF(Inventory!$D2:$D1136,"="&amp;S51, Inventory!$G2:$G1136)</f>
        <v>0.21</v>
      </c>
      <c r="T54" s="20">
        <f>SUMIF(Inventory!$D2:$D1136,"="&amp;T51, Inventory!$G2:$G1136)</f>
        <v>0</v>
      </c>
      <c r="U54" s="20">
        <f>SUMIF(Inventory!$D2:$D1136,"="&amp;U51, Inventory!$G2:$G1136)</f>
        <v>1.39</v>
      </c>
      <c r="V54" s="20">
        <f>SUMIF(Inventory!$D2:$D1136,"="&amp;V51, Inventory!$G2:$G1136)</f>
        <v>8.59</v>
      </c>
      <c r="W54" s="20">
        <f>SUMIF(Inventory!$D2:$D1136,"="&amp;W51, Inventory!$G2:$G1136)</f>
        <v>2.46</v>
      </c>
      <c r="X54" s="20">
        <f>SUMIF(Inventory!$D2:$D1136,"="&amp;X51, Inventory!$G2:$G1136)</f>
        <v>0</v>
      </c>
      <c r="Y54" s="20">
        <f>SUMIF(Inventory!$D2:$D1136,"="&amp;Y51, Inventory!$G2:$G1136)</f>
        <v>1.93</v>
      </c>
      <c r="Z54" s="20">
        <f>SUMIF(Inventory!$D2:$D1136,"="&amp;Z51, Inventory!$G2:$G1136)</f>
        <v>3.77</v>
      </c>
      <c r="AA54" s="20">
        <f>SUMIF(Inventory!$D2:$D1136,"="&amp;AA51, Inventory!$G2:$G1136)</f>
        <v>1.4</v>
      </c>
      <c r="AB54" s="20">
        <f>SUMIF(Inventory!$D2:$D1136,"="&amp;AB51, Inventory!$G2:$G1136)</f>
        <v>2.76</v>
      </c>
      <c r="AC54" s="20">
        <f>SUMIF(Inventory!$D2:$D1136,"="&amp;AC51, Inventory!$G2:$G1136)</f>
        <v>2.76</v>
      </c>
      <c r="AD54" s="20">
        <f>SUMIF(Inventory!$D2:$D1136,"="&amp;AD51, Inventory!$G2:$G1136)</f>
        <v>0</v>
      </c>
      <c r="AE54" s="20">
        <f>SUMIF(Inventory!$D2:$D1136,"="&amp;AE51, Inventory!$G2:$G1136)</f>
        <v>6.51</v>
      </c>
      <c r="AF54" s="20">
        <f>SUMIF(Inventory!$D2:$D1136,"="&amp;AF51, Inventory!$G2:$G1136)</f>
        <v>0</v>
      </c>
      <c r="AG54" s="20">
        <f t="shared" si="23"/>
        <v>398.48</v>
      </c>
      <c r="AH54" s="21">
        <f t="shared" si="24"/>
        <v>12.85419355</v>
      </c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</row>
    <row r="55" outlineLevel="1">
      <c r="A55" s="252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7"/>
      <c r="Q55" s="258"/>
      <c r="S55" s="258"/>
      <c r="U55" s="252"/>
      <c r="V55" s="252"/>
      <c r="W55" s="252"/>
      <c r="X55" s="252"/>
      <c r="Y55" s="252"/>
      <c r="Z55" s="252"/>
      <c r="AA55" s="252"/>
      <c r="AB55" s="252"/>
      <c r="AC55" s="252"/>
      <c r="AD55" s="252"/>
      <c r="AE55" s="252"/>
      <c r="AF55" s="252"/>
      <c r="AG55" s="252"/>
      <c r="AH55" s="252"/>
      <c r="AI55" s="252"/>
      <c r="AJ55" s="252"/>
      <c r="AK55" s="252"/>
      <c r="AL55" s="252"/>
      <c r="AM55" s="252"/>
      <c r="AN55" s="252"/>
      <c r="AO55" s="252"/>
      <c r="AP55" s="252"/>
      <c r="AQ55" s="252"/>
      <c r="AR55" s="252"/>
      <c r="AS55" s="252"/>
      <c r="AT55" s="252"/>
      <c r="AU55" s="252"/>
      <c r="AV55" s="252"/>
      <c r="AW55" s="252"/>
      <c r="AX55" s="252"/>
      <c r="AY55" s="252"/>
      <c r="AZ55" s="252"/>
      <c r="BA55" s="252"/>
      <c r="BB55" s="252"/>
      <c r="BC55" s="252"/>
      <c r="BD55" s="252"/>
      <c r="BE55" s="252"/>
      <c r="BF55" s="252"/>
      <c r="BG55" s="252"/>
      <c r="BH55" s="252"/>
      <c r="BI55" s="252"/>
      <c r="BJ55" s="252"/>
      <c r="BK55" s="252"/>
      <c r="BL55" s="252"/>
      <c r="BM55" s="252"/>
      <c r="BN55" s="252"/>
      <c r="BO55" s="252"/>
      <c r="BP55" s="252"/>
      <c r="BQ55" s="252"/>
      <c r="BR55" s="252"/>
      <c r="BS55" s="252"/>
      <c r="BT55" s="252"/>
      <c r="BU55" s="252"/>
      <c r="BV55" s="252"/>
      <c r="BW55" s="252"/>
      <c r="BX55" s="252"/>
      <c r="BY55" s="252"/>
      <c r="BZ55" s="252"/>
      <c r="CA55" s="252"/>
      <c r="CB55" s="252"/>
      <c r="CC55" s="252"/>
      <c r="CD55" s="252"/>
      <c r="CE55" s="252"/>
      <c r="CF55" s="252"/>
      <c r="CG55" s="252"/>
      <c r="CH55" s="252"/>
      <c r="CI55" s="252"/>
      <c r="CJ55" s="252"/>
      <c r="CK55" s="252"/>
      <c r="CL55" s="252"/>
      <c r="CM55" s="252"/>
      <c r="CN55" s="252"/>
      <c r="CO55" s="252"/>
      <c r="CP55" s="252"/>
      <c r="CQ55" s="252"/>
      <c r="CR55" s="252"/>
      <c r="CS55" s="252"/>
      <c r="CT55" s="252"/>
      <c r="CU55" s="252"/>
      <c r="CV55" s="252"/>
      <c r="CW55" s="252"/>
      <c r="CX55" s="252"/>
      <c r="CY55" s="252"/>
      <c r="CZ55" s="252"/>
      <c r="DA55" s="252"/>
      <c r="DB55" s="252"/>
      <c r="DC55" s="252"/>
      <c r="DD55" s="252"/>
      <c r="DE55" s="252"/>
      <c r="DF55" s="252"/>
      <c r="DG55" s="252"/>
      <c r="DH55" s="252"/>
      <c r="DI55" s="252"/>
      <c r="DJ55" s="252"/>
      <c r="DK55" s="252"/>
      <c r="DL55" s="252"/>
      <c r="DM55" s="252"/>
      <c r="DN55" s="252"/>
      <c r="DO55" s="252"/>
      <c r="DP55" s="252"/>
      <c r="DQ55" s="252"/>
      <c r="DR55" s="252"/>
      <c r="DS55" s="252"/>
      <c r="DT55" s="252"/>
      <c r="DU55" s="252"/>
      <c r="DV55" s="252"/>
      <c r="DW55" s="252"/>
      <c r="DX55" s="252"/>
      <c r="DY55" s="252"/>
      <c r="DZ55" s="252"/>
      <c r="EA55" s="252"/>
      <c r="EB55" s="252"/>
      <c r="EC55" s="252"/>
      <c r="ED55" s="252"/>
      <c r="EE55" s="252"/>
      <c r="EF55" s="252"/>
      <c r="EG55" s="252"/>
      <c r="EH55" s="252"/>
      <c r="EI55" s="252"/>
      <c r="EJ55" s="252"/>
      <c r="EK55" s="252"/>
      <c r="EL55" s="252"/>
      <c r="EM55" s="252"/>
      <c r="EN55" s="252"/>
      <c r="EO55" s="252"/>
      <c r="EP55" s="252"/>
      <c r="EQ55" s="252"/>
      <c r="ER55" s="252"/>
      <c r="ES55" s="252"/>
      <c r="ET55" s="252"/>
      <c r="EU55" s="252"/>
      <c r="EV55" s="252"/>
      <c r="EW55" s="252"/>
      <c r="EX55" s="252"/>
      <c r="EY55" s="252"/>
      <c r="EZ55" s="252"/>
      <c r="FA55" s="252"/>
      <c r="FB55" s="252"/>
      <c r="FC55" s="252"/>
      <c r="FD55" s="252"/>
      <c r="FE55" s="252"/>
      <c r="FF55" s="252"/>
      <c r="FG55" s="252"/>
      <c r="FH55" s="252"/>
      <c r="FI55" s="252"/>
      <c r="FJ55" s="252"/>
      <c r="FK55" s="252"/>
      <c r="FL55" s="252"/>
      <c r="FM55" s="252"/>
      <c r="FN55" s="252"/>
      <c r="FO55" s="252"/>
      <c r="FP55" s="252"/>
      <c r="FQ55" s="252"/>
      <c r="FR55" s="252"/>
      <c r="FS55" s="252"/>
      <c r="FT55" s="252"/>
      <c r="FU55" s="252"/>
      <c r="FV55" s="252"/>
      <c r="FW55" s="252"/>
      <c r="FX55" s="252"/>
      <c r="FY55" s="252"/>
      <c r="FZ55" s="252"/>
      <c r="GA55" s="252"/>
      <c r="GB55" s="252"/>
      <c r="GC55" s="252"/>
      <c r="GD55" s="252"/>
      <c r="GE55" s="252"/>
      <c r="GF55" s="252"/>
      <c r="GG55" s="252"/>
      <c r="GH55" s="252"/>
      <c r="GI55" s="252"/>
      <c r="GJ55" s="252"/>
      <c r="GK55" s="252"/>
      <c r="GL55" s="252"/>
      <c r="GM55" s="252"/>
      <c r="GN55" s="252"/>
      <c r="GO55" s="252"/>
      <c r="GP55" s="252"/>
      <c r="GQ55" s="252"/>
      <c r="GR55" s="252"/>
      <c r="GS55" s="252"/>
      <c r="GT55" s="252"/>
      <c r="GU55" s="252"/>
      <c r="GV55" s="252"/>
      <c r="GW55" s="252"/>
      <c r="GX55" s="252"/>
      <c r="GY55" s="252"/>
      <c r="GZ55" s="252"/>
      <c r="HA55" s="252"/>
      <c r="HB55" s="252"/>
      <c r="HC55" s="252"/>
      <c r="HD55" s="252"/>
      <c r="HE55" s="252"/>
      <c r="HF55" s="252"/>
      <c r="HG55" s="252"/>
      <c r="HH55" s="252"/>
      <c r="HI55" s="252"/>
      <c r="HJ55" s="252"/>
      <c r="HK55" s="252"/>
      <c r="HL55" s="252"/>
      <c r="HM55" s="252"/>
      <c r="HN55" s="252"/>
      <c r="HO55" s="252"/>
      <c r="HP55" s="252"/>
      <c r="HQ55" s="252"/>
      <c r="HR55" s="252"/>
      <c r="HS55" s="252"/>
      <c r="HT55" s="252"/>
      <c r="HU55" s="252"/>
      <c r="HV55" s="252"/>
      <c r="HW55" s="252"/>
      <c r="HX55" s="252"/>
      <c r="HY55" s="252"/>
      <c r="HZ55" s="252"/>
      <c r="IA55" s="252"/>
      <c r="IB55" s="252"/>
      <c r="IC55" s="252"/>
      <c r="ID55" s="252"/>
      <c r="IE55" s="252"/>
      <c r="IF55" s="252"/>
      <c r="IG55" s="252"/>
      <c r="IH55" s="252"/>
      <c r="II55" s="252"/>
      <c r="IJ55" s="252"/>
      <c r="IK55" s="252"/>
      <c r="IL55" s="252"/>
      <c r="IM55" s="252"/>
      <c r="IN55" s="252"/>
      <c r="IO55" s="252"/>
      <c r="IP55" s="252"/>
      <c r="IQ55" s="252"/>
      <c r="IR55" s="252"/>
      <c r="IS55" s="252"/>
      <c r="IT55" s="252"/>
      <c r="IU55" s="252"/>
      <c r="IV55" s="252"/>
      <c r="IW55" s="252"/>
      <c r="IX55" s="252"/>
      <c r="IY55" s="252"/>
      <c r="IZ55" s="252"/>
      <c r="JA55" s="252"/>
      <c r="JB55" s="252"/>
      <c r="JC55" s="252"/>
      <c r="JD55" s="252"/>
      <c r="JE55" s="252"/>
      <c r="JF55" s="252"/>
      <c r="JG55" s="252"/>
      <c r="JH55" s="252"/>
      <c r="JI55" s="252"/>
      <c r="JJ55" s="252"/>
      <c r="JK55" s="252"/>
      <c r="JL55" s="252"/>
      <c r="JM55" s="252"/>
      <c r="JN55" s="252"/>
      <c r="JO55" s="252"/>
      <c r="JP55" s="252"/>
      <c r="JQ55" s="252"/>
      <c r="JR55" s="252"/>
      <c r="JS55" s="252"/>
      <c r="JT55" s="252"/>
      <c r="JU55" s="252"/>
      <c r="JV55" s="252"/>
      <c r="JW55" s="252"/>
      <c r="JX55" s="252"/>
      <c r="JY55" s="252"/>
      <c r="JZ55" s="252"/>
      <c r="KA55" s="252"/>
      <c r="KB55" s="252"/>
      <c r="KC55" s="252"/>
      <c r="KD55" s="252"/>
      <c r="KE55" s="252"/>
      <c r="KF55" s="252"/>
      <c r="KG55" s="252"/>
      <c r="KH55" s="252"/>
      <c r="KI55" s="252"/>
      <c r="KJ55" s="252"/>
      <c r="KK55" s="252"/>
      <c r="KL55" s="252"/>
      <c r="KM55" s="252"/>
      <c r="KN55" s="252"/>
    </row>
    <row r="56" outlineLevel="1">
      <c r="A56" s="252"/>
      <c r="B56" s="252"/>
      <c r="C56" s="252"/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7" t="s">
        <v>16</v>
      </c>
      <c r="AG56" s="258">
        <f t="shared" ref="AG56:AG58" si="25">SUM(AG3,AG8,AG13,AG18,AG23,AG28,AG32,AG36,AG40,AG44,AG48,AG52)</f>
        <v>30358.891</v>
      </c>
      <c r="AH56" s="259">
        <f t="shared" ref="AH56:AH58" si="26">AVERAGE(AH3,AH8,AH13,AH18,AH23,AH28,AH32,AH36,AH40,AH44,AH48,AH52)</f>
        <v>83.42087552</v>
      </c>
      <c r="AI56" s="258"/>
      <c r="AJ56" s="258"/>
      <c r="AK56" s="258"/>
      <c r="AL56" s="258"/>
      <c r="AM56" s="258"/>
      <c r="AN56" s="258"/>
      <c r="AO56" s="258"/>
      <c r="AP56" s="258"/>
      <c r="AQ56" s="258"/>
      <c r="AR56" s="258"/>
      <c r="AS56" s="258"/>
      <c r="AT56" s="258"/>
      <c r="AU56" s="258"/>
      <c r="AV56" s="258"/>
      <c r="AW56" s="258"/>
      <c r="AX56" s="258"/>
      <c r="AY56" s="258"/>
      <c r="AZ56" s="258"/>
      <c r="BA56" s="258"/>
      <c r="BB56" s="258"/>
      <c r="BC56" s="258"/>
      <c r="BD56" s="258"/>
      <c r="BE56" s="258"/>
      <c r="BF56" s="258"/>
      <c r="BG56" s="258"/>
      <c r="BH56" s="258"/>
      <c r="BI56" s="258"/>
      <c r="BJ56" s="258"/>
      <c r="BK56" s="258"/>
      <c r="BL56" s="258"/>
      <c r="BM56" s="258"/>
      <c r="BN56" s="258"/>
      <c r="BO56" s="258"/>
      <c r="BP56" s="258"/>
      <c r="BQ56" s="258"/>
      <c r="BR56" s="258"/>
      <c r="BS56" s="258"/>
      <c r="BT56" s="258"/>
      <c r="BU56" s="258"/>
      <c r="BV56" s="258"/>
      <c r="BW56" s="258"/>
      <c r="BX56" s="258"/>
      <c r="BY56" s="258"/>
      <c r="BZ56" s="258"/>
      <c r="CA56" s="258"/>
      <c r="CB56" s="258"/>
      <c r="CC56" s="258"/>
      <c r="CD56" s="258"/>
      <c r="CE56" s="258"/>
      <c r="CF56" s="258"/>
      <c r="CG56" s="258"/>
      <c r="CH56" s="258"/>
      <c r="CI56" s="258"/>
      <c r="CJ56" s="258"/>
      <c r="CK56" s="258"/>
      <c r="CL56" s="258"/>
      <c r="CM56" s="258"/>
      <c r="CN56" s="258"/>
      <c r="CO56" s="258"/>
      <c r="CP56" s="258"/>
      <c r="CQ56" s="258"/>
      <c r="CR56" s="258"/>
      <c r="CS56" s="258"/>
      <c r="CT56" s="258"/>
      <c r="CU56" s="258"/>
      <c r="CV56" s="258"/>
      <c r="CW56" s="258"/>
      <c r="CX56" s="258"/>
      <c r="CY56" s="258"/>
      <c r="CZ56" s="258"/>
      <c r="DA56" s="258"/>
      <c r="DB56" s="258"/>
      <c r="DC56" s="258"/>
      <c r="DD56" s="258"/>
      <c r="DE56" s="258"/>
      <c r="DF56" s="258"/>
      <c r="DG56" s="258"/>
      <c r="DH56" s="258"/>
      <c r="DI56" s="258"/>
      <c r="DJ56" s="258"/>
      <c r="DK56" s="258"/>
      <c r="DL56" s="258"/>
      <c r="DM56" s="258"/>
      <c r="DN56" s="258"/>
      <c r="DO56" s="258"/>
      <c r="DP56" s="258"/>
      <c r="DQ56" s="258"/>
      <c r="DR56" s="258"/>
      <c r="DS56" s="258"/>
      <c r="DT56" s="258"/>
      <c r="DU56" s="258"/>
      <c r="DV56" s="258"/>
      <c r="DW56" s="258"/>
      <c r="DX56" s="258"/>
      <c r="DY56" s="258"/>
      <c r="DZ56" s="258"/>
      <c r="EA56" s="258"/>
      <c r="EB56" s="258"/>
      <c r="EC56" s="258"/>
      <c r="ED56" s="258"/>
      <c r="EE56" s="258"/>
      <c r="EF56" s="258"/>
      <c r="EG56" s="258"/>
      <c r="EH56" s="258"/>
      <c r="EI56" s="258"/>
      <c r="EJ56" s="258"/>
      <c r="EK56" s="258"/>
      <c r="EL56" s="258"/>
      <c r="EM56" s="258"/>
      <c r="EN56" s="258"/>
      <c r="EO56" s="258"/>
      <c r="EP56" s="258"/>
      <c r="EQ56" s="258"/>
      <c r="ER56" s="258"/>
      <c r="ES56" s="258"/>
      <c r="ET56" s="258"/>
      <c r="EU56" s="258"/>
      <c r="EV56" s="258"/>
      <c r="EW56" s="258"/>
      <c r="EX56" s="258"/>
      <c r="EY56" s="258"/>
      <c r="EZ56" s="258"/>
      <c r="FA56" s="258"/>
      <c r="FB56" s="258"/>
      <c r="FC56" s="258"/>
      <c r="FD56" s="258"/>
      <c r="FE56" s="258"/>
      <c r="FF56" s="258"/>
      <c r="FG56" s="258"/>
      <c r="FH56" s="258"/>
      <c r="FI56" s="258"/>
      <c r="FJ56" s="258"/>
      <c r="FK56" s="258"/>
      <c r="FL56" s="258"/>
      <c r="FM56" s="258"/>
      <c r="FN56" s="258"/>
      <c r="FO56" s="258"/>
      <c r="FP56" s="258"/>
      <c r="FQ56" s="258"/>
      <c r="FR56" s="258"/>
      <c r="FS56" s="258"/>
      <c r="FT56" s="258"/>
      <c r="FU56" s="258"/>
      <c r="FV56" s="258"/>
      <c r="FW56" s="258"/>
      <c r="FX56" s="258"/>
      <c r="FY56" s="258"/>
      <c r="FZ56" s="258"/>
      <c r="GA56" s="258"/>
      <c r="GB56" s="258"/>
      <c r="GC56" s="258"/>
      <c r="GD56" s="258"/>
      <c r="GE56" s="258"/>
      <c r="GF56" s="258"/>
      <c r="GG56" s="258"/>
      <c r="GH56" s="258"/>
      <c r="GI56" s="258"/>
      <c r="GJ56" s="258"/>
      <c r="GK56" s="258"/>
      <c r="GL56" s="258"/>
      <c r="GM56" s="258"/>
      <c r="GN56" s="258"/>
      <c r="GO56" s="258"/>
      <c r="GP56" s="258"/>
      <c r="GQ56" s="258"/>
      <c r="GR56" s="258"/>
      <c r="GS56" s="258"/>
      <c r="GT56" s="258"/>
      <c r="GU56" s="258"/>
      <c r="GV56" s="258"/>
      <c r="GW56" s="258"/>
      <c r="GX56" s="258"/>
      <c r="GY56" s="258"/>
      <c r="GZ56" s="258"/>
      <c r="HA56" s="258"/>
      <c r="HB56" s="258"/>
      <c r="HC56" s="258"/>
      <c r="HD56" s="258"/>
      <c r="HE56" s="258"/>
      <c r="HF56" s="258"/>
      <c r="HG56" s="258"/>
      <c r="HH56" s="258"/>
      <c r="HI56" s="258"/>
      <c r="HJ56" s="258"/>
      <c r="HK56" s="258"/>
      <c r="HL56" s="258"/>
      <c r="HM56" s="258"/>
      <c r="HN56" s="258"/>
      <c r="HO56" s="258"/>
      <c r="HP56" s="258"/>
      <c r="HQ56" s="258"/>
      <c r="HR56" s="258"/>
      <c r="HS56" s="258"/>
      <c r="HT56" s="258"/>
      <c r="HU56" s="258"/>
      <c r="HV56" s="258"/>
      <c r="HW56" s="258"/>
      <c r="HX56" s="258"/>
      <c r="HY56" s="258"/>
      <c r="HZ56" s="258"/>
      <c r="IA56" s="258"/>
      <c r="IB56" s="258"/>
      <c r="IC56" s="258"/>
      <c r="ID56" s="258"/>
      <c r="IE56" s="258"/>
      <c r="IF56" s="258"/>
      <c r="IG56" s="258"/>
      <c r="IH56" s="258"/>
      <c r="II56" s="258"/>
      <c r="IJ56" s="258"/>
      <c r="IK56" s="258"/>
      <c r="IL56" s="258"/>
      <c r="IM56" s="258"/>
      <c r="IN56" s="258"/>
      <c r="IO56" s="258"/>
      <c r="IP56" s="258"/>
      <c r="IQ56" s="258"/>
      <c r="IR56" s="258"/>
      <c r="IS56" s="258"/>
      <c r="IT56" s="258"/>
      <c r="IU56" s="258"/>
      <c r="IV56" s="258"/>
      <c r="IW56" s="258"/>
      <c r="IX56" s="258"/>
      <c r="IY56" s="258"/>
      <c r="IZ56" s="258"/>
      <c r="JA56" s="258"/>
      <c r="JB56" s="258"/>
      <c r="JC56" s="258"/>
      <c r="JD56" s="258"/>
      <c r="JE56" s="258"/>
      <c r="JF56" s="258"/>
      <c r="JG56" s="258"/>
      <c r="JH56" s="258"/>
      <c r="JI56" s="258"/>
      <c r="JJ56" s="258"/>
      <c r="JK56" s="258"/>
      <c r="JL56" s="258"/>
      <c r="JM56" s="258"/>
      <c r="JN56" s="258"/>
      <c r="JO56" s="258"/>
      <c r="JP56" s="258"/>
      <c r="JQ56" s="258"/>
      <c r="JR56" s="258"/>
      <c r="JS56" s="258"/>
      <c r="JT56" s="258"/>
      <c r="JU56" s="258"/>
      <c r="JV56" s="258"/>
      <c r="JW56" s="258"/>
      <c r="JX56" s="258"/>
      <c r="JY56" s="258"/>
      <c r="JZ56" s="258"/>
      <c r="KA56" s="258"/>
      <c r="KB56" s="258"/>
      <c r="KC56" s="258"/>
      <c r="KD56" s="258"/>
      <c r="KE56" s="258"/>
      <c r="KF56" s="258"/>
      <c r="KG56" s="258"/>
      <c r="KH56" s="258"/>
      <c r="KI56" s="258"/>
      <c r="KJ56" s="258"/>
      <c r="KK56" s="258"/>
      <c r="KL56" s="258"/>
      <c r="KM56" s="258"/>
      <c r="KN56" s="258"/>
    </row>
    <row r="57" outlineLevel="1">
      <c r="A57" s="252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  <c r="AA57" s="252"/>
      <c r="AB57" s="252"/>
      <c r="AC57" s="252"/>
      <c r="AD57" s="252"/>
      <c r="AE57" s="252"/>
      <c r="AF57" s="257" t="s">
        <v>20</v>
      </c>
      <c r="AG57" s="258">
        <f t="shared" si="25"/>
        <v>23949.93</v>
      </c>
      <c r="AH57" s="259">
        <f t="shared" si="26"/>
        <v>65.81757456</v>
      </c>
      <c r="AI57" s="258"/>
      <c r="AJ57" s="258"/>
      <c r="AK57" s="258"/>
      <c r="AL57" s="258"/>
      <c r="AM57" s="258"/>
      <c r="AN57" s="258"/>
      <c r="AO57" s="258"/>
      <c r="AP57" s="258"/>
      <c r="AQ57" s="258"/>
      <c r="AR57" s="258"/>
      <c r="AS57" s="258"/>
      <c r="AT57" s="258"/>
      <c r="AU57" s="258"/>
      <c r="AV57" s="258"/>
      <c r="AW57" s="258"/>
      <c r="AX57" s="258"/>
      <c r="AY57" s="258"/>
      <c r="AZ57" s="258"/>
      <c r="BA57" s="258"/>
      <c r="BB57" s="258"/>
      <c r="BC57" s="258"/>
      <c r="BD57" s="258"/>
      <c r="BE57" s="258"/>
      <c r="BF57" s="258"/>
      <c r="BG57" s="258"/>
      <c r="BH57" s="258"/>
      <c r="BI57" s="258"/>
      <c r="BJ57" s="258"/>
      <c r="BK57" s="258"/>
      <c r="BL57" s="258"/>
      <c r="BM57" s="258"/>
      <c r="BN57" s="258"/>
      <c r="BO57" s="258"/>
      <c r="BP57" s="258"/>
      <c r="BQ57" s="258"/>
      <c r="BR57" s="258"/>
      <c r="BS57" s="258"/>
      <c r="BT57" s="258"/>
      <c r="BU57" s="258"/>
      <c r="BV57" s="258"/>
      <c r="BW57" s="258"/>
      <c r="BX57" s="258"/>
      <c r="BY57" s="258"/>
      <c r="BZ57" s="258"/>
      <c r="CA57" s="258"/>
      <c r="CB57" s="258"/>
      <c r="CC57" s="258"/>
      <c r="CD57" s="258"/>
      <c r="CE57" s="258"/>
      <c r="CF57" s="258"/>
      <c r="CG57" s="258"/>
      <c r="CH57" s="258"/>
      <c r="CI57" s="258"/>
      <c r="CJ57" s="258"/>
      <c r="CK57" s="258"/>
      <c r="CL57" s="258"/>
      <c r="CM57" s="258"/>
      <c r="CN57" s="258"/>
      <c r="CO57" s="258"/>
      <c r="CP57" s="258"/>
      <c r="CQ57" s="258"/>
      <c r="CR57" s="258"/>
      <c r="CS57" s="258"/>
      <c r="CT57" s="258"/>
      <c r="CU57" s="258"/>
      <c r="CV57" s="258"/>
      <c r="CW57" s="258"/>
      <c r="CX57" s="258"/>
      <c r="CY57" s="258"/>
      <c r="CZ57" s="258"/>
      <c r="DA57" s="258"/>
      <c r="DB57" s="258"/>
      <c r="DC57" s="258"/>
      <c r="DD57" s="258"/>
      <c r="DE57" s="258"/>
      <c r="DF57" s="258"/>
      <c r="DG57" s="258"/>
      <c r="DH57" s="258"/>
      <c r="DI57" s="258"/>
      <c r="DJ57" s="258"/>
      <c r="DK57" s="258"/>
      <c r="DL57" s="258"/>
      <c r="DM57" s="258"/>
      <c r="DN57" s="258"/>
      <c r="DO57" s="258"/>
      <c r="DP57" s="258"/>
      <c r="DQ57" s="258"/>
      <c r="DR57" s="258"/>
      <c r="DS57" s="258"/>
      <c r="DT57" s="258"/>
      <c r="DU57" s="258"/>
      <c r="DV57" s="258"/>
      <c r="DW57" s="258"/>
      <c r="DX57" s="258"/>
      <c r="DY57" s="258"/>
      <c r="DZ57" s="258"/>
      <c r="EA57" s="258"/>
      <c r="EB57" s="258"/>
      <c r="EC57" s="258"/>
      <c r="ED57" s="258"/>
      <c r="EE57" s="258"/>
      <c r="EF57" s="258"/>
      <c r="EG57" s="258"/>
      <c r="EH57" s="258"/>
      <c r="EI57" s="258"/>
      <c r="EJ57" s="258"/>
      <c r="EK57" s="258"/>
      <c r="EL57" s="258"/>
      <c r="EM57" s="258"/>
      <c r="EN57" s="258"/>
      <c r="EO57" s="258"/>
      <c r="EP57" s="258"/>
      <c r="EQ57" s="258"/>
      <c r="ER57" s="258"/>
      <c r="ES57" s="258"/>
      <c r="ET57" s="258"/>
      <c r="EU57" s="258"/>
      <c r="EV57" s="258"/>
      <c r="EW57" s="258"/>
      <c r="EX57" s="258"/>
      <c r="EY57" s="258"/>
      <c r="EZ57" s="258"/>
      <c r="FA57" s="258"/>
      <c r="FB57" s="258"/>
      <c r="FC57" s="258"/>
      <c r="FD57" s="258"/>
      <c r="FE57" s="258"/>
      <c r="FF57" s="258"/>
      <c r="FG57" s="258"/>
      <c r="FH57" s="258"/>
      <c r="FI57" s="258"/>
      <c r="FJ57" s="258"/>
      <c r="FK57" s="258"/>
      <c r="FL57" s="258"/>
      <c r="FM57" s="258"/>
      <c r="FN57" s="258"/>
      <c r="FO57" s="258"/>
      <c r="FP57" s="258"/>
      <c r="FQ57" s="258"/>
      <c r="FR57" s="258"/>
      <c r="FS57" s="258"/>
      <c r="FT57" s="258"/>
      <c r="FU57" s="258"/>
      <c r="FV57" s="258"/>
      <c r="FW57" s="258"/>
      <c r="FX57" s="258"/>
      <c r="FY57" s="258"/>
      <c r="FZ57" s="258"/>
      <c r="GA57" s="258"/>
      <c r="GB57" s="258"/>
      <c r="GC57" s="258"/>
      <c r="GD57" s="258"/>
      <c r="GE57" s="258"/>
      <c r="GF57" s="258"/>
      <c r="GG57" s="258"/>
      <c r="GH57" s="258"/>
      <c r="GI57" s="258"/>
      <c r="GJ57" s="258"/>
      <c r="GK57" s="258"/>
      <c r="GL57" s="258"/>
      <c r="GM57" s="258"/>
      <c r="GN57" s="258"/>
      <c r="GO57" s="258"/>
      <c r="GP57" s="258"/>
      <c r="GQ57" s="258"/>
      <c r="GR57" s="258"/>
      <c r="GS57" s="258"/>
      <c r="GT57" s="258"/>
      <c r="GU57" s="258"/>
      <c r="GV57" s="258"/>
      <c r="GW57" s="258"/>
      <c r="GX57" s="258"/>
      <c r="GY57" s="258"/>
      <c r="GZ57" s="258"/>
      <c r="HA57" s="258"/>
      <c r="HB57" s="258"/>
      <c r="HC57" s="258"/>
      <c r="HD57" s="258"/>
      <c r="HE57" s="258"/>
      <c r="HF57" s="258"/>
      <c r="HG57" s="258"/>
      <c r="HH57" s="258"/>
      <c r="HI57" s="258"/>
      <c r="HJ57" s="258"/>
      <c r="HK57" s="258"/>
      <c r="HL57" s="258"/>
      <c r="HM57" s="258"/>
      <c r="HN57" s="258"/>
      <c r="HO57" s="258"/>
      <c r="HP57" s="258"/>
      <c r="HQ57" s="258"/>
      <c r="HR57" s="258"/>
      <c r="HS57" s="258"/>
      <c r="HT57" s="258"/>
      <c r="HU57" s="258"/>
      <c r="HV57" s="258"/>
      <c r="HW57" s="258"/>
      <c r="HX57" s="258"/>
      <c r="HY57" s="258"/>
      <c r="HZ57" s="258"/>
      <c r="IA57" s="258"/>
      <c r="IB57" s="258"/>
      <c r="IC57" s="258"/>
      <c r="ID57" s="258"/>
      <c r="IE57" s="258"/>
      <c r="IF57" s="258"/>
      <c r="IG57" s="258"/>
      <c r="IH57" s="258"/>
      <c r="II57" s="258"/>
      <c r="IJ57" s="258"/>
      <c r="IK57" s="258"/>
      <c r="IL57" s="258"/>
      <c r="IM57" s="258"/>
      <c r="IN57" s="258"/>
      <c r="IO57" s="258"/>
      <c r="IP57" s="258"/>
      <c r="IQ57" s="258"/>
      <c r="IR57" s="258"/>
      <c r="IS57" s="258"/>
      <c r="IT57" s="258"/>
      <c r="IU57" s="258"/>
      <c r="IV57" s="258"/>
      <c r="IW57" s="258"/>
      <c r="IX57" s="258"/>
      <c r="IY57" s="258"/>
      <c r="IZ57" s="258"/>
      <c r="JA57" s="258"/>
      <c r="JB57" s="258"/>
      <c r="JC57" s="258"/>
      <c r="JD57" s="258"/>
      <c r="JE57" s="258"/>
      <c r="JF57" s="258"/>
      <c r="JG57" s="258"/>
      <c r="JH57" s="258"/>
      <c r="JI57" s="258"/>
      <c r="JJ57" s="258"/>
      <c r="JK57" s="258"/>
      <c r="JL57" s="258"/>
      <c r="JM57" s="258"/>
      <c r="JN57" s="258"/>
      <c r="JO57" s="258"/>
      <c r="JP57" s="258"/>
      <c r="JQ57" s="258"/>
      <c r="JR57" s="258"/>
      <c r="JS57" s="258"/>
      <c r="JT57" s="258"/>
      <c r="JU57" s="258"/>
      <c r="JV57" s="258"/>
      <c r="JW57" s="258"/>
      <c r="JX57" s="258"/>
      <c r="JY57" s="258"/>
      <c r="JZ57" s="258"/>
      <c r="KA57" s="258"/>
      <c r="KB57" s="258"/>
      <c r="KC57" s="258"/>
      <c r="KD57" s="258"/>
      <c r="KE57" s="258"/>
      <c r="KF57" s="258"/>
      <c r="KG57" s="258"/>
      <c r="KH57" s="258"/>
      <c r="KI57" s="258"/>
      <c r="KJ57" s="258"/>
      <c r="KK57" s="258"/>
      <c r="KL57" s="258"/>
      <c r="KM57" s="258"/>
      <c r="KN57" s="258"/>
    </row>
    <row r="58" outlineLevel="1">
      <c r="A58" s="252"/>
      <c r="B58" s="252"/>
      <c r="C58" s="252"/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  <c r="AA58" s="252"/>
      <c r="AB58" s="252"/>
      <c r="AC58" s="252"/>
      <c r="AD58" s="252"/>
      <c r="AE58" s="252"/>
      <c r="AF58" s="257" t="s">
        <v>24</v>
      </c>
      <c r="AG58" s="258">
        <f t="shared" si="25"/>
        <v>6408.961</v>
      </c>
      <c r="AH58" s="259">
        <f t="shared" si="26"/>
        <v>17.60330096</v>
      </c>
      <c r="AI58" s="258"/>
      <c r="AJ58" s="258"/>
      <c r="AK58" s="258"/>
      <c r="AL58" s="258"/>
      <c r="AM58" s="258"/>
      <c r="AN58" s="258"/>
      <c r="AO58" s="258"/>
      <c r="AP58" s="258"/>
      <c r="AQ58" s="258"/>
      <c r="AR58" s="258"/>
      <c r="AS58" s="258"/>
      <c r="AT58" s="258"/>
      <c r="AU58" s="258"/>
      <c r="AV58" s="258"/>
      <c r="AW58" s="258"/>
      <c r="AX58" s="258"/>
      <c r="AY58" s="258"/>
      <c r="AZ58" s="258"/>
      <c r="BA58" s="258"/>
      <c r="BB58" s="258"/>
      <c r="BC58" s="258"/>
      <c r="BD58" s="258"/>
      <c r="BE58" s="258"/>
      <c r="BF58" s="258"/>
      <c r="BG58" s="258"/>
      <c r="BH58" s="258"/>
      <c r="BI58" s="258"/>
      <c r="BJ58" s="258"/>
      <c r="BK58" s="258"/>
      <c r="BL58" s="258"/>
      <c r="BM58" s="258"/>
      <c r="BN58" s="258"/>
      <c r="BO58" s="258"/>
      <c r="BP58" s="258"/>
      <c r="BQ58" s="258"/>
      <c r="BR58" s="258"/>
      <c r="BS58" s="258"/>
      <c r="BT58" s="258"/>
      <c r="BU58" s="258"/>
      <c r="BV58" s="258"/>
      <c r="BW58" s="258"/>
      <c r="BX58" s="258"/>
      <c r="BY58" s="258"/>
      <c r="BZ58" s="258"/>
      <c r="CA58" s="258"/>
      <c r="CB58" s="258"/>
      <c r="CC58" s="258"/>
      <c r="CD58" s="258"/>
      <c r="CE58" s="258"/>
      <c r="CF58" s="258"/>
      <c r="CG58" s="258"/>
      <c r="CH58" s="258"/>
      <c r="CI58" s="258"/>
      <c r="CJ58" s="258"/>
      <c r="CK58" s="258"/>
      <c r="CL58" s="258"/>
      <c r="CM58" s="258"/>
      <c r="CN58" s="258"/>
      <c r="CO58" s="258"/>
      <c r="CP58" s="258"/>
      <c r="CQ58" s="258"/>
      <c r="CR58" s="258"/>
      <c r="CS58" s="258"/>
      <c r="CT58" s="258"/>
      <c r="CU58" s="258"/>
      <c r="CV58" s="258"/>
      <c r="CW58" s="258"/>
      <c r="CX58" s="258"/>
      <c r="CY58" s="258"/>
      <c r="CZ58" s="258"/>
      <c r="DA58" s="258"/>
      <c r="DB58" s="258"/>
      <c r="DC58" s="258"/>
      <c r="DD58" s="258"/>
      <c r="DE58" s="258"/>
      <c r="DF58" s="258"/>
      <c r="DG58" s="258"/>
      <c r="DH58" s="258"/>
      <c r="DI58" s="258"/>
      <c r="DJ58" s="258"/>
      <c r="DK58" s="258"/>
      <c r="DL58" s="258"/>
      <c r="DM58" s="258"/>
      <c r="DN58" s="258"/>
      <c r="DO58" s="258"/>
      <c r="DP58" s="258"/>
      <c r="DQ58" s="258"/>
      <c r="DR58" s="258"/>
      <c r="DS58" s="258"/>
      <c r="DT58" s="258"/>
      <c r="DU58" s="258"/>
      <c r="DV58" s="258"/>
      <c r="DW58" s="258"/>
      <c r="DX58" s="258"/>
      <c r="DY58" s="258"/>
      <c r="DZ58" s="258"/>
      <c r="EA58" s="258"/>
      <c r="EB58" s="258"/>
      <c r="EC58" s="258"/>
      <c r="ED58" s="258"/>
      <c r="EE58" s="258"/>
      <c r="EF58" s="258"/>
      <c r="EG58" s="258"/>
      <c r="EH58" s="258"/>
      <c r="EI58" s="258"/>
      <c r="EJ58" s="258"/>
      <c r="EK58" s="258"/>
      <c r="EL58" s="258"/>
      <c r="EM58" s="258"/>
      <c r="EN58" s="258"/>
      <c r="EO58" s="258"/>
      <c r="EP58" s="258"/>
      <c r="EQ58" s="258"/>
      <c r="ER58" s="258"/>
      <c r="ES58" s="258"/>
      <c r="ET58" s="258"/>
      <c r="EU58" s="258"/>
      <c r="EV58" s="258"/>
      <c r="EW58" s="258"/>
      <c r="EX58" s="258"/>
      <c r="EY58" s="258"/>
      <c r="EZ58" s="258"/>
      <c r="FA58" s="258"/>
      <c r="FB58" s="258"/>
      <c r="FC58" s="258"/>
      <c r="FD58" s="258"/>
      <c r="FE58" s="258"/>
      <c r="FF58" s="258"/>
      <c r="FG58" s="258"/>
      <c r="FH58" s="258"/>
      <c r="FI58" s="258"/>
      <c r="FJ58" s="258"/>
      <c r="FK58" s="258"/>
      <c r="FL58" s="258"/>
      <c r="FM58" s="258"/>
      <c r="FN58" s="258"/>
      <c r="FO58" s="258"/>
      <c r="FP58" s="258"/>
      <c r="FQ58" s="258"/>
      <c r="FR58" s="258"/>
      <c r="FS58" s="258"/>
      <c r="FT58" s="258"/>
      <c r="FU58" s="258"/>
      <c r="FV58" s="258"/>
      <c r="FW58" s="258"/>
      <c r="FX58" s="258"/>
      <c r="FY58" s="258"/>
      <c r="FZ58" s="258"/>
      <c r="GA58" s="258"/>
      <c r="GB58" s="258"/>
      <c r="GC58" s="258"/>
      <c r="GD58" s="258"/>
      <c r="GE58" s="258"/>
      <c r="GF58" s="258"/>
      <c r="GG58" s="258"/>
      <c r="GH58" s="258"/>
      <c r="GI58" s="258"/>
      <c r="GJ58" s="258"/>
      <c r="GK58" s="258"/>
      <c r="GL58" s="258"/>
      <c r="GM58" s="258"/>
      <c r="GN58" s="258"/>
      <c r="GO58" s="258"/>
      <c r="GP58" s="258"/>
      <c r="GQ58" s="258"/>
      <c r="GR58" s="258"/>
      <c r="GS58" s="258"/>
      <c r="GT58" s="258"/>
      <c r="GU58" s="258"/>
      <c r="GV58" s="258"/>
      <c r="GW58" s="258"/>
      <c r="GX58" s="258"/>
      <c r="GY58" s="258"/>
      <c r="GZ58" s="258"/>
      <c r="HA58" s="258"/>
      <c r="HB58" s="258"/>
      <c r="HC58" s="258"/>
      <c r="HD58" s="258"/>
      <c r="HE58" s="258"/>
      <c r="HF58" s="258"/>
      <c r="HG58" s="258"/>
      <c r="HH58" s="258"/>
      <c r="HI58" s="258"/>
      <c r="HJ58" s="258"/>
      <c r="HK58" s="258"/>
      <c r="HL58" s="258"/>
      <c r="HM58" s="258"/>
      <c r="HN58" s="258"/>
      <c r="HO58" s="258"/>
      <c r="HP58" s="258"/>
      <c r="HQ58" s="258"/>
      <c r="HR58" s="258"/>
      <c r="HS58" s="258"/>
      <c r="HT58" s="258"/>
      <c r="HU58" s="258"/>
      <c r="HV58" s="258"/>
      <c r="HW58" s="258"/>
      <c r="HX58" s="258"/>
      <c r="HY58" s="258"/>
      <c r="HZ58" s="258"/>
      <c r="IA58" s="258"/>
      <c r="IB58" s="258"/>
      <c r="IC58" s="258"/>
      <c r="ID58" s="258"/>
      <c r="IE58" s="258"/>
      <c r="IF58" s="258"/>
      <c r="IG58" s="258"/>
      <c r="IH58" s="258"/>
      <c r="II58" s="258"/>
      <c r="IJ58" s="258"/>
      <c r="IK58" s="258"/>
      <c r="IL58" s="258"/>
      <c r="IM58" s="258"/>
      <c r="IN58" s="258"/>
      <c r="IO58" s="258"/>
      <c r="IP58" s="258"/>
      <c r="IQ58" s="258"/>
      <c r="IR58" s="258"/>
      <c r="IS58" s="258"/>
      <c r="IT58" s="258"/>
      <c r="IU58" s="258"/>
      <c r="IV58" s="258"/>
      <c r="IW58" s="258"/>
      <c r="IX58" s="258"/>
      <c r="IY58" s="258"/>
      <c r="IZ58" s="258"/>
      <c r="JA58" s="258"/>
      <c r="JB58" s="258"/>
      <c r="JC58" s="258"/>
      <c r="JD58" s="258"/>
      <c r="JE58" s="258"/>
      <c r="JF58" s="258"/>
      <c r="JG58" s="258"/>
      <c r="JH58" s="258"/>
      <c r="JI58" s="258"/>
      <c r="JJ58" s="258"/>
      <c r="JK58" s="258"/>
      <c r="JL58" s="258"/>
      <c r="JM58" s="258"/>
      <c r="JN58" s="258"/>
      <c r="JO58" s="258"/>
      <c r="JP58" s="258"/>
      <c r="JQ58" s="258"/>
      <c r="JR58" s="258"/>
      <c r="JS58" s="258"/>
      <c r="JT58" s="258"/>
      <c r="JU58" s="258"/>
      <c r="JV58" s="258"/>
      <c r="JW58" s="258"/>
      <c r="JX58" s="258"/>
      <c r="JY58" s="258"/>
      <c r="JZ58" s="258"/>
      <c r="KA58" s="258"/>
      <c r="KB58" s="258"/>
      <c r="KC58" s="258"/>
      <c r="KD58" s="258"/>
      <c r="KE58" s="258"/>
      <c r="KF58" s="258"/>
      <c r="KG58" s="258"/>
      <c r="KH58" s="258"/>
      <c r="KI58" s="258"/>
      <c r="KJ58" s="258"/>
      <c r="KK58" s="258"/>
      <c r="KL58" s="258"/>
      <c r="KM58" s="258"/>
      <c r="KN58" s="258"/>
    </row>
    <row r="59">
      <c r="A59" s="252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/>
      <c r="AC59" s="252"/>
      <c r="AD59" s="252"/>
      <c r="AE59" s="252"/>
      <c r="AF59" s="252"/>
      <c r="AG59" s="252"/>
      <c r="AH59" s="252"/>
      <c r="AI59" s="252"/>
      <c r="AJ59" s="252"/>
      <c r="AK59" s="252"/>
      <c r="AL59" s="252"/>
      <c r="AM59" s="252"/>
      <c r="AN59" s="252"/>
      <c r="AO59" s="252"/>
      <c r="AP59" s="252"/>
      <c r="AQ59" s="252"/>
      <c r="AR59" s="252"/>
      <c r="AS59" s="252"/>
      <c r="AT59" s="252"/>
      <c r="AU59" s="252"/>
      <c r="AV59" s="252"/>
      <c r="AW59" s="252"/>
      <c r="AX59" s="252"/>
      <c r="AY59" s="252"/>
      <c r="AZ59" s="252"/>
      <c r="BA59" s="252"/>
      <c r="BB59" s="252"/>
      <c r="BC59" s="252"/>
      <c r="BD59" s="252"/>
      <c r="BE59" s="252"/>
      <c r="BF59" s="252"/>
      <c r="BG59" s="252"/>
      <c r="BH59" s="252"/>
      <c r="BI59" s="252"/>
      <c r="BJ59" s="252"/>
      <c r="BK59" s="252"/>
      <c r="BL59" s="252"/>
      <c r="BM59" s="252"/>
      <c r="BN59" s="252"/>
      <c r="BO59" s="252"/>
      <c r="BP59" s="252"/>
      <c r="BQ59" s="252"/>
      <c r="BR59" s="252"/>
      <c r="BS59" s="252"/>
      <c r="BT59" s="252"/>
      <c r="BU59" s="252"/>
      <c r="BV59" s="252"/>
      <c r="BW59" s="252"/>
      <c r="BX59" s="252"/>
      <c r="BY59" s="252"/>
      <c r="BZ59" s="252"/>
      <c r="CA59" s="252"/>
      <c r="CB59" s="252"/>
      <c r="CC59" s="252"/>
      <c r="CD59" s="252"/>
      <c r="CE59" s="252"/>
      <c r="CF59" s="252"/>
      <c r="CG59" s="252"/>
      <c r="CH59" s="252"/>
      <c r="CI59" s="252"/>
      <c r="CJ59" s="252"/>
      <c r="CK59" s="252"/>
      <c r="CL59" s="252"/>
      <c r="CM59" s="252"/>
      <c r="CN59" s="252"/>
      <c r="CO59" s="252"/>
      <c r="CP59" s="252"/>
      <c r="CQ59" s="252"/>
      <c r="CR59" s="252"/>
      <c r="CS59" s="252"/>
      <c r="CT59" s="252"/>
      <c r="CU59" s="252"/>
      <c r="CV59" s="252"/>
      <c r="CW59" s="252"/>
      <c r="CX59" s="252"/>
      <c r="CY59" s="252"/>
      <c r="CZ59" s="252"/>
      <c r="DA59" s="252"/>
      <c r="DB59" s="252"/>
      <c r="DC59" s="252"/>
      <c r="DD59" s="252"/>
      <c r="DE59" s="252"/>
      <c r="DF59" s="252"/>
      <c r="DG59" s="252"/>
      <c r="DH59" s="252"/>
      <c r="DI59" s="252"/>
      <c r="DJ59" s="252"/>
      <c r="DK59" s="252"/>
      <c r="DL59" s="252"/>
      <c r="DM59" s="252"/>
      <c r="DN59" s="252"/>
      <c r="DO59" s="252"/>
      <c r="DP59" s="252"/>
      <c r="DQ59" s="252"/>
      <c r="DR59" s="252"/>
      <c r="DS59" s="252"/>
      <c r="DT59" s="252"/>
      <c r="DU59" s="252"/>
      <c r="DV59" s="252"/>
      <c r="DW59" s="252"/>
      <c r="DX59" s="252"/>
      <c r="DY59" s="252"/>
      <c r="DZ59" s="252"/>
      <c r="EA59" s="252"/>
      <c r="EB59" s="252"/>
      <c r="EC59" s="252"/>
      <c r="ED59" s="252"/>
      <c r="EE59" s="252"/>
      <c r="EF59" s="252"/>
      <c r="EG59" s="252"/>
      <c r="EH59" s="252"/>
      <c r="EI59" s="252"/>
      <c r="EJ59" s="252"/>
      <c r="EK59" s="252"/>
      <c r="EL59" s="252"/>
      <c r="EM59" s="252"/>
      <c r="EN59" s="252"/>
      <c r="EO59" s="252"/>
      <c r="EP59" s="252"/>
      <c r="EQ59" s="252"/>
      <c r="ER59" s="252"/>
      <c r="ES59" s="252"/>
      <c r="ET59" s="252"/>
      <c r="EU59" s="252"/>
      <c r="EV59" s="252"/>
      <c r="EW59" s="252"/>
      <c r="EX59" s="252"/>
      <c r="EY59" s="252"/>
      <c r="EZ59" s="252"/>
      <c r="FA59" s="252"/>
      <c r="FB59" s="252"/>
      <c r="FC59" s="252"/>
      <c r="FD59" s="252"/>
      <c r="FE59" s="252"/>
      <c r="FF59" s="252"/>
      <c r="FG59" s="252"/>
      <c r="FH59" s="252"/>
      <c r="FI59" s="252"/>
      <c r="FJ59" s="252"/>
      <c r="FK59" s="252"/>
      <c r="FL59" s="252"/>
      <c r="FM59" s="252"/>
      <c r="FN59" s="252"/>
      <c r="FO59" s="252"/>
      <c r="FP59" s="252"/>
      <c r="FQ59" s="252"/>
      <c r="FR59" s="252"/>
      <c r="FS59" s="252"/>
      <c r="FT59" s="252"/>
      <c r="FU59" s="252"/>
      <c r="FV59" s="252"/>
      <c r="FW59" s="252"/>
      <c r="FX59" s="252"/>
      <c r="FY59" s="252"/>
      <c r="FZ59" s="252"/>
      <c r="GA59" s="252"/>
      <c r="GB59" s="252"/>
      <c r="GC59" s="252"/>
      <c r="GD59" s="252"/>
      <c r="GE59" s="252"/>
      <c r="GF59" s="252"/>
      <c r="GG59" s="252"/>
      <c r="GH59" s="252"/>
      <c r="GI59" s="252"/>
      <c r="GJ59" s="252"/>
      <c r="GK59" s="252"/>
      <c r="GL59" s="252"/>
      <c r="GM59" s="252"/>
      <c r="GN59" s="252"/>
      <c r="GO59" s="252"/>
      <c r="GP59" s="252"/>
      <c r="GQ59" s="252"/>
      <c r="GR59" s="252"/>
      <c r="GS59" s="252"/>
      <c r="GT59" s="252"/>
      <c r="GU59" s="252"/>
      <c r="GV59" s="252"/>
      <c r="GW59" s="252"/>
      <c r="GX59" s="252"/>
      <c r="GY59" s="252"/>
      <c r="GZ59" s="252"/>
      <c r="HA59" s="252"/>
      <c r="HB59" s="252"/>
      <c r="HC59" s="252"/>
      <c r="HD59" s="252"/>
      <c r="HE59" s="252"/>
      <c r="HF59" s="252"/>
      <c r="HG59" s="252"/>
      <c r="HH59" s="252"/>
      <c r="HI59" s="252"/>
      <c r="HJ59" s="252"/>
      <c r="HK59" s="252"/>
      <c r="HL59" s="252"/>
      <c r="HM59" s="252"/>
      <c r="HN59" s="252"/>
      <c r="HO59" s="252"/>
      <c r="HP59" s="252"/>
      <c r="HQ59" s="252"/>
      <c r="HR59" s="252"/>
      <c r="HS59" s="252"/>
      <c r="HT59" s="252"/>
      <c r="HU59" s="252"/>
      <c r="HV59" s="252"/>
      <c r="HW59" s="252"/>
      <c r="HX59" s="252"/>
      <c r="HY59" s="252"/>
      <c r="HZ59" s="252"/>
      <c r="IA59" s="252"/>
      <c r="IB59" s="252"/>
      <c r="IC59" s="252"/>
      <c r="ID59" s="252"/>
      <c r="IE59" s="252"/>
      <c r="IF59" s="252"/>
      <c r="IG59" s="252"/>
      <c r="IH59" s="252"/>
      <c r="II59" s="252"/>
      <c r="IJ59" s="252"/>
      <c r="IK59" s="252"/>
      <c r="IL59" s="252"/>
      <c r="IM59" s="252"/>
      <c r="IN59" s="252"/>
      <c r="IO59" s="252"/>
      <c r="IP59" s="252"/>
      <c r="IQ59" s="252"/>
      <c r="IR59" s="252"/>
      <c r="IS59" s="252"/>
      <c r="IT59" s="252"/>
      <c r="IU59" s="252"/>
      <c r="IV59" s="252"/>
      <c r="IW59" s="252"/>
      <c r="IX59" s="252"/>
      <c r="IY59" s="252"/>
      <c r="IZ59" s="252"/>
      <c r="JA59" s="252"/>
      <c r="JB59" s="252"/>
      <c r="JC59" s="252"/>
      <c r="JD59" s="252"/>
      <c r="JE59" s="252"/>
      <c r="JF59" s="252"/>
      <c r="JG59" s="252"/>
      <c r="JH59" s="252"/>
      <c r="JI59" s="252"/>
      <c r="JJ59" s="252"/>
      <c r="JK59" s="252"/>
      <c r="JL59" s="252"/>
      <c r="JM59" s="252"/>
      <c r="JN59" s="252"/>
      <c r="JO59" s="252"/>
      <c r="JP59" s="252"/>
      <c r="JQ59" s="252"/>
      <c r="JR59" s="252"/>
      <c r="JS59" s="252"/>
      <c r="JT59" s="252"/>
      <c r="JU59" s="252"/>
      <c r="JV59" s="252"/>
      <c r="JW59" s="252"/>
      <c r="JX59" s="252"/>
      <c r="JY59" s="252"/>
      <c r="JZ59" s="252"/>
      <c r="KA59" s="252"/>
      <c r="KB59" s="252"/>
      <c r="KC59" s="252"/>
      <c r="KD59" s="252"/>
      <c r="KE59" s="252"/>
      <c r="KF59" s="252"/>
      <c r="KG59" s="252"/>
      <c r="KH59" s="252"/>
      <c r="KI59" s="252"/>
      <c r="KJ59" s="252"/>
      <c r="KK59" s="252"/>
      <c r="KL59" s="252"/>
      <c r="KM59" s="252"/>
      <c r="KN59" s="252"/>
    </row>
    <row r="60" collapsed="1">
      <c r="A60" s="252">
        <v>2022.0</v>
      </c>
      <c r="AI60" s="252"/>
      <c r="AJ60" s="252"/>
      <c r="AK60" s="252"/>
      <c r="AL60" s="252"/>
      <c r="AM60" s="252"/>
      <c r="AN60" s="252"/>
      <c r="AO60" s="252"/>
      <c r="AP60" s="252"/>
      <c r="AQ60" s="252"/>
      <c r="AR60" s="252"/>
      <c r="AS60" s="252"/>
      <c r="AT60" s="252"/>
      <c r="AU60" s="252"/>
      <c r="AV60" s="252"/>
      <c r="AW60" s="252"/>
      <c r="AX60" s="252"/>
      <c r="AY60" s="252"/>
      <c r="AZ60" s="252"/>
      <c r="BA60" s="252"/>
      <c r="BB60" s="252"/>
      <c r="BC60" s="252"/>
      <c r="BD60" s="252"/>
      <c r="BE60" s="252"/>
      <c r="BF60" s="252"/>
      <c r="BG60" s="252"/>
      <c r="BH60" s="252"/>
      <c r="BI60" s="252"/>
      <c r="BJ60" s="252"/>
      <c r="BK60" s="252"/>
      <c r="BL60" s="252"/>
      <c r="BM60" s="252"/>
      <c r="BN60" s="252"/>
      <c r="BO60" s="252"/>
      <c r="BP60" s="252"/>
      <c r="BQ60" s="252"/>
      <c r="BR60" s="252"/>
      <c r="BS60" s="252"/>
      <c r="BT60" s="252"/>
      <c r="BU60" s="252"/>
      <c r="BV60" s="252"/>
      <c r="BW60" s="252"/>
      <c r="BX60" s="252"/>
      <c r="BY60" s="252"/>
      <c r="BZ60" s="252"/>
      <c r="CA60" s="252"/>
      <c r="CB60" s="252"/>
      <c r="CC60" s="252"/>
      <c r="CD60" s="252"/>
      <c r="CE60" s="252"/>
      <c r="CF60" s="252"/>
      <c r="CG60" s="252"/>
      <c r="CH60" s="252"/>
      <c r="CI60" s="252"/>
      <c r="CJ60" s="252"/>
      <c r="CK60" s="252"/>
      <c r="CL60" s="252"/>
      <c r="CM60" s="252"/>
      <c r="CN60" s="252"/>
      <c r="CO60" s="252"/>
      <c r="CP60" s="252"/>
      <c r="CQ60" s="252"/>
      <c r="CR60" s="252"/>
      <c r="CS60" s="252"/>
      <c r="CT60" s="252"/>
      <c r="CU60" s="252"/>
      <c r="CV60" s="252"/>
      <c r="CW60" s="252"/>
      <c r="CX60" s="252"/>
      <c r="CY60" s="252"/>
      <c r="CZ60" s="252"/>
      <c r="DA60" s="252"/>
      <c r="DB60" s="252"/>
      <c r="DC60" s="252"/>
      <c r="DD60" s="252"/>
      <c r="DE60" s="252"/>
      <c r="DF60" s="252"/>
      <c r="DG60" s="252"/>
      <c r="DH60" s="252"/>
      <c r="DI60" s="252"/>
      <c r="DJ60" s="252"/>
      <c r="DK60" s="252"/>
      <c r="DL60" s="252"/>
      <c r="DM60" s="252"/>
      <c r="DN60" s="252"/>
      <c r="DO60" s="252"/>
      <c r="DP60" s="252"/>
      <c r="DQ60" s="252"/>
      <c r="DR60" s="252"/>
      <c r="DS60" s="252"/>
      <c r="DT60" s="252"/>
      <c r="DU60" s="252"/>
      <c r="DV60" s="252"/>
      <c r="DW60" s="252"/>
      <c r="DX60" s="252"/>
      <c r="DY60" s="252"/>
      <c r="DZ60" s="252"/>
      <c r="EA60" s="252"/>
      <c r="EB60" s="252"/>
      <c r="EC60" s="252"/>
      <c r="ED60" s="252"/>
      <c r="EE60" s="252"/>
      <c r="EF60" s="252"/>
      <c r="EG60" s="252"/>
      <c r="EH60" s="252"/>
      <c r="EI60" s="252"/>
      <c r="EJ60" s="252"/>
      <c r="EK60" s="252"/>
      <c r="EL60" s="252"/>
      <c r="EM60" s="252"/>
      <c r="EN60" s="252"/>
      <c r="EO60" s="252"/>
      <c r="EP60" s="252"/>
      <c r="EQ60" s="252"/>
      <c r="ER60" s="252"/>
      <c r="ES60" s="252"/>
      <c r="ET60" s="252"/>
      <c r="EU60" s="252"/>
      <c r="EV60" s="252"/>
      <c r="EW60" s="252"/>
      <c r="EX60" s="252"/>
      <c r="EY60" s="252"/>
      <c r="EZ60" s="252"/>
      <c r="FA60" s="252"/>
      <c r="FB60" s="252"/>
      <c r="FC60" s="252"/>
      <c r="FD60" s="252"/>
      <c r="FE60" s="252"/>
      <c r="FF60" s="252"/>
      <c r="FG60" s="252"/>
      <c r="FH60" s="252"/>
      <c r="FI60" s="252"/>
      <c r="FJ60" s="252"/>
      <c r="FK60" s="252"/>
      <c r="FL60" s="252"/>
      <c r="FM60" s="252"/>
      <c r="FN60" s="252"/>
      <c r="FO60" s="252"/>
      <c r="FP60" s="252"/>
      <c r="FQ60" s="252"/>
      <c r="FR60" s="252"/>
      <c r="FS60" s="252"/>
      <c r="FT60" s="252"/>
      <c r="FU60" s="252"/>
      <c r="FV60" s="252"/>
      <c r="FW60" s="252"/>
      <c r="FX60" s="252"/>
      <c r="FY60" s="252"/>
      <c r="FZ60" s="252"/>
      <c r="GA60" s="252"/>
      <c r="GB60" s="252"/>
      <c r="GC60" s="252"/>
      <c r="GD60" s="252"/>
      <c r="GE60" s="252"/>
      <c r="GF60" s="252"/>
      <c r="GG60" s="252"/>
      <c r="GH60" s="252"/>
      <c r="GI60" s="252"/>
      <c r="GJ60" s="252"/>
      <c r="GK60" s="252"/>
      <c r="GL60" s="252"/>
      <c r="GM60" s="252"/>
      <c r="GN60" s="252"/>
      <c r="GO60" s="252"/>
      <c r="GP60" s="252"/>
      <c r="GQ60" s="252"/>
      <c r="GR60" s="252"/>
      <c r="GS60" s="252"/>
      <c r="GT60" s="252"/>
      <c r="GU60" s="252"/>
      <c r="GV60" s="252"/>
      <c r="GW60" s="252"/>
      <c r="GX60" s="252"/>
      <c r="GY60" s="252"/>
      <c r="GZ60" s="252"/>
      <c r="HA60" s="252"/>
      <c r="HB60" s="252"/>
      <c r="HC60" s="252"/>
      <c r="HD60" s="252"/>
      <c r="HE60" s="252"/>
      <c r="HF60" s="252"/>
      <c r="HG60" s="252"/>
      <c r="HH60" s="252"/>
      <c r="HI60" s="252"/>
      <c r="HJ60" s="252"/>
      <c r="HK60" s="252"/>
      <c r="HL60" s="252"/>
      <c r="HM60" s="252"/>
      <c r="HN60" s="252"/>
      <c r="HO60" s="252"/>
      <c r="HP60" s="252"/>
      <c r="HQ60" s="252"/>
      <c r="HR60" s="252"/>
      <c r="HS60" s="252"/>
      <c r="HT60" s="252"/>
      <c r="HU60" s="252"/>
      <c r="HV60" s="252"/>
      <c r="HW60" s="252"/>
      <c r="HX60" s="252"/>
      <c r="HY60" s="252"/>
      <c r="HZ60" s="252"/>
      <c r="IA60" s="252"/>
      <c r="IB60" s="252"/>
      <c r="IC60" s="252"/>
      <c r="ID60" s="252"/>
      <c r="IE60" s="252"/>
      <c r="IF60" s="252"/>
      <c r="IG60" s="252"/>
      <c r="IH60" s="252"/>
      <c r="II60" s="252"/>
      <c r="IJ60" s="252"/>
      <c r="IK60" s="252"/>
      <c r="IL60" s="252"/>
      <c r="IM60" s="252"/>
      <c r="IN60" s="252"/>
      <c r="IO60" s="252"/>
      <c r="IP60" s="252"/>
      <c r="IQ60" s="252"/>
      <c r="IR60" s="252"/>
      <c r="IS60" s="252"/>
      <c r="IT60" s="252"/>
      <c r="IU60" s="252"/>
      <c r="IV60" s="252"/>
      <c r="IW60" s="252"/>
      <c r="IX60" s="252"/>
      <c r="IY60" s="252"/>
      <c r="IZ60" s="252"/>
      <c r="JA60" s="252"/>
      <c r="JB60" s="252"/>
      <c r="JC60" s="252"/>
      <c r="JD60" s="252"/>
      <c r="JE60" s="252"/>
      <c r="JF60" s="252"/>
      <c r="JG60" s="252"/>
      <c r="JH60" s="252"/>
      <c r="JI60" s="252"/>
      <c r="JJ60" s="252"/>
      <c r="JK60" s="252"/>
      <c r="JL60" s="252"/>
      <c r="JM60" s="252"/>
      <c r="JN60" s="252"/>
      <c r="JO60" s="252"/>
      <c r="JP60" s="252"/>
      <c r="JQ60" s="252"/>
      <c r="JR60" s="252"/>
      <c r="JS60" s="252"/>
      <c r="JT60" s="252"/>
      <c r="JU60" s="252"/>
      <c r="JV60" s="252"/>
      <c r="JW60" s="252"/>
      <c r="JX60" s="252"/>
      <c r="JY60" s="252"/>
      <c r="JZ60" s="252"/>
      <c r="KA60" s="252"/>
      <c r="KB60" s="252"/>
      <c r="KC60" s="252"/>
      <c r="KD60" s="252"/>
      <c r="KE60" s="252"/>
      <c r="KF60" s="252"/>
      <c r="KG60" s="252"/>
      <c r="KH60" s="252"/>
      <c r="KI60" s="252"/>
      <c r="KJ60" s="252"/>
      <c r="KK60" s="252"/>
      <c r="KL60" s="252"/>
      <c r="KM60" s="252"/>
      <c r="KN60" s="252"/>
    </row>
    <row r="61" hidden="1" outlineLevel="1">
      <c r="A61" s="253" t="s">
        <v>10211</v>
      </c>
      <c r="B61" s="255">
        <v>44562.0</v>
      </c>
      <c r="C61" s="255">
        <v>44563.0</v>
      </c>
      <c r="D61" s="255">
        <v>44564.0</v>
      </c>
      <c r="E61" s="255">
        <v>44565.0</v>
      </c>
      <c r="F61" s="255">
        <v>44566.0</v>
      </c>
      <c r="G61" s="255">
        <v>44567.0</v>
      </c>
      <c r="H61" s="255">
        <v>44568.0</v>
      </c>
      <c r="I61" s="255">
        <v>44569.0</v>
      </c>
      <c r="J61" s="255">
        <v>44570.0</v>
      </c>
      <c r="K61" s="255">
        <v>44571.0</v>
      </c>
      <c r="L61" s="255">
        <v>44572.0</v>
      </c>
      <c r="M61" s="255">
        <v>44573.0</v>
      </c>
      <c r="N61" s="255">
        <v>44574.0</v>
      </c>
      <c r="O61" s="255">
        <v>44575.0</v>
      </c>
      <c r="P61" s="255">
        <v>44576.0</v>
      </c>
      <c r="Q61" s="255">
        <v>44577.0</v>
      </c>
      <c r="R61" s="255">
        <v>44578.0</v>
      </c>
      <c r="S61" s="255">
        <v>44579.0</v>
      </c>
      <c r="T61" s="255">
        <v>44580.0</v>
      </c>
      <c r="U61" s="255">
        <v>44581.0</v>
      </c>
      <c r="V61" s="255">
        <v>44582.0</v>
      </c>
      <c r="W61" s="255">
        <v>44583.0</v>
      </c>
      <c r="X61" s="255">
        <v>44584.0</v>
      </c>
      <c r="Y61" s="255">
        <v>44585.0</v>
      </c>
      <c r="Z61" s="255">
        <v>44586.0</v>
      </c>
      <c r="AA61" s="255">
        <v>44587.0</v>
      </c>
      <c r="AB61" s="255">
        <v>44588.0</v>
      </c>
      <c r="AC61" s="255">
        <v>44589.0</v>
      </c>
      <c r="AD61" s="255">
        <v>44590.0</v>
      </c>
      <c r="AE61" s="255">
        <v>44591.0</v>
      </c>
      <c r="AF61" s="255">
        <v>44592.0</v>
      </c>
      <c r="AG61" s="75" t="s">
        <v>41</v>
      </c>
      <c r="AH61" s="75" t="s">
        <v>10252</v>
      </c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75"/>
      <c r="DA61" s="75"/>
      <c r="DB61" s="75"/>
      <c r="DC61" s="75"/>
      <c r="DD61" s="75"/>
      <c r="DE61" s="75"/>
      <c r="DF61" s="75"/>
      <c r="DG61" s="75"/>
      <c r="DH61" s="75"/>
      <c r="DI61" s="75"/>
      <c r="DJ61" s="75"/>
      <c r="DK61" s="75"/>
      <c r="DL61" s="75"/>
      <c r="DM61" s="7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75"/>
      <c r="EC61" s="75"/>
      <c r="ED61" s="75"/>
      <c r="EE61" s="75"/>
      <c r="EF61" s="75"/>
      <c r="EG61" s="75"/>
      <c r="EH61" s="75"/>
      <c r="EI61" s="75"/>
      <c r="EJ61" s="75"/>
      <c r="EK61" s="75"/>
      <c r="EL61" s="75"/>
      <c r="EM61" s="75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75"/>
      <c r="FF61" s="75"/>
      <c r="FG61" s="75"/>
      <c r="FH61" s="75"/>
      <c r="FI61" s="75"/>
      <c r="FJ61" s="75"/>
      <c r="FK61" s="75"/>
      <c r="FL61" s="75"/>
      <c r="FM61" s="75"/>
      <c r="FN61" s="75"/>
      <c r="FO61" s="75"/>
      <c r="FP61" s="75"/>
      <c r="FQ61" s="75"/>
      <c r="FR61" s="75"/>
      <c r="FS61" s="75"/>
      <c r="FT61" s="75"/>
      <c r="FU61" s="75"/>
      <c r="FV61" s="75"/>
      <c r="FW61" s="75"/>
      <c r="FX61" s="75"/>
      <c r="FY61" s="75"/>
      <c r="FZ61" s="75"/>
      <c r="GA61" s="75"/>
      <c r="GB61" s="75"/>
      <c r="GC61" s="75"/>
      <c r="GD61" s="75"/>
      <c r="GE61" s="75"/>
      <c r="GF61" s="75"/>
      <c r="GG61" s="75"/>
      <c r="GH61" s="75"/>
      <c r="GI61" s="75"/>
      <c r="GJ61" s="75"/>
      <c r="GK61" s="75"/>
      <c r="GL61" s="75"/>
      <c r="GM61" s="75"/>
      <c r="GN61" s="75"/>
      <c r="GO61" s="75"/>
      <c r="GP61" s="75"/>
      <c r="GQ61" s="75"/>
      <c r="GR61" s="75"/>
      <c r="GS61" s="75"/>
      <c r="GT61" s="75"/>
      <c r="GU61" s="75"/>
      <c r="GV61" s="75"/>
      <c r="GW61" s="75"/>
      <c r="GX61" s="75"/>
      <c r="GY61" s="75"/>
      <c r="GZ61" s="75"/>
      <c r="HA61" s="75"/>
      <c r="HB61" s="75"/>
      <c r="HC61" s="75"/>
      <c r="HD61" s="75"/>
      <c r="HE61" s="75"/>
      <c r="HF61" s="75"/>
      <c r="HG61" s="75"/>
      <c r="HH61" s="75"/>
      <c r="HI61" s="75"/>
      <c r="HJ61" s="75"/>
      <c r="HK61" s="75"/>
      <c r="HL61" s="75"/>
      <c r="HM61" s="75"/>
      <c r="HN61" s="75"/>
      <c r="HO61" s="75"/>
      <c r="HP61" s="75"/>
      <c r="HQ61" s="75"/>
      <c r="HR61" s="75"/>
      <c r="HS61" s="75"/>
      <c r="HT61" s="75"/>
      <c r="HU61" s="75"/>
      <c r="HV61" s="75"/>
      <c r="HW61" s="75"/>
      <c r="HX61" s="75"/>
      <c r="HY61" s="75"/>
      <c r="HZ61" s="75"/>
      <c r="IA61" s="75"/>
      <c r="IB61" s="75"/>
      <c r="IC61" s="75"/>
      <c r="ID61" s="75"/>
      <c r="IE61" s="75"/>
      <c r="IF61" s="75"/>
      <c r="IG61" s="75"/>
      <c r="IH61" s="75"/>
      <c r="II61" s="75"/>
      <c r="IJ61" s="75"/>
      <c r="IK61" s="75"/>
      <c r="IL61" s="75"/>
      <c r="IM61" s="75"/>
      <c r="IN61" s="75"/>
      <c r="IO61" s="75"/>
      <c r="IP61" s="75"/>
      <c r="IQ61" s="75"/>
      <c r="IR61" s="75"/>
      <c r="IS61" s="75"/>
      <c r="IT61" s="75"/>
      <c r="IU61" s="75"/>
      <c r="IV61" s="75"/>
      <c r="IW61" s="75"/>
      <c r="IX61" s="75"/>
      <c r="IY61" s="75"/>
      <c r="IZ61" s="75"/>
      <c r="JA61" s="75"/>
      <c r="JB61" s="75"/>
      <c r="JC61" s="75"/>
      <c r="JD61" s="75"/>
      <c r="JE61" s="75"/>
      <c r="JF61" s="75"/>
      <c r="JG61" s="75"/>
      <c r="JH61" s="75"/>
      <c r="JI61" s="75"/>
      <c r="JJ61" s="75"/>
      <c r="JK61" s="75"/>
      <c r="JL61" s="75"/>
      <c r="JM61" s="75"/>
      <c r="JN61" s="75"/>
      <c r="JO61" s="75"/>
      <c r="JP61" s="75"/>
      <c r="JQ61" s="75"/>
      <c r="JR61" s="75"/>
      <c r="JS61" s="75"/>
      <c r="JT61" s="75"/>
      <c r="JU61" s="75"/>
      <c r="JV61" s="75"/>
      <c r="JW61" s="75"/>
      <c r="JX61" s="75"/>
      <c r="JY61" s="75"/>
      <c r="JZ61" s="75"/>
      <c r="KA61" s="75"/>
      <c r="KB61" s="75"/>
      <c r="KC61" s="75"/>
      <c r="KD61" s="75"/>
      <c r="KE61" s="75"/>
      <c r="KF61" s="75"/>
      <c r="KG61" s="75"/>
      <c r="KH61" s="75"/>
      <c r="KI61" s="75"/>
      <c r="KJ61" s="75"/>
      <c r="KK61" s="75"/>
      <c r="KL61" s="75"/>
      <c r="KM61" s="75"/>
      <c r="KN61" s="75"/>
    </row>
    <row r="62" hidden="1" outlineLevel="2">
      <c r="A62" s="256" t="s">
        <v>9</v>
      </c>
      <c r="B62" s="20">
        <f>SUMIF(Inventory!$D2:$D1136,"="&amp;B61, Inventory!$F2:$F1136)</f>
        <v>30.19</v>
      </c>
      <c r="C62" s="20">
        <f>SUMIF(Inventory!$D2:$D1136,"="&amp;C61, Inventory!$F2:$F1136)</f>
        <v>24.4</v>
      </c>
      <c r="D62" s="20">
        <f>SUMIF(Inventory!$D2:$D1136,"="&amp;D61, Inventory!$F2:$F1136)</f>
        <v>23.72</v>
      </c>
      <c r="E62" s="20">
        <f>SUMIF(Inventory!$D2:$D1136,"="&amp;E61, Inventory!$F2:$F1136)</f>
        <v>40.98</v>
      </c>
      <c r="F62" s="20">
        <f>SUMIF(Inventory!$D2:$D1136,"="&amp;F61, Inventory!$F2:$F1136)</f>
        <v>21.73</v>
      </c>
      <c r="G62" s="20">
        <f>SUMIF(Inventory!$D2:$D1136,"="&amp;G61, Inventory!$F2:$F1136)</f>
        <v>61.59</v>
      </c>
      <c r="H62" s="20">
        <f>SUMIF(Inventory!$D2:$D1136,"="&amp;H61, Inventory!$F2:$F1136)</f>
        <v>71.66</v>
      </c>
      <c r="I62" s="20">
        <f>SUMIF(Inventory!$D2:$D1136,"="&amp;I61, Inventory!$F2:$F1136)</f>
        <v>9.16</v>
      </c>
      <c r="J62" s="20">
        <f>SUMIF(Inventory!$D2:$D1136,"="&amp;J61, Inventory!$F2:$F1136)</f>
        <v>45.88</v>
      </c>
      <c r="K62" s="20">
        <f>SUMIF(Inventory!$D2:$D1136,"="&amp;K61, Inventory!$F2:$F1136)</f>
        <v>22.41</v>
      </c>
      <c r="L62" s="20">
        <f>SUMIF(Inventory!$D2:$D1136,"="&amp;L61, Inventory!$F2:$F1136)</f>
        <v>0</v>
      </c>
      <c r="M62" s="20">
        <f>SUMIF(Inventory!$D2:$D1136,"="&amp;M61, Inventory!$F2:$F1136)</f>
        <v>31.58</v>
      </c>
      <c r="N62" s="20">
        <f>SUMIF(Inventory!$D2:$D1136,"="&amp;N61, Inventory!$F2:$F1136)</f>
        <v>13.35</v>
      </c>
      <c r="O62" s="20">
        <f>SUMIF(Inventory!$D2:$D1136,"="&amp;O61, Inventory!$F2:$F1136)</f>
        <v>0</v>
      </c>
      <c r="P62" s="20">
        <f>SUMIF(Inventory!$D2:$D1136,"="&amp;P61, Inventory!$F2:$F1136)</f>
        <v>31</v>
      </c>
      <c r="Q62" s="20">
        <f>SUMIF(Inventory!$D2:$D1136,"="&amp;Q61, Inventory!$F2:$F1136)</f>
        <v>54.72</v>
      </c>
      <c r="R62" s="20">
        <f>SUMIF(Inventory!$D2:$D1136,"="&amp;R61, Inventory!$F2:$F1136)</f>
        <v>8.06</v>
      </c>
      <c r="S62" s="20">
        <f>SUMIF(Inventory!$D2:$D1136,"="&amp;S61, Inventory!$F2:$F1136)</f>
        <v>0</v>
      </c>
      <c r="T62" s="20">
        <f>SUMIF(Inventory!$D2:$D1136,"="&amp;T61, Inventory!$F2:$F1136)</f>
        <v>7.64</v>
      </c>
      <c r="U62" s="20">
        <f>SUMIF(Inventory!$D2:$D1136,"="&amp;U61, Inventory!$F2:$F1136)</f>
        <v>40</v>
      </c>
      <c r="V62" s="20">
        <f>SUMIF(Inventory!$D2:$D1136,"="&amp;V61, Inventory!$F2:$F1136)</f>
        <v>27.37</v>
      </c>
      <c r="W62" s="20">
        <f>SUMIF(Inventory!$D2:$D1136,"="&amp;W61, Inventory!$F2:$F1136)</f>
        <v>95.7</v>
      </c>
      <c r="X62" s="20">
        <f>SUMIF(Inventory!$D2:$D1136,"="&amp;X61, Inventory!$F2:$F1136)</f>
        <v>57.25</v>
      </c>
      <c r="Y62" s="20">
        <f>SUMIF(Inventory!$D2:$D1136,"="&amp;Y61, Inventory!$F2:$F1136)</f>
        <v>170.02</v>
      </c>
      <c r="Z62" s="20">
        <f>SUMIF(Inventory!$D2:$D1136,"="&amp;Z61, Inventory!$F2:$F1136)</f>
        <v>45.97</v>
      </c>
      <c r="AA62" s="20">
        <f>SUMIF(Inventory!$D2:$D1136,"="&amp;AA61, Inventory!$F2:$F1136)</f>
        <v>3.59</v>
      </c>
      <c r="AB62" s="20">
        <f>SUMIF(Inventory!$D2:$D1136,"="&amp;AB61, Inventory!$F2:$F1136)</f>
        <v>0</v>
      </c>
      <c r="AC62" s="20">
        <f>SUMIF(Inventory!$D2:$D1136,"="&amp;AC61, Inventory!$F2:$F1136)</f>
        <v>2.43</v>
      </c>
      <c r="AD62" s="20">
        <f>SUMIF(Inventory!$D2:$D1136,"="&amp;AD61, Inventory!$F2:$F1136)</f>
        <v>18.39</v>
      </c>
      <c r="AE62" s="20">
        <f>SUMIF(Inventory!$D2:$D1136,"="&amp;AE61, Inventory!$F2:$F1136)</f>
        <v>38.31</v>
      </c>
      <c r="AF62" s="20">
        <f>SUMIF(Inventory!$D2:$D1136,"="&amp;AF61, Inventory!$F2:$F1136)</f>
        <v>47.98</v>
      </c>
      <c r="AG62" s="20">
        <f t="shared" ref="AG62:AG64" si="27">SUM(B62:AF62)</f>
        <v>1045.08</v>
      </c>
      <c r="AH62" s="21">
        <f t="shared" ref="AH62:AH64" si="28">AVERAGE(B62:AF62)</f>
        <v>33.71225806</v>
      </c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</row>
    <row r="63" hidden="1" outlineLevel="2">
      <c r="A63" s="256" t="s">
        <v>10</v>
      </c>
      <c r="B63" s="20">
        <f>SUMIF(Inventory!$D2:$D1136,"="&amp;B61, Inventory!$E2:$E1136)</f>
        <v>25.48</v>
      </c>
      <c r="C63" s="20">
        <f>SUMIF(Inventory!$D2:$D1136,"="&amp;C61, Inventory!$E2:$E1136)</f>
        <v>17.61</v>
      </c>
      <c r="D63" s="20">
        <f>SUMIF(Inventory!$D2:$D1136,"="&amp;D61, Inventory!$E2:$E1136)</f>
        <v>20.72</v>
      </c>
      <c r="E63" s="20">
        <f>SUMIF(Inventory!$D2:$D1136,"="&amp;E61, Inventory!$E2:$E1136)</f>
        <v>35.74</v>
      </c>
      <c r="F63" s="20">
        <f>SUMIF(Inventory!$D2:$D1136,"="&amp;F61, Inventory!$E2:$E1136)</f>
        <v>18.78</v>
      </c>
      <c r="G63" s="20">
        <f>SUMIF(Inventory!$D2:$D1136,"="&amp;G61, Inventory!$E2:$E1136)</f>
        <v>49.35</v>
      </c>
      <c r="H63" s="20">
        <f>SUMIF(Inventory!$D2:$D1136,"="&amp;H61, Inventory!$E2:$E1136)</f>
        <v>60.98</v>
      </c>
      <c r="I63" s="20">
        <f>SUMIF(Inventory!$D2:$D1136,"="&amp;I61, Inventory!$E2:$E1136)</f>
        <v>7.55</v>
      </c>
      <c r="J63" s="20">
        <f>SUMIF(Inventory!$D2:$D1136,"="&amp;J61, Inventory!$E2:$E1136)</f>
        <v>29.63</v>
      </c>
      <c r="K63" s="20">
        <f>SUMIF(Inventory!$D2:$D1136,"="&amp;K61, Inventory!$E2:$E1136)</f>
        <v>17.19</v>
      </c>
      <c r="L63" s="20">
        <f>SUMIF(Inventory!$D2:$D1136,"="&amp;L61, Inventory!$E2:$E1136)</f>
        <v>0</v>
      </c>
      <c r="M63" s="20">
        <f>SUMIF(Inventory!$D2:$D1136,"="&amp;M61, Inventory!$E2:$E1136)</f>
        <v>26.93</v>
      </c>
      <c r="N63" s="20">
        <f>SUMIF(Inventory!$D2:$D1136,"="&amp;N61, Inventory!$E2:$E1136)</f>
        <v>10.77</v>
      </c>
      <c r="O63" s="20">
        <f>SUMIF(Inventory!$D2:$D1136,"="&amp;O61, Inventory!$E2:$E1136)</f>
        <v>0</v>
      </c>
      <c r="P63" s="20">
        <f>SUMIF(Inventory!$D2:$D1136,"="&amp;P61, Inventory!$E2:$E1136)</f>
        <v>27.91</v>
      </c>
      <c r="Q63" s="20">
        <f>SUMIF(Inventory!$D2:$D1136,"="&amp;Q61, Inventory!$E2:$E1136)</f>
        <v>42.16</v>
      </c>
      <c r="R63" s="20">
        <f>SUMIF(Inventory!$D2:$D1136,"="&amp;R61, Inventory!$E2:$E1136)</f>
        <v>6.45</v>
      </c>
      <c r="S63" s="20">
        <f>SUMIF(Inventory!$D2:$D1136,"="&amp;S61, Inventory!$E2:$E1136)</f>
        <v>0</v>
      </c>
      <c r="T63" s="20">
        <f>SUMIF(Inventory!$D2:$D1136,"="&amp;T61, Inventory!$E2:$E1136)</f>
        <v>3.54</v>
      </c>
      <c r="U63" s="20">
        <f>SUMIF(Inventory!$D2:$D1136,"="&amp;U61, Inventory!$E2:$E1136)</f>
        <v>34.33</v>
      </c>
      <c r="V63" s="20">
        <f>SUMIF(Inventory!$D2:$D1136,"="&amp;V61, Inventory!$E2:$E1136)</f>
        <v>20.74</v>
      </c>
      <c r="W63" s="20">
        <f>SUMIF(Inventory!$D2:$D1136,"="&amp;W61, Inventory!$E2:$E1136)</f>
        <v>71.89</v>
      </c>
      <c r="X63" s="20">
        <f>SUMIF(Inventory!$D2:$D1136,"="&amp;X61, Inventory!$E2:$E1136)</f>
        <v>44.18</v>
      </c>
      <c r="Y63" s="20">
        <f>SUMIF(Inventory!$D2:$D1136,"="&amp;Y61, Inventory!$E2:$E1136)</f>
        <v>135.71</v>
      </c>
      <c r="Z63" s="20">
        <f>SUMIF(Inventory!$D2:$D1136,"="&amp;Z61, Inventory!$E2:$E1136)</f>
        <v>35.67</v>
      </c>
      <c r="AA63" s="20">
        <f>SUMIF(Inventory!$D2:$D1136,"="&amp;AA61, Inventory!$E2:$E1136)</f>
        <v>3.5</v>
      </c>
      <c r="AB63" s="20">
        <f>SUMIF(Inventory!$D2:$D1136,"="&amp;AB61, Inventory!$E2:$E1136)</f>
        <v>0</v>
      </c>
      <c r="AC63" s="20">
        <f>SUMIF(Inventory!$D2:$D1136,"="&amp;AC61, Inventory!$E2:$E1136)</f>
        <v>1</v>
      </c>
      <c r="AD63" s="20">
        <f>SUMIF(Inventory!$D2:$D1136,"="&amp;AD61, Inventory!$E2:$E1136)</f>
        <v>9.32</v>
      </c>
      <c r="AE63" s="20">
        <f>SUMIF(Inventory!$D2:$D1136,"="&amp;AE61, Inventory!$E2:$E1136)</f>
        <v>24.66</v>
      </c>
      <c r="AF63" s="20">
        <f>SUMIF(Inventory!$D2:$D1136,"="&amp;AF61, Inventory!$E2:$E1136)</f>
        <v>34.15</v>
      </c>
      <c r="AG63" s="20">
        <f t="shared" si="27"/>
        <v>815.94</v>
      </c>
      <c r="AH63" s="21">
        <f t="shared" si="28"/>
        <v>26.32064516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  <c r="KJ63" s="21"/>
      <c r="KK63" s="21"/>
      <c r="KL63" s="21"/>
      <c r="KM63" s="21"/>
      <c r="KN63" s="21"/>
    </row>
    <row r="64" hidden="1" outlineLevel="2">
      <c r="A64" s="256" t="s">
        <v>11</v>
      </c>
      <c r="B64" s="20">
        <f>SUMIF(Inventory!$D2:$D1136,"="&amp;B61, Inventory!$G2:$G1136)</f>
        <v>4.71</v>
      </c>
      <c r="C64" s="20">
        <f>SUMIF(Inventory!$D2:$D1136,"="&amp;C61, Inventory!$G2:$G1136)</f>
        <v>6.79</v>
      </c>
      <c r="D64" s="20">
        <f>SUMIF(Inventory!$D2:$D1136,"="&amp;D61, Inventory!$G2:$G1136)</f>
        <v>3</v>
      </c>
      <c r="E64" s="20">
        <f>SUMIF(Inventory!$D2:$D1136,"="&amp;E61, Inventory!$G2:$G1136)</f>
        <v>5.24</v>
      </c>
      <c r="F64" s="20">
        <f>SUMIF(Inventory!$D2:$D1136,"="&amp;F61, Inventory!$G2:$G1136)</f>
        <v>2.95</v>
      </c>
      <c r="G64" s="20">
        <f>SUMIF(Inventory!$D2:$D1136,"="&amp;G61, Inventory!$G2:$G1136)</f>
        <v>12.24</v>
      </c>
      <c r="H64" s="20">
        <f>SUMIF(Inventory!$D2:$D1136,"="&amp;H61, Inventory!$G2:$G1136)</f>
        <v>10.68</v>
      </c>
      <c r="I64" s="20">
        <f>SUMIF(Inventory!$D2:$D1136,"="&amp;I61, Inventory!$G2:$G1136)</f>
        <v>1.61</v>
      </c>
      <c r="J64" s="20">
        <f>SUMIF(Inventory!$D2:$D1136,"="&amp;J61, Inventory!$G2:$G1136)</f>
        <v>16.25</v>
      </c>
      <c r="K64" s="20">
        <f>SUMIF(Inventory!$D2:$D1136,"="&amp;K61, Inventory!$G2:$G1136)</f>
        <v>5.22</v>
      </c>
      <c r="L64" s="20">
        <f>SUMIF(Inventory!$D2:$D1136,"="&amp;L61, Inventory!$G2:$G1136)</f>
        <v>0</v>
      </c>
      <c r="M64" s="20">
        <f>SUMIF(Inventory!$D2:$D1136,"="&amp;M61, Inventory!$G2:$G1136)</f>
        <v>4.65</v>
      </c>
      <c r="N64" s="20">
        <f>SUMIF(Inventory!$D2:$D1136,"="&amp;N61, Inventory!$G2:$G1136)</f>
        <v>2.58</v>
      </c>
      <c r="O64" s="20">
        <f>SUMIF(Inventory!$D2:$D1136,"="&amp;O61, Inventory!$G2:$G1136)</f>
        <v>0</v>
      </c>
      <c r="P64" s="20">
        <f>SUMIF(Inventory!$D2:$D1136,"="&amp;P61, Inventory!$G2:$G1136)</f>
        <v>3.09</v>
      </c>
      <c r="Q64" s="20">
        <f>SUMIF(Inventory!$D2:$D1136,"="&amp;Q61, Inventory!$G2:$G1136)</f>
        <v>12.56</v>
      </c>
      <c r="R64" s="20">
        <f>SUMIF(Inventory!$D2:$D1136,"="&amp;R61, Inventory!$G2:$G1136)</f>
        <v>1.61</v>
      </c>
      <c r="S64" s="20">
        <f>SUMIF(Inventory!$D2:$D1136,"="&amp;S61, Inventory!$G2:$G1136)</f>
        <v>0</v>
      </c>
      <c r="T64" s="20">
        <f>SUMIF(Inventory!$D2:$D1136,"="&amp;T61, Inventory!$G2:$G1136)</f>
        <v>4.1</v>
      </c>
      <c r="U64" s="20">
        <f>SUMIF(Inventory!$D2:$D1136,"="&amp;U61, Inventory!$G2:$G1136)</f>
        <v>5.67</v>
      </c>
      <c r="V64" s="20">
        <f>SUMIF(Inventory!$D2:$D1136,"="&amp;V61, Inventory!$G2:$G1136)</f>
        <v>6.63</v>
      </c>
      <c r="W64" s="20">
        <f>SUMIF(Inventory!$D2:$D1136,"="&amp;W61, Inventory!$G2:$G1136)</f>
        <v>23.81</v>
      </c>
      <c r="X64" s="20">
        <f>SUMIF(Inventory!$D2:$D1136,"="&amp;X61, Inventory!$G2:$G1136)</f>
        <v>13.07</v>
      </c>
      <c r="Y64" s="20">
        <f>SUMIF(Inventory!$D2:$D1136,"="&amp;Y61, Inventory!$G2:$G1136)</f>
        <v>34.31</v>
      </c>
      <c r="Z64" s="20">
        <f>SUMIF(Inventory!$D2:$D1136,"="&amp;Z61, Inventory!$G2:$G1136)</f>
        <v>10.3</v>
      </c>
      <c r="AA64" s="20">
        <f>SUMIF(Inventory!$D2:$D1136,"="&amp;AA61, Inventory!$G2:$G1136)</f>
        <v>0.09</v>
      </c>
      <c r="AB64" s="20">
        <f>SUMIF(Inventory!$D2:$D1136,"="&amp;AB61, Inventory!$G2:$G1136)</f>
        <v>0</v>
      </c>
      <c r="AC64" s="20">
        <f>SUMIF(Inventory!$D2:$D1136,"="&amp;AC61, Inventory!$G2:$G1136)</f>
        <v>1.43</v>
      </c>
      <c r="AD64" s="20">
        <f>SUMIF(Inventory!$D2:$D1136,"="&amp;AD61, Inventory!$G2:$G1136)</f>
        <v>9.07</v>
      </c>
      <c r="AE64" s="20">
        <f>SUMIF(Inventory!$D2:$D1136,"="&amp;AE61, Inventory!$G2:$G1136)</f>
        <v>13.65</v>
      </c>
      <c r="AF64" s="20">
        <f>SUMIF(Inventory!$D2:$D1136,"="&amp;AF61, Inventory!$G2:$G1136)</f>
        <v>13.83</v>
      </c>
      <c r="AG64" s="20">
        <f t="shared" si="27"/>
        <v>229.14</v>
      </c>
      <c r="AH64" s="21">
        <f t="shared" si="28"/>
        <v>7.391612903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</row>
    <row r="65" hidden="1" outlineLevel="2">
      <c r="A65" s="256" t="s">
        <v>10566</v>
      </c>
      <c r="B65" s="20">
        <f>COUNTIFS(Inventory!$D2:$D1136,"="&amp;B61, Inventory!$J2:$J1136,"Closed")</f>
        <v>4</v>
      </c>
      <c r="C65" s="20">
        <f>COUNTIFS(Inventory!$D2:$D1136,"="&amp;C61, Inventory!$J2:$J1136,"Closed")</f>
        <v>3</v>
      </c>
      <c r="D65" s="20">
        <f>COUNTIFS(Inventory!$D2:$D1136,"="&amp;D61, Inventory!$J2:$J1136,"Closed")</f>
        <v>2</v>
      </c>
      <c r="E65" s="20">
        <f>COUNTIFS(Inventory!$D2:$D1136,"="&amp;E61, Inventory!$J2:$J1136,"Closed")</f>
        <v>2</v>
      </c>
      <c r="F65" s="20">
        <f>COUNTIFS(Inventory!$D2:$D1136,"="&amp;F61, Inventory!$J2:$J1136,"Closed")</f>
        <v>2</v>
      </c>
      <c r="G65" s="20">
        <f>COUNTIFS(Inventory!$D2:$D1136,"="&amp;G61, Inventory!$J2:$J1136,"Closed")</f>
        <v>7</v>
      </c>
      <c r="H65" s="20">
        <f>COUNTIFS(Inventory!$D2:$D1136,"="&amp;H61, Inventory!$J2:$J1136,"Closed")</f>
        <v>3</v>
      </c>
      <c r="I65" s="20">
        <f>COUNTIFS(Inventory!$D2:$D1136,"="&amp;I61, Inventory!$J2:$J1136,"Closed")</f>
        <v>1</v>
      </c>
      <c r="J65" s="20">
        <f>COUNTIFS(Inventory!$D2:$D1136,"="&amp;J61, Inventory!$J2:$J1136,"Closed")</f>
        <v>2</v>
      </c>
      <c r="K65" s="20">
        <f>COUNTIFS(Inventory!$D2:$D1136,"="&amp;K61, Inventory!$J2:$J1136,"Closed")</f>
        <v>2</v>
      </c>
      <c r="L65" s="20">
        <f>COUNTIFS(Inventory!$D2:$D1136,"="&amp;L61, Inventory!$J2:$J1136,"Closed")</f>
        <v>0</v>
      </c>
      <c r="M65" s="20">
        <f>COUNTIFS(Inventory!$D2:$D1136,"="&amp;M61, Inventory!$J2:$J1136,"Closed")</f>
        <v>3</v>
      </c>
      <c r="N65" s="20">
        <f>COUNTIFS(Inventory!$D2:$D1136,"="&amp;N61, Inventory!$J2:$J1136,"Closed")</f>
        <v>3</v>
      </c>
      <c r="O65" s="20">
        <f>COUNTIFS(Inventory!$D2:$D1136,"="&amp;O61, Inventory!$J2:$J1136,"Closed")</f>
        <v>0</v>
      </c>
      <c r="P65" s="20">
        <f>COUNTIFS(Inventory!$D2:$D1136,"="&amp;P61, Inventory!$J2:$J1136,"Closed")</f>
        <v>3</v>
      </c>
      <c r="Q65" s="20">
        <f>COUNTIFS(Inventory!$D2:$D1136,"="&amp;Q61, Inventory!$J2:$J1136,"Closed")</f>
        <v>3</v>
      </c>
      <c r="R65" s="20">
        <f>COUNTIFS(Inventory!$D2:$D1136,"="&amp;R61, Inventory!$J2:$J1136,"Closed")</f>
        <v>1</v>
      </c>
      <c r="S65" s="20">
        <f>COUNTIFS(Inventory!$D2:$D1136,"="&amp;S61, Inventory!$J2:$J1136,"Closed")</f>
        <v>0</v>
      </c>
      <c r="T65" s="20">
        <f>COUNTIFS(Inventory!$D2:$D1136,"="&amp;T61, Inventory!$J2:$J1136,"Closed")</f>
        <v>1</v>
      </c>
      <c r="U65" s="20">
        <f>COUNTIFS(Inventory!$D2:$D1136,"="&amp;U61, Inventory!$J2:$J1136,"Closed")</f>
        <v>2</v>
      </c>
      <c r="V65" s="20">
        <f>COUNTIFS(Inventory!$D2:$D1136,"="&amp;V61, Inventory!$J2:$J1136,"Closed")</f>
        <v>3</v>
      </c>
      <c r="W65" s="20">
        <f>COUNTIFS(Inventory!$D2:$D1136,"="&amp;W61, Inventory!$J2:$J1136,"Closed")</f>
        <v>9</v>
      </c>
      <c r="X65" s="20">
        <f>COUNTIFS(Inventory!$D2:$D1136,"="&amp;X61, Inventory!$J2:$J1136,"Closed")</f>
        <v>4</v>
      </c>
      <c r="Y65" s="20">
        <f>COUNTIFS(Inventory!$D2:$D1136,"="&amp;Y61, Inventory!$J2:$J1136,"Closed")</f>
        <v>10</v>
      </c>
      <c r="Z65" s="20">
        <f>COUNTIFS(Inventory!$D2:$D1136,"="&amp;Z61, Inventory!$J2:$J1136,"Closed")</f>
        <v>5</v>
      </c>
      <c r="AA65" s="20">
        <f>COUNTIFS(Inventory!$D2:$D1136,"="&amp;AA61, Inventory!$J2:$J1136,"Closed")</f>
        <v>1</v>
      </c>
      <c r="AB65" s="20">
        <f>COUNTIFS(Inventory!$D2:$D1136,"="&amp;AB61, Inventory!$J2:$J1136,"Closed")</f>
        <v>0</v>
      </c>
      <c r="AC65" s="20">
        <f>COUNTIFS(Inventory!$D2:$D1136,"="&amp;AC61, Inventory!$J2:$J1136,"Closed")</f>
        <v>1</v>
      </c>
      <c r="AD65" s="20">
        <f>COUNTIFS(Inventory!$D2:$D1136,"="&amp;AD61, Inventory!$J2:$J1136,"Closed")</f>
        <v>8</v>
      </c>
      <c r="AE65" s="20">
        <f>COUNTIFS(Inventory!$D2:$D1136,"="&amp;AE61, Inventory!$J2:$J1136,"Closed")</f>
        <v>7</v>
      </c>
      <c r="AF65" s="20">
        <f>COUNTIFS(Inventory!$D2:$D1136,"="&amp;AF61, Inventory!$J2:$J1136,"Closed")</f>
        <v>8</v>
      </c>
      <c r="AG65" s="20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</row>
    <row r="66" hidden="1" outlineLevel="1">
      <c r="A66" s="253" t="s">
        <v>10212</v>
      </c>
      <c r="B66" s="255">
        <v>44593.0</v>
      </c>
      <c r="C66" s="255">
        <v>44594.0</v>
      </c>
      <c r="D66" s="255">
        <v>44595.0</v>
      </c>
      <c r="E66" s="255">
        <v>44596.0</v>
      </c>
      <c r="F66" s="255">
        <v>44597.0</v>
      </c>
      <c r="G66" s="255">
        <v>44598.0</v>
      </c>
      <c r="H66" s="255">
        <v>44599.0</v>
      </c>
      <c r="I66" s="255">
        <v>44600.0</v>
      </c>
      <c r="J66" s="255">
        <v>44601.0</v>
      </c>
      <c r="K66" s="255">
        <v>44602.0</v>
      </c>
      <c r="L66" s="255">
        <v>44603.0</v>
      </c>
      <c r="M66" s="255">
        <v>44604.0</v>
      </c>
      <c r="N66" s="255">
        <v>44605.0</v>
      </c>
      <c r="O66" s="255">
        <v>44606.0</v>
      </c>
      <c r="P66" s="255">
        <v>44607.0</v>
      </c>
      <c r="Q66" s="255">
        <v>44608.0</v>
      </c>
      <c r="R66" s="255">
        <v>44609.0</v>
      </c>
      <c r="S66" s="255">
        <v>44610.0</v>
      </c>
      <c r="T66" s="255">
        <v>44611.0</v>
      </c>
      <c r="U66" s="255">
        <v>44612.0</v>
      </c>
      <c r="V66" s="255">
        <v>44613.0</v>
      </c>
      <c r="W66" s="255">
        <v>44614.0</v>
      </c>
      <c r="X66" s="255">
        <v>44615.0</v>
      </c>
      <c r="Y66" s="255">
        <v>44616.0</v>
      </c>
      <c r="Z66" s="255">
        <v>44617.0</v>
      </c>
      <c r="AA66" s="255">
        <v>44618.0</v>
      </c>
      <c r="AB66" s="255">
        <v>44619.0</v>
      </c>
      <c r="AC66" s="255">
        <v>44620.0</v>
      </c>
      <c r="AD66" s="255"/>
      <c r="AE66" s="255"/>
      <c r="AF66" s="255"/>
      <c r="AG66" s="20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</row>
    <row r="67" hidden="1" outlineLevel="2">
      <c r="A67" s="256" t="s">
        <v>9</v>
      </c>
      <c r="B67" s="20">
        <f>SUMIF(Inventory!$D2:$D1136,"="&amp;B66, Inventory!$F2:$F1136)</f>
        <v>7.33</v>
      </c>
      <c r="C67" s="20">
        <f>SUMIF(Inventory!$D2:$D1136,"="&amp;C66, Inventory!$F2:$F1136)</f>
        <v>14.16</v>
      </c>
      <c r="D67" s="20">
        <f>SUMIF(Inventory!$D2:$D1136,"="&amp;D66, Inventory!$F2:$F1136)</f>
        <v>23.08</v>
      </c>
      <c r="E67" s="20">
        <f>SUMIF(Inventory!$D2:$D1136,"="&amp;E66, Inventory!$F2:$F1136)</f>
        <v>48.48</v>
      </c>
      <c r="F67" s="20">
        <f>SUMIF(Inventory!$D2:$D1136,"="&amp;F66, Inventory!$F2:$F1136)</f>
        <v>51.09</v>
      </c>
      <c r="G67" s="20">
        <f>SUMIF(Inventory!$D2:$D1136,"="&amp;G66, Inventory!$F2:$F1136)</f>
        <v>68.96</v>
      </c>
      <c r="H67" s="20">
        <f>SUMIF(Inventory!$D2:$D1136,"="&amp;H66, Inventory!$F2:$F1136)</f>
        <v>10.17</v>
      </c>
      <c r="I67" s="20">
        <f>SUMIF(Inventory!$D2:$D1136,"="&amp;I66, Inventory!$F2:$F1136)</f>
        <v>36.16</v>
      </c>
      <c r="J67" s="20">
        <f>SUMIF(Inventory!$D2:$D1136,"="&amp;J66, Inventory!$F2:$F1136)</f>
        <v>42.98</v>
      </c>
      <c r="K67" s="20">
        <f>SUMIF(Inventory!$D2:$D1136,"="&amp;K66, Inventory!$F2:$F1136)</f>
        <v>20.16</v>
      </c>
      <c r="L67" s="20">
        <f>SUMIF(Inventory!$D2:$D1136,"="&amp;L66, Inventory!$F2:$F1136)</f>
        <v>31.81</v>
      </c>
      <c r="M67" s="20">
        <f>SUMIF(Inventory!$D2:$D1136,"="&amp;M66, Inventory!$F2:$F1136)</f>
        <v>97.07</v>
      </c>
      <c r="N67" s="20">
        <f>SUMIF(Inventory!$D2:$D1136,"="&amp;N66, Inventory!$F2:$F1136)</f>
        <v>56.91</v>
      </c>
      <c r="O67" s="20">
        <f>SUMIF(Inventory!$D2:$D1136,"="&amp;O66, Inventory!$F2:$F1136)</f>
        <v>81.53</v>
      </c>
      <c r="P67" s="20">
        <f>SUMIF(Inventory!$D2:$D1136,"="&amp;P66, Inventory!$F2:$F1136)</f>
        <v>38.74</v>
      </c>
      <c r="Q67" s="20">
        <f>SUMIF(Inventory!$D2:$D1136,"="&amp;Q66, Inventory!$F2:$F1136)</f>
        <v>12.37</v>
      </c>
      <c r="R67" s="20">
        <f>SUMIF(Inventory!$D2:$D1136,"="&amp;R66, Inventory!$F2:$F1136)</f>
        <v>4.69</v>
      </c>
      <c r="S67" s="20">
        <f>SUMIF(Inventory!$D2:$D1136,"="&amp;S66, Inventory!$F2:$F1136)</f>
        <v>80.89</v>
      </c>
      <c r="T67" s="20">
        <f>SUMIF(Inventory!$D2:$D1136,"="&amp;T66, Inventory!$F2:$F1136)</f>
        <v>38.9</v>
      </c>
      <c r="U67" s="20">
        <f>SUMIF(Inventory!$D2:$D1136,"="&amp;U66, Inventory!$F2:$F1136)</f>
        <v>15.1</v>
      </c>
      <c r="V67" s="20">
        <f>SUMIF(Inventory!$D2:$D1136,"="&amp;V66, Inventory!$F2:$F1136)</f>
        <v>8.21</v>
      </c>
      <c r="W67" s="20">
        <f>SUMIF(Inventory!$D2:$D1136,"="&amp;W66, Inventory!$F2:$F1136)</f>
        <v>43.36</v>
      </c>
      <c r="X67" s="20">
        <f>SUMIF(Inventory!$D2:$D1136,"="&amp;X66, Inventory!$F2:$F1136)</f>
        <v>40.76</v>
      </c>
      <c r="Y67" s="20">
        <f>SUMIF(Inventory!$D2:$D1136,"="&amp;Y66, Inventory!$F2:$F1136)</f>
        <v>20.58</v>
      </c>
      <c r="Z67" s="20">
        <f>SUMIF(Inventory!$D2:$D1136,"="&amp;Z66, Inventory!$F2:$F1136)</f>
        <v>48.2</v>
      </c>
      <c r="AA67" s="20">
        <f>SUMIF(Inventory!$D2:$D1136,"="&amp;AA66, Inventory!$F2:$F1136)</f>
        <v>52.31</v>
      </c>
      <c r="AB67" s="20">
        <f>SUMIF(Inventory!$D2:$D1136,"="&amp;AB66, Inventory!$F2:$F1136)</f>
        <v>13.67</v>
      </c>
      <c r="AC67" s="20">
        <f>SUMIF(Inventory!$D2:$D1136,"="&amp;AC66, Inventory!$F2:$F1136)</f>
        <v>96.16</v>
      </c>
      <c r="AD67" s="20"/>
      <c r="AE67" s="20"/>
      <c r="AF67" s="20"/>
      <c r="AG67" s="20">
        <f t="shared" ref="AG67:AG69" si="29">SUM(B67:AF67)</f>
        <v>1103.83</v>
      </c>
      <c r="AH67" s="21">
        <f t="shared" ref="AH67:AH69" si="30">AVERAGE(B67:AF67)</f>
        <v>39.4225</v>
      </c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</row>
    <row r="68" hidden="1" outlineLevel="2">
      <c r="A68" s="256" t="s">
        <v>10</v>
      </c>
      <c r="B68" s="20">
        <f>SUMIF(Inventory!$D2:$D1136,"="&amp;B66, Inventory!$E2:$E1136)</f>
        <v>4.44</v>
      </c>
      <c r="C68" s="20">
        <f>SUMIF(Inventory!$D2:$D1136,"="&amp;C66, Inventory!$E2:$E1136)</f>
        <v>8.17</v>
      </c>
      <c r="D68" s="20">
        <f>SUMIF(Inventory!$D2:$D1136,"="&amp;D66, Inventory!$E2:$E1136)</f>
        <v>13.71</v>
      </c>
      <c r="E68" s="20">
        <f>SUMIF(Inventory!$D2:$D1136,"="&amp;E66, Inventory!$E2:$E1136)</f>
        <v>34.57</v>
      </c>
      <c r="F68" s="20">
        <f>SUMIF(Inventory!$D2:$D1136,"="&amp;F66, Inventory!$E2:$E1136)</f>
        <v>41.6</v>
      </c>
      <c r="G68" s="20">
        <f>SUMIF(Inventory!$D2:$D1136,"="&amp;G66, Inventory!$E2:$E1136)</f>
        <v>59.97</v>
      </c>
      <c r="H68" s="20">
        <f>SUMIF(Inventory!$D2:$D1136,"="&amp;H66, Inventory!$E2:$E1136)</f>
        <v>7.39</v>
      </c>
      <c r="I68" s="20">
        <f>SUMIF(Inventory!$D2:$D1136,"="&amp;I66, Inventory!$E2:$E1136)</f>
        <v>30.95</v>
      </c>
      <c r="J68" s="20">
        <f>SUMIF(Inventory!$D2:$D1136,"="&amp;J66, Inventory!$E2:$E1136)</f>
        <v>34.46</v>
      </c>
      <c r="K68" s="20">
        <f>SUMIF(Inventory!$D2:$D1136,"="&amp;K66, Inventory!$E2:$E1136)</f>
        <v>15.48</v>
      </c>
      <c r="L68" s="20">
        <f>SUMIF(Inventory!$D2:$D1136,"="&amp;L66, Inventory!$E2:$E1136)</f>
        <v>25.29</v>
      </c>
      <c r="M68" s="20">
        <f>SUMIF(Inventory!$D2:$D1136,"="&amp;M66, Inventory!$E2:$E1136)</f>
        <v>75.29</v>
      </c>
      <c r="N68" s="20">
        <f>SUMIF(Inventory!$D2:$D1136,"="&amp;N66, Inventory!$E2:$E1136)</f>
        <v>48.32</v>
      </c>
      <c r="O68" s="20">
        <f>SUMIF(Inventory!$D2:$D1136,"="&amp;O66, Inventory!$E2:$E1136)</f>
        <v>68.24</v>
      </c>
      <c r="P68" s="20">
        <f>SUMIF(Inventory!$D2:$D1136,"="&amp;P66, Inventory!$E2:$E1136)</f>
        <v>31.83</v>
      </c>
      <c r="Q68" s="20">
        <f>SUMIF(Inventory!$D2:$D1136,"="&amp;Q66, Inventory!$E2:$E1136)</f>
        <v>9.91</v>
      </c>
      <c r="R68" s="20">
        <f>SUMIF(Inventory!$D2:$D1136,"="&amp;R66, Inventory!$E2:$E1136)</f>
        <v>3.69</v>
      </c>
      <c r="S68" s="20">
        <f>SUMIF(Inventory!$D2:$D1136,"="&amp;S66, Inventory!$E2:$E1136)</f>
        <v>63.63</v>
      </c>
      <c r="T68" s="20">
        <f>SUMIF(Inventory!$D2:$D1136,"="&amp;T66, Inventory!$E2:$E1136)</f>
        <v>31.03</v>
      </c>
      <c r="U68" s="20">
        <f>SUMIF(Inventory!$D2:$D1136,"="&amp;U66, Inventory!$E2:$E1136)</f>
        <v>12.86</v>
      </c>
      <c r="V68" s="20">
        <f>SUMIF(Inventory!$D2:$D1136,"="&amp;V66, Inventory!$E2:$E1136)</f>
        <v>6.35</v>
      </c>
      <c r="W68" s="20">
        <f>SUMIF(Inventory!$D2:$D1136,"="&amp;W66, Inventory!$E2:$E1136)</f>
        <v>36.54</v>
      </c>
      <c r="X68" s="20">
        <f>SUMIF(Inventory!$D2:$D1136,"="&amp;X66, Inventory!$E2:$E1136)</f>
        <v>35.36</v>
      </c>
      <c r="Y68" s="20">
        <f>SUMIF(Inventory!$D2:$D1136,"="&amp;Y66, Inventory!$E2:$E1136)</f>
        <v>15.5</v>
      </c>
      <c r="Z68" s="20">
        <f>SUMIF(Inventory!$D2:$D1136,"="&amp;Z66, Inventory!$E2:$E1136)</f>
        <v>41.03</v>
      </c>
      <c r="AA68" s="20">
        <f>SUMIF(Inventory!$D2:$D1136,"="&amp;AA66, Inventory!$E2:$E1136)</f>
        <v>43.9</v>
      </c>
      <c r="AB68" s="20">
        <f>SUMIF(Inventory!$D2:$D1136,"="&amp;AB66, Inventory!$E2:$E1136)</f>
        <v>9.87</v>
      </c>
      <c r="AC68" s="20">
        <f>SUMIF(Inventory!$D2:$D1136,"="&amp;AC66, Inventory!$E2:$E1136)</f>
        <v>81.88</v>
      </c>
      <c r="AD68" s="20"/>
      <c r="AE68" s="20"/>
      <c r="AF68" s="20"/>
      <c r="AG68" s="20">
        <f t="shared" si="29"/>
        <v>891.26</v>
      </c>
      <c r="AH68" s="21">
        <f t="shared" si="30"/>
        <v>31.83071429</v>
      </c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</row>
    <row r="69" hidden="1" outlineLevel="2">
      <c r="A69" s="256" t="s">
        <v>11</v>
      </c>
      <c r="B69" s="20">
        <f>SUMIF(Inventory!$D2:$D1136,"="&amp;B66, Inventory!$G2:$G1136)</f>
        <v>2.89</v>
      </c>
      <c r="C69" s="20">
        <f>SUMIF(Inventory!$D2:$D1136,"="&amp;C66, Inventory!$G2:$G1136)</f>
        <v>5.99</v>
      </c>
      <c r="D69" s="20">
        <f>SUMIF(Inventory!$D2:$D1136,"="&amp;D66, Inventory!$G2:$G1136)</f>
        <v>9.37</v>
      </c>
      <c r="E69" s="20">
        <f>SUMIF(Inventory!$D2:$D1136,"="&amp;E66, Inventory!$G2:$G1136)</f>
        <v>13.91</v>
      </c>
      <c r="F69" s="20">
        <f>SUMIF(Inventory!$D2:$D1136,"="&amp;F66, Inventory!$G2:$G1136)</f>
        <v>9.49</v>
      </c>
      <c r="G69" s="20">
        <f>SUMIF(Inventory!$D2:$D1136,"="&amp;G66, Inventory!$G2:$G1136)</f>
        <v>8.99</v>
      </c>
      <c r="H69" s="20">
        <f>SUMIF(Inventory!$D2:$D1136,"="&amp;H66, Inventory!$G2:$G1136)</f>
        <v>2.78</v>
      </c>
      <c r="I69" s="20">
        <f>SUMIF(Inventory!$D2:$D1136,"="&amp;I66, Inventory!$G2:$G1136)</f>
        <v>5.21</v>
      </c>
      <c r="J69" s="20">
        <f>SUMIF(Inventory!$D2:$D1136,"="&amp;J66, Inventory!$G2:$G1136)</f>
        <v>8.52</v>
      </c>
      <c r="K69" s="20">
        <f>SUMIF(Inventory!$D2:$D1136,"="&amp;K66, Inventory!$G2:$G1136)</f>
        <v>4.68</v>
      </c>
      <c r="L69" s="20">
        <f>SUMIF(Inventory!$D2:$D1136,"="&amp;L66, Inventory!$G2:$G1136)</f>
        <v>6.52</v>
      </c>
      <c r="M69" s="20">
        <f>SUMIF(Inventory!$D2:$D1136,"="&amp;M66, Inventory!$G2:$G1136)</f>
        <v>21.78</v>
      </c>
      <c r="N69" s="20">
        <f>SUMIF(Inventory!$D2:$D1136,"="&amp;N66, Inventory!$G2:$G1136)</f>
        <v>8.59</v>
      </c>
      <c r="O69" s="20">
        <f>SUMIF(Inventory!$D2:$D1136,"="&amp;O66, Inventory!$G2:$G1136)</f>
        <v>13.29</v>
      </c>
      <c r="P69" s="20">
        <f>SUMIF(Inventory!$D2:$D1136,"="&amp;P66, Inventory!$G2:$G1136)</f>
        <v>6.91</v>
      </c>
      <c r="Q69" s="20">
        <f>SUMIF(Inventory!$D2:$D1136,"="&amp;Q66, Inventory!$G2:$G1136)</f>
        <v>2.46</v>
      </c>
      <c r="R69" s="20">
        <f>SUMIF(Inventory!$D2:$D1136,"="&amp;R66, Inventory!$G2:$G1136)</f>
        <v>1</v>
      </c>
      <c r="S69" s="20">
        <f>SUMIF(Inventory!$D2:$D1136,"="&amp;S66, Inventory!$G2:$G1136)</f>
        <v>17.26</v>
      </c>
      <c r="T69" s="20">
        <f>SUMIF(Inventory!$D2:$D1136,"="&amp;T66, Inventory!$G2:$G1136)</f>
        <v>7.87</v>
      </c>
      <c r="U69" s="20">
        <f>SUMIF(Inventory!$D2:$D1136,"="&amp;U66, Inventory!$G2:$G1136)</f>
        <v>2.24</v>
      </c>
      <c r="V69" s="20">
        <f>SUMIF(Inventory!$D2:$D1136,"="&amp;V66, Inventory!$G2:$G1136)</f>
        <v>1.86</v>
      </c>
      <c r="W69" s="20">
        <f>SUMIF(Inventory!$D2:$D1136,"="&amp;W66, Inventory!$G2:$G1136)</f>
        <v>6.82</v>
      </c>
      <c r="X69" s="20">
        <f>SUMIF(Inventory!$D2:$D1136,"="&amp;X66, Inventory!$G2:$G1136)</f>
        <v>5.4</v>
      </c>
      <c r="Y69" s="20">
        <f>SUMIF(Inventory!$D2:$D1136,"="&amp;Y66, Inventory!$G2:$G1136)</f>
        <v>5.08</v>
      </c>
      <c r="Z69" s="20">
        <f>SUMIF(Inventory!$D2:$D1136,"="&amp;Z66, Inventory!$G2:$G1136)</f>
        <v>7.17</v>
      </c>
      <c r="AA69" s="20">
        <f>SUMIF(Inventory!$D2:$D1136,"="&amp;AA66, Inventory!$G2:$G1136)</f>
        <v>8.41</v>
      </c>
      <c r="AB69" s="20">
        <f>SUMIF(Inventory!$D2:$D1136,"="&amp;AB66, Inventory!$G2:$G1136)</f>
        <v>3.8</v>
      </c>
      <c r="AC69" s="20">
        <f>SUMIF(Inventory!$D2:$D1136,"="&amp;AC66, Inventory!$G2:$G1136)</f>
        <v>14.28</v>
      </c>
      <c r="AD69" s="20"/>
      <c r="AE69" s="20"/>
      <c r="AF69" s="20"/>
      <c r="AG69" s="20">
        <f t="shared" si="29"/>
        <v>212.57</v>
      </c>
      <c r="AH69" s="21">
        <f t="shared" si="30"/>
        <v>7.591785714</v>
      </c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</row>
    <row r="70" hidden="1" outlineLevel="2">
      <c r="A70" s="256" t="s">
        <v>10566</v>
      </c>
      <c r="B70" s="20">
        <f>COUNTIFS(Inventory!$D2:$D1136,"="&amp;B66, Inventory!$J2:$J1136,"Closed")</f>
        <v>3</v>
      </c>
      <c r="C70" s="20">
        <f>COUNTIFS(Inventory!$D2:$D1136,"="&amp;C66, Inventory!$J2:$J1136,"Closed")</f>
        <v>6</v>
      </c>
      <c r="D70" s="20">
        <f>COUNTIFS(Inventory!$D2:$D1136,"="&amp;D66, Inventory!$J2:$J1136,"Closed")</f>
        <v>7</v>
      </c>
      <c r="E70" s="20">
        <f>COUNTIFS(Inventory!$D2:$D1136,"="&amp;E66, Inventory!$J2:$J1136,"Closed")</f>
        <v>9</v>
      </c>
      <c r="F70" s="20">
        <f>COUNTIFS(Inventory!$D2:$D1136,"="&amp;F66, Inventory!$J2:$J1136,"Closed")</f>
        <v>7</v>
      </c>
      <c r="G70" s="20">
        <f>COUNTIFS(Inventory!$D2:$D1136,"="&amp;G66, Inventory!$J2:$J1136,"Closed")</f>
        <v>9</v>
      </c>
      <c r="H70" s="20">
        <f>COUNTIFS(Inventory!$D2:$D1136,"="&amp;H66, Inventory!$J2:$J1136,"Closed")</f>
        <v>3</v>
      </c>
      <c r="I70" s="20">
        <f>COUNTIFS(Inventory!$D2:$D1136,"="&amp;I66, Inventory!$J2:$J1136,"Closed")</f>
        <v>5</v>
      </c>
      <c r="J70" s="20">
        <f>COUNTIFS(Inventory!$D2:$D1136,"="&amp;J66, Inventory!$J2:$J1136,"Closed")</f>
        <v>7</v>
      </c>
      <c r="K70" s="20">
        <f>COUNTIFS(Inventory!$D2:$D1136,"="&amp;K66, Inventory!$J2:$J1136,"Closed")</f>
        <v>3</v>
      </c>
      <c r="L70" s="20">
        <f>COUNTIFS(Inventory!$D2:$D1136,"="&amp;L66, Inventory!$J2:$J1136,"Closed")</f>
        <v>4</v>
      </c>
      <c r="M70" s="20">
        <f>COUNTIFS(Inventory!$D2:$D1136,"="&amp;M66, Inventory!$J2:$J1136,"Closed")</f>
        <v>10</v>
      </c>
      <c r="N70" s="20">
        <f>COUNTIFS(Inventory!$D2:$D1136,"="&amp;N66, Inventory!$J2:$J1136,"Closed")</f>
        <v>8</v>
      </c>
      <c r="O70" s="20">
        <f>COUNTIFS(Inventory!$D2:$D1136,"="&amp;O66, Inventory!$J2:$J1136,"Closed")</f>
        <v>11</v>
      </c>
      <c r="P70" s="20">
        <f>COUNTIFS(Inventory!$D2:$D1136,"="&amp;P66, Inventory!$J2:$J1136,"Closed")</f>
        <v>3</v>
      </c>
      <c r="Q70" s="20">
        <f>COUNTIFS(Inventory!$D2:$D1136,"="&amp;Q66, Inventory!$J2:$J1136,"Closed")</f>
        <v>2</v>
      </c>
      <c r="R70" s="20">
        <f>COUNTIFS(Inventory!$D2:$D1136,"="&amp;R66, Inventory!$J2:$J1136,"Closed")</f>
        <v>1</v>
      </c>
      <c r="S70" s="20">
        <f>COUNTIFS(Inventory!$D2:$D1136,"="&amp;S66, Inventory!$J2:$J1136,"Closed")</f>
        <v>8</v>
      </c>
      <c r="T70" s="20">
        <f>COUNTIFS(Inventory!$D2:$D1136,"="&amp;T66, Inventory!$J2:$J1136,"Closed")</f>
        <v>6</v>
      </c>
      <c r="U70" s="20">
        <f>COUNTIFS(Inventory!$D2:$D1136,"="&amp;U66, Inventory!$J2:$J1136,"Closed")</f>
        <v>2</v>
      </c>
      <c r="V70" s="20">
        <f>COUNTIFS(Inventory!$D2:$D1136,"="&amp;V66, Inventory!$J2:$J1136,"Closed")</f>
        <v>2</v>
      </c>
      <c r="W70" s="20">
        <f>COUNTIFS(Inventory!$D2:$D1136,"="&amp;W66, Inventory!$J2:$J1136,"Closed")</f>
        <v>5</v>
      </c>
      <c r="X70" s="20">
        <f>COUNTIFS(Inventory!$D2:$D1136,"="&amp;X66, Inventory!$J2:$J1136,"Closed")</f>
        <v>6</v>
      </c>
      <c r="Y70" s="20">
        <f>COUNTIFS(Inventory!$D2:$D1136,"="&amp;Y66, Inventory!$J2:$J1136,"Closed")</f>
        <v>3</v>
      </c>
      <c r="Z70" s="20">
        <f>COUNTIFS(Inventory!$D2:$D1136,"="&amp;Z66, Inventory!$J2:$J1136,"Closed")</f>
        <v>4</v>
      </c>
      <c r="AA70" s="20">
        <f>COUNTIFS(Inventory!$D2:$D1136,"="&amp;AA66, Inventory!$J2:$J1136,"Closed")</f>
        <v>5</v>
      </c>
      <c r="AB70" s="20">
        <f>COUNTIFS(Inventory!$D2:$D1136,"="&amp;AB66, Inventory!$J2:$J1136,"Closed")</f>
        <v>2</v>
      </c>
      <c r="AC70" s="20">
        <f>COUNTIFS(Inventory!$D2:$D1136,"="&amp;AC66, Inventory!$J2:$J1136,"Closed")</f>
        <v>11</v>
      </c>
      <c r="AD70" s="20"/>
      <c r="AE70" s="20"/>
      <c r="AF70" s="20"/>
      <c r="AG70" s="20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</row>
    <row r="71" hidden="1" outlineLevel="1">
      <c r="A71" s="253" t="s">
        <v>10213</v>
      </c>
      <c r="B71" s="255">
        <v>44621.0</v>
      </c>
      <c r="C71" s="255">
        <v>44622.0</v>
      </c>
      <c r="D71" s="255">
        <v>44623.0</v>
      </c>
      <c r="E71" s="255">
        <v>44624.0</v>
      </c>
      <c r="F71" s="255">
        <v>44625.0</v>
      </c>
      <c r="G71" s="255">
        <v>44626.0</v>
      </c>
      <c r="H71" s="255">
        <v>44627.0</v>
      </c>
      <c r="I71" s="255">
        <v>44628.0</v>
      </c>
      <c r="J71" s="255">
        <v>44629.0</v>
      </c>
      <c r="K71" s="255">
        <v>44630.0</v>
      </c>
      <c r="L71" s="255">
        <v>44631.0</v>
      </c>
      <c r="M71" s="255">
        <v>44632.0</v>
      </c>
      <c r="N71" s="255">
        <v>44633.0</v>
      </c>
      <c r="O71" s="255">
        <v>44634.0</v>
      </c>
      <c r="P71" s="255">
        <v>44635.0</v>
      </c>
      <c r="Q71" s="255">
        <v>44636.0</v>
      </c>
      <c r="R71" s="255">
        <v>44637.0</v>
      </c>
      <c r="S71" s="255">
        <v>44638.0</v>
      </c>
      <c r="T71" s="255">
        <v>44639.0</v>
      </c>
      <c r="U71" s="255">
        <v>44640.0</v>
      </c>
      <c r="V71" s="255">
        <v>44641.0</v>
      </c>
      <c r="W71" s="255">
        <v>44642.0</v>
      </c>
      <c r="X71" s="255">
        <v>44643.0</v>
      </c>
      <c r="Y71" s="255">
        <v>44644.0</v>
      </c>
      <c r="Z71" s="255">
        <v>44645.0</v>
      </c>
      <c r="AA71" s="255">
        <v>44646.0</v>
      </c>
      <c r="AB71" s="255">
        <v>44647.0</v>
      </c>
      <c r="AC71" s="255">
        <v>44648.0</v>
      </c>
      <c r="AD71" s="255">
        <v>44649.0</v>
      </c>
      <c r="AE71" s="255">
        <v>44650.0</v>
      </c>
      <c r="AF71" s="255">
        <v>44651.0</v>
      </c>
      <c r="AG71" s="20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</row>
    <row r="72" hidden="1" outlineLevel="2">
      <c r="A72" s="256" t="s">
        <v>9</v>
      </c>
      <c r="B72" s="20">
        <f>SUMIF(Inventory!$D2:$D1136,"="&amp;B71, Inventory!$F2:$F1136)</f>
        <v>14.33</v>
      </c>
      <c r="C72" s="20">
        <f>SUMIF(Inventory!$D2:$D1136,"="&amp;C71, Inventory!$F2:$F1136)</f>
        <v>12.53</v>
      </c>
      <c r="D72" s="20">
        <f>SUMIF(Inventory!$D2:$D1136,"="&amp;D71, Inventory!$F2:$F1136)</f>
        <v>24.89</v>
      </c>
      <c r="E72" s="20">
        <f>SUMIF(Inventory!$D2:$D1136,"="&amp;E71, Inventory!$F2:$F1136)</f>
        <v>74.67</v>
      </c>
      <c r="F72" s="20">
        <f>SUMIF(Inventory!$D2:$D1136,"="&amp;F71, Inventory!$F2:$F1136)</f>
        <v>125.72</v>
      </c>
      <c r="G72" s="20">
        <f>SUMIF(Inventory!$D2:$D1136,"="&amp;G71, Inventory!$F2:$F1136)</f>
        <v>16.15</v>
      </c>
      <c r="H72" s="20">
        <f>SUMIF(Inventory!$D2:$D1136,"="&amp;H71, Inventory!$F2:$F1136)</f>
        <v>0.03</v>
      </c>
      <c r="I72" s="20">
        <f>SUMIF(Inventory!$D2:$D1136,"="&amp;I71, Inventory!$F2:$F1136)</f>
        <v>1.47</v>
      </c>
      <c r="J72" s="20">
        <f>SUMIF(Inventory!$D2:$D1136,"="&amp;J71, Inventory!$F2:$F1136)</f>
        <v>108.63</v>
      </c>
      <c r="K72" s="20">
        <f>SUMIF(Inventory!$D2:$D1136,"="&amp;K71, Inventory!$F2:$F1136)</f>
        <v>105.87</v>
      </c>
      <c r="L72" s="20">
        <f>SUMIF(Inventory!$D2:$D1136,"="&amp;L71, Inventory!$F2:$F1136)</f>
        <v>115.24</v>
      </c>
      <c r="M72" s="20">
        <f>SUMIF(Inventory!$D2:$D1136,"="&amp;M71, Inventory!$F2:$F1136)</f>
        <v>176.24</v>
      </c>
      <c r="N72" s="20">
        <f>SUMIF(Inventory!$D2:$D1136,"="&amp;N71, Inventory!$F2:$F1136)</f>
        <v>108.14</v>
      </c>
      <c r="O72" s="20">
        <f>SUMIF(Inventory!$D2:$D1136,"="&amp;O71, Inventory!$F2:$F1136)</f>
        <v>31.7</v>
      </c>
      <c r="P72" s="20">
        <f>SUMIF(Inventory!$D2:$D1136,"="&amp;P71, Inventory!$F2:$F1136)</f>
        <v>39.85</v>
      </c>
      <c r="Q72" s="20">
        <f>SUMIF(Inventory!$D2:$D1136,"="&amp;Q71, Inventory!$F2:$F1136)</f>
        <v>0</v>
      </c>
      <c r="R72" s="20">
        <f>SUMIF(Inventory!$D2:$D1136,"="&amp;R71, Inventory!$F2:$F1136)</f>
        <v>9.92</v>
      </c>
      <c r="S72" s="20">
        <f>SUMIF(Inventory!$D2:$D1136,"="&amp;S71, Inventory!$F2:$F1136)</f>
        <v>0</v>
      </c>
      <c r="T72" s="20">
        <f>SUMIF(Inventory!$D2:$D1136,"="&amp;T71, Inventory!$F2:$F1136)</f>
        <v>14.49</v>
      </c>
      <c r="U72" s="20">
        <f>SUMIF(Inventory!$D2:$D1136,"="&amp;U71, Inventory!$F2:$F1136)</f>
        <v>22.09</v>
      </c>
      <c r="V72" s="20">
        <f>SUMIF(Inventory!$D2:$D1136,"="&amp;V71, Inventory!$F2:$F1136)</f>
        <v>4.43</v>
      </c>
      <c r="W72" s="20">
        <f>SUMIF(Inventory!$D2:$D1136,"="&amp;W71, Inventory!$F2:$F1136)</f>
        <v>19.96</v>
      </c>
      <c r="X72" s="20">
        <f>SUMIF(Inventory!$D2:$D1136,"="&amp;X71, Inventory!$F2:$F1136)</f>
        <v>69.66</v>
      </c>
      <c r="Y72" s="20">
        <f>SUMIF(Inventory!$D2:$D1136,"="&amp;Y71, Inventory!$F2:$F1136)</f>
        <v>14.55</v>
      </c>
      <c r="Z72" s="20">
        <f>SUMIF(Inventory!$D2:$D1136,"="&amp;Z71, Inventory!$F2:$F1136)</f>
        <v>83.39</v>
      </c>
      <c r="AA72" s="20">
        <f>SUMIF(Inventory!$D2:$D1136,"="&amp;AA71, Inventory!$F2:$F1136)</f>
        <v>7.81</v>
      </c>
      <c r="AB72" s="20">
        <f>SUMIF(Inventory!$D2:$D1136,"="&amp;AB71, Inventory!$F2:$F1136)</f>
        <v>44.84</v>
      </c>
      <c r="AC72" s="20">
        <f>SUMIF(Inventory!$D2:$D1136,"="&amp;AC71, Inventory!$F2:$F1136)</f>
        <v>18.16</v>
      </c>
      <c r="AD72" s="20">
        <f>SUMIF(Inventory!$D2:$D1136,"="&amp;AD71, Inventory!$F2:$F1136)</f>
        <v>56.64</v>
      </c>
      <c r="AE72" s="20">
        <f>SUMIF(Inventory!$D2:$D1136,"="&amp;AE71, Inventory!$F2:$F1136)</f>
        <v>38.94</v>
      </c>
      <c r="AF72" s="20">
        <f>SUMIF(Inventory!$D2:$D1136,"="&amp;AF71, Inventory!$F2:$F1136)</f>
        <v>20.05</v>
      </c>
      <c r="AG72" s="20">
        <f t="shared" ref="AG72:AG74" si="31">SUM(B72:AF72)</f>
        <v>1380.39</v>
      </c>
      <c r="AH72" s="21">
        <f t="shared" ref="AH72:AH74" si="32">AVERAGE(B72:AF72)</f>
        <v>44.52870968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</row>
    <row r="73" hidden="1" outlineLevel="2">
      <c r="A73" s="256" t="s">
        <v>10</v>
      </c>
      <c r="B73" s="20">
        <f>SUMIF(Inventory!$D2:$D1136,"="&amp;B71, Inventory!$E2:$E1136)</f>
        <v>13.79</v>
      </c>
      <c r="C73" s="20">
        <f>SUMIF(Inventory!$D2:$D1136,"="&amp;C71, Inventory!$E2:$E1136)</f>
        <v>6.56</v>
      </c>
      <c r="D73" s="20">
        <f>SUMIF(Inventory!$D2:$D1136,"="&amp;D71, Inventory!$E2:$E1136)</f>
        <v>20.39</v>
      </c>
      <c r="E73" s="20">
        <f>SUMIF(Inventory!$D2:$D1136,"="&amp;E71, Inventory!$E2:$E1136)</f>
        <v>61.57</v>
      </c>
      <c r="F73" s="20">
        <f>SUMIF(Inventory!$D2:$D1136,"="&amp;F71, Inventory!$E2:$E1136)</f>
        <v>97.29</v>
      </c>
      <c r="G73" s="20">
        <f>SUMIF(Inventory!$D2:$D1136,"="&amp;G71, Inventory!$E2:$E1136)</f>
        <v>15.52</v>
      </c>
      <c r="H73" s="20">
        <f>SUMIF(Inventory!$D2:$D1136,"="&amp;H71, Inventory!$E2:$E1136)</f>
        <v>0.56</v>
      </c>
      <c r="I73" s="20">
        <f>SUMIF(Inventory!$D2:$D1136,"="&amp;I71, Inventory!$E2:$E1136)</f>
        <v>1</v>
      </c>
      <c r="J73" s="20">
        <f>SUMIF(Inventory!$D2:$D1136,"="&amp;J71, Inventory!$E2:$E1136)</f>
        <v>84.71</v>
      </c>
      <c r="K73" s="20">
        <f>SUMIF(Inventory!$D2:$D1136,"="&amp;K71, Inventory!$E2:$E1136)</f>
        <v>85.64</v>
      </c>
      <c r="L73" s="20">
        <f>SUMIF(Inventory!$D2:$D1136,"="&amp;L71, Inventory!$E2:$E1136)</f>
        <v>88.27</v>
      </c>
      <c r="M73" s="20">
        <f>SUMIF(Inventory!$D2:$D1136,"="&amp;M71, Inventory!$E2:$E1136)</f>
        <v>129.96</v>
      </c>
      <c r="N73" s="20">
        <f>SUMIF(Inventory!$D2:$D1136,"="&amp;N71, Inventory!$E2:$E1136)</f>
        <v>87.11</v>
      </c>
      <c r="O73" s="20">
        <f>SUMIF(Inventory!$D2:$D1136,"="&amp;O71, Inventory!$E2:$E1136)</f>
        <v>27.59</v>
      </c>
      <c r="P73" s="20">
        <f>SUMIF(Inventory!$D2:$D1136,"="&amp;P71, Inventory!$E2:$E1136)</f>
        <v>31.52</v>
      </c>
      <c r="Q73" s="20">
        <f>SUMIF(Inventory!$D2:$D1136,"="&amp;Q71, Inventory!$E2:$E1136)</f>
        <v>0</v>
      </c>
      <c r="R73" s="20">
        <f>SUMIF(Inventory!$D2:$D1136,"="&amp;R71, Inventory!$E2:$E1136)</f>
        <v>7.94</v>
      </c>
      <c r="S73" s="20">
        <f>SUMIF(Inventory!$D2:$D1136,"="&amp;S71, Inventory!$E2:$E1136)</f>
        <v>0</v>
      </c>
      <c r="T73" s="20">
        <f>SUMIF(Inventory!$D2:$D1136,"="&amp;T71, Inventory!$E2:$E1136)</f>
        <v>9.2</v>
      </c>
      <c r="U73" s="20">
        <f>SUMIF(Inventory!$D2:$D1136,"="&amp;U71, Inventory!$E2:$E1136)</f>
        <v>13.21</v>
      </c>
      <c r="V73" s="20">
        <f>SUMIF(Inventory!$D2:$D1136,"="&amp;V71, Inventory!$E2:$E1136)</f>
        <v>2.93</v>
      </c>
      <c r="W73" s="20">
        <f>SUMIF(Inventory!$D2:$D1136,"="&amp;W71, Inventory!$E2:$E1136)</f>
        <v>11.77</v>
      </c>
      <c r="X73" s="20">
        <f>SUMIF(Inventory!$D2:$D1136,"="&amp;X71, Inventory!$E2:$E1136)</f>
        <v>59.69</v>
      </c>
      <c r="Y73" s="20">
        <f>SUMIF(Inventory!$D2:$D1136,"="&amp;Y71, Inventory!$E2:$E1136)</f>
        <v>10.1</v>
      </c>
      <c r="Z73" s="20">
        <f>SUMIF(Inventory!$D2:$D1136,"="&amp;Z71, Inventory!$E2:$E1136)</f>
        <v>70.07</v>
      </c>
      <c r="AA73" s="20">
        <f>SUMIF(Inventory!$D2:$D1136,"="&amp;AA71, Inventory!$E2:$E1136)</f>
        <v>5.78</v>
      </c>
      <c r="AB73" s="20">
        <f>SUMIF(Inventory!$D2:$D1136,"="&amp;AB71, Inventory!$E2:$E1136)</f>
        <v>36.84</v>
      </c>
      <c r="AC73" s="20">
        <f>SUMIF(Inventory!$D2:$D1136,"="&amp;AC71, Inventory!$E2:$E1136)</f>
        <v>13.72</v>
      </c>
      <c r="AD73" s="20">
        <f>SUMIF(Inventory!$D2:$D1136,"="&amp;AD71, Inventory!$E2:$E1136)</f>
        <v>49.23</v>
      </c>
      <c r="AE73" s="20">
        <f>SUMIF(Inventory!$D2:$D1136,"="&amp;AE71, Inventory!$E2:$E1136)</f>
        <v>31.3</v>
      </c>
      <c r="AF73" s="20">
        <f>SUMIF(Inventory!$D2:$D1136,"="&amp;AF71, Inventory!$E2:$E1136)</f>
        <v>17.41</v>
      </c>
      <c r="AG73" s="20">
        <f t="shared" si="31"/>
        <v>1090.67</v>
      </c>
      <c r="AH73" s="21">
        <f t="shared" si="32"/>
        <v>35.18290323</v>
      </c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</row>
    <row r="74" hidden="1" outlineLevel="2">
      <c r="A74" s="256" t="s">
        <v>11</v>
      </c>
      <c r="B74" s="20">
        <f>SUMIF(Inventory!$D2:$D1136,"="&amp;B71, Inventory!$G2:$G1136)</f>
        <v>0.54</v>
      </c>
      <c r="C74" s="20">
        <f>SUMIF(Inventory!$D2:$D1136,"="&amp;C71, Inventory!$G2:$G1136)</f>
        <v>5.97</v>
      </c>
      <c r="D74" s="20">
        <f>SUMIF(Inventory!$D2:$D1136,"="&amp;D71, Inventory!$G2:$G1136)</f>
        <v>4.5</v>
      </c>
      <c r="E74" s="20">
        <f>SUMIF(Inventory!$D2:$D1136,"="&amp;E71, Inventory!$G2:$G1136)</f>
        <v>13.1</v>
      </c>
      <c r="F74" s="20">
        <f>SUMIF(Inventory!$D2:$D1136,"="&amp;F71, Inventory!$G2:$G1136)</f>
        <v>28.43</v>
      </c>
      <c r="G74" s="20">
        <f>SUMIF(Inventory!$D2:$D1136,"="&amp;G71, Inventory!$G2:$G1136)</f>
        <v>0.63</v>
      </c>
      <c r="H74" s="20">
        <f>SUMIF(Inventory!$D2:$D1136,"="&amp;H71, Inventory!$G2:$G1136)</f>
        <v>-0.53</v>
      </c>
      <c r="I74" s="20">
        <f>SUMIF(Inventory!$D2:$D1136,"="&amp;I71, Inventory!$G2:$G1136)</f>
        <v>0.47</v>
      </c>
      <c r="J74" s="20">
        <f>SUMIF(Inventory!$D2:$D1136,"="&amp;J71, Inventory!$G2:$G1136)</f>
        <v>23.92</v>
      </c>
      <c r="K74" s="20">
        <f>SUMIF(Inventory!$D2:$D1136,"="&amp;K71, Inventory!$G2:$G1136)</f>
        <v>20.23</v>
      </c>
      <c r="L74" s="20">
        <f>SUMIF(Inventory!$D2:$D1136,"="&amp;L71, Inventory!$G2:$G1136)</f>
        <v>26.97</v>
      </c>
      <c r="M74" s="20">
        <f>SUMIF(Inventory!$D2:$D1136,"="&amp;M71, Inventory!$G2:$G1136)</f>
        <v>46.28</v>
      </c>
      <c r="N74" s="20">
        <f>SUMIF(Inventory!$D2:$D1136,"="&amp;N71, Inventory!$G2:$G1136)</f>
        <v>21.03</v>
      </c>
      <c r="O74" s="20">
        <f>SUMIF(Inventory!$D2:$D1136,"="&amp;O71, Inventory!$G2:$G1136)</f>
        <v>4.11</v>
      </c>
      <c r="P74" s="20">
        <f>SUMIF(Inventory!$D2:$D1136,"="&amp;P71, Inventory!$G2:$G1136)</f>
        <v>8.33</v>
      </c>
      <c r="Q74" s="20">
        <f>SUMIF(Inventory!$D2:$D1136,"="&amp;Q71, Inventory!$G2:$G1136)</f>
        <v>0</v>
      </c>
      <c r="R74" s="20">
        <f>SUMIF(Inventory!$D2:$D1136,"="&amp;R71, Inventory!$G2:$G1136)</f>
        <v>1.98</v>
      </c>
      <c r="S74" s="20">
        <f>SUMIF(Inventory!$D2:$D1136,"="&amp;S71, Inventory!$G2:$G1136)</f>
        <v>0</v>
      </c>
      <c r="T74" s="20">
        <f>SUMIF(Inventory!$D2:$D1136,"="&amp;T71, Inventory!$G2:$G1136)</f>
        <v>5.29</v>
      </c>
      <c r="U74" s="20">
        <f>SUMIF(Inventory!$D2:$D1136,"="&amp;U71, Inventory!$G2:$G1136)</f>
        <v>8.88</v>
      </c>
      <c r="V74" s="20">
        <f>SUMIF(Inventory!$D2:$D1136,"="&amp;V71, Inventory!$G2:$G1136)</f>
        <v>1.5</v>
      </c>
      <c r="W74" s="20">
        <f>SUMIF(Inventory!$D2:$D1136,"="&amp;W71, Inventory!$G2:$G1136)</f>
        <v>8.19</v>
      </c>
      <c r="X74" s="20">
        <f>SUMIF(Inventory!$D2:$D1136,"="&amp;X71, Inventory!$G2:$G1136)</f>
        <v>9.97</v>
      </c>
      <c r="Y74" s="20">
        <f>SUMIF(Inventory!$D2:$D1136,"="&amp;Y71, Inventory!$G2:$G1136)</f>
        <v>4.45</v>
      </c>
      <c r="Z74" s="20">
        <f>SUMIF(Inventory!$D2:$D1136,"="&amp;Z71, Inventory!$G2:$G1136)</f>
        <v>13.32</v>
      </c>
      <c r="AA74" s="20">
        <f>SUMIF(Inventory!$D2:$D1136,"="&amp;AA71, Inventory!$G2:$G1136)</f>
        <v>2.03</v>
      </c>
      <c r="AB74" s="20">
        <f>SUMIF(Inventory!$D2:$D1136,"="&amp;AB71, Inventory!$G2:$G1136)</f>
        <v>8</v>
      </c>
      <c r="AC74" s="20">
        <f>SUMIF(Inventory!$D2:$D1136,"="&amp;AC71, Inventory!$G2:$G1136)</f>
        <v>4.44</v>
      </c>
      <c r="AD74" s="20">
        <f>SUMIF(Inventory!$D2:$D1136,"="&amp;AD71, Inventory!$G2:$G1136)</f>
        <v>7.41</v>
      </c>
      <c r="AE74" s="20">
        <f>SUMIF(Inventory!$D2:$D1136,"="&amp;AE71, Inventory!$G2:$G1136)</f>
        <v>7.64</v>
      </c>
      <c r="AF74" s="20">
        <f>SUMIF(Inventory!$D2:$D1136,"="&amp;AF71, Inventory!$G2:$G1136)</f>
        <v>2.64</v>
      </c>
      <c r="AG74" s="20">
        <f t="shared" si="31"/>
        <v>289.72</v>
      </c>
      <c r="AH74" s="21">
        <f t="shared" si="32"/>
        <v>9.345806452</v>
      </c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</row>
    <row r="75" hidden="1" outlineLevel="2">
      <c r="A75" s="256" t="s">
        <v>10566</v>
      </c>
      <c r="B75" s="20">
        <f>COUNTIFS(Inventory!$D2:$D1136,"="&amp;B71, Inventory!$J2:$J1136,"Closed")</f>
        <v>1</v>
      </c>
      <c r="C75" s="20">
        <f>COUNTIFS(Inventory!$D2:$D1136,"="&amp;C71, Inventory!$J2:$J1136,"Closed")</f>
        <v>2</v>
      </c>
      <c r="D75" s="20">
        <f>COUNTIFS(Inventory!$D2:$D1136,"="&amp;D71, Inventory!$J2:$J1136,"Closed")</f>
        <v>1</v>
      </c>
      <c r="E75" s="20">
        <f>COUNTIFS(Inventory!$D2:$D1136,"="&amp;E71, Inventory!$J2:$J1136,"Closed")</f>
        <v>3</v>
      </c>
      <c r="F75" s="20">
        <f>COUNTIFS(Inventory!$D2:$D1136,"="&amp;F71, Inventory!$J2:$J1136,"Closed")</f>
        <v>7</v>
      </c>
      <c r="G75" s="20">
        <f>COUNTIFS(Inventory!$D2:$D1136,"="&amp;G71, Inventory!$J2:$J1136,"Closed")</f>
        <v>3</v>
      </c>
      <c r="H75" s="20">
        <f>COUNTIFS(Inventory!$D2:$D1136,"="&amp;H71, Inventory!$J2:$J1136,"Closed")</f>
        <v>1</v>
      </c>
      <c r="I75" s="20">
        <f>COUNTIFS(Inventory!$D2:$D1136,"="&amp;I71, Inventory!$J2:$J1136,"Closed")</f>
        <v>1</v>
      </c>
      <c r="J75" s="20">
        <f>COUNTIFS(Inventory!$D2:$D1136,"="&amp;J71, Inventory!$J2:$J1136,"Closed")</f>
        <v>14</v>
      </c>
      <c r="K75" s="20">
        <f>COUNTIFS(Inventory!$D2:$D1136,"="&amp;K71, Inventory!$J2:$J1136,"Closed")</f>
        <v>10</v>
      </c>
      <c r="L75" s="20">
        <f>COUNTIFS(Inventory!$D2:$D1136,"="&amp;L71, Inventory!$J2:$J1136,"Closed")</f>
        <v>8</v>
      </c>
      <c r="M75" s="20">
        <f>COUNTIFS(Inventory!$D2:$D1136,"="&amp;M71, Inventory!$J2:$J1136,"Closed")</f>
        <v>17</v>
      </c>
      <c r="N75" s="20">
        <f>COUNTIFS(Inventory!$D2:$D1136,"="&amp;N71, Inventory!$J2:$J1136,"Closed")</f>
        <v>8</v>
      </c>
      <c r="O75" s="20">
        <f>COUNTIFS(Inventory!$D2:$D1136,"="&amp;O71, Inventory!$J2:$J1136,"Closed")</f>
        <v>1</v>
      </c>
      <c r="P75" s="20">
        <f>COUNTIFS(Inventory!$D2:$D1136,"="&amp;P71, Inventory!$J2:$J1136,"Closed")</f>
        <v>4</v>
      </c>
      <c r="Q75" s="20">
        <f>COUNTIFS(Inventory!$D2:$D1136,"="&amp;Q71, Inventory!$J2:$J1136,"Closed")</f>
        <v>0</v>
      </c>
      <c r="R75" s="20">
        <f>COUNTIFS(Inventory!$D2:$D1136,"="&amp;R71, Inventory!$J2:$J1136,"Closed")</f>
        <v>1</v>
      </c>
      <c r="S75" s="20">
        <f>COUNTIFS(Inventory!$D2:$D1136,"="&amp;S71, Inventory!$J2:$J1136,"Closed")</f>
        <v>0</v>
      </c>
      <c r="T75" s="20">
        <f>COUNTIFS(Inventory!$D2:$D1136,"="&amp;T71, Inventory!$J2:$J1136,"Closed")</f>
        <v>3</v>
      </c>
      <c r="U75" s="20">
        <f>COUNTIFS(Inventory!$D2:$D1136,"="&amp;U71, Inventory!$J2:$J1136,"Closed")</f>
        <v>4</v>
      </c>
      <c r="V75" s="20">
        <f>COUNTIFS(Inventory!$D2:$D1136,"="&amp;V71, Inventory!$J2:$J1136,"Closed")</f>
        <v>1</v>
      </c>
      <c r="W75" s="20">
        <f>COUNTIFS(Inventory!$D2:$D1136,"="&amp;W71, Inventory!$J2:$J1136,"Closed")</f>
        <v>3</v>
      </c>
      <c r="X75" s="20">
        <f>COUNTIFS(Inventory!$D2:$D1136,"="&amp;X71, Inventory!$J2:$J1136,"Closed")</f>
        <v>5</v>
      </c>
      <c r="Y75" s="20">
        <f>COUNTIFS(Inventory!$D2:$D1136,"="&amp;Y71, Inventory!$J2:$J1136,"Closed")</f>
        <v>3</v>
      </c>
      <c r="Z75" s="20">
        <f>COUNTIFS(Inventory!$D2:$D1136,"="&amp;Z71, Inventory!$J2:$J1136,"Closed")</f>
        <v>7</v>
      </c>
      <c r="AA75" s="20">
        <f>COUNTIFS(Inventory!$D2:$D1136,"="&amp;AA71, Inventory!$J2:$J1136,"Closed")</f>
        <v>4</v>
      </c>
      <c r="AB75" s="20">
        <f>COUNTIFS(Inventory!$D2:$D1136,"="&amp;AB71, Inventory!$J2:$J1136,"Closed")</f>
        <v>6</v>
      </c>
      <c r="AC75" s="20">
        <f>COUNTIFS(Inventory!$D2:$D1136,"="&amp;AC71, Inventory!$J2:$J1136,"Closed")</f>
        <v>2</v>
      </c>
      <c r="AD75" s="20">
        <f>COUNTIFS(Inventory!$D2:$D1136,"="&amp;AD71, Inventory!$J2:$J1136,"Closed")</f>
        <v>6</v>
      </c>
      <c r="AE75" s="20">
        <f>COUNTIFS(Inventory!$D2:$D1136,"="&amp;AE71, Inventory!$J2:$J1136,"Closed")</f>
        <v>3</v>
      </c>
      <c r="AF75" s="20">
        <f>COUNTIFS(Inventory!$D2:$D1136,"="&amp;AF71, Inventory!$J2:$J1136,"Closed")</f>
        <v>4</v>
      </c>
      <c r="AG75" s="20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</row>
    <row r="76" hidden="1" outlineLevel="1">
      <c r="A76" s="253" t="s">
        <v>10202</v>
      </c>
      <c r="B76" s="255">
        <v>44652.0</v>
      </c>
      <c r="C76" s="255">
        <v>44653.0</v>
      </c>
      <c r="D76" s="255">
        <v>44654.0</v>
      </c>
      <c r="E76" s="255">
        <v>44655.0</v>
      </c>
      <c r="F76" s="255">
        <v>44656.0</v>
      </c>
      <c r="G76" s="255">
        <v>44657.0</v>
      </c>
      <c r="H76" s="255">
        <v>44658.0</v>
      </c>
      <c r="I76" s="255">
        <v>44659.0</v>
      </c>
      <c r="J76" s="255">
        <v>44660.0</v>
      </c>
      <c r="K76" s="255">
        <v>44661.0</v>
      </c>
      <c r="L76" s="255">
        <v>44662.0</v>
      </c>
      <c r="M76" s="255">
        <v>44663.0</v>
      </c>
      <c r="N76" s="255">
        <v>44664.0</v>
      </c>
      <c r="O76" s="255">
        <v>44665.0</v>
      </c>
      <c r="P76" s="255">
        <v>44666.0</v>
      </c>
      <c r="Q76" s="255">
        <v>44667.0</v>
      </c>
      <c r="R76" s="255">
        <v>44668.0</v>
      </c>
      <c r="S76" s="255">
        <v>44669.0</v>
      </c>
      <c r="T76" s="255">
        <v>44670.0</v>
      </c>
      <c r="U76" s="255">
        <v>44671.0</v>
      </c>
      <c r="V76" s="255">
        <v>44672.0</v>
      </c>
      <c r="W76" s="255">
        <v>44673.0</v>
      </c>
      <c r="X76" s="255">
        <v>44674.0</v>
      </c>
      <c r="Y76" s="255">
        <v>44675.0</v>
      </c>
      <c r="Z76" s="255">
        <v>44676.0</v>
      </c>
      <c r="AA76" s="255">
        <v>44677.0</v>
      </c>
      <c r="AB76" s="255">
        <v>44678.0</v>
      </c>
      <c r="AC76" s="255">
        <v>44679.0</v>
      </c>
      <c r="AD76" s="255">
        <v>44680.0</v>
      </c>
      <c r="AE76" s="255">
        <v>44681.0</v>
      </c>
      <c r="AF76" s="255"/>
      <c r="AG76" s="20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</row>
    <row r="77" hidden="1" outlineLevel="2">
      <c r="A77" s="256" t="s">
        <v>9</v>
      </c>
      <c r="B77" s="20">
        <f>SUMIF(Inventory!$D2:$D1136,"="&amp;B76, Inventory!$F2:$F1136)</f>
        <v>51.9</v>
      </c>
      <c r="C77" s="20">
        <f>SUMIF(Inventory!$D2:$D1136,"="&amp;C76, Inventory!$F2:$F1136)</f>
        <v>44.69</v>
      </c>
      <c r="D77" s="20">
        <f>SUMIF(Inventory!$D2:$D1136,"="&amp;D76, Inventory!$F2:$F1136)</f>
        <v>64.28</v>
      </c>
      <c r="E77" s="20">
        <f>SUMIF(Inventory!$D2:$D1136,"="&amp;E76, Inventory!$F2:$F1136)</f>
        <v>44.15</v>
      </c>
      <c r="F77" s="20">
        <f>SUMIF(Inventory!$D2:$D1136,"="&amp;F76, Inventory!$F2:$F1136)</f>
        <v>34.56</v>
      </c>
      <c r="G77" s="20">
        <f>SUMIF(Inventory!$D2:$D1136,"="&amp;G76, Inventory!$F2:$F1136)</f>
        <v>2.29</v>
      </c>
      <c r="H77" s="20">
        <f>SUMIF(Inventory!$D2:$D1136,"="&amp;H76, Inventory!$F2:$F1136)</f>
        <v>90.5</v>
      </c>
      <c r="I77" s="20">
        <f>SUMIF(Inventory!$D2:$D1136,"="&amp;I76, Inventory!$F2:$F1136)</f>
        <v>85.01</v>
      </c>
      <c r="J77" s="20">
        <f>SUMIF(Inventory!$D2:$D1136,"="&amp;J76, Inventory!$F2:$F1136)</f>
        <v>100.15</v>
      </c>
      <c r="K77" s="20">
        <f>SUMIF(Inventory!$D2:$D1136,"="&amp;K76, Inventory!$F2:$F1136)</f>
        <v>66.11</v>
      </c>
      <c r="L77" s="20">
        <f>SUMIF(Inventory!$D2:$D1136,"="&amp;L76, Inventory!$F2:$F1136)</f>
        <v>152.58</v>
      </c>
      <c r="M77" s="20">
        <f>SUMIF(Inventory!$D2:$D1136,"="&amp;M76, Inventory!$F2:$F1136)</f>
        <v>94.8</v>
      </c>
      <c r="N77" s="20">
        <f>SUMIF(Inventory!$D2:$D1136,"="&amp;N76, Inventory!$F2:$F1136)</f>
        <v>66.35</v>
      </c>
      <c r="O77" s="20">
        <f>SUMIF(Inventory!$D2:$D1136,"="&amp;O76, Inventory!$F2:$F1136)</f>
        <v>70.39</v>
      </c>
      <c r="P77" s="20">
        <f>SUMIF(Inventory!$D2:$D1136,"="&amp;P76, Inventory!$F2:$F1136)</f>
        <v>34.56</v>
      </c>
      <c r="Q77" s="20">
        <f>SUMIF(Inventory!$D2:$D1136,"="&amp;Q76, Inventory!$F2:$F1136)</f>
        <v>71.47</v>
      </c>
      <c r="R77" s="20">
        <f>SUMIF(Inventory!$D2:$D1136,"="&amp;R76, Inventory!$F2:$F1136)</f>
        <v>8.72</v>
      </c>
      <c r="S77" s="20">
        <f>SUMIF(Inventory!$D2:$D1136,"="&amp;S76, Inventory!$F2:$F1136)</f>
        <v>20.05</v>
      </c>
      <c r="T77" s="20">
        <f>SUMIF(Inventory!$D2:$D1136,"="&amp;T76, Inventory!$F2:$F1136)</f>
        <v>77.08</v>
      </c>
      <c r="U77" s="20">
        <f>SUMIF(Inventory!$D2:$D1136,"="&amp;U76, Inventory!$F2:$F1136)</f>
        <v>91.19</v>
      </c>
      <c r="V77" s="20">
        <f>SUMIF(Inventory!$D2:$D1136,"="&amp;V76, Inventory!$F2:$F1136)</f>
        <v>20.91</v>
      </c>
      <c r="W77" s="20">
        <f>SUMIF(Inventory!$D2:$D1136,"="&amp;W76, Inventory!$F2:$F1136)</f>
        <v>25.21</v>
      </c>
      <c r="X77" s="20">
        <f>SUMIF(Inventory!$D2:$D1136,"="&amp;X76, Inventory!$F2:$F1136)</f>
        <v>113.52</v>
      </c>
      <c r="Y77" s="20">
        <f>SUMIF(Inventory!$D2:$D1136,"="&amp;Y76, Inventory!$F2:$F1136)</f>
        <v>84.47</v>
      </c>
      <c r="Z77" s="20">
        <f>SUMIF(Inventory!$D2:$D1136,"="&amp;Z76, Inventory!$F2:$F1136)</f>
        <v>7.48</v>
      </c>
      <c r="AA77" s="20">
        <f>SUMIF(Inventory!$D2:$D1136,"="&amp;AA76, Inventory!$F2:$F1136)</f>
        <v>29.6</v>
      </c>
      <c r="AB77" s="20">
        <f>SUMIF(Inventory!$D2:$D1136,"="&amp;AB76, Inventory!$F2:$F1136)</f>
        <v>93.63</v>
      </c>
      <c r="AC77" s="20">
        <f>SUMIF(Inventory!$D2:$D1136,"="&amp;AC76, Inventory!$F2:$F1136)</f>
        <v>60.77</v>
      </c>
      <c r="AD77" s="20">
        <f>SUMIF(Inventory!$D2:$D1136,"="&amp;AD76, Inventory!$F2:$F1136)</f>
        <v>2.66</v>
      </c>
      <c r="AE77" s="20">
        <f>SUMIF(Inventory!$D2:$D1136,"="&amp;AE76, Inventory!$F2:$F1136)</f>
        <v>45.33</v>
      </c>
      <c r="AG77" s="20">
        <f t="shared" ref="AG77:AG79" si="33">SUM(B77:AF77)</f>
        <v>1754.41</v>
      </c>
      <c r="AH77" s="21">
        <f t="shared" ref="AH77:AH79" si="34">AVERAGE(B77:AF77)</f>
        <v>58.48033333</v>
      </c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</row>
    <row r="78" hidden="1" outlineLevel="2">
      <c r="A78" s="256" t="s">
        <v>10</v>
      </c>
      <c r="B78" s="20">
        <f>SUMIF(Inventory!$D2:$D1136,"="&amp;B76, Inventory!$E2:$E1136)</f>
        <v>38.21</v>
      </c>
      <c r="C78" s="20">
        <f>SUMIF(Inventory!$D2:$D1136,"="&amp;C76, Inventory!$E2:$E1136)</f>
        <v>32.77</v>
      </c>
      <c r="D78" s="20">
        <f>SUMIF(Inventory!$D2:$D1136,"="&amp;D76, Inventory!$E2:$E1136)</f>
        <v>47.67</v>
      </c>
      <c r="E78" s="20">
        <f>SUMIF(Inventory!$D2:$D1136,"="&amp;E76, Inventory!$E2:$E1136)</f>
        <v>35.07</v>
      </c>
      <c r="F78" s="20">
        <f>SUMIF(Inventory!$D2:$D1136,"="&amp;F76, Inventory!$E2:$E1136)</f>
        <v>29.87</v>
      </c>
      <c r="G78" s="20">
        <f>SUMIF(Inventory!$D2:$D1136,"="&amp;G76, Inventory!$E2:$E1136)</f>
        <v>1.73</v>
      </c>
      <c r="H78" s="20">
        <f>SUMIF(Inventory!$D2:$D1136,"="&amp;H76, Inventory!$E2:$E1136)</f>
        <v>71.92</v>
      </c>
      <c r="I78" s="20">
        <f>SUMIF(Inventory!$D2:$D1136,"="&amp;I76, Inventory!$E2:$E1136)</f>
        <v>64.83</v>
      </c>
      <c r="J78" s="20">
        <f>SUMIF(Inventory!$D2:$D1136,"="&amp;J76, Inventory!$E2:$E1136)</f>
        <v>68.71</v>
      </c>
      <c r="K78" s="20">
        <f>SUMIF(Inventory!$D2:$D1136,"="&amp;K76, Inventory!$E2:$E1136)</f>
        <v>57.02</v>
      </c>
      <c r="L78" s="20">
        <f>SUMIF(Inventory!$D2:$D1136,"="&amp;L76, Inventory!$E2:$E1136)</f>
        <v>117.23</v>
      </c>
      <c r="M78" s="20">
        <f>SUMIF(Inventory!$D2:$D1136,"="&amp;M76, Inventory!$E2:$E1136)</f>
        <v>65.04</v>
      </c>
      <c r="N78" s="20">
        <f>SUMIF(Inventory!$D2:$D1136,"="&amp;N76, Inventory!$E2:$E1136)</f>
        <v>46.95</v>
      </c>
      <c r="O78" s="20">
        <f>SUMIF(Inventory!$D2:$D1136,"="&amp;O76, Inventory!$E2:$E1136)</f>
        <v>42.37</v>
      </c>
      <c r="P78" s="20">
        <f>SUMIF(Inventory!$D2:$D1136,"="&amp;P76, Inventory!$E2:$E1136)</f>
        <v>20.99</v>
      </c>
      <c r="Q78" s="20">
        <f>SUMIF(Inventory!$D2:$D1136,"="&amp;Q76, Inventory!$E2:$E1136)</f>
        <v>60.11</v>
      </c>
      <c r="R78" s="20">
        <f>SUMIF(Inventory!$D2:$D1136,"="&amp;R76, Inventory!$E2:$E1136)</f>
        <v>6.38</v>
      </c>
      <c r="S78" s="20">
        <f>SUMIF(Inventory!$D2:$D1136,"="&amp;S76, Inventory!$E2:$E1136)</f>
        <v>16.83</v>
      </c>
      <c r="T78" s="20">
        <f>SUMIF(Inventory!$D2:$D1136,"="&amp;T76, Inventory!$E2:$E1136)</f>
        <v>65.1</v>
      </c>
      <c r="U78" s="20">
        <f>SUMIF(Inventory!$D2:$D1136,"="&amp;U76, Inventory!$E2:$E1136)</f>
        <v>69.59</v>
      </c>
      <c r="V78" s="20">
        <f>SUMIF(Inventory!$D2:$D1136,"="&amp;V76, Inventory!$E2:$E1136)</f>
        <v>16.92</v>
      </c>
      <c r="W78" s="20">
        <f>SUMIF(Inventory!$D2:$D1136,"="&amp;W76, Inventory!$E2:$E1136)</f>
        <v>21.59</v>
      </c>
      <c r="X78" s="20">
        <f>SUMIF(Inventory!$D2:$D1136,"="&amp;X76, Inventory!$E2:$E1136)</f>
        <v>61.71</v>
      </c>
      <c r="Y78" s="20">
        <f>SUMIF(Inventory!$D2:$D1136,"="&amp;Y76, Inventory!$E2:$E1136)</f>
        <v>63.16</v>
      </c>
      <c r="Z78" s="20">
        <f>SUMIF(Inventory!$D2:$D1136,"="&amp;Z76, Inventory!$E2:$E1136)</f>
        <v>0.23</v>
      </c>
      <c r="AA78" s="20">
        <f>SUMIF(Inventory!$D2:$D1136,"="&amp;AA76, Inventory!$E2:$E1136)</f>
        <v>25.23</v>
      </c>
      <c r="AB78" s="20">
        <f>SUMIF(Inventory!$D2:$D1136,"="&amp;AB76, Inventory!$E2:$E1136)</f>
        <v>68.46</v>
      </c>
      <c r="AC78" s="20">
        <f>SUMIF(Inventory!$D2:$D1136,"="&amp;AC76, Inventory!$E2:$E1136)</f>
        <v>46.02</v>
      </c>
      <c r="AD78" s="20">
        <f>SUMIF(Inventory!$D2:$D1136,"="&amp;AD76, Inventory!$E2:$E1136)</f>
        <v>0.92</v>
      </c>
      <c r="AE78" s="20">
        <f>SUMIF(Inventory!$D2:$D1136,"="&amp;AE76, Inventory!$E2:$E1136)</f>
        <v>31.79</v>
      </c>
      <c r="AG78" s="20">
        <f t="shared" si="33"/>
        <v>1294.42</v>
      </c>
      <c r="AH78" s="21">
        <f t="shared" si="34"/>
        <v>43.14733333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</row>
    <row r="79" hidden="1" outlineLevel="2">
      <c r="A79" s="256" t="s">
        <v>11</v>
      </c>
      <c r="B79" s="20">
        <f>SUMIF(Inventory!$D2:$D1136,"="&amp;B76, Inventory!$G2:$G1136)</f>
        <v>13.69</v>
      </c>
      <c r="C79" s="20">
        <f>SUMIF(Inventory!$D2:$D1136,"="&amp;C76, Inventory!$G2:$G1136)</f>
        <v>11.92</v>
      </c>
      <c r="D79" s="20">
        <f>SUMIF(Inventory!$D2:$D1136,"="&amp;D76, Inventory!$G2:$G1136)</f>
        <v>16.61</v>
      </c>
      <c r="E79" s="20">
        <f>SUMIF(Inventory!$D2:$D1136,"="&amp;E76, Inventory!$G2:$G1136)</f>
        <v>9.08</v>
      </c>
      <c r="F79" s="20">
        <f>SUMIF(Inventory!$D2:$D1136,"="&amp;F76, Inventory!$G2:$G1136)</f>
        <v>4.69</v>
      </c>
      <c r="G79" s="20">
        <f>SUMIF(Inventory!$D2:$D1136,"="&amp;G76, Inventory!$G2:$G1136)</f>
        <v>0.56</v>
      </c>
      <c r="H79" s="20">
        <f>SUMIF(Inventory!$D2:$D1136,"="&amp;H76, Inventory!$G2:$G1136)</f>
        <v>18.58</v>
      </c>
      <c r="I79" s="20">
        <f>SUMIF(Inventory!$D2:$D1136,"="&amp;I76, Inventory!$G2:$G1136)</f>
        <v>20.18</v>
      </c>
      <c r="J79" s="20">
        <f>SUMIF(Inventory!$D2:$D1136,"="&amp;J76, Inventory!$G2:$G1136)</f>
        <v>31.44</v>
      </c>
      <c r="K79" s="20">
        <f>SUMIF(Inventory!$D2:$D1136,"="&amp;K76, Inventory!$G2:$G1136)</f>
        <v>9.09</v>
      </c>
      <c r="L79" s="20">
        <f>SUMIF(Inventory!$D2:$D1136,"="&amp;L76, Inventory!$G2:$G1136)</f>
        <v>35.35</v>
      </c>
      <c r="M79" s="20">
        <f>SUMIF(Inventory!$D2:$D1136,"="&amp;M76, Inventory!$G2:$G1136)</f>
        <v>29.76</v>
      </c>
      <c r="N79" s="20">
        <f>SUMIF(Inventory!$D2:$D1136,"="&amp;N76, Inventory!$G2:$G1136)</f>
        <v>19.4</v>
      </c>
      <c r="O79" s="20">
        <f>SUMIF(Inventory!$D2:$D1136,"="&amp;O76, Inventory!$G2:$G1136)</f>
        <v>28.02</v>
      </c>
      <c r="P79" s="20">
        <f>SUMIF(Inventory!$D2:$D1136,"="&amp;P76, Inventory!$G2:$G1136)</f>
        <v>13.57</v>
      </c>
      <c r="Q79" s="20">
        <f>SUMIF(Inventory!$D2:$D1136,"="&amp;Q76, Inventory!$G2:$G1136)</f>
        <v>11.36</v>
      </c>
      <c r="R79" s="20">
        <f>SUMIF(Inventory!$D2:$D1136,"="&amp;R76, Inventory!$G2:$G1136)</f>
        <v>2.34</v>
      </c>
      <c r="S79" s="20">
        <f>SUMIF(Inventory!$D2:$D1136,"="&amp;S76, Inventory!$G2:$G1136)</f>
        <v>3.22</v>
      </c>
      <c r="T79" s="20">
        <f>SUMIF(Inventory!$D2:$D1136,"="&amp;T76, Inventory!$G2:$G1136)</f>
        <v>11.98</v>
      </c>
      <c r="U79" s="20">
        <f>SUMIF(Inventory!$D2:$D1136,"="&amp;U76, Inventory!$G2:$G1136)</f>
        <v>21.6</v>
      </c>
      <c r="V79" s="20">
        <f>SUMIF(Inventory!$D2:$D1136,"="&amp;V76, Inventory!$G2:$G1136)</f>
        <v>3.99</v>
      </c>
      <c r="W79" s="20">
        <f>SUMIF(Inventory!$D2:$D1136,"="&amp;W76, Inventory!$G2:$G1136)</f>
        <v>3.62</v>
      </c>
      <c r="X79" s="20">
        <f>SUMIF(Inventory!$D2:$D1136,"="&amp;X76, Inventory!$G2:$G1136)</f>
        <v>51.81</v>
      </c>
      <c r="Y79" s="20">
        <f>SUMIF(Inventory!$D2:$D1136,"="&amp;Y76, Inventory!$G2:$G1136)</f>
        <v>21.31</v>
      </c>
      <c r="Z79" s="20">
        <f>SUMIF(Inventory!$D2:$D1136,"="&amp;Z76, Inventory!$G2:$G1136)</f>
        <v>7.25</v>
      </c>
      <c r="AA79" s="20">
        <f>SUMIF(Inventory!$D2:$D1136,"="&amp;AA76, Inventory!$G2:$G1136)</f>
        <v>4.37</v>
      </c>
      <c r="AB79" s="20">
        <f>SUMIF(Inventory!$D2:$D1136,"="&amp;AB76, Inventory!$G2:$G1136)</f>
        <v>25.17</v>
      </c>
      <c r="AC79" s="20">
        <f>SUMIF(Inventory!$D2:$D1136,"="&amp;AC76, Inventory!$G2:$G1136)</f>
        <v>14.75</v>
      </c>
      <c r="AD79" s="20">
        <f>SUMIF(Inventory!$D2:$D1136,"="&amp;AD76, Inventory!$G2:$G1136)</f>
        <v>1.74</v>
      </c>
      <c r="AE79" s="20">
        <f>SUMIF(Inventory!$D2:$D1136,"="&amp;AE76, Inventory!$G2:$G1136)</f>
        <v>13.54</v>
      </c>
      <c r="AG79" s="20">
        <f t="shared" si="33"/>
        <v>459.99</v>
      </c>
      <c r="AH79" s="21">
        <f t="shared" si="34"/>
        <v>15.333</v>
      </c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</row>
    <row r="80" hidden="1" outlineLevel="2">
      <c r="A80" s="256" t="s">
        <v>10566</v>
      </c>
      <c r="B80" s="20">
        <f>COUNTIFS(Inventory!$D2:$D1136,"="&amp;B76, Inventory!$J2:$J1136,"Closed")</f>
        <v>4</v>
      </c>
      <c r="C80" s="20">
        <f>COUNTIFS(Inventory!$D2:$D1136,"="&amp;C76, Inventory!$J2:$J1136,"Closed")</f>
        <v>6</v>
      </c>
      <c r="D80" s="20">
        <f>COUNTIFS(Inventory!$D2:$D1136,"="&amp;D76, Inventory!$J2:$J1136,"Closed")</f>
        <v>9</v>
      </c>
      <c r="E80" s="20">
        <f>COUNTIFS(Inventory!$D2:$D1136,"="&amp;E76, Inventory!$J2:$J1136,"Closed")</f>
        <v>6</v>
      </c>
      <c r="F80" s="20">
        <f>COUNTIFS(Inventory!$D2:$D1136,"="&amp;F76, Inventory!$J2:$J1136,"Closed")</f>
        <v>4</v>
      </c>
      <c r="G80" s="20">
        <f>COUNTIFS(Inventory!$D2:$D1136,"="&amp;G76, Inventory!$J2:$J1136,"Closed")</f>
        <v>1</v>
      </c>
      <c r="H80" s="20">
        <f>COUNTIFS(Inventory!$D2:$D1136,"="&amp;H76, Inventory!$J2:$J1136,"Closed")</f>
        <v>7</v>
      </c>
      <c r="I80" s="20">
        <f>COUNTIFS(Inventory!$D2:$D1136,"="&amp;I76, Inventory!$J2:$J1136,"Closed")</f>
        <v>7</v>
      </c>
      <c r="J80" s="20">
        <f>COUNTIFS(Inventory!$D2:$D1136,"="&amp;J76, Inventory!$J2:$J1136,"Closed")</f>
        <v>9</v>
      </c>
      <c r="K80" s="20">
        <f>COUNTIFS(Inventory!$D2:$D1136,"="&amp;K76, Inventory!$J2:$J1136,"Closed")</f>
        <v>5</v>
      </c>
      <c r="L80" s="20">
        <f>COUNTIFS(Inventory!$D2:$D1136,"="&amp;L76, Inventory!$J2:$J1136,"Closed")</f>
        <v>12</v>
      </c>
      <c r="M80" s="20">
        <f>COUNTIFS(Inventory!$D2:$D1136,"="&amp;M76, Inventory!$J2:$J1136,"Closed")</f>
        <v>8</v>
      </c>
      <c r="N80" s="20">
        <f>COUNTIFS(Inventory!$D2:$D1136,"="&amp;N76, Inventory!$J2:$J1136,"Closed")</f>
        <v>4</v>
      </c>
      <c r="O80" s="20">
        <f>COUNTIFS(Inventory!$D2:$D1136,"="&amp;O76, Inventory!$J2:$J1136,"Closed")</f>
        <v>8</v>
      </c>
      <c r="P80" s="20">
        <f>COUNTIFS(Inventory!$D2:$D1136,"="&amp;P76, Inventory!$J2:$J1136,"Closed")</f>
        <v>4</v>
      </c>
      <c r="Q80" s="20">
        <f>COUNTIFS(Inventory!$D2:$D1136,"="&amp;Q76, Inventory!$J2:$J1136,"Closed")</f>
        <v>5</v>
      </c>
      <c r="R80" s="20">
        <f>COUNTIFS(Inventory!$D2:$D1136,"="&amp;R76, Inventory!$J2:$J1136,"Closed")</f>
        <v>2</v>
      </c>
      <c r="S80" s="20">
        <f>COUNTIFS(Inventory!$D2:$D1136,"="&amp;S76, Inventory!$J2:$J1136,"Closed")</f>
        <v>3</v>
      </c>
      <c r="T80" s="20">
        <f>COUNTIFS(Inventory!$D2:$D1136,"="&amp;T76, Inventory!$J2:$J1136,"Closed")</f>
        <v>5</v>
      </c>
      <c r="U80" s="20">
        <f>COUNTIFS(Inventory!$D2:$D1136,"="&amp;U76, Inventory!$J2:$J1136,"Closed")</f>
        <v>8</v>
      </c>
      <c r="V80" s="20">
        <f>COUNTIFS(Inventory!$D2:$D1136,"="&amp;V76, Inventory!$J2:$J1136,"Closed")</f>
        <v>2</v>
      </c>
      <c r="W80" s="20">
        <f>COUNTIFS(Inventory!$D2:$D1136,"="&amp;W76, Inventory!$J2:$J1136,"Closed")</f>
        <v>2</v>
      </c>
      <c r="X80" s="20">
        <f>COUNTIFS(Inventory!$D2:$D1136,"="&amp;X76, Inventory!$J2:$J1136,"Closed")</f>
        <v>5</v>
      </c>
      <c r="Y80" s="20">
        <f>COUNTIFS(Inventory!$D2:$D1136,"="&amp;Y76, Inventory!$J2:$J1136,"Closed")</f>
        <v>11</v>
      </c>
      <c r="Z80" s="20">
        <f>COUNTIFS(Inventory!$D2:$D1136,"="&amp;Z76, Inventory!$J2:$J1136,"Closed")</f>
        <v>1</v>
      </c>
      <c r="AA80" s="20">
        <f>COUNTIFS(Inventory!$D2:$D1136,"="&amp;AA76, Inventory!$J2:$J1136,"Closed")</f>
        <v>3</v>
      </c>
      <c r="AB80" s="20">
        <f>COUNTIFS(Inventory!$D2:$D1136,"="&amp;AB76, Inventory!$J2:$J1136,"Closed")</f>
        <v>8</v>
      </c>
      <c r="AC80" s="20">
        <f>COUNTIFS(Inventory!$D2:$D1136,"="&amp;AC76, Inventory!$J2:$J1136,"Closed")</f>
        <v>8</v>
      </c>
      <c r="AD80" s="20">
        <f>COUNTIFS(Inventory!$D2:$D1136,"="&amp;AD76, Inventory!$J2:$J1136,"Closed")</f>
        <v>1</v>
      </c>
      <c r="AE80" s="20">
        <f>COUNTIFS(Inventory!$D2:$D1136,"="&amp;AE76, Inventory!$J2:$J1136,"Closed")</f>
        <v>5</v>
      </c>
      <c r="AG80" s="20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</row>
    <row r="81" hidden="1" outlineLevel="1">
      <c r="A81" s="253" t="s">
        <v>10203</v>
      </c>
      <c r="B81" s="255">
        <v>44682.0</v>
      </c>
      <c r="C81" s="255">
        <v>44683.0</v>
      </c>
      <c r="D81" s="255">
        <v>44684.0</v>
      </c>
      <c r="E81" s="255">
        <v>44685.0</v>
      </c>
      <c r="F81" s="255">
        <v>44686.0</v>
      </c>
      <c r="G81" s="255">
        <v>44687.0</v>
      </c>
      <c r="H81" s="255">
        <v>44688.0</v>
      </c>
      <c r="I81" s="255">
        <v>44689.0</v>
      </c>
      <c r="J81" s="255">
        <v>44690.0</v>
      </c>
      <c r="K81" s="255">
        <v>44691.0</v>
      </c>
      <c r="L81" s="255">
        <v>44692.0</v>
      </c>
      <c r="M81" s="255">
        <v>44693.0</v>
      </c>
      <c r="N81" s="255">
        <v>44694.0</v>
      </c>
      <c r="O81" s="255">
        <v>44695.0</v>
      </c>
      <c r="P81" s="255">
        <v>44696.0</v>
      </c>
      <c r="Q81" s="255">
        <v>44697.0</v>
      </c>
      <c r="R81" s="255">
        <v>44698.0</v>
      </c>
      <c r="S81" s="255">
        <v>44699.0</v>
      </c>
      <c r="T81" s="255">
        <v>44700.0</v>
      </c>
      <c r="U81" s="255">
        <v>44701.0</v>
      </c>
      <c r="V81" s="255">
        <v>44702.0</v>
      </c>
      <c r="W81" s="255">
        <v>44703.0</v>
      </c>
      <c r="X81" s="255">
        <v>44704.0</v>
      </c>
      <c r="Y81" s="255">
        <v>44705.0</v>
      </c>
      <c r="Z81" s="255">
        <v>44706.0</v>
      </c>
      <c r="AA81" s="255">
        <v>44707.0</v>
      </c>
      <c r="AB81" s="255">
        <v>44708.0</v>
      </c>
      <c r="AC81" s="255">
        <v>44709.0</v>
      </c>
      <c r="AD81" s="255">
        <v>44710.0</v>
      </c>
      <c r="AE81" s="255">
        <v>44711.0</v>
      </c>
      <c r="AF81" s="255">
        <v>44712.0</v>
      </c>
      <c r="AG81" s="20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</row>
    <row r="82" hidden="1" outlineLevel="2">
      <c r="A82" s="256" t="s">
        <v>9</v>
      </c>
      <c r="B82" s="20">
        <f>SUMIF(Inventory!$D2:$D1136,"="&amp;B81, Inventory!$F2:$F1136)</f>
        <v>49.1</v>
      </c>
      <c r="C82" s="20">
        <f>SUMIF(Inventory!$D2:$D1136,"="&amp;C81, Inventory!$F2:$F1136)</f>
        <v>11.5</v>
      </c>
      <c r="D82" s="20">
        <f>SUMIF(Inventory!$D2:$D1136,"="&amp;D81, Inventory!$F2:$F1136)</f>
        <v>48.67</v>
      </c>
      <c r="E82" s="20">
        <f>SUMIF(Inventory!$D2:$D1136,"="&amp;E81, Inventory!$F2:$F1136)</f>
        <v>65.7</v>
      </c>
      <c r="F82" s="20">
        <f>SUMIF(Inventory!$D2:$D1136,"="&amp;F81, Inventory!$F2:$F1136)</f>
        <v>59.02</v>
      </c>
      <c r="G82" s="20">
        <f>SUMIF(Inventory!$D2:$D1136,"="&amp;G81, Inventory!$F2:$F1136)</f>
        <v>2.73</v>
      </c>
      <c r="H82" s="20">
        <f>SUMIF(Inventory!$D2:$D1136,"="&amp;H81, Inventory!$F2:$F1136)</f>
        <v>12.88</v>
      </c>
      <c r="I82" s="20">
        <f>SUMIF(Inventory!$D2:$D1136,"="&amp;I81, Inventory!$F2:$F1136)</f>
        <v>36.78</v>
      </c>
      <c r="J82" s="20">
        <f>SUMIF(Inventory!$D2:$D1136,"="&amp;J81, Inventory!$F2:$F1136)</f>
        <v>88.16</v>
      </c>
      <c r="K82" s="20">
        <f>SUMIF(Inventory!$D2:$D1136,"="&amp;K81, Inventory!$F2:$F1136)</f>
        <v>17.91</v>
      </c>
      <c r="L82" s="20">
        <f>SUMIF(Inventory!$D2:$D1136,"="&amp;L81, Inventory!$F2:$F1136)</f>
        <v>62.08</v>
      </c>
      <c r="M82" s="20">
        <f>SUMIF(Inventory!$D2:$D1136,"="&amp;M81, Inventory!$F2:$F1136)</f>
        <v>114.19</v>
      </c>
      <c r="N82" s="20">
        <f>SUMIF(Inventory!$D2:$D1136,"="&amp;N81, Inventory!$F2:$F1136)</f>
        <v>142.18</v>
      </c>
      <c r="O82" s="20">
        <f>SUMIF(Inventory!$D2:$D1136,"="&amp;O81, Inventory!$F2:$F1136)</f>
        <v>116.43</v>
      </c>
      <c r="P82" s="20">
        <f>SUMIF(Inventory!$D2:$D1136,"="&amp;P81, Inventory!$F2:$F1136)</f>
        <v>249.66</v>
      </c>
      <c r="Q82" s="20">
        <f>SUMIF(Inventory!$D2:$D1136,"="&amp;Q81, Inventory!$F2:$F1136)</f>
        <v>105.59</v>
      </c>
      <c r="R82" s="20">
        <f>SUMIF(Inventory!$D2:$D1136,"="&amp;R81, Inventory!$F2:$F1136)</f>
        <v>44.65</v>
      </c>
      <c r="S82" s="20">
        <f>SUMIF(Inventory!$D2:$D1136,"="&amp;S81, Inventory!$F2:$F1136)</f>
        <v>72.92</v>
      </c>
      <c r="T82" s="20">
        <f>SUMIF(Inventory!$D2:$D1136,"="&amp;T81, Inventory!$F2:$F1136)</f>
        <v>83.05</v>
      </c>
      <c r="U82" s="20">
        <f>SUMIF(Inventory!$D2:$D1136,"="&amp;U81, Inventory!$F2:$F1136)</f>
        <v>88.15</v>
      </c>
      <c r="V82" s="20">
        <f>SUMIF(Inventory!$D2:$D1136,"="&amp;V81, Inventory!$F2:$F1136)</f>
        <v>81.36</v>
      </c>
      <c r="W82" s="20">
        <f>SUMIF(Inventory!$D2:$D1136,"="&amp;W81, Inventory!$F2:$F1136)</f>
        <v>144.89</v>
      </c>
      <c r="X82" s="20">
        <f>SUMIF(Inventory!$D2:$D1136,"="&amp;X81, Inventory!$F2:$F1136)</f>
        <v>64.22</v>
      </c>
      <c r="Y82" s="20">
        <f>SUMIF(Inventory!$D2:$D1136,"="&amp;Y81, Inventory!$F2:$F1136)</f>
        <v>26.09</v>
      </c>
      <c r="Z82" s="20">
        <f>SUMIF(Inventory!$D2:$D1136,"="&amp;Z81, Inventory!$F2:$F1136)</f>
        <v>0</v>
      </c>
      <c r="AA82" s="20">
        <f>SUMIF(Inventory!$D2:$D1136,"="&amp;AA81, Inventory!$F2:$F1136)</f>
        <v>17.35</v>
      </c>
      <c r="AB82" s="20">
        <f>SUMIF(Inventory!$D2:$D1136,"="&amp;AB81, Inventory!$F2:$F1136)</f>
        <v>53.74</v>
      </c>
      <c r="AC82" s="20">
        <f>SUMIF(Inventory!$D2:$D1136,"="&amp;AC81, Inventory!$F2:$F1136)</f>
        <v>124.99</v>
      </c>
      <c r="AD82" s="20">
        <f>SUMIF(Inventory!$D2:$D1136,"="&amp;AD81, Inventory!$F2:$F1136)</f>
        <v>31.17</v>
      </c>
      <c r="AE82" s="20">
        <f>SUMIF(Inventory!$D2:$D1136,"="&amp;AE81, Inventory!$F2:$F1136)</f>
        <v>14.62</v>
      </c>
      <c r="AF82" s="20">
        <f>SUMIF(Inventory!$D2:$D1136,"="&amp;AF81, Inventory!$F2:$F1136)</f>
        <v>56.49</v>
      </c>
      <c r="AG82" s="20">
        <f t="shared" ref="AG82:AG84" si="35">SUM(B82:AF82)</f>
        <v>2086.27</v>
      </c>
      <c r="AH82" s="21">
        <f t="shared" ref="AH82:AH84" si="36">AVERAGE(B82:AF82)</f>
        <v>67.29903226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</row>
    <row r="83" hidden="1" outlineLevel="2">
      <c r="A83" s="256" t="s">
        <v>10</v>
      </c>
      <c r="B83" s="20">
        <f>SUMIF(Inventory!$D2:$D1136,"="&amp;B81, Inventory!$E2:$E1136)</f>
        <v>30.98</v>
      </c>
      <c r="C83" s="20">
        <f>SUMIF(Inventory!$D2:$D1136,"="&amp;C81, Inventory!$E2:$E1136)</f>
        <v>8.49</v>
      </c>
      <c r="D83" s="20">
        <f>SUMIF(Inventory!$D2:$D1136,"="&amp;D81, Inventory!$E2:$E1136)</f>
        <v>35.58</v>
      </c>
      <c r="E83" s="20">
        <f>SUMIF(Inventory!$D2:$D1136,"="&amp;E81, Inventory!$E2:$E1136)</f>
        <v>49.46</v>
      </c>
      <c r="F83" s="20">
        <f>SUMIF(Inventory!$D2:$D1136,"="&amp;F81, Inventory!$E2:$E1136)</f>
        <v>46.35</v>
      </c>
      <c r="G83" s="20">
        <f>SUMIF(Inventory!$D2:$D1136,"="&amp;G81, Inventory!$E2:$E1136)</f>
        <v>11.46</v>
      </c>
      <c r="H83" s="20">
        <f>SUMIF(Inventory!$D2:$D1136,"="&amp;H81, Inventory!$E2:$E1136)</f>
        <v>11.01</v>
      </c>
      <c r="I83" s="20">
        <f>SUMIF(Inventory!$D2:$D1136,"="&amp;I81, Inventory!$E2:$E1136)</f>
        <v>32.96</v>
      </c>
      <c r="J83" s="20">
        <f>SUMIF(Inventory!$D2:$D1136,"="&amp;J81, Inventory!$E2:$E1136)</f>
        <v>58.04</v>
      </c>
      <c r="K83" s="20">
        <f>SUMIF(Inventory!$D2:$D1136,"="&amp;K81, Inventory!$E2:$E1136)</f>
        <v>8.05</v>
      </c>
      <c r="L83" s="20">
        <f>SUMIF(Inventory!$D2:$D1136,"="&amp;L81, Inventory!$E2:$E1136)</f>
        <v>44.53</v>
      </c>
      <c r="M83" s="20">
        <f>SUMIF(Inventory!$D2:$D1136,"="&amp;M81, Inventory!$E2:$E1136)</f>
        <v>87.32</v>
      </c>
      <c r="N83" s="20">
        <f>SUMIF(Inventory!$D2:$D1136,"="&amp;N81, Inventory!$E2:$E1136)</f>
        <v>112.61</v>
      </c>
      <c r="O83" s="20">
        <f>SUMIF(Inventory!$D2:$D1136,"="&amp;O81, Inventory!$E2:$E1136)</f>
        <v>94.6</v>
      </c>
      <c r="P83" s="20">
        <f>SUMIF(Inventory!$D2:$D1136,"="&amp;P81, Inventory!$E2:$E1136)</f>
        <v>202.94</v>
      </c>
      <c r="Q83" s="20">
        <f>SUMIF(Inventory!$D2:$D1136,"="&amp;Q81, Inventory!$E2:$E1136)</f>
        <v>88.49</v>
      </c>
      <c r="R83" s="20">
        <f>SUMIF(Inventory!$D2:$D1136,"="&amp;R81, Inventory!$E2:$E1136)</f>
        <v>33.59</v>
      </c>
      <c r="S83" s="20">
        <f>SUMIF(Inventory!$D2:$D1136,"="&amp;S81, Inventory!$E2:$E1136)</f>
        <v>57.77</v>
      </c>
      <c r="T83" s="20">
        <f>SUMIF(Inventory!$D2:$D1136,"="&amp;T81, Inventory!$E2:$E1136)</f>
        <v>70.1</v>
      </c>
      <c r="U83" s="20">
        <f>SUMIF(Inventory!$D2:$D1136,"="&amp;U81, Inventory!$E2:$E1136)</f>
        <v>76.17</v>
      </c>
      <c r="V83" s="20">
        <f>SUMIF(Inventory!$D2:$D1136,"="&amp;V81, Inventory!$E2:$E1136)</f>
        <v>68.25</v>
      </c>
      <c r="W83" s="20">
        <f>SUMIF(Inventory!$D2:$D1136,"="&amp;W81, Inventory!$E2:$E1136)</f>
        <v>117.28</v>
      </c>
      <c r="X83" s="20">
        <f>SUMIF(Inventory!$D2:$D1136,"="&amp;X81, Inventory!$E2:$E1136)</f>
        <v>48.32</v>
      </c>
      <c r="Y83" s="20">
        <f>SUMIF(Inventory!$D2:$D1136,"="&amp;Y81, Inventory!$E2:$E1136)</f>
        <v>21.69</v>
      </c>
      <c r="Z83" s="20">
        <f>SUMIF(Inventory!$D2:$D1136,"="&amp;Z81, Inventory!$E2:$E1136)</f>
        <v>0</v>
      </c>
      <c r="AA83" s="20">
        <f>SUMIF(Inventory!$D2:$D1136,"="&amp;AA81, Inventory!$E2:$E1136)</f>
        <v>15.18</v>
      </c>
      <c r="AB83" s="20">
        <f>SUMIF(Inventory!$D2:$D1136,"="&amp;AB81, Inventory!$E2:$E1136)</f>
        <v>37.95</v>
      </c>
      <c r="AC83" s="20">
        <f>SUMIF(Inventory!$D2:$D1136,"="&amp;AC81, Inventory!$E2:$E1136)</f>
        <v>91.04</v>
      </c>
      <c r="AD83" s="20">
        <f>SUMIF(Inventory!$D2:$D1136,"="&amp;AD81, Inventory!$E2:$E1136)</f>
        <v>34.06</v>
      </c>
      <c r="AE83" s="20">
        <f>SUMIF(Inventory!$D2:$D1136,"="&amp;AE81, Inventory!$E2:$E1136)</f>
        <v>12.28</v>
      </c>
      <c r="AF83" s="20">
        <f>SUMIF(Inventory!$D2:$D1136,"="&amp;AF81, Inventory!$E2:$E1136)</f>
        <v>45.94</v>
      </c>
      <c r="AG83" s="20">
        <f t="shared" si="35"/>
        <v>1652.49</v>
      </c>
      <c r="AH83" s="21">
        <f t="shared" si="36"/>
        <v>53.30612903</v>
      </c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</row>
    <row r="84" hidden="1" outlineLevel="2">
      <c r="A84" s="256" t="s">
        <v>11</v>
      </c>
      <c r="B84" s="20">
        <f>SUMIF(Inventory!$D2:$D1136,"="&amp;B81, Inventory!$G2:$G1136)</f>
        <v>18.12</v>
      </c>
      <c r="C84" s="20">
        <f>SUMIF(Inventory!$D2:$D1136,"="&amp;C81, Inventory!$G2:$G1136)</f>
        <v>3.01</v>
      </c>
      <c r="D84" s="20">
        <f>SUMIF(Inventory!$D2:$D1136,"="&amp;D81, Inventory!$G2:$G1136)</f>
        <v>13.09</v>
      </c>
      <c r="E84" s="20">
        <f>SUMIF(Inventory!$D2:$D1136,"="&amp;E81, Inventory!$G2:$G1136)</f>
        <v>16.24</v>
      </c>
      <c r="F84" s="20">
        <f>SUMIF(Inventory!$D2:$D1136,"="&amp;F81, Inventory!$G2:$G1136)</f>
        <v>12.67</v>
      </c>
      <c r="G84" s="20">
        <f>SUMIF(Inventory!$D2:$D1136,"="&amp;G81, Inventory!$G2:$G1136)</f>
        <v>-8.73</v>
      </c>
      <c r="H84" s="20">
        <f>SUMIF(Inventory!$D2:$D1136,"="&amp;H81, Inventory!$G2:$G1136)</f>
        <v>1.87</v>
      </c>
      <c r="I84" s="20">
        <f>SUMIF(Inventory!$D2:$D1136,"="&amp;I81, Inventory!$G2:$G1136)</f>
        <v>3.82</v>
      </c>
      <c r="J84" s="20">
        <f>SUMIF(Inventory!$D2:$D1136,"="&amp;J81, Inventory!$G2:$G1136)</f>
        <v>30.12</v>
      </c>
      <c r="K84" s="20">
        <f>SUMIF(Inventory!$D2:$D1136,"="&amp;K81, Inventory!$G2:$G1136)</f>
        <v>9.86</v>
      </c>
      <c r="L84" s="20">
        <f>SUMIF(Inventory!$D2:$D1136,"="&amp;L81, Inventory!$G2:$G1136)</f>
        <v>17.55</v>
      </c>
      <c r="M84" s="20">
        <f>SUMIF(Inventory!$D2:$D1136,"="&amp;M81, Inventory!$G2:$G1136)</f>
        <v>26.87</v>
      </c>
      <c r="N84" s="20">
        <f>SUMIF(Inventory!$D2:$D1136,"="&amp;N81, Inventory!$G2:$G1136)</f>
        <v>29.57</v>
      </c>
      <c r="O84" s="20">
        <f>SUMIF(Inventory!$D2:$D1136,"="&amp;O81, Inventory!$G2:$G1136)</f>
        <v>21.83</v>
      </c>
      <c r="P84" s="20">
        <f>SUMIF(Inventory!$D2:$D1136,"="&amp;P81, Inventory!$G2:$G1136)</f>
        <v>46.72</v>
      </c>
      <c r="Q84" s="20">
        <f>SUMIF(Inventory!$D2:$D1136,"="&amp;Q81, Inventory!$G2:$G1136)</f>
        <v>17.1</v>
      </c>
      <c r="R84" s="20">
        <f>SUMIF(Inventory!$D2:$D1136,"="&amp;R81, Inventory!$G2:$G1136)</f>
        <v>11.06</v>
      </c>
      <c r="S84" s="20">
        <f>SUMIF(Inventory!$D2:$D1136,"="&amp;S81, Inventory!$G2:$G1136)</f>
        <v>15.15</v>
      </c>
      <c r="T84" s="20">
        <f>SUMIF(Inventory!$D2:$D1136,"="&amp;T81, Inventory!$G2:$G1136)</f>
        <v>12.95</v>
      </c>
      <c r="U84" s="20">
        <f>SUMIF(Inventory!$D2:$D1136,"="&amp;U81, Inventory!$G2:$G1136)</f>
        <v>11.98</v>
      </c>
      <c r="V84" s="20">
        <f>SUMIF(Inventory!$D2:$D1136,"="&amp;V81, Inventory!$G2:$G1136)</f>
        <v>13.11</v>
      </c>
      <c r="W84" s="20">
        <f>SUMIF(Inventory!$D2:$D1136,"="&amp;W81, Inventory!$G2:$G1136)</f>
        <v>27.61</v>
      </c>
      <c r="X84" s="20">
        <f>SUMIF(Inventory!$D2:$D1136,"="&amp;X81, Inventory!$G2:$G1136)</f>
        <v>15.9</v>
      </c>
      <c r="Y84" s="20">
        <f>SUMIF(Inventory!$D2:$D1136,"="&amp;Y81, Inventory!$G2:$G1136)</f>
        <v>4.4</v>
      </c>
      <c r="Z84" s="20">
        <f>SUMIF(Inventory!$D2:$D1136,"="&amp;Z81, Inventory!$G2:$G1136)</f>
        <v>0</v>
      </c>
      <c r="AA84" s="20">
        <f>SUMIF(Inventory!$D2:$D1136,"="&amp;AA81, Inventory!$G2:$G1136)</f>
        <v>2.17</v>
      </c>
      <c r="AB84" s="20">
        <f>SUMIF(Inventory!$D2:$D1136,"="&amp;AB81, Inventory!$G2:$G1136)</f>
        <v>15.79</v>
      </c>
      <c r="AC84" s="20">
        <f>SUMIF(Inventory!$D2:$D1136,"="&amp;AC81, Inventory!$G2:$G1136)</f>
        <v>33.95</v>
      </c>
      <c r="AD84" s="20">
        <f>SUMIF(Inventory!$D2:$D1136,"="&amp;AD81, Inventory!$G2:$G1136)</f>
        <v>-2.89</v>
      </c>
      <c r="AE84" s="20">
        <f>SUMIF(Inventory!$D2:$D1136,"="&amp;AE81, Inventory!$G2:$G1136)</f>
        <v>2.34</v>
      </c>
      <c r="AF84" s="20">
        <f>SUMIF(Inventory!$D2:$D1136,"="&amp;AF81, Inventory!$G2:$G1136)</f>
        <v>10.55</v>
      </c>
      <c r="AG84" s="20">
        <f t="shared" si="35"/>
        <v>433.78</v>
      </c>
      <c r="AH84" s="21">
        <f t="shared" si="36"/>
        <v>13.99290323</v>
      </c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</row>
    <row r="85" hidden="1" outlineLevel="2">
      <c r="A85" s="256" t="s">
        <v>10566</v>
      </c>
      <c r="B85" s="20">
        <f>COUNTIFS(Inventory!$D2:$D1136,"="&amp;B81, Inventory!$J2:$J1136,"Closed")</f>
        <v>5</v>
      </c>
      <c r="C85" s="20">
        <f>COUNTIFS(Inventory!$D2:$D1136,"="&amp;C81, Inventory!$J2:$J1136,"Closed")</f>
        <v>1</v>
      </c>
      <c r="D85" s="20">
        <f>COUNTIFS(Inventory!$D2:$D1136,"="&amp;D81, Inventory!$J2:$J1136,"Closed")</f>
        <v>6</v>
      </c>
      <c r="E85" s="20">
        <f>COUNTIFS(Inventory!$D2:$D1136,"="&amp;E81, Inventory!$J2:$J1136,"Closed")</f>
        <v>4</v>
      </c>
      <c r="F85" s="20">
        <f>COUNTIFS(Inventory!$D2:$D1136,"="&amp;F81, Inventory!$J2:$J1136,"Closed")</f>
        <v>5</v>
      </c>
      <c r="G85" s="20">
        <f>COUNTIFS(Inventory!$D2:$D1136,"="&amp;G81, Inventory!$J2:$J1136,"Closed")</f>
        <v>2</v>
      </c>
      <c r="H85" s="20">
        <f>COUNTIFS(Inventory!$D2:$D1136,"="&amp;H81, Inventory!$J2:$J1136,"Closed")</f>
        <v>2</v>
      </c>
      <c r="I85" s="20">
        <f>COUNTIFS(Inventory!$D2:$D1136,"="&amp;I81, Inventory!$J2:$J1136,"Closed")</f>
        <v>5</v>
      </c>
      <c r="J85" s="20">
        <f>COUNTIFS(Inventory!$D2:$D1136,"="&amp;J81, Inventory!$J2:$J1136,"Closed")</f>
        <v>5</v>
      </c>
      <c r="K85" s="20">
        <f>COUNTIFS(Inventory!$D2:$D1136,"="&amp;K81, Inventory!$J2:$J1136,"Closed")</f>
        <v>3</v>
      </c>
      <c r="L85" s="20">
        <f>COUNTIFS(Inventory!$D2:$D1136,"="&amp;L81, Inventory!$J2:$J1136,"Closed")</f>
        <v>8</v>
      </c>
      <c r="M85" s="20">
        <f>COUNTIFS(Inventory!$D2:$D1136,"="&amp;M81, Inventory!$J2:$J1136,"Closed")</f>
        <v>11</v>
      </c>
      <c r="N85" s="20">
        <f>COUNTIFS(Inventory!$D2:$D1136,"="&amp;N81, Inventory!$J2:$J1136,"Closed")</f>
        <v>11</v>
      </c>
      <c r="O85" s="20">
        <f>COUNTIFS(Inventory!$D2:$D1136,"="&amp;O81, Inventory!$J2:$J1136,"Closed")</f>
        <v>16</v>
      </c>
      <c r="P85" s="20">
        <f>COUNTIFS(Inventory!$D2:$D1136,"="&amp;P81, Inventory!$J2:$J1136,"Closed")</f>
        <v>20</v>
      </c>
      <c r="Q85" s="20">
        <f>COUNTIFS(Inventory!$D2:$D1136,"="&amp;Q81, Inventory!$J2:$J1136,"Closed")</f>
        <v>10</v>
      </c>
      <c r="R85" s="20">
        <f>COUNTIFS(Inventory!$D2:$D1136,"="&amp;R81, Inventory!$J2:$J1136,"Closed")</f>
        <v>5</v>
      </c>
      <c r="S85" s="20">
        <f>COUNTIFS(Inventory!$D2:$D1136,"="&amp;S81, Inventory!$J2:$J1136,"Closed")</f>
        <v>8</v>
      </c>
      <c r="T85" s="20">
        <f>COUNTIFS(Inventory!$D2:$D1136,"="&amp;T81, Inventory!$J2:$J1136,"Closed")</f>
        <v>9</v>
      </c>
      <c r="U85" s="20">
        <f>COUNTIFS(Inventory!$D2:$D1136,"="&amp;U81, Inventory!$J2:$J1136,"Closed")</f>
        <v>6</v>
      </c>
      <c r="V85" s="20">
        <f>COUNTIFS(Inventory!$D2:$D1136,"="&amp;V81, Inventory!$J2:$J1136,"Closed")</f>
        <v>9</v>
      </c>
      <c r="W85" s="20">
        <f>COUNTIFS(Inventory!$D2:$D1136,"="&amp;W81, Inventory!$J2:$J1136,"Closed")</f>
        <v>14</v>
      </c>
      <c r="X85" s="20">
        <f>COUNTIFS(Inventory!$D2:$D1136,"="&amp;X81, Inventory!$J2:$J1136,"Closed")</f>
        <v>5</v>
      </c>
      <c r="Y85" s="20">
        <f>COUNTIFS(Inventory!$D2:$D1136,"="&amp;Y81, Inventory!$J2:$J1136,"Closed")</f>
        <v>5</v>
      </c>
      <c r="Z85" s="20">
        <f>COUNTIFS(Inventory!$D2:$D1136,"="&amp;Z81, Inventory!$J2:$J1136,"Closed")</f>
        <v>0</v>
      </c>
      <c r="AA85" s="20">
        <f>COUNTIFS(Inventory!$D2:$D1136,"="&amp;AA81, Inventory!$J2:$J1136,"Closed")</f>
        <v>2</v>
      </c>
      <c r="AB85" s="20">
        <f>COUNTIFS(Inventory!$D2:$D1136,"="&amp;AB81, Inventory!$J2:$J1136,"Closed")</f>
        <v>9</v>
      </c>
      <c r="AC85" s="20">
        <f>COUNTIFS(Inventory!$D2:$D1136,"="&amp;AC81, Inventory!$J2:$J1136,"Closed")</f>
        <v>12</v>
      </c>
      <c r="AD85" s="20">
        <f>COUNTIFS(Inventory!$D2:$D1136,"="&amp;AD81, Inventory!$J2:$J1136,"Closed")</f>
        <v>4</v>
      </c>
      <c r="AE85" s="20">
        <f>COUNTIFS(Inventory!$D2:$D1136,"="&amp;AE81, Inventory!$J2:$J1136,"Closed")</f>
        <v>2</v>
      </c>
      <c r="AF85" s="20">
        <f>COUNTIFS(Inventory!$D2:$D1136,"="&amp;AF81, Inventory!$J2:$J1136,"Closed")</f>
        <v>6</v>
      </c>
      <c r="AG85" s="20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</row>
    <row r="86" hidden="1" outlineLevel="1">
      <c r="A86" s="253" t="s">
        <v>10204</v>
      </c>
      <c r="B86" s="255">
        <v>44713.0</v>
      </c>
      <c r="C86" s="255">
        <v>44714.0</v>
      </c>
      <c r="D86" s="255">
        <v>44715.0</v>
      </c>
      <c r="E86" s="255">
        <v>44716.0</v>
      </c>
      <c r="F86" s="255">
        <v>44717.0</v>
      </c>
      <c r="G86" s="255">
        <v>44718.0</v>
      </c>
      <c r="H86" s="255">
        <v>44719.0</v>
      </c>
      <c r="I86" s="255">
        <v>44720.0</v>
      </c>
      <c r="J86" s="255">
        <v>44721.0</v>
      </c>
      <c r="K86" s="255">
        <v>44722.0</v>
      </c>
      <c r="L86" s="255">
        <v>44723.0</v>
      </c>
      <c r="M86" s="255">
        <v>44724.0</v>
      </c>
      <c r="N86" s="255">
        <v>44725.0</v>
      </c>
      <c r="O86" s="255">
        <v>44726.0</v>
      </c>
      <c r="P86" s="255">
        <v>44727.0</v>
      </c>
      <c r="Q86" s="255">
        <v>44728.0</v>
      </c>
      <c r="R86" s="255">
        <v>44729.0</v>
      </c>
      <c r="S86" s="255">
        <v>44730.0</v>
      </c>
      <c r="T86" s="255">
        <v>44731.0</v>
      </c>
      <c r="U86" s="255">
        <v>44732.0</v>
      </c>
      <c r="V86" s="255">
        <v>44733.0</v>
      </c>
      <c r="W86" s="255">
        <v>44734.0</v>
      </c>
      <c r="X86" s="255">
        <v>44735.0</v>
      </c>
      <c r="Y86" s="255">
        <v>44736.0</v>
      </c>
      <c r="Z86" s="255">
        <v>44737.0</v>
      </c>
      <c r="AA86" s="255">
        <v>44738.0</v>
      </c>
      <c r="AB86" s="255">
        <v>44739.0</v>
      </c>
      <c r="AC86" s="255">
        <v>44740.0</v>
      </c>
      <c r="AD86" s="255">
        <v>44741.0</v>
      </c>
      <c r="AE86" s="255">
        <v>44742.0</v>
      </c>
      <c r="AF86" s="255"/>
      <c r="AG86" s="20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</row>
    <row r="87" hidden="1" outlineLevel="2">
      <c r="A87" s="256" t="s">
        <v>9</v>
      </c>
      <c r="B87" s="20">
        <f>SUMIF(Inventory!$D2:$D1136,"="&amp;B86, Inventory!$F2:$F1136)</f>
        <v>74.13</v>
      </c>
      <c r="C87" s="20">
        <f>SUMIF(Inventory!$D2:$D1136,"="&amp;C86, Inventory!$F2:$F1136)</f>
        <v>34.77</v>
      </c>
      <c r="D87" s="20">
        <f>SUMIF(Inventory!$D2:$D1136,"="&amp;D86, Inventory!$F2:$F1136)</f>
        <v>60.5</v>
      </c>
      <c r="E87" s="20">
        <f>SUMIF(Inventory!$D2:$D1136,"="&amp;E86, Inventory!$F2:$F1136)</f>
        <v>59.16</v>
      </c>
      <c r="F87" s="20">
        <f>SUMIF(Inventory!$D2:$D1136,"="&amp;F86, Inventory!$F2:$F1136)</f>
        <v>101.8</v>
      </c>
      <c r="G87" s="20">
        <f>SUMIF(Inventory!$D2:$D1136,"="&amp;G86, Inventory!$F2:$F1136)</f>
        <v>25.35</v>
      </c>
      <c r="H87" s="20">
        <f>SUMIF(Inventory!$D2:$D1136,"="&amp;H86, Inventory!$F2:$F1136)</f>
        <v>0</v>
      </c>
      <c r="I87" s="20">
        <f>SUMIF(Inventory!$D2:$D1136,"="&amp;I86, Inventory!$F2:$F1136)</f>
        <v>43.03</v>
      </c>
      <c r="J87" s="20">
        <f>SUMIF(Inventory!$D2:$D1136,"="&amp;J86, Inventory!$F2:$F1136)</f>
        <v>31.88</v>
      </c>
      <c r="K87" s="20">
        <f>SUMIF(Inventory!$D2:$D1136,"="&amp;K86, Inventory!$F2:$F1136)</f>
        <v>78.08</v>
      </c>
      <c r="L87" s="20">
        <f>SUMIF(Inventory!$D2:$D1136,"="&amp;L86, Inventory!$F2:$F1136)</f>
        <v>16.98</v>
      </c>
      <c r="M87" s="20">
        <f>SUMIF(Inventory!$D2:$D1136,"="&amp;M86, Inventory!$F2:$F1136)</f>
        <v>38.8</v>
      </c>
      <c r="N87" s="20">
        <f>SUMIF(Inventory!$D2:$D1136,"="&amp;N86, Inventory!$F2:$F1136)</f>
        <v>16.77</v>
      </c>
      <c r="O87" s="20">
        <f>SUMIF(Inventory!$D2:$D1136,"="&amp;O86, Inventory!$F2:$F1136)</f>
        <v>119.58</v>
      </c>
      <c r="P87" s="20">
        <f>SUMIF(Inventory!$D2:$D1136,"="&amp;P86, Inventory!$F2:$F1136)</f>
        <v>76.51</v>
      </c>
      <c r="Q87" s="20">
        <f>SUMIF(Inventory!$D2:$D1136,"="&amp;Q86, Inventory!$F2:$F1136)</f>
        <v>107.71</v>
      </c>
      <c r="R87" s="20">
        <f>SUMIF(Inventory!$D2:$D1136,"="&amp;R86, Inventory!$F2:$F1136)</f>
        <v>158.84</v>
      </c>
      <c r="S87" s="20">
        <f>SUMIF(Inventory!$D2:$D1136,"="&amp;S86, Inventory!$F2:$F1136)</f>
        <v>105.49</v>
      </c>
      <c r="T87" s="20">
        <f>SUMIF(Inventory!$D2:$D1136,"="&amp;T86, Inventory!$F2:$F1136)</f>
        <v>136.34</v>
      </c>
      <c r="U87" s="20">
        <f>SUMIF(Inventory!$D2:$D1136,"="&amp;U86, Inventory!$F2:$F1136)</f>
        <v>121.1</v>
      </c>
      <c r="V87" s="20">
        <f>SUMIF(Inventory!$D2:$D1136,"="&amp;V86, Inventory!$F2:$F1136)</f>
        <v>134.11</v>
      </c>
      <c r="W87" s="20">
        <f>SUMIF(Inventory!$D2:$D1136,"="&amp;W86, Inventory!$F2:$F1136)</f>
        <v>67.48</v>
      </c>
      <c r="X87" s="20">
        <f>SUMIF(Inventory!$D2:$D1136,"="&amp;X86, Inventory!$F2:$F1136)</f>
        <v>153.4</v>
      </c>
      <c r="Y87" s="20">
        <f>SUMIF(Inventory!$D2:$D1136,"="&amp;Y86, Inventory!$F2:$F1136)</f>
        <v>0</v>
      </c>
      <c r="Z87" s="20">
        <f>SUMIF(Inventory!$D2:$D1136,"="&amp;Z86, Inventory!$F2:$F1136)</f>
        <v>71.45</v>
      </c>
      <c r="AA87" s="20">
        <f>SUMIF(Inventory!$D2:$D1136,"="&amp;AA86, Inventory!$F2:$F1136)</f>
        <v>68.6</v>
      </c>
      <c r="AB87" s="20">
        <f>SUMIF(Inventory!$D2:$D1136,"="&amp;AB86, Inventory!$F2:$F1136)</f>
        <v>43.54</v>
      </c>
      <c r="AC87" s="20">
        <f>SUMIF(Inventory!$D2:$D1136,"="&amp;AC86, Inventory!$F2:$F1136)</f>
        <v>0</v>
      </c>
      <c r="AD87" s="20">
        <f>SUMIF(Inventory!$D2:$D1136,"="&amp;AD86, Inventory!$F2:$F1136)</f>
        <v>10.1</v>
      </c>
      <c r="AE87" s="20">
        <f>SUMIF(Inventory!$D2:$D1136,"="&amp;AE86, Inventory!$F2:$F1136)</f>
        <v>8.97</v>
      </c>
      <c r="AG87" s="20">
        <f t="shared" ref="AG87:AG89" si="37">SUM(B87:AF87)</f>
        <v>1964.47</v>
      </c>
      <c r="AH87" s="21">
        <f t="shared" ref="AH87:AH89" si="38">AVERAGE(B87:AF87)</f>
        <v>65.48233333</v>
      </c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</row>
    <row r="88" hidden="1" outlineLevel="2">
      <c r="A88" s="256" t="s">
        <v>10</v>
      </c>
      <c r="B88" s="20">
        <f>SUMIF(Inventory!$D2:$D1136,"="&amp;B86, Inventory!$E2:$E1136)</f>
        <v>59.72</v>
      </c>
      <c r="C88" s="20">
        <f>SUMIF(Inventory!$D2:$D1136,"="&amp;C86, Inventory!$E2:$E1136)</f>
        <v>29.95</v>
      </c>
      <c r="D88" s="20">
        <f>SUMIF(Inventory!$D2:$D1136,"="&amp;D86, Inventory!$E2:$E1136)</f>
        <v>44.25</v>
      </c>
      <c r="E88" s="20">
        <f>SUMIF(Inventory!$D2:$D1136,"="&amp;E86, Inventory!$E2:$E1136)</f>
        <v>43.89</v>
      </c>
      <c r="F88" s="20">
        <f>SUMIF(Inventory!$D2:$D1136,"="&amp;F86, Inventory!$E2:$E1136)</f>
        <v>76.76</v>
      </c>
      <c r="G88" s="20">
        <f>SUMIF(Inventory!$D2:$D1136,"="&amp;G86, Inventory!$E2:$E1136)</f>
        <v>18.42</v>
      </c>
      <c r="H88" s="20">
        <f>SUMIF(Inventory!$D2:$D1136,"="&amp;H86, Inventory!$E2:$E1136)</f>
        <v>0</v>
      </c>
      <c r="I88" s="20">
        <f>SUMIF(Inventory!$D2:$D1136,"="&amp;I86, Inventory!$E2:$E1136)</f>
        <v>28.05</v>
      </c>
      <c r="J88" s="20">
        <f>SUMIF(Inventory!$D2:$D1136,"="&amp;J86, Inventory!$E2:$E1136)</f>
        <v>20.56</v>
      </c>
      <c r="K88" s="20">
        <f>SUMIF(Inventory!$D2:$D1136,"="&amp;K86, Inventory!$E2:$E1136)</f>
        <v>58.78</v>
      </c>
      <c r="L88" s="20">
        <f>SUMIF(Inventory!$D2:$D1136,"="&amp;L86, Inventory!$E2:$E1136)</f>
        <v>11.85</v>
      </c>
      <c r="M88" s="20">
        <f>SUMIF(Inventory!$D2:$D1136,"="&amp;M86, Inventory!$E2:$E1136)</f>
        <v>30.29</v>
      </c>
      <c r="N88" s="20">
        <f>SUMIF(Inventory!$D2:$D1136,"="&amp;N86, Inventory!$E2:$E1136)</f>
        <v>11.61</v>
      </c>
      <c r="O88" s="20">
        <f>SUMIF(Inventory!$D2:$D1136,"="&amp;O86, Inventory!$E2:$E1136)</f>
        <v>86.48</v>
      </c>
      <c r="P88" s="20">
        <f>SUMIF(Inventory!$D2:$D1136,"="&amp;P86, Inventory!$E2:$E1136)</f>
        <v>56.71</v>
      </c>
      <c r="Q88" s="20">
        <f>SUMIF(Inventory!$D2:$D1136,"="&amp;Q86, Inventory!$E2:$E1136)</f>
        <v>65.37</v>
      </c>
      <c r="R88" s="20">
        <f>SUMIF(Inventory!$D2:$D1136,"="&amp;R86, Inventory!$E2:$E1136)</f>
        <v>101.92</v>
      </c>
      <c r="S88" s="20">
        <f>SUMIF(Inventory!$D2:$D1136,"="&amp;S86, Inventory!$E2:$E1136)</f>
        <v>79.33</v>
      </c>
      <c r="T88" s="20">
        <f>SUMIF(Inventory!$D2:$D1136,"="&amp;T86, Inventory!$E2:$E1136)</f>
        <v>112.09</v>
      </c>
      <c r="U88" s="20">
        <f>SUMIF(Inventory!$D2:$D1136,"="&amp;U86, Inventory!$E2:$E1136)</f>
        <v>97</v>
      </c>
      <c r="V88" s="20">
        <f>SUMIF(Inventory!$D2:$D1136,"="&amp;V86, Inventory!$E2:$E1136)</f>
        <v>106.26</v>
      </c>
      <c r="W88" s="20">
        <f>SUMIF(Inventory!$D2:$D1136,"="&amp;W86, Inventory!$E2:$E1136)</f>
        <v>49.25</v>
      </c>
      <c r="X88" s="20">
        <f>SUMIF(Inventory!$D2:$D1136,"="&amp;X86, Inventory!$E2:$E1136)</f>
        <v>113.55</v>
      </c>
      <c r="Y88" s="20">
        <f>SUMIF(Inventory!$D2:$D1136,"="&amp;Y86, Inventory!$E2:$E1136)</f>
        <v>0</v>
      </c>
      <c r="Z88" s="20">
        <f>SUMIF(Inventory!$D2:$D1136,"="&amp;Z86, Inventory!$E2:$E1136)</f>
        <v>28.2</v>
      </c>
      <c r="AA88" s="20">
        <f>SUMIF(Inventory!$D2:$D1136,"="&amp;AA86, Inventory!$E2:$E1136)</f>
        <v>23.68</v>
      </c>
      <c r="AB88" s="20">
        <f>SUMIF(Inventory!$D2:$D1136,"="&amp;AB86, Inventory!$E2:$E1136)</f>
        <v>17.91</v>
      </c>
      <c r="AC88" s="20">
        <f>SUMIF(Inventory!$D2:$D1136,"="&amp;AC86, Inventory!$E2:$E1136)</f>
        <v>0</v>
      </c>
      <c r="AD88" s="20">
        <f>SUMIF(Inventory!$D2:$D1136,"="&amp;AD86, Inventory!$E2:$E1136)</f>
        <v>8.39</v>
      </c>
      <c r="AE88" s="20">
        <f>SUMIF(Inventory!$D2:$D1136,"="&amp;AE86, Inventory!$E2:$E1136)</f>
        <v>7.14</v>
      </c>
      <c r="AG88" s="20">
        <f t="shared" si="37"/>
        <v>1387.41</v>
      </c>
      <c r="AH88" s="21">
        <f t="shared" si="38"/>
        <v>46.247</v>
      </c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</row>
    <row r="89" hidden="1" outlineLevel="2">
      <c r="A89" s="256" t="s">
        <v>11</v>
      </c>
      <c r="B89" s="20">
        <f>SUMIF(Inventory!$D2:$D1136,"="&amp;B86, Inventory!$G2:$G1136)</f>
        <v>14.41</v>
      </c>
      <c r="C89" s="20">
        <f>SUMIF(Inventory!$D2:$D1136,"="&amp;C86, Inventory!$G2:$G1136)</f>
        <v>4.82</v>
      </c>
      <c r="D89" s="20">
        <f>SUMIF(Inventory!$D2:$D1136,"="&amp;D86, Inventory!$G2:$G1136)</f>
        <v>16.25</v>
      </c>
      <c r="E89" s="20">
        <f>SUMIF(Inventory!$D2:$D1136,"="&amp;E86, Inventory!$G2:$G1136)</f>
        <v>15.27</v>
      </c>
      <c r="F89" s="20">
        <f>SUMIF(Inventory!$D2:$D1136,"="&amp;F86, Inventory!$G2:$G1136)</f>
        <v>25.04</v>
      </c>
      <c r="G89" s="20">
        <f>SUMIF(Inventory!$D2:$D1136,"="&amp;G86, Inventory!$G2:$G1136)</f>
        <v>6.93</v>
      </c>
      <c r="H89" s="20">
        <f>SUMIF(Inventory!$D2:$D1136,"="&amp;H86, Inventory!$G2:$G1136)</f>
        <v>0</v>
      </c>
      <c r="I89" s="20">
        <f>SUMIF(Inventory!$D2:$D1136,"="&amp;I86, Inventory!$G2:$G1136)</f>
        <v>14.98</v>
      </c>
      <c r="J89" s="20">
        <f>SUMIF(Inventory!$D2:$D1136,"="&amp;J86, Inventory!$G2:$G1136)</f>
        <v>11.32</v>
      </c>
      <c r="K89" s="20">
        <f>SUMIF(Inventory!$D2:$D1136,"="&amp;K86, Inventory!$G2:$G1136)</f>
        <v>19.3</v>
      </c>
      <c r="L89" s="20">
        <f>SUMIF(Inventory!$D2:$D1136,"="&amp;L86, Inventory!$G2:$G1136)</f>
        <v>5.13</v>
      </c>
      <c r="M89" s="20">
        <f>SUMIF(Inventory!$D2:$D1136,"="&amp;M86, Inventory!$G2:$G1136)</f>
        <v>8.51</v>
      </c>
      <c r="N89" s="20">
        <f>SUMIF(Inventory!$D2:$D1136,"="&amp;N86, Inventory!$G2:$G1136)</f>
        <v>5.16</v>
      </c>
      <c r="O89" s="20">
        <f>SUMIF(Inventory!$D2:$D1136,"="&amp;O86, Inventory!$G2:$G1136)</f>
        <v>33.1</v>
      </c>
      <c r="P89" s="20">
        <f>SUMIF(Inventory!$D2:$D1136,"="&amp;P86, Inventory!$G2:$G1136)</f>
        <v>19.8</v>
      </c>
      <c r="Q89" s="20">
        <f>SUMIF(Inventory!$D2:$D1136,"="&amp;Q86, Inventory!$G2:$G1136)</f>
        <v>42.34</v>
      </c>
      <c r="R89" s="20">
        <f>SUMIF(Inventory!$D2:$D1136,"="&amp;R86, Inventory!$G2:$G1136)</f>
        <v>56.92</v>
      </c>
      <c r="S89" s="20">
        <f>SUMIF(Inventory!$D2:$D1136,"="&amp;S86, Inventory!$G2:$G1136)</f>
        <v>26.16</v>
      </c>
      <c r="T89" s="20">
        <f>SUMIF(Inventory!$D2:$D1136,"="&amp;T86, Inventory!$G2:$G1136)</f>
        <v>24.25</v>
      </c>
      <c r="U89" s="20">
        <f>SUMIF(Inventory!$D2:$D1136,"="&amp;U86, Inventory!$G2:$G1136)</f>
        <v>24.1</v>
      </c>
      <c r="V89" s="20">
        <f>SUMIF(Inventory!$D2:$D1136,"="&amp;V86, Inventory!$G2:$G1136)</f>
        <v>27.85</v>
      </c>
      <c r="W89" s="20">
        <f>SUMIF(Inventory!$D2:$D1136,"="&amp;W86, Inventory!$G2:$G1136)</f>
        <v>18.23</v>
      </c>
      <c r="X89" s="20">
        <f>SUMIF(Inventory!$D2:$D1136,"="&amp;X86, Inventory!$G2:$G1136)</f>
        <v>39.85</v>
      </c>
      <c r="Y89" s="20">
        <f>SUMIF(Inventory!$D2:$D1136,"="&amp;Y86, Inventory!$G2:$G1136)</f>
        <v>0</v>
      </c>
      <c r="Z89" s="20">
        <f>SUMIF(Inventory!$D2:$D1136,"="&amp;Z86, Inventory!$G2:$G1136)</f>
        <v>43.25</v>
      </c>
      <c r="AA89" s="20">
        <f>SUMIF(Inventory!$D2:$D1136,"="&amp;AA86, Inventory!$G2:$G1136)</f>
        <v>44.92</v>
      </c>
      <c r="AB89" s="20">
        <f>SUMIF(Inventory!$D2:$D1136,"="&amp;AB86, Inventory!$G2:$G1136)</f>
        <v>25.63</v>
      </c>
      <c r="AC89" s="20">
        <f>SUMIF(Inventory!$D2:$D1136,"="&amp;AC86, Inventory!$G2:$G1136)</f>
        <v>0</v>
      </c>
      <c r="AD89" s="20">
        <f>SUMIF(Inventory!$D2:$D1136,"="&amp;AD86, Inventory!$G2:$G1136)</f>
        <v>1.71</v>
      </c>
      <c r="AE89" s="20">
        <f>SUMIF(Inventory!$D2:$D1136,"="&amp;AE86, Inventory!$G2:$G1136)</f>
        <v>1.83</v>
      </c>
      <c r="AG89" s="20">
        <f t="shared" si="37"/>
        <v>577.06</v>
      </c>
      <c r="AH89" s="21">
        <f t="shared" si="38"/>
        <v>19.23533333</v>
      </c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</row>
    <row r="90" hidden="1" outlineLevel="2">
      <c r="A90" s="256" t="s">
        <v>10566</v>
      </c>
      <c r="B90" s="20">
        <f>COUNTIFS(Inventory!$D2:$D1136,"="&amp;B86, Inventory!$J2:$J1136,"Closed")</f>
        <v>6</v>
      </c>
      <c r="C90" s="20">
        <f>COUNTIFS(Inventory!$D2:$D1136,"="&amp;C86, Inventory!$J2:$J1136,"Closed")</f>
        <v>4</v>
      </c>
      <c r="D90" s="20">
        <f>COUNTIFS(Inventory!$D2:$D1136,"="&amp;D86, Inventory!$J2:$J1136,"Closed")</f>
        <v>6</v>
      </c>
      <c r="E90" s="20">
        <f>COUNTIFS(Inventory!$D2:$D1136,"="&amp;E86, Inventory!$J2:$J1136,"Closed")</f>
        <v>5</v>
      </c>
      <c r="F90" s="20">
        <f>COUNTIFS(Inventory!$D2:$D1136,"="&amp;F86, Inventory!$J2:$J1136,"Closed")</f>
        <v>9</v>
      </c>
      <c r="G90" s="20">
        <f>COUNTIFS(Inventory!$D2:$D1136,"="&amp;G86, Inventory!$J2:$J1136,"Closed")</f>
        <v>2</v>
      </c>
      <c r="H90" s="20">
        <f>COUNTIFS(Inventory!$D2:$D1136,"="&amp;H86, Inventory!$J2:$J1136,"Closed")</f>
        <v>0</v>
      </c>
      <c r="I90" s="20">
        <f>COUNTIFS(Inventory!$D2:$D1136,"="&amp;I86, Inventory!$J2:$J1136,"Closed")</f>
        <v>3</v>
      </c>
      <c r="J90" s="20">
        <f>COUNTIFS(Inventory!$D2:$D1136,"="&amp;J86, Inventory!$J2:$J1136,"Closed")</f>
        <v>4</v>
      </c>
      <c r="K90" s="20">
        <f>COUNTIFS(Inventory!$D2:$D1136,"="&amp;K86, Inventory!$J2:$J1136,"Closed")</f>
        <v>6</v>
      </c>
      <c r="L90" s="20">
        <f>COUNTIFS(Inventory!$D2:$D1136,"="&amp;L86, Inventory!$J2:$J1136,"Closed")</f>
        <v>2</v>
      </c>
      <c r="M90" s="20">
        <f>COUNTIFS(Inventory!$D2:$D1136,"="&amp;M86, Inventory!$J2:$J1136,"Closed")</f>
        <v>7</v>
      </c>
      <c r="N90" s="20">
        <f>COUNTIFS(Inventory!$D2:$D1136,"="&amp;N86, Inventory!$J2:$J1136,"Closed")</f>
        <v>1</v>
      </c>
      <c r="O90" s="20">
        <f>COUNTIFS(Inventory!$D2:$D1136,"="&amp;O86, Inventory!$J2:$J1136,"Closed")</f>
        <v>10</v>
      </c>
      <c r="P90" s="20">
        <f>COUNTIFS(Inventory!$D2:$D1136,"="&amp;P86, Inventory!$J2:$J1136,"Closed")</f>
        <v>8</v>
      </c>
      <c r="Q90" s="20">
        <f>COUNTIFS(Inventory!$D2:$D1136,"="&amp;Q86, Inventory!$J2:$J1136,"Closed")</f>
        <v>7</v>
      </c>
      <c r="R90" s="20">
        <f>COUNTIFS(Inventory!$D2:$D1136,"="&amp;R86, Inventory!$J2:$J1136,"Closed")</f>
        <v>10</v>
      </c>
      <c r="S90" s="20">
        <f>COUNTIFS(Inventory!$D2:$D1136,"="&amp;S86, Inventory!$J2:$J1136,"Closed")</f>
        <v>8</v>
      </c>
      <c r="T90" s="20">
        <f>COUNTIFS(Inventory!$D2:$D1136,"="&amp;T86, Inventory!$J2:$J1136,"Closed")</f>
        <v>9</v>
      </c>
      <c r="U90" s="20">
        <f>COUNTIFS(Inventory!$D2:$D1136,"="&amp;U86, Inventory!$J2:$J1136,"Closed")</f>
        <v>11</v>
      </c>
      <c r="V90" s="20">
        <f>COUNTIFS(Inventory!$D2:$D1136,"="&amp;V86, Inventory!$J2:$J1136,"Closed")</f>
        <v>12</v>
      </c>
      <c r="W90" s="20">
        <f>COUNTIFS(Inventory!$D2:$D1136,"="&amp;W86, Inventory!$J2:$J1136,"Closed")</f>
        <v>6</v>
      </c>
      <c r="X90" s="20">
        <f>COUNTIFS(Inventory!$D2:$D1136,"="&amp;X86, Inventory!$J2:$J1136,"Closed")</f>
        <v>5</v>
      </c>
      <c r="Y90" s="20">
        <f>COUNTIFS(Inventory!$D2:$D1136,"="&amp;Y86, Inventory!$J2:$J1136,"Closed")</f>
        <v>0</v>
      </c>
      <c r="Z90" s="20">
        <f>COUNTIFS(Inventory!$D2:$D1136,"="&amp;Z86, Inventory!$J2:$J1136,"Closed")</f>
        <v>3</v>
      </c>
      <c r="AA90" s="20">
        <f>COUNTIFS(Inventory!$D2:$D1136,"="&amp;AA86, Inventory!$J2:$J1136,"Closed")</f>
        <v>2</v>
      </c>
      <c r="AB90" s="20">
        <f>COUNTIFS(Inventory!$D2:$D1136,"="&amp;AB86, Inventory!$J2:$J1136,"Closed")</f>
        <v>2</v>
      </c>
      <c r="AC90" s="20">
        <f>COUNTIFS(Inventory!$D2:$D1136,"="&amp;AC86, Inventory!$J2:$J1136,"Closed")</f>
        <v>0</v>
      </c>
      <c r="AD90" s="20">
        <f>COUNTIFS(Inventory!$D2:$D1136,"="&amp;AD86, Inventory!$J2:$J1136,"Closed")</f>
        <v>1</v>
      </c>
      <c r="AE90" s="20">
        <f>COUNTIFS(Inventory!$D2:$D1136,"="&amp;AE86, Inventory!$J2:$J1136,"Closed")</f>
        <v>1</v>
      </c>
      <c r="AG90" s="20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</row>
    <row r="91" hidden="1" outlineLevel="1">
      <c r="A91" s="253" t="s">
        <v>10205</v>
      </c>
      <c r="B91" s="255">
        <v>44743.0</v>
      </c>
      <c r="C91" s="255">
        <v>44744.0</v>
      </c>
      <c r="D91" s="255">
        <v>44745.0</v>
      </c>
      <c r="E91" s="255">
        <v>44746.0</v>
      </c>
      <c r="F91" s="255">
        <v>44747.0</v>
      </c>
      <c r="G91" s="255">
        <v>44748.0</v>
      </c>
      <c r="H91" s="255">
        <v>44749.0</v>
      </c>
      <c r="I91" s="255">
        <v>44750.0</v>
      </c>
      <c r="J91" s="255">
        <v>44751.0</v>
      </c>
      <c r="K91" s="255">
        <v>44752.0</v>
      </c>
      <c r="L91" s="255">
        <v>44753.0</v>
      </c>
      <c r="M91" s="255">
        <v>44754.0</v>
      </c>
      <c r="N91" s="255">
        <v>44755.0</v>
      </c>
      <c r="O91" s="255">
        <v>44756.0</v>
      </c>
      <c r="P91" s="255">
        <v>44757.0</v>
      </c>
      <c r="Q91" s="255">
        <v>44758.0</v>
      </c>
      <c r="R91" s="255">
        <v>44759.0</v>
      </c>
      <c r="S91" s="255">
        <v>44760.0</v>
      </c>
      <c r="T91" s="255">
        <v>44761.0</v>
      </c>
      <c r="U91" s="255">
        <v>44762.0</v>
      </c>
      <c r="V91" s="255">
        <v>44763.0</v>
      </c>
      <c r="W91" s="255">
        <v>44764.0</v>
      </c>
      <c r="X91" s="255">
        <v>44765.0</v>
      </c>
      <c r="Y91" s="255">
        <v>44766.0</v>
      </c>
      <c r="Z91" s="255">
        <v>44767.0</v>
      </c>
      <c r="AA91" s="255">
        <v>44768.0</v>
      </c>
      <c r="AB91" s="255">
        <v>44769.0</v>
      </c>
      <c r="AC91" s="255">
        <v>44770.0</v>
      </c>
      <c r="AD91" s="255">
        <v>44771.0</v>
      </c>
      <c r="AE91" s="255">
        <v>44772.0</v>
      </c>
      <c r="AF91" s="255">
        <v>44773.0</v>
      </c>
      <c r="AG91" s="20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</row>
    <row r="92" hidden="1" outlineLevel="2">
      <c r="A92" s="256" t="s">
        <v>9</v>
      </c>
      <c r="B92" s="20">
        <f>SUMIF(Inventory!$D2:$D1136,"="&amp;B91, Inventory!$F2:$F1136)</f>
        <v>8.99</v>
      </c>
      <c r="C92" s="20">
        <f>SUMIF(Inventory!$D2:$D1136,"="&amp;C91, Inventory!$F2:$F1136)</f>
        <v>10.09</v>
      </c>
      <c r="D92" s="20">
        <f>SUMIF(Inventory!$D2:$D1136,"="&amp;D91, Inventory!$F2:$F1136)</f>
        <v>3.31</v>
      </c>
      <c r="E92" s="20">
        <f>SUMIF(Inventory!$D2:$D1136,"="&amp;E91, Inventory!$F2:$F1136)</f>
        <v>10.06</v>
      </c>
      <c r="F92" s="20">
        <f>SUMIF(Inventory!$D2:$D1136,"="&amp;F91, Inventory!$F2:$F1136)</f>
        <v>7.56</v>
      </c>
      <c r="G92" s="20">
        <f>SUMIF(Inventory!$D2:$D1136,"="&amp;G91, Inventory!$F2:$F1136)</f>
        <v>0.26</v>
      </c>
      <c r="H92" s="20">
        <f>SUMIF(Inventory!$D2:$D1136,"="&amp;H91, Inventory!$F2:$F1136)</f>
        <v>12.9</v>
      </c>
      <c r="I92" s="20">
        <f>SUMIF(Inventory!$D2:$D1136,"="&amp;I91, Inventory!$F2:$F1136)</f>
        <v>20.83</v>
      </c>
      <c r="J92" s="20">
        <f>SUMIF(Inventory!$D2:$D1136,"="&amp;J91, Inventory!$F2:$F1136)</f>
        <v>96.73</v>
      </c>
      <c r="K92" s="20">
        <f>SUMIF(Inventory!$D2:$D1136,"="&amp;K91, Inventory!$F2:$F1136)</f>
        <v>14.06</v>
      </c>
      <c r="L92" s="20">
        <f>SUMIF(Inventory!$D2:$D1136,"="&amp;L91, Inventory!$F2:$F1136)</f>
        <v>58.17</v>
      </c>
      <c r="M92" s="20">
        <f>SUMIF(Inventory!$D2:$D1136,"="&amp;M91, Inventory!$F2:$F1136)</f>
        <v>147.47</v>
      </c>
      <c r="N92" s="20">
        <f>SUMIF(Inventory!$D2:$D1136,"="&amp;N91, Inventory!$F2:$F1136)</f>
        <v>15.67</v>
      </c>
      <c r="O92" s="20">
        <f>SUMIF(Inventory!$D2:$D1136,"="&amp;O91, Inventory!$F2:$F1136)</f>
        <v>11.82</v>
      </c>
      <c r="P92" s="20">
        <f>SUMIF(Inventory!$D2:$D1136,"="&amp;P91, Inventory!$F2:$F1136)</f>
        <v>33.16</v>
      </c>
      <c r="Q92" s="20">
        <f>SUMIF(Inventory!$D2:$D1136,"="&amp;Q91, Inventory!$F2:$F1136)</f>
        <v>0</v>
      </c>
      <c r="R92" s="20">
        <f>SUMIF(Inventory!$D2:$D1136,"="&amp;R91, Inventory!$F2:$F1136)</f>
        <v>39.65</v>
      </c>
      <c r="S92" s="20">
        <f>SUMIF(Inventory!$D2:$D1136,"="&amp;S91, Inventory!$F2:$F1136)</f>
        <v>8.6</v>
      </c>
      <c r="T92" s="20">
        <f>SUMIF(Inventory!$D2:$D1136,"="&amp;T91, Inventory!$F2:$F1136)</f>
        <v>29.1</v>
      </c>
      <c r="U92" s="20">
        <f>SUMIF(Inventory!$D2:$D1136,"="&amp;U91, Inventory!$F2:$F1136)</f>
        <v>42.73</v>
      </c>
      <c r="V92" s="20">
        <f>SUMIF(Inventory!$D2:$D1136,"="&amp;V91, Inventory!$F2:$F1136)</f>
        <v>5.17</v>
      </c>
      <c r="W92" s="20">
        <f>SUMIF(Inventory!$D2:$D1136,"="&amp;W91, Inventory!$F2:$F1136)</f>
        <v>56.77</v>
      </c>
      <c r="X92" s="20">
        <f>SUMIF(Inventory!$D2:$D1136,"="&amp;X91, Inventory!$F2:$F1136)</f>
        <v>26.91</v>
      </c>
      <c r="Y92" s="20">
        <f>SUMIF(Inventory!$D2:$D1136,"="&amp;Y91, Inventory!$F2:$F1136)</f>
        <v>4.79</v>
      </c>
      <c r="Z92" s="20">
        <f>SUMIF(Inventory!$D2:$D1136,"="&amp;Z91, Inventory!$F2:$F1136)</f>
        <v>10.72</v>
      </c>
      <c r="AA92" s="20">
        <f>SUMIF(Inventory!$D2:$D1136,"="&amp;AA91, Inventory!$F2:$F1136)</f>
        <v>1.34</v>
      </c>
      <c r="AB92" s="20">
        <f>SUMIF(Inventory!$D2:$D1136,"="&amp;AB91, Inventory!$F2:$F1136)</f>
        <v>0</v>
      </c>
      <c r="AC92" s="20">
        <f>SUMIF(Inventory!$D2:$D1136,"="&amp;AC91, Inventory!$F2:$F1136)</f>
        <v>71.11</v>
      </c>
      <c r="AD92" s="20">
        <f>SUMIF(Inventory!$D2:$D1136,"="&amp;AD91, Inventory!$F2:$F1136)</f>
        <v>2.78</v>
      </c>
      <c r="AE92" s="20">
        <f>SUMIF(Inventory!$D2:$D1136,"="&amp;AE91, Inventory!$F2:$F1136)</f>
        <v>12.89</v>
      </c>
      <c r="AF92" s="20">
        <f>SUMIF(Inventory!$D2:$D1136,"="&amp;AF91, Inventory!$F2:$F1136)</f>
        <v>20.28</v>
      </c>
      <c r="AG92" s="20">
        <f t="shared" ref="AG92:AG94" si="39">SUM(B92:AF92)</f>
        <v>783.92</v>
      </c>
      <c r="AH92" s="21">
        <f t="shared" ref="AH92:AH94" si="40">AVERAGE(B92:AF92)</f>
        <v>25.28774194</v>
      </c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</row>
    <row r="93" hidden="1" outlineLevel="2">
      <c r="A93" s="256" t="s">
        <v>10</v>
      </c>
      <c r="B93" s="20">
        <f>SUMIF(Inventory!$D2:$D1136,"="&amp;B91, Inventory!$E2:$E1136)</f>
        <v>6.49</v>
      </c>
      <c r="C93" s="20">
        <f>SUMIF(Inventory!$D2:$D1136,"="&amp;C91, Inventory!$E2:$E1136)</f>
        <v>8.43</v>
      </c>
      <c r="D93" s="20">
        <f>SUMIF(Inventory!$D2:$D1136,"="&amp;D91, Inventory!$E2:$E1136)</f>
        <v>2.92</v>
      </c>
      <c r="E93" s="20">
        <f>SUMIF(Inventory!$D2:$D1136,"="&amp;E91, Inventory!$E2:$E1136)</f>
        <v>8.54</v>
      </c>
      <c r="F93" s="20">
        <f>SUMIF(Inventory!$D2:$D1136,"="&amp;F91, Inventory!$E2:$E1136)</f>
        <v>7.43</v>
      </c>
      <c r="G93" s="20">
        <f>SUMIF(Inventory!$D2:$D1136,"="&amp;G91, Inventory!$E2:$E1136)</f>
        <v>6.2</v>
      </c>
      <c r="H93" s="20">
        <f>SUMIF(Inventory!$D2:$D1136,"="&amp;H91, Inventory!$E2:$E1136)</f>
        <v>12.91</v>
      </c>
      <c r="I93" s="20">
        <f>SUMIF(Inventory!$D2:$D1136,"="&amp;I91, Inventory!$E2:$E1136)</f>
        <v>15.97</v>
      </c>
      <c r="J93" s="20">
        <f>SUMIF(Inventory!$D2:$D1136,"="&amp;J91, Inventory!$E2:$E1136)</f>
        <v>80.1</v>
      </c>
      <c r="K93" s="20">
        <f>SUMIF(Inventory!$D2:$D1136,"="&amp;K91, Inventory!$E2:$E1136)</f>
        <v>11.79</v>
      </c>
      <c r="L93" s="20">
        <f>SUMIF(Inventory!$D2:$D1136,"="&amp;L91, Inventory!$E2:$E1136)</f>
        <v>44.81</v>
      </c>
      <c r="M93" s="20">
        <f>SUMIF(Inventory!$D2:$D1136,"="&amp;M91, Inventory!$E2:$E1136)</f>
        <v>115.39</v>
      </c>
      <c r="N93" s="20">
        <f>SUMIF(Inventory!$D2:$D1136,"="&amp;N91, Inventory!$E2:$E1136)</f>
        <v>9.28</v>
      </c>
      <c r="O93" s="20">
        <f>SUMIF(Inventory!$D2:$D1136,"="&amp;O91, Inventory!$E2:$E1136)</f>
        <v>9.39</v>
      </c>
      <c r="P93" s="20">
        <f>SUMIF(Inventory!$D2:$D1136,"="&amp;P91, Inventory!$E2:$E1136)</f>
        <v>28.29</v>
      </c>
      <c r="Q93" s="20">
        <f>SUMIF(Inventory!$D2:$D1136,"="&amp;Q91, Inventory!$E2:$E1136)</f>
        <v>0</v>
      </c>
      <c r="R93" s="20">
        <f>SUMIF(Inventory!$D2:$D1136,"="&amp;R91, Inventory!$E2:$E1136)</f>
        <v>29.37</v>
      </c>
      <c r="S93" s="20">
        <f>SUMIF(Inventory!$D2:$D1136,"="&amp;S91, Inventory!$E2:$E1136)</f>
        <v>7.09</v>
      </c>
      <c r="T93" s="20">
        <f>SUMIF(Inventory!$D2:$D1136,"="&amp;T91, Inventory!$E2:$E1136)</f>
        <v>19.14</v>
      </c>
      <c r="U93" s="20">
        <f>SUMIF(Inventory!$D2:$D1136,"="&amp;U91, Inventory!$E2:$E1136)</f>
        <v>36.48</v>
      </c>
      <c r="V93" s="20">
        <f>SUMIF(Inventory!$D2:$D1136,"="&amp;V91, Inventory!$E2:$E1136)</f>
        <v>3.17</v>
      </c>
      <c r="W93" s="20">
        <f>SUMIF(Inventory!$D2:$D1136,"="&amp;W91, Inventory!$E2:$E1136)</f>
        <v>47.92</v>
      </c>
      <c r="X93" s="20">
        <f>SUMIF(Inventory!$D2:$D1136,"="&amp;X91, Inventory!$E2:$E1136)</f>
        <v>20.84</v>
      </c>
      <c r="Y93" s="20">
        <f>SUMIF(Inventory!$D2:$D1136,"="&amp;Y91, Inventory!$E2:$E1136)</f>
        <v>3.18</v>
      </c>
      <c r="Z93" s="20">
        <f>SUMIF(Inventory!$D2:$D1136,"="&amp;Z91, Inventory!$E2:$E1136)</f>
        <v>6.4</v>
      </c>
      <c r="AA93" s="20">
        <f>SUMIF(Inventory!$D2:$D1136,"="&amp;AA91, Inventory!$E2:$E1136)</f>
        <v>1</v>
      </c>
      <c r="AB93" s="20">
        <f>SUMIF(Inventory!$D2:$D1136,"="&amp;AB91, Inventory!$E2:$E1136)</f>
        <v>0</v>
      </c>
      <c r="AC93" s="20">
        <f>SUMIF(Inventory!$D2:$D1136,"="&amp;AC91, Inventory!$E2:$E1136)</f>
        <v>59</v>
      </c>
      <c r="AD93" s="20">
        <f>SUMIF(Inventory!$D2:$D1136,"="&amp;AD91, Inventory!$E2:$E1136)</f>
        <v>1.6</v>
      </c>
      <c r="AE93" s="20">
        <f>SUMIF(Inventory!$D2:$D1136,"="&amp;AE91, Inventory!$E2:$E1136)</f>
        <v>12.51</v>
      </c>
      <c r="AF93" s="20">
        <f>SUMIF(Inventory!$D2:$D1136,"="&amp;AF91, Inventory!$E2:$E1136)</f>
        <v>18.77</v>
      </c>
      <c r="AG93" s="20">
        <f t="shared" si="39"/>
        <v>634.41</v>
      </c>
      <c r="AH93" s="21">
        <f t="shared" si="40"/>
        <v>20.46483871</v>
      </c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</row>
    <row r="94" hidden="1" outlineLevel="2">
      <c r="A94" s="256" t="s">
        <v>11</v>
      </c>
      <c r="B94" s="20">
        <f>SUMIF(Inventory!$D2:$D1136,"="&amp;B91, Inventory!$G2:$G1136)</f>
        <v>2.5</v>
      </c>
      <c r="C94" s="20">
        <f>SUMIF(Inventory!$D2:$D1136,"="&amp;C91, Inventory!$G2:$G1136)</f>
        <v>1.66</v>
      </c>
      <c r="D94" s="20">
        <f>SUMIF(Inventory!$D2:$D1136,"="&amp;D91, Inventory!$G2:$G1136)</f>
        <v>0.39</v>
      </c>
      <c r="E94" s="20">
        <f>SUMIF(Inventory!$D2:$D1136,"="&amp;E91, Inventory!$G2:$G1136)</f>
        <v>1.52</v>
      </c>
      <c r="F94" s="20">
        <f>SUMIF(Inventory!$D2:$D1136,"="&amp;F91, Inventory!$G2:$G1136)</f>
        <v>0.13</v>
      </c>
      <c r="G94" s="20">
        <f>SUMIF(Inventory!$D2:$D1136,"="&amp;G91, Inventory!$G2:$G1136)</f>
        <v>-5.94</v>
      </c>
      <c r="H94" s="20">
        <f>SUMIF(Inventory!$D2:$D1136,"="&amp;H91, Inventory!$G2:$G1136)</f>
        <v>-0.01</v>
      </c>
      <c r="I94" s="20">
        <f>SUMIF(Inventory!$D2:$D1136,"="&amp;I91, Inventory!$G2:$G1136)</f>
        <v>4.86</v>
      </c>
      <c r="J94" s="20">
        <f>SUMIF(Inventory!$D2:$D1136,"="&amp;J91, Inventory!$G2:$G1136)</f>
        <v>16.63</v>
      </c>
      <c r="K94" s="20">
        <f>SUMIF(Inventory!$D2:$D1136,"="&amp;K91, Inventory!$G2:$G1136)</f>
        <v>2.27</v>
      </c>
      <c r="L94" s="20">
        <f>SUMIF(Inventory!$D2:$D1136,"="&amp;L91, Inventory!$G2:$G1136)</f>
        <v>13.36</v>
      </c>
      <c r="M94" s="20">
        <f>SUMIF(Inventory!$D2:$D1136,"="&amp;M91, Inventory!$G2:$G1136)</f>
        <v>32.08</v>
      </c>
      <c r="N94" s="20">
        <f>SUMIF(Inventory!$D2:$D1136,"="&amp;N91, Inventory!$G2:$G1136)</f>
        <v>6.39</v>
      </c>
      <c r="O94" s="20">
        <f>SUMIF(Inventory!$D2:$D1136,"="&amp;O91, Inventory!$G2:$G1136)</f>
        <v>2.43</v>
      </c>
      <c r="P94" s="20">
        <f>SUMIF(Inventory!$D2:$D1136,"="&amp;P91, Inventory!$G2:$G1136)</f>
        <v>4.87</v>
      </c>
      <c r="Q94" s="20">
        <f>SUMIF(Inventory!$D2:$D1136,"="&amp;Q91, Inventory!$G2:$G1136)</f>
        <v>0</v>
      </c>
      <c r="R94" s="20">
        <f>SUMIF(Inventory!$D2:$D1136,"="&amp;R91, Inventory!$G2:$G1136)</f>
        <v>10.28</v>
      </c>
      <c r="S94" s="20">
        <f>SUMIF(Inventory!$D2:$D1136,"="&amp;S91, Inventory!$G2:$G1136)</f>
        <v>1.51</v>
      </c>
      <c r="T94" s="20">
        <f>SUMIF(Inventory!$D2:$D1136,"="&amp;T91, Inventory!$G2:$G1136)</f>
        <v>9.96</v>
      </c>
      <c r="U94" s="20">
        <f>SUMIF(Inventory!$D2:$D1136,"="&amp;U91, Inventory!$G2:$G1136)</f>
        <v>6.25</v>
      </c>
      <c r="V94" s="20">
        <f>SUMIF(Inventory!$D2:$D1136,"="&amp;V91, Inventory!$G2:$G1136)</f>
        <v>2</v>
      </c>
      <c r="W94" s="20">
        <f>SUMIF(Inventory!$D2:$D1136,"="&amp;W91, Inventory!$G2:$G1136)</f>
        <v>8.85</v>
      </c>
      <c r="X94" s="20">
        <f>SUMIF(Inventory!$D2:$D1136,"="&amp;X91, Inventory!$G2:$G1136)</f>
        <v>6.07</v>
      </c>
      <c r="Y94" s="20">
        <f>SUMIF(Inventory!$D2:$D1136,"="&amp;Y91, Inventory!$G2:$G1136)</f>
        <v>1.61</v>
      </c>
      <c r="Z94" s="20">
        <f>SUMIF(Inventory!$D2:$D1136,"="&amp;Z91, Inventory!$G2:$G1136)</f>
        <v>4.32</v>
      </c>
      <c r="AA94" s="20">
        <f>SUMIF(Inventory!$D2:$D1136,"="&amp;AA91, Inventory!$G2:$G1136)</f>
        <v>0.34</v>
      </c>
      <c r="AB94" s="20">
        <f>SUMIF(Inventory!$D2:$D1136,"="&amp;AB91, Inventory!$G2:$G1136)</f>
        <v>0</v>
      </c>
      <c r="AC94" s="20">
        <f>SUMIF(Inventory!$D2:$D1136,"="&amp;AC91, Inventory!$G2:$G1136)</f>
        <v>12.11</v>
      </c>
      <c r="AD94" s="20">
        <f>SUMIF(Inventory!$D2:$D1136,"="&amp;AD91, Inventory!$G2:$G1136)</f>
        <v>1.18</v>
      </c>
      <c r="AE94" s="20">
        <f>SUMIF(Inventory!$D2:$D1136,"="&amp;AE91, Inventory!$G2:$G1136)</f>
        <v>0.38</v>
      </c>
      <c r="AF94" s="20">
        <f>SUMIF(Inventory!$D2:$D1136,"="&amp;AF91, Inventory!$G2:$G1136)</f>
        <v>1.51</v>
      </c>
      <c r="AG94" s="20">
        <f t="shared" si="39"/>
        <v>149.51</v>
      </c>
      <c r="AH94" s="21">
        <f t="shared" si="40"/>
        <v>4.822903226</v>
      </c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</row>
    <row r="95" hidden="1" outlineLevel="2">
      <c r="A95" s="256" t="s">
        <v>10566</v>
      </c>
      <c r="B95" s="20">
        <f>COUNTIFS(Inventory!$D2:$D1136,"="&amp;B91, Inventory!$J2:$J1136,"Closed")</f>
        <v>1</v>
      </c>
      <c r="C95" s="20">
        <f>COUNTIFS(Inventory!$D2:$D1136,"="&amp;C91, Inventory!$J2:$J1136,"Closed")</f>
        <v>1</v>
      </c>
      <c r="D95" s="20">
        <f>COUNTIFS(Inventory!$D2:$D1136,"="&amp;D91, Inventory!$J2:$J1136,"Closed")</f>
        <v>1</v>
      </c>
      <c r="E95" s="20">
        <f>COUNTIFS(Inventory!$D2:$D1136,"="&amp;E91, Inventory!$J2:$J1136,"Closed")</f>
        <v>1</v>
      </c>
      <c r="F95" s="20">
        <f>COUNTIFS(Inventory!$D2:$D1136,"="&amp;F91, Inventory!$J2:$J1136,"Closed")</f>
        <v>1</v>
      </c>
      <c r="G95" s="20">
        <f>COUNTIFS(Inventory!$D2:$D1136,"="&amp;G91, Inventory!$J2:$J1136,"Closed")</f>
        <v>2</v>
      </c>
      <c r="H95" s="20">
        <f>COUNTIFS(Inventory!$D2:$D1136,"="&amp;H91, Inventory!$J2:$J1136,"Closed")</f>
        <v>1</v>
      </c>
      <c r="I95" s="20">
        <f>COUNTIFS(Inventory!$D2:$D1136,"="&amp;I91, Inventory!$J2:$J1136,"Closed")</f>
        <v>1</v>
      </c>
      <c r="J95" s="20">
        <f>COUNTIFS(Inventory!$D2:$D1136,"="&amp;J91, Inventory!$J2:$J1136,"Closed")</f>
        <v>7</v>
      </c>
      <c r="K95" s="20">
        <f>COUNTIFS(Inventory!$D2:$D1136,"="&amp;K91, Inventory!$J2:$J1136,"Closed")</f>
        <v>1</v>
      </c>
      <c r="L95" s="20">
        <f>COUNTIFS(Inventory!$D2:$D1136,"="&amp;L91, Inventory!$J2:$J1136,"Closed")</f>
        <v>4</v>
      </c>
      <c r="M95" s="20">
        <f>COUNTIFS(Inventory!$D2:$D1136,"="&amp;M91, Inventory!$J2:$J1136,"Closed")</f>
        <v>8</v>
      </c>
      <c r="N95" s="20">
        <f>COUNTIFS(Inventory!$D2:$D1136,"="&amp;N91, Inventory!$J2:$J1136,"Closed")</f>
        <v>1</v>
      </c>
      <c r="O95" s="20">
        <f>COUNTIFS(Inventory!$D2:$D1136,"="&amp;O91, Inventory!$J2:$J1136,"Closed")</f>
        <v>1</v>
      </c>
      <c r="P95" s="20">
        <f>COUNTIFS(Inventory!$D2:$D1136,"="&amp;P91, Inventory!$J2:$J1136,"Closed")</f>
        <v>1</v>
      </c>
      <c r="Q95" s="20">
        <f>COUNTIFS(Inventory!$D2:$D1136,"="&amp;Q91, Inventory!$J2:$J1136,"Closed")</f>
        <v>0</v>
      </c>
      <c r="R95" s="20">
        <f>COUNTIFS(Inventory!$D2:$D1136,"="&amp;R91, Inventory!$J2:$J1136,"Closed")</f>
        <v>4</v>
      </c>
      <c r="S95" s="20">
        <f>COUNTIFS(Inventory!$D2:$D1136,"="&amp;S91, Inventory!$J2:$J1136,"Closed")</f>
        <v>1</v>
      </c>
      <c r="T95" s="20">
        <f>COUNTIFS(Inventory!$D2:$D1136,"="&amp;T91, Inventory!$J2:$J1136,"Closed")</f>
        <v>6</v>
      </c>
      <c r="U95" s="20">
        <f>COUNTIFS(Inventory!$D2:$D1136,"="&amp;U91, Inventory!$J2:$J1136,"Closed")</f>
        <v>2</v>
      </c>
      <c r="V95" s="20">
        <f>COUNTIFS(Inventory!$D2:$D1136,"="&amp;V91, Inventory!$J2:$J1136,"Closed")</f>
        <v>1</v>
      </c>
      <c r="W95" s="20">
        <f>COUNTIFS(Inventory!$D2:$D1136,"="&amp;W91, Inventory!$J2:$J1136,"Closed")</f>
        <v>4</v>
      </c>
      <c r="X95" s="20">
        <f>COUNTIFS(Inventory!$D2:$D1136,"="&amp;X91, Inventory!$J2:$J1136,"Closed")</f>
        <v>4</v>
      </c>
      <c r="Y95" s="20">
        <f>COUNTIFS(Inventory!$D2:$D1136,"="&amp;Y91, Inventory!$J2:$J1136,"Closed")</f>
        <v>1</v>
      </c>
      <c r="Z95" s="20">
        <f>COUNTIFS(Inventory!$D2:$D1136,"="&amp;Z91, Inventory!$J2:$J1136,"Closed")</f>
        <v>1</v>
      </c>
      <c r="AA95" s="20">
        <f>COUNTIFS(Inventory!$D2:$D1136,"="&amp;AA91, Inventory!$J2:$J1136,"Closed")</f>
        <v>1</v>
      </c>
      <c r="AB95" s="20">
        <f>COUNTIFS(Inventory!$D2:$D1136,"="&amp;AB91, Inventory!$J2:$J1136,"Closed")</f>
        <v>0</v>
      </c>
      <c r="AC95" s="20">
        <f>COUNTIFS(Inventory!$D2:$D1136,"="&amp;AC91, Inventory!$J2:$J1136,"Closed")</f>
        <v>3</v>
      </c>
      <c r="AD95" s="20">
        <f>COUNTIFS(Inventory!$D2:$D1136,"="&amp;AD91, Inventory!$J2:$J1136,"Closed")</f>
        <v>2</v>
      </c>
      <c r="AE95" s="20">
        <f>COUNTIFS(Inventory!$D2:$D1136,"="&amp;AE91, Inventory!$J2:$J1136,"Closed")</f>
        <v>2</v>
      </c>
      <c r="AF95" s="20">
        <f>COUNTIFS(Inventory!$D2:$D1136,"="&amp;AF91, Inventory!$J2:$J1136,"Closed")</f>
        <v>2</v>
      </c>
      <c r="AG95" s="20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</row>
    <row r="96" hidden="1" outlineLevel="1">
      <c r="A96" s="253" t="s">
        <v>10206</v>
      </c>
      <c r="B96" s="255">
        <v>44774.0</v>
      </c>
      <c r="C96" s="255">
        <v>44775.0</v>
      </c>
      <c r="D96" s="255">
        <v>44776.0</v>
      </c>
      <c r="E96" s="255">
        <v>44777.0</v>
      </c>
      <c r="F96" s="255">
        <v>44778.0</v>
      </c>
      <c r="G96" s="255">
        <v>44779.0</v>
      </c>
      <c r="H96" s="255">
        <v>44780.0</v>
      </c>
      <c r="I96" s="255">
        <v>44781.0</v>
      </c>
      <c r="J96" s="255">
        <v>44782.0</v>
      </c>
      <c r="K96" s="255">
        <v>44783.0</v>
      </c>
      <c r="L96" s="255">
        <v>44784.0</v>
      </c>
      <c r="M96" s="255">
        <v>44785.0</v>
      </c>
      <c r="N96" s="255">
        <v>44786.0</v>
      </c>
      <c r="O96" s="255">
        <v>44787.0</v>
      </c>
      <c r="P96" s="255">
        <v>44788.0</v>
      </c>
      <c r="Q96" s="255">
        <v>44789.0</v>
      </c>
      <c r="R96" s="255">
        <v>44790.0</v>
      </c>
      <c r="S96" s="255">
        <v>44791.0</v>
      </c>
      <c r="T96" s="255">
        <v>44792.0</v>
      </c>
      <c r="U96" s="255">
        <v>44793.0</v>
      </c>
      <c r="V96" s="255">
        <v>44794.0</v>
      </c>
      <c r="W96" s="255">
        <v>44795.0</v>
      </c>
      <c r="X96" s="255">
        <v>44796.0</v>
      </c>
      <c r="Y96" s="255">
        <v>44797.0</v>
      </c>
      <c r="Z96" s="255">
        <v>44798.0</v>
      </c>
      <c r="AA96" s="255">
        <v>44799.0</v>
      </c>
      <c r="AB96" s="255">
        <v>44800.0</v>
      </c>
      <c r="AC96" s="255">
        <v>44801.0</v>
      </c>
      <c r="AD96" s="255">
        <v>44802.0</v>
      </c>
      <c r="AE96" s="255">
        <v>44803.0</v>
      </c>
      <c r="AF96" s="255">
        <v>44804.0</v>
      </c>
      <c r="AG96" s="20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</row>
    <row r="97" hidden="1" outlineLevel="2">
      <c r="A97" s="256" t="s">
        <v>9</v>
      </c>
      <c r="B97" s="20">
        <f>SUMIF(Inventory!$D2:$D1136,"="&amp;B96, Inventory!$F2:$F1136)</f>
        <v>30.11</v>
      </c>
      <c r="C97" s="20">
        <f>SUMIF(Inventory!$D2:$D1136,"="&amp;C96, Inventory!$F2:$F1136)</f>
        <v>18.33</v>
      </c>
      <c r="D97" s="20">
        <f>SUMIF(Inventory!$D2:$D1136,"="&amp;D96, Inventory!$F2:$F1136)</f>
        <v>34.47</v>
      </c>
      <c r="E97" s="20">
        <f>SUMIF(Inventory!$D2:$D1136,"="&amp;E96, Inventory!$F2:$F1136)</f>
        <v>0</v>
      </c>
      <c r="F97" s="20">
        <f>SUMIF(Inventory!$D2:$D1136,"="&amp;F96, Inventory!$F2:$F1136)</f>
        <v>24.45</v>
      </c>
      <c r="G97" s="20">
        <f>SUMIF(Inventory!$D2:$D1136,"="&amp;G96, Inventory!$F2:$F1136)</f>
        <v>128.12</v>
      </c>
      <c r="H97" s="20">
        <f>SUMIF(Inventory!$D2:$D1136,"="&amp;H96, Inventory!$F2:$F1136)</f>
        <v>95.8</v>
      </c>
      <c r="I97" s="20">
        <f>SUMIF(Inventory!$D2:$D1136,"="&amp;I96, Inventory!$F2:$F1136)</f>
        <v>86.77</v>
      </c>
      <c r="J97" s="20">
        <f>SUMIF(Inventory!$D2:$D1136,"="&amp;J96, Inventory!$F2:$F1136)</f>
        <v>0</v>
      </c>
      <c r="K97" s="20">
        <f>SUMIF(Inventory!$D2:$D1136,"="&amp;K96, Inventory!$F2:$F1136)</f>
        <v>17.63</v>
      </c>
      <c r="L97" s="20">
        <f>SUMIF(Inventory!$D2:$D1136,"="&amp;L96, Inventory!$F2:$F1136)</f>
        <v>3.92</v>
      </c>
      <c r="M97" s="20">
        <f>SUMIF(Inventory!$D2:$D1136,"="&amp;M96, Inventory!$F2:$F1136)</f>
        <v>34.97</v>
      </c>
      <c r="N97" s="20">
        <f>SUMIF(Inventory!$D2:$D1136,"="&amp;N96, Inventory!$F2:$F1136)</f>
        <v>86.24</v>
      </c>
      <c r="O97" s="20">
        <f>SUMIF(Inventory!$D2:$D1136,"="&amp;O96, Inventory!$F2:$F1136)</f>
        <v>58.17</v>
      </c>
      <c r="P97" s="20">
        <f>SUMIF(Inventory!$D2:$D1136,"="&amp;P96, Inventory!$F2:$F1136)</f>
        <v>45.1</v>
      </c>
      <c r="Q97" s="20">
        <f>SUMIF(Inventory!$D2:$D1136,"="&amp;Q96, Inventory!$F2:$F1136)</f>
        <v>47.04</v>
      </c>
      <c r="R97" s="20">
        <f>SUMIF(Inventory!$D2:$D1136,"="&amp;R96, Inventory!$F2:$F1136)</f>
        <v>49.28</v>
      </c>
      <c r="S97" s="20">
        <f>SUMIF(Inventory!$D2:$D1136,"="&amp;S96, Inventory!$F2:$F1136)</f>
        <v>28.85</v>
      </c>
      <c r="T97" s="20">
        <f>SUMIF(Inventory!$D2:$D1136,"="&amp;T96, Inventory!$F2:$F1136)</f>
        <v>29.75</v>
      </c>
      <c r="U97" s="20">
        <f>SUMIF(Inventory!$D2:$D1136,"="&amp;U96, Inventory!$F2:$F1136)</f>
        <v>0</v>
      </c>
      <c r="V97" s="20">
        <f>SUMIF(Inventory!$D2:$D1136,"="&amp;V96, Inventory!$F2:$F1136)</f>
        <v>47.16</v>
      </c>
      <c r="W97" s="20">
        <f>SUMIF(Inventory!$D2:$D1136,"="&amp;W96, Inventory!$F2:$F1136)</f>
        <v>0</v>
      </c>
      <c r="X97" s="20">
        <f>SUMIF(Inventory!$D2:$D1136,"="&amp;X96, Inventory!$F2:$F1136)</f>
        <v>10.7</v>
      </c>
      <c r="Y97" s="20">
        <f>SUMIF(Inventory!$D2:$D1136,"="&amp;Y96, Inventory!$F2:$F1136)</f>
        <v>45.43</v>
      </c>
      <c r="Z97" s="20">
        <f>SUMIF(Inventory!$D2:$D1136,"="&amp;Z96, Inventory!$F2:$F1136)</f>
        <v>71.81</v>
      </c>
      <c r="AA97" s="20">
        <f>SUMIF(Inventory!$D2:$D1136,"="&amp;AA96, Inventory!$F2:$F1136)</f>
        <v>32.15</v>
      </c>
      <c r="AB97" s="20">
        <f>SUMIF(Inventory!$D2:$D1136,"="&amp;AB96, Inventory!$F2:$F1136)</f>
        <v>28.12</v>
      </c>
      <c r="AC97" s="20">
        <f>SUMIF(Inventory!$D2:$D1136,"="&amp;AC96, Inventory!$F2:$F1136)</f>
        <v>50.54</v>
      </c>
      <c r="AD97" s="20">
        <f>SUMIF(Inventory!$D2:$D1136,"="&amp;AD96, Inventory!$F2:$F1136)</f>
        <v>34.06</v>
      </c>
      <c r="AE97" s="20">
        <f>SUMIF(Inventory!$D2:$D1136,"="&amp;AE96, Inventory!$F2:$F1136)</f>
        <v>73.81</v>
      </c>
      <c r="AF97" s="20">
        <f>SUMIF(Inventory!$D2:$D1136,"="&amp;AF96, Inventory!$F2:$F1136)</f>
        <v>0</v>
      </c>
      <c r="AG97" s="20">
        <f t="shared" ref="AG97:AG99" si="41">SUM(B97:AF97)</f>
        <v>1212.78</v>
      </c>
      <c r="AH97" s="21">
        <f t="shared" ref="AH97:AH99" si="42">AVERAGE(B97:AF97)</f>
        <v>39.12193548</v>
      </c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</row>
    <row r="98" hidden="1" outlineLevel="2">
      <c r="A98" s="256" t="s">
        <v>10</v>
      </c>
      <c r="B98" s="20">
        <f>SUMIF(Inventory!$D2:$D1136,"="&amp;B96, Inventory!$E2:$E1136)</f>
        <v>28.89</v>
      </c>
      <c r="C98" s="20">
        <f>SUMIF(Inventory!$D2:$D1136,"="&amp;C96, Inventory!$E2:$E1136)</f>
        <v>14.4</v>
      </c>
      <c r="D98" s="20">
        <f>SUMIF(Inventory!$D2:$D1136,"="&amp;D96, Inventory!$E2:$E1136)</f>
        <v>28.69</v>
      </c>
      <c r="E98" s="20">
        <f>SUMIF(Inventory!$D2:$D1136,"="&amp;E96, Inventory!$E2:$E1136)</f>
        <v>0</v>
      </c>
      <c r="F98" s="20">
        <f>SUMIF(Inventory!$D2:$D1136,"="&amp;F96, Inventory!$E2:$E1136)</f>
        <v>13.24</v>
      </c>
      <c r="G98" s="20">
        <f>SUMIF(Inventory!$D2:$D1136,"="&amp;G96, Inventory!$E2:$E1136)</f>
        <v>60</v>
      </c>
      <c r="H98" s="20">
        <f>SUMIF(Inventory!$D2:$D1136,"="&amp;H96, Inventory!$E2:$E1136)</f>
        <v>60.6</v>
      </c>
      <c r="I98" s="20">
        <f>SUMIF(Inventory!$D2:$D1136,"="&amp;I96, Inventory!$E2:$E1136)</f>
        <v>48.98</v>
      </c>
      <c r="J98" s="20">
        <f>SUMIF(Inventory!$D2:$D1136,"="&amp;J96, Inventory!$E2:$E1136)</f>
        <v>0</v>
      </c>
      <c r="K98" s="20">
        <f>SUMIF(Inventory!$D2:$D1136,"="&amp;K96, Inventory!$E2:$E1136)</f>
        <v>8.25</v>
      </c>
      <c r="L98" s="20">
        <f>SUMIF(Inventory!$D2:$D1136,"="&amp;L96, Inventory!$E2:$E1136)</f>
        <v>5.18</v>
      </c>
      <c r="M98" s="20">
        <f>SUMIF(Inventory!$D2:$D1136,"="&amp;M96, Inventory!$E2:$E1136)</f>
        <v>25.24</v>
      </c>
      <c r="N98" s="20">
        <f>SUMIF(Inventory!$D2:$D1136,"="&amp;N96, Inventory!$E2:$E1136)</f>
        <v>68.07</v>
      </c>
      <c r="O98" s="20">
        <f>SUMIF(Inventory!$D2:$D1136,"="&amp;O96, Inventory!$E2:$E1136)</f>
        <v>44.75</v>
      </c>
      <c r="P98" s="20">
        <f>SUMIF(Inventory!$D2:$D1136,"="&amp;P96, Inventory!$E2:$E1136)</f>
        <v>33.04</v>
      </c>
      <c r="Q98" s="20">
        <f>SUMIF(Inventory!$D2:$D1136,"="&amp;Q96, Inventory!$E2:$E1136)</f>
        <v>36.04</v>
      </c>
      <c r="R98" s="20">
        <f>SUMIF(Inventory!$D2:$D1136,"="&amp;R96, Inventory!$E2:$E1136)</f>
        <v>38.96</v>
      </c>
      <c r="S98" s="20">
        <f>SUMIF(Inventory!$D2:$D1136,"="&amp;S96, Inventory!$E2:$E1136)</f>
        <v>20.94</v>
      </c>
      <c r="T98" s="20">
        <f>SUMIF(Inventory!$D2:$D1136,"="&amp;T96, Inventory!$E2:$E1136)</f>
        <v>22.18</v>
      </c>
      <c r="U98" s="20">
        <f>SUMIF(Inventory!$D2:$D1136,"="&amp;U96, Inventory!$E2:$E1136)</f>
        <v>0</v>
      </c>
      <c r="V98" s="20">
        <f>SUMIF(Inventory!$D2:$D1136,"="&amp;V96, Inventory!$E2:$E1136)</f>
        <v>36.08</v>
      </c>
      <c r="W98" s="20">
        <f>SUMIF(Inventory!$D2:$D1136,"="&amp;W96, Inventory!$E2:$E1136)</f>
        <v>0</v>
      </c>
      <c r="X98" s="20">
        <f>SUMIF(Inventory!$D2:$D1136,"="&amp;X96, Inventory!$E2:$E1136)</f>
        <v>8.71</v>
      </c>
      <c r="Y98" s="20">
        <f>SUMIF(Inventory!$D2:$D1136,"="&amp;Y96, Inventory!$E2:$E1136)</f>
        <v>34.07</v>
      </c>
      <c r="Z98" s="20">
        <f>SUMIF(Inventory!$D2:$D1136,"="&amp;Z96, Inventory!$E2:$E1136)</f>
        <v>62.14</v>
      </c>
      <c r="AA98" s="20">
        <f>SUMIF(Inventory!$D2:$D1136,"="&amp;AA96, Inventory!$E2:$E1136)</f>
        <v>28.29</v>
      </c>
      <c r="AB98" s="20">
        <f>SUMIF(Inventory!$D2:$D1136,"="&amp;AB96, Inventory!$E2:$E1136)</f>
        <v>25.8</v>
      </c>
      <c r="AC98" s="20">
        <f>SUMIF(Inventory!$D2:$D1136,"="&amp;AC96, Inventory!$E2:$E1136)</f>
        <v>45.74</v>
      </c>
      <c r="AD98" s="20">
        <f>SUMIF(Inventory!$D2:$D1136,"="&amp;AD96, Inventory!$E2:$E1136)</f>
        <v>28.49</v>
      </c>
      <c r="AE98" s="20">
        <f>SUMIF(Inventory!$D2:$D1136,"="&amp;AE96, Inventory!$E2:$E1136)</f>
        <v>61.1</v>
      </c>
      <c r="AF98" s="20">
        <f>SUMIF(Inventory!$D2:$D1136,"="&amp;AF96, Inventory!$E2:$E1136)</f>
        <v>0</v>
      </c>
      <c r="AG98" s="20">
        <f t="shared" si="41"/>
        <v>887.87</v>
      </c>
      <c r="AH98" s="21">
        <f t="shared" si="42"/>
        <v>28.64096774</v>
      </c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</row>
    <row r="99" hidden="1" outlineLevel="2">
      <c r="A99" s="256" t="s">
        <v>11</v>
      </c>
      <c r="B99" s="20">
        <f>SUMIF(Inventory!$D2:$D1136,"="&amp;B96, Inventory!$G2:$G1136)</f>
        <v>1.22</v>
      </c>
      <c r="C99" s="20">
        <f>SUMIF(Inventory!$D2:$D1136,"="&amp;C96, Inventory!$G2:$G1136)</f>
        <v>3.93</v>
      </c>
      <c r="D99" s="20">
        <f>SUMIF(Inventory!$D2:$D1136,"="&amp;D96, Inventory!$G2:$G1136)</f>
        <v>5.78</v>
      </c>
      <c r="E99" s="20">
        <f>SUMIF(Inventory!$D2:$D1136,"="&amp;E96, Inventory!$G2:$G1136)</f>
        <v>0</v>
      </c>
      <c r="F99" s="20">
        <f>SUMIF(Inventory!$D2:$D1136,"="&amp;F96, Inventory!$G2:$G1136)</f>
        <v>11.21</v>
      </c>
      <c r="G99" s="20">
        <f>SUMIF(Inventory!$D2:$D1136,"="&amp;G96, Inventory!$G2:$G1136)</f>
        <v>68.12</v>
      </c>
      <c r="H99" s="20">
        <f>SUMIF(Inventory!$D2:$D1136,"="&amp;H96, Inventory!$G2:$G1136)</f>
        <v>35.2</v>
      </c>
      <c r="I99" s="20">
        <f>SUMIF(Inventory!$D2:$D1136,"="&amp;I96, Inventory!$G2:$G1136)</f>
        <v>37.79</v>
      </c>
      <c r="J99" s="20">
        <f>SUMIF(Inventory!$D2:$D1136,"="&amp;J96, Inventory!$G2:$G1136)</f>
        <v>0</v>
      </c>
      <c r="K99" s="20">
        <f>SUMIF(Inventory!$D2:$D1136,"="&amp;K96, Inventory!$G2:$G1136)</f>
        <v>9.38</v>
      </c>
      <c r="L99" s="20">
        <f>SUMIF(Inventory!$D2:$D1136,"="&amp;L96, Inventory!$G2:$G1136)</f>
        <v>-1.26</v>
      </c>
      <c r="M99" s="20">
        <f>SUMIF(Inventory!$D2:$D1136,"="&amp;M96, Inventory!$G2:$G1136)</f>
        <v>9.73</v>
      </c>
      <c r="N99" s="20">
        <f>SUMIF(Inventory!$D2:$D1136,"="&amp;N96, Inventory!$G2:$G1136)</f>
        <v>18.17</v>
      </c>
      <c r="O99" s="20">
        <f>SUMIF(Inventory!$D2:$D1136,"="&amp;O96, Inventory!$G2:$G1136)</f>
        <v>13.42</v>
      </c>
      <c r="P99" s="20">
        <f>SUMIF(Inventory!$D2:$D1136,"="&amp;P96, Inventory!$G2:$G1136)</f>
        <v>12.06</v>
      </c>
      <c r="Q99" s="20">
        <f>SUMIF(Inventory!$D2:$D1136,"="&amp;Q96, Inventory!$G2:$G1136)</f>
        <v>11</v>
      </c>
      <c r="R99" s="20">
        <f>SUMIF(Inventory!$D2:$D1136,"="&amp;R96, Inventory!$G2:$G1136)</f>
        <v>10.32</v>
      </c>
      <c r="S99" s="20">
        <f>SUMIF(Inventory!$D2:$D1136,"="&amp;S96, Inventory!$G2:$G1136)</f>
        <v>7.91</v>
      </c>
      <c r="T99" s="20">
        <f>SUMIF(Inventory!$D2:$D1136,"="&amp;T96, Inventory!$G2:$G1136)</f>
        <v>7.57</v>
      </c>
      <c r="U99" s="20">
        <f>SUMIF(Inventory!$D2:$D1136,"="&amp;U96, Inventory!$G2:$G1136)</f>
        <v>0</v>
      </c>
      <c r="V99" s="20">
        <f>SUMIF(Inventory!$D2:$D1136,"="&amp;V96, Inventory!$G2:$G1136)</f>
        <v>11.08</v>
      </c>
      <c r="W99" s="20">
        <f>SUMIF(Inventory!$D2:$D1136,"="&amp;W96, Inventory!$G2:$G1136)</f>
        <v>0</v>
      </c>
      <c r="X99" s="20">
        <f>SUMIF(Inventory!$D2:$D1136,"="&amp;X96, Inventory!$G2:$G1136)</f>
        <v>1.99</v>
      </c>
      <c r="Y99" s="20">
        <f>SUMIF(Inventory!$D2:$D1136,"="&amp;Y96, Inventory!$G2:$G1136)</f>
        <v>11.36</v>
      </c>
      <c r="Z99" s="20">
        <f>SUMIF(Inventory!$D2:$D1136,"="&amp;Z96, Inventory!$G2:$G1136)</f>
        <v>9.67</v>
      </c>
      <c r="AA99" s="20">
        <f>SUMIF(Inventory!$D2:$D1136,"="&amp;AA96, Inventory!$G2:$G1136)</f>
        <v>3.86</v>
      </c>
      <c r="AB99" s="20">
        <f>SUMIF(Inventory!$D2:$D1136,"="&amp;AB96, Inventory!$G2:$G1136)</f>
        <v>2.32</v>
      </c>
      <c r="AC99" s="20">
        <f>SUMIF(Inventory!$D2:$D1136,"="&amp;AC96, Inventory!$G2:$G1136)</f>
        <v>4.8</v>
      </c>
      <c r="AD99" s="20">
        <f>SUMIF(Inventory!$D2:$D1136,"="&amp;AD96, Inventory!$G2:$G1136)</f>
        <v>5.57</v>
      </c>
      <c r="AE99" s="20">
        <f>SUMIF(Inventory!$D2:$D1136,"="&amp;AE96, Inventory!$G2:$G1136)</f>
        <v>12.71</v>
      </c>
      <c r="AF99" s="20">
        <f>SUMIF(Inventory!$D2:$D1136,"="&amp;AF96, Inventory!$G2:$G1136)</f>
        <v>0</v>
      </c>
      <c r="AG99" s="20">
        <f t="shared" si="41"/>
        <v>324.91</v>
      </c>
      <c r="AH99" s="21">
        <f t="shared" si="42"/>
        <v>10.48096774</v>
      </c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</row>
    <row r="100" hidden="1" outlineLevel="2">
      <c r="A100" s="256" t="s">
        <v>10566</v>
      </c>
      <c r="B100" s="20">
        <f>COUNTIFS(Inventory!$D2:$D1136,"="&amp;B96, Inventory!$J2:$J1136,"Closed")</f>
        <v>1</v>
      </c>
      <c r="C100" s="20">
        <f>COUNTIFS(Inventory!$D2:$D1136,"="&amp;C96, Inventory!$J2:$J1136,"Closed")</f>
        <v>1</v>
      </c>
      <c r="D100" s="20">
        <f>COUNTIFS(Inventory!$D2:$D1136,"="&amp;D96, Inventory!$J2:$J1136,"Closed")</f>
        <v>1</v>
      </c>
      <c r="E100" s="20">
        <f>COUNTIFS(Inventory!$D2:$D1136,"="&amp;E96, Inventory!$J2:$J1136,"Closed")</f>
        <v>0</v>
      </c>
      <c r="F100" s="20">
        <f>COUNTIFS(Inventory!$D2:$D1136,"="&amp;F96, Inventory!$J2:$J1136,"Closed")</f>
        <v>2</v>
      </c>
      <c r="G100" s="20">
        <f>COUNTIFS(Inventory!$D2:$D1136,"="&amp;G96, Inventory!$J2:$J1136,"Closed")</f>
        <v>5</v>
      </c>
      <c r="H100" s="20">
        <f>COUNTIFS(Inventory!$D2:$D1136,"="&amp;H96, Inventory!$J2:$J1136,"Closed")</f>
        <v>3</v>
      </c>
      <c r="I100" s="20">
        <f>COUNTIFS(Inventory!$D2:$D1136,"="&amp;I96, Inventory!$J2:$J1136,"Closed")</f>
        <v>5</v>
      </c>
      <c r="J100" s="20">
        <f>COUNTIFS(Inventory!$D2:$D1136,"="&amp;J96, Inventory!$J2:$J1136,"Closed")</f>
        <v>0</v>
      </c>
      <c r="K100" s="20">
        <f>COUNTIFS(Inventory!$D2:$D1136,"="&amp;K96, Inventory!$J2:$J1136,"Closed")</f>
        <v>1</v>
      </c>
      <c r="L100" s="20">
        <f>COUNTIFS(Inventory!$D2:$D1136,"="&amp;L96, Inventory!$J2:$J1136,"Closed")</f>
        <v>2</v>
      </c>
      <c r="M100" s="20">
        <f>COUNTIFS(Inventory!$D2:$D1136,"="&amp;M96, Inventory!$J2:$J1136,"Closed")</f>
        <v>3</v>
      </c>
      <c r="N100" s="20">
        <f>COUNTIFS(Inventory!$D2:$D1136,"="&amp;N96, Inventory!$J2:$J1136,"Closed")</f>
        <v>4</v>
      </c>
      <c r="O100" s="20">
        <f>COUNTIFS(Inventory!$D2:$D1136,"="&amp;O96, Inventory!$J2:$J1136,"Closed")</f>
        <v>3</v>
      </c>
      <c r="P100" s="20">
        <f>COUNTIFS(Inventory!$D2:$D1136,"="&amp;P96, Inventory!$J2:$J1136,"Closed")</f>
        <v>3</v>
      </c>
      <c r="Q100" s="20">
        <f>COUNTIFS(Inventory!$D2:$D1136,"="&amp;Q96, Inventory!$J2:$J1136,"Closed")</f>
        <v>3</v>
      </c>
      <c r="R100" s="20">
        <f>COUNTIFS(Inventory!$D2:$D1136,"="&amp;R96, Inventory!$J2:$J1136,"Closed")</f>
        <v>2</v>
      </c>
      <c r="S100" s="20">
        <f>COUNTIFS(Inventory!$D2:$D1136,"="&amp;S96, Inventory!$J2:$J1136,"Closed")</f>
        <v>2</v>
      </c>
      <c r="T100" s="20">
        <f>COUNTIFS(Inventory!$D2:$D1136,"="&amp;T96, Inventory!$J2:$J1136,"Closed")</f>
        <v>2</v>
      </c>
      <c r="U100" s="20">
        <f>COUNTIFS(Inventory!$D2:$D1136,"="&amp;U96, Inventory!$J2:$J1136,"Closed")</f>
        <v>0</v>
      </c>
      <c r="V100" s="20">
        <f>COUNTIFS(Inventory!$D2:$D1136,"="&amp;V96, Inventory!$J2:$J1136,"Closed")</f>
        <v>3</v>
      </c>
      <c r="W100" s="20">
        <f>COUNTIFS(Inventory!$D2:$D1136,"="&amp;W96, Inventory!$J2:$J1136,"Closed")</f>
        <v>0</v>
      </c>
      <c r="X100" s="20">
        <f>COUNTIFS(Inventory!$D2:$D1136,"="&amp;X96, Inventory!$J2:$J1136,"Closed")</f>
        <v>1</v>
      </c>
      <c r="Y100" s="20">
        <f>COUNTIFS(Inventory!$D2:$D1136,"="&amp;Y96, Inventory!$J2:$J1136,"Closed")</f>
        <v>6</v>
      </c>
      <c r="Z100" s="20">
        <f>COUNTIFS(Inventory!$D2:$D1136,"="&amp;Z96, Inventory!$J2:$J1136,"Closed")</f>
        <v>4</v>
      </c>
      <c r="AA100" s="20">
        <f>COUNTIFS(Inventory!$D2:$D1136,"="&amp;AA96, Inventory!$J2:$J1136,"Closed")</f>
        <v>2</v>
      </c>
      <c r="AB100" s="20">
        <f>COUNTIFS(Inventory!$D2:$D1136,"="&amp;AB96, Inventory!$J2:$J1136,"Closed")</f>
        <v>1</v>
      </c>
      <c r="AC100" s="20">
        <f>COUNTIFS(Inventory!$D2:$D1136,"="&amp;AC96, Inventory!$J2:$J1136,"Closed")</f>
        <v>2</v>
      </c>
      <c r="AD100" s="20">
        <f>COUNTIFS(Inventory!$D2:$D1136,"="&amp;AD96, Inventory!$J2:$J1136,"Closed")</f>
        <v>2</v>
      </c>
      <c r="AE100" s="20">
        <f>COUNTIFS(Inventory!$D2:$D1136,"="&amp;AE96, Inventory!$J2:$J1136,"Closed")</f>
        <v>5</v>
      </c>
      <c r="AF100" s="20">
        <f>COUNTIFS(Inventory!$D2:$D1136,"="&amp;AF96, Inventory!$J2:$J1136,"Closed")</f>
        <v>0</v>
      </c>
      <c r="AG100" s="20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</row>
    <row r="101" hidden="1" outlineLevel="1">
      <c r="A101" s="253" t="s">
        <v>10207</v>
      </c>
      <c r="B101" s="255">
        <v>44805.0</v>
      </c>
      <c r="C101" s="255">
        <v>44806.0</v>
      </c>
      <c r="D101" s="255">
        <v>44807.0</v>
      </c>
      <c r="E101" s="255">
        <v>44808.0</v>
      </c>
      <c r="F101" s="255">
        <v>44809.0</v>
      </c>
      <c r="G101" s="255">
        <v>44810.0</v>
      </c>
      <c r="H101" s="255">
        <v>44811.0</v>
      </c>
      <c r="I101" s="255">
        <v>44812.0</v>
      </c>
      <c r="J101" s="255">
        <v>44813.0</v>
      </c>
      <c r="K101" s="255">
        <v>44814.0</v>
      </c>
      <c r="L101" s="255">
        <v>44815.0</v>
      </c>
      <c r="M101" s="255">
        <v>44816.0</v>
      </c>
      <c r="N101" s="255">
        <v>44817.0</v>
      </c>
      <c r="O101" s="255">
        <v>44818.0</v>
      </c>
      <c r="P101" s="255">
        <v>44819.0</v>
      </c>
      <c r="Q101" s="255">
        <v>44820.0</v>
      </c>
      <c r="R101" s="255">
        <v>44821.0</v>
      </c>
      <c r="S101" s="255">
        <v>44822.0</v>
      </c>
      <c r="T101" s="255">
        <v>44823.0</v>
      </c>
      <c r="U101" s="255">
        <v>44824.0</v>
      </c>
      <c r="V101" s="255">
        <v>44825.0</v>
      </c>
      <c r="W101" s="255">
        <v>44826.0</v>
      </c>
      <c r="X101" s="255">
        <v>44827.0</v>
      </c>
      <c r="Y101" s="255">
        <v>44828.0</v>
      </c>
      <c r="Z101" s="255">
        <v>44829.0</v>
      </c>
      <c r="AA101" s="255">
        <v>44830.0</v>
      </c>
      <c r="AB101" s="255">
        <v>44831.0</v>
      </c>
      <c r="AC101" s="255">
        <v>44832.0</v>
      </c>
      <c r="AD101" s="255">
        <v>44833.0</v>
      </c>
      <c r="AE101" s="255">
        <v>44834.0</v>
      </c>
      <c r="AF101" s="255"/>
      <c r="AG101" s="20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</row>
    <row r="102" hidden="1" outlineLevel="2">
      <c r="A102" s="256" t="s">
        <v>9</v>
      </c>
      <c r="B102" s="20">
        <f>SUMIF(Inventory!$D2:$D1136,"="&amp;B101, Inventory!$F2:$F1136)</f>
        <v>0</v>
      </c>
      <c r="C102" s="20">
        <f>SUMIF(Inventory!$D2:$D1136,"="&amp;C101, Inventory!$F2:$F1136)</f>
        <v>77.3</v>
      </c>
      <c r="D102" s="20">
        <f>SUMIF(Inventory!$D2:$D1136,"="&amp;D101, Inventory!$F2:$F1136)</f>
        <v>9.52</v>
      </c>
      <c r="E102" s="20">
        <f>SUMIF(Inventory!$D2:$D1136,"="&amp;E101, Inventory!$F2:$F1136)</f>
        <v>33.6</v>
      </c>
      <c r="F102" s="20">
        <f>SUMIF(Inventory!$D2:$D1136,"="&amp;F101, Inventory!$F2:$F1136)</f>
        <v>13.72</v>
      </c>
      <c r="G102" s="20">
        <f>SUMIF(Inventory!$D2:$D1136,"="&amp;G101, Inventory!$F2:$F1136)</f>
        <v>1.38</v>
      </c>
      <c r="H102" s="20">
        <f>SUMIF(Inventory!$D2:$D1136,"="&amp;H101, Inventory!$F2:$F1136)</f>
        <v>0</v>
      </c>
      <c r="I102" s="20">
        <f>SUMIF(Inventory!$D2:$D1136,"="&amp;I101, Inventory!$F2:$F1136)</f>
        <v>5.39</v>
      </c>
      <c r="J102" s="20">
        <f>SUMIF(Inventory!$D2:$D1136,"="&amp;J101, Inventory!$F2:$F1136)</f>
        <v>0</v>
      </c>
      <c r="K102" s="20">
        <f>SUMIF(Inventory!$D2:$D1136,"="&amp;K101, Inventory!$F2:$F1136)</f>
        <v>25.71</v>
      </c>
      <c r="L102" s="20">
        <f>SUMIF(Inventory!$D2:$D1136,"="&amp;L101, Inventory!$F2:$F1136)</f>
        <v>5.33</v>
      </c>
      <c r="M102" s="20">
        <f>SUMIF(Inventory!$D2:$D1136,"="&amp;M101, Inventory!$F2:$F1136)</f>
        <v>17.99</v>
      </c>
      <c r="N102" s="20">
        <f>SUMIF(Inventory!$D2:$D1136,"="&amp;N101, Inventory!$F2:$F1136)</f>
        <v>53.19</v>
      </c>
      <c r="O102" s="20">
        <f>SUMIF(Inventory!$D2:$D1136,"="&amp;O101, Inventory!$F2:$F1136)</f>
        <v>21.25</v>
      </c>
      <c r="P102" s="20">
        <f>SUMIF(Inventory!$D2:$D1136,"="&amp;P101, Inventory!$F2:$F1136)</f>
        <v>27.58</v>
      </c>
      <c r="Q102" s="20">
        <f>SUMIF(Inventory!$D2:$D1136,"="&amp;Q101, Inventory!$F2:$F1136)</f>
        <v>5.89</v>
      </c>
      <c r="R102" s="20">
        <f>SUMIF(Inventory!$D2:$D1136,"="&amp;R101, Inventory!$F2:$F1136)</f>
        <v>11.52</v>
      </c>
      <c r="S102" s="20">
        <f>SUMIF(Inventory!$D2:$D1136,"="&amp;S101, Inventory!$F2:$F1136)</f>
        <v>24.04</v>
      </c>
      <c r="T102" s="20">
        <f>SUMIF(Inventory!$D2:$D1136,"="&amp;T101, Inventory!$F2:$F1136)</f>
        <v>0</v>
      </c>
      <c r="U102" s="20">
        <f>SUMIF(Inventory!$D2:$D1136,"="&amp;U101, Inventory!$F2:$F1136)</f>
        <v>32.92</v>
      </c>
      <c r="V102" s="20">
        <f>SUMIF(Inventory!$D2:$D1136,"="&amp;V101, Inventory!$F2:$F1136)</f>
        <v>59.96</v>
      </c>
      <c r="W102" s="20">
        <f>SUMIF(Inventory!$D2:$D1136,"="&amp;W101, Inventory!$F2:$F1136)</f>
        <v>50.1</v>
      </c>
      <c r="X102" s="20">
        <f>SUMIF(Inventory!$D2:$D1136,"="&amp;X101, Inventory!$F2:$F1136)</f>
        <v>35.51</v>
      </c>
      <c r="Y102" s="20">
        <f>SUMIF(Inventory!$D2:$D1136,"="&amp;Y101, Inventory!$F2:$F1136)</f>
        <v>74.46</v>
      </c>
      <c r="Z102" s="20">
        <f>SUMIF(Inventory!$D2:$D1136,"="&amp;Z101, Inventory!$F2:$F1136)</f>
        <v>18.02</v>
      </c>
      <c r="AA102" s="20">
        <f>SUMIF(Inventory!$D2:$D1136,"="&amp;AA101, Inventory!$F2:$F1136)</f>
        <v>55.93</v>
      </c>
      <c r="AB102" s="20">
        <f>SUMIF(Inventory!$D2:$D1136,"="&amp;AB101, Inventory!$F2:$F1136)</f>
        <v>11.02</v>
      </c>
      <c r="AC102" s="20">
        <f>SUMIF(Inventory!$D2:$D1136,"="&amp;AC101, Inventory!$F2:$F1136)</f>
        <v>14.73</v>
      </c>
      <c r="AD102" s="20">
        <f>SUMIF(Inventory!$D2:$D1136,"="&amp;AD101, Inventory!$F2:$F1136)</f>
        <v>33.34</v>
      </c>
      <c r="AE102" s="20">
        <f>SUMIF(Inventory!$D2:$D1136,"="&amp;AE101, Inventory!$F2:$F1136)</f>
        <v>0</v>
      </c>
      <c r="AG102" s="20">
        <f t="shared" ref="AG102:AG104" si="43">SUM(B102:AF102)</f>
        <v>719.4</v>
      </c>
      <c r="AH102" s="21">
        <f t="shared" ref="AH102:AH104" si="44">AVERAGE(B102:AF102)</f>
        <v>23.98</v>
      </c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</row>
    <row r="103" hidden="1" outlineLevel="2">
      <c r="A103" s="256" t="s">
        <v>10</v>
      </c>
      <c r="B103" s="20">
        <f>SUMIF(Inventory!$D2:$D1136,"="&amp;B101, Inventory!$E2:$E1136)</f>
        <v>0</v>
      </c>
      <c r="C103" s="20">
        <f>SUMIF(Inventory!$D2:$D1136,"="&amp;C101, Inventory!$E2:$E1136)</f>
        <v>42.4</v>
      </c>
      <c r="D103" s="20">
        <f>SUMIF(Inventory!$D2:$D1136,"="&amp;D101, Inventory!$E2:$E1136)</f>
        <v>7</v>
      </c>
      <c r="E103" s="20">
        <f>SUMIF(Inventory!$D2:$D1136,"="&amp;E101, Inventory!$E2:$E1136)</f>
        <v>23.87</v>
      </c>
      <c r="F103" s="20">
        <f>SUMIF(Inventory!$D2:$D1136,"="&amp;F101, Inventory!$E2:$E1136)</f>
        <v>10.99</v>
      </c>
      <c r="G103" s="20">
        <f>SUMIF(Inventory!$D2:$D1136,"="&amp;G101, Inventory!$E2:$E1136)</f>
        <v>0.9</v>
      </c>
      <c r="H103" s="20">
        <f>SUMIF(Inventory!$D2:$D1136,"="&amp;H101, Inventory!$E2:$E1136)</f>
        <v>0</v>
      </c>
      <c r="I103" s="20">
        <f>SUMIF(Inventory!$D2:$D1136,"="&amp;I101, Inventory!$E2:$E1136)</f>
        <v>3.59</v>
      </c>
      <c r="J103" s="20">
        <f>SUMIF(Inventory!$D2:$D1136,"="&amp;J101, Inventory!$E2:$E1136)</f>
        <v>0</v>
      </c>
      <c r="K103" s="20">
        <f>SUMIF(Inventory!$D2:$D1136,"="&amp;K101, Inventory!$E2:$E1136)</f>
        <v>36.79</v>
      </c>
      <c r="L103" s="20">
        <f>SUMIF(Inventory!$D2:$D1136,"="&amp;L101, Inventory!$E2:$E1136)</f>
        <v>6.65</v>
      </c>
      <c r="M103" s="20">
        <f>SUMIF(Inventory!$D2:$D1136,"="&amp;M101, Inventory!$E2:$E1136)</f>
        <v>13.72</v>
      </c>
      <c r="N103" s="20">
        <f>SUMIF(Inventory!$D2:$D1136,"="&amp;N101, Inventory!$E2:$E1136)</f>
        <v>46.93</v>
      </c>
      <c r="O103" s="20">
        <f>SUMIF(Inventory!$D2:$D1136,"="&amp;O101, Inventory!$E2:$E1136)</f>
        <v>16.84</v>
      </c>
      <c r="P103" s="20">
        <f>SUMIF(Inventory!$D2:$D1136,"="&amp;P101, Inventory!$E2:$E1136)</f>
        <v>22.14</v>
      </c>
      <c r="Q103" s="20">
        <f>SUMIF(Inventory!$D2:$D1136,"="&amp;Q101, Inventory!$E2:$E1136)</f>
        <v>4.29</v>
      </c>
      <c r="R103" s="20">
        <f>SUMIF(Inventory!$D2:$D1136,"="&amp;R101, Inventory!$E2:$E1136)</f>
        <v>8.58</v>
      </c>
      <c r="S103" s="20">
        <f>SUMIF(Inventory!$D2:$D1136,"="&amp;S101, Inventory!$E2:$E1136)</f>
        <v>18.74</v>
      </c>
      <c r="T103" s="20">
        <f>SUMIF(Inventory!$D2:$D1136,"="&amp;T101, Inventory!$E2:$E1136)</f>
        <v>0</v>
      </c>
      <c r="U103" s="20">
        <f>SUMIF(Inventory!$D2:$D1136,"="&amp;U101, Inventory!$E2:$E1136)</f>
        <v>26.57</v>
      </c>
      <c r="V103" s="20">
        <f>SUMIF(Inventory!$D2:$D1136,"="&amp;V101, Inventory!$E2:$E1136)</f>
        <v>50.41</v>
      </c>
      <c r="W103" s="20">
        <f>SUMIF(Inventory!$D2:$D1136,"="&amp;W101, Inventory!$E2:$E1136)</f>
        <v>42.05</v>
      </c>
      <c r="X103" s="20">
        <f>SUMIF(Inventory!$D2:$D1136,"="&amp;X101, Inventory!$E2:$E1136)</f>
        <v>28.27</v>
      </c>
      <c r="Y103" s="20">
        <f>SUMIF(Inventory!$D2:$D1136,"="&amp;Y101, Inventory!$E2:$E1136)</f>
        <v>62.47</v>
      </c>
      <c r="Z103" s="20">
        <f>SUMIF(Inventory!$D2:$D1136,"="&amp;Z101, Inventory!$E2:$E1136)</f>
        <v>13.82</v>
      </c>
      <c r="AA103" s="20">
        <f>SUMIF(Inventory!$D2:$D1136,"="&amp;AA101, Inventory!$E2:$E1136)</f>
        <v>51.3</v>
      </c>
      <c r="AB103" s="20">
        <f>SUMIF(Inventory!$D2:$D1136,"="&amp;AB101, Inventory!$E2:$E1136)</f>
        <v>6.74</v>
      </c>
      <c r="AC103" s="20">
        <f>SUMIF(Inventory!$D2:$D1136,"="&amp;AC101, Inventory!$E2:$E1136)</f>
        <v>10.85</v>
      </c>
      <c r="AD103" s="20">
        <f>SUMIF(Inventory!$D2:$D1136,"="&amp;AD101, Inventory!$E2:$E1136)</f>
        <v>26.99</v>
      </c>
      <c r="AE103" s="20">
        <f>SUMIF(Inventory!$D2:$D1136,"="&amp;AE101, Inventory!$E2:$E1136)</f>
        <v>0</v>
      </c>
      <c r="AG103" s="20">
        <f t="shared" si="43"/>
        <v>582.9</v>
      </c>
      <c r="AH103" s="21">
        <f t="shared" si="44"/>
        <v>19.43</v>
      </c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</row>
    <row r="104" hidden="1" outlineLevel="2">
      <c r="A104" s="256" t="s">
        <v>11</v>
      </c>
      <c r="B104" s="20">
        <f>SUMIF(Inventory!$D2:$D1136,"="&amp;B101, Inventory!$G2:$G1136)</f>
        <v>0</v>
      </c>
      <c r="C104" s="20">
        <f>SUMIF(Inventory!$D2:$D1136,"="&amp;C101, Inventory!$G2:$G1136)</f>
        <v>34.9</v>
      </c>
      <c r="D104" s="20">
        <f>SUMIF(Inventory!$D2:$D1136,"="&amp;D101, Inventory!$G2:$G1136)</f>
        <v>2.52</v>
      </c>
      <c r="E104" s="20">
        <f>SUMIF(Inventory!$D2:$D1136,"="&amp;E101, Inventory!$G2:$G1136)</f>
        <v>9.73</v>
      </c>
      <c r="F104" s="20">
        <f>SUMIF(Inventory!$D2:$D1136,"="&amp;F101, Inventory!$G2:$G1136)</f>
        <v>2.73</v>
      </c>
      <c r="G104" s="20">
        <f>SUMIF(Inventory!$D2:$D1136,"="&amp;G101, Inventory!$G2:$G1136)</f>
        <v>0.48</v>
      </c>
      <c r="H104" s="20">
        <f>SUMIF(Inventory!$D2:$D1136,"="&amp;H101, Inventory!$G2:$G1136)</f>
        <v>0</v>
      </c>
      <c r="I104" s="20">
        <f>SUMIF(Inventory!$D2:$D1136,"="&amp;I101, Inventory!$G2:$G1136)</f>
        <v>1.8</v>
      </c>
      <c r="J104" s="20">
        <f>SUMIF(Inventory!$D2:$D1136,"="&amp;J101, Inventory!$G2:$G1136)</f>
        <v>0</v>
      </c>
      <c r="K104" s="20">
        <f>SUMIF(Inventory!$D2:$D1136,"="&amp;K101, Inventory!$G2:$G1136)</f>
        <v>-11.08</v>
      </c>
      <c r="L104" s="20">
        <f>SUMIF(Inventory!$D2:$D1136,"="&amp;L101, Inventory!$G2:$G1136)</f>
        <v>-1.32</v>
      </c>
      <c r="M104" s="20">
        <f>SUMIF(Inventory!$D2:$D1136,"="&amp;M101, Inventory!$G2:$G1136)</f>
        <v>4.27</v>
      </c>
      <c r="N104" s="20">
        <f>SUMIF(Inventory!$D2:$D1136,"="&amp;N101, Inventory!$G2:$G1136)</f>
        <v>6.26</v>
      </c>
      <c r="O104" s="20">
        <f>SUMIF(Inventory!$D2:$D1136,"="&amp;O101, Inventory!$G2:$G1136)</f>
        <v>4.41</v>
      </c>
      <c r="P104" s="20">
        <f>SUMIF(Inventory!$D2:$D1136,"="&amp;P101, Inventory!$G2:$G1136)</f>
        <v>5.44</v>
      </c>
      <c r="Q104" s="20">
        <f>SUMIF(Inventory!$D2:$D1136,"="&amp;Q101, Inventory!$G2:$G1136)</f>
        <v>1.6</v>
      </c>
      <c r="R104" s="20">
        <f>SUMIF(Inventory!$D2:$D1136,"="&amp;R101, Inventory!$G2:$G1136)</f>
        <v>2.94</v>
      </c>
      <c r="S104" s="20">
        <f>SUMIF(Inventory!$D2:$D1136,"="&amp;S101, Inventory!$G2:$G1136)</f>
        <v>5.3</v>
      </c>
      <c r="T104" s="20">
        <f>SUMIF(Inventory!$D2:$D1136,"="&amp;T101, Inventory!$G2:$G1136)</f>
        <v>0</v>
      </c>
      <c r="U104" s="20">
        <f>SUMIF(Inventory!$D2:$D1136,"="&amp;U101, Inventory!$G2:$G1136)</f>
        <v>6.35</v>
      </c>
      <c r="V104" s="20">
        <f>SUMIF(Inventory!$D2:$D1136,"="&amp;V101, Inventory!$G2:$G1136)</f>
        <v>9.55</v>
      </c>
      <c r="W104" s="20">
        <f>SUMIF(Inventory!$D2:$D1136,"="&amp;W101, Inventory!$G2:$G1136)</f>
        <v>8.05</v>
      </c>
      <c r="X104" s="20">
        <f>SUMIF(Inventory!$D2:$D1136,"="&amp;X101, Inventory!$G2:$G1136)</f>
        <v>7.24</v>
      </c>
      <c r="Y104" s="20">
        <f>SUMIF(Inventory!$D2:$D1136,"="&amp;Y101, Inventory!$G2:$G1136)</f>
        <v>11.99</v>
      </c>
      <c r="Z104" s="20">
        <f>SUMIF(Inventory!$D2:$D1136,"="&amp;Z101, Inventory!$G2:$G1136)</f>
        <v>4.2</v>
      </c>
      <c r="AA104" s="20">
        <f>SUMIF(Inventory!$D2:$D1136,"="&amp;AA101, Inventory!$G2:$G1136)</f>
        <v>4.63</v>
      </c>
      <c r="AB104" s="20">
        <f>SUMIF(Inventory!$D2:$D1136,"="&amp;AB101, Inventory!$G2:$G1136)</f>
        <v>4.28</v>
      </c>
      <c r="AC104" s="20">
        <f>SUMIF(Inventory!$D2:$D1136,"="&amp;AC101, Inventory!$G2:$G1136)</f>
        <v>3.88</v>
      </c>
      <c r="AD104" s="20">
        <f>SUMIF(Inventory!$D2:$D1136,"="&amp;AD101, Inventory!$G2:$G1136)</f>
        <v>6.35</v>
      </c>
      <c r="AE104" s="20">
        <f>SUMIF(Inventory!$D2:$D1136,"="&amp;AE101, Inventory!$G2:$G1136)</f>
        <v>0</v>
      </c>
      <c r="AG104" s="20">
        <f t="shared" si="43"/>
        <v>136.5</v>
      </c>
      <c r="AH104" s="21">
        <f t="shared" si="44"/>
        <v>4.55</v>
      </c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</row>
    <row r="105" hidden="1" outlineLevel="2">
      <c r="A105" s="256" t="s">
        <v>10566</v>
      </c>
      <c r="B105" s="20">
        <f>COUNTIFS(Inventory!$D2:$D1136,"="&amp;B101, Inventory!$J2:$J1136,"Closed")</f>
        <v>0</v>
      </c>
      <c r="C105" s="20">
        <f>COUNTIFS(Inventory!$D2:$D1136,"="&amp;C101, Inventory!$J2:$J1136,"Closed")</f>
        <v>5</v>
      </c>
      <c r="D105" s="20">
        <f>COUNTIFS(Inventory!$D2:$D1136,"="&amp;D101, Inventory!$J2:$J1136,"Closed")</f>
        <v>2</v>
      </c>
      <c r="E105" s="20">
        <f>COUNTIFS(Inventory!$D2:$D1136,"="&amp;E101, Inventory!$J2:$J1136,"Closed")</f>
        <v>4</v>
      </c>
      <c r="F105" s="20">
        <f>COUNTIFS(Inventory!$D2:$D1136,"="&amp;F101, Inventory!$J2:$J1136,"Closed")</f>
        <v>3</v>
      </c>
      <c r="G105" s="20">
        <f>COUNTIFS(Inventory!$D2:$D1136,"="&amp;G101, Inventory!$J2:$J1136,"Closed")</f>
        <v>1</v>
      </c>
      <c r="H105" s="20">
        <f>COUNTIFS(Inventory!$D2:$D1136,"="&amp;H101, Inventory!$J2:$J1136,"Closed")</f>
        <v>0</v>
      </c>
      <c r="I105" s="20">
        <f>COUNTIFS(Inventory!$D2:$D1136,"="&amp;I101, Inventory!$J2:$J1136,"Closed")</f>
        <v>1</v>
      </c>
      <c r="J105" s="20">
        <f>COUNTIFS(Inventory!$D2:$D1136,"="&amp;J101, Inventory!$J2:$J1136,"Closed")</f>
        <v>0</v>
      </c>
      <c r="K105" s="20">
        <f>COUNTIFS(Inventory!$D2:$D1136,"="&amp;K101, Inventory!$J2:$J1136,"Closed")</f>
        <v>5</v>
      </c>
      <c r="L105" s="20">
        <f>COUNTIFS(Inventory!$D2:$D1136,"="&amp;L101, Inventory!$J2:$J1136,"Closed")</f>
        <v>2</v>
      </c>
      <c r="M105" s="20">
        <f>COUNTIFS(Inventory!$D2:$D1136,"="&amp;M101, Inventory!$J2:$J1136,"Closed")</f>
        <v>2</v>
      </c>
      <c r="N105" s="20">
        <f>COUNTIFS(Inventory!$D2:$D1136,"="&amp;N101, Inventory!$J2:$J1136,"Closed")</f>
        <v>3</v>
      </c>
      <c r="O105" s="20">
        <f>COUNTIFS(Inventory!$D2:$D1136,"="&amp;O101, Inventory!$J2:$J1136,"Closed")</f>
        <v>1</v>
      </c>
      <c r="P105" s="20">
        <f>COUNTIFS(Inventory!$D2:$D1136,"="&amp;P101, Inventory!$J2:$J1136,"Closed")</f>
        <v>3</v>
      </c>
      <c r="Q105" s="20">
        <f>COUNTIFS(Inventory!$D2:$D1136,"="&amp;Q101, Inventory!$J2:$J1136,"Closed")</f>
        <v>2</v>
      </c>
      <c r="R105" s="20">
        <f>COUNTIFS(Inventory!$D2:$D1136,"="&amp;R101, Inventory!$J2:$J1136,"Closed")</f>
        <v>2</v>
      </c>
      <c r="S105" s="20">
        <f>COUNTIFS(Inventory!$D2:$D1136,"="&amp;S101, Inventory!$J2:$J1136,"Closed")</f>
        <v>4</v>
      </c>
      <c r="T105" s="20">
        <f>COUNTIFS(Inventory!$D2:$D1136,"="&amp;T101, Inventory!$J2:$J1136,"Closed")</f>
        <v>0</v>
      </c>
      <c r="U105" s="20">
        <f>COUNTIFS(Inventory!$D2:$D1136,"="&amp;U101, Inventory!$J2:$J1136,"Closed")</f>
        <v>3</v>
      </c>
      <c r="V105" s="20">
        <f>COUNTIFS(Inventory!$D2:$D1136,"="&amp;V101, Inventory!$J2:$J1136,"Closed")</f>
        <v>5</v>
      </c>
      <c r="W105" s="20">
        <f>COUNTIFS(Inventory!$D2:$D1136,"="&amp;W101, Inventory!$J2:$J1136,"Closed")</f>
        <v>3</v>
      </c>
      <c r="X105" s="20">
        <f>COUNTIFS(Inventory!$D2:$D1136,"="&amp;X101, Inventory!$J2:$J1136,"Closed")</f>
        <v>3</v>
      </c>
      <c r="Y105" s="20">
        <f>COUNTIFS(Inventory!$D2:$D1136,"="&amp;Y101, Inventory!$J2:$J1136,"Closed")</f>
        <v>6</v>
      </c>
      <c r="Z105" s="20">
        <f>COUNTIFS(Inventory!$D2:$D1136,"="&amp;Z101, Inventory!$J2:$J1136,"Closed")</f>
        <v>2</v>
      </c>
      <c r="AA105" s="20">
        <f>COUNTIFS(Inventory!$D2:$D1136,"="&amp;AA101, Inventory!$J2:$J1136,"Closed")</f>
        <v>3</v>
      </c>
      <c r="AB105" s="20">
        <f>COUNTIFS(Inventory!$D2:$D1136,"="&amp;AB101, Inventory!$J2:$J1136,"Closed")</f>
        <v>1</v>
      </c>
      <c r="AC105" s="20">
        <f>COUNTIFS(Inventory!$D2:$D1136,"="&amp;AC101, Inventory!$J2:$J1136,"Closed")</f>
        <v>1</v>
      </c>
      <c r="AD105" s="20">
        <f>COUNTIFS(Inventory!$D2:$D1136,"="&amp;AD101, Inventory!$J2:$J1136,"Closed")</f>
        <v>1</v>
      </c>
      <c r="AE105" s="20">
        <f>COUNTIFS(Inventory!$D2:$D1136,"="&amp;AE101, Inventory!$J2:$J1136,"Closed")</f>
        <v>0</v>
      </c>
      <c r="AG105" s="20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</row>
    <row r="106" hidden="1" outlineLevel="1">
      <c r="A106" s="253" t="s">
        <v>10208</v>
      </c>
      <c r="B106" s="255">
        <v>44835.0</v>
      </c>
      <c r="C106" s="255">
        <v>44836.0</v>
      </c>
      <c r="D106" s="255">
        <v>44837.0</v>
      </c>
      <c r="E106" s="255">
        <v>44838.0</v>
      </c>
      <c r="F106" s="255">
        <v>44839.0</v>
      </c>
      <c r="G106" s="255">
        <v>44840.0</v>
      </c>
      <c r="H106" s="255">
        <v>44841.0</v>
      </c>
      <c r="I106" s="255">
        <v>44842.0</v>
      </c>
      <c r="J106" s="255">
        <v>44843.0</v>
      </c>
      <c r="K106" s="255">
        <v>44844.0</v>
      </c>
      <c r="L106" s="255">
        <v>44845.0</v>
      </c>
      <c r="M106" s="255">
        <v>44846.0</v>
      </c>
      <c r="N106" s="255">
        <v>44847.0</v>
      </c>
      <c r="O106" s="255">
        <v>44848.0</v>
      </c>
      <c r="P106" s="255">
        <v>44849.0</v>
      </c>
      <c r="Q106" s="255">
        <v>44850.0</v>
      </c>
      <c r="R106" s="255">
        <v>44851.0</v>
      </c>
      <c r="S106" s="255">
        <v>44852.0</v>
      </c>
      <c r="T106" s="255">
        <v>44853.0</v>
      </c>
      <c r="U106" s="255">
        <v>44854.0</v>
      </c>
      <c r="V106" s="255">
        <v>44855.0</v>
      </c>
      <c r="W106" s="255">
        <v>44856.0</v>
      </c>
      <c r="X106" s="255">
        <v>44857.0</v>
      </c>
      <c r="Y106" s="255">
        <v>44858.0</v>
      </c>
      <c r="Z106" s="255">
        <v>44859.0</v>
      </c>
      <c r="AA106" s="255">
        <v>44860.0</v>
      </c>
      <c r="AB106" s="255">
        <v>44861.0</v>
      </c>
      <c r="AC106" s="255">
        <v>44862.0</v>
      </c>
      <c r="AD106" s="255">
        <v>44863.0</v>
      </c>
      <c r="AE106" s="255">
        <v>44864.0</v>
      </c>
      <c r="AF106" s="255">
        <v>44865.0</v>
      </c>
      <c r="AG106" s="20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</row>
    <row r="107" hidden="1" outlineLevel="2">
      <c r="A107" s="256" t="s">
        <v>9</v>
      </c>
      <c r="B107" s="20">
        <f>SUMIF(Inventory!$D2:$D1136,"="&amp;B106, Inventory!$F2:$F1136)</f>
        <v>55.31</v>
      </c>
      <c r="C107" s="20">
        <f>SUMIF(Inventory!$D2:$D1136,"="&amp;C106, Inventory!$F2:$F1136)</f>
        <v>32.18</v>
      </c>
      <c r="D107" s="20">
        <f>SUMIF(Inventory!$D2:$D1136,"="&amp;D106, Inventory!$F2:$F1136)</f>
        <v>106.9</v>
      </c>
      <c r="E107" s="20">
        <f>SUMIF(Inventory!$D2:$D1136,"="&amp;E106, Inventory!$F2:$F1136)</f>
        <v>90.23</v>
      </c>
      <c r="F107" s="20">
        <f>SUMIF(Inventory!$D2:$D1136,"="&amp;F106, Inventory!$F2:$F1136)</f>
        <v>218.83</v>
      </c>
      <c r="G107" s="20">
        <f>SUMIF(Inventory!$D2:$D1136,"="&amp;G106, Inventory!$F2:$F1136)</f>
        <v>15.11</v>
      </c>
      <c r="H107" s="20">
        <f>SUMIF(Inventory!$D2:$D1136,"="&amp;H106, Inventory!$F2:$F1136)</f>
        <v>47.31</v>
      </c>
      <c r="I107" s="20">
        <f>SUMIF(Inventory!$D2:$D1136,"="&amp;I106, Inventory!$F2:$F1136)</f>
        <v>175.7</v>
      </c>
      <c r="J107" s="20">
        <f>SUMIF(Inventory!$D2:$D1136,"="&amp;J106, Inventory!$F2:$F1136)</f>
        <v>278.23</v>
      </c>
      <c r="K107" s="20">
        <f>SUMIF(Inventory!$D2:$D1136,"="&amp;K106, Inventory!$F2:$F1136)</f>
        <v>107.57</v>
      </c>
      <c r="L107" s="20">
        <f>SUMIF(Inventory!$D2:$D1136,"="&amp;L106, Inventory!$F2:$F1136)</f>
        <v>14.83</v>
      </c>
      <c r="M107" s="20">
        <f>SUMIF(Inventory!$D2:$D1136,"="&amp;M106, Inventory!$F2:$F1136)</f>
        <v>48.8</v>
      </c>
      <c r="N107" s="20">
        <f>SUMIF(Inventory!$D2:$D1136,"="&amp;N106, Inventory!$F2:$F1136)</f>
        <v>118.01</v>
      </c>
      <c r="O107" s="20">
        <f>SUMIF(Inventory!$D2:$D1136,"="&amp;O106, Inventory!$F2:$F1136)</f>
        <v>80.66</v>
      </c>
      <c r="P107" s="20">
        <f>SUMIF(Inventory!$D2:$D1136,"="&amp;P106, Inventory!$F2:$F1136)</f>
        <v>133.5</v>
      </c>
      <c r="Q107" s="20">
        <f>SUMIF(Inventory!$D2:$D1136,"="&amp;Q106, Inventory!$F2:$F1136)</f>
        <v>35.28</v>
      </c>
      <c r="R107" s="20">
        <f>SUMIF(Inventory!$D2:$D1136,"="&amp;R106, Inventory!$F2:$F1136)</f>
        <v>146.65</v>
      </c>
      <c r="S107" s="20">
        <f>SUMIF(Inventory!$D2:$D1136,"="&amp;S106, Inventory!$F2:$F1136)</f>
        <v>42.38</v>
      </c>
      <c r="T107" s="20">
        <f>SUMIF(Inventory!$D2:$D1136,"="&amp;T106, Inventory!$F2:$F1136)</f>
        <v>5.78</v>
      </c>
      <c r="U107" s="20">
        <f>SUMIF(Inventory!$D2:$D1136,"="&amp;U106, Inventory!$F2:$F1136)</f>
        <v>23.91</v>
      </c>
      <c r="V107" s="20">
        <f>SUMIF(Inventory!$D2:$D1136,"="&amp;V106, Inventory!$F2:$F1136)</f>
        <v>0</v>
      </c>
      <c r="W107" s="20">
        <f>SUMIF(Inventory!$D2:$D1136,"="&amp;W106, Inventory!$F2:$F1136)</f>
        <v>0</v>
      </c>
      <c r="X107" s="20">
        <f>SUMIF(Inventory!$D2:$D1136,"="&amp;X106, Inventory!$F2:$F1136)</f>
        <v>38.31</v>
      </c>
      <c r="Y107" s="20">
        <f>SUMIF(Inventory!$D2:$D1136,"="&amp;Y106, Inventory!$F2:$F1136)</f>
        <v>46.4</v>
      </c>
      <c r="Z107" s="20">
        <f>SUMIF(Inventory!$D2:$D1136,"="&amp;Z106, Inventory!$F2:$F1136)</f>
        <v>8.16</v>
      </c>
      <c r="AA107" s="20">
        <f>SUMIF(Inventory!$D2:$D1136,"="&amp;AA106, Inventory!$F2:$F1136)</f>
        <v>22.01</v>
      </c>
      <c r="AB107" s="20">
        <f>SUMIF(Inventory!$D2:$D1136,"="&amp;AB106, Inventory!$F2:$F1136)</f>
        <v>6.61</v>
      </c>
      <c r="AC107" s="20">
        <f>SUMIF(Inventory!$D2:$D1136,"="&amp;AC106, Inventory!$F2:$F1136)</f>
        <v>0</v>
      </c>
      <c r="AD107" s="20">
        <f>SUMIF(Inventory!$D2:$D1136,"="&amp;AD106, Inventory!$F2:$F1136)</f>
        <v>0</v>
      </c>
      <c r="AE107" s="20">
        <f>SUMIF(Inventory!$D2:$D1136,"="&amp;AE106, Inventory!$F2:$F1136)</f>
        <v>0</v>
      </c>
      <c r="AF107" s="20">
        <f>SUMIF(Inventory!$D2:$D1136,"="&amp;AF106, Inventory!$F2:$F1136)</f>
        <v>0</v>
      </c>
      <c r="AG107" s="20">
        <f t="shared" ref="AG107:AG109" si="45">SUM(B107:AF107)</f>
        <v>1898.66</v>
      </c>
      <c r="AH107" s="21">
        <f t="shared" ref="AH107:AH109" si="46">AVERAGE(B107:AF107)</f>
        <v>61.24709677</v>
      </c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</row>
    <row r="108" hidden="1" outlineLevel="2">
      <c r="A108" s="256" t="s">
        <v>10</v>
      </c>
      <c r="B108" s="20">
        <f>SUMIF(Inventory!$D2:$D1136,"="&amp;B106, Inventory!$E2:$E1136)</f>
        <v>47.01</v>
      </c>
      <c r="C108" s="20">
        <f>SUMIF(Inventory!$D2:$D1136,"="&amp;C106, Inventory!$E2:$E1136)</f>
        <v>26.99</v>
      </c>
      <c r="D108" s="20">
        <f>SUMIF(Inventory!$D2:$D1136,"="&amp;D106, Inventory!$E2:$E1136)</f>
        <v>89.7</v>
      </c>
      <c r="E108" s="20">
        <f>SUMIF(Inventory!$D2:$D1136,"="&amp;E106, Inventory!$E2:$E1136)</f>
        <v>76.4</v>
      </c>
      <c r="F108" s="20">
        <f>SUMIF(Inventory!$D2:$D1136,"="&amp;F106, Inventory!$E2:$E1136)</f>
        <v>189.37</v>
      </c>
      <c r="G108" s="20">
        <f>SUMIF(Inventory!$D2:$D1136,"="&amp;G106, Inventory!$E2:$E1136)</f>
        <v>7.29</v>
      </c>
      <c r="H108" s="20">
        <f>SUMIF(Inventory!$D2:$D1136,"="&amp;H106, Inventory!$E2:$E1136)</f>
        <v>39.26</v>
      </c>
      <c r="I108" s="20">
        <f>SUMIF(Inventory!$D2:$D1136,"="&amp;I106, Inventory!$E2:$E1136)</f>
        <v>137.04</v>
      </c>
      <c r="J108" s="20">
        <f>SUMIF(Inventory!$D2:$D1136,"="&amp;J106, Inventory!$E2:$E1136)</f>
        <v>228.87</v>
      </c>
      <c r="K108" s="20">
        <f>SUMIF(Inventory!$D2:$D1136,"="&amp;K106, Inventory!$E2:$E1136)</f>
        <v>87.87</v>
      </c>
      <c r="L108" s="20">
        <f>SUMIF(Inventory!$D2:$D1136,"="&amp;L106, Inventory!$E2:$E1136)</f>
        <v>12.12</v>
      </c>
      <c r="M108" s="20">
        <f>SUMIF(Inventory!$D2:$D1136,"="&amp;M106, Inventory!$E2:$E1136)</f>
        <v>41.16</v>
      </c>
      <c r="N108" s="20">
        <f>SUMIF(Inventory!$D2:$D1136,"="&amp;N106, Inventory!$E2:$E1136)</f>
        <v>94.73</v>
      </c>
      <c r="O108" s="20">
        <f>SUMIF(Inventory!$D2:$D1136,"="&amp;O106, Inventory!$E2:$E1136)</f>
        <v>71.23</v>
      </c>
      <c r="P108" s="20">
        <f>SUMIF(Inventory!$D2:$D1136,"="&amp;P106, Inventory!$E2:$E1136)</f>
        <v>106.95</v>
      </c>
      <c r="Q108" s="20">
        <f>SUMIF(Inventory!$D2:$D1136,"="&amp;Q106, Inventory!$E2:$E1136)</f>
        <v>25.79</v>
      </c>
      <c r="R108" s="20">
        <f>SUMIF(Inventory!$D2:$D1136,"="&amp;R106, Inventory!$E2:$E1136)</f>
        <v>110.15</v>
      </c>
      <c r="S108" s="20">
        <f>SUMIF(Inventory!$D2:$D1136,"="&amp;S106, Inventory!$E2:$E1136)</f>
        <v>33.56</v>
      </c>
      <c r="T108" s="20">
        <f>SUMIF(Inventory!$D2:$D1136,"="&amp;T106, Inventory!$E2:$E1136)</f>
        <v>3.95</v>
      </c>
      <c r="U108" s="20">
        <f>SUMIF(Inventory!$D2:$D1136,"="&amp;U106, Inventory!$E2:$E1136)</f>
        <v>19.59</v>
      </c>
      <c r="V108" s="20">
        <f>SUMIF(Inventory!$D2:$D1136,"="&amp;V106, Inventory!$E2:$E1136)</f>
        <v>0</v>
      </c>
      <c r="W108" s="20">
        <f>SUMIF(Inventory!$D2:$D1136,"="&amp;W106, Inventory!$E2:$E1136)</f>
        <v>0</v>
      </c>
      <c r="X108" s="20">
        <f>SUMIF(Inventory!$D2:$D1136,"="&amp;X106, Inventory!$E2:$E1136)</f>
        <v>32.12</v>
      </c>
      <c r="Y108" s="20">
        <f>SUMIF(Inventory!$D2:$D1136,"="&amp;Y106, Inventory!$E2:$E1136)</f>
        <v>42.18</v>
      </c>
      <c r="Z108" s="20">
        <f>SUMIF(Inventory!$D2:$D1136,"="&amp;Z106, Inventory!$E2:$E1136)</f>
        <v>2.74</v>
      </c>
      <c r="AA108" s="20">
        <f>SUMIF(Inventory!$D2:$D1136,"="&amp;AA106, Inventory!$E2:$E1136)</f>
        <v>21.09</v>
      </c>
      <c r="AB108" s="20">
        <f>SUMIF(Inventory!$D2:$D1136,"="&amp;AB106, Inventory!$E2:$E1136)</f>
        <v>2.74</v>
      </c>
      <c r="AC108" s="20">
        <f>SUMIF(Inventory!$D2:$D1136,"="&amp;AC106, Inventory!$E2:$E1136)</f>
        <v>0</v>
      </c>
      <c r="AD108" s="20">
        <f>SUMIF(Inventory!$D2:$D1136,"="&amp;AD106, Inventory!$E2:$E1136)</f>
        <v>0</v>
      </c>
      <c r="AE108" s="20">
        <f>SUMIF(Inventory!$D2:$D1136,"="&amp;AE106, Inventory!$E2:$E1136)</f>
        <v>0</v>
      </c>
      <c r="AF108" s="20">
        <f>SUMIF(Inventory!$D2:$D1136,"="&amp;AF106, Inventory!$E2:$E1136)</f>
        <v>0</v>
      </c>
      <c r="AG108" s="20">
        <f t="shared" si="45"/>
        <v>1549.9</v>
      </c>
      <c r="AH108" s="21">
        <f t="shared" si="46"/>
        <v>49.99677419</v>
      </c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</row>
    <row r="109" hidden="1" outlineLevel="2">
      <c r="A109" s="256" t="s">
        <v>11</v>
      </c>
      <c r="B109" s="20">
        <f>SUMIF(Inventory!$D2:$D1136,"="&amp;B106, Inventory!$G2:$G1136)</f>
        <v>8.3</v>
      </c>
      <c r="C109" s="20">
        <f>SUMIF(Inventory!$D2:$D1136,"="&amp;C106, Inventory!$G2:$G1136)</f>
        <v>5.19</v>
      </c>
      <c r="D109" s="20">
        <f>SUMIF(Inventory!$D2:$D1136,"="&amp;D106, Inventory!$G2:$G1136)</f>
        <v>17.2</v>
      </c>
      <c r="E109" s="20">
        <f>SUMIF(Inventory!$D2:$D1136,"="&amp;E106, Inventory!$G2:$G1136)</f>
        <v>13.83</v>
      </c>
      <c r="F109" s="20">
        <f>SUMIF(Inventory!$D2:$D1136,"="&amp;F106, Inventory!$G2:$G1136)</f>
        <v>29.46</v>
      </c>
      <c r="G109" s="20">
        <f>SUMIF(Inventory!$D2:$D1136,"="&amp;G106, Inventory!$G2:$G1136)</f>
        <v>7.82</v>
      </c>
      <c r="H109" s="20">
        <f>SUMIF(Inventory!$D2:$D1136,"="&amp;H106, Inventory!$G2:$G1136)</f>
        <v>8.05</v>
      </c>
      <c r="I109" s="20">
        <f>SUMIF(Inventory!$D2:$D1136,"="&amp;I106, Inventory!$G2:$G1136)</f>
        <v>38.66</v>
      </c>
      <c r="J109" s="20">
        <f>SUMIF(Inventory!$D2:$D1136,"="&amp;J106, Inventory!$G2:$G1136)</f>
        <v>49.36</v>
      </c>
      <c r="K109" s="20">
        <f>SUMIF(Inventory!$D2:$D1136,"="&amp;K106, Inventory!$G2:$G1136)</f>
        <v>19.7</v>
      </c>
      <c r="L109" s="20">
        <f>SUMIF(Inventory!$D2:$D1136,"="&amp;L106, Inventory!$G2:$G1136)</f>
        <v>2.71</v>
      </c>
      <c r="M109" s="20">
        <f>SUMIF(Inventory!$D2:$D1136,"="&amp;M106, Inventory!$G2:$G1136)</f>
        <v>7.64</v>
      </c>
      <c r="N109" s="20">
        <f>SUMIF(Inventory!$D2:$D1136,"="&amp;N106, Inventory!$G2:$G1136)</f>
        <v>23.28</v>
      </c>
      <c r="O109" s="20">
        <f>SUMIF(Inventory!$D2:$D1136,"="&amp;O106, Inventory!$G2:$G1136)</f>
        <v>9.43</v>
      </c>
      <c r="P109" s="20">
        <f>SUMIF(Inventory!$D2:$D1136,"="&amp;P106, Inventory!$G2:$G1136)</f>
        <v>26.55</v>
      </c>
      <c r="Q109" s="20">
        <f>SUMIF(Inventory!$D2:$D1136,"="&amp;Q106, Inventory!$G2:$G1136)</f>
        <v>9.49</v>
      </c>
      <c r="R109" s="20">
        <f>SUMIF(Inventory!$D2:$D1136,"="&amp;R106, Inventory!$G2:$G1136)</f>
        <v>36.5</v>
      </c>
      <c r="S109" s="20">
        <f>SUMIF(Inventory!$D2:$D1136,"="&amp;S106, Inventory!$G2:$G1136)</f>
        <v>8.82</v>
      </c>
      <c r="T109" s="20">
        <f>SUMIF(Inventory!$D2:$D1136,"="&amp;T106, Inventory!$G2:$G1136)</f>
        <v>1.83</v>
      </c>
      <c r="U109" s="20">
        <f>SUMIF(Inventory!$D2:$D1136,"="&amp;U106, Inventory!$G2:$G1136)</f>
        <v>4.32</v>
      </c>
      <c r="V109" s="20">
        <f>SUMIF(Inventory!$D2:$D1136,"="&amp;V106, Inventory!$G2:$G1136)</f>
        <v>0</v>
      </c>
      <c r="W109" s="20">
        <f>SUMIF(Inventory!$D2:$D1136,"="&amp;W106, Inventory!$G2:$G1136)</f>
        <v>0</v>
      </c>
      <c r="X109" s="20">
        <f>SUMIF(Inventory!$D2:$D1136,"="&amp;X106, Inventory!$G2:$G1136)</f>
        <v>6.19</v>
      </c>
      <c r="Y109" s="20">
        <f>SUMIF(Inventory!$D2:$D1136,"="&amp;Y106, Inventory!$G2:$G1136)</f>
        <v>4.22</v>
      </c>
      <c r="Z109" s="20">
        <f>SUMIF(Inventory!$D2:$D1136,"="&amp;Z106, Inventory!$G2:$G1136)</f>
        <v>5.42</v>
      </c>
      <c r="AA109" s="20">
        <f>SUMIF(Inventory!$D2:$D1136,"="&amp;AA106, Inventory!$G2:$G1136)</f>
        <v>0.92</v>
      </c>
      <c r="AB109" s="20">
        <f>SUMIF(Inventory!$D2:$D1136,"="&amp;AB106, Inventory!$G2:$G1136)</f>
        <v>3.87</v>
      </c>
      <c r="AC109" s="20">
        <f>SUMIF(Inventory!$D2:$D1136,"="&amp;AC106, Inventory!$G2:$G1136)</f>
        <v>0</v>
      </c>
      <c r="AD109" s="20">
        <f>SUMIF(Inventory!$D2:$D1136,"="&amp;AD106, Inventory!$G2:$G1136)</f>
        <v>0</v>
      </c>
      <c r="AE109" s="20">
        <f>SUMIF(Inventory!$D2:$D1136,"="&amp;AE106, Inventory!$G2:$G1136)</f>
        <v>0</v>
      </c>
      <c r="AF109" s="20">
        <f>SUMIF(Inventory!$D2:$D1136,"="&amp;AF106, Inventory!$G2:$G1136)</f>
        <v>0</v>
      </c>
      <c r="AG109" s="20">
        <f t="shared" si="45"/>
        <v>348.76</v>
      </c>
      <c r="AH109" s="21">
        <f t="shared" si="46"/>
        <v>11.25032258</v>
      </c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</row>
    <row r="110" hidden="1" outlineLevel="2">
      <c r="A110" s="256" t="s">
        <v>10566</v>
      </c>
      <c r="B110" s="20">
        <f>COUNTIFS(Inventory!$D2:$D1136,"="&amp;B106, Inventory!$J2:$J1136,"Closed")</f>
        <v>4</v>
      </c>
      <c r="C110" s="20">
        <f>COUNTIFS(Inventory!$D2:$D1136,"="&amp;C106, Inventory!$J2:$J1136,"Closed")</f>
        <v>1</v>
      </c>
      <c r="D110" s="20">
        <f>COUNTIFS(Inventory!$D2:$D1136,"="&amp;D106, Inventory!$J2:$J1136,"Closed")</f>
        <v>4</v>
      </c>
      <c r="E110" s="20">
        <f>COUNTIFS(Inventory!$D2:$D1136,"="&amp;E106, Inventory!$J2:$J1136,"Closed")</f>
        <v>4</v>
      </c>
      <c r="F110" s="20">
        <f>COUNTIFS(Inventory!$D2:$D1136,"="&amp;F106, Inventory!$J2:$J1136,"Closed")</f>
        <v>7</v>
      </c>
      <c r="G110" s="20">
        <f>COUNTIFS(Inventory!$D2:$D1136,"="&amp;G106, Inventory!$J2:$J1136,"Closed")</f>
        <v>1</v>
      </c>
      <c r="H110" s="20">
        <f>COUNTIFS(Inventory!$D2:$D1136,"="&amp;H106, Inventory!$J2:$J1136,"Closed")</f>
        <v>2</v>
      </c>
      <c r="I110" s="20">
        <f>COUNTIFS(Inventory!$D2:$D1136,"="&amp;I106, Inventory!$J2:$J1136,"Closed")</f>
        <v>6</v>
      </c>
      <c r="J110" s="20">
        <f>COUNTIFS(Inventory!$D2:$D1136,"="&amp;J106, Inventory!$J2:$J1136,"Closed")</f>
        <v>11</v>
      </c>
      <c r="K110" s="20">
        <f>COUNTIFS(Inventory!$D2:$D1136,"="&amp;K106, Inventory!$J2:$J1136,"Closed")</f>
        <v>4</v>
      </c>
      <c r="L110" s="20">
        <f>COUNTIFS(Inventory!$D2:$D1136,"="&amp;L106, Inventory!$J2:$J1136,"Closed")</f>
        <v>2</v>
      </c>
      <c r="M110" s="20">
        <f>COUNTIFS(Inventory!$D2:$D1136,"="&amp;M106, Inventory!$J2:$J1136,"Closed")</f>
        <v>2</v>
      </c>
      <c r="N110" s="20">
        <f>COUNTIFS(Inventory!$D2:$D1136,"="&amp;N106, Inventory!$J2:$J1136,"Closed")</f>
        <v>5</v>
      </c>
      <c r="O110" s="20">
        <f>COUNTIFS(Inventory!$D2:$D1136,"="&amp;O106, Inventory!$J2:$J1136,"Closed")</f>
        <v>3</v>
      </c>
      <c r="P110" s="20">
        <f>COUNTIFS(Inventory!$D2:$D1136,"="&amp;P106, Inventory!$J2:$J1136,"Closed")</f>
        <v>6</v>
      </c>
      <c r="Q110" s="20">
        <f>COUNTIFS(Inventory!$D2:$D1136,"="&amp;Q106, Inventory!$J2:$J1136,"Closed")</f>
        <v>1</v>
      </c>
      <c r="R110" s="20">
        <f>COUNTIFS(Inventory!$D2:$D1136,"="&amp;R106, Inventory!$J2:$J1136,"Closed")</f>
        <v>5</v>
      </c>
      <c r="S110" s="20">
        <f>COUNTIFS(Inventory!$D2:$D1136,"="&amp;S106, Inventory!$J2:$J1136,"Closed")</f>
        <v>3</v>
      </c>
      <c r="T110" s="20">
        <f>COUNTIFS(Inventory!$D2:$D1136,"="&amp;T106, Inventory!$J2:$J1136,"Closed")</f>
        <v>1</v>
      </c>
      <c r="U110" s="20">
        <f>COUNTIFS(Inventory!$D2:$D1136,"="&amp;U106, Inventory!$J2:$J1136,"Closed")</f>
        <v>1</v>
      </c>
      <c r="V110" s="20">
        <f>COUNTIFS(Inventory!$D2:$D1136,"="&amp;V106, Inventory!$J2:$J1136,"Closed")</f>
        <v>0</v>
      </c>
      <c r="W110" s="20">
        <f>COUNTIFS(Inventory!$D2:$D1136,"="&amp;W106, Inventory!$J2:$J1136,"Closed")</f>
        <v>0</v>
      </c>
      <c r="X110" s="20">
        <f>COUNTIFS(Inventory!$D2:$D1136,"="&amp;X106, Inventory!$J2:$J1136,"Closed")</f>
        <v>2</v>
      </c>
      <c r="Y110" s="20">
        <f>COUNTIFS(Inventory!$D2:$D1136,"="&amp;Y106, Inventory!$J2:$J1136,"Closed")</f>
        <v>2</v>
      </c>
      <c r="Z110" s="20">
        <f>COUNTIFS(Inventory!$D2:$D1136,"="&amp;Z106, Inventory!$J2:$J1136,"Closed")</f>
        <v>1</v>
      </c>
      <c r="AA110" s="20">
        <f>COUNTIFS(Inventory!$D2:$D1136,"="&amp;AA106, Inventory!$J2:$J1136,"Closed")</f>
        <v>1</v>
      </c>
      <c r="AB110" s="20">
        <f>COUNTIFS(Inventory!$D2:$D1136,"="&amp;AB106, Inventory!$J2:$J1136,"Closed")</f>
        <v>1</v>
      </c>
      <c r="AC110" s="20">
        <f>COUNTIFS(Inventory!$D2:$D1136,"="&amp;AC106, Inventory!$J2:$J1136,"Closed")</f>
        <v>0</v>
      </c>
      <c r="AD110" s="20">
        <f>COUNTIFS(Inventory!$D2:$D1136,"="&amp;AD106, Inventory!$J2:$J1136,"Closed")</f>
        <v>0</v>
      </c>
      <c r="AE110" s="20">
        <f>COUNTIFS(Inventory!$D2:$D1136,"="&amp;AE106, Inventory!$J2:$J1136,"Closed")</f>
        <v>0</v>
      </c>
      <c r="AF110" s="20">
        <f>COUNTIFS(Inventory!$D2:$D1136,"="&amp;AF106, Inventory!$J2:$J1136,"Closed")</f>
        <v>0</v>
      </c>
      <c r="AG110" s="20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</row>
    <row r="111" hidden="1" outlineLevel="1">
      <c r="A111" s="253" t="s">
        <v>10209</v>
      </c>
      <c r="B111" s="255">
        <v>44866.0</v>
      </c>
      <c r="C111" s="255">
        <v>44867.0</v>
      </c>
      <c r="D111" s="255">
        <v>44868.0</v>
      </c>
      <c r="E111" s="255">
        <v>44869.0</v>
      </c>
      <c r="F111" s="254">
        <v>44870.0</v>
      </c>
      <c r="G111" s="254">
        <v>44871.0</v>
      </c>
      <c r="H111" s="255">
        <v>44872.0</v>
      </c>
      <c r="I111" s="255">
        <v>44873.0</v>
      </c>
      <c r="J111" s="255">
        <v>44874.0</v>
      </c>
      <c r="K111" s="255">
        <v>44875.0</v>
      </c>
      <c r="L111" s="255">
        <v>44876.0</v>
      </c>
      <c r="M111" s="254">
        <v>44877.0</v>
      </c>
      <c r="N111" s="254">
        <v>44878.0</v>
      </c>
      <c r="O111" s="255">
        <v>44879.0</v>
      </c>
      <c r="P111" s="255">
        <v>44880.0</v>
      </c>
      <c r="Q111" s="255">
        <v>44881.0</v>
      </c>
      <c r="R111" s="255">
        <v>44882.0</v>
      </c>
      <c r="S111" s="255">
        <v>44883.0</v>
      </c>
      <c r="T111" s="254">
        <v>44884.0</v>
      </c>
      <c r="U111" s="254">
        <v>44885.0</v>
      </c>
      <c r="V111" s="255">
        <v>44886.0</v>
      </c>
      <c r="W111" s="255">
        <v>44887.0</v>
      </c>
      <c r="X111" s="255">
        <v>44888.0</v>
      </c>
      <c r="Y111" s="255">
        <v>44889.0</v>
      </c>
      <c r="Z111" s="255">
        <v>44890.0</v>
      </c>
      <c r="AA111" s="254">
        <v>44891.0</v>
      </c>
      <c r="AB111" s="254">
        <v>44892.0</v>
      </c>
      <c r="AC111" s="255">
        <v>44893.0</v>
      </c>
      <c r="AD111" s="255">
        <v>44894.0</v>
      </c>
      <c r="AE111" s="255">
        <v>44895.0</v>
      </c>
      <c r="AF111" s="255"/>
      <c r="AG111" s="20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</row>
    <row r="112" hidden="1" outlineLevel="2">
      <c r="A112" s="256" t="s">
        <v>9</v>
      </c>
      <c r="B112" s="20">
        <f>SUMIF(Inventory!$D2:$D1136,"="&amp;B111, Inventory!$F2:$F1136)</f>
        <v>0</v>
      </c>
      <c r="C112" s="20">
        <f>SUMIF(Inventory!$D2:$D1136,"="&amp;C111, Inventory!$F2:$F1136)</f>
        <v>0</v>
      </c>
      <c r="D112" s="20">
        <f>SUMIF(Inventory!$D2:$D1136,"="&amp;D111, Inventory!$F2:$F1136)</f>
        <v>5.6</v>
      </c>
      <c r="E112" s="20">
        <f>SUMIF(Inventory!$D2:$D1136,"="&amp;E111, Inventory!$F2:$F1136)</f>
        <v>5.39</v>
      </c>
      <c r="F112" s="20">
        <f>SUMIF(Inventory!$D2:$D1136,"="&amp;F111, Inventory!$F2:$F1136)</f>
        <v>0</v>
      </c>
      <c r="G112" s="20">
        <f>SUMIF(Inventory!$D2:$D1136,"="&amp;G111, Inventory!$F2:$F1136)</f>
        <v>13.33</v>
      </c>
      <c r="H112" s="20">
        <f>SUMIF(Inventory!$D2:$D1136,"="&amp;H111, Inventory!$F2:$F1136)</f>
        <v>59.69</v>
      </c>
      <c r="I112" s="20">
        <f>SUMIF(Inventory!$D2:$D1136,"="&amp;I111, Inventory!$F2:$F1136)</f>
        <v>61.63</v>
      </c>
      <c r="J112" s="20">
        <f>SUMIF(Inventory!$D2:$D1136,"="&amp;J111, Inventory!$F2:$F1136)</f>
        <v>14.83</v>
      </c>
      <c r="K112" s="20">
        <f>SUMIF(Inventory!$D2:$D1136,"="&amp;K111, Inventory!$F2:$F1136)</f>
        <v>8.38</v>
      </c>
      <c r="L112" s="20">
        <f>SUMIF(Inventory!$D2:$D1136,"="&amp;L111, Inventory!$F2:$F1136)</f>
        <v>12.5</v>
      </c>
      <c r="M112" s="20">
        <f>SUMIF(Inventory!$D2:$D1136,"="&amp;M111, Inventory!$F2:$F1136)</f>
        <v>51.69</v>
      </c>
      <c r="N112" s="20">
        <f>SUMIF(Inventory!$D2:$D1136,"="&amp;N111, Inventory!$F2:$F1136)</f>
        <v>10.79</v>
      </c>
      <c r="O112" s="20">
        <f>SUMIF(Inventory!$D2:$D1136,"="&amp;O111, Inventory!$F2:$F1136)</f>
        <v>0</v>
      </c>
      <c r="P112" s="20">
        <f>SUMIF(Inventory!$D2:$D1136,"="&amp;P111, Inventory!$F2:$F1136)</f>
        <v>0</v>
      </c>
      <c r="Q112" s="20">
        <f>SUMIF(Inventory!$D2:$D1136,"="&amp;Q111, Inventory!$F2:$F1136)</f>
        <v>0</v>
      </c>
      <c r="R112" s="20">
        <f>SUMIF(Inventory!$D2:$D1136,"="&amp;R111, Inventory!$F2:$F1136)</f>
        <v>47.65</v>
      </c>
      <c r="S112" s="20">
        <f>SUMIF(Inventory!$D2:$D1136,"="&amp;S111, Inventory!$F2:$F1136)</f>
        <v>0</v>
      </c>
      <c r="T112" s="20">
        <f>SUMIF(Inventory!$D2:$D1136,"="&amp;T111, Inventory!$F2:$F1136)</f>
        <v>0</v>
      </c>
      <c r="U112" s="20">
        <f>SUMIF(Inventory!$D2:$D1136,"="&amp;U111, Inventory!$F2:$F1136)</f>
        <v>5.16</v>
      </c>
      <c r="V112" s="20">
        <f>SUMIF(Inventory!$D2:$D1136,"="&amp;V111, Inventory!$F2:$F1136)</f>
        <v>0</v>
      </c>
      <c r="W112" s="20">
        <f>SUMIF(Inventory!$D2:$D1136,"="&amp;W111, Inventory!$F2:$F1136)</f>
        <v>10.89</v>
      </c>
      <c r="X112" s="20">
        <f>SUMIF(Inventory!$D2:$D1136,"="&amp;X111, Inventory!$F2:$F1136)</f>
        <v>6.21</v>
      </c>
      <c r="Y112" s="20">
        <f>SUMIF(Inventory!$D2:$D1136,"="&amp;Y111, Inventory!$F2:$F1136)</f>
        <v>4.06</v>
      </c>
      <c r="Z112" s="20">
        <f>SUMIF(Inventory!$D2:$D1136,"="&amp;Z111, Inventory!$F2:$F1136)</f>
        <v>16.27</v>
      </c>
      <c r="AA112" s="20">
        <f>SUMIF(Inventory!$D2:$D1136,"="&amp;AA111, Inventory!$F2:$F1136)</f>
        <v>0</v>
      </c>
      <c r="AB112" s="20">
        <f>SUMIF(Inventory!$D2:$D1136,"="&amp;AB111, Inventory!$F2:$F1136)</f>
        <v>0</v>
      </c>
      <c r="AC112" s="20">
        <f>SUMIF(Inventory!$D2:$D1136,"="&amp;AC111, Inventory!$F2:$F1136)</f>
        <v>5.01</v>
      </c>
      <c r="AD112" s="20">
        <f>SUMIF(Inventory!$D2:$D1136,"="&amp;AD111, Inventory!$F2:$F1136)</f>
        <v>0</v>
      </c>
      <c r="AE112" s="20">
        <f>SUMIF(Inventory!$D2:$D1136,"="&amp;AE111, Inventory!$F2:$F1136)</f>
        <v>37.93</v>
      </c>
      <c r="AG112" s="20">
        <f t="shared" ref="AG112:AG114" si="47">SUM(B112:AF112)</f>
        <v>377.01</v>
      </c>
      <c r="AH112" s="21">
        <f t="shared" ref="AH112:AH114" si="48">AVERAGE(B112:AF112)</f>
        <v>12.567</v>
      </c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</row>
    <row r="113" hidden="1" outlineLevel="2">
      <c r="A113" s="256" t="s">
        <v>10</v>
      </c>
      <c r="B113" s="20">
        <f>SUMIF(Inventory!$D2:$D1136,"="&amp;B111, Inventory!$E2:$E1136)</f>
        <v>0</v>
      </c>
      <c r="C113" s="20">
        <f>SUMIF(Inventory!$D2:$D1136,"="&amp;C111, Inventory!$E2:$E1136)</f>
        <v>0</v>
      </c>
      <c r="D113" s="20">
        <f>SUMIF(Inventory!$D2:$D1136,"="&amp;D111, Inventory!$E2:$E1136)</f>
        <v>2.67</v>
      </c>
      <c r="E113" s="20">
        <f>SUMIF(Inventory!$D2:$D1136,"="&amp;E111, Inventory!$E2:$E1136)</f>
        <v>2.67</v>
      </c>
      <c r="F113" s="20">
        <f>SUMIF(Inventory!$D2:$D1136,"="&amp;F111, Inventory!$E2:$E1136)</f>
        <v>0</v>
      </c>
      <c r="G113" s="20">
        <f>SUMIF(Inventory!$D2:$D1136,"="&amp;G111, Inventory!$E2:$E1136)</f>
        <v>11.73</v>
      </c>
      <c r="H113" s="20">
        <f>SUMIF(Inventory!$D2:$D1136,"="&amp;H111, Inventory!$E2:$E1136)</f>
        <v>38.39</v>
      </c>
      <c r="I113" s="20">
        <f>SUMIF(Inventory!$D2:$D1136,"="&amp;I111, Inventory!$E2:$E1136)</f>
        <v>41.87</v>
      </c>
      <c r="J113" s="20">
        <f>SUMIF(Inventory!$D2:$D1136,"="&amp;J111, Inventory!$E2:$E1136)</f>
        <v>12.45</v>
      </c>
      <c r="K113" s="20">
        <f>SUMIF(Inventory!$D2:$D1136,"="&amp;K111, Inventory!$E2:$E1136)</f>
        <v>5</v>
      </c>
      <c r="L113" s="20">
        <f>SUMIF(Inventory!$D2:$D1136,"="&amp;L111, Inventory!$E2:$E1136)</f>
        <v>9.44</v>
      </c>
      <c r="M113" s="20">
        <f>SUMIF(Inventory!$D2:$D1136,"="&amp;M111, Inventory!$E2:$E1136)</f>
        <v>32.52</v>
      </c>
      <c r="N113" s="20">
        <f>SUMIF(Inventory!$D2:$D1136,"="&amp;N111, Inventory!$E2:$E1136)</f>
        <v>5.86</v>
      </c>
      <c r="O113" s="20">
        <f>SUMIF(Inventory!$D2:$D1136,"="&amp;O111, Inventory!$E2:$E1136)</f>
        <v>0</v>
      </c>
      <c r="P113" s="20">
        <f>SUMIF(Inventory!$D2:$D1136,"="&amp;P111, Inventory!$E2:$E1136)</f>
        <v>0</v>
      </c>
      <c r="Q113" s="20">
        <f>SUMIF(Inventory!$D2:$D1136,"="&amp;Q111, Inventory!$E2:$E1136)</f>
        <v>0</v>
      </c>
      <c r="R113" s="20">
        <f>SUMIF(Inventory!$D2:$D1136,"="&amp;R111, Inventory!$E2:$E1136)</f>
        <v>36.51</v>
      </c>
      <c r="S113" s="20">
        <f>SUMIF(Inventory!$D2:$D1136,"="&amp;S111, Inventory!$E2:$E1136)</f>
        <v>0</v>
      </c>
      <c r="T113" s="20">
        <f>SUMIF(Inventory!$D2:$D1136,"="&amp;T111, Inventory!$E2:$E1136)</f>
        <v>0</v>
      </c>
      <c r="U113" s="20">
        <f>SUMIF(Inventory!$D2:$D1136,"="&amp;U111, Inventory!$E2:$E1136)</f>
        <v>2.79</v>
      </c>
      <c r="V113" s="20">
        <f>SUMIF(Inventory!$D2:$D1136,"="&amp;V111, Inventory!$E2:$E1136)</f>
        <v>0</v>
      </c>
      <c r="W113" s="20">
        <f>SUMIF(Inventory!$D2:$D1136,"="&amp;W111, Inventory!$E2:$E1136)</f>
        <v>8.95</v>
      </c>
      <c r="X113" s="20">
        <f>SUMIF(Inventory!$D2:$D1136,"="&amp;X111, Inventory!$E2:$E1136)</f>
        <v>5.16</v>
      </c>
      <c r="Y113" s="20">
        <f>SUMIF(Inventory!$D2:$D1136,"="&amp;Y111, Inventory!$E2:$E1136)</f>
        <v>2.58</v>
      </c>
      <c r="Z113" s="20">
        <f>SUMIF(Inventory!$D2:$D1136,"="&amp;Z111, Inventory!$E2:$E1136)</f>
        <v>10.79</v>
      </c>
      <c r="AA113" s="20">
        <f>SUMIF(Inventory!$D2:$D1136,"="&amp;AA111, Inventory!$E2:$E1136)</f>
        <v>0</v>
      </c>
      <c r="AB113" s="20">
        <f>SUMIF(Inventory!$D2:$D1136,"="&amp;AB111, Inventory!$E2:$E1136)</f>
        <v>0</v>
      </c>
      <c r="AC113" s="20">
        <f>SUMIF(Inventory!$D2:$D1136,"="&amp;AC111, Inventory!$E2:$E1136)</f>
        <v>3.16</v>
      </c>
      <c r="AD113" s="20">
        <f>SUMIF(Inventory!$D2:$D1136,"="&amp;AD111, Inventory!$E2:$E1136)</f>
        <v>0</v>
      </c>
      <c r="AE113" s="20">
        <f>SUMIF(Inventory!$D2:$D1136,"="&amp;AE111, Inventory!$E2:$E1136)</f>
        <v>24.76</v>
      </c>
      <c r="AG113" s="20">
        <f t="shared" si="47"/>
        <v>257.3</v>
      </c>
      <c r="AH113" s="21">
        <f t="shared" si="48"/>
        <v>8.576666667</v>
      </c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</row>
    <row r="114" hidden="1" outlineLevel="2">
      <c r="A114" s="256" t="s">
        <v>11</v>
      </c>
      <c r="B114" s="20">
        <f>SUMIF(Inventory!$D2:$D1136,"="&amp;B111, Inventory!$G2:$G1136)</f>
        <v>0</v>
      </c>
      <c r="C114" s="20">
        <f>SUMIF(Inventory!$D2:$D1136,"="&amp;C111, Inventory!$G2:$G1136)</f>
        <v>0</v>
      </c>
      <c r="D114" s="20">
        <f>SUMIF(Inventory!$D2:$D1136,"="&amp;D111, Inventory!$G2:$G1136)</f>
        <v>2.93</v>
      </c>
      <c r="E114" s="20">
        <f>SUMIF(Inventory!$D2:$D1136,"="&amp;E111, Inventory!$G2:$G1136)</f>
        <v>2.72</v>
      </c>
      <c r="F114" s="20">
        <f>SUMIF(Inventory!$D2:$D1136,"="&amp;F111, Inventory!$G2:$G1136)</f>
        <v>0</v>
      </c>
      <c r="G114" s="20">
        <f>SUMIF(Inventory!$D2:$D1136,"="&amp;G111, Inventory!$G2:$G1136)</f>
        <v>1.6</v>
      </c>
      <c r="H114" s="20">
        <f>SUMIF(Inventory!$D2:$D1136,"="&amp;H111, Inventory!$G2:$G1136)</f>
        <v>21.3</v>
      </c>
      <c r="I114" s="20">
        <f>SUMIF(Inventory!$D2:$D1136,"="&amp;I111, Inventory!$G2:$G1136)</f>
        <v>19.76</v>
      </c>
      <c r="J114" s="20">
        <f>SUMIF(Inventory!$D2:$D1136,"="&amp;J111, Inventory!$G2:$G1136)</f>
        <v>2.38</v>
      </c>
      <c r="K114" s="20">
        <f>SUMIF(Inventory!$D2:$D1136,"="&amp;K111, Inventory!$G2:$G1136)</f>
        <v>3.38</v>
      </c>
      <c r="L114" s="20">
        <f>SUMIF(Inventory!$D2:$D1136,"="&amp;L111, Inventory!$G2:$G1136)</f>
        <v>3.06</v>
      </c>
      <c r="M114" s="20">
        <f>SUMIF(Inventory!$D2:$D1136,"="&amp;M111, Inventory!$G2:$G1136)</f>
        <v>19.17</v>
      </c>
      <c r="N114" s="20">
        <f>SUMIF(Inventory!$D2:$D1136,"="&amp;N111, Inventory!$G2:$G1136)</f>
        <v>4.93</v>
      </c>
      <c r="O114" s="20">
        <f>SUMIF(Inventory!$D2:$D1136,"="&amp;O111, Inventory!$G2:$G1136)</f>
        <v>0</v>
      </c>
      <c r="P114" s="20">
        <f>SUMIF(Inventory!$D2:$D1136,"="&amp;P111, Inventory!$G2:$G1136)</f>
        <v>0</v>
      </c>
      <c r="Q114" s="20">
        <f>SUMIF(Inventory!$D2:$D1136,"="&amp;Q111, Inventory!$G2:$G1136)</f>
        <v>0</v>
      </c>
      <c r="R114" s="20">
        <f>SUMIF(Inventory!$D2:$D1136,"="&amp;R111, Inventory!$G2:$G1136)</f>
        <v>11.14</v>
      </c>
      <c r="S114" s="20">
        <f>SUMIF(Inventory!$D2:$D1136,"="&amp;S111, Inventory!$G2:$G1136)</f>
        <v>0</v>
      </c>
      <c r="T114" s="20">
        <f>SUMIF(Inventory!$D2:$D1136,"="&amp;T111, Inventory!$G2:$G1136)</f>
        <v>0</v>
      </c>
      <c r="U114" s="20">
        <f>SUMIF(Inventory!$D2:$D1136,"="&amp;U111, Inventory!$G2:$G1136)</f>
        <v>2.37</v>
      </c>
      <c r="V114" s="20">
        <f>SUMIF(Inventory!$D2:$D1136,"="&amp;V111, Inventory!$G2:$G1136)</f>
        <v>0</v>
      </c>
      <c r="W114" s="20">
        <f>SUMIF(Inventory!$D2:$D1136,"="&amp;W111, Inventory!$G2:$G1136)</f>
        <v>1.94</v>
      </c>
      <c r="X114" s="20">
        <f>SUMIF(Inventory!$D2:$D1136,"="&amp;X111, Inventory!$G2:$G1136)</f>
        <v>1.05</v>
      </c>
      <c r="Y114" s="20">
        <f>SUMIF(Inventory!$D2:$D1136,"="&amp;Y111, Inventory!$G2:$G1136)</f>
        <v>1.48</v>
      </c>
      <c r="Z114" s="20">
        <f>SUMIF(Inventory!$D2:$D1136,"="&amp;Z111, Inventory!$G2:$G1136)</f>
        <v>5.48</v>
      </c>
      <c r="AA114" s="20">
        <f>SUMIF(Inventory!$D2:$D1136,"="&amp;AA111, Inventory!$G2:$G1136)</f>
        <v>0</v>
      </c>
      <c r="AB114" s="20">
        <f>SUMIF(Inventory!$D2:$D1136,"="&amp;AB111, Inventory!$G2:$G1136)</f>
        <v>0</v>
      </c>
      <c r="AC114" s="20">
        <f>SUMIF(Inventory!$D2:$D1136,"="&amp;AC111, Inventory!$G2:$G1136)</f>
        <v>1.85</v>
      </c>
      <c r="AD114" s="20">
        <f>SUMIF(Inventory!$D2:$D1136,"="&amp;AD111, Inventory!$G2:$G1136)</f>
        <v>0</v>
      </c>
      <c r="AE114" s="20">
        <f>SUMIF(Inventory!$D2:$D1136,"="&amp;AE111, Inventory!$G2:$G1136)</f>
        <v>13.17</v>
      </c>
      <c r="AG114" s="20">
        <f t="shared" si="47"/>
        <v>119.71</v>
      </c>
      <c r="AH114" s="21">
        <f t="shared" si="48"/>
        <v>3.990333333</v>
      </c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</row>
    <row r="115" hidden="1" outlineLevel="2">
      <c r="A115" s="256" t="s">
        <v>10566</v>
      </c>
      <c r="B115" s="20">
        <f>COUNTIFS(Inventory!$D2:$D1136,"="&amp;B111, Inventory!$J2:$J1136,"Closed")</f>
        <v>0</v>
      </c>
      <c r="C115" s="20">
        <f>COUNTIFS(Inventory!$D2:$D1136,"="&amp;C111, Inventory!$J2:$J1136,"Closed")</f>
        <v>0</v>
      </c>
      <c r="D115" s="20">
        <f>COUNTIFS(Inventory!$D2:$D1136,"="&amp;D111, Inventory!$J2:$J1136,"Closed")</f>
        <v>1</v>
      </c>
      <c r="E115" s="20">
        <f>COUNTIFS(Inventory!$D2:$D1136,"="&amp;E111, Inventory!$J2:$J1136,"Closed")</f>
        <v>1</v>
      </c>
      <c r="F115" s="20">
        <f>COUNTIFS(Inventory!$D2:$D1136,"="&amp;F111, Inventory!$J2:$J1136,"Closed")</f>
        <v>0</v>
      </c>
      <c r="G115" s="20">
        <f>COUNTIFS(Inventory!$D2:$D1136,"="&amp;G111, Inventory!$J2:$J1136,"Closed")</f>
        <v>1</v>
      </c>
      <c r="H115" s="20">
        <f>COUNTIFS(Inventory!$D2:$D1136,"="&amp;H111, Inventory!$J2:$J1136,"Closed")</f>
        <v>3</v>
      </c>
      <c r="I115" s="20">
        <f>COUNTIFS(Inventory!$D2:$D1136,"="&amp;I111, Inventory!$J2:$J1136,"Closed")</f>
        <v>3</v>
      </c>
      <c r="J115" s="20">
        <f>COUNTIFS(Inventory!$D2:$D1136,"="&amp;J111, Inventory!$J2:$J1136,"Closed")</f>
        <v>1</v>
      </c>
      <c r="K115" s="20">
        <f>COUNTIFS(Inventory!$D2:$D1136,"="&amp;K111, Inventory!$J2:$J1136,"Closed")</f>
        <v>1</v>
      </c>
      <c r="L115" s="20">
        <f>COUNTIFS(Inventory!$D2:$D1136,"="&amp;L111, Inventory!$J2:$J1136,"Closed")</f>
        <v>2</v>
      </c>
      <c r="M115" s="20">
        <f>COUNTIFS(Inventory!$D2:$D1136,"="&amp;M111, Inventory!$J2:$J1136,"Closed")</f>
        <v>3</v>
      </c>
      <c r="N115" s="20">
        <f>COUNTIFS(Inventory!$D2:$D1136,"="&amp;N111, Inventory!$J2:$J1136,"Closed")</f>
        <v>1</v>
      </c>
      <c r="O115" s="20">
        <f>COUNTIFS(Inventory!$D2:$D1136,"="&amp;O111, Inventory!$J2:$J1136,"Closed")</f>
        <v>0</v>
      </c>
      <c r="P115" s="20">
        <f>COUNTIFS(Inventory!$D2:$D1136,"="&amp;P111, Inventory!$J2:$J1136,"Closed")</f>
        <v>0</v>
      </c>
      <c r="Q115" s="20">
        <f>COUNTIFS(Inventory!$D2:$D1136,"="&amp;Q111, Inventory!$J2:$J1136,"Closed")</f>
        <v>0</v>
      </c>
      <c r="R115" s="20">
        <f>COUNTIFS(Inventory!$D2:$D1136,"="&amp;R111, Inventory!$J2:$J1136,"Closed")</f>
        <v>2</v>
      </c>
      <c r="S115" s="20">
        <f>COUNTIFS(Inventory!$D2:$D1136,"="&amp;S111, Inventory!$J2:$J1136,"Closed")</f>
        <v>0</v>
      </c>
      <c r="T115" s="20">
        <f>COUNTIFS(Inventory!$D2:$D1136,"="&amp;T111, Inventory!$J2:$J1136,"Closed")</f>
        <v>0</v>
      </c>
      <c r="U115" s="20">
        <f>COUNTIFS(Inventory!$D2:$D1136,"="&amp;U111, Inventory!$J2:$J1136,"Closed")</f>
        <v>1</v>
      </c>
      <c r="V115" s="20">
        <f>COUNTIFS(Inventory!$D2:$D1136,"="&amp;V111, Inventory!$J2:$J1136,"Closed")</f>
        <v>0</v>
      </c>
      <c r="W115" s="20">
        <f>COUNTIFS(Inventory!$D2:$D1136,"="&amp;W111, Inventory!$J2:$J1136,"Closed")</f>
        <v>1</v>
      </c>
      <c r="X115" s="20">
        <f>COUNTIFS(Inventory!$D2:$D1136,"="&amp;X111, Inventory!$J2:$J1136,"Closed")</f>
        <v>2</v>
      </c>
      <c r="Y115" s="20">
        <f>COUNTIFS(Inventory!$D2:$D1136,"="&amp;Y111, Inventory!$J2:$J1136,"Closed")</f>
        <v>1</v>
      </c>
      <c r="Z115" s="20">
        <f>COUNTIFS(Inventory!$D2:$D1136,"="&amp;Z111, Inventory!$J2:$J1136,"Closed")</f>
        <v>1</v>
      </c>
      <c r="AA115" s="20">
        <f>COUNTIFS(Inventory!$D2:$D1136,"="&amp;AA111, Inventory!$J2:$J1136,"Closed")</f>
        <v>0</v>
      </c>
      <c r="AB115" s="20">
        <f>COUNTIFS(Inventory!$D2:$D1136,"="&amp;AB111, Inventory!$J2:$J1136,"Closed")</f>
        <v>0</v>
      </c>
      <c r="AC115" s="20">
        <f>COUNTIFS(Inventory!$D2:$D1136,"="&amp;AC111, Inventory!$J2:$J1136,"Closed")</f>
        <v>1</v>
      </c>
      <c r="AD115" s="20">
        <f>COUNTIFS(Inventory!$D2:$D1136,"="&amp;AD111, Inventory!$J2:$J1136,"Closed")</f>
        <v>0</v>
      </c>
      <c r="AE115" s="20">
        <f>COUNTIFS(Inventory!$D2:$D1136,"="&amp;AE111, Inventory!$J2:$J1136,"Closed")</f>
        <v>3</v>
      </c>
      <c r="AG115" s="20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</row>
    <row r="116" hidden="1" outlineLevel="1">
      <c r="A116" s="253" t="s">
        <v>10210</v>
      </c>
      <c r="B116" s="255">
        <v>44896.0</v>
      </c>
      <c r="C116" s="255">
        <v>44897.0</v>
      </c>
      <c r="D116" s="254">
        <v>44898.0</v>
      </c>
      <c r="E116" s="254">
        <v>44899.0</v>
      </c>
      <c r="F116" s="255">
        <v>44900.0</v>
      </c>
      <c r="G116" s="255">
        <v>44901.0</v>
      </c>
      <c r="H116" s="255">
        <v>44902.0</v>
      </c>
      <c r="I116" s="255">
        <v>44903.0</v>
      </c>
      <c r="J116" s="255">
        <v>44904.0</v>
      </c>
      <c r="K116" s="254">
        <v>44905.0</v>
      </c>
      <c r="L116" s="254">
        <v>44906.0</v>
      </c>
      <c r="M116" s="255">
        <v>44907.0</v>
      </c>
      <c r="N116" s="255">
        <v>44908.0</v>
      </c>
      <c r="O116" s="255">
        <v>44909.0</v>
      </c>
      <c r="P116" s="255">
        <v>44910.0</v>
      </c>
      <c r="Q116" s="255">
        <v>44911.0</v>
      </c>
      <c r="R116" s="254">
        <v>44912.0</v>
      </c>
      <c r="S116" s="254">
        <v>44913.0</v>
      </c>
      <c r="T116" s="255">
        <v>44914.0</v>
      </c>
      <c r="U116" s="255">
        <v>44915.0</v>
      </c>
      <c r="V116" s="255">
        <v>44916.0</v>
      </c>
      <c r="W116" s="255">
        <v>44917.0</v>
      </c>
      <c r="X116" s="255">
        <v>44918.0</v>
      </c>
      <c r="Y116" s="254">
        <v>44919.0</v>
      </c>
      <c r="Z116" s="254">
        <v>44920.0</v>
      </c>
      <c r="AA116" s="255">
        <v>44921.0</v>
      </c>
      <c r="AB116" s="255">
        <v>44922.0</v>
      </c>
      <c r="AC116" s="255">
        <v>44923.0</v>
      </c>
      <c r="AD116" s="255">
        <v>44924.0</v>
      </c>
      <c r="AE116" s="255">
        <v>44925.0</v>
      </c>
      <c r="AF116" s="254">
        <v>44926.0</v>
      </c>
      <c r="AG116" s="20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</row>
    <row r="117" hidden="1" outlineLevel="1">
      <c r="A117" s="256" t="s">
        <v>9</v>
      </c>
      <c r="B117" s="20">
        <f>SUMIF(Inventory!$D2:$D1136,"="&amp;B116, Inventory!$F2:$F1136)</f>
        <v>24.64</v>
      </c>
      <c r="C117" s="20">
        <f>SUMIF(Inventory!$D2:$D1136,"="&amp;C116, Inventory!$F2:$F1136)</f>
        <v>0.58</v>
      </c>
      <c r="D117" s="20">
        <f>SUMIF(Inventory!$D2:$D1136,"="&amp;D116, Inventory!$F2:$F1136)</f>
        <v>0</v>
      </c>
      <c r="E117" s="20">
        <f>SUMIF(Inventory!$D2:$D1136,"="&amp;E116, Inventory!$F2:$F1136)</f>
        <v>8.48</v>
      </c>
      <c r="F117" s="20">
        <f>SUMIF(Inventory!$D2:$D1136,"="&amp;F116, Inventory!$F2:$F1136)</f>
        <v>19.96</v>
      </c>
      <c r="G117" s="20">
        <f>SUMIF(Inventory!$D2:$D1136,"="&amp;G116, Inventory!$F2:$F1136)</f>
        <v>15.5</v>
      </c>
      <c r="H117" s="20">
        <f>SUMIF(Inventory!$D2:$D1136,"="&amp;H116, Inventory!$F2:$F1136)</f>
        <v>0</v>
      </c>
      <c r="I117" s="20">
        <f>SUMIF(Inventory!$D2:$D1136,"="&amp;I116, Inventory!$F2:$F1136)</f>
        <v>0</v>
      </c>
      <c r="J117" s="20">
        <f>SUMIF(Inventory!$D2:$D1136,"="&amp;J116, Inventory!$F2:$F1136)</f>
        <v>0</v>
      </c>
      <c r="K117" s="20">
        <f>SUMIF(Inventory!$D2:$D1136,"="&amp;K116, Inventory!$F2:$F1136)</f>
        <v>0</v>
      </c>
      <c r="L117" s="20">
        <f>SUMIF(Inventory!$D2:$D1136,"="&amp;L116, Inventory!$F2:$F1136)</f>
        <v>49.76</v>
      </c>
      <c r="M117" s="20">
        <f>SUMIF(Inventory!$D2:$D1136,"="&amp;M116, Inventory!$F2:$F1136)</f>
        <v>0</v>
      </c>
      <c r="N117" s="20">
        <f>SUMIF(Inventory!$D2:$D1136,"="&amp;N116, Inventory!$F2:$F1136)</f>
        <v>26.28</v>
      </c>
      <c r="O117" s="20">
        <f>SUMIF(Inventory!$D2:$D1136,"="&amp;O116, Inventory!$F2:$F1136)</f>
        <v>0</v>
      </c>
      <c r="P117" s="20">
        <f>SUMIF(Inventory!$D2:$D1136,"="&amp;P116, Inventory!$F2:$F1136)</f>
        <v>46.64</v>
      </c>
      <c r="Q117" s="20">
        <f>SUMIF(Inventory!$D2:$D1136,"="&amp;Q116, Inventory!$F2:$F1136)</f>
        <v>0</v>
      </c>
      <c r="R117" s="20">
        <f>SUMIF(Inventory!$D2:$D1136,"="&amp;R116, Inventory!$F2:$F1136)</f>
        <v>8.21</v>
      </c>
      <c r="S117" s="20">
        <f>SUMIF(Inventory!$D2:$D1136,"="&amp;S116, Inventory!$F2:$F1136)</f>
        <v>104.72</v>
      </c>
      <c r="T117" s="20">
        <f>SUMIF(Inventory!$D2:$D1136,"="&amp;T116, Inventory!$F2:$F1136)</f>
        <v>4.94</v>
      </c>
      <c r="U117" s="20">
        <f>SUMIF(Inventory!$D2:$D1136,"="&amp;U116, Inventory!$F2:$F1136)</f>
        <v>14.82</v>
      </c>
      <c r="V117" s="20">
        <f>SUMIF(Inventory!$D2:$D1136,"="&amp;V116, Inventory!$F2:$F1136)</f>
        <v>40.11</v>
      </c>
      <c r="W117" s="20">
        <f>SUMIF(Inventory!$D2:$D1136,"="&amp;W116, Inventory!$F2:$F1136)</f>
        <v>0</v>
      </c>
      <c r="X117" s="20">
        <f>SUMIF(Inventory!$D2:$D1136,"="&amp;X116, Inventory!$F2:$F1136)</f>
        <v>0</v>
      </c>
      <c r="Y117" s="20">
        <f>SUMIF(Inventory!$D2:$D1136,"="&amp;Y116, Inventory!$F2:$F1136)</f>
        <v>26.65</v>
      </c>
      <c r="Z117" s="20">
        <f>SUMIF(Inventory!$D2:$D1136,"="&amp;Z116, Inventory!$F2:$F1136)</f>
        <v>8.2</v>
      </c>
      <c r="AA117" s="20">
        <f>SUMIF(Inventory!$D2:$D1136,"="&amp;AA116, Inventory!$F2:$F1136)</f>
        <v>46.62</v>
      </c>
      <c r="AB117" s="20">
        <f>SUMIF(Inventory!$D2:$D1136,"="&amp;AB116, Inventory!$F2:$F1136)</f>
        <v>10.1</v>
      </c>
      <c r="AC117" s="20">
        <f>SUMIF(Inventory!$D2:$D1136,"="&amp;AC116, Inventory!$F2:$F1136)</f>
        <v>0</v>
      </c>
      <c r="AD117" s="20">
        <f>SUMIF(Inventory!$D2:$D1136,"="&amp;AD116, Inventory!$F2:$F1136)</f>
        <v>0</v>
      </c>
      <c r="AE117" s="20">
        <f>SUMIF(Inventory!$D2:$D1136,"="&amp;AE116, Inventory!$F2:$F1136)</f>
        <v>0.04</v>
      </c>
      <c r="AF117" s="20">
        <f>SUMIF(Inventory!$D2:$D1136,"="&amp;AF116, Inventory!$F2:$F1136)</f>
        <v>0</v>
      </c>
      <c r="AG117" s="20">
        <f t="shared" ref="AG117:AG119" si="49">SUM(B117:AF117)</f>
        <v>456.25</v>
      </c>
      <c r="AH117" s="21">
        <f t="shared" ref="AH117:AH119" si="50">AVERAGE(B117:AF117)</f>
        <v>14.71774194</v>
      </c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  <c r="KJ117" s="21"/>
      <c r="KK117" s="21"/>
      <c r="KL117" s="21"/>
      <c r="KM117" s="21"/>
      <c r="KN117" s="21"/>
    </row>
    <row r="118" hidden="1" outlineLevel="1">
      <c r="A118" s="256" t="s">
        <v>10</v>
      </c>
      <c r="B118" s="20">
        <f>SUMIF(Inventory!$D2:$D1136,"="&amp;B116, Inventory!$E2:$E1136)</f>
        <v>18.43</v>
      </c>
      <c r="C118" s="20">
        <f>SUMIF(Inventory!$D2:$D1136,"="&amp;C116, Inventory!$E2:$E1136)</f>
        <v>0</v>
      </c>
      <c r="D118" s="20">
        <f>SUMIF(Inventory!$D2:$D1136,"="&amp;D116, Inventory!$E2:$E1136)</f>
        <v>0</v>
      </c>
      <c r="E118" s="20">
        <f>SUMIF(Inventory!$D2:$D1136,"="&amp;E116, Inventory!$E2:$E1136)</f>
        <v>8.41</v>
      </c>
      <c r="F118" s="20">
        <f>SUMIF(Inventory!$D2:$D1136,"="&amp;F116, Inventory!$E2:$E1136)</f>
        <v>14.31</v>
      </c>
      <c r="G118" s="20">
        <f>SUMIF(Inventory!$D2:$D1136,"="&amp;G116, Inventory!$E2:$E1136)</f>
        <v>8.24</v>
      </c>
      <c r="H118" s="20">
        <f>SUMIF(Inventory!$D2:$D1136,"="&amp;H116, Inventory!$E2:$E1136)</f>
        <v>0</v>
      </c>
      <c r="I118" s="20">
        <f>SUMIF(Inventory!$D2:$D1136,"="&amp;I116, Inventory!$E2:$E1136)</f>
        <v>0</v>
      </c>
      <c r="J118" s="20">
        <f>SUMIF(Inventory!$D2:$D1136,"="&amp;J116, Inventory!$E2:$E1136)</f>
        <v>0</v>
      </c>
      <c r="K118" s="20">
        <f>SUMIF(Inventory!$D2:$D1136,"="&amp;K116, Inventory!$E2:$E1136)</f>
        <v>0</v>
      </c>
      <c r="L118" s="20">
        <f>SUMIF(Inventory!$D2:$D1136,"="&amp;L116, Inventory!$E2:$E1136)</f>
        <v>30.83</v>
      </c>
      <c r="M118" s="20">
        <f>SUMIF(Inventory!$D2:$D1136,"="&amp;M116, Inventory!$E2:$E1136)</f>
        <v>0</v>
      </c>
      <c r="N118" s="20">
        <f>SUMIF(Inventory!$D2:$D1136,"="&amp;N116, Inventory!$E2:$E1136)</f>
        <v>15.98</v>
      </c>
      <c r="O118" s="20">
        <f>SUMIF(Inventory!$D2:$D1136,"="&amp;O116, Inventory!$E2:$E1136)</f>
        <v>0</v>
      </c>
      <c r="P118" s="20">
        <f>SUMIF(Inventory!$D2:$D1136,"="&amp;P116, Inventory!$E2:$E1136)</f>
        <v>34.41</v>
      </c>
      <c r="Q118" s="20">
        <f>SUMIF(Inventory!$D2:$D1136,"="&amp;Q116, Inventory!$E2:$E1136)</f>
        <v>0</v>
      </c>
      <c r="R118" s="20">
        <f>SUMIF(Inventory!$D2:$D1136,"="&amp;R116, Inventory!$E2:$E1136)</f>
        <v>6.4</v>
      </c>
      <c r="S118" s="20">
        <f>SUMIF(Inventory!$D2:$D1136,"="&amp;S116, Inventory!$E2:$E1136)</f>
        <v>74.37</v>
      </c>
      <c r="T118" s="20">
        <f>SUMIF(Inventory!$D2:$D1136,"="&amp;T116, Inventory!$E2:$E1136)</f>
        <v>3.79</v>
      </c>
      <c r="U118" s="20">
        <f>SUMIF(Inventory!$D2:$D1136,"="&amp;U116, Inventory!$E2:$E1136)</f>
        <v>11.37</v>
      </c>
      <c r="V118" s="20">
        <f>SUMIF(Inventory!$D2:$D1136,"="&amp;V116, Inventory!$E2:$E1136)</f>
        <v>19.74</v>
      </c>
      <c r="W118" s="20">
        <f>SUMIF(Inventory!$D2:$D1136,"="&amp;W116, Inventory!$E2:$E1136)</f>
        <v>0</v>
      </c>
      <c r="X118" s="20">
        <f>SUMIF(Inventory!$D2:$D1136,"="&amp;X116, Inventory!$E2:$E1136)</f>
        <v>0</v>
      </c>
      <c r="Y118" s="20">
        <f>SUMIF(Inventory!$D2:$D1136,"="&amp;Y116, Inventory!$E2:$E1136)</f>
        <v>15.44</v>
      </c>
      <c r="Z118" s="20">
        <f>SUMIF(Inventory!$D2:$D1136,"="&amp;Z116, Inventory!$E2:$E1136)</f>
        <v>4.79</v>
      </c>
      <c r="AA118" s="20">
        <f>SUMIF(Inventory!$D2:$D1136,"="&amp;AA116, Inventory!$E2:$E1136)</f>
        <v>36.15</v>
      </c>
      <c r="AB118" s="20">
        <f>SUMIF(Inventory!$D2:$D1136,"="&amp;AB116, Inventory!$E2:$E1136)</f>
        <v>6.4</v>
      </c>
      <c r="AC118" s="20">
        <f>SUMIF(Inventory!$D2:$D1136,"="&amp;AC116, Inventory!$E2:$E1136)</f>
        <v>0</v>
      </c>
      <c r="AD118" s="20">
        <f>SUMIF(Inventory!$D2:$D1136,"="&amp;AD116, Inventory!$E2:$E1136)</f>
        <v>0</v>
      </c>
      <c r="AE118" s="20">
        <f>SUMIF(Inventory!$D2:$D1136,"="&amp;AE116, Inventory!$E2:$E1136)</f>
        <v>0</v>
      </c>
      <c r="AF118" s="20">
        <f>SUMIF(Inventory!$D2:$D1136,"="&amp;AF116, Inventory!$E2:$E1136)</f>
        <v>0</v>
      </c>
      <c r="AG118" s="20">
        <f t="shared" si="49"/>
        <v>309.06</v>
      </c>
      <c r="AH118" s="21">
        <f t="shared" si="50"/>
        <v>9.969677419</v>
      </c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  <c r="KJ118" s="21"/>
      <c r="KK118" s="21"/>
      <c r="KL118" s="21"/>
      <c r="KM118" s="21"/>
      <c r="KN118" s="21"/>
    </row>
    <row r="119" hidden="1" outlineLevel="1">
      <c r="A119" s="256" t="s">
        <v>11</v>
      </c>
      <c r="B119" s="20">
        <f>SUMIF(Inventory!$D2:$D1136,"="&amp;B116, Inventory!$G2:$G1136)</f>
        <v>6.21</v>
      </c>
      <c r="C119" s="20">
        <f>SUMIF(Inventory!$D2:$D1136,"="&amp;C116, Inventory!$G2:$G1136)</f>
        <v>0.58</v>
      </c>
      <c r="D119" s="20">
        <f>SUMIF(Inventory!$D2:$D1136,"="&amp;D116, Inventory!$G2:$G1136)</f>
        <v>0</v>
      </c>
      <c r="E119" s="20">
        <f>SUMIF(Inventory!$D2:$D1136,"="&amp;E116, Inventory!$G2:$G1136)</f>
        <v>0.07</v>
      </c>
      <c r="F119" s="20">
        <f>SUMIF(Inventory!$D2:$D1136,"="&amp;F116, Inventory!$G2:$G1136)</f>
        <v>5.65</v>
      </c>
      <c r="G119" s="20">
        <f>SUMIF(Inventory!$D2:$D1136,"="&amp;G116, Inventory!$G2:$G1136)</f>
        <v>7.26</v>
      </c>
      <c r="H119" s="20">
        <f>SUMIF(Inventory!$D2:$D1136,"="&amp;H116, Inventory!$G2:$G1136)</f>
        <v>0</v>
      </c>
      <c r="I119" s="20">
        <f>SUMIF(Inventory!$D2:$D1136,"="&amp;I116, Inventory!$G2:$G1136)</f>
        <v>0</v>
      </c>
      <c r="J119" s="20">
        <f>SUMIF(Inventory!$D2:$D1136,"="&amp;J116, Inventory!$G2:$G1136)</f>
        <v>0</v>
      </c>
      <c r="K119" s="20">
        <f>SUMIF(Inventory!$D2:$D1136,"="&amp;K116, Inventory!$G2:$G1136)</f>
        <v>0</v>
      </c>
      <c r="L119" s="20">
        <f>SUMIF(Inventory!$D2:$D1136,"="&amp;L116, Inventory!$G2:$G1136)</f>
        <v>18.93</v>
      </c>
      <c r="M119" s="20">
        <f>SUMIF(Inventory!$D2:$D1136,"="&amp;M116, Inventory!$G2:$G1136)</f>
        <v>0</v>
      </c>
      <c r="N119" s="20">
        <f>SUMIF(Inventory!$D2:$D1136,"="&amp;N116, Inventory!$G2:$G1136)</f>
        <v>10.3</v>
      </c>
      <c r="O119" s="20">
        <f>SUMIF(Inventory!$D2:$D1136,"="&amp;O116, Inventory!$G2:$G1136)</f>
        <v>0</v>
      </c>
      <c r="P119" s="20">
        <f>SUMIF(Inventory!$D2:$D1136,"="&amp;P116, Inventory!$G2:$G1136)</f>
        <v>12.23</v>
      </c>
      <c r="Q119" s="20">
        <f>SUMIF(Inventory!$D2:$D1136,"="&amp;Q116, Inventory!$G2:$G1136)</f>
        <v>0</v>
      </c>
      <c r="R119" s="20">
        <f>SUMIF(Inventory!$D2:$D1136,"="&amp;R116, Inventory!$G2:$G1136)</f>
        <v>1.81</v>
      </c>
      <c r="S119" s="20">
        <f>SUMIF(Inventory!$D2:$D1136,"="&amp;S116, Inventory!$G2:$G1136)</f>
        <v>30.35</v>
      </c>
      <c r="T119" s="20">
        <f>SUMIF(Inventory!$D2:$D1136,"="&amp;T116, Inventory!$G2:$G1136)</f>
        <v>1.15</v>
      </c>
      <c r="U119" s="20">
        <f>SUMIF(Inventory!$D2:$D1136,"="&amp;U116, Inventory!$G2:$G1136)</f>
        <v>3.45</v>
      </c>
      <c r="V119" s="20">
        <f>SUMIF(Inventory!$D2:$D1136,"="&amp;V116, Inventory!$G2:$G1136)</f>
        <v>20.37</v>
      </c>
      <c r="W119" s="20">
        <f>SUMIF(Inventory!$D2:$D1136,"="&amp;W116, Inventory!$G2:$G1136)</f>
        <v>0</v>
      </c>
      <c r="X119" s="20">
        <f>SUMIF(Inventory!$D2:$D1136,"="&amp;X116, Inventory!$G2:$G1136)</f>
        <v>0</v>
      </c>
      <c r="Y119" s="20">
        <f>SUMIF(Inventory!$D2:$D1136,"="&amp;Y116, Inventory!$G2:$G1136)</f>
        <v>11.21</v>
      </c>
      <c r="Z119" s="20">
        <f>SUMIF(Inventory!$D2:$D1136,"="&amp;Z116, Inventory!$G2:$G1136)</f>
        <v>3.41</v>
      </c>
      <c r="AA119" s="20">
        <f>SUMIF(Inventory!$D2:$D1136,"="&amp;AA116, Inventory!$G2:$G1136)</f>
        <v>10.47</v>
      </c>
      <c r="AB119" s="20">
        <f>SUMIF(Inventory!$D2:$D1136,"="&amp;AB116, Inventory!$G2:$G1136)</f>
        <v>3.7</v>
      </c>
      <c r="AC119" s="20">
        <f>SUMIF(Inventory!$D2:$D1136,"="&amp;AC116, Inventory!$G2:$G1136)</f>
        <v>0</v>
      </c>
      <c r="AD119" s="20">
        <f>SUMIF(Inventory!$D2:$D1136,"="&amp;AD116, Inventory!$G2:$G1136)</f>
        <v>0</v>
      </c>
      <c r="AE119" s="20">
        <f>SUMIF(Inventory!$D2:$D1136,"="&amp;AE116, Inventory!$G2:$G1136)</f>
        <v>0.04</v>
      </c>
      <c r="AF119" s="20">
        <f>SUMIF(Inventory!$D2:$D1136,"="&amp;AF116, Inventory!$G2:$G1136)</f>
        <v>0</v>
      </c>
      <c r="AG119" s="20">
        <f t="shared" si="49"/>
        <v>147.19</v>
      </c>
      <c r="AH119" s="21">
        <f t="shared" si="50"/>
        <v>4.748064516</v>
      </c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  <c r="KJ119" s="21"/>
      <c r="KK119" s="21"/>
      <c r="KL119" s="21"/>
      <c r="KM119" s="21"/>
      <c r="KN119" s="21"/>
    </row>
    <row r="120" hidden="1" outlineLevel="1">
      <c r="A120" s="256" t="s">
        <v>10566</v>
      </c>
      <c r="B120" s="20">
        <f>COUNTIFS(Inventory!$D2:$D1136,"="&amp;B116, Inventory!$J2:$J1136,"Closed")</f>
        <v>2</v>
      </c>
      <c r="C120" s="20">
        <f>COUNTIFS(Inventory!$D2:$D1136,"="&amp;C116, Inventory!$J2:$J1136,"Closed")</f>
        <v>1</v>
      </c>
      <c r="D120" s="20">
        <f>COUNTIFS(Inventory!$D2:$D1136,"="&amp;D116, Inventory!$J2:$J1136,"Closed")</f>
        <v>0</v>
      </c>
      <c r="E120" s="20">
        <f>COUNTIFS(Inventory!$D2:$D1136,"="&amp;E116, Inventory!$J2:$J1136,"Closed")</f>
        <v>1</v>
      </c>
      <c r="F120" s="20">
        <f>COUNTIFS(Inventory!$D2:$D1136,"="&amp;F116, Inventory!$J2:$J1136,"Closed")</f>
        <v>2</v>
      </c>
      <c r="G120" s="20">
        <f>COUNTIFS(Inventory!$D2:$D1136,"="&amp;G116, Inventory!$J2:$J1136,"Closed")</f>
        <v>1</v>
      </c>
      <c r="H120" s="20">
        <f>COUNTIFS(Inventory!$D2:$D1136,"="&amp;H116, Inventory!$J2:$J1136,"Closed")</f>
        <v>0</v>
      </c>
      <c r="I120" s="20">
        <f>COUNTIFS(Inventory!$D2:$D1136,"="&amp;I116, Inventory!$J2:$J1136,"Closed")</f>
        <v>0</v>
      </c>
      <c r="J120" s="20">
        <f>COUNTIFS(Inventory!$D2:$D1136,"="&amp;J116, Inventory!$J2:$J1136,"Closed")</f>
        <v>0</v>
      </c>
      <c r="K120" s="20">
        <f>COUNTIFS(Inventory!$D2:$D1136,"="&amp;K116, Inventory!$J2:$J1136,"Closed")</f>
        <v>0</v>
      </c>
      <c r="L120" s="20">
        <f>COUNTIFS(Inventory!$D2:$D1136,"="&amp;L116, Inventory!$J2:$J1136,"Closed")</f>
        <v>3</v>
      </c>
      <c r="M120" s="20">
        <f>COUNTIFS(Inventory!$D2:$D1136,"="&amp;M116, Inventory!$J2:$J1136,"Closed")</f>
        <v>0</v>
      </c>
      <c r="N120" s="20">
        <f>COUNTIFS(Inventory!$D2:$D1136,"="&amp;N116, Inventory!$J2:$J1136,"Closed")</f>
        <v>1</v>
      </c>
      <c r="O120" s="20">
        <f>COUNTIFS(Inventory!$D2:$D1136,"="&amp;O116, Inventory!$J2:$J1136,"Closed")</f>
        <v>0</v>
      </c>
      <c r="P120" s="20">
        <f>COUNTIFS(Inventory!$D2:$D1136,"="&amp;P116, Inventory!$J2:$J1136,"Closed")</f>
        <v>1</v>
      </c>
      <c r="Q120" s="20">
        <f>COUNTIFS(Inventory!$D2:$D1136,"="&amp;Q116, Inventory!$J2:$J1136,"Closed")</f>
        <v>0</v>
      </c>
      <c r="R120" s="20">
        <f>COUNTIFS(Inventory!$D2:$D1136,"="&amp;R116, Inventory!$J2:$J1136,"Closed")</f>
        <v>1</v>
      </c>
      <c r="S120" s="20">
        <f>COUNTIFS(Inventory!$D2:$D1136,"="&amp;S116, Inventory!$J2:$J1136,"Closed")</f>
        <v>8</v>
      </c>
      <c r="T120" s="20">
        <f>COUNTIFS(Inventory!$D2:$D1136,"="&amp;T116, Inventory!$J2:$J1136,"Closed")</f>
        <v>1</v>
      </c>
      <c r="U120" s="20">
        <f>COUNTIFS(Inventory!$D2:$D1136,"="&amp;U116, Inventory!$J2:$J1136,"Closed")</f>
        <v>3</v>
      </c>
      <c r="V120" s="20">
        <f>COUNTIFS(Inventory!$D2:$D1136,"="&amp;V116, Inventory!$J2:$J1136,"Closed")</f>
        <v>2</v>
      </c>
      <c r="W120" s="20">
        <f>COUNTIFS(Inventory!$D2:$D1136,"="&amp;W116, Inventory!$J2:$J1136,"Closed")</f>
        <v>0</v>
      </c>
      <c r="X120" s="20">
        <f>COUNTIFS(Inventory!$D2:$D1136,"="&amp;X116, Inventory!$J2:$J1136,"Closed")</f>
        <v>0</v>
      </c>
      <c r="Y120" s="20">
        <f>COUNTIFS(Inventory!$D2:$D1136,"="&amp;Y116, Inventory!$J2:$J1136,"Closed")</f>
        <v>1</v>
      </c>
      <c r="Z120" s="20">
        <f>COUNTIFS(Inventory!$D2:$D1136,"="&amp;Z116, Inventory!$J2:$J1136,"Closed")</f>
        <v>1</v>
      </c>
      <c r="AA120" s="20">
        <f>COUNTIFS(Inventory!$D2:$D1136,"="&amp;AA116, Inventory!$J2:$J1136,"Closed")</f>
        <v>1</v>
      </c>
      <c r="AB120" s="20">
        <f>COUNTIFS(Inventory!$D2:$D1136,"="&amp;AB116, Inventory!$J2:$J1136,"Closed")</f>
        <v>1</v>
      </c>
      <c r="AC120" s="20">
        <f>COUNTIFS(Inventory!$D2:$D1136,"="&amp;AC116, Inventory!$J2:$J1136,"Closed")</f>
        <v>0</v>
      </c>
      <c r="AD120" s="20">
        <f>COUNTIFS(Inventory!$D2:$D1136,"="&amp;AD116, Inventory!$J2:$J1136,"Closed")</f>
        <v>0</v>
      </c>
      <c r="AE120" s="20">
        <f>COUNTIFS(Inventory!$D2:$D1136,"="&amp;AE116, Inventory!$J2:$J1136,"Closed")</f>
        <v>1</v>
      </c>
      <c r="AF120" s="20">
        <f>COUNTIFS(Inventory!$D2:$D1136,"="&amp;AF116, Inventory!$J2:$J1136,"Closed")</f>
        <v>0</v>
      </c>
      <c r="AG120" s="20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  <c r="KJ120" s="21"/>
      <c r="KK120" s="21"/>
      <c r="KL120" s="21"/>
      <c r="KM120" s="21"/>
      <c r="KN120" s="21"/>
    </row>
    <row r="121">
      <c r="A121" s="168"/>
    </row>
    <row r="122">
      <c r="A122" s="168"/>
      <c r="P122" s="257" t="s">
        <v>16</v>
      </c>
      <c r="Q122" s="173">
        <f>SUM(AG62,AG67,AG72,AG77,AG82,AG87,AG92,AG97,AG102,AG107,AG112,AG117)</f>
        <v>14782.47</v>
      </c>
      <c r="S122" s="174">
        <f>AVERAGE(AH62,AH67,AH72,AH77,AH82,AH87,AH92,AH97,AH102,AH107,AH112,AH117)</f>
        <v>40.48722357</v>
      </c>
      <c r="V122" s="260" t="s">
        <v>20</v>
      </c>
      <c r="W122" s="173">
        <f>SUM(AG63,AG68,AG73,AG78,AG83,AG88,AG93,AG98,AG103,AG108,AG113,AG118)</f>
        <v>11353.63</v>
      </c>
      <c r="Y122" s="174">
        <f>AVERAGE(AH63,AH68,AH73,AH78,AH83,AH88,AH93,AH98,AH103,AH108,AH113,AH118)</f>
        <v>31.09280415</v>
      </c>
      <c r="AA122" s="261"/>
      <c r="AB122" s="260" t="s">
        <v>24</v>
      </c>
      <c r="AC122" s="173">
        <f>SUM(AG64,AG69,AG74,AG79,AG84,AG89,AG94,AG99,AG104,AG109,AG114,AG119)</f>
        <v>3428.84</v>
      </c>
      <c r="AE122" s="174">
        <f>AVERAGE(AH64,AH69,AH74,AH79,AH84,AH89,AH94,AH99,AH104,AH109,AH114,AH119)</f>
        <v>9.394419419</v>
      </c>
    </row>
    <row r="123">
      <c r="A123" s="253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55"/>
      <c r="AF123" s="25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  <c r="BB123" s="75"/>
      <c r="BC123" s="75"/>
      <c r="BD123" s="75"/>
      <c r="BE123" s="75"/>
      <c r="BF123" s="75"/>
      <c r="BG123" s="75"/>
      <c r="BH123" s="75"/>
      <c r="BI123" s="75"/>
      <c r="BJ123" s="75"/>
      <c r="BK123" s="75"/>
      <c r="BL123" s="75"/>
      <c r="BM123" s="75"/>
      <c r="BN123" s="75"/>
      <c r="BO123" s="75"/>
      <c r="BP123" s="75"/>
      <c r="BQ123" s="75"/>
      <c r="BR123" s="75"/>
      <c r="BS123" s="75"/>
      <c r="BT123" s="75"/>
      <c r="BU123" s="75"/>
      <c r="BV123" s="75"/>
      <c r="BW123" s="75"/>
      <c r="BX123" s="75"/>
      <c r="BY123" s="75"/>
      <c r="BZ123" s="75"/>
      <c r="CA123" s="75"/>
      <c r="CB123" s="75"/>
      <c r="CC123" s="75"/>
      <c r="CD123" s="75"/>
      <c r="CE123" s="75"/>
      <c r="CF123" s="75"/>
      <c r="CG123" s="75"/>
      <c r="CH123" s="75"/>
      <c r="CI123" s="75"/>
      <c r="CJ123" s="75"/>
      <c r="CK123" s="75"/>
      <c r="CL123" s="75"/>
      <c r="CM123" s="75"/>
      <c r="CN123" s="75"/>
      <c r="CO123" s="75"/>
      <c r="CP123" s="75"/>
      <c r="CQ123" s="75"/>
      <c r="CR123" s="75"/>
      <c r="CS123" s="75"/>
      <c r="CT123" s="75"/>
      <c r="CU123" s="75"/>
      <c r="CV123" s="75"/>
      <c r="CW123" s="75"/>
      <c r="CX123" s="75"/>
      <c r="CY123" s="75"/>
      <c r="CZ123" s="75"/>
      <c r="DA123" s="75"/>
      <c r="DB123" s="75"/>
      <c r="DC123" s="75"/>
      <c r="DD123" s="75"/>
      <c r="DE123" s="75"/>
      <c r="DF123" s="75"/>
      <c r="DG123" s="75"/>
      <c r="DH123" s="75"/>
      <c r="DI123" s="75"/>
      <c r="DJ123" s="75"/>
      <c r="DK123" s="75"/>
      <c r="DL123" s="75"/>
      <c r="DM123" s="75"/>
      <c r="DN123" s="75"/>
      <c r="DO123" s="75"/>
      <c r="DP123" s="75"/>
      <c r="DQ123" s="75"/>
      <c r="DR123" s="75"/>
      <c r="DS123" s="75"/>
      <c r="DT123" s="75"/>
      <c r="DU123" s="75"/>
      <c r="DV123" s="75"/>
      <c r="DW123" s="75"/>
      <c r="DX123" s="75"/>
      <c r="DY123" s="75"/>
      <c r="DZ123" s="75"/>
      <c r="EA123" s="75"/>
      <c r="EB123" s="75"/>
      <c r="EC123" s="75"/>
      <c r="ED123" s="75"/>
      <c r="EE123" s="75"/>
      <c r="EF123" s="75"/>
      <c r="EG123" s="75"/>
      <c r="EH123" s="75"/>
      <c r="EI123" s="75"/>
      <c r="EJ123" s="75"/>
      <c r="EK123" s="75"/>
      <c r="EL123" s="75"/>
      <c r="EM123" s="75"/>
      <c r="EN123" s="75"/>
      <c r="EO123" s="75"/>
      <c r="EP123" s="75"/>
      <c r="EQ123" s="75"/>
      <c r="ER123" s="75"/>
      <c r="ES123" s="75"/>
      <c r="ET123" s="75"/>
      <c r="EU123" s="75"/>
      <c r="EV123" s="75"/>
      <c r="EW123" s="75"/>
      <c r="EX123" s="75"/>
      <c r="EY123" s="75"/>
      <c r="EZ123" s="75"/>
      <c r="FA123" s="75"/>
      <c r="FB123" s="75"/>
      <c r="FC123" s="75"/>
      <c r="FD123" s="75"/>
      <c r="FE123" s="75"/>
      <c r="FF123" s="75"/>
      <c r="FG123" s="75"/>
      <c r="FH123" s="75"/>
      <c r="FI123" s="75"/>
      <c r="FJ123" s="75"/>
      <c r="FK123" s="75"/>
      <c r="FL123" s="75"/>
      <c r="FM123" s="75"/>
      <c r="FN123" s="75"/>
      <c r="FO123" s="75"/>
      <c r="FP123" s="75"/>
      <c r="FQ123" s="75"/>
      <c r="FR123" s="75"/>
      <c r="FS123" s="75"/>
      <c r="FT123" s="75"/>
      <c r="FU123" s="75"/>
      <c r="FV123" s="75"/>
      <c r="FW123" s="75"/>
      <c r="FX123" s="75"/>
      <c r="FY123" s="75"/>
      <c r="FZ123" s="75"/>
      <c r="GA123" s="75"/>
      <c r="GB123" s="75"/>
      <c r="GC123" s="75"/>
      <c r="GD123" s="75"/>
      <c r="GE123" s="75"/>
      <c r="GF123" s="75"/>
      <c r="GG123" s="75"/>
      <c r="GH123" s="75"/>
      <c r="GI123" s="75"/>
      <c r="GJ123" s="75"/>
      <c r="GK123" s="75"/>
      <c r="GL123" s="75"/>
      <c r="GM123" s="75"/>
      <c r="GN123" s="75"/>
      <c r="GO123" s="75"/>
      <c r="GP123" s="75"/>
      <c r="GQ123" s="75"/>
      <c r="GR123" s="75"/>
      <c r="GS123" s="75"/>
      <c r="GT123" s="75"/>
      <c r="GU123" s="75"/>
      <c r="GV123" s="75"/>
      <c r="GW123" s="75"/>
      <c r="GX123" s="75"/>
      <c r="GY123" s="75"/>
      <c r="GZ123" s="75"/>
      <c r="HA123" s="75"/>
      <c r="HB123" s="75"/>
      <c r="HC123" s="75"/>
      <c r="HD123" s="75"/>
      <c r="HE123" s="75"/>
      <c r="HF123" s="75"/>
      <c r="HG123" s="75"/>
      <c r="HH123" s="75"/>
      <c r="HI123" s="75"/>
      <c r="HJ123" s="75"/>
      <c r="HK123" s="75"/>
      <c r="HL123" s="75"/>
      <c r="HM123" s="75"/>
      <c r="HN123" s="75"/>
      <c r="HO123" s="75"/>
      <c r="HP123" s="75"/>
      <c r="HQ123" s="75"/>
      <c r="HR123" s="75"/>
      <c r="HS123" s="75"/>
      <c r="HT123" s="75"/>
      <c r="HU123" s="75"/>
      <c r="HV123" s="75"/>
      <c r="HW123" s="75"/>
      <c r="HX123" s="75"/>
      <c r="HY123" s="75"/>
      <c r="HZ123" s="75"/>
      <c r="IA123" s="75"/>
      <c r="IB123" s="75"/>
      <c r="IC123" s="75"/>
      <c r="ID123" s="75"/>
      <c r="IE123" s="75"/>
      <c r="IF123" s="75"/>
      <c r="IG123" s="75"/>
      <c r="IH123" s="75"/>
      <c r="II123" s="75"/>
      <c r="IJ123" s="75"/>
      <c r="IK123" s="75"/>
      <c r="IL123" s="75"/>
      <c r="IM123" s="75"/>
      <c r="IN123" s="75"/>
      <c r="IO123" s="75"/>
      <c r="IP123" s="75"/>
      <c r="IQ123" s="75"/>
      <c r="IR123" s="75"/>
      <c r="IS123" s="75"/>
      <c r="IT123" s="75"/>
      <c r="IU123" s="75"/>
      <c r="IV123" s="75"/>
      <c r="IW123" s="75"/>
      <c r="IX123" s="75"/>
      <c r="IY123" s="75"/>
      <c r="IZ123" s="75"/>
      <c r="JA123" s="75"/>
      <c r="JB123" s="75"/>
      <c r="JC123" s="75"/>
      <c r="JD123" s="75"/>
      <c r="JE123" s="75"/>
      <c r="JF123" s="75"/>
      <c r="JG123" s="75"/>
      <c r="JH123" s="75"/>
      <c r="JI123" s="75"/>
      <c r="JJ123" s="75"/>
      <c r="JK123" s="75"/>
      <c r="JL123" s="75"/>
      <c r="JM123" s="75"/>
      <c r="JN123" s="75"/>
      <c r="JO123" s="75"/>
      <c r="JP123" s="75"/>
      <c r="JQ123" s="75"/>
      <c r="JR123" s="75"/>
      <c r="JS123" s="75"/>
      <c r="JT123" s="75"/>
      <c r="JU123" s="75"/>
      <c r="JV123" s="75"/>
      <c r="JW123" s="75"/>
      <c r="JX123" s="75"/>
      <c r="JY123" s="75"/>
      <c r="JZ123" s="75"/>
      <c r="KA123" s="75"/>
      <c r="KB123" s="75"/>
      <c r="KC123" s="75"/>
      <c r="KD123" s="75"/>
      <c r="KE123" s="75"/>
      <c r="KF123" s="75"/>
      <c r="KG123" s="75"/>
      <c r="KH123" s="75"/>
      <c r="KI123" s="75"/>
      <c r="KJ123" s="75"/>
      <c r="KK123" s="75"/>
      <c r="KL123" s="75"/>
      <c r="KM123" s="75"/>
      <c r="KN123" s="75"/>
    </row>
    <row r="124">
      <c r="A124" s="252">
        <v>2021.0</v>
      </c>
      <c r="AI124" s="252"/>
      <c r="AJ124" s="252"/>
      <c r="AK124" s="252"/>
      <c r="AL124" s="252"/>
      <c r="AM124" s="252"/>
      <c r="AN124" s="252"/>
      <c r="AO124" s="252"/>
      <c r="AP124" s="252"/>
      <c r="AQ124" s="252"/>
      <c r="AR124" s="252"/>
      <c r="AS124" s="252"/>
      <c r="AT124" s="252"/>
      <c r="AU124" s="252"/>
      <c r="AV124" s="252"/>
      <c r="AW124" s="252"/>
      <c r="AX124" s="252"/>
      <c r="AY124" s="252"/>
      <c r="AZ124" s="252"/>
      <c r="BA124" s="252"/>
      <c r="BB124" s="252"/>
      <c r="BC124" s="252"/>
      <c r="BD124" s="252"/>
      <c r="BE124" s="252"/>
      <c r="BF124" s="252"/>
      <c r="BG124" s="252"/>
      <c r="BH124" s="252"/>
      <c r="BI124" s="252"/>
      <c r="BJ124" s="252"/>
      <c r="BK124" s="252"/>
      <c r="BL124" s="252"/>
      <c r="BM124" s="252"/>
      <c r="BN124" s="252"/>
      <c r="BO124" s="252"/>
      <c r="BP124" s="252"/>
      <c r="BQ124" s="252"/>
      <c r="BR124" s="252"/>
      <c r="BS124" s="252"/>
      <c r="BT124" s="252"/>
      <c r="BU124" s="252"/>
      <c r="BV124" s="252"/>
      <c r="BW124" s="252"/>
      <c r="BX124" s="252"/>
      <c r="BY124" s="252"/>
      <c r="BZ124" s="252"/>
      <c r="CA124" s="252"/>
      <c r="CB124" s="252"/>
      <c r="CC124" s="252"/>
      <c r="CD124" s="252"/>
      <c r="CE124" s="252"/>
      <c r="CF124" s="252"/>
      <c r="CG124" s="252"/>
      <c r="CH124" s="252"/>
      <c r="CI124" s="252"/>
      <c r="CJ124" s="252"/>
      <c r="CK124" s="252"/>
      <c r="CL124" s="252"/>
      <c r="CM124" s="252"/>
      <c r="CN124" s="252"/>
      <c r="CO124" s="252"/>
      <c r="CP124" s="252"/>
      <c r="CQ124" s="252"/>
      <c r="CR124" s="252"/>
      <c r="CS124" s="252"/>
      <c r="CT124" s="252"/>
      <c r="CU124" s="252"/>
      <c r="CV124" s="252"/>
      <c r="CW124" s="252"/>
      <c r="CX124" s="252"/>
      <c r="CY124" s="252"/>
      <c r="CZ124" s="252"/>
      <c r="DA124" s="252"/>
      <c r="DB124" s="252"/>
      <c r="DC124" s="252"/>
      <c r="DD124" s="252"/>
      <c r="DE124" s="252"/>
      <c r="DF124" s="252"/>
      <c r="DG124" s="252"/>
      <c r="DH124" s="252"/>
      <c r="DI124" s="252"/>
      <c r="DJ124" s="252"/>
      <c r="DK124" s="252"/>
      <c r="DL124" s="252"/>
      <c r="DM124" s="252"/>
      <c r="DN124" s="252"/>
      <c r="DO124" s="252"/>
      <c r="DP124" s="252"/>
      <c r="DQ124" s="252"/>
      <c r="DR124" s="252"/>
      <c r="DS124" s="252"/>
      <c r="DT124" s="252"/>
      <c r="DU124" s="252"/>
      <c r="DV124" s="252"/>
      <c r="DW124" s="252"/>
      <c r="DX124" s="252"/>
      <c r="DY124" s="252"/>
      <c r="DZ124" s="252"/>
      <c r="EA124" s="252"/>
      <c r="EB124" s="252"/>
      <c r="EC124" s="252"/>
      <c r="ED124" s="252"/>
      <c r="EE124" s="252"/>
      <c r="EF124" s="252"/>
      <c r="EG124" s="252"/>
      <c r="EH124" s="252"/>
      <c r="EI124" s="252"/>
      <c r="EJ124" s="252"/>
      <c r="EK124" s="252"/>
      <c r="EL124" s="252"/>
      <c r="EM124" s="252"/>
      <c r="EN124" s="252"/>
      <c r="EO124" s="252"/>
      <c r="EP124" s="252"/>
      <c r="EQ124" s="252"/>
      <c r="ER124" s="252"/>
      <c r="ES124" s="252"/>
      <c r="ET124" s="252"/>
      <c r="EU124" s="252"/>
      <c r="EV124" s="252"/>
      <c r="EW124" s="252"/>
      <c r="EX124" s="252"/>
      <c r="EY124" s="252"/>
      <c r="EZ124" s="252"/>
      <c r="FA124" s="252"/>
      <c r="FB124" s="252"/>
      <c r="FC124" s="252"/>
      <c r="FD124" s="252"/>
      <c r="FE124" s="252"/>
      <c r="FF124" s="252"/>
      <c r="FG124" s="252"/>
      <c r="FH124" s="252"/>
      <c r="FI124" s="252"/>
      <c r="FJ124" s="252"/>
      <c r="FK124" s="252"/>
      <c r="FL124" s="252"/>
      <c r="FM124" s="252"/>
      <c r="FN124" s="252"/>
      <c r="FO124" s="252"/>
      <c r="FP124" s="252"/>
      <c r="FQ124" s="252"/>
      <c r="FR124" s="252"/>
      <c r="FS124" s="252"/>
      <c r="FT124" s="252"/>
      <c r="FU124" s="252"/>
      <c r="FV124" s="252"/>
      <c r="FW124" s="252"/>
      <c r="FX124" s="252"/>
      <c r="FY124" s="252"/>
      <c r="FZ124" s="252"/>
      <c r="GA124" s="252"/>
      <c r="GB124" s="252"/>
      <c r="GC124" s="252"/>
      <c r="GD124" s="252"/>
      <c r="GE124" s="252"/>
      <c r="GF124" s="252"/>
      <c r="GG124" s="252"/>
      <c r="GH124" s="252"/>
      <c r="GI124" s="252"/>
      <c r="GJ124" s="252"/>
      <c r="GK124" s="252"/>
      <c r="GL124" s="252"/>
      <c r="GM124" s="252"/>
      <c r="GN124" s="252"/>
      <c r="GO124" s="252"/>
      <c r="GP124" s="252"/>
      <c r="GQ124" s="252"/>
      <c r="GR124" s="252"/>
      <c r="GS124" s="252"/>
      <c r="GT124" s="252"/>
      <c r="GU124" s="252"/>
      <c r="GV124" s="252"/>
      <c r="GW124" s="252"/>
      <c r="GX124" s="252"/>
      <c r="GY124" s="252"/>
      <c r="GZ124" s="252"/>
      <c r="HA124" s="252"/>
      <c r="HB124" s="252"/>
      <c r="HC124" s="252"/>
      <c r="HD124" s="252"/>
      <c r="HE124" s="252"/>
      <c r="HF124" s="252"/>
      <c r="HG124" s="252"/>
      <c r="HH124" s="252"/>
      <c r="HI124" s="252"/>
      <c r="HJ124" s="252"/>
      <c r="HK124" s="252"/>
      <c r="HL124" s="252"/>
      <c r="HM124" s="252"/>
      <c r="HN124" s="252"/>
      <c r="HO124" s="252"/>
      <c r="HP124" s="252"/>
      <c r="HQ124" s="252"/>
      <c r="HR124" s="252"/>
      <c r="HS124" s="252"/>
      <c r="HT124" s="252"/>
      <c r="HU124" s="252"/>
      <c r="HV124" s="252"/>
      <c r="HW124" s="252"/>
      <c r="HX124" s="252"/>
      <c r="HY124" s="252"/>
      <c r="HZ124" s="252"/>
      <c r="IA124" s="252"/>
      <c r="IB124" s="252"/>
      <c r="IC124" s="252"/>
      <c r="ID124" s="252"/>
      <c r="IE124" s="252"/>
      <c r="IF124" s="252"/>
      <c r="IG124" s="252"/>
      <c r="IH124" s="252"/>
      <c r="II124" s="252"/>
      <c r="IJ124" s="252"/>
      <c r="IK124" s="252"/>
      <c r="IL124" s="252"/>
      <c r="IM124" s="252"/>
      <c r="IN124" s="252"/>
      <c r="IO124" s="252"/>
      <c r="IP124" s="252"/>
      <c r="IQ124" s="252"/>
      <c r="IR124" s="252"/>
      <c r="IS124" s="252"/>
      <c r="IT124" s="252"/>
      <c r="IU124" s="252"/>
      <c r="IV124" s="252"/>
      <c r="IW124" s="252"/>
      <c r="IX124" s="252"/>
      <c r="IY124" s="252"/>
      <c r="IZ124" s="252"/>
      <c r="JA124" s="252"/>
      <c r="JB124" s="252"/>
      <c r="JC124" s="252"/>
      <c r="JD124" s="252"/>
      <c r="JE124" s="252"/>
      <c r="JF124" s="252"/>
      <c r="JG124" s="252"/>
      <c r="JH124" s="252"/>
      <c r="JI124" s="252"/>
      <c r="JJ124" s="252"/>
      <c r="JK124" s="252"/>
      <c r="JL124" s="252"/>
      <c r="JM124" s="252"/>
      <c r="JN124" s="252"/>
      <c r="JO124" s="252"/>
      <c r="JP124" s="252"/>
      <c r="JQ124" s="252"/>
      <c r="JR124" s="252"/>
      <c r="JS124" s="252"/>
      <c r="JT124" s="252"/>
      <c r="JU124" s="252"/>
      <c r="JV124" s="252"/>
      <c r="JW124" s="252"/>
      <c r="JX124" s="252"/>
      <c r="JY124" s="252"/>
      <c r="JZ124" s="252"/>
      <c r="KA124" s="252"/>
      <c r="KB124" s="252"/>
      <c r="KC124" s="252"/>
      <c r="KD124" s="252"/>
      <c r="KE124" s="252"/>
      <c r="KF124" s="252"/>
      <c r="KG124" s="252"/>
      <c r="KH124" s="252"/>
      <c r="KI124" s="252"/>
      <c r="KJ124" s="252"/>
      <c r="KK124" s="252"/>
      <c r="KL124" s="252"/>
      <c r="KM124" s="252"/>
      <c r="KN124" s="252"/>
    </row>
    <row r="125" outlineLevel="1">
      <c r="A125" s="253" t="s">
        <v>10211</v>
      </c>
      <c r="B125" s="255">
        <v>44197.0</v>
      </c>
      <c r="C125" s="255">
        <v>44198.0</v>
      </c>
      <c r="D125" s="255">
        <v>44199.0</v>
      </c>
      <c r="E125" s="255">
        <v>44200.0</v>
      </c>
      <c r="F125" s="255">
        <v>44201.0</v>
      </c>
      <c r="G125" s="255">
        <v>44202.0</v>
      </c>
      <c r="H125" s="255">
        <v>44203.0</v>
      </c>
      <c r="I125" s="255">
        <v>44204.0</v>
      </c>
      <c r="J125" s="255">
        <v>44205.0</v>
      </c>
      <c r="K125" s="255">
        <v>44206.0</v>
      </c>
      <c r="L125" s="255">
        <v>44207.0</v>
      </c>
      <c r="M125" s="255">
        <v>44208.0</v>
      </c>
      <c r="N125" s="255">
        <v>44209.0</v>
      </c>
      <c r="O125" s="255">
        <v>44210.0</v>
      </c>
      <c r="P125" s="255">
        <v>44211.0</v>
      </c>
      <c r="Q125" s="255">
        <v>44212.0</v>
      </c>
      <c r="R125" s="255">
        <v>44213.0</v>
      </c>
      <c r="S125" s="255">
        <v>44214.0</v>
      </c>
      <c r="T125" s="255">
        <v>44215.0</v>
      </c>
      <c r="U125" s="255">
        <v>44216.0</v>
      </c>
      <c r="V125" s="255">
        <v>44217.0</v>
      </c>
      <c r="W125" s="255">
        <v>44218.0</v>
      </c>
      <c r="X125" s="255">
        <v>44219.0</v>
      </c>
      <c r="Y125" s="255">
        <v>44220.0</v>
      </c>
      <c r="Z125" s="255">
        <v>44221.0</v>
      </c>
      <c r="AA125" s="255">
        <v>44222.0</v>
      </c>
      <c r="AB125" s="255">
        <v>44223.0</v>
      </c>
      <c r="AC125" s="255">
        <v>44224.0</v>
      </c>
      <c r="AD125" s="255">
        <v>44225.0</v>
      </c>
      <c r="AE125" s="255">
        <v>44226.0</v>
      </c>
      <c r="AF125" s="255">
        <v>44227.0</v>
      </c>
      <c r="AG125" s="75" t="s">
        <v>41</v>
      </c>
      <c r="AH125" s="75" t="s">
        <v>10252</v>
      </c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75"/>
      <c r="BU125" s="75"/>
      <c r="BV125" s="75"/>
      <c r="BW125" s="75"/>
      <c r="BX125" s="75"/>
      <c r="BY125" s="75"/>
      <c r="BZ125" s="75"/>
      <c r="CA125" s="75"/>
      <c r="CB125" s="75"/>
      <c r="CC125" s="75"/>
      <c r="CD125" s="75"/>
      <c r="CE125" s="75"/>
      <c r="CF125" s="75"/>
      <c r="CG125" s="75"/>
      <c r="CH125" s="75"/>
      <c r="CI125" s="75"/>
      <c r="CJ125" s="75"/>
      <c r="CK125" s="75"/>
      <c r="CL125" s="75"/>
      <c r="CM125" s="75"/>
      <c r="CN125" s="75"/>
      <c r="CO125" s="75"/>
      <c r="CP125" s="75"/>
      <c r="CQ125" s="75"/>
      <c r="CR125" s="75"/>
      <c r="CS125" s="75"/>
      <c r="CT125" s="75"/>
      <c r="CU125" s="75"/>
      <c r="CV125" s="75"/>
      <c r="CW125" s="75"/>
      <c r="CX125" s="75"/>
      <c r="CY125" s="75"/>
      <c r="CZ125" s="75"/>
      <c r="DA125" s="75"/>
      <c r="DB125" s="75"/>
      <c r="DC125" s="75"/>
      <c r="DD125" s="75"/>
      <c r="DE125" s="75"/>
      <c r="DF125" s="75"/>
      <c r="DG125" s="75"/>
      <c r="DH125" s="75"/>
      <c r="DI125" s="75"/>
      <c r="DJ125" s="75"/>
      <c r="DK125" s="75"/>
      <c r="DL125" s="75"/>
      <c r="DM125" s="75"/>
      <c r="DN125" s="75"/>
      <c r="DO125" s="75"/>
      <c r="DP125" s="75"/>
      <c r="DQ125" s="75"/>
      <c r="DR125" s="75"/>
      <c r="DS125" s="75"/>
      <c r="DT125" s="75"/>
      <c r="DU125" s="75"/>
      <c r="DV125" s="75"/>
      <c r="DW125" s="75"/>
      <c r="DX125" s="75"/>
      <c r="DY125" s="75"/>
      <c r="DZ125" s="75"/>
      <c r="EA125" s="75"/>
      <c r="EB125" s="75"/>
      <c r="EC125" s="75"/>
      <c r="ED125" s="75"/>
      <c r="EE125" s="75"/>
      <c r="EF125" s="75"/>
      <c r="EG125" s="75"/>
      <c r="EH125" s="75"/>
      <c r="EI125" s="75"/>
      <c r="EJ125" s="75"/>
      <c r="EK125" s="75"/>
      <c r="EL125" s="75"/>
      <c r="EM125" s="75"/>
      <c r="EN125" s="75"/>
      <c r="EO125" s="75"/>
      <c r="EP125" s="75"/>
      <c r="EQ125" s="75"/>
      <c r="ER125" s="75"/>
      <c r="ES125" s="75"/>
      <c r="ET125" s="75"/>
      <c r="EU125" s="75"/>
      <c r="EV125" s="75"/>
      <c r="EW125" s="75"/>
      <c r="EX125" s="75"/>
      <c r="EY125" s="75"/>
      <c r="EZ125" s="75"/>
      <c r="FA125" s="75"/>
      <c r="FB125" s="75"/>
      <c r="FC125" s="75"/>
      <c r="FD125" s="75"/>
      <c r="FE125" s="75"/>
      <c r="FF125" s="75"/>
      <c r="FG125" s="75"/>
      <c r="FH125" s="75"/>
      <c r="FI125" s="75"/>
      <c r="FJ125" s="75"/>
      <c r="FK125" s="75"/>
      <c r="FL125" s="75"/>
      <c r="FM125" s="75"/>
      <c r="FN125" s="75"/>
      <c r="FO125" s="75"/>
      <c r="FP125" s="75"/>
      <c r="FQ125" s="75"/>
      <c r="FR125" s="75"/>
      <c r="FS125" s="75"/>
      <c r="FT125" s="75"/>
      <c r="FU125" s="75"/>
      <c r="FV125" s="75"/>
      <c r="FW125" s="75"/>
      <c r="FX125" s="75"/>
      <c r="FY125" s="75"/>
      <c r="FZ125" s="75"/>
      <c r="GA125" s="75"/>
      <c r="GB125" s="75"/>
      <c r="GC125" s="75"/>
      <c r="GD125" s="75"/>
      <c r="GE125" s="75"/>
      <c r="GF125" s="75"/>
      <c r="GG125" s="75"/>
      <c r="GH125" s="75"/>
      <c r="GI125" s="75"/>
      <c r="GJ125" s="75"/>
      <c r="GK125" s="75"/>
      <c r="GL125" s="75"/>
      <c r="GM125" s="75"/>
      <c r="GN125" s="75"/>
      <c r="GO125" s="75"/>
      <c r="GP125" s="75"/>
      <c r="GQ125" s="75"/>
      <c r="GR125" s="75"/>
      <c r="GS125" s="75"/>
      <c r="GT125" s="75"/>
      <c r="GU125" s="75"/>
      <c r="GV125" s="75"/>
      <c r="GW125" s="75"/>
      <c r="GX125" s="75"/>
      <c r="GY125" s="75"/>
      <c r="GZ125" s="75"/>
      <c r="HA125" s="75"/>
      <c r="HB125" s="75"/>
      <c r="HC125" s="75"/>
      <c r="HD125" s="75"/>
      <c r="HE125" s="75"/>
      <c r="HF125" s="75"/>
      <c r="HG125" s="75"/>
      <c r="HH125" s="75"/>
      <c r="HI125" s="75"/>
      <c r="HJ125" s="75"/>
      <c r="HK125" s="75"/>
      <c r="HL125" s="75"/>
      <c r="HM125" s="75"/>
      <c r="HN125" s="75"/>
      <c r="HO125" s="75"/>
      <c r="HP125" s="75"/>
      <c r="HQ125" s="75"/>
      <c r="HR125" s="75"/>
      <c r="HS125" s="75"/>
      <c r="HT125" s="75"/>
      <c r="HU125" s="75"/>
      <c r="HV125" s="75"/>
      <c r="HW125" s="75"/>
      <c r="HX125" s="75"/>
      <c r="HY125" s="75"/>
      <c r="HZ125" s="75"/>
      <c r="IA125" s="75"/>
      <c r="IB125" s="75"/>
      <c r="IC125" s="75"/>
      <c r="ID125" s="75"/>
      <c r="IE125" s="75"/>
      <c r="IF125" s="75"/>
      <c r="IG125" s="75"/>
      <c r="IH125" s="75"/>
      <c r="II125" s="75"/>
      <c r="IJ125" s="75"/>
      <c r="IK125" s="75"/>
      <c r="IL125" s="75"/>
      <c r="IM125" s="75"/>
      <c r="IN125" s="75"/>
      <c r="IO125" s="75"/>
      <c r="IP125" s="75"/>
      <c r="IQ125" s="75"/>
      <c r="IR125" s="75"/>
      <c r="IS125" s="75"/>
      <c r="IT125" s="75"/>
      <c r="IU125" s="75"/>
      <c r="IV125" s="75"/>
      <c r="IW125" s="75"/>
      <c r="IX125" s="75"/>
      <c r="IY125" s="75"/>
      <c r="IZ125" s="75"/>
      <c r="JA125" s="75"/>
      <c r="JB125" s="75"/>
      <c r="JC125" s="75"/>
      <c r="JD125" s="75"/>
      <c r="JE125" s="75"/>
      <c r="JF125" s="75"/>
      <c r="JG125" s="75"/>
      <c r="JH125" s="75"/>
      <c r="JI125" s="75"/>
      <c r="JJ125" s="75"/>
      <c r="JK125" s="75"/>
      <c r="JL125" s="75"/>
      <c r="JM125" s="75"/>
      <c r="JN125" s="75"/>
      <c r="JO125" s="75"/>
      <c r="JP125" s="75"/>
      <c r="JQ125" s="75"/>
      <c r="JR125" s="75"/>
      <c r="JS125" s="75"/>
      <c r="JT125" s="75"/>
      <c r="JU125" s="75"/>
      <c r="JV125" s="75"/>
      <c r="JW125" s="75"/>
      <c r="JX125" s="75"/>
      <c r="JY125" s="75"/>
      <c r="JZ125" s="75"/>
      <c r="KA125" s="75"/>
      <c r="KB125" s="75"/>
      <c r="KC125" s="75"/>
      <c r="KD125" s="75"/>
      <c r="KE125" s="75"/>
      <c r="KF125" s="75"/>
      <c r="KG125" s="75"/>
      <c r="KH125" s="75"/>
      <c r="KI125" s="75"/>
      <c r="KJ125" s="75"/>
      <c r="KK125" s="75"/>
      <c r="KL125" s="75"/>
      <c r="KM125" s="75"/>
      <c r="KN125" s="75"/>
    </row>
    <row r="126" outlineLevel="2">
      <c r="A126" s="256" t="s">
        <v>9</v>
      </c>
      <c r="B126" s="20">
        <f>SUMIF(Inventory!$D2:$D1136,"="&amp;B125, Inventory!$F2:$F1136)</f>
        <v>0.72</v>
      </c>
      <c r="C126" s="20">
        <f>SUMIF(Inventory!$D2:$D1136,"="&amp;C125, Inventory!$F2:$F1136)</f>
        <v>0</v>
      </c>
      <c r="D126" s="20">
        <f>SUMIF(Inventory!$D2:$D1136,"="&amp;D125, Inventory!$F2:$F1136)</f>
        <v>15.29</v>
      </c>
      <c r="E126" s="20">
        <f>SUMIF(Inventory!$D2:$D1136,"="&amp;E125, Inventory!$F2:$F1136)</f>
        <v>0</v>
      </c>
      <c r="F126" s="20">
        <f>SUMIF(Inventory!$D2:$D1136,"="&amp;F125, Inventory!$F2:$F1136)</f>
        <v>18.89</v>
      </c>
      <c r="G126" s="20">
        <f>SUMIF(Inventory!$D2:$D1136,"="&amp;G125, Inventory!$F2:$F1136)</f>
        <v>29.76</v>
      </c>
      <c r="H126" s="20">
        <f>SUMIF(Inventory!$D2:$D1136,"="&amp;H125, Inventory!$F2:$F1136)</f>
        <v>26.58</v>
      </c>
      <c r="I126" s="20">
        <f>SUMIF(Inventory!$D2:$D1136,"="&amp;I125, Inventory!$F2:$F1136)</f>
        <v>0</v>
      </c>
      <c r="J126" s="20">
        <f>SUMIF(Inventory!$D2:$D1136,"="&amp;J125, Inventory!$F2:$F1136)</f>
        <v>5.02</v>
      </c>
      <c r="K126" s="20">
        <f>SUMIF(Inventory!$D2:$D1136,"="&amp;K125, Inventory!$F2:$F1136)</f>
        <v>2.56</v>
      </c>
      <c r="L126" s="20">
        <f>SUMIF(Inventory!$D2:$D1136,"="&amp;L125, Inventory!$F2:$F1136)</f>
        <v>0.66</v>
      </c>
      <c r="M126" s="20">
        <f>SUMIF(Inventory!$D2:$D1136,"="&amp;M125, Inventory!$F2:$F1136)</f>
        <v>8.57</v>
      </c>
      <c r="N126" s="20">
        <f>SUMIF(Inventory!$D2:$D1136,"="&amp;N125, Inventory!$F2:$F1136)</f>
        <v>0</v>
      </c>
      <c r="O126" s="20">
        <f>SUMIF(Inventory!$D2:$D1136,"="&amp;O125, Inventory!$F2:$F1136)</f>
        <v>40.31</v>
      </c>
      <c r="P126" s="20">
        <f>SUMIF(Inventory!$D2:$D1136,"="&amp;P125, Inventory!$F2:$F1136)</f>
        <v>0</v>
      </c>
      <c r="Q126" s="20">
        <f>SUMIF(Inventory!$D2:$D1136,"="&amp;Q125, Inventory!$F2:$F1136)</f>
        <v>25.25</v>
      </c>
      <c r="R126" s="20">
        <f>SUMIF(Inventory!$D2:$D1136,"="&amp;R125, Inventory!$F2:$F1136)</f>
        <v>4.09</v>
      </c>
      <c r="S126" s="20">
        <f>SUMIF(Inventory!$D2:$D1136,"="&amp;S125, Inventory!$F2:$F1136)</f>
        <v>3.76</v>
      </c>
      <c r="T126" s="20">
        <f>SUMIF(Inventory!$D2:$D1136,"="&amp;T125, Inventory!$F2:$F1136)</f>
        <v>21.73</v>
      </c>
      <c r="U126" s="20">
        <f>SUMIF(Inventory!$D2:$D1136,"="&amp;U125, Inventory!$F2:$F1136)</f>
        <v>3.91</v>
      </c>
      <c r="V126" s="20">
        <f>SUMIF(Inventory!$D2:$D1136,"="&amp;V125, Inventory!$F2:$F1136)</f>
        <v>20.16</v>
      </c>
      <c r="W126" s="20">
        <f>SUMIF(Inventory!$D2:$D1136,"="&amp;W125, Inventory!$F2:$F1136)</f>
        <v>4.72</v>
      </c>
      <c r="X126" s="20">
        <f>SUMIF(Inventory!$D2:$D1136,"="&amp;X125, Inventory!$F2:$F1136)</f>
        <v>16.19</v>
      </c>
      <c r="Y126" s="20">
        <f>SUMIF(Inventory!$D2:$D1136,"="&amp;Y125, Inventory!$F2:$F1136)</f>
        <v>4.22</v>
      </c>
      <c r="Z126" s="20">
        <f>SUMIF(Inventory!$D2:$D1136,"="&amp;Z125, Inventory!$F2:$F1136)</f>
        <v>0</v>
      </c>
      <c r="AA126" s="20">
        <f>SUMIF(Inventory!$D2:$D1136,"="&amp;AA125, Inventory!$F2:$F1136)</f>
        <v>15.65</v>
      </c>
      <c r="AB126" s="20">
        <f>SUMIF(Inventory!$D2:$D1136,"="&amp;AB125, Inventory!$F2:$F1136)</f>
        <v>0</v>
      </c>
      <c r="AC126" s="20">
        <f>SUMIF(Inventory!$D2:$D1136,"="&amp;AC125, Inventory!$F2:$F1136)</f>
        <v>3.9</v>
      </c>
      <c r="AD126" s="20">
        <f>SUMIF(Inventory!$D2:$D1136,"="&amp;AD125, Inventory!$F2:$F1136)</f>
        <v>4.23</v>
      </c>
      <c r="AE126" s="20">
        <f>SUMIF(Inventory!$D2:$D1136,"="&amp;AE125, Inventory!$F2:$F1136)</f>
        <v>37.08</v>
      </c>
      <c r="AF126" s="20">
        <f>SUMIF(Inventory!$D2:$D1136,"="&amp;AF125, Inventory!$F2:$F1136)</f>
        <v>5.37</v>
      </c>
      <c r="AG126" s="20">
        <f t="shared" ref="AG126:AG128" si="51">SUM(B126:AF126)</f>
        <v>318.62</v>
      </c>
      <c r="AH126" s="21">
        <f t="shared" ref="AH126:AH128" si="52">AVERAGE(B126:AF126)</f>
        <v>10.27806452</v>
      </c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  <c r="KJ126" s="21"/>
      <c r="KK126" s="21"/>
      <c r="KL126" s="21"/>
      <c r="KM126" s="21"/>
      <c r="KN126" s="21"/>
    </row>
    <row r="127" outlineLevel="2">
      <c r="A127" s="256" t="s">
        <v>10</v>
      </c>
      <c r="B127" s="20">
        <f>SUMIF(Inventory!$D2:$D1136,"="&amp;B125, Inventory!$E2:$E1136)</f>
        <v>0.47</v>
      </c>
      <c r="C127" s="20">
        <f>SUMIF(Inventory!$D2:$D1136,"="&amp;C125, Inventory!$E2:$E1136)</f>
        <v>0</v>
      </c>
      <c r="D127" s="20">
        <f>SUMIF(Inventory!$D2:$D1136,"="&amp;D125, Inventory!$E2:$E1136)</f>
        <v>11.48</v>
      </c>
      <c r="E127" s="20">
        <f>SUMIF(Inventory!$D2:$D1136,"="&amp;E125, Inventory!$E2:$E1136)</f>
        <v>0</v>
      </c>
      <c r="F127" s="20">
        <f>SUMIF(Inventory!$D2:$D1136,"="&amp;F125, Inventory!$E2:$E1136)</f>
        <v>13.63</v>
      </c>
      <c r="G127" s="20">
        <f>SUMIF(Inventory!$D2:$D1136,"="&amp;G125, Inventory!$E2:$E1136)</f>
        <v>20.29</v>
      </c>
      <c r="H127" s="20">
        <f>SUMIF(Inventory!$D2:$D1136,"="&amp;H125, Inventory!$E2:$E1136)</f>
        <v>22.17</v>
      </c>
      <c r="I127" s="20">
        <f>SUMIF(Inventory!$D2:$D1136,"="&amp;I125, Inventory!$E2:$E1136)</f>
        <v>0</v>
      </c>
      <c r="J127" s="20">
        <f>SUMIF(Inventory!$D2:$D1136,"="&amp;J125, Inventory!$E2:$E1136)</f>
        <v>3.82</v>
      </c>
      <c r="K127" s="20">
        <f>SUMIF(Inventory!$D2:$D1136,"="&amp;K125, Inventory!$E2:$E1136)</f>
        <v>1.04</v>
      </c>
      <c r="L127" s="20">
        <f>SUMIF(Inventory!$D2:$D1136,"="&amp;L125, Inventory!$E2:$E1136)</f>
        <v>0</v>
      </c>
      <c r="M127" s="20">
        <f>SUMIF(Inventory!$D2:$D1136,"="&amp;M125, Inventory!$E2:$E1136)</f>
        <v>4.53</v>
      </c>
      <c r="N127" s="20">
        <f>SUMIF(Inventory!$D2:$D1136,"="&amp;N125, Inventory!$E2:$E1136)</f>
        <v>0</v>
      </c>
      <c r="O127" s="20">
        <f>SUMIF(Inventory!$D2:$D1136,"="&amp;O125, Inventory!$E2:$E1136)</f>
        <v>29.23</v>
      </c>
      <c r="P127" s="20">
        <f>SUMIF(Inventory!$D2:$D1136,"="&amp;P125, Inventory!$E2:$E1136)</f>
        <v>0</v>
      </c>
      <c r="Q127" s="20">
        <f>SUMIF(Inventory!$D2:$D1136,"="&amp;Q125, Inventory!$E2:$E1136)</f>
        <v>24.71</v>
      </c>
      <c r="R127" s="20">
        <f>SUMIF(Inventory!$D2:$D1136,"="&amp;R125, Inventory!$E2:$E1136)</f>
        <v>2.06</v>
      </c>
      <c r="S127" s="20">
        <f>SUMIF(Inventory!$D2:$D1136,"="&amp;S125, Inventory!$E2:$E1136)</f>
        <v>2.45</v>
      </c>
      <c r="T127" s="20">
        <f>SUMIF(Inventory!$D2:$D1136,"="&amp;T125, Inventory!$E2:$E1136)</f>
        <v>14.13</v>
      </c>
      <c r="U127" s="20">
        <f>SUMIF(Inventory!$D2:$D1136,"="&amp;U125, Inventory!$E2:$E1136)</f>
        <v>2.81</v>
      </c>
      <c r="V127" s="20">
        <f>SUMIF(Inventory!$D2:$D1136,"="&amp;V125, Inventory!$E2:$E1136)</f>
        <v>19.28</v>
      </c>
      <c r="W127" s="20">
        <f>SUMIF(Inventory!$D2:$D1136,"="&amp;W125, Inventory!$E2:$E1136)</f>
        <v>2.45</v>
      </c>
      <c r="X127" s="20">
        <f>SUMIF(Inventory!$D2:$D1136,"="&amp;X125, Inventory!$E2:$E1136)</f>
        <v>13.37</v>
      </c>
      <c r="Y127" s="20">
        <f>SUMIF(Inventory!$D2:$D1136,"="&amp;Y125, Inventory!$E2:$E1136)</f>
        <v>2.75</v>
      </c>
      <c r="Z127" s="20">
        <f>SUMIF(Inventory!$D2:$D1136,"="&amp;Z125, Inventory!$E2:$E1136)</f>
        <v>0</v>
      </c>
      <c r="AA127" s="20">
        <f>SUMIF(Inventory!$D2:$D1136,"="&amp;AA125, Inventory!$E2:$E1136)</f>
        <v>13.51</v>
      </c>
      <c r="AB127" s="20">
        <f>SUMIF(Inventory!$D2:$D1136,"="&amp;AB125, Inventory!$E2:$E1136)</f>
        <v>0</v>
      </c>
      <c r="AC127" s="20">
        <f>SUMIF(Inventory!$D2:$D1136,"="&amp;AC125, Inventory!$E2:$E1136)</f>
        <v>2.81</v>
      </c>
      <c r="AD127" s="20">
        <f>SUMIF(Inventory!$D2:$D1136,"="&amp;AD125, Inventory!$E2:$E1136)</f>
        <v>2.75</v>
      </c>
      <c r="AE127" s="20">
        <f>SUMIF(Inventory!$D2:$D1136,"="&amp;AE125, Inventory!$E2:$E1136)</f>
        <v>24.47</v>
      </c>
      <c r="AF127" s="20">
        <f>SUMIF(Inventory!$D2:$D1136,"="&amp;AF125, Inventory!$E2:$E1136)</f>
        <v>2.45</v>
      </c>
      <c r="AG127" s="20">
        <f t="shared" si="51"/>
        <v>236.66</v>
      </c>
      <c r="AH127" s="21">
        <f t="shared" si="52"/>
        <v>7.634193548</v>
      </c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  <c r="KJ127" s="21"/>
      <c r="KK127" s="21"/>
      <c r="KL127" s="21"/>
      <c r="KM127" s="21"/>
      <c r="KN127" s="21"/>
    </row>
    <row r="128" outlineLevel="2">
      <c r="A128" s="256" t="s">
        <v>11</v>
      </c>
      <c r="B128" s="20">
        <f>SUMIF(Inventory!$D2:$D1136,"="&amp;B125, Inventory!$G2:$G1136)</f>
        <v>0.25</v>
      </c>
      <c r="C128" s="20">
        <f>SUMIF(Inventory!$D2:$D1136,"="&amp;C125, Inventory!$G2:$G1136)</f>
        <v>0</v>
      </c>
      <c r="D128" s="20">
        <f>SUMIF(Inventory!$D2:$D1136,"="&amp;D125, Inventory!$G2:$G1136)</f>
        <v>3.81</v>
      </c>
      <c r="E128" s="20">
        <f>SUMIF(Inventory!$D2:$D1136,"="&amp;E125, Inventory!$G2:$G1136)</f>
        <v>0</v>
      </c>
      <c r="F128" s="20">
        <f>SUMIF(Inventory!$D2:$D1136,"="&amp;F125, Inventory!$G2:$G1136)</f>
        <v>5.26</v>
      </c>
      <c r="G128" s="20">
        <f>SUMIF(Inventory!$D2:$D1136,"="&amp;G125, Inventory!$G2:$G1136)</f>
        <v>9.47</v>
      </c>
      <c r="H128" s="20">
        <f>SUMIF(Inventory!$D2:$D1136,"="&amp;H125, Inventory!$G2:$G1136)</f>
        <v>4.41</v>
      </c>
      <c r="I128" s="20">
        <f>SUMIF(Inventory!$D2:$D1136,"="&amp;I125, Inventory!$G2:$G1136)</f>
        <v>0</v>
      </c>
      <c r="J128" s="20">
        <f>SUMIF(Inventory!$D2:$D1136,"="&amp;J125, Inventory!$G2:$G1136)</f>
        <v>1.2</v>
      </c>
      <c r="K128" s="20">
        <f>SUMIF(Inventory!$D2:$D1136,"="&amp;K125, Inventory!$G2:$G1136)</f>
        <v>1.52</v>
      </c>
      <c r="L128" s="20">
        <f>SUMIF(Inventory!$D2:$D1136,"="&amp;L125, Inventory!$G2:$G1136)</f>
        <v>0.66</v>
      </c>
      <c r="M128" s="20">
        <f>SUMIF(Inventory!$D2:$D1136,"="&amp;M125, Inventory!$G2:$G1136)</f>
        <v>4.04</v>
      </c>
      <c r="N128" s="20">
        <f>SUMIF(Inventory!$D2:$D1136,"="&amp;N125, Inventory!$G2:$G1136)</f>
        <v>0</v>
      </c>
      <c r="O128" s="20">
        <f>SUMIF(Inventory!$D2:$D1136,"="&amp;O125, Inventory!$G2:$G1136)</f>
        <v>11.08</v>
      </c>
      <c r="P128" s="20">
        <f>SUMIF(Inventory!$D2:$D1136,"="&amp;P125, Inventory!$G2:$G1136)</f>
        <v>0</v>
      </c>
      <c r="Q128" s="20">
        <f>SUMIF(Inventory!$D2:$D1136,"="&amp;Q125, Inventory!$G2:$G1136)</f>
        <v>0.54</v>
      </c>
      <c r="R128" s="20">
        <f>SUMIF(Inventory!$D2:$D1136,"="&amp;R125, Inventory!$G2:$G1136)</f>
        <v>2.03</v>
      </c>
      <c r="S128" s="20">
        <f>SUMIF(Inventory!$D2:$D1136,"="&amp;S125, Inventory!$G2:$G1136)</f>
        <v>1.31</v>
      </c>
      <c r="T128" s="20">
        <f>SUMIF(Inventory!$D2:$D1136,"="&amp;T125, Inventory!$G2:$G1136)</f>
        <v>7.6</v>
      </c>
      <c r="U128" s="20">
        <f>SUMIF(Inventory!$D2:$D1136,"="&amp;U125, Inventory!$G2:$G1136)</f>
        <v>1.1</v>
      </c>
      <c r="V128" s="20">
        <f>SUMIF(Inventory!$D2:$D1136,"="&amp;V125, Inventory!$G2:$G1136)</f>
        <v>0.88</v>
      </c>
      <c r="W128" s="20">
        <f>SUMIF(Inventory!$D2:$D1136,"="&amp;W125, Inventory!$G2:$G1136)</f>
        <v>2.27</v>
      </c>
      <c r="X128" s="20">
        <f>SUMIF(Inventory!$D2:$D1136,"="&amp;X125, Inventory!$G2:$G1136)</f>
        <v>2.82</v>
      </c>
      <c r="Y128" s="20">
        <f>SUMIF(Inventory!$D2:$D1136,"="&amp;Y125, Inventory!$G2:$G1136)</f>
        <v>1.47</v>
      </c>
      <c r="Z128" s="20">
        <f>SUMIF(Inventory!$D2:$D1136,"="&amp;Z125, Inventory!$G2:$G1136)</f>
        <v>0</v>
      </c>
      <c r="AA128" s="20">
        <f>SUMIF(Inventory!$D2:$D1136,"="&amp;AA125, Inventory!$G2:$G1136)</f>
        <v>2.14</v>
      </c>
      <c r="AB128" s="20">
        <f>SUMIF(Inventory!$D2:$D1136,"="&amp;AB125, Inventory!$G2:$G1136)</f>
        <v>0</v>
      </c>
      <c r="AC128" s="20">
        <f>SUMIF(Inventory!$D2:$D1136,"="&amp;AC125, Inventory!$G2:$G1136)</f>
        <v>1.09</v>
      </c>
      <c r="AD128" s="20">
        <f>SUMIF(Inventory!$D2:$D1136,"="&amp;AD125, Inventory!$G2:$G1136)</f>
        <v>1.48</v>
      </c>
      <c r="AE128" s="20">
        <f>SUMIF(Inventory!$D2:$D1136,"="&amp;AE125, Inventory!$G2:$G1136)</f>
        <v>12.61</v>
      </c>
      <c r="AF128" s="20">
        <f>SUMIF(Inventory!$D2:$D1136,"="&amp;AF125, Inventory!$G2:$G1136)</f>
        <v>2.92</v>
      </c>
      <c r="AG128" s="20">
        <f t="shared" si="51"/>
        <v>81.96</v>
      </c>
      <c r="AH128" s="21">
        <f t="shared" si="52"/>
        <v>2.643870968</v>
      </c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  <c r="KJ128" s="21"/>
      <c r="KK128" s="21"/>
      <c r="KL128" s="21"/>
      <c r="KM128" s="21"/>
      <c r="KN128" s="21"/>
    </row>
    <row r="129" outlineLevel="2">
      <c r="A129" s="256" t="s">
        <v>10566</v>
      </c>
      <c r="B129" s="20">
        <f>COUNTIFS(Inventory!$D2:$D1136,"="&amp;B125, Inventory!$J2:$J1136,"Closed")</f>
        <v>1</v>
      </c>
      <c r="C129" s="20">
        <f>COUNTIFS(Inventory!$D2:$D1136,"="&amp;C125, Inventory!$J2:$J1136,"Closed")</f>
        <v>0</v>
      </c>
      <c r="D129" s="20">
        <f>COUNTIFS(Inventory!$D2:$D1136,"="&amp;D125, Inventory!$J2:$J1136,"Closed")</f>
        <v>1</v>
      </c>
      <c r="E129" s="20">
        <f>COUNTIFS(Inventory!$D2:$D1136,"="&amp;E125, Inventory!$J2:$J1136,"Closed")</f>
        <v>0</v>
      </c>
      <c r="F129" s="20">
        <f>COUNTIFS(Inventory!$D2:$D1136,"="&amp;F125, Inventory!$J2:$J1136,"Closed")</f>
        <v>3</v>
      </c>
      <c r="G129" s="20">
        <f>COUNTIFS(Inventory!$D2:$D1136,"="&amp;G125, Inventory!$J2:$J1136,"Closed")</f>
        <v>4</v>
      </c>
      <c r="H129" s="20">
        <f>COUNTIFS(Inventory!$D2:$D1136,"="&amp;H125, Inventory!$J2:$J1136,"Closed")</f>
        <v>2</v>
      </c>
      <c r="I129" s="20">
        <f>COUNTIFS(Inventory!$D2:$D1136,"="&amp;I125, Inventory!$J2:$J1136,"Closed")</f>
        <v>0</v>
      </c>
      <c r="J129" s="20">
        <f>COUNTIFS(Inventory!$D2:$D1136,"="&amp;J125, Inventory!$J2:$J1136,"Closed")</f>
        <v>1</v>
      </c>
      <c r="K129" s="20">
        <f>COUNTIFS(Inventory!$D2:$D1136,"="&amp;K125, Inventory!$J2:$J1136,"Closed")</f>
        <v>4</v>
      </c>
      <c r="L129" s="20">
        <f>COUNTIFS(Inventory!$D2:$D1136,"="&amp;L125, Inventory!$J2:$J1136,"Closed")</f>
        <v>1</v>
      </c>
      <c r="M129" s="20">
        <f>COUNTIFS(Inventory!$D2:$D1136,"="&amp;M125, Inventory!$J2:$J1136,"Closed")</f>
        <v>2</v>
      </c>
      <c r="N129" s="20">
        <f>COUNTIFS(Inventory!$D2:$D1136,"="&amp;N125, Inventory!$J2:$J1136,"Closed")</f>
        <v>0</v>
      </c>
      <c r="O129" s="20">
        <f>COUNTIFS(Inventory!$D2:$D1136,"="&amp;O125, Inventory!$J2:$J1136,"Closed")</f>
        <v>5</v>
      </c>
      <c r="P129" s="20">
        <f>COUNTIFS(Inventory!$D2:$D1136,"="&amp;P125, Inventory!$J2:$J1136,"Closed")</f>
        <v>0</v>
      </c>
      <c r="Q129" s="20">
        <f>COUNTIFS(Inventory!$D2:$D1136,"="&amp;Q125, Inventory!$J2:$J1136,"Closed")</f>
        <v>3</v>
      </c>
      <c r="R129" s="20">
        <f>COUNTIFS(Inventory!$D2:$D1136,"="&amp;R125, Inventory!$J2:$J1136,"Closed")</f>
        <v>1</v>
      </c>
      <c r="S129" s="20">
        <f>COUNTIFS(Inventory!$D2:$D1136,"="&amp;S125, Inventory!$J2:$J1136,"Closed")</f>
        <v>1</v>
      </c>
      <c r="T129" s="20">
        <f>COUNTIFS(Inventory!$D2:$D1136,"="&amp;T125, Inventory!$J2:$J1136,"Closed")</f>
        <v>4</v>
      </c>
      <c r="U129" s="20">
        <f>COUNTIFS(Inventory!$D2:$D1136,"="&amp;U125, Inventory!$J2:$J1136,"Closed")</f>
        <v>1</v>
      </c>
      <c r="V129" s="20">
        <f>COUNTIFS(Inventory!$D2:$D1136,"="&amp;V125, Inventory!$J2:$J1136,"Closed")</f>
        <v>3</v>
      </c>
      <c r="W129" s="20">
        <f>COUNTIFS(Inventory!$D2:$D1136,"="&amp;W125, Inventory!$J2:$J1136,"Closed")</f>
        <v>1</v>
      </c>
      <c r="X129" s="20">
        <f>COUNTIFS(Inventory!$D2:$D1136,"="&amp;X125, Inventory!$J2:$J1136,"Closed")</f>
        <v>2</v>
      </c>
      <c r="Y129" s="20">
        <f>COUNTIFS(Inventory!$D2:$D1136,"="&amp;Y125, Inventory!$J2:$J1136,"Closed")</f>
        <v>1</v>
      </c>
      <c r="Z129" s="20">
        <f>COUNTIFS(Inventory!$D2:$D1136,"="&amp;Z125, Inventory!$J2:$J1136,"Closed")</f>
        <v>0</v>
      </c>
      <c r="AA129" s="20">
        <f>COUNTIFS(Inventory!$D2:$D1136,"="&amp;AA125, Inventory!$J2:$J1136,"Closed")</f>
        <v>1</v>
      </c>
      <c r="AB129" s="20">
        <f>COUNTIFS(Inventory!$D2:$D1136,"="&amp;AB125, Inventory!$J2:$J1136,"Closed")</f>
        <v>0</v>
      </c>
      <c r="AC129" s="20">
        <f>COUNTIFS(Inventory!$D2:$D1136,"="&amp;AC125, Inventory!$J2:$J1136,"Closed")</f>
        <v>1</v>
      </c>
      <c r="AD129" s="20">
        <f>COUNTIFS(Inventory!$D2:$D1136,"="&amp;AD125, Inventory!$J2:$J1136,"Closed")</f>
        <v>1</v>
      </c>
      <c r="AE129" s="20">
        <f>COUNTIFS(Inventory!$D2:$D1136,"="&amp;AE125, Inventory!$J2:$J1136,"Closed")</f>
        <v>1</v>
      </c>
      <c r="AF129" s="20">
        <f>COUNTIFS(Inventory!$D2:$D1136,"="&amp;AF125, Inventory!$J2:$J1136,"Closed")</f>
        <v>1</v>
      </c>
      <c r="AG129" s="20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  <c r="KJ129" s="21"/>
      <c r="KK129" s="21"/>
      <c r="KL129" s="21"/>
      <c r="KM129" s="21"/>
      <c r="KN129" s="21"/>
    </row>
    <row r="130" outlineLevel="1" collapsed="1">
      <c r="A130" s="253" t="s">
        <v>10212</v>
      </c>
      <c r="B130" s="255">
        <v>44228.0</v>
      </c>
      <c r="C130" s="255">
        <v>44229.0</v>
      </c>
      <c r="D130" s="255">
        <v>44230.0</v>
      </c>
      <c r="E130" s="255">
        <v>44231.0</v>
      </c>
      <c r="F130" s="255">
        <v>44232.0</v>
      </c>
      <c r="G130" s="255">
        <v>44233.0</v>
      </c>
      <c r="H130" s="255">
        <v>44234.0</v>
      </c>
      <c r="I130" s="255">
        <v>44235.0</v>
      </c>
      <c r="J130" s="255">
        <v>44236.0</v>
      </c>
      <c r="K130" s="255">
        <v>44237.0</v>
      </c>
      <c r="L130" s="255">
        <v>44238.0</v>
      </c>
      <c r="M130" s="255">
        <v>44239.0</v>
      </c>
      <c r="N130" s="255">
        <v>44240.0</v>
      </c>
      <c r="O130" s="255">
        <v>44241.0</v>
      </c>
      <c r="P130" s="255">
        <v>44242.0</v>
      </c>
      <c r="Q130" s="255">
        <v>44243.0</v>
      </c>
      <c r="R130" s="255">
        <v>44244.0</v>
      </c>
      <c r="S130" s="255">
        <v>44245.0</v>
      </c>
      <c r="T130" s="255">
        <v>44246.0</v>
      </c>
      <c r="U130" s="255">
        <v>44247.0</v>
      </c>
      <c r="V130" s="255">
        <v>44248.0</v>
      </c>
      <c r="W130" s="255">
        <v>44249.0</v>
      </c>
      <c r="X130" s="255">
        <v>44250.0</v>
      </c>
      <c r="Y130" s="255">
        <v>44251.0</v>
      </c>
      <c r="Z130" s="255">
        <v>44252.0</v>
      </c>
      <c r="AA130" s="255">
        <v>44253.0</v>
      </c>
      <c r="AB130" s="255">
        <v>44254.0</v>
      </c>
      <c r="AC130" s="255">
        <v>44255.0</v>
      </c>
      <c r="AD130" s="255"/>
      <c r="AE130" s="255"/>
      <c r="AF130" s="255"/>
      <c r="AG130" s="20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1"/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  <c r="KJ130" s="21"/>
      <c r="KK130" s="21"/>
      <c r="KL130" s="21"/>
      <c r="KM130" s="21"/>
      <c r="KN130" s="21"/>
    </row>
    <row r="131" hidden="1" outlineLevel="2">
      <c r="A131" s="256" t="s">
        <v>9</v>
      </c>
      <c r="B131" s="20">
        <f>SUMIF(Inventory!$D2:$D1136,"="&amp;B130, Inventory!$F2:$F1136)</f>
        <v>0</v>
      </c>
      <c r="C131" s="20">
        <f>SUMIF(Inventory!$D2:$D1136,"="&amp;C130, Inventory!$F2:$F1136)</f>
        <v>6.69</v>
      </c>
      <c r="D131" s="20">
        <f>SUMIF(Inventory!$D2:$D1136,"="&amp;D130, Inventory!$F2:$F1136)</f>
        <v>0</v>
      </c>
      <c r="E131" s="20">
        <f>SUMIF(Inventory!$D2:$D1136,"="&amp;E130, Inventory!$F2:$F1136)</f>
        <v>0.76</v>
      </c>
      <c r="F131" s="20">
        <f>SUMIF(Inventory!$D2:$D1136,"="&amp;F130, Inventory!$F2:$F1136)</f>
        <v>0</v>
      </c>
      <c r="G131" s="20">
        <f>SUMIF(Inventory!$D2:$D1136,"="&amp;G130, Inventory!$F2:$F1136)</f>
        <v>9.67</v>
      </c>
      <c r="H131" s="20">
        <f>SUMIF(Inventory!$D2:$D1136,"="&amp;H130, Inventory!$F2:$F1136)</f>
        <v>12.11</v>
      </c>
      <c r="I131" s="20">
        <f>SUMIF(Inventory!$D2:$D1136,"="&amp;I130, Inventory!$F2:$F1136)</f>
        <v>6.18</v>
      </c>
      <c r="J131" s="20">
        <f>SUMIF(Inventory!$D2:$D1136,"="&amp;J130, Inventory!$F2:$F1136)</f>
        <v>0</v>
      </c>
      <c r="K131" s="20">
        <f>SUMIF(Inventory!$D2:$D1136,"="&amp;K130, Inventory!$F2:$F1136)</f>
        <v>1.11</v>
      </c>
      <c r="L131" s="20">
        <f>SUMIF(Inventory!$D2:$D1136,"="&amp;L130, Inventory!$F2:$F1136)</f>
        <v>3.38</v>
      </c>
      <c r="M131" s="20">
        <f>SUMIF(Inventory!$D2:$D1136,"="&amp;M130, Inventory!$F2:$F1136)</f>
        <v>0</v>
      </c>
      <c r="N131" s="20">
        <f>SUMIF(Inventory!$D2:$D1136,"="&amp;N130, Inventory!$F2:$F1136)</f>
        <v>0</v>
      </c>
      <c r="O131" s="20">
        <f>SUMIF(Inventory!$D2:$D1136,"="&amp;O130, Inventory!$F2:$F1136)</f>
        <v>4.8</v>
      </c>
      <c r="P131" s="20">
        <f>SUMIF(Inventory!$D2:$D1136,"="&amp;P130, Inventory!$F2:$F1136)</f>
        <v>0</v>
      </c>
      <c r="Q131" s="20">
        <f>SUMIF(Inventory!$D2:$D1136,"="&amp;Q130, Inventory!$F2:$F1136)</f>
        <v>19.43</v>
      </c>
      <c r="R131" s="20">
        <f>SUMIF(Inventory!$D2:$D1136,"="&amp;R130, Inventory!$F2:$F1136)</f>
        <v>0</v>
      </c>
      <c r="S131" s="20">
        <f>SUMIF(Inventory!$D2:$D1136,"="&amp;S130, Inventory!$F2:$F1136)</f>
        <v>0</v>
      </c>
      <c r="T131" s="20">
        <f>SUMIF(Inventory!$D2:$D1136,"="&amp;T130, Inventory!$F2:$F1136)</f>
        <v>0</v>
      </c>
      <c r="U131" s="20">
        <f>SUMIF(Inventory!$D2:$D1136,"="&amp;U130, Inventory!$F2:$F1136)</f>
        <v>5.37</v>
      </c>
      <c r="V131" s="20">
        <f>SUMIF(Inventory!$D2:$D1136,"="&amp;V130, Inventory!$F2:$F1136)</f>
        <v>0</v>
      </c>
      <c r="W131" s="20">
        <f>SUMIF(Inventory!$D2:$D1136,"="&amp;W130, Inventory!$F2:$F1136)</f>
        <v>0</v>
      </c>
      <c r="X131" s="20">
        <f>SUMIF(Inventory!$D2:$D1136,"="&amp;X130, Inventory!$F2:$F1136)</f>
        <v>27.6</v>
      </c>
      <c r="Y131" s="20">
        <f>SUMIF(Inventory!$D2:$D1136,"="&amp;Y130, Inventory!$F2:$F1136)</f>
        <v>0.64</v>
      </c>
      <c r="Z131" s="20">
        <f>SUMIF(Inventory!$D2:$D1136,"="&amp;Z130, Inventory!$F2:$F1136)</f>
        <v>0</v>
      </c>
      <c r="AA131" s="20">
        <f>SUMIF(Inventory!$D2:$D1136,"="&amp;AA130, Inventory!$F2:$F1136)</f>
        <v>0</v>
      </c>
      <c r="AB131" s="20">
        <f>SUMIF(Inventory!$D2:$D1136,"="&amp;AB130, Inventory!$F2:$F1136)</f>
        <v>0</v>
      </c>
      <c r="AC131" s="20">
        <f>SUMIF(Inventory!$D2:$D1136,"="&amp;AC130, Inventory!$F2:$F1136)</f>
        <v>4.93</v>
      </c>
      <c r="AD131" s="20"/>
      <c r="AE131" s="20"/>
      <c r="AF131" s="20"/>
      <c r="AG131" s="20">
        <f t="shared" ref="AG131:AG133" si="53">SUM(B131:AF131)</f>
        <v>102.67</v>
      </c>
      <c r="AH131" s="21">
        <f t="shared" ref="AH131:AH133" si="54">AVERAGE(B131:AF131)</f>
        <v>3.666785714</v>
      </c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1"/>
      <c r="JV131" s="21"/>
      <c r="JW131" s="21"/>
      <c r="JX131" s="21"/>
      <c r="JY131" s="21"/>
      <c r="JZ131" s="21"/>
      <c r="KA131" s="21"/>
      <c r="KB131" s="21"/>
      <c r="KC131" s="21"/>
      <c r="KD131" s="21"/>
      <c r="KE131" s="21"/>
      <c r="KF131" s="21"/>
      <c r="KG131" s="21"/>
      <c r="KH131" s="21"/>
      <c r="KI131" s="21"/>
      <c r="KJ131" s="21"/>
      <c r="KK131" s="21"/>
      <c r="KL131" s="21"/>
      <c r="KM131" s="21"/>
      <c r="KN131" s="21"/>
    </row>
    <row r="132" hidden="1" outlineLevel="2">
      <c r="A132" s="256" t="s">
        <v>10</v>
      </c>
      <c r="B132" s="20">
        <f>SUMIF(Inventory!$D2:$D1136,"="&amp;B130, Inventory!$E2:$E1136)</f>
        <v>0</v>
      </c>
      <c r="C132" s="20">
        <f>SUMIF(Inventory!$D2:$D1136,"="&amp;C130, Inventory!$E2:$E1136)</f>
        <v>2.45</v>
      </c>
      <c r="D132" s="20">
        <f>SUMIF(Inventory!$D2:$D1136,"="&amp;D130, Inventory!$E2:$E1136)</f>
        <v>0</v>
      </c>
      <c r="E132" s="20">
        <f>SUMIF(Inventory!$D2:$D1136,"="&amp;E130, Inventory!$E2:$E1136)</f>
        <v>0</v>
      </c>
      <c r="F132" s="20">
        <f>SUMIF(Inventory!$D2:$D1136,"="&amp;F130, Inventory!$E2:$E1136)</f>
        <v>0</v>
      </c>
      <c r="G132" s="20">
        <f>SUMIF(Inventory!$D2:$D1136,"="&amp;G130, Inventory!$E2:$E1136)</f>
        <v>9.41</v>
      </c>
      <c r="H132" s="20">
        <f>SUMIF(Inventory!$D2:$D1136,"="&amp;H130, Inventory!$E2:$E1136)</f>
        <v>10.83</v>
      </c>
      <c r="I132" s="20">
        <f>SUMIF(Inventory!$D2:$D1136,"="&amp;I130, Inventory!$E2:$E1136)</f>
        <v>3.7</v>
      </c>
      <c r="J132" s="20">
        <f>SUMIF(Inventory!$D2:$D1136,"="&amp;J130, Inventory!$E2:$E1136)</f>
        <v>0</v>
      </c>
      <c r="K132" s="20">
        <f>SUMIF(Inventory!$D2:$D1136,"="&amp;K130, Inventory!$E2:$E1136)</f>
        <v>0.6</v>
      </c>
      <c r="L132" s="20">
        <f>SUMIF(Inventory!$D2:$D1136,"="&amp;L130, Inventory!$E2:$E1136)</f>
        <v>2.61</v>
      </c>
      <c r="M132" s="20">
        <f>SUMIF(Inventory!$D2:$D1136,"="&amp;M130, Inventory!$E2:$E1136)</f>
        <v>0</v>
      </c>
      <c r="N132" s="20">
        <f>SUMIF(Inventory!$D2:$D1136,"="&amp;N130, Inventory!$E2:$E1136)</f>
        <v>0</v>
      </c>
      <c r="O132" s="20">
        <f>SUMIF(Inventory!$D2:$D1136,"="&amp;O130, Inventory!$E2:$E1136)</f>
        <v>2.06</v>
      </c>
      <c r="P132" s="20">
        <f>SUMIF(Inventory!$D2:$D1136,"="&amp;P130, Inventory!$E2:$E1136)</f>
        <v>0</v>
      </c>
      <c r="Q132" s="20">
        <f>SUMIF(Inventory!$D2:$D1136,"="&amp;Q130, Inventory!$E2:$E1136)</f>
        <v>19.53</v>
      </c>
      <c r="R132" s="20">
        <f>SUMIF(Inventory!$D2:$D1136,"="&amp;R130, Inventory!$E2:$E1136)</f>
        <v>0</v>
      </c>
      <c r="S132" s="20">
        <f>SUMIF(Inventory!$D2:$D1136,"="&amp;S130, Inventory!$E2:$E1136)</f>
        <v>0</v>
      </c>
      <c r="T132" s="20">
        <f>SUMIF(Inventory!$D2:$D1136,"="&amp;T130, Inventory!$E2:$E1136)</f>
        <v>0</v>
      </c>
      <c r="U132" s="20">
        <f>SUMIF(Inventory!$D2:$D1136,"="&amp;U130, Inventory!$E2:$E1136)</f>
        <v>2.76</v>
      </c>
      <c r="V132" s="20">
        <f>SUMIF(Inventory!$D2:$D1136,"="&amp;V130, Inventory!$E2:$E1136)</f>
        <v>0</v>
      </c>
      <c r="W132" s="20">
        <f>SUMIF(Inventory!$D2:$D1136,"="&amp;W130, Inventory!$E2:$E1136)</f>
        <v>0</v>
      </c>
      <c r="X132" s="20">
        <f>SUMIF(Inventory!$D2:$D1136,"="&amp;X130, Inventory!$E2:$E1136)</f>
        <v>21.67</v>
      </c>
      <c r="Y132" s="20">
        <f>SUMIF(Inventory!$D2:$D1136,"="&amp;Y130, Inventory!$E2:$E1136)</f>
        <v>0.42</v>
      </c>
      <c r="Z132" s="20">
        <f>SUMIF(Inventory!$D2:$D1136,"="&amp;Z130, Inventory!$E2:$E1136)</f>
        <v>0</v>
      </c>
      <c r="AA132" s="20">
        <f>SUMIF(Inventory!$D2:$D1136,"="&amp;AA130, Inventory!$E2:$E1136)</f>
        <v>0</v>
      </c>
      <c r="AB132" s="20">
        <f>SUMIF(Inventory!$D2:$D1136,"="&amp;AB130, Inventory!$E2:$E1136)</f>
        <v>0</v>
      </c>
      <c r="AC132" s="20">
        <f>SUMIF(Inventory!$D2:$D1136,"="&amp;AC130, Inventory!$E2:$E1136)</f>
        <v>2.92</v>
      </c>
      <c r="AD132" s="20"/>
      <c r="AE132" s="20"/>
      <c r="AF132" s="20"/>
      <c r="AG132" s="20">
        <f t="shared" si="53"/>
        <v>78.96</v>
      </c>
      <c r="AH132" s="21">
        <f t="shared" si="54"/>
        <v>2.82</v>
      </c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1"/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  <c r="KJ132" s="21"/>
      <c r="KK132" s="21"/>
      <c r="KL132" s="21"/>
      <c r="KM132" s="21"/>
      <c r="KN132" s="21"/>
    </row>
    <row r="133" hidden="1" outlineLevel="2">
      <c r="A133" s="256" t="s">
        <v>11</v>
      </c>
      <c r="B133" s="20">
        <f>SUMIF(Inventory!$D2:$D1136,"="&amp;B130, Inventory!$G2:$G1136)</f>
        <v>0</v>
      </c>
      <c r="C133" s="20">
        <f>SUMIF(Inventory!$D2:$D1136,"="&amp;C130, Inventory!$G2:$G1136)</f>
        <v>4.24</v>
      </c>
      <c r="D133" s="20">
        <f>SUMIF(Inventory!$D2:$D1136,"="&amp;D130, Inventory!$G2:$G1136)</f>
        <v>0</v>
      </c>
      <c r="E133" s="20">
        <f>SUMIF(Inventory!$D2:$D1136,"="&amp;E130, Inventory!$G2:$G1136)</f>
        <v>0.76</v>
      </c>
      <c r="F133" s="20">
        <f>SUMIF(Inventory!$D2:$D1136,"="&amp;F130, Inventory!$G2:$G1136)</f>
        <v>0</v>
      </c>
      <c r="G133" s="20">
        <f>SUMIF(Inventory!$D2:$D1136,"="&amp;G130, Inventory!$G2:$G1136)</f>
        <v>0.26</v>
      </c>
      <c r="H133" s="20">
        <f>SUMIF(Inventory!$D2:$D1136,"="&amp;H130, Inventory!$G2:$G1136)</f>
        <v>1.28</v>
      </c>
      <c r="I133" s="20">
        <f>SUMIF(Inventory!$D2:$D1136,"="&amp;I130, Inventory!$G2:$G1136)</f>
        <v>2.48</v>
      </c>
      <c r="J133" s="20">
        <f>SUMIF(Inventory!$D2:$D1136,"="&amp;J130, Inventory!$G2:$G1136)</f>
        <v>0</v>
      </c>
      <c r="K133" s="20">
        <f>SUMIF(Inventory!$D2:$D1136,"="&amp;K130, Inventory!$G2:$G1136)</f>
        <v>0.51</v>
      </c>
      <c r="L133" s="20">
        <f>SUMIF(Inventory!$D2:$D1136,"="&amp;L130, Inventory!$G2:$G1136)</f>
        <v>0.77</v>
      </c>
      <c r="M133" s="20">
        <f>SUMIF(Inventory!$D2:$D1136,"="&amp;M130, Inventory!$G2:$G1136)</f>
        <v>0</v>
      </c>
      <c r="N133" s="20">
        <f>SUMIF(Inventory!$D2:$D1136,"="&amp;N130, Inventory!$G2:$G1136)</f>
        <v>0</v>
      </c>
      <c r="O133" s="20">
        <f>SUMIF(Inventory!$D2:$D1136,"="&amp;O130, Inventory!$G2:$G1136)</f>
        <v>2.74</v>
      </c>
      <c r="P133" s="20">
        <f>SUMIF(Inventory!$D2:$D1136,"="&amp;P130, Inventory!$G2:$G1136)</f>
        <v>0</v>
      </c>
      <c r="Q133" s="20">
        <f>SUMIF(Inventory!$D2:$D1136,"="&amp;Q130, Inventory!$G2:$G1136)</f>
        <v>-0.1</v>
      </c>
      <c r="R133" s="20">
        <f>SUMIF(Inventory!$D2:$D1136,"="&amp;R130, Inventory!$G2:$G1136)</f>
        <v>0</v>
      </c>
      <c r="S133" s="20">
        <f>SUMIF(Inventory!$D2:$D1136,"="&amp;S130, Inventory!$G2:$G1136)</f>
        <v>0</v>
      </c>
      <c r="T133" s="20">
        <f>SUMIF(Inventory!$D2:$D1136,"="&amp;T130, Inventory!$G2:$G1136)</f>
        <v>0</v>
      </c>
      <c r="U133" s="20">
        <f>SUMIF(Inventory!$D2:$D1136,"="&amp;U130, Inventory!$G2:$G1136)</f>
        <v>2.61</v>
      </c>
      <c r="V133" s="20">
        <f>SUMIF(Inventory!$D2:$D1136,"="&amp;V130, Inventory!$G2:$G1136)</f>
        <v>0</v>
      </c>
      <c r="W133" s="20">
        <f>SUMIF(Inventory!$D2:$D1136,"="&amp;W130, Inventory!$G2:$G1136)</f>
        <v>0</v>
      </c>
      <c r="X133" s="20">
        <f>SUMIF(Inventory!$D2:$D1136,"="&amp;X130, Inventory!$G2:$G1136)</f>
        <v>5.93</v>
      </c>
      <c r="Y133" s="20">
        <f>SUMIF(Inventory!$D2:$D1136,"="&amp;Y130, Inventory!$G2:$G1136)</f>
        <v>0.22</v>
      </c>
      <c r="Z133" s="20">
        <f>SUMIF(Inventory!$D2:$D1136,"="&amp;Z130, Inventory!$G2:$G1136)</f>
        <v>0</v>
      </c>
      <c r="AA133" s="20">
        <f>SUMIF(Inventory!$D2:$D1136,"="&amp;AA130, Inventory!$G2:$G1136)</f>
        <v>0</v>
      </c>
      <c r="AB133" s="20">
        <f>SUMIF(Inventory!$D2:$D1136,"="&amp;AB130, Inventory!$G2:$G1136)</f>
        <v>0</v>
      </c>
      <c r="AC133" s="20">
        <f>SUMIF(Inventory!$D2:$D1136,"="&amp;AC130, Inventory!$G2:$G1136)</f>
        <v>2.01</v>
      </c>
      <c r="AD133" s="20"/>
      <c r="AE133" s="20"/>
      <c r="AF133" s="20"/>
      <c r="AG133" s="20">
        <f t="shared" si="53"/>
        <v>23.71</v>
      </c>
      <c r="AH133" s="21">
        <f t="shared" si="54"/>
        <v>0.8467857143</v>
      </c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  <c r="KJ133" s="21"/>
      <c r="KK133" s="21"/>
      <c r="KL133" s="21"/>
      <c r="KM133" s="21"/>
      <c r="KN133" s="21"/>
    </row>
    <row r="134" hidden="1" outlineLevel="2">
      <c r="A134" s="256" t="s">
        <v>10566</v>
      </c>
      <c r="B134" s="20">
        <f>COUNTIFS(Inventory!$D2:$D1136,"="&amp;B130, Inventory!$J2:$J1136,"Closed")</f>
        <v>0</v>
      </c>
      <c r="C134" s="20">
        <f>COUNTIFS(Inventory!$D2:$D1136,"="&amp;C130, Inventory!$J2:$J1136,"Closed")</f>
        <v>1</v>
      </c>
      <c r="D134" s="20">
        <f>COUNTIFS(Inventory!$D2:$D1136,"="&amp;D130, Inventory!$J2:$J1136,"Closed")</f>
        <v>0</v>
      </c>
      <c r="E134" s="20">
        <f>COUNTIFS(Inventory!$D2:$D1136,"="&amp;E130, Inventory!$J2:$J1136,"Closed")</f>
        <v>1</v>
      </c>
      <c r="F134" s="20">
        <f>COUNTIFS(Inventory!$D2:$D1136,"="&amp;F130, Inventory!$J2:$J1136,"Closed")</f>
        <v>0</v>
      </c>
      <c r="G134" s="20">
        <f>COUNTIFS(Inventory!$D2:$D1136,"="&amp;G130, Inventory!$J2:$J1136,"Closed")</f>
        <v>1</v>
      </c>
      <c r="H134" s="20">
        <f>COUNTIFS(Inventory!$D2:$D1136,"="&amp;H130, Inventory!$J2:$J1136,"Closed")</f>
        <v>1</v>
      </c>
      <c r="I134" s="20">
        <f>COUNTIFS(Inventory!$D2:$D1136,"="&amp;I130, Inventory!$J2:$J1136,"Closed")</f>
        <v>2</v>
      </c>
      <c r="J134" s="20">
        <f>COUNTIFS(Inventory!$D2:$D1136,"="&amp;J130, Inventory!$J2:$J1136,"Closed")</f>
        <v>0</v>
      </c>
      <c r="K134" s="20">
        <f>COUNTIFS(Inventory!$D2:$D1136,"="&amp;K130, Inventory!$J2:$J1136,"Closed")</f>
        <v>1</v>
      </c>
      <c r="L134" s="20">
        <f>COUNTIFS(Inventory!$D2:$D1136,"="&amp;L130, Inventory!$J2:$J1136,"Closed")</f>
        <v>1</v>
      </c>
      <c r="M134" s="20">
        <f>COUNTIFS(Inventory!$D2:$D1136,"="&amp;M130, Inventory!$J2:$J1136,"Closed")</f>
        <v>0</v>
      </c>
      <c r="N134" s="20">
        <f>COUNTIFS(Inventory!$D2:$D1136,"="&amp;N130, Inventory!$J2:$J1136,"Closed")</f>
        <v>0</v>
      </c>
      <c r="O134" s="20">
        <f>COUNTIFS(Inventory!$D2:$D1136,"="&amp;O130, Inventory!$J2:$J1136,"Closed")</f>
        <v>1</v>
      </c>
      <c r="P134" s="20">
        <f>COUNTIFS(Inventory!$D2:$D1136,"="&amp;P130, Inventory!$J2:$J1136,"Closed")</f>
        <v>0</v>
      </c>
      <c r="Q134" s="20">
        <f>COUNTIFS(Inventory!$D2:$D1136,"="&amp;Q130, Inventory!$J2:$J1136,"Closed")</f>
        <v>1</v>
      </c>
      <c r="R134" s="20">
        <f>COUNTIFS(Inventory!$D2:$D1136,"="&amp;R130, Inventory!$J2:$J1136,"Closed")</f>
        <v>0</v>
      </c>
      <c r="S134" s="20">
        <f>COUNTIFS(Inventory!$D2:$D1136,"="&amp;S130, Inventory!$J2:$J1136,"Closed")</f>
        <v>0</v>
      </c>
      <c r="T134" s="20">
        <f>COUNTIFS(Inventory!$D2:$D1136,"="&amp;T130, Inventory!$J2:$J1136,"Closed")</f>
        <v>0</v>
      </c>
      <c r="U134" s="20">
        <f>COUNTIFS(Inventory!$D2:$D1136,"="&amp;U130, Inventory!$J2:$J1136,"Closed")</f>
        <v>1</v>
      </c>
      <c r="V134" s="20">
        <f>COUNTIFS(Inventory!$D2:$D1136,"="&amp;V130, Inventory!$J2:$J1136,"Closed")</f>
        <v>0</v>
      </c>
      <c r="W134" s="20">
        <f>COUNTIFS(Inventory!$D2:$D1136,"="&amp;W130, Inventory!$J2:$J1136,"Closed")</f>
        <v>0</v>
      </c>
      <c r="X134" s="20">
        <f>COUNTIFS(Inventory!$D2:$D1136,"="&amp;X130, Inventory!$J2:$J1136,"Closed")</f>
        <v>2</v>
      </c>
      <c r="Y134" s="20">
        <f>COUNTIFS(Inventory!$D2:$D1136,"="&amp;Y130, Inventory!$J2:$J1136,"Closed")</f>
        <v>1</v>
      </c>
      <c r="Z134" s="20">
        <f>COUNTIFS(Inventory!$D2:$D1136,"="&amp;Z130, Inventory!$J2:$J1136,"Closed")</f>
        <v>0</v>
      </c>
      <c r="AA134" s="20">
        <f>COUNTIFS(Inventory!$D2:$D1136,"="&amp;AA130, Inventory!$J2:$J1136,"Closed")</f>
        <v>0</v>
      </c>
      <c r="AB134" s="20">
        <f>COUNTIFS(Inventory!$D2:$D1136,"="&amp;AB130, Inventory!$J2:$J1136,"Closed")</f>
        <v>0</v>
      </c>
      <c r="AC134" s="20">
        <f>COUNTIFS(Inventory!$D2:$D1136,"="&amp;AC130, Inventory!$J2:$J1136,"Closed")</f>
        <v>2</v>
      </c>
      <c r="AD134" s="20"/>
      <c r="AE134" s="20"/>
      <c r="AF134" s="20"/>
      <c r="AG134" s="20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  <c r="KJ134" s="21"/>
      <c r="KK134" s="21"/>
      <c r="KL134" s="21"/>
      <c r="KM134" s="21"/>
      <c r="KN134" s="21"/>
    </row>
    <row r="135" outlineLevel="1" collapsed="1">
      <c r="A135" s="253" t="s">
        <v>10213</v>
      </c>
      <c r="B135" s="255">
        <v>44256.0</v>
      </c>
      <c r="C135" s="255">
        <v>44257.0</v>
      </c>
      <c r="D135" s="255">
        <v>44258.0</v>
      </c>
      <c r="E135" s="255">
        <v>44259.0</v>
      </c>
      <c r="F135" s="255">
        <v>44260.0</v>
      </c>
      <c r="G135" s="255">
        <v>44261.0</v>
      </c>
      <c r="H135" s="255">
        <v>44262.0</v>
      </c>
      <c r="I135" s="255">
        <v>44263.0</v>
      </c>
      <c r="J135" s="255">
        <v>44264.0</v>
      </c>
      <c r="K135" s="255">
        <v>44265.0</v>
      </c>
      <c r="L135" s="255">
        <v>44266.0</v>
      </c>
      <c r="M135" s="255">
        <v>44267.0</v>
      </c>
      <c r="N135" s="255">
        <v>44268.0</v>
      </c>
      <c r="O135" s="255">
        <v>44269.0</v>
      </c>
      <c r="P135" s="255">
        <v>44270.0</v>
      </c>
      <c r="Q135" s="255">
        <v>44271.0</v>
      </c>
      <c r="R135" s="255">
        <v>44272.0</v>
      </c>
      <c r="S135" s="255">
        <v>44273.0</v>
      </c>
      <c r="T135" s="255">
        <v>44274.0</v>
      </c>
      <c r="U135" s="255">
        <v>44275.0</v>
      </c>
      <c r="V135" s="255">
        <v>44276.0</v>
      </c>
      <c r="W135" s="255">
        <v>44277.0</v>
      </c>
      <c r="X135" s="255">
        <v>44278.0</v>
      </c>
      <c r="Y135" s="255">
        <v>44279.0</v>
      </c>
      <c r="Z135" s="255">
        <v>44280.0</v>
      </c>
      <c r="AA135" s="255">
        <v>44281.0</v>
      </c>
      <c r="AB135" s="255">
        <v>44282.0</v>
      </c>
      <c r="AC135" s="255">
        <v>44283.0</v>
      </c>
      <c r="AD135" s="255">
        <v>44284.0</v>
      </c>
      <c r="AE135" s="255">
        <v>44285.0</v>
      </c>
      <c r="AF135" s="255">
        <v>44286.0</v>
      </c>
      <c r="AG135" s="20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  <c r="KJ135" s="21"/>
      <c r="KK135" s="21"/>
      <c r="KL135" s="21"/>
      <c r="KM135" s="21"/>
      <c r="KN135" s="21"/>
    </row>
    <row r="136" hidden="1" outlineLevel="2">
      <c r="A136" s="256" t="s">
        <v>9</v>
      </c>
      <c r="B136" s="20">
        <f>SUMIF(Inventory!$D2:$D1136,"="&amp;B135, Inventory!$F2:$F1136)</f>
        <v>0</v>
      </c>
      <c r="C136" s="20">
        <f>SUMIF(Inventory!$D2:$D1136,"="&amp;C135, Inventory!$F2:$F1136)</f>
        <v>5.18</v>
      </c>
      <c r="D136" s="20">
        <f>SUMIF(Inventory!$D2:$D1136,"="&amp;D135, Inventory!$F2:$F1136)</f>
        <v>4.21</v>
      </c>
      <c r="E136" s="20">
        <f>SUMIF(Inventory!$D2:$D1136,"="&amp;E135, Inventory!$F2:$F1136)</f>
        <v>0</v>
      </c>
      <c r="F136" s="20">
        <f>SUMIF(Inventory!$D2:$D1136,"="&amp;F135, Inventory!$F2:$F1136)</f>
        <v>0</v>
      </c>
      <c r="G136" s="20">
        <f>SUMIF(Inventory!$D2:$D1136,"="&amp;G135, Inventory!$F2:$F1136)</f>
        <v>25.31</v>
      </c>
      <c r="H136" s="20">
        <f>SUMIF(Inventory!$D2:$D1136,"="&amp;H135, Inventory!$F2:$F1136)</f>
        <v>0</v>
      </c>
      <c r="I136" s="20">
        <f>SUMIF(Inventory!$D2:$D1136,"="&amp;I135, Inventory!$F2:$F1136)</f>
        <v>0</v>
      </c>
      <c r="J136" s="20">
        <f>SUMIF(Inventory!$D2:$D1136,"="&amp;J135, Inventory!$F2:$F1136)</f>
        <v>28.59</v>
      </c>
      <c r="K136" s="20">
        <f>SUMIF(Inventory!$D2:$D1136,"="&amp;K135, Inventory!$F2:$F1136)</f>
        <v>0</v>
      </c>
      <c r="L136" s="20">
        <f>SUMIF(Inventory!$D2:$D1136,"="&amp;L135, Inventory!$F2:$F1136)</f>
        <v>0</v>
      </c>
      <c r="M136" s="20">
        <f>SUMIF(Inventory!$D2:$D1136,"="&amp;M135, Inventory!$F2:$F1136)</f>
        <v>35.17</v>
      </c>
      <c r="N136" s="20">
        <f>SUMIF(Inventory!$D2:$D1136,"="&amp;N135, Inventory!$F2:$F1136)</f>
        <v>18.42</v>
      </c>
      <c r="O136" s="20">
        <f>SUMIF(Inventory!$D2:$D1136,"="&amp;O135, Inventory!$F2:$F1136)</f>
        <v>0</v>
      </c>
      <c r="P136" s="20">
        <f>SUMIF(Inventory!$D2:$D1136,"="&amp;P135, Inventory!$F2:$F1136)</f>
        <v>0</v>
      </c>
      <c r="Q136" s="20">
        <f>SUMIF(Inventory!$D2:$D1136,"="&amp;Q135, Inventory!$F2:$F1136)</f>
        <v>15.72</v>
      </c>
      <c r="R136" s="20">
        <f>SUMIF(Inventory!$D2:$D1136,"="&amp;R135, Inventory!$F2:$F1136)</f>
        <v>0.88</v>
      </c>
      <c r="S136" s="20">
        <f>SUMIF(Inventory!$D2:$D1136,"="&amp;S135, Inventory!$F2:$F1136)</f>
        <v>5.04</v>
      </c>
      <c r="T136" s="20">
        <f>SUMIF(Inventory!$D2:$D1136,"="&amp;T135, Inventory!$F2:$F1136)</f>
        <v>12.41</v>
      </c>
      <c r="U136" s="20">
        <f>SUMIF(Inventory!$D2:$D1136,"="&amp;U135, Inventory!$F2:$F1136)</f>
        <v>0</v>
      </c>
      <c r="V136" s="20">
        <f>SUMIF(Inventory!$D2:$D1136,"="&amp;V135, Inventory!$F2:$F1136)</f>
        <v>4.75</v>
      </c>
      <c r="W136" s="20">
        <f>SUMIF(Inventory!$D2:$D1136,"="&amp;W135, Inventory!$F2:$F1136)</f>
        <v>22.48</v>
      </c>
      <c r="X136" s="20">
        <f>SUMIF(Inventory!$D2:$D1136,"="&amp;X135, Inventory!$F2:$F1136)</f>
        <v>0</v>
      </c>
      <c r="Y136" s="20">
        <f>SUMIF(Inventory!$D2:$D1136,"="&amp;Y135, Inventory!$F2:$F1136)</f>
        <v>20.62</v>
      </c>
      <c r="Z136" s="20">
        <f>SUMIF(Inventory!$D2:$D1136,"="&amp;Z135, Inventory!$F2:$F1136)</f>
        <v>14.31</v>
      </c>
      <c r="AA136" s="20">
        <f>SUMIF(Inventory!$D2:$D1136,"="&amp;AA135, Inventory!$F2:$F1136)</f>
        <v>0</v>
      </c>
      <c r="AB136" s="20">
        <f>SUMIF(Inventory!$D2:$D1136,"="&amp;AB135, Inventory!$F2:$F1136)</f>
        <v>1.33</v>
      </c>
      <c r="AC136" s="20">
        <f>SUMIF(Inventory!$D2:$D1136,"="&amp;AC135, Inventory!$F2:$F1136)</f>
        <v>16.98</v>
      </c>
      <c r="AD136" s="20">
        <f>SUMIF(Inventory!$D2:$D1136,"="&amp;AD135, Inventory!$F2:$F1136)</f>
        <v>0</v>
      </c>
      <c r="AE136" s="20">
        <f>SUMIF(Inventory!$D2:$D1136,"="&amp;AE135, Inventory!$F2:$F1136)</f>
        <v>0</v>
      </c>
      <c r="AF136" s="20">
        <f>SUMIF(Inventory!$D2:$D1136,"="&amp;AF135, Inventory!$F2:$F1136)</f>
        <v>1.66</v>
      </c>
      <c r="AG136" s="20">
        <f t="shared" ref="AG136:AG138" si="55">SUM(B136:AF136)</f>
        <v>233.06</v>
      </c>
      <c r="AH136" s="21">
        <f t="shared" ref="AH136:AH138" si="56">AVERAGE(B136:AF136)</f>
        <v>7.518064516</v>
      </c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1"/>
      <c r="JV136" s="21"/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  <c r="KJ136" s="21"/>
      <c r="KK136" s="21"/>
      <c r="KL136" s="21"/>
      <c r="KM136" s="21"/>
      <c r="KN136" s="21"/>
    </row>
    <row r="137" hidden="1" outlineLevel="2">
      <c r="A137" s="256" t="s">
        <v>10</v>
      </c>
      <c r="B137" s="20">
        <f>SUMIF(Inventory!$D2:$D1136,"="&amp;B135, Inventory!$E2:$E1136)</f>
        <v>0</v>
      </c>
      <c r="C137" s="20">
        <f>SUMIF(Inventory!$D2:$D1136,"="&amp;C135, Inventory!$E2:$E1136)</f>
        <v>2.45</v>
      </c>
      <c r="D137" s="20">
        <f>SUMIF(Inventory!$D2:$D1136,"="&amp;D135, Inventory!$E2:$E1136)</f>
        <v>2.75</v>
      </c>
      <c r="E137" s="20">
        <f>SUMIF(Inventory!$D2:$D1136,"="&amp;E135, Inventory!$E2:$E1136)</f>
        <v>0</v>
      </c>
      <c r="F137" s="20">
        <f>SUMIF(Inventory!$D2:$D1136,"="&amp;F135, Inventory!$E2:$E1136)</f>
        <v>0</v>
      </c>
      <c r="G137" s="20">
        <f>SUMIF(Inventory!$D2:$D1136,"="&amp;G135, Inventory!$E2:$E1136)</f>
        <v>18.94</v>
      </c>
      <c r="H137" s="20">
        <f>SUMIF(Inventory!$D2:$D1136,"="&amp;H135, Inventory!$E2:$E1136)</f>
        <v>0</v>
      </c>
      <c r="I137" s="20">
        <f>SUMIF(Inventory!$D2:$D1136,"="&amp;I135, Inventory!$E2:$E1136)</f>
        <v>0</v>
      </c>
      <c r="J137" s="20">
        <f>SUMIF(Inventory!$D2:$D1136,"="&amp;J135, Inventory!$E2:$E1136)</f>
        <v>21.82</v>
      </c>
      <c r="K137" s="20">
        <f>SUMIF(Inventory!$D2:$D1136,"="&amp;K135, Inventory!$E2:$E1136)</f>
        <v>0</v>
      </c>
      <c r="L137" s="20">
        <f>SUMIF(Inventory!$D2:$D1136,"="&amp;L135, Inventory!$E2:$E1136)</f>
        <v>0</v>
      </c>
      <c r="M137" s="20">
        <f>SUMIF(Inventory!$D2:$D1136,"="&amp;M135, Inventory!$E2:$E1136)</f>
        <v>26.8</v>
      </c>
      <c r="N137" s="20">
        <f>SUMIF(Inventory!$D2:$D1136,"="&amp;N135, Inventory!$E2:$E1136)</f>
        <v>15.98</v>
      </c>
      <c r="O137" s="20">
        <f>SUMIF(Inventory!$D2:$D1136,"="&amp;O135, Inventory!$E2:$E1136)</f>
        <v>0</v>
      </c>
      <c r="P137" s="20">
        <f>SUMIF(Inventory!$D2:$D1136,"="&amp;P135, Inventory!$E2:$E1136)</f>
        <v>0</v>
      </c>
      <c r="Q137" s="20">
        <f>SUMIF(Inventory!$D2:$D1136,"="&amp;Q135, Inventory!$E2:$E1136)</f>
        <v>13.46</v>
      </c>
      <c r="R137" s="20">
        <f>SUMIF(Inventory!$D2:$D1136,"="&amp;R135, Inventory!$E2:$E1136)</f>
        <v>0</v>
      </c>
      <c r="S137" s="20">
        <f>SUMIF(Inventory!$D2:$D1136,"="&amp;S135, Inventory!$E2:$E1136)</f>
        <v>2.76</v>
      </c>
      <c r="T137" s="20">
        <f>SUMIF(Inventory!$D2:$D1136,"="&amp;T135, Inventory!$E2:$E1136)</f>
        <v>8.92</v>
      </c>
      <c r="U137" s="20">
        <f>SUMIF(Inventory!$D2:$D1136,"="&amp;U135, Inventory!$E2:$E1136)</f>
        <v>0</v>
      </c>
      <c r="V137" s="20">
        <f>SUMIF(Inventory!$D2:$D1136,"="&amp;V135, Inventory!$E2:$E1136)</f>
        <v>2.76</v>
      </c>
      <c r="W137" s="20">
        <f>SUMIF(Inventory!$D2:$D1136,"="&amp;W135, Inventory!$E2:$E1136)</f>
        <v>16.6</v>
      </c>
      <c r="X137" s="20">
        <f>SUMIF(Inventory!$D2:$D1136,"="&amp;X135, Inventory!$E2:$E1136)</f>
        <v>0</v>
      </c>
      <c r="Y137" s="20">
        <f>SUMIF(Inventory!$D2:$D1136,"="&amp;Y135, Inventory!$E2:$E1136)</f>
        <v>18.99</v>
      </c>
      <c r="Z137" s="20">
        <f>SUMIF(Inventory!$D2:$D1136,"="&amp;Z135, Inventory!$E2:$E1136)</f>
        <v>11.43</v>
      </c>
      <c r="AA137" s="20">
        <f>SUMIF(Inventory!$D2:$D1136,"="&amp;AA135, Inventory!$E2:$E1136)</f>
        <v>0</v>
      </c>
      <c r="AB137" s="20">
        <f>SUMIF(Inventory!$D2:$D1136,"="&amp;AB135, Inventory!$E2:$E1136)</f>
        <v>0.17</v>
      </c>
      <c r="AC137" s="20">
        <f>SUMIF(Inventory!$D2:$D1136,"="&amp;AC135, Inventory!$E2:$E1136)</f>
        <v>11.96</v>
      </c>
      <c r="AD137" s="20">
        <f>SUMIF(Inventory!$D2:$D1136,"="&amp;AD135, Inventory!$E2:$E1136)</f>
        <v>0</v>
      </c>
      <c r="AE137" s="20">
        <f>SUMIF(Inventory!$D2:$D1136,"="&amp;AE135, Inventory!$E2:$E1136)</f>
        <v>0</v>
      </c>
      <c r="AF137" s="20">
        <f>SUMIF(Inventory!$D2:$D1136,"="&amp;AF135, Inventory!$E2:$E1136)</f>
        <v>0.47</v>
      </c>
      <c r="AG137" s="20">
        <f t="shared" si="55"/>
        <v>176.26</v>
      </c>
      <c r="AH137" s="21">
        <f t="shared" si="56"/>
        <v>5.685806452</v>
      </c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  <c r="KJ137" s="21"/>
      <c r="KK137" s="21"/>
      <c r="KL137" s="21"/>
      <c r="KM137" s="21"/>
      <c r="KN137" s="21"/>
    </row>
    <row r="138" hidden="1" outlineLevel="2">
      <c r="A138" s="256" t="s">
        <v>11</v>
      </c>
      <c r="B138" s="20">
        <f>SUMIF(Inventory!$D2:$D1136,"="&amp;B135, Inventory!$G2:$G1136)</f>
        <v>0</v>
      </c>
      <c r="C138" s="20">
        <f>SUMIF(Inventory!$D2:$D1136,"="&amp;C135, Inventory!$G2:$G1136)</f>
        <v>2.73</v>
      </c>
      <c r="D138" s="20">
        <f>SUMIF(Inventory!$D2:$D1136,"="&amp;D135, Inventory!$G2:$G1136)</f>
        <v>1.46</v>
      </c>
      <c r="E138" s="20">
        <f>SUMIF(Inventory!$D2:$D1136,"="&amp;E135, Inventory!$G2:$G1136)</f>
        <v>0</v>
      </c>
      <c r="F138" s="20">
        <f>SUMIF(Inventory!$D2:$D1136,"="&amp;F135, Inventory!$G2:$G1136)</f>
        <v>0</v>
      </c>
      <c r="G138" s="20">
        <f>SUMIF(Inventory!$D2:$D1136,"="&amp;G135, Inventory!$G2:$G1136)</f>
        <v>6.37</v>
      </c>
      <c r="H138" s="20">
        <f>SUMIF(Inventory!$D2:$D1136,"="&amp;H135, Inventory!$G2:$G1136)</f>
        <v>0</v>
      </c>
      <c r="I138" s="20">
        <f>SUMIF(Inventory!$D2:$D1136,"="&amp;I135, Inventory!$G2:$G1136)</f>
        <v>0</v>
      </c>
      <c r="J138" s="20">
        <f>SUMIF(Inventory!$D2:$D1136,"="&amp;J135, Inventory!$G2:$G1136)</f>
        <v>6.77</v>
      </c>
      <c r="K138" s="20">
        <f>SUMIF(Inventory!$D2:$D1136,"="&amp;K135, Inventory!$G2:$G1136)</f>
        <v>0</v>
      </c>
      <c r="L138" s="20">
        <f>SUMIF(Inventory!$D2:$D1136,"="&amp;L135, Inventory!$G2:$G1136)</f>
        <v>0</v>
      </c>
      <c r="M138" s="20">
        <f>SUMIF(Inventory!$D2:$D1136,"="&amp;M135, Inventory!$G2:$G1136)</f>
        <v>8.37</v>
      </c>
      <c r="N138" s="20">
        <f>SUMIF(Inventory!$D2:$D1136,"="&amp;N135, Inventory!$G2:$G1136)</f>
        <v>2.44</v>
      </c>
      <c r="O138" s="20">
        <f>SUMIF(Inventory!$D2:$D1136,"="&amp;O135, Inventory!$G2:$G1136)</f>
        <v>0</v>
      </c>
      <c r="P138" s="20">
        <f>SUMIF(Inventory!$D2:$D1136,"="&amp;P135, Inventory!$G2:$G1136)</f>
        <v>0</v>
      </c>
      <c r="Q138" s="20">
        <f>SUMIF(Inventory!$D2:$D1136,"="&amp;Q135, Inventory!$G2:$G1136)</f>
        <v>2.26</v>
      </c>
      <c r="R138" s="20">
        <f>SUMIF(Inventory!$D2:$D1136,"="&amp;R135, Inventory!$G2:$G1136)</f>
        <v>0.88</v>
      </c>
      <c r="S138" s="20">
        <f>SUMIF(Inventory!$D2:$D1136,"="&amp;S135, Inventory!$G2:$G1136)</f>
        <v>2.28</v>
      </c>
      <c r="T138" s="20">
        <f>SUMIF(Inventory!$D2:$D1136,"="&amp;T135, Inventory!$G2:$G1136)</f>
        <v>3.49</v>
      </c>
      <c r="U138" s="20">
        <f>SUMIF(Inventory!$D2:$D1136,"="&amp;U135, Inventory!$G2:$G1136)</f>
        <v>0</v>
      </c>
      <c r="V138" s="20">
        <f>SUMIF(Inventory!$D2:$D1136,"="&amp;V135, Inventory!$G2:$G1136)</f>
        <v>1.99</v>
      </c>
      <c r="W138" s="20">
        <f>SUMIF(Inventory!$D2:$D1136,"="&amp;W135, Inventory!$G2:$G1136)</f>
        <v>5.88</v>
      </c>
      <c r="X138" s="20">
        <f>SUMIF(Inventory!$D2:$D1136,"="&amp;X135, Inventory!$G2:$G1136)</f>
        <v>0</v>
      </c>
      <c r="Y138" s="20">
        <f>SUMIF(Inventory!$D2:$D1136,"="&amp;Y135, Inventory!$G2:$G1136)</f>
        <v>1.63</v>
      </c>
      <c r="Z138" s="20">
        <f>SUMIF(Inventory!$D2:$D1136,"="&amp;Z135, Inventory!$G2:$G1136)</f>
        <v>2.88</v>
      </c>
      <c r="AA138" s="20">
        <f>SUMIF(Inventory!$D2:$D1136,"="&amp;AA135, Inventory!$G2:$G1136)</f>
        <v>0</v>
      </c>
      <c r="AB138" s="20">
        <f>SUMIF(Inventory!$D2:$D1136,"="&amp;AB135, Inventory!$G2:$G1136)</f>
        <v>1.16</v>
      </c>
      <c r="AC138" s="20">
        <f>SUMIF(Inventory!$D2:$D1136,"="&amp;AC135, Inventory!$G2:$G1136)</f>
        <v>5.02</v>
      </c>
      <c r="AD138" s="20">
        <f>SUMIF(Inventory!$D2:$D1136,"="&amp;AD135, Inventory!$G2:$G1136)</f>
        <v>0</v>
      </c>
      <c r="AE138" s="20">
        <f>SUMIF(Inventory!$D2:$D1136,"="&amp;AE135, Inventory!$G2:$G1136)</f>
        <v>0</v>
      </c>
      <c r="AF138" s="20">
        <f>SUMIF(Inventory!$D2:$D1136,"="&amp;AF135, Inventory!$G2:$G1136)</f>
        <v>1.19</v>
      </c>
      <c r="AG138" s="20">
        <f t="shared" si="55"/>
        <v>56.8</v>
      </c>
      <c r="AH138" s="21">
        <f t="shared" si="56"/>
        <v>1.832258065</v>
      </c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  <c r="KJ138" s="21"/>
      <c r="KK138" s="21"/>
      <c r="KL138" s="21"/>
      <c r="KM138" s="21"/>
      <c r="KN138" s="21"/>
    </row>
    <row r="139" hidden="1" outlineLevel="2">
      <c r="A139" s="256" t="s">
        <v>10566</v>
      </c>
      <c r="B139" s="20">
        <f>COUNTIFS(Inventory!$D2:$D1136,"="&amp;B135, Inventory!$J2:$J1136,"Closed")</f>
        <v>0</v>
      </c>
      <c r="C139" s="20">
        <f>COUNTIFS(Inventory!$D2:$D1136,"="&amp;C135, Inventory!$J2:$J1136,"Closed")</f>
        <v>1</v>
      </c>
      <c r="D139" s="20">
        <f>COUNTIFS(Inventory!$D2:$D1136,"="&amp;D135, Inventory!$J2:$J1136,"Closed")</f>
        <v>1</v>
      </c>
      <c r="E139" s="20">
        <f>COUNTIFS(Inventory!$D2:$D1136,"="&amp;E135, Inventory!$J2:$J1136,"Closed")</f>
        <v>0</v>
      </c>
      <c r="F139" s="20">
        <f>COUNTIFS(Inventory!$D2:$D1136,"="&amp;F135, Inventory!$J2:$J1136,"Closed")</f>
        <v>0</v>
      </c>
      <c r="G139" s="20">
        <f>COUNTIFS(Inventory!$D2:$D1136,"="&amp;G135, Inventory!$J2:$J1136,"Closed")</f>
        <v>3</v>
      </c>
      <c r="H139" s="20">
        <f>COUNTIFS(Inventory!$D2:$D1136,"="&amp;H135, Inventory!$J2:$J1136,"Closed")</f>
        <v>0</v>
      </c>
      <c r="I139" s="20">
        <f>COUNTIFS(Inventory!$D2:$D1136,"="&amp;I135, Inventory!$J2:$J1136,"Closed")</f>
        <v>0</v>
      </c>
      <c r="J139" s="20">
        <f>COUNTIFS(Inventory!$D2:$D1136,"="&amp;J135, Inventory!$J2:$J1136,"Closed")</f>
        <v>2</v>
      </c>
      <c r="K139" s="20">
        <f>COUNTIFS(Inventory!$D2:$D1136,"="&amp;K135, Inventory!$J2:$J1136,"Closed")</f>
        <v>0</v>
      </c>
      <c r="L139" s="20">
        <f>COUNTIFS(Inventory!$D2:$D1136,"="&amp;L135, Inventory!$J2:$J1136,"Closed")</f>
        <v>0</v>
      </c>
      <c r="M139" s="20">
        <f>COUNTIFS(Inventory!$D2:$D1136,"="&amp;M135, Inventory!$J2:$J1136,"Closed")</f>
        <v>4</v>
      </c>
      <c r="N139" s="20">
        <f>COUNTIFS(Inventory!$D2:$D1136,"="&amp;N135, Inventory!$J2:$J1136,"Closed")</f>
        <v>2</v>
      </c>
      <c r="O139" s="20">
        <f>COUNTIFS(Inventory!$D2:$D1136,"="&amp;O135, Inventory!$J2:$J1136,"Closed")</f>
        <v>0</v>
      </c>
      <c r="P139" s="20">
        <f>COUNTIFS(Inventory!$D2:$D1136,"="&amp;P135, Inventory!$J2:$J1136,"Closed")</f>
        <v>0</v>
      </c>
      <c r="Q139" s="20">
        <f>COUNTIFS(Inventory!$D2:$D1136,"="&amp;Q135, Inventory!$J2:$J1136,"Closed")</f>
        <v>1</v>
      </c>
      <c r="R139" s="20">
        <f>COUNTIFS(Inventory!$D2:$D1136,"="&amp;R135, Inventory!$J2:$J1136,"Closed")</f>
        <v>1</v>
      </c>
      <c r="S139" s="20">
        <f>COUNTIFS(Inventory!$D2:$D1136,"="&amp;S135, Inventory!$J2:$J1136,"Closed")</f>
        <v>1</v>
      </c>
      <c r="T139" s="20">
        <f>COUNTIFS(Inventory!$D2:$D1136,"="&amp;T135, Inventory!$J2:$J1136,"Closed")</f>
        <v>1</v>
      </c>
      <c r="U139" s="20">
        <f>COUNTIFS(Inventory!$D2:$D1136,"="&amp;U135, Inventory!$J2:$J1136,"Closed")</f>
        <v>0</v>
      </c>
      <c r="V139" s="20">
        <f>COUNTIFS(Inventory!$D2:$D1136,"="&amp;V135, Inventory!$J2:$J1136,"Closed")</f>
        <v>1</v>
      </c>
      <c r="W139" s="20">
        <f>COUNTIFS(Inventory!$D2:$D1136,"="&amp;W135, Inventory!$J2:$J1136,"Closed")</f>
        <v>3</v>
      </c>
      <c r="X139" s="20">
        <f>COUNTIFS(Inventory!$D2:$D1136,"="&amp;X135, Inventory!$J2:$J1136,"Closed")</f>
        <v>0</v>
      </c>
      <c r="Y139" s="20">
        <f>COUNTIFS(Inventory!$D2:$D1136,"="&amp;Y135, Inventory!$J2:$J1136,"Closed")</f>
        <v>1</v>
      </c>
      <c r="Z139" s="20">
        <f>COUNTIFS(Inventory!$D2:$D1136,"="&amp;Z135, Inventory!$J2:$J1136,"Closed")</f>
        <v>1</v>
      </c>
      <c r="AA139" s="20">
        <f>COUNTIFS(Inventory!$D2:$D1136,"="&amp;AA135, Inventory!$J2:$J1136,"Closed")</f>
        <v>0</v>
      </c>
      <c r="AB139" s="20">
        <f>COUNTIFS(Inventory!$D2:$D1136,"="&amp;AB135, Inventory!$J2:$J1136,"Closed")</f>
        <v>2</v>
      </c>
      <c r="AC139" s="20">
        <f>COUNTIFS(Inventory!$D2:$D1136,"="&amp;AC135, Inventory!$J2:$J1136,"Closed")</f>
        <v>2</v>
      </c>
      <c r="AD139" s="20">
        <f>COUNTIFS(Inventory!$D2:$D1136,"="&amp;AD135, Inventory!$J2:$J1136,"Closed")</f>
        <v>0</v>
      </c>
      <c r="AE139" s="20">
        <f>COUNTIFS(Inventory!$D2:$D1136,"="&amp;AE135, Inventory!$J2:$J1136,"Closed")</f>
        <v>0</v>
      </c>
      <c r="AF139" s="20">
        <f>COUNTIFS(Inventory!$D2:$D1136,"="&amp;AF135, Inventory!$J2:$J1136,"Closed")</f>
        <v>2</v>
      </c>
      <c r="AG139" s="20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  <c r="KJ139" s="21"/>
      <c r="KK139" s="21"/>
      <c r="KL139" s="21"/>
      <c r="KM139" s="21"/>
      <c r="KN139" s="21"/>
    </row>
    <row r="140" outlineLevel="1" collapsed="1">
      <c r="A140" s="253" t="s">
        <v>10202</v>
      </c>
      <c r="B140" s="255">
        <v>44287.0</v>
      </c>
      <c r="C140" s="255">
        <v>44288.0</v>
      </c>
      <c r="D140" s="255">
        <v>44289.0</v>
      </c>
      <c r="E140" s="255">
        <v>44290.0</v>
      </c>
      <c r="F140" s="255">
        <v>44291.0</v>
      </c>
      <c r="G140" s="255">
        <v>44292.0</v>
      </c>
      <c r="H140" s="255">
        <v>44293.0</v>
      </c>
      <c r="I140" s="255">
        <v>44294.0</v>
      </c>
      <c r="J140" s="255">
        <v>44295.0</v>
      </c>
      <c r="K140" s="255">
        <v>44296.0</v>
      </c>
      <c r="L140" s="255">
        <v>44297.0</v>
      </c>
      <c r="M140" s="255">
        <v>44298.0</v>
      </c>
      <c r="N140" s="255">
        <v>44299.0</v>
      </c>
      <c r="O140" s="255">
        <v>44300.0</v>
      </c>
      <c r="P140" s="255">
        <v>44301.0</v>
      </c>
      <c r="Q140" s="255">
        <v>44302.0</v>
      </c>
      <c r="R140" s="255">
        <v>44303.0</v>
      </c>
      <c r="S140" s="255">
        <v>44304.0</v>
      </c>
      <c r="T140" s="255">
        <v>44305.0</v>
      </c>
      <c r="U140" s="255">
        <v>44306.0</v>
      </c>
      <c r="V140" s="255">
        <v>44307.0</v>
      </c>
      <c r="W140" s="255">
        <v>44308.0</v>
      </c>
      <c r="X140" s="255">
        <v>44309.0</v>
      </c>
      <c r="Y140" s="255">
        <v>44310.0</v>
      </c>
      <c r="Z140" s="255">
        <v>44311.0</v>
      </c>
      <c r="AA140" s="255">
        <v>44312.0</v>
      </c>
      <c r="AB140" s="255">
        <v>44313.0</v>
      </c>
      <c r="AC140" s="255">
        <v>44314.0</v>
      </c>
      <c r="AD140" s="255">
        <v>44315.0</v>
      </c>
      <c r="AE140" s="255">
        <v>44316.0</v>
      </c>
      <c r="AF140" s="255"/>
      <c r="AG140" s="20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  <c r="KJ140" s="21"/>
      <c r="KK140" s="21"/>
      <c r="KL140" s="21"/>
      <c r="KM140" s="21"/>
      <c r="KN140" s="21"/>
    </row>
    <row r="141" hidden="1" outlineLevel="2">
      <c r="A141" s="256" t="s">
        <v>9</v>
      </c>
      <c r="B141" s="20">
        <f>SUMIF(Inventory!$D2:$D1136,"="&amp;B140, Inventory!$F2:$F1136)</f>
        <v>14.64</v>
      </c>
      <c r="C141" s="20">
        <f>SUMIF(Inventory!$D2:$D1136,"="&amp;C140, Inventory!$F2:$F1136)</f>
        <v>23.02</v>
      </c>
      <c r="D141" s="20">
        <f>SUMIF(Inventory!$D2:$D1136,"="&amp;D140, Inventory!$F2:$F1136)</f>
        <v>12.41</v>
      </c>
      <c r="E141" s="20">
        <f>SUMIF(Inventory!$D2:$D1136,"="&amp;E140, Inventory!$F2:$F1136)</f>
        <v>15.98</v>
      </c>
      <c r="F141" s="20">
        <f>SUMIF(Inventory!$D2:$D1136,"="&amp;F140, Inventory!$F2:$F1136)</f>
        <v>6.85</v>
      </c>
      <c r="G141" s="20">
        <f>SUMIF(Inventory!$D2:$D1136,"="&amp;G140, Inventory!$F2:$F1136)</f>
        <v>10.58</v>
      </c>
      <c r="H141" s="20">
        <f>SUMIF(Inventory!$D2:$D1136,"="&amp;H140, Inventory!$F2:$F1136)</f>
        <v>1.35</v>
      </c>
      <c r="I141" s="20">
        <f>SUMIF(Inventory!$D2:$D1136,"="&amp;I140, Inventory!$F2:$F1136)</f>
        <v>0</v>
      </c>
      <c r="J141" s="20">
        <f>SUMIF(Inventory!$D2:$D1136,"="&amp;J140, Inventory!$F2:$F1136)</f>
        <v>0.84</v>
      </c>
      <c r="K141" s="20">
        <f>SUMIF(Inventory!$D2:$D1136,"="&amp;K140, Inventory!$F2:$F1136)</f>
        <v>15.93</v>
      </c>
      <c r="L141" s="20">
        <f>SUMIF(Inventory!$D2:$D1136,"="&amp;L140, Inventory!$F2:$F1136)</f>
        <v>0.83</v>
      </c>
      <c r="M141" s="20">
        <f>SUMIF(Inventory!$D2:$D1136,"="&amp;M140, Inventory!$F2:$F1136)</f>
        <v>0</v>
      </c>
      <c r="N141" s="20">
        <f>SUMIF(Inventory!$D2:$D1136,"="&amp;N140, Inventory!$F2:$F1136)</f>
        <v>15.67</v>
      </c>
      <c r="O141" s="20">
        <f>SUMIF(Inventory!$D2:$D1136,"="&amp;O140, Inventory!$F2:$F1136)</f>
        <v>4.69</v>
      </c>
      <c r="P141" s="20">
        <f>SUMIF(Inventory!$D2:$D1136,"="&amp;P140, Inventory!$F2:$F1136)</f>
        <v>0</v>
      </c>
      <c r="Q141" s="20">
        <f>SUMIF(Inventory!$D2:$D1136,"="&amp;Q140, Inventory!$F2:$F1136)</f>
        <v>22.61</v>
      </c>
      <c r="R141" s="20">
        <f>SUMIF(Inventory!$D2:$D1136,"="&amp;R140, Inventory!$F2:$F1136)</f>
        <v>11.15</v>
      </c>
      <c r="S141" s="20">
        <f>SUMIF(Inventory!$D2:$D1136,"="&amp;S140, Inventory!$F2:$F1136)</f>
        <v>12.46</v>
      </c>
      <c r="T141" s="20">
        <f>SUMIF(Inventory!$D2:$D1136,"="&amp;T140, Inventory!$F2:$F1136)</f>
        <v>70.3</v>
      </c>
      <c r="U141" s="20">
        <f>SUMIF(Inventory!$D2:$D1136,"="&amp;U140, Inventory!$F2:$F1136)</f>
        <v>18.08</v>
      </c>
      <c r="V141" s="20">
        <f>SUMIF(Inventory!$D2:$D1136,"="&amp;V140, Inventory!$F2:$F1136)</f>
        <v>0</v>
      </c>
      <c r="W141" s="20">
        <f>SUMIF(Inventory!$D2:$D1136,"="&amp;W140, Inventory!$F2:$F1136)</f>
        <v>12.25</v>
      </c>
      <c r="X141" s="20">
        <f>SUMIF(Inventory!$D2:$D1136,"="&amp;X140, Inventory!$F2:$F1136)</f>
        <v>2.68</v>
      </c>
      <c r="Y141" s="20">
        <f>SUMIF(Inventory!$D2:$D1136,"="&amp;Y140, Inventory!$F2:$F1136)</f>
        <v>7.01</v>
      </c>
      <c r="Z141" s="20">
        <f>SUMIF(Inventory!$D2:$D1136,"="&amp;Z140, Inventory!$F2:$F1136)</f>
        <v>17.47</v>
      </c>
      <c r="AA141" s="20">
        <f>SUMIF(Inventory!$D2:$D1136,"="&amp;AA140, Inventory!$F2:$F1136)</f>
        <v>7.52</v>
      </c>
      <c r="AB141" s="20">
        <f>SUMIF(Inventory!$D2:$D1136,"="&amp;AB140, Inventory!$F2:$F1136)</f>
        <v>7.57</v>
      </c>
      <c r="AC141" s="20">
        <f>SUMIF(Inventory!$D2:$D1136,"="&amp;AC140, Inventory!$F2:$F1136)</f>
        <v>0</v>
      </c>
      <c r="AD141" s="20">
        <f>SUMIF(Inventory!$D2:$D1136,"="&amp;AD140, Inventory!$F2:$F1136)</f>
        <v>17.59</v>
      </c>
      <c r="AE141" s="20">
        <f>SUMIF(Inventory!$D2:$D1136,"="&amp;AE140, Inventory!$F2:$F1136)</f>
        <v>29.87</v>
      </c>
      <c r="AG141" s="20">
        <f t="shared" ref="AG141:AG143" si="57">SUM(B141:AF141)</f>
        <v>359.35</v>
      </c>
      <c r="AH141" s="21">
        <f t="shared" ref="AH141:AH143" si="58">AVERAGE(B141:AF141)</f>
        <v>11.97833333</v>
      </c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  <c r="KJ141" s="21"/>
      <c r="KK141" s="21"/>
      <c r="KL141" s="21"/>
      <c r="KM141" s="21"/>
      <c r="KN141" s="21"/>
    </row>
    <row r="142" hidden="1" outlineLevel="2">
      <c r="A142" s="256" t="s">
        <v>10</v>
      </c>
      <c r="B142" s="20">
        <f>SUMIF(Inventory!$D2:$D1136,"="&amp;B140, Inventory!$E2:$E1136)</f>
        <v>9.21</v>
      </c>
      <c r="C142" s="20">
        <f>SUMIF(Inventory!$D2:$D1136,"="&amp;C140, Inventory!$E2:$E1136)</f>
        <v>15.48</v>
      </c>
      <c r="D142" s="20">
        <f>SUMIF(Inventory!$D2:$D1136,"="&amp;D140, Inventory!$E2:$E1136)</f>
        <v>8.38</v>
      </c>
      <c r="E142" s="20">
        <f>SUMIF(Inventory!$D2:$D1136,"="&amp;E140, Inventory!$E2:$E1136)</f>
        <v>11.8</v>
      </c>
      <c r="F142" s="20">
        <f>SUMIF(Inventory!$D2:$D1136,"="&amp;F140, Inventory!$E2:$E1136)</f>
        <v>3.06</v>
      </c>
      <c r="G142" s="20">
        <f>SUMIF(Inventory!$D2:$D1136,"="&amp;G140, Inventory!$E2:$E1136)</f>
        <v>8.81</v>
      </c>
      <c r="H142" s="20">
        <f>SUMIF(Inventory!$D2:$D1136,"="&amp;H140, Inventory!$E2:$E1136)</f>
        <v>0.5</v>
      </c>
      <c r="I142" s="20">
        <f>SUMIF(Inventory!$D2:$D1136,"="&amp;I140, Inventory!$E2:$E1136)</f>
        <v>0</v>
      </c>
      <c r="J142" s="20">
        <f>SUMIF(Inventory!$D2:$D1136,"="&amp;J140, Inventory!$E2:$E1136)</f>
        <v>0.41</v>
      </c>
      <c r="K142" s="20">
        <f>SUMIF(Inventory!$D2:$D1136,"="&amp;K140, Inventory!$E2:$E1136)</f>
        <v>10.69</v>
      </c>
      <c r="L142" s="20">
        <f>SUMIF(Inventory!$D2:$D1136,"="&amp;L140, Inventory!$E2:$E1136)</f>
        <v>0.41</v>
      </c>
      <c r="M142" s="20">
        <f>SUMIF(Inventory!$D2:$D1136,"="&amp;M140, Inventory!$E2:$E1136)</f>
        <v>0</v>
      </c>
      <c r="N142" s="20">
        <f>SUMIF(Inventory!$D2:$D1136,"="&amp;N140, Inventory!$E2:$E1136)</f>
        <v>13.46</v>
      </c>
      <c r="O142" s="20">
        <f>SUMIF(Inventory!$D2:$D1136,"="&amp;O140, Inventory!$E2:$E1136)</f>
        <v>4.12</v>
      </c>
      <c r="P142" s="20">
        <f>SUMIF(Inventory!$D2:$D1136,"="&amp;P140, Inventory!$E2:$E1136)</f>
        <v>0</v>
      </c>
      <c r="Q142" s="20">
        <f>SUMIF(Inventory!$D2:$D1136,"="&amp;Q140, Inventory!$E2:$E1136)</f>
        <v>17.34</v>
      </c>
      <c r="R142" s="20">
        <f>SUMIF(Inventory!$D2:$D1136,"="&amp;R140, Inventory!$E2:$E1136)</f>
        <v>9.47</v>
      </c>
      <c r="S142" s="20">
        <f>SUMIF(Inventory!$D2:$D1136,"="&amp;S140, Inventory!$E2:$E1136)</f>
        <v>7.34</v>
      </c>
      <c r="T142" s="20">
        <f>SUMIF(Inventory!$D2:$D1136,"="&amp;T140, Inventory!$E2:$E1136)</f>
        <v>54.45</v>
      </c>
      <c r="U142" s="20">
        <f>SUMIF(Inventory!$D2:$D1136,"="&amp;U140, Inventory!$E2:$E1136)</f>
        <v>8.73</v>
      </c>
      <c r="V142" s="20">
        <f>SUMIF(Inventory!$D2:$D1136,"="&amp;V140, Inventory!$E2:$E1136)</f>
        <v>0</v>
      </c>
      <c r="W142" s="20">
        <f>SUMIF(Inventory!$D2:$D1136,"="&amp;W140, Inventory!$E2:$E1136)</f>
        <v>9.98</v>
      </c>
      <c r="X142" s="20">
        <f>SUMIF(Inventory!$D2:$D1136,"="&amp;X140, Inventory!$E2:$E1136)</f>
        <v>0</v>
      </c>
      <c r="Y142" s="20">
        <f>SUMIF(Inventory!$D2:$D1136,"="&amp;Y140, Inventory!$E2:$E1136)</f>
        <v>3.06</v>
      </c>
      <c r="Z142" s="20">
        <f>SUMIF(Inventory!$D2:$D1136,"="&amp;Z140, Inventory!$E2:$E1136)</f>
        <v>11.12</v>
      </c>
      <c r="AA142" s="20">
        <f>SUMIF(Inventory!$D2:$D1136,"="&amp;AA140, Inventory!$E2:$E1136)</f>
        <v>3.29</v>
      </c>
      <c r="AB142" s="20">
        <f>SUMIF(Inventory!$D2:$D1136,"="&amp;AB140, Inventory!$E2:$E1136)</f>
        <v>4.35</v>
      </c>
      <c r="AC142" s="20">
        <f>SUMIF(Inventory!$D2:$D1136,"="&amp;AC140, Inventory!$E2:$E1136)</f>
        <v>0</v>
      </c>
      <c r="AD142" s="20">
        <f>SUMIF(Inventory!$D2:$D1136,"="&amp;AD140, Inventory!$E2:$E1136)</f>
        <v>12.79</v>
      </c>
      <c r="AE142" s="20">
        <f>SUMIF(Inventory!$D2:$D1136,"="&amp;AE140, Inventory!$E2:$E1136)</f>
        <v>21.65</v>
      </c>
      <c r="AG142" s="20">
        <f t="shared" si="57"/>
        <v>249.9</v>
      </c>
      <c r="AH142" s="21">
        <f t="shared" si="58"/>
        <v>8.33</v>
      </c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  <c r="KJ142" s="21"/>
      <c r="KK142" s="21"/>
      <c r="KL142" s="21"/>
      <c r="KM142" s="21"/>
      <c r="KN142" s="21"/>
    </row>
    <row r="143" hidden="1" outlineLevel="2">
      <c r="A143" s="256" t="s">
        <v>11</v>
      </c>
      <c r="B143" s="20">
        <f>SUMIF(Inventory!$D2:$D1136,"="&amp;B140, Inventory!$G2:$G1136)</f>
        <v>5.43</v>
      </c>
      <c r="C143" s="20">
        <f>SUMIF(Inventory!$D2:$D1136,"="&amp;C140, Inventory!$G2:$G1136)</f>
        <v>7.54</v>
      </c>
      <c r="D143" s="20">
        <f>SUMIF(Inventory!$D2:$D1136,"="&amp;D140, Inventory!$G2:$G1136)</f>
        <v>4.03</v>
      </c>
      <c r="E143" s="20">
        <f>SUMIF(Inventory!$D2:$D1136,"="&amp;E140, Inventory!$G2:$G1136)</f>
        <v>4.18</v>
      </c>
      <c r="F143" s="20">
        <f>SUMIF(Inventory!$D2:$D1136,"="&amp;F140, Inventory!$G2:$G1136)</f>
        <v>3.79</v>
      </c>
      <c r="G143" s="20">
        <f>SUMIF(Inventory!$D2:$D1136,"="&amp;G140, Inventory!$G2:$G1136)</f>
        <v>1.77</v>
      </c>
      <c r="H143" s="20">
        <f>SUMIF(Inventory!$D2:$D1136,"="&amp;H140, Inventory!$G2:$G1136)</f>
        <v>0.85</v>
      </c>
      <c r="I143" s="20">
        <f>SUMIF(Inventory!$D2:$D1136,"="&amp;I140, Inventory!$G2:$G1136)</f>
        <v>0</v>
      </c>
      <c r="J143" s="20">
        <f>SUMIF(Inventory!$D2:$D1136,"="&amp;J140, Inventory!$G2:$G1136)</f>
        <v>0.43</v>
      </c>
      <c r="K143" s="20">
        <f>SUMIF(Inventory!$D2:$D1136,"="&amp;K140, Inventory!$G2:$G1136)</f>
        <v>5.24</v>
      </c>
      <c r="L143" s="20">
        <f>SUMIF(Inventory!$D2:$D1136,"="&amp;L140, Inventory!$G2:$G1136)</f>
        <v>0.42</v>
      </c>
      <c r="M143" s="20">
        <f>SUMIF(Inventory!$D2:$D1136,"="&amp;M140, Inventory!$G2:$G1136)</f>
        <v>0</v>
      </c>
      <c r="N143" s="20">
        <f>SUMIF(Inventory!$D2:$D1136,"="&amp;N140, Inventory!$G2:$G1136)</f>
        <v>2.21</v>
      </c>
      <c r="O143" s="20">
        <f>SUMIF(Inventory!$D2:$D1136,"="&amp;O140, Inventory!$G2:$G1136)</f>
        <v>0.57</v>
      </c>
      <c r="P143" s="20">
        <f>SUMIF(Inventory!$D2:$D1136,"="&amp;P140, Inventory!$G2:$G1136)</f>
        <v>0</v>
      </c>
      <c r="Q143" s="20">
        <f>SUMIF(Inventory!$D2:$D1136,"="&amp;Q140, Inventory!$G2:$G1136)</f>
        <v>5.27</v>
      </c>
      <c r="R143" s="20">
        <f>SUMIF(Inventory!$D2:$D1136,"="&amp;R140, Inventory!$G2:$G1136)</f>
        <v>1.68</v>
      </c>
      <c r="S143" s="20">
        <f>SUMIF(Inventory!$D2:$D1136,"="&amp;S140, Inventory!$G2:$G1136)</f>
        <v>5.12</v>
      </c>
      <c r="T143" s="20">
        <f>SUMIF(Inventory!$D2:$D1136,"="&amp;T140, Inventory!$G2:$G1136)</f>
        <v>15.85</v>
      </c>
      <c r="U143" s="20">
        <f>SUMIF(Inventory!$D2:$D1136,"="&amp;U140, Inventory!$G2:$G1136)</f>
        <v>9.35</v>
      </c>
      <c r="V143" s="20">
        <f>SUMIF(Inventory!$D2:$D1136,"="&amp;V140, Inventory!$G2:$G1136)</f>
        <v>0</v>
      </c>
      <c r="W143" s="20">
        <f>SUMIF(Inventory!$D2:$D1136,"="&amp;W140, Inventory!$G2:$G1136)</f>
        <v>2.27</v>
      </c>
      <c r="X143" s="20">
        <f>SUMIF(Inventory!$D2:$D1136,"="&amp;X140, Inventory!$G2:$G1136)</f>
        <v>2.68</v>
      </c>
      <c r="Y143" s="20">
        <f>SUMIF(Inventory!$D2:$D1136,"="&amp;Y140, Inventory!$G2:$G1136)</f>
        <v>3.95</v>
      </c>
      <c r="Z143" s="20">
        <f>SUMIF(Inventory!$D2:$D1136,"="&amp;Z140, Inventory!$G2:$G1136)</f>
        <v>6.35</v>
      </c>
      <c r="AA143" s="20">
        <f>SUMIF(Inventory!$D2:$D1136,"="&amp;AA140, Inventory!$G2:$G1136)</f>
        <v>4.23</v>
      </c>
      <c r="AB143" s="20">
        <f>SUMIF(Inventory!$D2:$D1136,"="&amp;AB140, Inventory!$G2:$G1136)</f>
        <v>3.22</v>
      </c>
      <c r="AC143" s="20">
        <f>SUMIF(Inventory!$D2:$D1136,"="&amp;AC140, Inventory!$G2:$G1136)</f>
        <v>0</v>
      </c>
      <c r="AD143" s="20">
        <f>SUMIF(Inventory!$D2:$D1136,"="&amp;AD140, Inventory!$G2:$G1136)</f>
        <v>4.8</v>
      </c>
      <c r="AE143" s="20">
        <f>SUMIF(Inventory!$D2:$D1136,"="&amp;AE140, Inventory!$G2:$G1136)</f>
        <v>8.22</v>
      </c>
      <c r="AG143" s="20">
        <f t="shared" si="57"/>
        <v>109.45</v>
      </c>
      <c r="AH143" s="21">
        <f t="shared" si="58"/>
        <v>3.648333333</v>
      </c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  <c r="KJ143" s="21"/>
      <c r="KK143" s="21"/>
      <c r="KL143" s="21"/>
      <c r="KM143" s="21"/>
      <c r="KN143" s="21"/>
    </row>
    <row r="144" hidden="1" outlineLevel="2">
      <c r="A144" s="256" t="s">
        <v>10566</v>
      </c>
      <c r="B144" s="20">
        <f>COUNTIFS(Inventory!$D2:$D1136,"="&amp;B140, Inventory!$J2:$J1136,"Closed")</f>
        <v>4</v>
      </c>
      <c r="C144" s="20">
        <f>COUNTIFS(Inventory!$D2:$D1136,"="&amp;C140, Inventory!$J2:$J1136,"Closed")</f>
        <v>3</v>
      </c>
      <c r="D144" s="20">
        <f>COUNTIFS(Inventory!$D2:$D1136,"="&amp;D140, Inventory!$J2:$J1136,"Closed")</f>
        <v>1</v>
      </c>
      <c r="E144" s="20">
        <f>COUNTIFS(Inventory!$D2:$D1136,"="&amp;E140, Inventory!$J2:$J1136,"Closed")</f>
        <v>6</v>
      </c>
      <c r="F144" s="20">
        <f>COUNTIFS(Inventory!$D2:$D1136,"="&amp;F140, Inventory!$J2:$J1136,"Closed")</f>
        <v>1</v>
      </c>
      <c r="G144" s="20">
        <f>COUNTIFS(Inventory!$D2:$D1136,"="&amp;G140, Inventory!$J2:$J1136,"Closed")</f>
        <v>2</v>
      </c>
      <c r="H144" s="20">
        <f>COUNTIFS(Inventory!$D2:$D1136,"="&amp;H140, Inventory!$J2:$J1136,"Closed")</f>
        <v>1</v>
      </c>
      <c r="I144" s="20">
        <f>COUNTIFS(Inventory!$D2:$D1136,"="&amp;I140, Inventory!$J2:$J1136,"Closed")</f>
        <v>0</v>
      </c>
      <c r="J144" s="20">
        <f>COUNTIFS(Inventory!$D2:$D1136,"="&amp;J140, Inventory!$J2:$J1136,"Closed")</f>
        <v>1</v>
      </c>
      <c r="K144" s="20">
        <f>COUNTIFS(Inventory!$D2:$D1136,"="&amp;K140, Inventory!$J2:$J1136,"Closed")</f>
        <v>2</v>
      </c>
      <c r="L144" s="20">
        <f>COUNTIFS(Inventory!$D2:$D1136,"="&amp;L140, Inventory!$J2:$J1136,"Closed")</f>
        <v>1</v>
      </c>
      <c r="M144" s="20">
        <f>COUNTIFS(Inventory!$D2:$D1136,"="&amp;M140, Inventory!$J2:$J1136,"Closed")</f>
        <v>0</v>
      </c>
      <c r="N144" s="20">
        <f>COUNTIFS(Inventory!$D2:$D1136,"="&amp;N140, Inventory!$J2:$J1136,"Closed")</f>
        <v>1</v>
      </c>
      <c r="O144" s="20">
        <f>COUNTIFS(Inventory!$D2:$D1136,"="&amp;O140, Inventory!$J2:$J1136,"Closed")</f>
        <v>1</v>
      </c>
      <c r="P144" s="20">
        <f>COUNTIFS(Inventory!$D2:$D1136,"="&amp;P140, Inventory!$J2:$J1136,"Closed")</f>
        <v>0</v>
      </c>
      <c r="Q144" s="20">
        <f>COUNTIFS(Inventory!$D2:$D1136,"="&amp;Q140, Inventory!$J2:$J1136,"Closed")</f>
        <v>3</v>
      </c>
      <c r="R144" s="20">
        <f>COUNTIFS(Inventory!$D2:$D1136,"="&amp;R140, Inventory!$J2:$J1136,"Closed")</f>
        <v>2</v>
      </c>
      <c r="S144" s="20">
        <f>COUNTIFS(Inventory!$D2:$D1136,"="&amp;S140, Inventory!$J2:$J1136,"Closed")</f>
        <v>3</v>
      </c>
      <c r="T144" s="20">
        <f>COUNTIFS(Inventory!$D2:$D1136,"="&amp;T140, Inventory!$J2:$J1136,"Closed")</f>
        <v>6</v>
      </c>
      <c r="U144" s="20">
        <f>COUNTIFS(Inventory!$D2:$D1136,"="&amp;U140, Inventory!$J2:$J1136,"Closed")</f>
        <v>3</v>
      </c>
      <c r="V144" s="20">
        <f>COUNTIFS(Inventory!$D2:$D1136,"="&amp;V140, Inventory!$J2:$J1136,"Closed")</f>
        <v>0</v>
      </c>
      <c r="W144" s="20">
        <f>COUNTIFS(Inventory!$D2:$D1136,"="&amp;W140, Inventory!$J2:$J1136,"Closed")</f>
        <v>2</v>
      </c>
      <c r="X144" s="20">
        <f>COUNTIFS(Inventory!$D2:$D1136,"="&amp;X140, Inventory!$J2:$J1136,"Closed")</f>
        <v>2</v>
      </c>
      <c r="Y144" s="20">
        <f>COUNTIFS(Inventory!$D2:$D1136,"="&amp;Y140, Inventory!$J2:$J1136,"Closed")</f>
        <v>3</v>
      </c>
      <c r="Z144" s="20">
        <f>COUNTIFS(Inventory!$D2:$D1136,"="&amp;Z140, Inventory!$J2:$J1136,"Closed")</f>
        <v>3</v>
      </c>
      <c r="AA144" s="20">
        <f>COUNTIFS(Inventory!$D2:$D1136,"="&amp;AA140, Inventory!$J2:$J1136,"Closed")</f>
        <v>2</v>
      </c>
      <c r="AB144" s="20">
        <f>COUNTIFS(Inventory!$D2:$D1136,"="&amp;AB140, Inventory!$J2:$J1136,"Closed")</f>
        <v>1</v>
      </c>
      <c r="AC144" s="20">
        <f>COUNTIFS(Inventory!$D2:$D1136,"="&amp;AC140, Inventory!$J2:$J1136,"Closed")</f>
        <v>0</v>
      </c>
      <c r="AD144" s="20">
        <f>COUNTIFS(Inventory!$D2:$D1136,"="&amp;AD140, Inventory!$J2:$J1136,"Closed")</f>
        <v>3</v>
      </c>
      <c r="AE144" s="20">
        <f>COUNTIFS(Inventory!$D2:$D1136,"="&amp;AE140, Inventory!$J2:$J1136,"Closed")</f>
        <v>6</v>
      </c>
      <c r="AG144" s="20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  <c r="KJ144" s="21"/>
      <c r="KK144" s="21"/>
      <c r="KL144" s="21"/>
      <c r="KM144" s="21"/>
      <c r="KN144" s="21"/>
    </row>
    <row r="145" outlineLevel="1" collapsed="1">
      <c r="A145" s="253" t="s">
        <v>10203</v>
      </c>
      <c r="B145" s="255">
        <v>44317.0</v>
      </c>
      <c r="C145" s="255">
        <v>44318.0</v>
      </c>
      <c r="D145" s="255">
        <v>44319.0</v>
      </c>
      <c r="E145" s="255">
        <v>44320.0</v>
      </c>
      <c r="F145" s="255">
        <v>44321.0</v>
      </c>
      <c r="G145" s="255">
        <v>44322.0</v>
      </c>
      <c r="H145" s="255">
        <v>44323.0</v>
      </c>
      <c r="I145" s="255">
        <v>44324.0</v>
      </c>
      <c r="J145" s="255">
        <v>44325.0</v>
      </c>
      <c r="K145" s="255">
        <v>44326.0</v>
      </c>
      <c r="L145" s="255">
        <v>44327.0</v>
      </c>
      <c r="M145" s="255">
        <v>44328.0</v>
      </c>
      <c r="N145" s="255">
        <v>44329.0</v>
      </c>
      <c r="O145" s="255">
        <v>44330.0</v>
      </c>
      <c r="P145" s="255">
        <v>44331.0</v>
      </c>
      <c r="Q145" s="255">
        <v>44332.0</v>
      </c>
      <c r="R145" s="255">
        <v>44333.0</v>
      </c>
      <c r="S145" s="255">
        <v>44334.0</v>
      </c>
      <c r="T145" s="255">
        <v>44335.0</v>
      </c>
      <c r="U145" s="255">
        <v>44336.0</v>
      </c>
      <c r="V145" s="255">
        <v>44337.0</v>
      </c>
      <c r="W145" s="255">
        <v>44338.0</v>
      </c>
      <c r="X145" s="255">
        <v>44339.0</v>
      </c>
      <c r="Y145" s="255">
        <v>44340.0</v>
      </c>
      <c r="Z145" s="255">
        <v>44341.0</v>
      </c>
      <c r="AA145" s="255">
        <v>44342.0</v>
      </c>
      <c r="AB145" s="255">
        <v>44343.0</v>
      </c>
      <c r="AC145" s="255">
        <v>44344.0</v>
      </c>
      <c r="AD145" s="255">
        <v>44345.0</v>
      </c>
      <c r="AE145" s="255">
        <v>44346.0</v>
      </c>
      <c r="AF145" s="255">
        <v>44347.0</v>
      </c>
      <c r="AG145" s="20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  <c r="KJ145" s="21"/>
      <c r="KK145" s="21"/>
      <c r="KL145" s="21"/>
      <c r="KM145" s="21"/>
      <c r="KN145" s="21"/>
    </row>
    <row r="146" hidden="1" outlineLevel="2">
      <c r="A146" s="256" t="s">
        <v>9</v>
      </c>
      <c r="B146" s="20">
        <f>SUMIF(Inventory!$D2:$D1136,"="&amp;B145, Inventory!$F2:$F1136)</f>
        <v>17.59</v>
      </c>
      <c r="C146" s="20">
        <f>SUMIF(Inventory!$D2:$D1136,"="&amp;C145, Inventory!$F2:$F1136)</f>
        <v>13.27</v>
      </c>
      <c r="D146" s="20">
        <f>SUMIF(Inventory!$D2:$D1136,"="&amp;D145, Inventory!$F2:$F1136)</f>
        <v>9.92</v>
      </c>
      <c r="E146" s="20">
        <f>SUMIF(Inventory!$D2:$D1136,"="&amp;E145, Inventory!$F2:$F1136)</f>
        <v>23.3</v>
      </c>
      <c r="F146" s="20">
        <f>SUMIF(Inventory!$D2:$D1136,"="&amp;F145, Inventory!$F2:$F1136)</f>
        <v>0</v>
      </c>
      <c r="G146" s="20">
        <f>SUMIF(Inventory!$D2:$D1136,"="&amp;G145, Inventory!$F2:$F1136)</f>
        <v>30.29</v>
      </c>
      <c r="H146" s="20">
        <f>SUMIF(Inventory!$D2:$D1136,"="&amp;H145, Inventory!$F2:$F1136)</f>
        <v>5.07</v>
      </c>
      <c r="I146" s="20">
        <f>SUMIF(Inventory!$D2:$D1136,"="&amp;I145, Inventory!$F2:$F1136)</f>
        <v>45.3</v>
      </c>
      <c r="J146" s="20">
        <f>SUMIF(Inventory!$D2:$D1136,"="&amp;J145, Inventory!$F2:$F1136)</f>
        <v>28.38</v>
      </c>
      <c r="K146" s="20">
        <f>SUMIF(Inventory!$D2:$D1136,"="&amp;K145, Inventory!$F2:$F1136)</f>
        <v>33.77</v>
      </c>
      <c r="L146" s="20">
        <f>SUMIF(Inventory!$D2:$D1136,"="&amp;L145, Inventory!$F2:$F1136)</f>
        <v>49.96</v>
      </c>
      <c r="M146" s="20">
        <f>SUMIF(Inventory!$D2:$D1136,"="&amp;M145, Inventory!$F2:$F1136)</f>
        <v>5.41</v>
      </c>
      <c r="N146" s="20">
        <f>SUMIF(Inventory!$D2:$D1136,"="&amp;N145, Inventory!$F2:$F1136)</f>
        <v>27.32</v>
      </c>
      <c r="O146" s="20">
        <f>SUMIF(Inventory!$D2:$D1136,"="&amp;O145, Inventory!$F2:$F1136)</f>
        <v>72.43</v>
      </c>
      <c r="P146" s="20">
        <f>SUMIF(Inventory!$D2:$D1136,"="&amp;P145, Inventory!$F2:$F1136)</f>
        <v>8.75</v>
      </c>
      <c r="Q146" s="20">
        <f>SUMIF(Inventory!$D2:$D1136,"="&amp;Q145, Inventory!$F2:$F1136)</f>
        <v>0.45</v>
      </c>
      <c r="R146" s="20">
        <f>SUMIF(Inventory!$D2:$D1136,"="&amp;R145, Inventory!$F2:$F1136)</f>
        <v>0</v>
      </c>
      <c r="S146" s="20">
        <f>SUMIF(Inventory!$D2:$D1136,"="&amp;S145, Inventory!$F2:$F1136)</f>
        <v>4.51</v>
      </c>
      <c r="T146" s="20">
        <f>SUMIF(Inventory!$D2:$D1136,"="&amp;T145, Inventory!$F2:$F1136)</f>
        <v>8.58</v>
      </c>
      <c r="U146" s="20">
        <f>SUMIF(Inventory!$D2:$D1136,"="&amp;U145, Inventory!$F2:$F1136)</f>
        <v>0</v>
      </c>
      <c r="V146" s="20">
        <f>SUMIF(Inventory!$D2:$D1136,"="&amp;V145, Inventory!$F2:$F1136)</f>
        <v>18.08</v>
      </c>
      <c r="W146" s="20">
        <f>SUMIF(Inventory!$D2:$D1136,"="&amp;W145, Inventory!$F2:$F1136)</f>
        <v>0</v>
      </c>
      <c r="X146" s="20">
        <f>SUMIF(Inventory!$D2:$D1136,"="&amp;X145, Inventory!$F2:$F1136)</f>
        <v>10.82</v>
      </c>
      <c r="Y146" s="20">
        <f>SUMIF(Inventory!$D2:$D1136,"="&amp;Y145, Inventory!$F2:$F1136)</f>
        <v>6.36</v>
      </c>
      <c r="Z146" s="20">
        <f>SUMIF(Inventory!$D2:$D1136,"="&amp;Z145, Inventory!$F2:$F1136)</f>
        <v>30.03</v>
      </c>
      <c r="AA146" s="20">
        <f>SUMIF(Inventory!$D2:$D1136,"="&amp;AA145, Inventory!$F2:$F1136)</f>
        <v>8.43</v>
      </c>
      <c r="AB146" s="20">
        <f>SUMIF(Inventory!$D2:$D1136,"="&amp;AB145, Inventory!$F2:$F1136)</f>
        <v>15.73</v>
      </c>
      <c r="AC146" s="20">
        <f>SUMIF(Inventory!$D2:$D1136,"="&amp;AC145, Inventory!$F2:$F1136)</f>
        <v>0</v>
      </c>
      <c r="AD146" s="20">
        <f>SUMIF(Inventory!$D2:$D1136,"="&amp;AD145, Inventory!$F2:$F1136)</f>
        <v>0.65</v>
      </c>
      <c r="AE146" s="20">
        <f>SUMIF(Inventory!$D2:$D1136,"="&amp;AE145, Inventory!$F2:$F1136)</f>
        <v>0</v>
      </c>
      <c r="AF146" s="20">
        <f>SUMIF(Inventory!$D2:$D1136,"="&amp;AF145, Inventory!$F2:$F1136)</f>
        <v>8.64</v>
      </c>
      <c r="AG146" s="20">
        <f t="shared" ref="AG146:AG148" si="59">SUM(B146:AF146)</f>
        <v>483.04</v>
      </c>
      <c r="AH146" s="21">
        <f t="shared" ref="AH146:AH148" si="60">AVERAGE(B146:AF146)</f>
        <v>15.58193548</v>
      </c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</row>
    <row r="147" hidden="1" outlineLevel="2">
      <c r="A147" s="256" t="s">
        <v>10</v>
      </c>
      <c r="B147" s="20">
        <f>SUMIF(Inventory!$D2:$D1136,"="&amp;B145, Inventory!$E2:$E1136)</f>
        <v>11.99</v>
      </c>
      <c r="C147" s="20">
        <f>SUMIF(Inventory!$D2:$D1136,"="&amp;C145, Inventory!$E2:$E1136)</f>
        <v>8.58</v>
      </c>
      <c r="D147" s="20">
        <f>SUMIF(Inventory!$D2:$D1136,"="&amp;D145, Inventory!$E2:$E1136)</f>
        <v>8.79</v>
      </c>
      <c r="E147" s="20">
        <f>SUMIF(Inventory!$D2:$D1136,"="&amp;E145, Inventory!$E2:$E1136)</f>
        <v>18.89</v>
      </c>
      <c r="F147" s="20">
        <f>SUMIF(Inventory!$D2:$D1136,"="&amp;F145, Inventory!$E2:$E1136)</f>
        <v>0</v>
      </c>
      <c r="G147" s="20">
        <f>SUMIF(Inventory!$D2:$D1136,"="&amp;G145, Inventory!$E2:$E1136)</f>
        <v>23.54</v>
      </c>
      <c r="H147" s="20">
        <f>SUMIF(Inventory!$D2:$D1136,"="&amp;H145, Inventory!$E2:$E1136)</f>
        <v>4.32</v>
      </c>
      <c r="I147" s="20">
        <f>SUMIF(Inventory!$D2:$D1136,"="&amp;I145, Inventory!$E2:$E1136)</f>
        <v>35.39</v>
      </c>
      <c r="J147" s="20">
        <f>SUMIF(Inventory!$D2:$D1136,"="&amp;J145, Inventory!$E2:$E1136)</f>
        <v>20.53</v>
      </c>
      <c r="K147" s="20">
        <f>SUMIF(Inventory!$D2:$D1136,"="&amp;K145, Inventory!$E2:$E1136)</f>
        <v>24.51</v>
      </c>
      <c r="L147" s="20">
        <f>SUMIF(Inventory!$D2:$D1136,"="&amp;L145, Inventory!$E2:$E1136)</f>
        <v>37.03</v>
      </c>
      <c r="M147" s="20">
        <f>SUMIF(Inventory!$D2:$D1136,"="&amp;M145, Inventory!$E2:$E1136)</f>
        <v>4.29</v>
      </c>
      <c r="N147" s="20">
        <f>SUMIF(Inventory!$D2:$D1136,"="&amp;N145, Inventory!$E2:$E1136)</f>
        <v>18.5</v>
      </c>
      <c r="O147" s="20">
        <f>SUMIF(Inventory!$D2:$D1136,"="&amp;O145, Inventory!$E2:$E1136)</f>
        <v>52.51</v>
      </c>
      <c r="P147" s="20">
        <f>SUMIF(Inventory!$D2:$D1136,"="&amp;P145, Inventory!$E2:$E1136)</f>
        <v>6.71</v>
      </c>
      <c r="Q147" s="20">
        <f>SUMIF(Inventory!$D2:$D1136,"="&amp;Q145, Inventory!$E2:$E1136)</f>
        <v>0</v>
      </c>
      <c r="R147" s="20">
        <f>SUMIF(Inventory!$D2:$D1136,"="&amp;R145, Inventory!$E2:$E1136)</f>
        <v>0</v>
      </c>
      <c r="S147" s="20">
        <f>SUMIF(Inventory!$D2:$D1136,"="&amp;S145, Inventory!$E2:$E1136)</f>
        <v>4.09</v>
      </c>
      <c r="T147" s="20">
        <f>SUMIF(Inventory!$D2:$D1136,"="&amp;T145, Inventory!$E2:$E1136)</f>
        <v>4.8</v>
      </c>
      <c r="U147" s="20">
        <f>SUMIF(Inventory!$D2:$D1136,"="&amp;U145, Inventory!$E2:$E1136)</f>
        <v>0</v>
      </c>
      <c r="V147" s="20">
        <f>SUMIF(Inventory!$D2:$D1136,"="&amp;V145, Inventory!$E2:$E1136)</f>
        <v>16.15</v>
      </c>
      <c r="W147" s="20">
        <f>SUMIF(Inventory!$D2:$D1136,"="&amp;W145, Inventory!$E2:$E1136)</f>
        <v>0</v>
      </c>
      <c r="X147" s="20">
        <f>SUMIF(Inventory!$D2:$D1136,"="&amp;X145, Inventory!$E2:$E1136)</f>
        <v>9.7</v>
      </c>
      <c r="Y147" s="20">
        <f>SUMIF(Inventory!$D2:$D1136,"="&amp;Y145, Inventory!$E2:$E1136)</f>
        <v>3.66</v>
      </c>
      <c r="Z147" s="20">
        <f>SUMIF(Inventory!$D2:$D1136,"="&amp;Z145, Inventory!$E2:$E1136)</f>
        <v>21.14</v>
      </c>
      <c r="AA147" s="20">
        <f>SUMIF(Inventory!$D2:$D1136,"="&amp;AA145, Inventory!$E2:$E1136)</f>
        <v>3.92</v>
      </c>
      <c r="AB147" s="20">
        <f>SUMIF(Inventory!$D2:$D1136,"="&amp;AB145, Inventory!$E2:$E1136)</f>
        <v>11.97</v>
      </c>
      <c r="AC147" s="20">
        <f>SUMIF(Inventory!$D2:$D1136,"="&amp;AC145, Inventory!$E2:$E1136)</f>
        <v>0</v>
      </c>
      <c r="AD147" s="20">
        <f>SUMIF(Inventory!$D2:$D1136,"="&amp;AD145, Inventory!$E2:$E1136)</f>
        <v>0.56</v>
      </c>
      <c r="AE147" s="20">
        <f>SUMIF(Inventory!$D2:$D1136,"="&amp;AE145, Inventory!$E2:$E1136)</f>
        <v>0</v>
      </c>
      <c r="AF147" s="20">
        <f>SUMIF(Inventory!$D2:$D1136,"="&amp;AF145, Inventory!$E2:$E1136)</f>
        <v>7.23</v>
      </c>
      <c r="AG147" s="20">
        <f t="shared" si="59"/>
        <v>358.8</v>
      </c>
      <c r="AH147" s="21">
        <f t="shared" si="60"/>
        <v>11.57419355</v>
      </c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  <c r="KJ147" s="21"/>
      <c r="KK147" s="21"/>
      <c r="KL147" s="21"/>
      <c r="KM147" s="21"/>
      <c r="KN147" s="21"/>
    </row>
    <row r="148" hidden="1" outlineLevel="2">
      <c r="A148" s="256" t="s">
        <v>11</v>
      </c>
      <c r="B148" s="20">
        <f>SUMIF(Inventory!$D2:$D1136,"="&amp;B145, Inventory!$G2:$G1136)</f>
        <v>5.6</v>
      </c>
      <c r="C148" s="20">
        <f>SUMIF(Inventory!$D2:$D1136,"="&amp;C145, Inventory!$G2:$G1136)</f>
        <v>4.69</v>
      </c>
      <c r="D148" s="20">
        <f>SUMIF(Inventory!$D2:$D1136,"="&amp;D145, Inventory!$G2:$G1136)</f>
        <v>1.13</v>
      </c>
      <c r="E148" s="20">
        <f>SUMIF(Inventory!$D2:$D1136,"="&amp;E145, Inventory!$G2:$G1136)</f>
        <v>4.41</v>
      </c>
      <c r="F148" s="20">
        <f>SUMIF(Inventory!$D2:$D1136,"="&amp;F145, Inventory!$G2:$G1136)</f>
        <v>0</v>
      </c>
      <c r="G148" s="20">
        <f>SUMIF(Inventory!$D2:$D1136,"="&amp;G145, Inventory!$G2:$G1136)</f>
        <v>6.75</v>
      </c>
      <c r="H148" s="20">
        <f>SUMIF(Inventory!$D2:$D1136,"="&amp;H145, Inventory!$G2:$G1136)</f>
        <v>0.75</v>
      </c>
      <c r="I148" s="20">
        <f>SUMIF(Inventory!$D2:$D1136,"="&amp;I145, Inventory!$G2:$G1136)</f>
        <v>9.91</v>
      </c>
      <c r="J148" s="20">
        <f>SUMIF(Inventory!$D2:$D1136,"="&amp;J145, Inventory!$G2:$G1136)</f>
        <v>7.85</v>
      </c>
      <c r="K148" s="20">
        <f>SUMIF(Inventory!$D2:$D1136,"="&amp;K145, Inventory!$G2:$G1136)</f>
        <v>9.26</v>
      </c>
      <c r="L148" s="20">
        <f>SUMIF(Inventory!$D2:$D1136,"="&amp;L145, Inventory!$G2:$G1136)</f>
        <v>12.93</v>
      </c>
      <c r="M148" s="20">
        <f>SUMIF(Inventory!$D2:$D1136,"="&amp;M145, Inventory!$G2:$G1136)</f>
        <v>1.12</v>
      </c>
      <c r="N148" s="20">
        <f>SUMIF(Inventory!$D2:$D1136,"="&amp;N145, Inventory!$G2:$G1136)</f>
        <v>8.82</v>
      </c>
      <c r="O148" s="20">
        <f>SUMIF(Inventory!$D2:$D1136,"="&amp;O145, Inventory!$G2:$G1136)</f>
        <v>19.92</v>
      </c>
      <c r="P148" s="20">
        <f>SUMIF(Inventory!$D2:$D1136,"="&amp;P145, Inventory!$G2:$G1136)</f>
        <v>2.04</v>
      </c>
      <c r="Q148" s="20">
        <f>SUMIF(Inventory!$D2:$D1136,"="&amp;Q145, Inventory!$G2:$G1136)</f>
        <v>0.45</v>
      </c>
      <c r="R148" s="20">
        <f>SUMIF(Inventory!$D2:$D1136,"="&amp;R145, Inventory!$G2:$G1136)</f>
        <v>0</v>
      </c>
      <c r="S148" s="20">
        <f>SUMIF(Inventory!$D2:$D1136,"="&amp;S145, Inventory!$G2:$G1136)</f>
        <v>0.42</v>
      </c>
      <c r="T148" s="20">
        <f>SUMIF(Inventory!$D2:$D1136,"="&amp;T145, Inventory!$G2:$G1136)</f>
        <v>3.78</v>
      </c>
      <c r="U148" s="20">
        <f>SUMIF(Inventory!$D2:$D1136,"="&amp;U145, Inventory!$G2:$G1136)</f>
        <v>0</v>
      </c>
      <c r="V148" s="20">
        <f>SUMIF(Inventory!$D2:$D1136,"="&amp;V145, Inventory!$G2:$G1136)</f>
        <v>1.93</v>
      </c>
      <c r="W148" s="20">
        <f>SUMIF(Inventory!$D2:$D1136,"="&amp;W145, Inventory!$G2:$G1136)</f>
        <v>0</v>
      </c>
      <c r="X148" s="20">
        <f>SUMIF(Inventory!$D2:$D1136,"="&amp;X145, Inventory!$G2:$G1136)</f>
        <v>1.12</v>
      </c>
      <c r="Y148" s="20">
        <f>SUMIF(Inventory!$D2:$D1136,"="&amp;Y145, Inventory!$G2:$G1136)</f>
        <v>2.7</v>
      </c>
      <c r="Z148" s="20">
        <f>SUMIF(Inventory!$D2:$D1136,"="&amp;Z145, Inventory!$G2:$G1136)</f>
        <v>8.89</v>
      </c>
      <c r="AA148" s="20">
        <f>SUMIF(Inventory!$D2:$D1136,"="&amp;AA145, Inventory!$G2:$G1136)</f>
        <v>4.51</v>
      </c>
      <c r="AB148" s="20">
        <f>SUMIF(Inventory!$D2:$D1136,"="&amp;AB145, Inventory!$G2:$G1136)</f>
        <v>3.76</v>
      </c>
      <c r="AC148" s="20">
        <f>SUMIF(Inventory!$D2:$D1136,"="&amp;AC145, Inventory!$G2:$G1136)</f>
        <v>0</v>
      </c>
      <c r="AD148" s="20">
        <f>SUMIF(Inventory!$D2:$D1136,"="&amp;AD145, Inventory!$G2:$G1136)</f>
        <v>0.09</v>
      </c>
      <c r="AE148" s="20">
        <f>SUMIF(Inventory!$D2:$D1136,"="&amp;AE145, Inventory!$G2:$G1136)</f>
        <v>0</v>
      </c>
      <c r="AF148" s="20">
        <f>SUMIF(Inventory!$D2:$D1136,"="&amp;AF145, Inventory!$G2:$G1136)</f>
        <v>1.41</v>
      </c>
      <c r="AG148" s="20">
        <f t="shared" si="59"/>
        <v>124.24</v>
      </c>
      <c r="AH148" s="21">
        <f t="shared" si="60"/>
        <v>4.007741935</v>
      </c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  <c r="KJ148" s="21"/>
      <c r="KK148" s="21"/>
      <c r="KL148" s="21"/>
      <c r="KM148" s="21"/>
      <c r="KN148" s="21"/>
    </row>
    <row r="149" hidden="1" outlineLevel="2">
      <c r="A149" s="256" t="s">
        <v>10566</v>
      </c>
      <c r="B149" s="20">
        <f>COUNTIFS(Inventory!$D2:$D1136,"="&amp;B145, Inventory!$J2:$J1136,"Closed")</f>
        <v>4</v>
      </c>
      <c r="C149" s="20">
        <f>COUNTIFS(Inventory!$D2:$D1136,"="&amp;C145, Inventory!$J2:$J1136,"Closed")</f>
        <v>3</v>
      </c>
      <c r="D149" s="20">
        <f>COUNTIFS(Inventory!$D2:$D1136,"="&amp;D145, Inventory!$J2:$J1136,"Closed")</f>
        <v>2</v>
      </c>
      <c r="E149" s="20">
        <f>COUNTIFS(Inventory!$D2:$D1136,"="&amp;E145, Inventory!$J2:$J1136,"Closed")</f>
        <v>4</v>
      </c>
      <c r="F149" s="20">
        <f>COUNTIFS(Inventory!$D2:$D1136,"="&amp;F145, Inventory!$J2:$J1136,"Closed")</f>
        <v>0</v>
      </c>
      <c r="G149" s="20">
        <f>COUNTIFS(Inventory!$D2:$D1136,"="&amp;G145, Inventory!$J2:$J1136,"Closed")</f>
        <v>4</v>
      </c>
      <c r="H149" s="20">
        <f>COUNTIFS(Inventory!$D2:$D1136,"="&amp;H145, Inventory!$J2:$J1136,"Closed")</f>
        <v>1</v>
      </c>
      <c r="I149" s="20">
        <f>COUNTIFS(Inventory!$D2:$D1136,"="&amp;I145, Inventory!$J2:$J1136,"Closed")</f>
        <v>4</v>
      </c>
      <c r="J149" s="20">
        <f>COUNTIFS(Inventory!$D2:$D1136,"="&amp;J145, Inventory!$J2:$J1136,"Closed")</f>
        <v>2</v>
      </c>
      <c r="K149" s="20">
        <f>COUNTIFS(Inventory!$D2:$D1136,"="&amp;K145, Inventory!$J2:$J1136,"Closed")</f>
        <v>4</v>
      </c>
      <c r="L149" s="20">
        <f>COUNTIFS(Inventory!$D2:$D1136,"="&amp;L145, Inventory!$J2:$J1136,"Closed")</f>
        <v>4</v>
      </c>
      <c r="M149" s="20">
        <f>COUNTIFS(Inventory!$D2:$D1136,"="&amp;M145, Inventory!$J2:$J1136,"Closed")</f>
        <v>1</v>
      </c>
      <c r="N149" s="20">
        <f>COUNTIFS(Inventory!$D2:$D1136,"="&amp;N145, Inventory!$J2:$J1136,"Closed")</f>
        <v>2</v>
      </c>
      <c r="O149" s="20">
        <f>COUNTIFS(Inventory!$D2:$D1136,"="&amp;O145, Inventory!$J2:$J1136,"Closed")</f>
        <v>3</v>
      </c>
      <c r="P149" s="20">
        <f>COUNTIFS(Inventory!$D2:$D1136,"="&amp;P145, Inventory!$J2:$J1136,"Closed")</f>
        <v>2</v>
      </c>
      <c r="Q149" s="20">
        <f>COUNTIFS(Inventory!$D2:$D1136,"="&amp;Q145, Inventory!$J2:$J1136,"Closed")</f>
        <v>1</v>
      </c>
      <c r="R149" s="20">
        <f>COUNTIFS(Inventory!$D2:$D1136,"="&amp;R145, Inventory!$J2:$J1136,"Closed")</f>
        <v>0</v>
      </c>
      <c r="S149" s="20">
        <f>COUNTIFS(Inventory!$D2:$D1136,"="&amp;S145, Inventory!$J2:$J1136,"Closed")</f>
        <v>2</v>
      </c>
      <c r="T149" s="20">
        <f>COUNTIFS(Inventory!$D2:$D1136,"="&amp;T145, Inventory!$J2:$J1136,"Closed")</f>
        <v>2</v>
      </c>
      <c r="U149" s="20">
        <f>COUNTIFS(Inventory!$D2:$D1136,"="&amp;U145, Inventory!$J2:$J1136,"Closed")</f>
        <v>0</v>
      </c>
      <c r="V149" s="20">
        <f>COUNTIFS(Inventory!$D2:$D1136,"="&amp;V145, Inventory!$J2:$J1136,"Closed")</f>
        <v>2</v>
      </c>
      <c r="W149" s="20">
        <f>COUNTIFS(Inventory!$D2:$D1136,"="&amp;W145, Inventory!$J2:$J1136,"Closed")</f>
        <v>0</v>
      </c>
      <c r="X149" s="20">
        <f>COUNTIFS(Inventory!$D2:$D1136,"="&amp;X145, Inventory!$J2:$J1136,"Closed")</f>
        <v>2</v>
      </c>
      <c r="Y149" s="20">
        <f>COUNTIFS(Inventory!$D2:$D1136,"="&amp;Y145, Inventory!$J2:$J1136,"Closed")</f>
        <v>3</v>
      </c>
      <c r="Z149" s="20">
        <f>COUNTIFS(Inventory!$D2:$D1136,"="&amp;Z145, Inventory!$J2:$J1136,"Closed")</f>
        <v>4</v>
      </c>
      <c r="AA149" s="20">
        <f>COUNTIFS(Inventory!$D2:$D1136,"="&amp;AA145, Inventory!$J2:$J1136,"Closed")</f>
        <v>2</v>
      </c>
      <c r="AB149" s="20">
        <f>COUNTIFS(Inventory!$D2:$D1136,"="&amp;AB145, Inventory!$J2:$J1136,"Closed")</f>
        <v>1</v>
      </c>
      <c r="AC149" s="20">
        <f>COUNTIFS(Inventory!$D2:$D1136,"="&amp;AC145, Inventory!$J2:$J1136,"Closed")</f>
        <v>0</v>
      </c>
      <c r="AD149" s="20">
        <f>COUNTIFS(Inventory!$D2:$D1136,"="&amp;AD145, Inventory!$J2:$J1136,"Closed")</f>
        <v>1</v>
      </c>
      <c r="AE149" s="20">
        <f>COUNTIFS(Inventory!$D2:$D1136,"="&amp;AE145, Inventory!$J2:$J1136,"Closed")</f>
        <v>0</v>
      </c>
      <c r="AF149" s="20">
        <f>COUNTIFS(Inventory!$D2:$D1136,"="&amp;AF145, Inventory!$J2:$J1136,"Closed")</f>
        <v>2</v>
      </c>
      <c r="AG149" s="20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  <c r="KJ149" s="21"/>
      <c r="KK149" s="21"/>
      <c r="KL149" s="21"/>
      <c r="KM149" s="21"/>
      <c r="KN149" s="21"/>
    </row>
    <row r="150" outlineLevel="1" collapsed="1">
      <c r="A150" s="253" t="s">
        <v>10204</v>
      </c>
      <c r="B150" s="255">
        <v>44348.0</v>
      </c>
      <c r="C150" s="255">
        <v>44349.0</v>
      </c>
      <c r="D150" s="255">
        <v>44350.0</v>
      </c>
      <c r="E150" s="255">
        <v>44351.0</v>
      </c>
      <c r="F150" s="255">
        <v>44352.0</v>
      </c>
      <c r="G150" s="255">
        <v>44353.0</v>
      </c>
      <c r="H150" s="255">
        <v>44354.0</v>
      </c>
      <c r="I150" s="255">
        <v>44355.0</v>
      </c>
      <c r="J150" s="255">
        <v>44356.0</v>
      </c>
      <c r="K150" s="255">
        <v>44357.0</v>
      </c>
      <c r="L150" s="255">
        <v>44358.0</v>
      </c>
      <c r="M150" s="255">
        <v>44359.0</v>
      </c>
      <c r="N150" s="255">
        <v>44360.0</v>
      </c>
      <c r="O150" s="255">
        <v>44361.0</v>
      </c>
      <c r="P150" s="255">
        <v>44362.0</v>
      </c>
      <c r="Q150" s="255">
        <v>44363.0</v>
      </c>
      <c r="R150" s="255">
        <v>44364.0</v>
      </c>
      <c r="S150" s="255">
        <v>44365.0</v>
      </c>
      <c r="T150" s="255">
        <v>44366.0</v>
      </c>
      <c r="U150" s="255">
        <v>44367.0</v>
      </c>
      <c r="V150" s="255">
        <v>44368.0</v>
      </c>
      <c r="W150" s="255">
        <v>44369.0</v>
      </c>
      <c r="X150" s="255">
        <v>44370.0</v>
      </c>
      <c r="Y150" s="255">
        <v>44371.0</v>
      </c>
      <c r="Z150" s="255">
        <v>44372.0</v>
      </c>
      <c r="AA150" s="255">
        <v>44373.0</v>
      </c>
      <c r="AB150" s="255">
        <v>44374.0</v>
      </c>
      <c r="AC150" s="255">
        <v>44375.0</v>
      </c>
      <c r="AD150" s="255">
        <v>44376.0</v>
      </c>
      <c r="AE150" s="255">
        <v>44377.0</v>
      </c>
      <c r="AF150" s="255"/>
      <c r="AG150" s="20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  <c r="KJ150" s="21"/>
      <c r="KK150" s="21"/>
      <c r="KL150" s="21"/>
      <c r="KM150" s="21"/>
      <c r="KN150" s="21"/>
    </row>
    <row r="151" hidden="1" outlineLevel="2">
      <c r="A151" s="256" t="s">
        <v>9</v>
      </c>
      <c r="B151" s="20">
        <f>SUMIF(Inventory!$D2:$D1136,"="&amp;B150, Inventory!$F2:$F1136)</f>
        <v>31.69</v>
      </c>
      <c r="C151" s="20">
        <f>SUMIF(Inventory!$D2:$D1136,"="&amp;C150, Inventory!$F2:$F1136)</f>
        <v>6.44</v>
      </c>
      <c r="D151" s="20">
        <f>SUMIF(Inventory!$D2:$D1136,"="&amp;D150, Inventory!$F2:$F1136)</f>
        <v>16.37</v>
      </c>
      <c r="E151" s="20">
        <f>SUMIF(Inventory!$D2:$D1136,"="&amp;E150, Inventory!$F2:$F1136)</f>
        <v>0</v>
      </c>
      <c r="F151" s="20">
        <f>SUMIF(Inventory!$D2:$D1136,"="&amp;F150, Inventory!$F2:$F1136)</f>
        <v>21.18</v>
      </c>
      <c r="G151" s="20">
        <f>SUMIF(Inventory!$D2:$D1136,"="&amp;G150, Inventory!$F2:$F1136)</f>
        <v>14.54</v>
      </c>
      <c r="H151" s="20">
        <f>SUMIF(Inventory!$D2:$D1136,"="&amp;H150, Inventory!$F2:$F1136)</f>
        <v>0</v>
      </c>
      <c r="I151" s="20">
        <f>SUMIF(Inventory!$D2:$D1136,"="&amp;I150, Inventory!$F2:$F1136)</f>
        <v>9.36</v>
      </c>
      <c r="J151" s="20">
        <f>SUMIF(Inventory!$D2:$D1136,"="&amp;J150, Inventory!$F2:$F1136)</f>
        <v>0</v>
      </c>
      <c r="K151" s="20">
        <f>SUMIF(Inventory!$D2:$D1136,"="&amp;K150, Inventory!$F2:$F1136)</f>
        <v>16.36</v>
      </c>
      <c r="L151" s="20">
        <f>SUMIF(Inventory!$D2:$D1136,"="&amp;L150, Inventory!$F2:$F1136)</f>
        <v>0</v>
      </c>
      <c r="M151" s="20">
        <f>SUMIF(Inventory!$D2:$D1136,"="&amp;M150, Inventory!$F2:$F1136)</f>
        <v>4.64</v>
      </c>
      <c r="N151" s="20">
        <f>SUMIF(Inventory!$D2:$D1136,"="&amp;N150, Inventory!$F2:$F1136)</f>
        <v>7.39</v>
      </c>
      <c r="O151" s="20">
        <f>SUMIF(Inventory!$D2:$D1136,"="&amp;O150, Inventory!$F2:$F1136)</f>
        <v>26.97</v>
      </c>
      <c r="P151" s="20">
        <f>SUMIF(Inventory!$D2:$D1136,"="&amp;P150, Inventory!$F2:$F1136)</f>
        <v>7.63</v>
      </c>
      <c r="Q151" s="20">
        <f>SUMIF(Inventory!$D2:$D1136,"="&amp;Q150, Inventory!$F2:$F1136)</f>
        <v>0</v>
      </c>
      <c r="R151" s="20">
        <f>SUMIF(Inventory!$D2:$D1136,"="&amp;R150, Inventory!$F2:$F1136)</f>
        <v>0</v>
      </c>
      <c r="S151" s="20">
        <f>SUMIF(Inventory!$D2:$D1136,"="&amp;S150, Inventory!$F2:$F1136)</f>
        <v>17.37</v>
      </c>
      <c r="T151" s="20">
        <f>SUMIF(Inventory!$D2:$D1136,"="&amp;T150, Inventory!$F2:$F1136)</f>
        <v>10.76</v>
      </c>
      <c r="U151" s="20">
        <f>SUMIF(Inventory!$D2:$D1136,"="&amp;U150, Inventory!$F2:$F1136)</f>
        <v>9.99</v>
      </c>
      <c r="V151" s="20">
        <f>SUMIF(Inventory!$D2:$D1136,"="&amp;V150, Inventory!$F2:$F1136)</f>
        <v>33.35</v>
      </c>
      <c r="W151" s="20">
        <f>SUMIF(Inventory!$D2:$D1136,"="&amp;W150, Inventory!$F2:$F1136)</f>
        <v>44.6</v>
      </c>
      <c r="X151" s="20">
        <f>SUMIF(Inventory!$D2:$D1136,"="&amp;X150, Inventory!$F2:$F1136)</f>
        <v>36.55</v>
      </c>
      <c r="Y151" s="20">
        <f>SUMIF(Inventory!$D2:$D1136,"="&amp;Y150, Inventory!$F2:$F1136)</f>
        <v>11.85</v>
      </c>
      <c r="Z151" s="20">
        <f>SUMIF(Inventory!$D2:$D1136,"="&amp;Z150, Inventory!$F2:$F1136)</f>
        <v>0</v>
      </c>
      <c r="AA151" s="20">
        <f>SUMIF(Inventory!$D2:$D1136,"="&amp;AA150, Inventory!$F2:$F1136)</f>
        <v>76.37</v>
      </c>
      <c r="AB151" s="20">
        <f>SUMIF(Inventory!$D2:$D1136,"="&amp;AB150, Inventory!$F2:$F1136)</f>
        <v>3.33</v>
      </c>
      <c r="AC151" s="20">
        <f>SUMIF(Inventory!$D2:$D1136,"="&amp;AC150, Inventory!$F2:$F1136)</f>
        <v>60.72</v>
      </c>
      <c r="AD151" s="20">
        <f>SUMIF(Inventory!$D2:$D1136,"="&amp;AD150, Inventory!$F2:$F1136)</f>
        <v>19.01</v>
      </c>
      <c r="AE151" s="20">
        <f>SUMIF(Inventory!$D2:$D1136,"="&amp;AE150, Inventory!$F2:$F1136)</f>
        <v>22.97</v>
      </c>
      <c r="AG151" s="20">
        <f t="shared" ref="AG151:AG153" si="61">SUM(B151:AF151)</f>
        <v>509.44</v>
      </c>
      <c r="AH151" s="21">
        <f t="shared" ref="AH151:AH153" si="62">AVERAGE(B151:AF151)</f>
        <v>16.98133333</v>
      </c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  <c r="KJ151" s="21"/>
      <c r="KK151" s="21"/>
      <c r="KL151" s="21"/>
      <c r="KM151" s="21"/>
      <c r="KN151" s="21"/>
    </row>
    <row r="152" hidden="1" outlineLevel="2">
      <c r="A152" s="256" t="s">
        <v>10</v>
      </c>
      <c r="B152" s="20">
        <f>SUMIF(Inventory!$D2:$D1136,"="&amp;B150, Inventory!$E2:$E1136)</f>
        <v>24.19</v>
      </c>
      <c r="C152" s="20">
        <f>SUMIF(Inventory!$D2:$D1136,"="&amp;C150, Inventory!$E2:$E1136)</f>
        <v>3.62</v>
      </c>
      <c r="D152" s="20">
        <f>SUMIF(Inventory!$D2:$D1136,"="&amp;D150, Inventory!$E2:$E1136)</f>
        <v>9.76</v>
      </c>
      <c r="E152" s="20">
        <f>SUMIF(Inventory!$D2:$D1136,"="&amp;E150, Inventory!$E2:$E1136)</f>
        <v>0</v>
      </c>
      <c r="F152" s="20">
        <f>SUMIF(Inventory!$D2:$D1136,"="&amp;F150, Inventory!$E2:$E1136)</f>
        <v>16.29</v>
      </c>
      <c r="G152" s="20">
        <f>SUMIF(Inventory!$D2:$D1136,"="&amp;G150, Inventory!$E2:$E1136)</f>
        <v>12.7</v>
      </c>
      <c r="H152" s="20">
        <f>SUMIF(Inventory!$D2:$D1136,"="&amp;H150, Inventory!$E2:$E1136)</f>
        <v>0</v>
      </c>
      <c r="I152" s="20">
        <f>SUMIF(Inventory!$D2:$D1136,"="&amp;I150, Inventory!$E2:$E1136)</f>
        <v>6.17</v>
      </c>
      <c r="J152" s="20">
        <f>SUMIF(Inventory!$D2:$D1136,"="&amp;J150, Inventory!$E2:$E1136)</f>
        <v>0</v>
      </c>
      <c r="K152" s="20">
        <f>SUMIF(Inventory!$D2:$D1136,"="&amp;K150, Inventory!$E2:$E1136)</f>
        <v>14.59</v>
      </c>
      <c r="L152" s="20">
        <f>SUMIF(Inventory!$D2:$D1136,"="&amp;L150, Inventory!$E2:$E1136)</f>
        <v>0</v>
      </c>
      <c r="M152" s="20">
        <f>SUMIF(Inventory!$D2:$D1136,"="&amp;M150, Inventory!$E2:$E1136)</f>
        <v>2.88</v>
      </c>
      <c r="N152" s="20">
        <f>SUMIF(Inventory!$D2:$D1136,"="&amp;N150, Inventory!$E2:$E1136)</f>
        <v>6.17</v>
      </c>
      <c r="O152" s="20">
        <f>SUMIF(Inventory!$D2:$D1136,"="&amp;O150, Inventory!$E2:$E1136)</f>
        <v>16.67</v>
      </c>
      <c r="P152" s="20">
        <f>SUMIF(Inventory!$D2:$D1136,"="&amp;P150, Inventory!$E2:$E1136)</f>
        <v>5.48</v>
      </c>
      <c r="Q152" s="20">
        <f>SUMIF(Inventory!$D2:$D1136,"="&amp;Q150, Inventory!$E2:$E1136)</f>
        <v>0</v>
      </c>
      <c r="R152" s="20">
        <f>SUMIF(Inventory!$D2:$D1136,"="&amp;R150, Inventory!$E2:$E1136)</f>
        <v>0</v>
      </c>
      <c r="S152" s="20">
        <f>SUMIF(Inventory!$D2:$D1136,"="&amp;S150, Inventory!$E2:$E1136)</f>
        <v>11.02</v>
      </c>
      <c r="T152" s="20">
        <f>SUMIF(Inventory!$D2:$D1136,"="&amp;T150, Inventory!$E2:$E1136)</f>
        <v>5.42</v>
      </c>
      <c r="U152" s="20">
        <f>SUMIF(Inventory!$D2:$D1136,"="&amp;U150, Inventory!$E2:$E1136)</f>
        <v>6.73</v>
      </c>
      <c r="V152" s="20">
        <f>SUMIF(Inventory!$D2:$D1136,"="&amp;V150, Inventory!$E2:$E1136)</f>
        <v>23.17</v>
      </c>
      <c r="W152" s="20">
        <f>SUMIF(Inventory!$D2:$D1136,"="&amp;W150, Inventory!$E2:$E1136)</f>
        <v>30.98</v>
      </c>
      <c r="X152" s="20">
        <f>SUMIF(Inventory!$D2:$D1136,"="&amp;X150, Inventory!$E2:$E1136)</f>
        <v>26.13</v>
      </c>
      <c r="Y152" s="20">
        <f>SUMIF(Inventory!$D2:$D1136,"="&amp;Y150, Inventory!$E2:$E1136)</f>
        <v>8.61</v>
      </c>
      <c r="Z152" s="20">
        <f>SUMIF(Inventory!$D2:$D1136,"="&amp;Z150, Inventory!$E2:$E1136)</f>
        <v>0</v>
      </c>
      <c r="AA152" s="20">
        <f>SUMIF(Inventory!$D2:$D1136,"="&amp;AA150, Inventory!$E2:$E1136)</f>
        <v>56.46</v>
      </c>
      <c r="AB152" s="20">
        <f>SUMIF(Inventory!$D2:$D1136,"="&amp;AB150, Inventory!$E2:$E1136)</f>
        <v>2.85</v>
      </c>
      <c r="AC152" s="20">
        <f>SUMIF(Inventory!$D2:$D1136,"="&amp;AC150, Inventory!$E2:$E1136)</f>
        <v>47</v>
      </c>
      <c r="AD152" s="20">
        <f>SUMIF(Inventory!$D2:$D1136,"="&amp;AD150, Inventory!$E2:$E1136)</f>
        <v>14.53</v>
      </c>
      <c r="AE152" s="20">
        <f>SUMIF(Inventory!$D2:$D1136,"="&amp;AE150, Inventory!$E2:$E1136)</f>
        <v>16.74</v>
      </c>
      <c r="AG152" s="20">
        <f t="shared" si="61"/>
        <v>368.16</v>
      </c>
      <c r="AH152" s="21">
        <f t="shared" si="62"/>
        <v>12.272</v>
      </c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  <c r="KJ152" s="21"/>
      <c r="KK152" s="21"/>
      <c r="KL152" s="21"/>
      <c r="KM152" s="21"/>
      <c r="KN152" s="21"/>
    </row>
    <row r="153" hidden="1" outlineLevel="2">
      <c r="A153" s="256" t="s">
        <v>11</v>
      </c>
      <c r="B153" s="20">
        <f>SUMIF(Inventory!$D2:$D1136,"="&amp;B150, Inventory!$G2:$G1136)</f>
        <v>7.5</v>
      </c>
      <c r="C153" s="20">
        <f>SUMIF(Inventory!$D2:$D1136,"="&amp;C150, Inventory!$G2:$G1136)</f>
        <v>2.82</v>
      </c>
      <c r="D153" s="20">
        <f>SUMIF(Inventory!$D2:$D1136,"="&amp;D150, Inventory!$G2:$G1136)</f>
        <v>6.61</v>
      </c>
      <c r="E153" s="20">
        <f>SUMIF(Inventory!$D2:$D1136,"="&amp;E150, Inventory!$G2:$G1136)</f>
        <v>0</v>
      </c>
      <c r="F153" s="20">
        <f>SUMIF(Inventory!$D2:$D1136,"="&amp;F150, Inventory!$G2:$G1136)</f>
        <v>4.89</v>
      </c>
      <c r="G153" s="20">
        <f>SUMIF(Inventory!$D2:$D1136,"="&amp;G150, Inventory!$G2:$G1136)</f>
        <v>1.84</v>
      </c>
      <c r="H153" s="20">
        <f>SUMIF(Inventory!$D2:$D1136,"="&amp;H150, Inventory!$G2:$G1136)</f>
        <v>0</v>
      </c>
      <c r="I153" s="20">
        <f>SUMIF(Inventory!$D2:$D1136,"="&amp;I150, Inventory!$G2:$G1136)</f>
        <v>3.19</v>
      </c>
      <c r="J153" s="20">
        <f>SUMIF(Inventory!$D2:$D1136,"="&amp;J150, Inventory!$G2:$G1136)</f>
        <v>0</v>
      </c>
      <c r="K153" s="20">
        <f>SUMIF(Inventory!$D2:$D1136,"="&amp;K150, Inventory!$G2:$G1136)</f>
        <v>1.77</v>
      </c>
      <c r="L153" s="20">
        <f>SUMIF(Inventory!$D2:$D1136,"="&amp;L150, Inventory!$G2:$G1136)</f>
        <v>0</v>
      </c>
      <c r="M153" s="20">
        <f>SUMIF(Inventory!$D2:$D1136,"="&amp;M150, Inventory!$G2:$G1136)</f>
        <v>1.76</v>
      </c>
      <c r="N153" s="20">
        <f>SUMIF(Inventory!$D2:$D1136,"="&amp;N150, Inventory!$G2:$G1136)</f>
        <v>1.22</v>
      </c>
      <c r="O153" s="20">
        <f>SUMIF(Inventory!$D2:$D1136,"="&amp;O150, Inventory!$G2:$G1136)</f>
        <v>10.3</v>
      </c>
      <c r="P153" s="20">
        <f>SUMIF(Inventory!$D2:$D1136,"="&amp;P150, Inventory!$G2:$G1136)</f>
        <v>2.15</v>
      </c>
      <c r="Q153" s="20">
        <f>SUMIF(Inventory!$D2:$D1136,"="&amp;Q150, Inventory!$G2:$G1136)</f>
        <v>0</v>
      </c>
      <c r="R153" s="20">
        <f>SUMIF(Inventory!$D2:$D1136,"="&amp;R150, Inventory!$G2:$G1136)</f>
        <v>0</v>
      </c>
      <c r="S153" s="20">
        <f>SUMIF(Inventory!$D2:$D1136,"="&amp;S150, Inventory!$G2:$G1136)</f>
        <v>6.35</v>
      </c>
      <c r="T153" s="20">
        <f>SUMIF(Inventory!$D2:$D1136,"="&amp;T150, Inventory!$G2:$G1136)</f>
        <v>5.34</v>
      </c>
      <c r="U153" s="20">
        <f>SUMIF(Inventory!$D2:$D1136,"="&amp;U150, Inventory!$G2:$G1136)</f>
        <v>3.26</v>
      </c>
      <c r="V153" s="20">
        <f>SUMIF(Inventory!$D2:$D1136,"="&amp;V150, Inventory!$G2:$G1136)</f>
        <v>10.18</v>
      </c>
      <c r="W153" s="20">
        <f>SUMIF(Inventory!$D2:$D1136,"="&amp;W150, Inventory!$G2:$G1136)</f>
        <v>13.62</v>
      </c>
      <c r="X153" s="20">
        <f>SUMIF(Inventory!$D2:$D1136,"="&amp;X150, Inventory!$G2:$G1136)</f>
        <v>10.42</v>
      </c>
      <c r="Y153" s="20">
        <f>SUMIF(Inventory!$D2:$D1136,"="&amp;Y150, Inventory!$G2:$G1136)</f>
        <v>3.24</v>
      </c>
      <c r="Z153" s="20">
        <f>SUMIF(Inventory!$D2:$D1136,"="&amp;Z150, Inventory!$G2:$G1136)</f>
        <v>0</v>
      </c>
      <c r="AA153" s="20">
        <f>SUMIF(Inventory!$D2:$D1136,"="&amp;AA150, Inventory!$G2:$G1136)</f>
        <v>19.91</v>
      </c>
      <c r="AB153" s="20">
        <f>SUMIF(Inventory!$D2:$D1136,"="&amp;AB150, Inventory!$G2:$G1136)</f>
        <v>0.48</v>
      </c>
      <c r="AC153" s="20">
        <f>SUMIF(Inventory!$D2:$D1136,"="&amp;AC150, Inventory!$G2:$G1136)</f>
        <v>13.72</v>
      </c>
      <c r="AD153" s="20">
        <f>SUMIF(Inventory!$D2:$D1136,"="&amp;AD150, Inventory!$G2:$G1136)</f>
        <v>4.48</v>
      </c>
      <c r="AE153" s="20">
        <f>SUMIF(Inventory!$D2:$D1136,"="&amp;AE150, Inventory!$G2:$G1136)</f>
        <v>6.23</v>
      </c>
      <c r="AG153" s="20">
        <f t="shared" si="61"/>
        <v>141.28</v>
      </c>
      <c r="AH153" s="21">
        <f t="shared" si="62"/>
        <v>4.709333333</v>
      </c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  <c r="KJ153" s="21"/>
      <c r="KK153" s="21"/>
      <c r="KL153" s="21"/>
      <c r="KM153" s="21"/>
      <c r="KN153" s="21"/>
    </row>
    <row r="154" hidden="1" outlineLevel="2">
      <c r="A154" s="256" t="s">
        <v>10566</v>
      </c>
      <c r="B154" s="20">
        <f>COUNTIFS(Inventory!$D2:$D1136,"="&amp;B150, Inventory!$J2:$J1136,"Closed")</f>
        <v>3</v>
      </c>
      <c r="C154" s="20">
        <f>COUNTIFS(Inventory!$D2:$D1136,"="&amp;C150, Inventory!$J2:$J1136,"Closed")</f>
        <v>2</v>
      </c>
      <c r="D154" s="20">
        <f>COUNTIFS(Inventory!$D2:$D1136,"="&amp;D150, Inventory!$J2:$J1136,"Closed")</f>
        <v>1</v>
      </c>
      <c r="E154" s="20">
        <f>COUNTIFS(Inventory!$D2:$D1136,"="&amp;E150, Inventory!$J2:$J1136,"Closed")</f>
        <v>0</v>
      </c>
      <c r="F154" s="20">
        <f>COUNTIFS(Inventory!$D2:$D1136,"="&amp;F150, Inventory!$J2:$J1136,"Closed")</f>
        <v>4</v>
      </c>
      <c r="G154" s="20">
        <f>COUNTIFS(Inventory!$D2:$D1136,"="&amp;G150, Inventory!$J2:$J1136,"Closed")</f>
        <v>2</v>
      </c>
      <c r="H154" s="20">
        <f>COUNTIFS(Inventory!$D2:$D1136,"="&amp;H150, Inventory!$J2:$J1136,"Closed")</f>
        <v>0</v>
      </c>
      <c r="I154" s="20">
        <f>COUNTIFS(Inventory!$D2:$D1136,"="&amp;I150, Inventory!$J2:$J1136,"Closed")</f>
        <v>1</v>
      </c>
      <c r="J154" s="20">
        <f>COUNTIFS(Inventory!$D2:$D1136,"="&amp;J150, Inventory!$J2:$J1136,"Closed")</f>
        <v>0</v>
      </c>
      <c r="K154" s="20">
        <f>COUNTIFS(Inventory!$D2:$D1136,"="&amp;K150, Inventory!$J2:$J1136,"Closed")</f>
        <v>1</v>
      </c>
      <c r="L154" s="20">
        <f>COUNTIFS(Inventory!$D2:$D1136,"="&amp;L150, Inventory!$J2:$J1136,"Closed")</f>
        <v>0</v>
      </c>
      <c r="M154" s="20">
        <f>COUNTIFS(Inventory!$D2:$D1136,"="&amp;M150, Inventory!$J2:$J1136,"Closed")</f>
        <v>1</v>
      </c>
      <c r="N154" s="20">
        <f>COUNTIFS(Inventory!$D2:$D1136,"="&amp;N150, Inventory!$J2:$J1136,"Closed")</f>
        <v>1</v>
      </c>
      <c r="O154" s="20">
        <f>COUNTIFS(Inventory!$D2:$D1136,"="&amp;O150, Inventory!$J2:$J1136,"Closed")</f>
        <v>3</v>
      </c>
      <c r="P154" s="20">
        <f>COUNTIFS(Inventory!$D2:$D1136,"="&amp;P150, Inventory!$J2:$J1136,"Closed")</f>
        <v>2</v>
      </c>
      <c r="Q154" s="20">
        <f>COUNTIFS(Inventory!$D2:$D1136,"="&amp;Q150, Inventory!$J2:$J1136,"Closed")</f>
        <v>0</v>
      </c>
      <c r="R154" s="20">
        <f>COUNTIFS(Inventory!$D2:$D1136,"="&amp;R150, Inventory!$J2:$J1136,"Closed")</f>
        <v>0</v>
      </c>
      <c r="S154" s="20">
        <f>COUNTIFS(Inventory!$D2:$D1136,"="&amp;S150, Inventory!$J2:$J1136,"Closed")</f>
        <v>1</v>
      </c>
      <c r="T154" s="20">
        <f>COUNTIFS(Inventory!$D2:$D1136,"="&amp;T150, Inventory!$J2:$J1136,"Closed")</f>
        <v>3</v>
      </c>
      <c r="U154" s="20">
        <f>COUNTIFS(Inventory!$D2:$D1136,"="&amp;U150, Inventory!$J2:$J1136,"Closed")</f>
        <v>2</v>
      </c>
      <c r="V154" s="20">
        <f>COUNTIFS(Inventory!$D2:$D1136,"="&amp;V150, Inventory!$J2:$J1136,"Closed")</f>
        <v>8</v>
      </c>
      <c r="W154" s="20">
        <f>COUNTIFS(Inventory!$D2:$D1136,"="&amp;W150, Inventory!$J2:$J1136,"Closed")</f>
        <v>5</v>
      </c>
      <c r="X154" s="20">
        <f>COUNTIFS(Inventory!$D2:$D1136,"="&amp;X150, Inventory!$J2:$J1136,"Closed")</f>
        <v>5</v>
      </c>
      <c r="Y154" s="20">
        <f>COUNTIFS(Inventory!$D2:$D1136,"="&amp;Y150, Inventory!$J2:$J1136,"Closed")</f>
        <v>3</v>
      </c>
      <c r="Z154" s="20">
        <f>COUNTIFS(Inventory!$D2:$D1136,"="&amp;Z150, Inventory!$J2:$J1136,"Closed")</f>
        <v>0</v>
      </c>
      <c r="AA154" s="20">
        <f>COUNTIFS(Inventory!$D2:$D1136,"="&amp;AA150, Inventory!$J2:$J1136,"Closed")</f>
        <v>4</v>
      </c>
      <c r="AB154" s="20">
        <f>COUNTIFS(Inventory!$D2:$D1136,"="&amp;AB150, Inventory!$J2:$J1136,"Closed")</f>
        <v>2</v>
      </c>
      <c r="AC154" s="20">
        <f>COUNTIFS(Inventory!$D2:$D1136,"="&amp;AC150, Inventory!$J2:$J1136,"Closed")</f>
        <v>5</v>
      </c>
      <c r="AD154" s="20">
        <f>COUNTIFS(Inventory!$D2:$D1136,"="&amp;AD150, Inventory!$J2:$J1136,"Closed")</f>
        <v>3</v>
      </c>
      <c r="AE154" s="20">
        <f>COUNTIFS(Inventory!$D2:$D1136,"="&amp;AE150, Inventory!$J2:$J1136,"Closed")</f>
        <v>3</v>
      </c>
      <c r="AG154" s="20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  <c r="JM154" s="21"/>
      <c r="JN154" s="21"/>
      <c r="JO154" s="21"/>
      <c r="JP154" s="21"/>
      <c r="JQ154" s="21"/>
      <c r="JR154" s="21"/>
      <c r="JS154" s="21"/>
      <c r="JT154" s="21"/>
      <c r="JU154" s="21"/>
      <c r="JV154" s="21"/>
      <c r="JW154" s="21"/>
      <c r="JX154" s="21"/>
      <c r="JY154" s="21"/>
      <c r="JZ154" s="21"/>
      <c r="KA154" s="21"/>
      <c r="KB154" s="21"/>
      <c r="KC154" s="21"/>
      <c r="KD154" s="21"/>
      <c r="KE154" s="21"/>
      <c r="KF154" s="21"/>
      <c r="KG154" s="21"/>
      <c r="KH154" s="21"/>
      <c r="KI154" s="21"/>
      <c r="KJ154" s="21"/>
      <c r="KK154" s="21"/>
      <c r="KL154" s="21"/>
      <c r="KM154" s="21"/>
      <c r="KN154" s="21"/>
    </row>
    <row r="155" outlineLevel="1" collapsed="1">
      <c r="A155" s="253" t="s">
        <v>10205</v>
      </c>
      <c r="B155" s="255">
        <v>44378.0</v>
      </c>
      <c r="C155" s="255">
        <v>44379.0</v>
      </c>
      <c r="D155" s="255">
        <v>44380.0</v>
      </c>
      <c r="E155" s="255">
        <v>44381.0</v>
      </c>
      <c r="F155" s="255">
        <v>44382.0</v>
      </c>
      <c r="G155" s="255">
        <v>44383.0</v>
      </c>
      <c r="H155" s="255">
        <v>44384.0</v>
      </c>
      <c r="I155" s="255">
        <v>44385.0</v>
      </c>
      <c r="J155" s="255">
        <v>44386.0</v>
      </c>
      <c r="K155" s="255">
        <v>44387.0</v>
      </c>
      <c r="L155" s="255">
        <v>44388.0</v>
      </c>
      <c r="M155" s="255">
        <v>44389.0</v>
      </c>
      <c r="N155" s="255">
        <v>44390.0</v>
      </c>
      <c r="O155" s="255">
        <v>44391.0</v>
      </c>
      <c r="P155" s="255">
        <v>44392.0</v>
      </c>
      <c r="Q155" s="255">
        <v>44393.0</v>
      </c>
      <c r="R155" s="255">
        <v>44394.0</v>
      </c>
      <c r="S155" s="255">
        <v>44395.0</v>
      </c>
      <c r="T155" s="255">
        <v>44396.0</v>
      </c>
      <c r="U155" s="255">
        <v>44397.0</v>
      </c>
      <c r="V155" s="255">
        <v>44398.0</v>
      </c>
      <c r="W155" s="255">
        <v>44399.0</v>
      </c>
      <c r="X155" s="255">
        <v>44400.0</v>
      </c>
      <c r="Y155" s="255">
        <v>44401.0</v>
      </c>
      <c r="Z155" s="255">
        <v>44402.0</v>
      </c>
      <c r="AA155" s="255">
        <v>44403.0</v>
      </c>
      <c r="AB155" s="255">
        <v>44404.0</v>
      </c>
      <c r="AC155" s="255">
        <v>44405.0</v>
      </c>
      <c r="AD155" s="255">
        <v>44406.0</v>
      </c>
      <c r="AE155" s="255">
        <v>44407.0</v>
      </c>
      <c r="AF155" s="255">
        <v>44408.0</v>
      </c>
      <c r="AG155" s="20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1"/>
      <c r="JV155" s="21"/>
      <c r="JW155" s="21"/>
      <c r="JX155" s="21"/>
      <c r="JY155" s="21"/>
      <c r="JZ155" s="21"/>
      <c r="KA155" s="21"/>
      <c r="KB155" s="21"/>
      <c r="KC155" s="21"/>
      <c r="KD155" s="21"/>
      <c r="KE155" s="21"/>
      <c r="KF155" s="21"/>
      <c r="KG155" s="21"/>
      <c r="KH155" s="21"/>
      <c r="KI155" s="21"/>
      <c r="KJ155" s="21"/>
      <c r="KK155" s="21"/>
      <c r="KL155" s="21"/>
      <c r="KM155" s="21"/>
      <c r="KN155" s="21"/>
    </row>
    <row r="156" hidden="1" outlineLevel="2">
      <c r="A156" s="256" t="s">
        <v>9</v>
      </c>
      <c r="B156" s="20">
        <f>SUMIF(Inventory!$D2:$D1136,"="&amp;B155, Inventory!$F2:$F1136)</f>
        <v>4.58</v>
      </c>
      <c r="C156" s="20">
        <f>SUMIF(Inventory!$D2:$D1136,"="&amp;C155, Inventory!$F2:$F1136)</f>
        <v>57.5</v>
      </c>
      <c r="D156" s="20">
        <f>SUMIF(Inventory!$D2:$D1136,"="&amp;D155, Inventory!$F2:$F1136)</f>
        <v>0</v>
      </c>
      <c r="E156" s="20">
        <f>SUMIF(Inventory!$D2:$D1136,"="&amp;E155, Inventory!$F2:$F1136)</f>
        <v>25.96</v>
      </c>
      <c r="F156" s="20">
        <f>SUMIF(Inventory!$D2:$D1136,"="&amp;F155, Inventory!$F2:$F1136)</f>
        <v>13.29</v>
      </c>
      <c r="G156" s="20">
        <f>SUMIF(Inventory!$D2:$D1136,"="&amp;G155, Inventory!$F2:$F1136)</f>
        <v>0</v>
      </c>
      <c r="H156" s="20">
        <f>SUMIF(Inventory!$D2:$D1136,"="&amp;H155, Inventory!$F2:$F1136)</f>
        <v>4.45</v>
      </c>
      <c r="I156" s="20">
        <f>SUMIF(Inventory!$D2:$D1136,"="&amp;I155, Inventory!$F2:$F1136)</f>
        <v>7.65</v>
      </c>
      <c r="J156" s="20">
        <f>SUMIF(Inventory!$D2:$D1136,"="&amp;J155, Inventory!$F2:$F1136)</f>
        <v>18.07</v>
      </c>
      <c r="K156" s="20">
        <f>SUMIF(Inventory!$D2:$D1136,"="&amp;K155, Inventory!$F2:$F1136)</f>
        <v>4.87</v>
      </c>
      <c r="L156" s="20">
        <f>SUMIF(Inventory!$D2:$D1136,"="&amp;L155, Inventory!$F2:$F1136)</f>
        <v>10.37</v>
      </c>
      <c r="M156" s="20">
        <f>SUMIF(Inventory!$D2:$D1136,"="&amp;M155, Inventory!$F2:$F1136)</f>
        <v>0</v>
      </c>
      <c r="N156" s="20">
        <f>SUMIF(Inventory!$D2:$D1136,"="&amp;N155, Inventory!$F2:$F1136)</f>
        <v>0</v>
      </c>
      <c r="O156" s="20">
        <f>SUMIF(Inventory!$D2:$D1136,"="&amp;O155, Inventory!$F2:$F1136)</f>
        <v>2.37</v>
      </c>
      <c r="P156" s="20">
        <f>SUMIF(Inventory!$D2:$D1136,"="&amp;P155, Inventory!$F2:$F1136)</f>
        <v>0</v>
      </c>
      <c r="Q156" s="20">
        <f>SUMIF(Inventory!$D2:$D1136,"="&amp;Q155, Inventory!$F2:$F1136)</f>
        <v>0.29</v>
      </c>
      <c r="R156" s="20">
        <f>SUMIF(Inventory!$D2:$D1136,"="&amp;R155, Inventory!$F2:$F1136)</f>
        <v>10.03</v>
      </c>
      <c r="S156" s="20">
        <f>SUMIF(Inventory!$D2:$D1136,"="&amp;S155, Inventory!$F2:$F1136)</f>
        <v>6.87</v>
      </c>
      <c r="T156" s="20">
        <f>SUMIF(Inventory!$D2:$D1136,"="&amp;T155, Inventory!$F2:$F1136)</f>
        <v>5.25</v>
      </c>
      <c r="U156" s="20">
        <f>SUMIF(Inventory!$D2:$D1136,"="&amp;U155, Inventory!$F2:$F1136)</f>
        <v>12.5</v>
      </c>
      <c r="V156" s="20">
        <f>SUMIF(Inventory!$D2:$D1136,"="&amp;V155, Inventory!$F2:$F1136)</f>
        <v>50.64</v>
      </c>
      <c r="W156" s="20">
        <f>SUMIF(Inventory!$D2:$D1136,"="&amp;W155, Inventory!$F2:$F1136)</f>
        <v>3.83</v>
      </c>
      <c r="X156" s="20">
        <f>SUMIF(Inventory!$D2:$D1136,"="&amp;X155, Inventory!$F2:$F1136)</f>
        <v>0</v>
      </c>
      <c r="Y156" s="20">
        <f>SUMIF(Inventory!$D2:$D1136,"="&amp;Y155, Inventory!$F2:$F1136)</f>
        <v>0</v>
      </c>
      <c r="Z156" s="20">
        <f>SUMIF(Inventory!$D2:$D1136,"="&amp;Z155, Inventory!$F2:$F1136)</f>
        <v>25</v>
      </c>
      <c r="AA156" s="20">
        <f>SUMIF(Inventory!$D2:$D1136,"="&amp;AA155, Inventory!$F2:$F1136)</f>
        <v>49.37</v>
      </c>
      <c r="AB156" s="20">
        <f>SUMIF(Inventory!$D2:$D1136,"="&amp;AB155, Inventory!$F2:$F1136)</f>
        <v>21.92</v>
      </c>
      <c r="AC156" s="20">
        <f>SUMIF(Inventory!$D2:$D1136,"="&amp;AC155, Inventory!$F2:$F1136)</f>
        <v>0</v>
      </c>
      <c r="AD156" s="20">
        <f>SUMIF(Inventory!$D2:$D1136,"="&amp;AD155, Inventory!$F2:$F1136)</f>
        <v>0</v>
      </c>
      <c r="AE156" s="20">
        <f>SUMIF(Inventory!$D2:$D1136,"="&amp;AE155, Inventory!$F2:$F1136)</f>
        <v>0</v>
      </c>
      <c r="AF156" s="20">
        <f>SUMIF(Inventory!$D2:$D1136,"="&amp;AF155, Inventory!$F2:$F1136)</f>
        <v>0</v>
      </c>
      <c r="AG156" s="20">
        <f t="shared" ref="AG156:AG158" si="63">SUM(B156:AF156)</f>
        <v>334.81</v>
      </c>
      <c r="AH156" s="21">
        <f t="shared" ref="AH156:AH158" si="64">AVERAGE(B156:AF156)</f>
        <v>10.80032258</v>
      </c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1"/>
      <c r="JV156" s="21"/>
      <c r="JW156" s="21"/>
      <c r="JX156" s="21"/>
      <c r="JY156" s="21"/>
      <c r="JZ156" s="21"/>
      <c r="KA156" s="21"/>
      <c r="KB156" s="21"/>
      <c r="KC156" s="21"/>
      <c r="KD156" s="21"/>
      <c r="KE156" s="21"/>
      <c r="KF156" s="21"/>
      <c r="KG156" s="21"/>
      <c r="KH156" s="21"/>
      <c r="KI156" s="21"/>
      <c r="KJ156" s="21"/>
      <c r="KK156" s="21"/>
      <c r="KL156" s="21"/>
      <c r="KM156" s="21"/>
      <c r="KN156" s="21"/>
    </row>
    <row r="157" hidden="1" outlineLevel="2">
      <c r="A157" s="256" t="s">
        <v>10</v>
      </c>
      <c r="B157" s="20">
        <f>SUMIF(Inventory!$D2:$D1136,"="&amp;B155, Inventory!$E2:$E1136)</f>
        <v>3.44</v>
      </c>
      <c r="C157" s="20">
        <f>SUMIF(Inventory!$D2:$D1136,"="&amp;C155, Inventory!$E2:$E1136)</f>
        <v>46.25</v>
      </c>
      <c r="D157" s="20">
        <f>SUMIF(Inventory!$D2:$D1136,"="&amp;D155, Inventory!$E2:$E1136)</f>
        <v>0</v>
      </c>
      <c r="E157" s="20">
        <f>SUMIF(Inventory!$D2:$D1136,"="&amp;E155, Inventory!$E2:$E1136)</f>
        <v>20.73</v>
      </c>
      <c r="F157" s="20">
        <f>SUMIF(Inventory!$D2:$D1136,"="&amp;F155, Inventory!$E2:$E1136)</f>
        <v>7.81</v>
      </c>
      <c r="G157" s="20">
        <f>SUMIF(Inventory!$D2:$D1136,"="&amp;G155, Inventory!$E2:$E1136)</f>
        <v>0</v>
      </c>
      <c r="H157" s="20">
        <f>SUMIF(Inventory!$D2:$D1136,"="&amp;H155, Inventory!$E2:$E1136)</f>
        <v>3.21</v>
      </c>
      <c r="I157" s="20">
        <f>SUMIF(Inventory!$D2:$D1136,"="&amp;I155, Inventory!$E2:$E1136)</f>
        <v>5.57</v>
      </c>
      <c r="J157" s="20">
        <f>SUMIF(Inventory!$D2:$D1136,"="&amp;J155, Inventory!$E2:$E1136)</f>
        <v>14.51</v>
      </c>
      <c r="K157" s="20">
        <f>SUMIF(Inventory!$D2:$D1136,"="&amp;K155, Inventory!$E2:$E1136)</f>
        <v>0.81</v>
      </c>
      <c r="L157" s="20">
        <f>SUMIF(Inventory!$D2:$D1136,"="&amp;L155, Inventory!$E2:$E1136)</f>
        <v>6.6</v>
      </c>
      <c r="M157" s="20">
        <f>SUMIF(Inventory!$D2:$D1136,"="&amp;M155, Inventory!$E2:$E1136)</f>
        <v>0</v>
      </c>
      <c r="N157" s="20">
        <f>SUMIF(Inventory!$D2:$D1136,"="&amp;N155, Inventory!$E2:$E1136)</f>
        <v>0</v>
      </c>
      <c r="O157" s="20">
        <f>SUMIF(Inventory!$D2:$D1136,"="&amp;O155, Inventory!$E2:$E1136)</f>
        <v>0.85</v>
      </c>
      <c r="P157" s="20">
        <f>SUMIF(Inventory!$D2:$D1136,"="&amp;P155, Inventory!$E2:$E1136)</f>
        <v>0</v>
      </c>
      <c r="Q157" s="20">
        <f>SUMIF(Inventory!$D2:$D1136,"="&amp;Q155, Inventory!$E2:$E1136)</f>
        <v>1.41</v>
      </c>
      <c r="R157" s="20">
        <f>SUMIF(Inventory!$D2:$D1136,"="&amp;R155, Inventory!$E2:$E1136)</f>
        <v>8.12</v>
      </c>
      <c r="S157" s="20">
        <f>SUMIF(Inventory!$D2:$D1136,"="&amp;S155, Inventory!$E2:$E1136)</f>
        <v>4.82</v>
      </c>
      <c r="T157" s="20">
        <f>SUMIF(Inventory!$D2:$D1136,"="&amp;T155, Inventory!$E2:$E1136)</f>
        <v>4.76</v>
      </c>
      <c r="U157" s="20">
        <f>SUMIF(Inventory!$D2:$D1136,"="&amp;U155, Inventory!$E2:$E1136)</f>
        <v>9.62</v>
      </c>
      <c r="V157" s="20">
        <f>SUMIF(Inventory!$D2:$D1136,"="&amp;V155, Inventory!$E2:$E1136)</f>
        <v>41.37</v>
      </c>
      <c r="W157" s="20">
        <f>SUMIF(Inventory!$D2:$D1136,"="&amp;W155, Inventory!$E2:$E1136)</f>
        <v>2.8</v>
      </c>
      <c r="X157" s="20">
        <f>SUMIF(Inventory!$D2:$D1136,"="&amp;X155, Inventory!$E2:$E1136)</f>
        <v>0</v>
      </c>
      <c r="Y157" s="20">
        <f>SUMIF(Inventory!$D2:$D1136,"="&amp;Y155, Inventory!$E2:$E1136)</f>
        <v>0</v>
      </c>
      <c r="Z157" s="20">
        <f>SUMIF(Inventory!$D2:$D1136,"="&amp;Z155, Inventory!$E2:$E1136)</f>
        <v>19.24</v>
      </c>
      <c r="AA157" s="20">
        <f>SUMIF(Inventory!$D2:$D1136,"="&amp;AA155, Inventory!$E2:$E1136)</f>
        <v>38.48</v>
      </c>
      <c r="AB157" s="20">
        <f>SUMIF(Inventory!$D2:$D1136,"="&amp;AB155, Inventory!$E2:$E1136)</f>
        <v>17.61</v>
      </c>
      <c r="AC157" s="20">
        <f>SUMIF(Inventory!$D2:$D1136,"="&amp;AC155, Inventory!$E2:$E1136)</f>
        <v>0</v>
      </c>
      <c r="AD157" s="20">
        <f>SUMIF(Inventory!$D2:$D1136,"="&amp;AD155, Inventory!$E2:$E1136)</f>
        <v>0</v>
      </c>
      <c r="AE157" s="20">
        <f>SUMIF(Inventory!$D2:$D1136,"="&amp;AE155, Inventory!$E2:$E1136)</f>
        <v>0</v>
      </c>
      <c r="AF157" s="20">
        <f>SUMIF(Inventory!$D2:$D1136,"="&amp;AF155, Inventory!$E2:$E1136)</f>
        <v>0</v>
      </c>
      <c r="AG157" s="20">
        <f t="shared" si="63"/>
        <v>258.01</v>
      </c>
      <c r="AH157" s="21">
        <f t="shared" si="64"/>
        <v>8.322903226</v>
      </c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  <c r="KJ157" s="21"/>
      <c r="KK157" s="21"/>
      <c r="KL157" s="21"/>
      <c r="KM157" s="21"/>
      <c r="KN157" s="21"/>
    </row>
    <row r="158" hidden="1" outlineLevel="2">
      <c r="A158" s="256" t="s">
        <v>11</v>
      </c>
      <c r="B158" s="20">
        <f>SUMIF(Inventory!$D2:$D1136,"="&amp;B155, Inventory!$G2:$G1136)</f>
        <v>1.14</v>
      </c>
      <c r="C158" s="20">
        <f>SUMIF(Inventory!$D2:$D1136,"="&amp;C155, Inventory!$G2:$G1136)</f>
        <v>11.25</v>
      </c>
      <c r="D158" s="20">
        <f>SUMIF(Inventory!$D2:$D1136,"="&amp;D155, Inventory!$G2:$G1136)</f>
        <v>0</v>
      </c>
      <c r="E158" s="20">
        <f>SUMIF(Inventory!$D2:$D1136,"="&amp;E155, Inventory!$G2:$G1136)</f>
        <v>5.23</v>
      </c>
      <c r="F158" s="20">
        <f>SUMIF(Inventory!$D2:$D1136,"="&amp;F155, Inventory!$G2:$G1136)</f>
        <v>5.48</v>
      </c>
      <c r="G158" s="20">
        <f>SUMIF(Inventory!$D2:$D1136,"="&amp;G155, Inventory!$G2:$G1136)</f>
        <v>0</v>
      </c>
      <c r="H158" s="20">
        <f>SUMIF(Inventory!$D2:$D1136,"="&amp;H155, Inventory!$G2:$G1136)</f>
        <v>1.24</v>
      </c>
      <c r="I158" s="20">
        <f>SUMIF(Inventory!$D2:$D1136,"="&amp;I155, Inventory!$G2:$G1136)</f>
        <v>2.08</v>
      </c>
      <c r="J158" s="20">
        <f>SUMIF(Inventory!$D2:$D1136,"="&amp;J155, Inventory!$G2:$G1136)</f>
        <v>3.56</v>
      </c>
      <c r="K158" s="20">
        <f>SUMIF(Inventory!$D2:$D1136,"="&amp;K155, Inventory!$G2:$G1136)</f>
        <v>4.06</v>
      </c>
      <c r="L158" s="20">
        <f>SUMIF(Inventory!$D2:$D1136,"="&amp;L155, Inventory!$G2:$G1136)</f>
        <v>3.77</v>
      </c>
      <c r="M158" s="20">
        <f>SUMIF(Inventory!$D2:$D1136,"="&amp;M155, Inventory!$G2:$G1136)</f>
        <v>0</v>
      </c>
      <c r="N158" s="20">
        <f>SUMIF(Inventory!$D2:$D1136,"="&amp;N155, Inventory!$G2:$G1136)</f>
        <v>0</v>
      </c>
      <c r="O158" s="20">
        <f>SUMIF(Inventory!$D2:$D1136,"="&amp;O155, Inventory!$G2:$G1136)</f>
        <v>1.52</v>
      </c>
      <c r="P158" s="20">
        <f>SUMIF(Inventory!$D2:$D1136,"="&amp;P155, Inventory!$G2:$G1136)</f>
        <v>0</v>
      </c>
      <c r="Q158" s="20">
        <f>SUMIF(Inventory!$D2:$D1136,"="&amp;Q155, Inventory!$G2:$G1136)</f>
        <v>-1.12</v>
      </c>
      <c r="R158" s="20">
        <f>SUMIF(Inventory!$D2:$D1136,"="&amp;R155, Inventory!$G2:$G1136)</f>
        <v>1.91</v>
      </c>
      <c r="S158" s="20">
        <f>SUMIF(Inventory!$D2:$D1136,"="&amp;S155, Inventory!$G2:$G1136)</f>
        <v>2.05</v>
      </c>
      <c r="T158" s="20">
        <f>SUMIF(Inventory!$D2:$D1136,"="&amp;T155, Inventory!$G2:$G1136)</f>
        <v>0.49</v>
      </c>
      <c r="U158" s="20">
        <f>SUMIF(Inventory!$D2:$D1136,"="&amp;U155, Inventory!$G2:$G1136)</f>
        <v>2.88</v>
      </c>
      <c r="V158" s="20">
        <f>SUMIF(Inventory!$D2:$D1136,"="&amp;V155, Inventory!$G2:$G1136)</f>
        <v>9.27</v>
      </c>
      <c r="W158" s="20">
        <f>SUMIF(Inventory!$D2:$D1136,"="&amp;W155, Inventory!$G2:$G1136)</f>
        <v>1.03</v>
      </c>
      <c r="X158" s="20">
        <f>SUMIF(Inventory!$D2:$D1136,"="&amp;X155, Inventory!$G2:$G1136)</f>
        <v>0</v>
      </c>
      <c r="Y158" s="20">
        <f>SUMIF(Inventory!$D2:$D1136,"="&amp;Y155, Inventory!$G2:$G1136)</f>
        <v>0</v>
      </c>
      <c r="Z158" s="20">
        <f>SUMIF(Inventory!$D2:$D1136,"="&amp;Z155, Inventory!$G2:$G1136)</f>
        <v>5.76</v>
      </c>
      <c r="AA158" s="20">
        <f>SUMIF(Inventory!$D2:$D1136,"="&amp;AA155, Inventory!$G2:$G1136)</f>
        <v>10.89</v>
      </c>
      <c r="AB158" s="20">
        <f>SUMIF(Inventory!$D2:$D1136,"="&amp;AB155, Inventory!$G2:$G1136)</f>
        <v>4.31</v>
      </c>
      <c r="AC158" s="20">
        <f>SUMIF(Inventory!$D2:$D1136,"="&amp;AC155, Inventory!$G2:$G1136)</f>
        <v>0</v>
      </c>
      <c r="AD158" s="20">
        <f>SUMIF(Inventory!$D2:$D1136,"="&amp;AD155, Inventory!$G2:$G1136)</f>
        <v>0</v>
      </c>
      <c r="AE158" s="20">
        <f>SUMIF(Inventory!$D2:$D1136,"="&amp;AE155, Inventory!$G2:$G1136)</f>
        <v>0</v>
      </c>
      <c r="AF158" s="20">
        <f>SUMIF(Inventory!$D2:$D1136,"="&amp;AF155, Inventory!$G2:$G1136)</f>
        <v>0</v>
      </c>
      <c r="AG158" s="20">
        <f t="shared" si="63"/>
        <v>76.8</v>
      </c>
      <c r="AH158" s="21">
        <f t="shared" si="64"/>
        <v>2.477419355</v>
      </c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  <c r="JM158" s="21"/>
      <c r="JN158" s="21"/>
      <c r="JO158" s="21"/>
      <c r="JP158" s="21"/>
      <c r="JQ158" s="21"/>
      <c r="JR158" s="21"/>
      <c r="JS158" s="21"/>
      <c r="JT158" s="21"/>
      <c r="JU158" s="21"/>
      <c r="JV158" s="21"/>
      <c r="JW158" s="21"/>
      <c r="JX158" s="21"/>
      <c r="JY158" s="21"/>
      <c r="JZ158" s="21"/>
      <c r="KA158" s="21"/>
      <c r="KB158" s="21"/>
      <c r="KC158" s="21"/>
      <c r="KD158" s="21"/>
      <c r="KE158" s="21"/>
      <c r="KF158" s="21"/>
      <c r="KG158" s="21"/>
      <c r="KH158" s="21"/>
      <c r="KI158" s="21"/>
      <c r="KJ158" s="21"/>
      <c r="KK158" s="21"/>
      <c r="KL158" s="21"/>
      <c r="KM158" s="21"/>
      <c r="KN158" s="21"/>
    </row>
    <row r="159" hidden="1" outlineLevel="2">
      <c r="A159" s="256" t="s">
        <v>10566</v>
      </c>
      <c r="B159" s="20">
        <f>COUNTIFS(Inventory!$D2:$D1136,"="&amp;B155, Inventory!$J2:$J1136,"Closed")</f>
        <v>2</v>
      </c>
      <c r="C159" s="20">
        <f>COUNTIFS(Inventory!$D2:$D1136,"="&amp;C155, Inventory!$J2:$J1136,"Closed")</f>
        <v>4</v>
      </c>
      <c r="D159" s="20">
        <f>COUNTIFS(Inventory!$D2:$D1136,"="&amp;D155, Inventory!$J2:$J1136,"Closed")</f>
        <v>0</v>
      </c>
      <c r="E159" s="20">
        <f>COUNTIFS(Inventory!$D2:$D1136,"="&amp;E155, Inventory!$J2:$J1136,"Closed")</f>
        <v>4</v>
      </c>
      <c r="F159" s="20">
        <f>COUNTIFS(Inventory!$D2:$D1136,"="&amp;F155, Inventory!$J2:$J1136,"Closed")</f>
        <v>5</v>
      </c>
      <c r="G159" s="20">
        <f>COUNTIFS(Inventory!$D2:$D1136,"="&amp;G155, Inventory!$J2:$J1136,"Closed")</f>
        <v>0</v>
      </c>
      <c r="H159" s="20">
        <f>COUNTIFS(Inventory!$D2:$D1136,"="&amp;H155, Inventory!$J2:$J1136,"Closed")</f>
        <v>1</v>
      </c>
      <c r="I159" s="20">
        <f>COUNTIFS(Inventory!$D2:$D1136,"="&amp;I155, Inventory!$J2:$J1136,"Closed")</f>
        <v>2</v>
      </c>
      <c r="J159" s="20">
        <f>COUNTIFS(Inventory!$D2:$D1136,"="&amp;J155, Inventory!$J2:$J1136,"Closed")</f>
        <v>4</v>
      </c>
      <c r="K159" s="20">
        <f>COUNTIFS(Inventory!$D2:$D1136,"="&amp;K155, Inventory!$J2:$J1136,"Closed")</f>
        <v>2</v>
      </c>
      <c r="L159" s="20">
        <f>COUNTIFS(Inventory!$D2:$D1136,"="&amp;L155, Inventory!$J2:$J1136,"Closed")</f>
        <v>2</v>
      </c>
      <c r="M159" s="20">
        <f>COUNTIFS(Inventory!$D2:$D1136,"="&amp;M155, Inventory!$J2:$J1136,"Closed")</f>
        <v>0</v>
      </c>
      <c r="N159" s="20">
        <f>COUNTIFS(Inventory!$D2:$D1136,"="&amp;N155, Inventory!$J2:$J1136,"Closed")</f>
        <v>0</v>
      </c>
      <c r="O159" s="20">
        <f>COUNTIFS(Inventory!$D2:$D1136,"="&amp;O155, Inventory!$J2:$J1136,"Closed")</f>
        <v>1</v>
      </c>
      <c r="P159" s="20">
        <f>COUNTIFS(Inventory!$D2:$D1136,"="&amp;P155, Inventory!$J2:$J1136,"Closed")</f>
        <v>0</v>
      </c>
      <c r="Q159" s="20">
        <f>COUNTIFS(Inventory!$D2:$D1136,"="&amp;Q155, Inventory!$J2:$J1136,"Closed")</f>
        <v>1</v>
      </c>
      <c r="R159" s="20">
        <f>COUNTIFS(Inventory!$D2:$D1136,"="&amp;R155, Inventory!$J2:$J1136,"Closed")</f>
        <v>1</v>
      </c>
      <c r="S159" s="20">
        <f>COUNTIFS(Inventory!$D2:$D1136,"="&amp;S155, Inventory!$J2:$J1136,"Closed")</f>
        <v>2</v>
      </c>
      <c r="T159" s="20">
        <f>COUNTIFS(Inventory!$D2:$D1136,"="&amp;T155, Inventory!$J2:$J1136,"Closed")</f>
        <v>1</v>
      </c>
      <c r="U159" s="20">
        <f>COUNTIFS(Inventory!$D2:$D1136,"="&amp;U155, Inventory!$J2:$J1136,"Closed")</f>
        <v>1</v>
      </c>
      <c r="V159" s="20">
        <f>COUNTIFS(Inventory!$D2:$D1136,"="&amp;V155, Inventory!$J2:$J1136,"Closed")</f>
        <v>4</v>
      </c>
      <c r="W159" s="20">
        <f>COUNTIFS(Inventory!$D2:$D1136,"="&amp;W155, Inventory!$J2:$J1136,"Closed")</f>
        <v>2</v>
      </c>
      <c r="X159" s="20">
        <f>COUNTIFS(Inventory!$D2:$D1136,"="&amp;X155, Inventory!$J2:$J1136,"Closed")</f>
        <v>0</v>
      </c>
      <c r="Y159" s="20">
        <f>COUNTIFS(Inventory!$D2:$D1136,"="&amp;Y155, Inventory!$J2:$J1136,"Closed")</f>
        <v>0</v>
      </c>
      <c r="Z159" s="20">
        <f>COUNTIFS(Inventory!$D2:$D1136,"="&amp;Z155, Inventory!$J2:$J1136,"Closed")</f>
        <v>2</v>
      </c>
      <c r="AA159" s="20">
        <f>COUNTIFS(Inventory!$D2:$D1136,"="&amp;AA155, Inventory!$J2:$J1136,"Closed")</f>
        <v>4</v>
      </c>
      <c r="AB159" s="20">
        <f>COUNTIFS(Inventory!$D2:$D1136,"="&amp;AB155, Inventory!$J2:$J1136,"Closed")</f>
        <v>2</v>
      </c>
      <c r="AC159" s="20">
        <f>COUNTIFS(Inventory!$D2:$D1136,"="&amp;AC155, Inventory!$J2:$J1136,"Closed")</f>
        <v>0</v>
      </c>
      <c r="AD159" s="20">
        <f>COUNTIFS(Inventory!$D2:$D1136,"="&amp;AD155, Inventory!$J2:$J1136,"Closed")</f>
        <v>0</v>
      </c>
      <c r="AE159" s="20">
        <f>COUNTIFS(Inventory!$D2:$D1136,"="&amp;AE155, Inventory!$J2:$J1136,"Closed")</f>
        <v>0</v>
      </c>
      <c r="AF159" s="20">
        <f>COUNTIFS(Inventory!$D2:$D1136,"="&amp;AF155, Inventory!$J2:$J1136,"Closed")</f>
        <v>0</v>
      </c>
      <c r="AG159" s="20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1"/>
      <c r="JV159" s="21"/>
      <c r="JW159" s="21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  <c r="KJ159" s="21"/>
      <c r="KK159" s="21"/>
      <c r="KL159" s="21"/>
      <c r="KM159" s="21"/>
      <c r="KN159" s="21"/>
    </row>
    <row r="160" outlineLevel="1" collapsed="1">
      <c r="A160" s="253" t="s">
        <v>10206</v>
      </c>
      <c r="B160" s="255">
        <v>44409.0</v>
      </c>
      <c r="C160" s="255">
        <v>44410.0</v>
      </c>
      <c r="D160" s="255">
        <v>44411.0</v>
      </c>
      <c r="E160" s="255">
        <v>44412.0</v>
      </c>
      <c r="F160" s="255">
        <v>44413.0</v>
      </c>
      <c r="G160" s="255">
        <v>44414.0</v>
      </c>
      <c r="H160" s="255">
        <v>44415.0</v>
      </c>
      <c r="I160" s="255">
        <v>44416.0</v>
      </c>
      <c r="J160" s="255">
        <v>44417.0</v>
      </c>
      <c r="K160" s="255">
        <v>44418.0</v>
      </c>
      <c r="L160" s="255">
        <v>44419.0</v>
      </c>
      <c r="M160" s="255">
        <v>44420.0</v>
      </c>
      <c r="N160" s="255">
        <v>44421.0</v>
      </c>
      <c r="O160" s="255">
        <v>44422.0</v>
      </c>
      <c r="P160" s="255">
        <v>44423.0</v>
      </c>
      <c r="Q160" s="255">
        <v>44424.0</v>
      </c>
      <c r="R160" s="255">
        <v>44425.0</v>
      </c>
      <c r="S160" s="255">
        <v>44426.0</v>
      </c>
      <c r="T160" s="255">
        <v>44427.0</v>
      </c>
      <c r="U160" s="255">
        <v>44428.0</v>
      </c>
      <c r="V160" s="255">
        <v>44429.0</v>
      </c>
      <c r="W160" s="255">
        <v>44430.0</v>
      </c>
      <c r="X160" s="255">
        <v>44431.0</v>
      </c>
      <c r="Y160" s="255">
        <v>44432.0</v>
      </c>
      <c r="Z160" s="255">
        <v>44433.0</v>
      </c>
      <c r="AA160" s="255">
        <v>44434.0</v>
      </c>
      <c r="AB160" s="255">
        <v>44435.0</v>
      </c>
      <c r="AC160" s="255">
        <v>44436.0</v>
      </c>
      <c r="AD160" s="255">
        <v>44437.0</v>
      </c>
      <c r="AE160" s="255">
        <v>44438.0</v>
      </c>
      <c r="AF160" s="255">
        <v>44439.0</v>
      </c>
      <c r="AG160" s="20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  <c r="KJ160" s="21"/>
      <c r="KK160" s="21"/>
      <c r="KL160" s="21"/>
      <c r="KM160" s="21"/>
      <c r="KN160" s="21"/>
    </row>
    <row r="161" hidden="1" outlineLevel="2">
      <c r="A161" s="256" t="s">
        <v>9</v>
      </c>
      <c r="B161" s="20">
        <f>SUMIF(Inventory!$D2:$D1136,"="&amp;B160, Inventory!$F2:$F1136)</f>
        <v>10.28</v>
      </c>
      <c r="C161" s="20">
        <f>SUMIF(Inventory!$D2:$D1136,"="&amp;C160, Inventory!$F2:$F1136)</f>
        <v>0</v>
      </c>
      <c r="D161" s="20">
        <f>SUMIF(Inventory!$D2:$D1136,"="&amp;D160, Inventory!$F2:$F1136)</f>
        <v>0</v>
      </c>
      <c r="E161" s="20">
        <f>SUMIF(Inventory!$D2:$D1136,"="&amp;E160, Inventory!$F2:$F1136)</f>
        <v>0</v>
      </c>
      <c r="F161" s="20">
        <f>SUMIF(Inventory!$D2:$D1136,"="&amp;F160, Inventory!$F2:$F1136)</f>
        <v>0</v>
      </c>
      <c r="G161" s="20">
        <f>SUMIF(Inventory!$D2:$D1136,"="&amp;G160, Inventory!$F2:$F1136)</f>
        <v>0</v>
      </c>
      <c r="H161" s="20">
        <f>SUMIF(Inventory!$D2:$D1136,"="&amp;H160, Inventory!$F2:$F1136)</f>
        <v>0</v>
      </c>
      <c r="I161" s="20">
        <f>SUMIF(Inventory!$D2:$D1136,"="&amp;I160, Inventory!$F2:$F1136)</f>
        <v>0</v>
      </c>
      <c r="J161" s="20">
        <f>SUMIF(Inventory!$D2:$D1136,"="&amp;J160, Inventory!$F2:$F1136)</f>
        <v>0</v>
      </c>
      <c r="K161" s="20">
        <f>SUMIF(Inventory!$D2:$D1136,"="&amp;K160, Inventory!$F2:$F1136)</f>
        <v>3.28</v>
      </c>
      <c r="L161" s="20">
        <f>SUMIF(Inventory!$D2:$D1136,"="&amp;L160, Inventory!$F2:$F1136)</f>
        <v>0</v>
      </c>
      <c r="M161" s="20">
        <f>SUMIF(Inventory!$D2:$D1136,"="&amp;M160, Inventory!$F2:$F1136)</f>
        <v>0</v>
      </c>
      <c r="N161" s="20">
        <f>SUMIF(Inventory!$D2:$D1136,"="&amp;N160, Inventory!$F2:$F1136)</f>
        <v>0</v>
      </c>
      <c r="O161" s="20">
        <f>SUMIF(Inventory!$D2:$D1136,"="&amp;O160, Inventory!$F2:$F1136)</f>
        <v>0</v>
      </c>
      <c r="P161" s="20">
        <f>SUMIF(Inventory!$D2:$D1136,"="&amp;P160, Inventory!$F2:$F1136)</f>
        <v>0</v>
      </c>
      <c r="Q161" s="20">
        <f>SUMIF(Inventory!$D2:$D1136,"="&amp;Q160, Inventory!$F2:$F1136)</f>
        <v>6.39</v>
      </c>
      <c r="R161" s="20">
        <f>SUMIF(Inventory!$D2:$D1136,"="&amp;R160, Inventory!$F2:$F1136)</f>
        <v>3.73</v>
      </c>
      <c r="S161" s="20">
        <f>SUMIF(Inventory!$D2:$D1136,"="&amp;S160, Inventory!$F2:$F1136)</f>
        <v>0</v>
      </c>
      <c r="T161" s="20">
        <f>SUMIF(Inventory!$D2:$D1136,"="&amp;T160, Inventory!$F2:$F1136)</f>
        <v>16</v>
      </c>
      <c r="U161" s="20">
        <f>SUMIF(Inventory!$D2:$D1136,"="&amp;U160, Inventory!$F2:$F1136)</f>
        <v>0</v>
      </c>
      <c r="V161" s="20">
        <f>SUMIF(Inventory!$D2:$D1136,"="&amp;V160, Inventory!$F2:$F1136)</f>
        <v>2.14</v>
      </c>
      <c r="W161" s="20">
        <f>SUMIF(Inventory!$D2:$D1136,"="&amp;W160, Inventory!$F2:$F1136)</f>
        <v>4.82</v>
      </c>
      <c r="X161" s="20">
        <f>SUMIF(Inventory!$D2:$D1136,"="&amp;X160, Inventory!$F2:$F1136)</f>
        <v>0</v>
      </c>
      <c r="Y161" s="20">
        <f>SUMIF(Inventory!$D2:$D1136,"="&amp;Y160, Inventory!$F2:$F1136)</f>
        <v>16.2</v>
      </c>
      <c r="Z161" s="20">
        <f>SUMIF(Inventory!$D2:$D1136,"="&amp;Z160, Inventory!$F2:$F1136)</f>
        <v>20.83</v>
      </c>
      <c r="AA161" s="20">
        <f>SUMIF(Inventory!$D2:$D1136,"="&amp;AA160, Inventory!$F2:$F1136)</f>
        <v>18.8</v>
      </c>
      <c r="AB161" s="20">
        <f>SUMIF(Inventory!$D2:$D1136,"="&amp;AB160, Inventory!$F2:$F1136)</f>
        <v>21.79</v>
      </c>
      <c r="AC161" s="20">
        <f>SUMIF(Inventory!$D2:$D1136,"="&amp;AC160, Inventory!$F2:$F1136)</f>
        <v>0</v>
      </c>
      <c r="AD161" s="20">
        <f>SUMIF(Inventory!$D2:$D1136,"="&amp;AD160, Inventory!$F2:$F1136)</f>
        <v>15.63</v>
      </c>
      <c r="AE161" s="20">
        <f>SUMIF(Inventory!$D2:$D1136,"="&amp;AE160, Inventory!$F2:$F1136)</f>
        <v>0</v>
      </c>
      <c r="AF161" s="20">
        <f>SUMIF(Inventory!$D2:$D1136,"="&amp;AF160, Inventory!$F2:$F1136)</f>
        <v>11.48</v>
      </c>
      <c r="AG161" s="20">
        <f t="shared" ref="AG161:AG163" si="65">SUM(B161:AF161)</f>
        <v>151.37</v>
      </c>
      <c r="AH161" s="21">
        <f t="shared" ref="AH161:AH163" si="66">AVERAGE(B161:AF161)</f>
        <v>4.882903226</v>
      </c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1"/>
      <c r="JV161" s="21"/>
      <c r="JW161" s="21"/>
      <c r="JX161" s="21"/>
      <c r="JY161" s="21"/>
      <c r="JZ161" s="21"/>
      <c r="KA161" s="21"/>
      <c r="KB161" s="21"/>
      <c r="KC161" s="21"/>
      <c r="KD161" s="21"/>
      <c r="KE161" s="21"/>
      <c r="KF161" s="21"/>
      <c r="KG161" s="21"/>
      <c r="KH161" s="21"/>
      <c r="KI161" s="21"/>
      <c r="KJ161" s="21"/>
      <c r="KK161" s="21"/>
      <c r="KL161" s="21"/>
      <c r="KM161" s="21"/>
      <c r="KN161" s="21"/>
    </row>
    <row r="162" hidden="1" outlineLevel="2">
      <c r="A162" s="256" t="s">
        <v>10</v>
      </c>
      <c r="B162" s="20">
        <f>SUMIF(Inventory!$D2:$D1136,"="&amp;B160, Inventory!$E2:$E1136)</f>
        <v>6.35</v>
      </c>
      <c r="C162" s="20">
        <f>SUMIF(Inventory!$D2:$D1136,"="&amp;C160, Inventory!$E2:$E1136)</f>
        <v>0</v>
      </c>
      <c r="D162" s="20">
        <f>SUMIF(Inventory!$D2:$D1136,"="&amp;D160, Inventory!$E2:$E1136)</f>
        <v>0</v>
      </c>
      <c r="E162" s="20">
        <f>SUMIF(Inventory!$D2:$D1136,"="&amp;E160, Inventory!$E2:$E1136)</f>
        <v>0</v>
      </c>
      <c r="F162" s="20">
        <f>SUMIF(Inventory!$D2:$D1136,"="&amp;F160, Inventory!$E2:$E1136)</f>
        <v>0</v>
      </c>
      <c r="G162" s="20">
        <f>SUMIF(Inventory!$D2:$D1136,"="&amp;G160, Inventory!$E2:$E1136)</f>
        <v>0</v>
      </c>
      <c r="H162" s="20">
        <f>SUMIF(Inventory!$D2:$D1136,"="&amp;H160, Inventory!$E2:$E1136)</f>
        <v>0</v>
      </c>
      <c r="I162" s="20">
        <f>SUMIF(Inventory!$D2:$D1136,"="&amp;I160, Inventory!$E2:$E1136)</f>
        <v>0</v>
      </c>
      <c r="J162" s="20">
        <f>SUMIF(Inventory!$D2:$D1136,"="&amp;J160, Inventory!$E2:$E1136)</f>
        <v>0</v>
      </c>
      <c r="K162" s="20">
        <f>SUMIF(Inventory!$D2:$D1136,"="&amp;K160, Inventory!$E2:$E1136)</f>
        <v>2.8</v>
      </c>
      <c r="L162" s="20">
        <f>SUMIF(Inventory!$D2:$D1136,"="&amp;L160, Inventory!$E2:$E1136)</f>
        <v>0</v>
      </c>
      <c r="M162" s="20">
        <f>SUMIF(Inventory!$D2:$D1136,"="&amp;M160, Inventory!$E2:$E1136)</f>
        <v>0</v>
      </c>
      <c r="N162" s="20">
        <f>SUMIF(Inventory!$D2:$D1136,"="&amp;N160, Inventory!$E2:$E1136)</f>
        <v>0</v>
      </c>
      <c r="O162" s="20">
        <f>SUMIF(Inventory!$D2:$D1136,"="&amp;O160, Inventory!$E2:$E1136)</f>
        <v>0</v>
      </c>
      <c r="P162" s="20">
        <f>SUMIF(Inventory!$D2:$D1136,"="&amp;P160, Inventory!$E2:$E1136)</f>
        <v>0</v>
      </c>
      <c r="Q162" s="20">
        <f>SUMIF(Inventory!$D2:$D1136,"="&amp;Q160, Inventory!$E2:$E1136)</f>
        <v>2.87</v>
      </c>
      <c r="R162" s="20">
        <f>SUMIF(Inventory!$D2:$D1136,"="&amp;R160, Inventory!$E2:$E1136)</f>
        <v>3.51</v>
      </c>
      <c r="S162" s="20">
        <f>SUMIF(Inventory!$D2:$D1136,"="&amp;S160, Inventory!$E2:$E1136)</f>
        <v>0</v>
      </c>
      <c r="T162" s="20">
        <f>SUMIF(Inventory!$D2:$D1136,"="&amp;T160, Inventory!$E2:$E1136)</f>
        <v>15.73</v>
      </c>
      <c r="U162" s="20">
        <f>SUMIF(Inventory!$D2:$D1136,"="&amp;U160, Inventory!$E2:$E1136)</f>
        <v>0</v>
      </c>
      <c r="V162" s="20">
        <f>SUMIF(Inventory!$D2:$D1136,"="&amp;V160, Inventory!$E2:$E1136)</f>
        <v>0</v>
      </c>
      <c r="W162" s="20">
        <f>SUMIF(Inventory!$D2:$D1136,"="&amp;W160, Inventory!$E2:$E1136)</f>
        <v>3.56</v>
      </c>
      <c r="X162" s="20">
        <f>SUMIF(Inventory!$D2:$D1136,"="&amp;X160, Inventory!$E2:$E1136)</f>
        <v>0</v>
      </c>
      <c r="Y162" s="20">
        <f>SUMIF(Inventory!$D2:$D1136,"="&amp;Y160, Inventory!$E2:$E1136)</f>
        <v>7.43</v>
      </c>
      <c r="Z162" s="20">
        <f>SUMIF(Inventory!$D2:$D1136,"="&amp;Z160, Inventory!$E2:$E1136)</f>
        <v>11.6</v>
      </c>
      <c r="AA162" s="20">
        <f>SUMIF(Inventory!$D2:$D1136,"="&amp;AA160, Inventory!$E2:$E1136)</f>
        <v>11.6</v>
      </c>
      <c r="AB162" s="20">
        <f>SUMIF(Inventory!$D2:$D1136,"="&amp;AB160, Inventory!$E2:$E1136)</f>
        <v>20.08</v>
      </c>
      <c r="AC162" s="20">
        <f>SUMIF(Inventory!$D2:$D1136,"="&amp;AC160, Inventory!$E2:$E1136)</f>
        <v>0</v>
      </c>
      <c r="AD162" s="20">
        <f>SUMIF(Inventory!$D2:$D1136,"="&amp;AD160, Inventory!$E2:$E1136)</f>
        <v>12.11</v>
      </c>
      <c r="AE162" s="20">
        <f>SUMIF(Inventory!$D2:$D1136,"="&amp;AE160, Inventory!$E2:$E1136)</f>
        <v>0</v>
      </c>
      <c r="AF162" s="20">
        <f>SUMIF(Inventory!$D2:$D1136,"="&amp;AF160, Inventory!$E2:$E1136)</f>
        <v>8.38</v>
      </c>
      <c r="AG162" s="20">
        <f t="shared" si="65"/>
        <v>106.02</v>
      </c>
      <c r="AH162" s="21">
        <f t="shared" si="66"/>
        <v>3.42</v>
      </c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  <c r="KJ162" s="21"/>
      <c r="KK162" s="21"/>
      <c r="KL162" s="21"/>
      <c r="KM162" s="21"/>
      <c r="KN162" s="21"/>
    </row>
    <row r="163" hidden="1" outlineLevel="2">
      <c r="A163" s="256" t="s">
        <v>11</v>
      </c>
      <c r="B163" s="20">
        <f>SUMIF(Inventory!$D2:$D1136,"="&amp;B160, Inventory!$G2:$G1136)</f>
        <v>3.93</v>
      </c>
      <c r="C163" s="20">
        <f>SUMIF(Inventory!$D2:$D1136,"="&amp;C160, Inventory!$G2:$G1136)</f>
        <v>0</v>
      </c>
      <c r="D163" s="20">
        <f>SUMIF(Inventory!$D2:$D1136,"="&amp;D160, Inventory!$G2:$G1136)</f>
        <v>0</v>
      </c>
      <c r="E163" s="20">
        <f>SUMIF(Inventory!$D2:$D1136,"="&amp;E160, Inventory!$G2:$G1136)</f>
        <v>0</v>
      </c>
      <c r="F163" s="20">
        <f>SUMIF(Inventory!$D2:$D1136,"="&amp;F160, Inventory!$G2:$G1136)</f>
        <v>0</v>
      </c>
      <c r="G163" s="20">
        <f>SUMIF(Inventory!$D2:$D1136,"="&amp;G160, Inventory!$G2:$G1136)</f>
        <v>0</v>
      </c>
      <c r="H163" s="20">
        <f>SUMIF(Inventory!$D2:$D1136,"="&amp;H160, Inventory!$G2:$G1136)</f>
        <v>0</v>
      </c>
      <c r="I163" s="20">
        <f>SUMIF(Inventory!$D2:$D1136,"="&amp;I160, Inventory!$G2:$G1136)</f>
        <v>0</v>
      </c>
      <c r="J163" s="20">
        <f>SUMIF(Inventory!$D2:$D1136,"="&amp;J160, Inventory!$G2:$G1136)</f>
        <v>0</v>
      </c>
      <c r="K163" s="20">
        <f>SUMIF(Inventory!$D2:$D1136,"="&amp;K160, Inventory!$G2:$G1136)</f>
        <v>0.48</v>
      </c>
      <c r="L163" s="20">
        <f>SUMIF(Inventory!$D2:$D1136,"="&amp;L160, Inventory!$G2:$G1136)</f>
        <v>0</v>
      </c>
      <c r="M163" s="20">
        <f>SUMIF(Inventory!$D2:$D1136,"="&amp;M160, Inventory!$G2:$G1136)</f>
        <v>0</v>
      </c>
      <c r="N163" s="20">
        <f>SUMIF(Inventory!$D2:$D1136,"="&amp;N160, Inventory!$G2:$G1136)</f>
        <v>0</v>
      </c>
      <c r="O163" s="20">
        <f>SUMIF(Inventory!$D2:$D1136,"="&amp;O160, Inventory!$G2:$G1136)</f>
        <v>0</v>
      </c>
      <c r="P163" s="20">
        <f>SUMIF(Inventory!$D2:$D1136,"="&amp;P160, Inventory!$G2:$G1136)</f>
        <v>0</v>
      </c>
      <c r="Q163" s="20">
        <f>SUMIF(Inventory!$D2:$D1136,"="&amp;Q160, Inventory!$G2:$G1136)</f>
        <v>3.52</v>
      </c>
      <c r="R163" s="20">
        <f>SUMIF(Inventory!$D2:$D1136,"="&amp;R160, Inventory!$G2:$G1136)</f>
        <v>0.22</v>
      </c>
      <c r="S163" s="20">
        <f>SUMIF(Inventory!$D2:$D1136,"="&amp;S160, Inventory!$G2:$G1136)</f>
        <v>0</v>
      </c>
      <c r="T163" s="20">
        <f>SUMIF(Inventory!$D2:$D1136,"="&amp;T160, Inventory!$G2:$G1136)</f>
        <v>0.27</v>
      </c>
      <c r="U163" s="20">
        <f>SUMIF(Inventory!$D2:$D1136,"="&amp;U160, Inventory!$G2:$G1136)</f>
        <v>0</v>
      </c>
      <c r="V163" s="20">
        <f>SUMIF(Inventory!$D2:$D1136,"="&amp;V160, Inventory!$G2:$G1136)</f>
        <v>2.14</v>
      </c>
      <c r="W163" s="20">
        <f>SUMIF(Inventory!$D2:$D1136,"="&amp;W160, Inventory!$G2:$G1136)</f>
        <v>1.26</v>
      </c>
      <c r="X163" s="20">
        <f>SUMIF(Inventory!$D2:$D1136,"="&amp;X160, Inventory!$G2:$G1136)</f>
        <v>0</v>
      </c>
      <c r="Y163" s="20">
        <f>SUMIF(Inventory!$D2:$D1136,"="&amp;Y160, Inventory!$G2:$G1136)</f>
        <v>8.77</v>
      </c>
      <c r="Z163" s="20">
        <f>SUMIF(Inventory!$D2:$D1136,"="&amp;Z160, Inventory!$G2:$G1136)</f>
        <v>9.23</v>
      </c>
      <c r="AA163" s="20">
        <f>SUMIF(Inventory!$D2:$D1136,"="&amp;AA160, Inventory!$G2:$G1136)</f>
        <v>7.2</v>
      </c>
      <c r="AB163" s="20">
        <f>SUMIF(Inventory!$D2:$D1136,"="&amp;AB160, Inventory!$G2:$G1136)</f>
        <v>1.71</v>
      </c>
      <c r="AC163" s="20">
        <f>SUMIF(Inventory!$D2:$D1136,"="&amp;AC160, Inventory!$G2:$G1136)</f>
        <v>0</v>
      </c>
      <c r="AD163" s="20">
        <f>SUMIF(Inventory!$D2:$D1136,"="&amp;AD160, Inventory!$G2:$G1136)</f>
        <v>3.52</v>
      </c>
      <c r="AE163" s="20">
        <f>SUMIF(Inventory!$D2:$D1136,"="&amp;AE160, Inventory!$G2:$G1136)</f>
        <v>0</v>
      </c>
      <c r="AF163" s="20">
        <f>SUMIF(Inventory!$D2:$D1136,"="&amp;AF160, Inventory!$G2:$G1136)</f>
        <v>3.1</v>
      </c>
      <c r="AG163" s="20">
        <f t="shared" si="65"/>
        <v>45.35</v>
      </c>
      <c r="AH163" s="21">
        <f t="shared" si="66"/>
        <v>1.462903226</v>
      </c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  <c r="KJ163" s="21"/>
      <c r="KK163" s="21"/>
      <c r="KL163" s="21"/>
      <c r="KM163" s="21"/>
      <c r="KN163" s="21"/>
    </row>
    <row r="164" hidden="1" outlineLevel="2">
      <c r="A164" s="256" t="s">
        <v>10566</v>
      </c>
      <c r="B164" s="20">
        <f>COUNTIFS(Inventory!$D2:$D1136,"="&amp;B160, Inventory!$J2:$J1136,"Closed")</f>
        <v>1</v>
      </c>
      <c r="C164" s="20">
        <f>COUNTIFS(Inventory!$D2:$D1136,"="&amp;C160, Inventory!$J2:$J1136,"Closed")</f>
        <v>0</v>
      </c>
      <c r="D164" s="20">
        <f>COUNTIFS(Inventory!$D2:$D1136,"="&amp;D160, Inventory!$J2:$J1136,"Closed")</f>
        <v>0</v>
      </c>
      <c r="E164" s="20">
        <f>COUNTIFS(Inventory!$D2:$D1136,"="&amp;E160, Inventory!$J2:$J1136,"Closed")</f>
        <v>0</v>
      </c>
      <c r="F164" s="20">
        <f>COUNTIFS(Inventory!$D2:$D1136,"="&amp;F160, Inventory!$J2:$J1136,"Closed")</f>
        <v>0</v>
      </c>
      <c r="G164" s="20">
        <f>COUNTIFS(Inventory!$D2:$D1136,"="&amp;G160, Inventory!$J2:$J1136,"Closed")</f>
        <v>0</v>
      </c>
      <c r="H164" s="20">
        <f>COUNTIFS(Inventory!$D2:$D1136,"="&amp;H160, Inventory!$J2:$J1136,"Closed")</f>
        <v>0</v>
      </c>
      <c r="I164" s="20">
        <f>COUNTIFS(Inventory!$D2:$D1136,"="&amp;I160, Inventory!$J2:$J1136,"Closed")</f>
        <v>0</v>
      </c>
      <c r="J164" s="20">
        <f>COUNTIFS(Inventory!$D2:$D1136,"="&amp;J160, Inventory!$J2:$J1136,"Closed")</f>
        <v>0</v>
      </c>
      <c r="K164" s="20">
        <f>COUNTIFS(Inventory!$D2:$D1136,"="&amp;K160, Inventory!$J2:$J1136,"Closed")</f>
        <v>1</v>
      </c>
      <c r="L164" s="20">
        <f>COUNTIFS(Inventory!$D2:$D1136,"="&amp;L160, Inventory!$J2:$J1136,"Closed")</f>
        <v>0</v>
      </c>
      <c r="M164" s="20">
        <f>COUNTIFS(Inventory!$D2:$D1136,"="&amp;M160, Inventory!$J2:$J1136,"Closed")</f>
        <v>0</v>
      </c>
      <c r="N164" s="20">
        <f>COUNTIFS(Inventory!$D2:$D1136,"="&amp;N160, Inventory!$J2:$J1136,"Closed")</f>
        <v>0</v>
      </c>
      <c r="O164" s="20">
        <f>COUNTIFS(Inventory!$D2:$D1136,"="&amp;O160, Inventory!$J2:$J1136,"Closed")</f>
        <v>0</v>
      </c>
      <c r="P164" s="20">
        <f>COUNTIFS(Inventory!$D2:$D1136,"="&amp;P160, Inventory!$J2:$J1136,"Closed")</f>
        <v>0</v>
      </c>
      <c r="Q164" s="20">
        <f>COUNTIFS(Inventory!$D2:$D1136,"="&amp;Q160, Inventory!$J2:$J1136,"Closed")</f>
        <v>1</v>
      </c>
      <c r="R164" s="20">
        <f>COUNTIFS(Inventory!$D2:$D1136,"="&amp;R160, Inventory!$J2:$J1136,"Closed")</f>
        <v>1</v>
      </c>
      <c r="S164" s="20">
        <f>COUNTIFS(Inventory!$D2:$D1136,"="&amp;S160, Inventory!$J2:$J1136,"Closed")</f>
        <v>0</v>
      </c>
      <c r="T164" s="20">
        <f>COUNTIFS(Inventory!$D2:$D1136,"="&amp;T160, Inventory!$J2:$J1136,"Closed")</f>
        <v>1</v>
      </c>
      <c r="U164" s="20">
        <f>COUNTIFS(Inventory!$D2:$D1136,"="&amp;U160, Inventory!$J2:$J1136,"Closed")</f>
        <v>0</v>
      </c>
      <c r="V164" s="20">
        <f>COUNTIFS(Inventory!$D2:$D1136,"="&amp;V160, Inventory!$J2:$J1136,"Closed")</f>
        <v>2</v>
      </c>
      <c r="W164" s="20">
        <f>COUNTIFS(Inventory!$D2:$D1136,"="&amp;W160, Inventory!$J2:$J1136,"Closed")</f>
        <v>1</v>
      </c>
      <c r="X164" s="20">
        <f>COUNTIFS(Inventory!$D2:$D1136,"="&amp;X160, Inventory!$J2:$J1136,"Closed")</f>
        <v>0</v>
      </c>
      <c r="Y164" s="20">
        <f>COUNTIFS(Inventory!$D2:$D1136,"="&amp;Y160, Inventory!$J2:$J1136,"Closed")</f>
        <v>3</v>
      </c>
      <c r="Z164" s="20">
        <f>COUNTIFS(Inventory!$D2:$D1136,"="&amp;Z160, Inventory!$J2:$J1136,"Closed")</f>
        <v>1</v>
      </c>
      <c r="AA164" s="20">
        <f>COUNTIFS(Inventory!$D2:$D1136,"="&amp;AA160, Inventory!$J2:$J1136,"Closed")</f>
        <v>1</v>
      </c>
      <c r="AB164" s="20">
        <f>COUNTIFS(Inventory!$D2:$D1136,"="&amp;AB160, Inventory!$J2:$J1136,"Closed")</f>
        <v>1</v>
      </c>
      <c r="AC164" s="20">
        <f>COUNTIFS(Inventory!$D2:$D1136,"="&amp;AC160, Inventory!$J2:$J1136,"Closed")</f>
        <v>0</v>
      </c>
      <c r="AD164" s="20">
        <f>COUNTIFS(Inventory!$D2:$D1136,"="&amp;AD160, Inventory!$J2:$J1136,"Closed")</f>
        <v>3</v>
      </c>
      <c r="AE164" s="20">
        <f>COUNTIFS(Inventory!$D2:$D1136,"="&amp;AE160, Inventory!$J2:$J1136,"Closed")</f>
        <v>0</v>
      </c>
      <c r="AF164" s="20">
        <f>COUNTIFS(Inventory!$D2:$D1136,"="&amp;AF160, Inventory!$J2:$J1136,"Closed")</f>
        <v>1</v>
      </c>
      <c r="AG164" s="20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  <c r="KJ164" s="21"/>
      <c r="KK164" s="21"/>
      <c r="KL164" s="21"/>
      <c r="KM164" s="21"/>
      <c r="KN164" s="21"/>
    </row>
    <row r="165" outlineLevel="1" collapsed="1">
      <c r="A165" s="253" t="s">
        <v>10207</v>
      </c>
      <c r="B165" s="255">
        <v>44440.0</v>
      </c>
      <c r="C165" s="255">
        <v>44441.0</v>
      </c>
      <c r="D165" s="255">
        <v>44442.0</v>
      </c>
      <c r="E165" s="255">
        <v>44443.0</v>
      </c>
      <c r="F165" s="255">
        <v>44444.0</v>
      </c>
      <c r="G165" s="255">
        <v>44445.0</v>
      </c>
      <c r="H165" s="255">
        <v>44446.0</v>
      </c>
      <c r="I165" s="255">
        <v>44447.0</v>
      </c>
      <c r="J165" s="255">
        <v>44448.0</v>
      </c>
      <c r="K165" s="255">
        <v>44449.0</v>
      </c>
      <c r="L165" s="255">
        <v>44450.0</v>
      </c>
      <c r="M165" s="255">
        <v>44451.0</v>
      </c>
      <c r="N165" s="255">
        <v>44452.0</v>
      </c>
      <c r="O165" s="255">
        <v>44453.0</v>
      </c>
      <c r="P165" s="255">
        <v>44454.0</v>
      </c>
      <c r="Q165" s="255">
        <v>44455.0</v>
      </c>
      <c r="R165" s="255">
        <v>44456.0</v>
      </c>
      <c r="S165" s="255">
        <v>44457.0</v>
      </c>
      <c r="T165" s="255">
        <v>44458.0</v>
      </c>
      <c r="U165" s="255">
        <v>44459.0</v>
      </c>
      <c r="V165" s="255">
        <v>44460.0</v>
      </c>
      <c r="W165" s="255">
        <v>44461.0</v>
      </c>
      <c r="X165" s="255">
        <v>44462.0</v>
      </c>
      <c r="Y165" s="255">
        <v>44463.0</v>
      </c>
      <c r="Z165" s="255">
        <v>44464.0</v>
      </c>
      <c r="AA165" s="255">
        <v>44465.0</v>
      </c>
      <c r="AB165" s="255">
        <v>44466.0</v>
      </c>
      <c r="AC165" s="255">
        <v>44467.0</v>
      </c>
      <c r="AD165" s="255">
        <v>44468.0</v>
      </c>
      <c r="AE165" s="255">
        <v>44469.0</v>
      </c>
      <c r="AF165" s="255"/>
      <c r="AG165" s="20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1"/>
      <c r="JV165" s="21"/>
      <c r="JW165" s="21"/>
      <c r="JX165" s="21"/>
      <c r="JY165" s="21"/>
      <c r="JZ165" s="21"/>
      <c r="KA165" s="21"/>
      <c r="KB165" s="21"/>
      <c r="KC165" s="21"/>
      <c r="KD165" s="21"/>
      <c r="KE165" s="21"/>
      <c r="KF165" s="21"/>
      <c r="KG165" s="21"/>
      <c r="KH165" s="21"/>
      <c r="KI165" s="21"/>
      <c r="KJ165" s="21"/>
      <c r="KK165" s="21"/>
      <c r="KL165" s="21"/>
      <c r="KM165" s="21"/>
      <c r="KN165" s="21"/>
    </row>
    <row r="166" hidden="1" outlineLevel="2">
      <c r="A166" s="256" t="s">
        <v>9</v>
      </c>
      <c r="B166" s="20">
        <f>SUMIF(Inventory!$D2:$D1136,"="&amp;B165, Inventory!$F2:$F1136)</f>
        <v>22.99</v>
      </c>
      <c r="C166" s="20">
        <f>SUMIF(Inventory!$D2:$D1136,"="&amp;C165, Inventory!$F2:$F1136)</f>
        <v>0</v>
      </c>
      <c r="D166" s="20">
        <f>SUMIF(Inventory!$D2:$D1136,"="&amp;D165, Inventory!$F2:$F1136)</f>
        <v>4.27</v>
      </c>
      <c r="E166" s="20">
        <f>SUMIF(Inventory!$D2:$D1136,"="&amp;E165, Inventory!$F2:$F1136)</f>
        <v>0</v>
      </c>
      <c r="F166" s="20">
        <f>SUMIF(Inventory!$D2:$D1136,"="&amp;F165, Inventory!$F2:$F1136)</f>
        <v>15.98</v>
      </c>
      <c r="G166" s="20">
        <f>SUMIF(Inventory!$D2:$D1136,"="&amp;G165, Inventory!$F2:$F1136)</f>
        <v>17.67</v>
      </c>
      <c r="H166" s="20">
        <f>SUMIF(Inventory!$D2:$D1136,"="&amp;H165, Inventory!$F2:$F1136)</f>
        <v>37.47</v>
      </c>
      <c r="I166" s="20">
        <f>SUMIF(Inventory!$D2:$D1136,"="&amp;I165, Inventory!$F2:$F1136)</f>
        <v>11.16</v>
      </c>
      <c r="J166" s="20">
        <f>SUMIF(Inventory!$D2:$D1136,"="&amp;J165, Inventory!$F2:$F1136)</f>
        <v>0.56</v>
      </c>
      <c r="K166" s="20">
        <f>SUMIF(Inventory!$D2:$D1136,"="&amp;K165, Inventory!$F2:$F1136)</f>
        <v>16.04</v>
      </c>
      <c r="L166" s="20">
        <f>SUMIF(Inventory!$D2:$D1136,"="&amp;L165, Inventory!$F2:$F1136)</f>
        <v>0.3</v>
      </c>
      <c r="M166" s="20">
        <f>SUMIF(Inventory!$D2:$D1136,"="&amp;M165, Inventory!$F2:$F1136)</f>
        <v>12.76</v>
      </c>
      <c r="N166" s="20">
        <f>SUMIF(Inventory!$D2:$D1136,"="&amp;N165, Inventory!$F2:$F1136)</f>
        <v>7.78</v>
      </c>
      <c r="O166" s="20">
        <f>SUMIF(Inventory!$D2:$D1136,"="&amp;O165, Inventory!$F2:$F1136)</f>
        <v>1.25</v>
      </c>
      <c r="P166" s="20">
        <f>SUMIF(Inventory!$D2:$D1136,"="&amp;P165, Inventory!$F2:$F1136)</f>
        <v>59.45</v>
      </c>
      <c r="Q166" s="20">
        <f>SUMIF(Inventory!$D2:$D1136,"="&amp;Q165, Inventory!$F2:$F1136)</f>
        <v>35.76</v>
      </c>
      <c r="R166" s="20">
        <f>SUMIF(Inventory!$D2:$D1136,"="&amp;R165, Inventory!$F2:$F1136)</f>
        <v>57.7</v>
      </c>
      <c r="S166" s="20">
        <f>SUMIF(Inventory!$D2:$D1136,"="&amp;S165, Inventory!$F2:$F1136)</f>
        <v>38.62</v>
      </c>
      <c r="T166" s="20">
        <f>SUMIF(Inventory!$D2:$D1136,"="&amp;T165, Inventory!$F2:$F1136)</f>
        <v>113.99</v>
      </c>
      <c r="U166" s="20">
        <f>SUMIF(Inventory!$D2:$D1136,"="&amp;U165, Inventory!$F2:$F1136)</f>
        <v>17.94</v>
      </c>
      <c r="V166" s="20">
        <f>SUMIF(Inventory!$D2:$D1136,"="&amp;V165, Inventory!$F2:$F1136)</f>
        <v>76.83</v>
      </c>
      <c r="W166" s="20">
        <f>SUMIF(Inventory!$D2:$D1136,"="&amp;W165, Inventory!$F2:$F1136)</f>
        <v>0</v>
      </c>
      <c r="X166" s="20">
        <f>SUMIF(Inventory!$D2:$D1136,"="&amp;X165, Inventory!$F2:$F1136)</f>
        <v>20.21</v>
      </c>
      <c r="Y166" s="20">
        <f>SUMIF(Inventory!$D2:$D1136,"="&amp;Y165, Inventory!$F2:$F1136)</f>
        <v>59.36</v>
      </c>
      <c r="Z166" s="20">
        <f>SUMIF(Inventory!$D2:$D1136,"="&amp;Z165, Inventory!$F2:$F1136)</f>
        <v>0</v>
      </c>
      <c r="AA166" s="20">
        <f>SUMIF(Inventory!$D2:$D1136,"="&amp;AA165, Inventory!$F2:$F1136)</f>
        <v>0</v>
      </c>
      <c r="AB166" s="20">
        <f>SUMIF(Inventory!$D2:$D1136,"="&amp;AB165, Inventory!$F2:$F1136)</f>
        <v>6.66</v>
      </c>
      <c r="AC166" s="20">
        <f>SUMIF(Inventory!$D2:$D1136,"="&amp;AC165, Inventory!$F2:$F1136)</f>
        <v>14.96</v>
      </c>
      <c r="AD166" s="20">
        <f>SUMIF(Inventory!$D2:$D1136,"="&amp;AD165, Inventory!$F2:$F1136)</f>
        <v>13.38</v>
      </c>
      <c r="AE166" s="20">
        <f>SUMIF(Inventory!$D2:$D1136,"="&amp;AE165, Inventory!$F2:$F1136)</f>
        <v>23.61</v>
      </c>
      <c r="AG166" s="20">
        <f t="shared" ref="AG166:AG168" si="67">SUM(B166:AF166)</f>
        <v>686.7</v>
      </c>
      <c r="AH166" s="21">
        <f t="shared" ref="AH166:AH168" si="68">AVERAGE(B166:AF166)</f>
        <v>22.89</v>
      </c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  <c r="KJ166" s="21"/>
      <c r="KK166" s="21"/>
      <c r="KL166" s="21"/>
      <c r="KM166" s="21"/>
      <c r="KN166" s="21"/>
    </row>
    <row r="167" hidden="1" outlineLevel="2">
      <c r="A167" s="256" t="s">
        <v>10</v>
      </c>
      <c r="B167" s="20">
        <f>SUMIF(Inventory!$D2:$D1136,"="&amp;B165, Inventory!$E2:$E1136)</f>
        <v>16.08</v>
      </c>
      <c r="C167" s="20">
        <f>SUMIF(Inventory!$D2:$D1136,"="&amp;C165, Inventory!$E2:$E1136)</f>
        <v>0</v>
      </c>
      <c r="D167" s="20">
        <f>SUMIF(Inventory!$D2:$D1136,"="&amp;D165, Inventory!$E2:$E1136)</f>
        <v>3.72</v>
      </c>
      <c r="E167" s="20">
        <f>SUMIF(Inventory!$D2:$D1136,"="&amp;E165, Inventory!$E2:$E1136)</f>
        <v>0</v>
      </c>
      <c r="F167" s="20">
        <f>SUMIF(Inventory!$D2:$D1136,"="&amp;F165, Inventory!$E2:$E1136)</f>
        <v>12.11</v>
      </c>
      <c r="G167" s="20">
        <f>SUMIF(Inventory!$D2:$D1136,"="&amp;G165, Inventory!$E2:$E1136)</f>
        <v>9.67</v>
      </c>
      <c r="H167" s="20">
        <f>SUMIF(Inventory!$D2:$D1136,"="&amp;H165, Inventory!$E2:$E1136)</f>
        <v>27.87</v>
      </c>
      <c r="I167" s="20">
        <f>SUMIF(Inventory!$D2:$D1136,"="&amp;I165, Inventory!$E2:$E1136)</f>
        <v>8.08</v>
      </c>
      <c r="J167" s="20">
        <f>SUMIF(Inventory!$D2:$D1136,"="&amp;J165, Inventory!$E2:$E1136)</f>
        <v>0.22</v>
      </c>
      <c r="K167" s="20">
        <f>SUMIF(Inventory!$D2:$D1136,"="&amp;K165, Inventory!$E2:$E1136)</f>
        <v>13.28</v>
      </c>
      <c r="L167" s="20">
        <f>SUMIF(Inventory!$D2:$D1136,"="&amp;L165, Inventory!$E2:$E1136)</f>
        <v>0.41</v>
      </c>
      <c r="M167" s="20">
        <f>SUMIF(Inventory!$D2:$D1136,"="&amp;M165, Inventory!$E2:$E1136)</f>
        <v>11.37</v>
      </c>
      <c r="N167" s="20">
        <f>SUMIF(Inventory!$D2:$D1136,"="&amp;N165, Inventory!$E2:$E1136)</f>
        <v>6.97</v>
      </c>
      <c r="O167" s="20">
        <f>SUMIF(Inventory!$D2:$D1136,"="&amp;O165, Inventory!$E2:$E1136)</f>
        <v>0.92</v>
      </c>
      <c r="P167" s="20">
        <f>SUMIF(Inventory!$D2:$D1136,"="&amp;P165, Inventory!$E2:$E1136)</f>
        <v>47.18</v>
      </c>
      <c r="Q167" s="20">
        <f>SUMIF(Inventory!$D2:$D1136,"="&amp;Q165, Inventory!$E2:$E1136)</f>
        <v>23.18</v>
      </c>
      <c r="R167" s="20">
        <f>SUMIF(Inventory!$D2:$D1136,"="&amp;R165, Inventory!$E2:$E1136)</f>
        <v>30.78</v>
      </c>
      <c r="S167" s="20">
        <f>SUMIF(Inventory!$D2:$D1136,"="&amp;S165, Inventory!$E2:$E1136)</f>
        <v>20.98</v>
      </c>
      <c r="T167" s="20">
        <f>SUMIF(Inventory!$D2:$D1136,"="&amp;T165, Inventory!$E2:$E1136)</f>
        <v>68.92</v>
      </c>
      <c r="U167" s="20">
        <f>SUMIF(Inventory!$D2:$D1136,"="&amp;U165, Inventory!$E2:$E1136)</f>
        <v>10.79</v>
      </c>
      <c r="V167" s="20">
        <f>SUMIF(Inventory!$D2:$D1136,"="&amp;V165, Inventory!$E2:$E1136)</f>
        <v>54.95</v>
      </c>
      <c r="W167" s="20">
        <f>SUMIF(Inventory!$D2:$D1136,"="&amp;W165, Inventory!$E2:$E1136)</f>
        <v>0</v>
      </c>
      <c r="X167" s="20">
        <f>SUMIF(Inventory!$D2:$D1136,"="&amp;X165, Inventory!$E2:$E1136)</f>
        <v>12.72</v>
      </c>
      <c r="Y167" s="20">
        <f>SUMIF(Inventory!$D2:$D1136,"="&amp;Y165, Inventory!$E2:$E1136)</f>
        <v>40.15</v>
      </c>
      <c r="Z167" s="20">
        <f>SUMIF(Inventory!$D2:$D1136,"="&amp;Z165, Inventory!$E2:$E1136)</f>
        <v>0</v>
      </c>
      <c r="AA167" s="20">
        <f>SUMIF(Inventory!$D2:$D1136,"="&amp;AA165, Inventory!$E2:$E1136)</f>
        <v>0</v>
      </c>
      <c r="AB167" s="20">
        <f>SUMIF(Inventory!$D2:$D1136,"="&amp;AB165, Inventory!$E2:$E1136)</f>
        <v>7.48</v>
      </c>
      <c r="AC167" s="20">
        <f>SUMIF(Inventory!$D2:$D1136,"="&amp;AC165, Inventory!$E2:$E1136)</f>
        <v>12.43</v>
      </c>
      <c r="AD167" s="20">
        <f>SUMIF(Inventory!$D2:$D1136,"="&amp;AD165, Inventory!$E2:$E1136)</f>
        <v>7.55</v>
      </c>
      <c r="AE167" s="20">
        <f>SUMIF(Inventory!$D2:$D1136,"="&amp;AE165, Inventory!$E2:$E1136)</f>
        <v>18.36</v>
      </c>
      <c r="AG167" s="20">
        <f t="shared" si="67"/>
        <v>466.17</v>
      </c>
      <c r="AH167" s="21">
        <f t="shared" si="68"/>
        <v>15.539</v>
      </c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  <c r="KJ167" s="21"/>
      <c r="KK167" s="21"/>
      <c r="KL167" s="21"/>
      <c r="KM167" s="21"/>
      <c r="KN167" s="21"/>
    </row>
    <row r="168" hidden="1" outlineLevel="2">
      <c r="A168" s="256" t="s">
        <v>11</v>
      </c>
      <c r="B168" s="20">
        <f>SUMIF(Inventory!$D2:$D1136,"="&amp;B165, Inventory!$G2:$G1136)</f>
        <v>6.91</v>
      </c>
      <c r="C168" s="20">
        <f>SUMIF(Inventory!$D2:$D1136,"="&amp;C165, Inventory!$G2:$G1136)</f>
        <v>0</v>
      </c>
      <c r="D168" s="20">
        <f>SUMIF(Inventory!$D2:$D1136,"="&amp;D165, Inventory!$G2:$G1136)</f>
        <v>0.55</v>
      </c>
      <c r="E168" s="20">
        <f>SUMIF(Inventory!$D2:$D1136,"="&amp;E165, Inventory!$G2:$G1136)</f>
        <v>0</v>
      </c>
      <c r="F168" s="20">
        <f>SUMIF(Inventory!$D2:$D1136,"="&amp;F165, Inventory!$G2:$G1136)</f>
        <v>3.87</v>
      </c>
      <c r="G168" s="20">
        <f>SUMIF(Inventory!$D2:$D1136,"="&amp;G165, Inventory!$G2:$G1136)</f>
        <v>8</v>
      </c>
      <c r="H168" s="20">
        <f>SUMIF(Inventory!$D2:$D1136,"="&amp;H165, Inventory!$G2:$G1136)</f>
        <v>9.6</v>
      </c>
      <c r="I168" s="20">
        <f>SUMIF(Inventory!$D2:$D1136,"="&amp;I165, Inventory!$G2:$G1136)</f>
        <v>3.08</v>
      </c>
      <c r="J168" s="20">
        <f>SUMIF(Inventory!$D2:$D1136,"="&amp;J165, Inventory!$G2:$G1136)</f>
        <v>0.34</v>
      </c>
      <c r="K168" s="20">
        <f>SUMIF(Inventory!$D2:$D1136,"="&amp;K165, Inventory!$G2:$G1136)</f>
        <v>2.76</v>
      </c>
      <c r="L168" s="20">
        <f>SUMIF(Inventory!$D2:$D1136,"="&amp;L165, Inventory!$G2:$G1136)</f>
        <v>-0.11</v>
      </c>
      <c r="M168" s="20">
        <f>SUMIF(Inventory!$D2:$D1136,"="&amp;M165, Inventory!$G2:$G1136)</f>
        <v>1.39</v>
      </c>
      <c r="N168" s="20">
        <f>SUMIF(Inventory!$D2:$D1136,"="&amp;N165, Inventory!$G2:$G1136)</f>
        <v>0.81</v>
      </c>
      <c r="O168" s="20">
        <f>SUMIF(Inventory!$D2:$D1136,"="&amp;O165, Inventory!$G2:$G1136)</f>
        <v>0.33</v>
      </c>
      <c r="P168" s="20">
        <f>SUMIF(Inventory!$D2:$D1136,"="&amp;P165, Inventory!$G2:$G1136)</f>
        <v>12.27</v>
      </c>
      <c r="Q168" s="20">
        <f>SUMIF(Inventory!$D2:$D1136,"="&amp;Q165, Inventory!$G2:$G1136)</f>
        <v>12.58</v>
      </c>
      <c r="R168" s="20">
        <f>SUMIF(Inventory!$D2:$D1136,"="&amp;R165, Inventory!$G2:$G1136)</f>
        <v>26.92</v>
      </c>
      <c r="S168" s="20">
        <f>SUMIF(Inventory!$D2:$D1136,"="&amp;S165, Inventory!$G2:$G1136)</f>
        <v>17.64</v>
      </c>
      <c r="T168" s="20">
        <f>SUMIF(Inventory!$D2:$D1136,"="&amp;T165, Inventory!$G2:$G1136)</f>
        <v>45.07</v>
      </c>
      <c r="U168" s="20">
        <f>SUMIF(Inventory!$D2:$D1136,"="&amp;U165, Inventory!$G2:$G1136)</f>
        <v>7.15</v>
      </c>
      <c r="V168" s="20">
        <f>SUMIF(Inventory!$D2:$D1136,"="&amp;V165, Inventory!$G2:$G1136)</f>
        <v>21.88</v>
      </c>
      <c r="W168" s="20">
        <f>SUMIF(Inventory!$D2:$D1136,"="&amp;W165, Inventory!$G2:$G1136)</f>
        <v>0</v>
      </c>
      <c r="X168" s="20">
        <f>SUMIF(Inventory!$D2:$D1136,"="&amp;X165, Inventory!$G2:$G1136)</f>
        <v>7.49</v>
      </c>
      <c r="Y168" s="20">
        <f>SUMIF(Inventory!$D2:$D1136,"="&amp;Y165, Inventory!$G2:$G1136)</f>
        <v>19.21</v>
      </c>
      <c r="Z168" s="20">
        <f>SUMIF(Inventory!$D2:$D1136,"="&amp;Z165, Inventory!$G2:$G1136)</f>
        <v>0</v>
      </c>
      <c r="AA168" s="20">
        <f>SUMIF(Inventory!$D2:$D1136,"="&amp;AA165, Inventory!$G2:$G1136)</f>
        <v>0</v>
      </c>
      <c r="AB168" s="20">
        <f>SUMIF(Inventory!$D2:$D1136,"="&amp;AB165, Inventory!$G2:$G1136)</f>
        <v>-0.82</v>
      </c>
      <c r="AC168" s="20">
        <f>SUMIF(Inventory!$D2:$D1136,"="&amp;AC165, Inventory!$G2:$G1136)</f>
        <v>2.53</v>
      </c>
      <c r="AD168" s="20">
        <f>SUMIF(Inventory!$D2:$D1136,"="&amp;AD165, Inventory!$G2:$G1136)</f>
        <v>5.83</v>
      </c>
      <c r="AE168" s="20">
        <f>SUMIF(Inventory!$D2:$D1136,"="&amp;AE165, Inventory!$G2:$G1136)</f>
        <v>5.25</v>
      </c>
      <c r="AG168" s="20">
        <f t="shared" si="67"/>
        <v>220.53</v>
      </c>
      <c r="AH168" s="21">
        <f t="shared" si="68"/>
        <v>7.351</v>
      </c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  <c r="KJ168" s="21"/>
      <c r="KK168" s="21"/>
      <c r="KL168" s="21"/>
      <c r="KM168" s="21"/>
      <c r="KN168" s="21"/>
    </row>
    <row r="169" hidden="1" outlineLevel="2">
      <c r="A169" s="256" t="s">
        <v>10566</v>
      </c>
      <c r="B169" s="20">
        <f>COUNTIFS(Inventory!$D2:$D1136,"="&amp;B165, Inventory!$J2:$J1136,"Closed")</f>
        <v>2</v>
      </c>
      <c r="C169" s="20">
        <f>COUNTIFS(Inventory!$D2:$D1136,"="&amp;C165, Inventory!$J2:$J1136,"Closed")</f>
        <v>0</v>
      </c>
      <c r="D169" s="20">
        <f>COUNTIFS(Inventory!$D2:$D1136,"="&amp;D165, Inventory!$J2:$J1136,"Closed")</f>
        <v>1</v>
      </c>
      <c r="E169" s="20">
        <f>COUNTIFS(Inventory!$D2:$D1136,"="&amp;E165, Inventory!$J2:$J1136,"Closed")</f>
        <v>0</v>
      </c>
      <c r="F169" s="20">
        <f>COUNTIFS(Inventory!$D2:$D1136,"="&amp;F165, Inventory!$J2:$J1136,"Closed")</f>
        <v>2</v>
      </c>
      <c r="G169" s="20">
        <f>COUNTIFS(Inventory!$D2:$D1136,"="&amp;G165, Inventory!$J2:$J1136,"Closed")</f>
        <v>4</v>
      </c>
      <c r="H169" s="20">
        <f>COUNTIFS(Inventory!$D2:$D1136,"="&amp;H165, Inventory!$J2:$J1136,"Closed")</f>
        <v>10</v>
      </c>
      <c r="I169" s="20">
        <f>COUNTIFS(Inventory!$D2:$D1136,"="&amp;I165, Inventory!$J2:$J1136,"Closed")</f>
        <v>2</v>
      </c>
      <c r="J169" s="20">
        <f>COUNTIFS(Inventory!$D2:$D1136,"="&amp;J165, Inventory!$J2:$J1136,"Closed")</f>
        <v>1</v>
      </c>
      <c r="K169" s="20">
        <f>COUNTIFS(Inventory!$D2:$D1136,"="&amp;K165, Inventory!$J2:$J1136,"Closed")</f>
        <v>3</v>
      </c>
      <c r="L169" s="20">
        <f>COUNTIFS(Inventory!$D2:$D1136,"="&amp;L165, Inventory!$J2:$J1136,"Closed")</f>
        <v>1</v>
      </c>
      <c r="M169" s="20">
        <f>COUNTIFS(Inventory!$D2:$D1136,"="&amp;M165, Inventory!$J2:$J1136,"Closed")</f>
        <v>3</v>
      </c>
      <c r="N169" s="20">
        <f>COUNTIFS(Inventory!$D2:$D1136,"="&amp;N165, Inventory!$J2:$J1136,"Closed")</f>
        <v>1</v>
      </c>
      <c r="O169" s="20">
        <f>COUNTIFS(Inventory!$D2:$D1136,"="&amp;O165, Inventory!$J2:$J1136,"Closed")</f>
        <v>2</v>
      </c>
      <c r="P169" s="20">
        <f>COUNTIFS(Inventory!$D2:$D1136,"="&amp;P165, Inventory!$J2:$J1136,"Closed")</f>
        <v>3</v>
      </c>
      <c r="Q169" s="20">
        <f>COUNTIFS(Inventory!$D2:$D1136,"="&amp;Q165, Inventory!$J2:$J1136,"Closed")</f>
        <v>5</v>
      </c>
      <c r="R169" s="20">
        <f>COUNTIFS(Inventory!$D2:$D1136,"="&amp;R165, Inventory!$J2:$J1136,"Closed")</f>
        <v>5</v>
      </c>
      <c r="S169" s="20">
        <f>COUNTIFS(Inventory!$D2:$D1136,"="&amp;S165, Inventory!$J2:$J1136,"Closed")</f>
        <v>6</v>
      </c>
      <c r="T169" s="20">
        <f>COUNTIFS(Inventory!$D2:$D1136,"="&amp;T165, Inventory!$J2:$J1136,"Closed")</f>
        <v>9</v>
      </c>
      <c r="U169" s="20">
        <f>COUNTIFS(Inventory!$D2:$D1136,"="&amp;U165, Inventory!$J2:$J1136,"Closed")</f>
        <v>2</v>
      </c>
      <c r="V169" s="20">
        <f>COUNTIFS(Inventory!$D2:$D1136,"="&amp;V165, Inventory!$J2:$J1136,"Closed")</f>
        <v>5</v>
      </c>
      <c r="W169" s="20">
        <f>COUNTIFS(Inventory!$D2:$D1136,"="&amp;W165, Inventory!$J2:$J1136,"Closed")</f>
        <v>0</v>
      </c>
      <c r="X169" s="20">
        <f>COUNTIFS(Inventory!$D2:$D1136,"="&amp;X165, Inventory!$J2:$J1136,"Closed")</f>
        <v>3</v>
      </c>
      <c r="Y169" s="20">
        <f>COUNTIFS(Inventory!$D2:$D1136,"="&amp;Y165, Inventory!$J2:$J1136,"Closed")</f>
        <v>7</v>
      </c>
      <c r="Z169" s="20">
        <f>COUNTIFS(Inventory!$D2:$D1136,"="&amp;Z165, Inventory!$J2:$J1136,"Closed")</f>
        <v>0</v>
      </c>
      <c r="AA169" s="20">
        <f>COUNTIFS(Inventory!$D2:$D1136,"="&amp;AA165, Inventory!$J2:$J1136,"Closed")</f>
        <v>0</v>
      </c>
      <c r="AB169" s="20">
        <f>COUNTIFS(Inventory!$D2:$D1136,"="&amp;AB165, Inventory!$J2:$J1136,"Closed")</f>
        <v>3</v>
      </c>
      <c r="AC169" s="20">
        <f>COUNTIFS(Inventory!$D2:$D1136,"="&amp;AC165, Inventory!$J2:$J1136,"Closed")</f>
        <v>1</v>
      </c>
      <c r="AD169" s="20">
        <f>COUNTIFS(Inventory!$D2:$D1136,"="&amp;AD165, Inventory!$J2:$J1136,"Closed")</f>
        <v>3</v>
      </c>
      <c r="AE169" s="20">
        <f>COUNTIFS(Inventory!$D2:$D1136,"="&amp;AE165, Inventory!$J2:$J1136,"Closed")</f>
        <v>4</v>
      </c>
      <c r="AG169" s="20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  <c r="KJ169" s="21"/>
      <c r="KK169" s="21"/>
      <c r="KL169" s="21"/>
      <c r="KM169" s="21"/>
      <c r="KN169" s="21"/>
    </row>
    <row r="170" outlineLevel="1" collapsed="1">
      <c r="A170" s="253" t="s">
        <v>10208</v>
      </c>
      <c r="B170" s="255">
        <v>44470.0</v>
      </c>
      <c r="C170" s="255">
        <v>44471.0</v>
      </c>
      <c r="D170" s="255">
        <v>44472.0</v>
      </c>
      <c r="E170" s="255">
        <v>44473.0</v>
      </c>
      <c r="F170" s="255">
        <v>44474.0</v>
      </c>
      <c r="G170" s="255">
        <v>44475.0</v>
      </c>
      <c r="H170" s="255">
        <v>44476.0</v>
      </c>
      <c r="I170" s="255">
        <v>44477.0</v>
      </c>
      <c r="J170" s="255">
        <v>44478.0</v>
      </c>
      <c r="K170" s="255">
        <v>44479.0</v>
      </c>
      <c r="L170" s="255">
        <v>44480.0</v>
      </c>
      <c r="M170" s="255">
        <v>44481.0</v>
      </c>
      <c r="N170" s="255">
        <v>44482.0</v>
      </c>
      <c r="O170" s="255">
        <v>44483.0</v>
      </c>
      <c r="P170" s="255">
        <v>44484.0</v>
      </c>
      <c r="Q170" s="255">
        <v>44485.0</v>
      </c>
      <c r="R170" s="255">
        <v>44486.0</v>
      </c>
      <c r="S170" s="255">
        <v>44487.0</v>
      </c>
      <c r="T170" s="255">
        <v>44488.0</v>
      </c>
      <c r="U170" s="255">
        <v>44489.0</v>
      </c>
      <c r="V170" s="255">
        <v>44490.0</v>
      </c>
      <c r="W170" s="255">
        <v>44491.0</v>
      </c>
      <c r="X170" s="255">
        <v>44492.0</v>
      </c>
      <c r="Y170" s="255">
        <v>44493.0</v>
      </c>
      <c r="Z170" s="255">
        <v>44494.0</v>
      </c>
      <c r="AA170" s="255">
        <v>44495.0</v>
      </c>
      <c r="AB170" s="255">
        <v>44496.0</v>
      </c>
      <c r="AC170" s="255">
        <v>44497.0</v>
      </c>
      <c r="AD170" s="255">
        <v>44498.0</v>
      </c>
      <c r="AE170" s="255">
        <v>44499.0</v>
      </c>
      <c r="AF170" s="255">
        <v>44500.0</v>
      </c>
      <c r="AG170" s="20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  <c r="KJ170" s="21"/>
      <c r="KK170" s="21"/>
      <c r="KL170" s="21"/>
      <c r="KM170" s="21"/>
      <c r="KN170" s="21"/>
    </row>
    <row r="171" hidden="1" outlineLevel="2">
      <c r="A171" s="256" t="s">
        <v>9</v>
      </c>
      <c r="B171" s="20">
        <f>SUMIF(Inventory!$D2:$D1136,"="&amp;B170, Inventory!$F2:$F1136)</f>
        <v>24.86</v>
      </c>
      <c r="C171" s="20">
        <f>SUMIF(Inventory!$D2:$D1136,"="&amp;C170, Inventory!$F2:$F1136)</f>
        <v>23.09</v>
      </c>
      <c r="D171" s="20">
        <f>SUMIF(Inventory!$D2:$D1136,"="&amp;D170, Inventory!$F2:$F1136)</f>
        <v>76.34</v>
      </c>
      <c r="E171" s="20">
        <f>SUMIF(Inventory!$D2:$D1136,"="&amp;E170, Inventory!$F2:$F1136)</f>
        <v>0</v>
      </c>
      <c r="F171" s="20">
        <f>SUMIF(Inventory!$D2:$D1136,"="&amp;F170, Inventory!$F2:$F1136)</f>
        <v>35.58</v>
      </c>
      <c r="G171" s="20">
        <f>SUMIF(Inventory!$D2:$D1136,"="&amp;G170, Inventory!$F2:$F1136)</f>
        <v>1.24</v>
      </c>
      <c r="H171" s="20">
        <f>SUMIF(Inventory!$D2:$D1136,"="&amp;H170, Inventory!$F2:$F1136)</f>
        <v>22.34</v>
      </c>
      <c r="I171" s="20">
        <f>SUMIF(Inventory!$D2:$D1136,"="&amp;I170, Inventory!$F2:$F1136)</f>
        <v>40.1</v>
      </c>
      <c r="J171" s="20">
        <f>SUMIF(Inventory!$D2:$D1136,"="&amp;J170, Inventory!$F2:$F1136)</f>
        <v>58.14</v>
      </c>
      <c r="K171" s="20">
        <f>SUMIF(Inventory!$D2:$D1136,"="&amp;K170, Inventory!$F2:$F1136)</f>
        <v>102.97</v>
      </c>
      <c r="L171" s="20">
        <f>SUMIF(Inventory!$D2:$D1136,"="&amp;L170, Inventory!$F2:$F1136)</f>
        <v>68.11</v>
      </c>
      <c r="M171" s="20">
        <f>SUMIF(Inventory!$D2:$D1136,"="&amp;M170, Inventory!$F2:$F1136)</f>
        <v>27.49</v>
      </c>
      <c r="N171" s="20">
        <f>SUMIF(Inventory!$D2:$D1136,"="&amp;N170, Inventory!$F2:$F1136)</f>
        <v>5.69</v>
      </c>
      <c r="O171" s="20">
        <f>SUMIF(Inventory!$D2:$D1136,"="&amp;O170, Inventory!$F2:$F1136)</f>
        <v>3.58</v>
      </c>
      <c r="P171" s="20">
        <f>SUMIF(Inventory!$D2:$D1136,"="&amp;P170, Inventory!$F2:$F1136)</f>
        <v>4.41</v>
      </c>
      <c r="Q171" s="20">
        <f>SUMIF(Inventory!$D2:$D1136,"="&amp;Q170, Inventory!$F2:$F1136)</f>
        <v>33.48</v>
      </c>
      <c r="R171" s="20">
        <f>SUMIF(Inventory!$D2:$D1136,"="&amp;R170, Inventory!$F2:$F1136)</f>
        <v>45.72</v>
      </c>
      <c r="S171" s="20">
        <f>SUMIF(Inventory!$D2:$D1136,"="&amp;S170, Inventory!$F2:$F1136)</f>
        <v>18.41</v>
      </c>
      <c r="T171" s="20">
        <f>SUMIF(Inventory!$D2:$D1136,"="&amp;T170, Inventory!$F2:$F1136)</f>
        <v>6.47</v>
      </c>
      <c r="U171" s="20">
        <f>SUMIF(Inventory!$D2:$D1136,"="&amp;U170, Inventory!$F2:$F1136)</f>
        <v>0</v>
      </c>
      <c r="V171" s="20">
        <f>SUMIF(Inventory!$D2:$D1136,"="&amp;V170, Inventory!$F2:$F1136)</f>
        <v>12.85</v>
      </c>
      <c r="W171" s="20">
        <f>SUMIF(Inventory!$D2:$D1136,"="&amp;W170, Inventory!$F2:$F1136)</f>
        <v>61.45</v>
      </c>
      <c r="X171" s="20">
        <f>SUMIF(Inventory!$D2:$D1136,"="&amp;X170, Inventory!$F2:$F1136)</f>
        <v>58.52</v>
      </c>
      <c r="Y171" s="20">
        <f>SUMIF(Inventory!$D2:$D1136,"="&amp;Y170, Inventory!$F2:$F1136)</f>
        <v>38.8</v>
      </c>
      <c r="Z171" s="20">
        <f>SUMIF(Inventory!$D2:$D1136,"="&amp;Z170, Inventory!$F2:$F1136)</f>
        <v>39.57</v>
      </c>
      <c r="AA171" s="20">
        <f>SUMIF(Inventory!$D2:$D1136,"="&amp;AA170, Inventory!$F2:$F1136)</f>
        <v>65.39</v>
      </c>
      <c r="AB171" s="20">
        <f>SUMIF(Inventory!$D2:$D1136,"="&amp;AB170, Inventory!$F2:$F1136)</f>
        <v>34.31</v>
      </c>
      <c r="AC171" s="20">
        <f>SUMIF(Inventory!$D2:$D1136,"="&amp;AC170, Inventory!$F2:$F1136)</f>
        <v>35.53</v>
      </c>
      <c r="AD171" s="20">
        <f>SUMIF(Inventory!$D2:$D1136,"="&amp;AD170, Inventory!$F2:$F1136)</f>
        <v>0.41</v>
      </c>
      <c r="AE171" s="20">
        <f>SUMIF(Inventory!$D2:$D1136,"="&amp;AE170, Inventory!$F2:$F1136)</f>
        <v>46.49</v>
      </c>
      <c r="AF171" s="20">
        <f>SUMIF(Inventory!$D2:$D1136,"="&amp;AF170, Inventory!$F2:$F1136)</f>
        <v>84.61</v>
      </c>
      <c r="AG171" s="20">
        <f t="shared" ref="AG171:AG173" si="69">SUM(B171:AF171)</f>
        <v>1075.95</v>
      </c>
      <c r="AH171" s="21">
        <f t="shared" ref="AH171:AH173" si="70">AVERAGE(B171:AF171)</f>
        <v>34.70806452</v>
      </c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  <c r="KJ171" s="21"/>
      <c r="KK171" s="21"/>
      <c r="KL171" s="21"/>
      <c r="KM171" s="21"/>
      <c r="KN171" s="21"/>
    </row>
    <row r="172" hidden="1" outlineLevel="2">
      <c r="A172" s="256" t="s">
        <v>10</v>
      </c>
      <c r="B172" s="20">
        <f>SUMIF(Inventory!$D2:$D1136,"="&amp;B170, Inventory!$E2:$E1136)</f>
        <v>19.56</v>
      </c>
      <c r="C172" s="20">
        <f>SUMIF(Inventory!$D2:$D1136,"="&amp;C170, Inventory!$E2:$E1136)</f>
        <v>17.75</v>
      </c>
      <c r="D172" s="20">
        <f>SUMIF(Inventory!$D2:$D1136,"="&amp;D170, Inventory!$E2:$E1136)</f>
        <v>62.7</v>
      </c>
      <c r="E172" s="20">
        <f>SUMIF(Inventory!$D2:$D1136,"="&amp;E170, Inventory!$E2:$E1136)</f>
        <v>0</v>
      </c>
      <c r="F172" s="20">
        <f>SUMIF(Inventory!$D2:$D1136,"="&amp;F170, Inventory!$E2:$E1136)</f>
        <v>31.53</v>
      </c>
      <c r="G172" s="20">
        <f>SUMIF(Inventory!$D2:$D1136,"="&amp;G170, Inventory!$E2:$E1136)</f>
        <v>0.9</v>
      </c>
      <c r="H172" s="20">
        <f>SUMIF(Inventory!$D2:$D1136,"="&amp;H170, Inventory!$E2:$E1136)</f>
        <v>20.73</v>
      </c>
      <c r="I172" s="20">
        <f>SUMIF(Inventory!$D2:$D1136,"="&amp;I170, Inventory!$E2:$E1136)</f>
        <v>33.18</v>
      </c>
      <c r="J172" s="20">
        <f>SUMIF(Inventory!$D2:$D1136,"="&amp;J170, Inventory!$E2:$E1136)</f>
        <v>33.72</v>
      </c>
      <c r="K172" s="20">
        <f>SUMIF(Inventory!$D2:$D1136,"="&amp;K170, Inventory!$E2:$E1136)</f>
        <v>86.64</v>
      </c>
      <c r="L172" s="20">
        <f>SUMIF(Inventory!$D2:$D1136,"="&amp;L170, Inventory!$E2:$E1136)</f>
        <v>57.39</v>
      </c>
      <c r="M172" s="20">
        <f>SUMIF(Inventory!$D2:$D1136,"="&amp;M170, Inventory!$E2:$E1136)</f>
        <v>19.3</v>
      </c>
      <c r="N172" s="20">
        <f>SUMIF(Inventory!$D2:$D1136,"="&amp;N170, Inventory!$E2:$E1136)</f>
        <v>3.28</v>
      </c>
      <c r="O172" s="20">
        <f>SUMIF(Inventory!$D2:$D1136,"="&amp;O170, Inventory!$E2:$E1136)</f>
        <v>3.14</v>
      </c>
      <c r="P172" s="20">
        <f>SUMIF(Inventory!$D2:$D1136,"="&amp;P170, Inventory!$E2:$E1136)</f>
        <v>2.02</v>
      </c>
      <c r="Q172" s="20">
        <f>SUMIF(Inventory!$D2:$D1136,"="&amp;Q170, Inventory!$E2:$E1136)</f>
        <v>22.37</v>
      </c>
      <c r="R172" s="20">
        <f>SUMIF(Inventory!$D2:$D1136,"="&amp;R170, Inventory!$E2:$E1136)</f>
        <v>32.52</v>
      </c>
      <c r="S172" s="20">
        <f>SUMIF(Inventory!$D2:$D1136,"="&amp;S170, Inventory!$E2:$E1136)</f>
        <v>11.81</v>
      </c>
      <c r="T172" s="20">
        <f>SUMIF(Inventory!$D2:$D1136,"="&amp;T170, Inventory!$E2:$E1136)</f>
        <v>5.12</v>
      </c>
      <c r="U172" s="20">
        <f>SUMIF(Inventory!$D2:$D1136,"="&amp;U170, Inventory!$E2:$E1136)</f>
        <v>0</v>
      </c>
      <c r="V172" s="20">
        <f>SUMIF(Inventory!$D2:$D1136,"="&amp;V170, Inventory!$E2:$E1136)</f>
        <v>6.6</v>
      </c>
      <c r="W172" s="20">
        <f>SUMIF(Inventory!$D2:$D1136,"="&amp;W170, Inventory!$E2:$E1136)</f>
        <v>48.13</v>
      </c>
      <c r="X172" s="20">
        <f>SUMIF(Inventory!$D2:$D1136,"="&amp;X170, Inventory!$E2:$E1136)</f>
        <v>46.41</v>
      </c>
      <c r="Y172" s="20">
        <f>SUMIF(Inventory!$D2:$D1136,"="&amp;Y170, Inventory!$E2:$E1136)</f>
        <v>29.52</v>
      </c>
      <c r="Z172" s="20">
        <f>SUMIF(Inventory!$D2:$D1136,"="&amp;Z170, Inventory!$E2:$E1136)</f>
        <v>30.06</v>
      </c>
      <c r="AA172" s="20">
        <f>SUMIF(Inventory!$D2:$D1136,"="&amp;AA170, Inventory!$E2:$E1136)</f>
        <v>55.29</v>
      </c>
      <c r="AB172" s="20">
        <f>SUMIF(Inventory!$D2:$D1136,"="&amp;AB170, Inventory!$E2:$E1136)</f>
        <v>25.33</v>
      </c>
      <c r="AC172" s="20">
        <f>SUMIF(Inventory!$D2:$D1136,"="&amp;AC170, Inventory!$E2:$E1136)</f>
        <v>24.22</v>
      </c>
      <c r="AD172" s="20">
        <f>SUMIF(Inventory!$D2:$D1136,"="&amp;AD170, Inventory!$E2:$E1136)</f>
        <v>0.15</v>
      </c>
      <c r="AE172" s="20">
        <f>SUMIF(Inventory!$D2:$D1136,"="&amp;AE170, Inventory!$E2:$E1136)</f>
        <v>35.95</v>
      </c>
      <c r="AF172" s="20">
        <f>SUMIF(Inventory!$D2:$D1136,"="&amp;AF170, Inventory!$E2:$E1136)</f>
        <v>62.09</v>
      </c>
      <c r="AG172" s="20">
        <f t="shared" si="69"/>
        <v>827.41</v>
      </c>
      <c r="AH172" s="21">
        <f t="shared" si="70"/>
        <v>26.69064516</v>
      </c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  <c r="KJ172" s="21"/>
      <c r="KK172" s="21"/>
      <c r="KL172" s="21"/>
      <c r="KM172" s="21"/>
      <c r="KN172" s="21"/>
    </row>
    <row r="173" hidden="1" outlineLevel="2">
      <c r="A173" s="256" t="s">
        <v>11</v>
      </c>
      <c r="B173" s="20">
        <f>SUMIF(Inventory!$D2:$D1136,"="&amp;B170, Inventory!$G2:$G1136)</f>
        <v>5.3</v>
      </c>
      <c r="C173" s="20">
        <f>SUMIF(Inventory!$D2:$D1136,"="&amp;C170, Inventory!$G2:$G1136)</f>
        <v>5.34</v>
      </c>
      <c r="D173" s="20">
        <f>SUMIF(Inventory!$D2:$D1136,"="&amp;D170, Inventory!$G2:$G1136)</f>
        <v>13.64</v>
      </c>
      <c r="E173" s="20">
        <f>SUMIF(Inventory!$D2:$D1136,"="&amp;E170, Inventory!$G2:$G1136)</f>
        <v>0</v>
      </c>
      <c r="F173" s="20">
        <f>SUMIF(Inventory!$D2:$D1136,"="&amp;F170, Inventory!$G2:$G1136)</f>
        <v>4.05</v>
      </c>
      <c r="G173" s="20">
        <f>SUMIF(Inventory!$D2:$D1136,"="&amp;G170, Inventory!$G2:$G1136)</f>
        <v>0.34</v>
      </c>
      <c r="H173" s="20">
        <f>SUMIF(Inventory!$D2:$D1136,"="&amp;H170, Inventory!$G2:$G1136)</f>
        <v>1.61</v>
      </c>
      <c r="I173" s="20">
        <f>SUMIF(Inventory!$D2:$D1136,"="&amp;I170, Inventory!$G2:$G1136)</f>
        <v>6.92</v>
      </c>
      <c r="J173" s="20">
        <f>SUMIF(Inventory!$D2:$D1136,"="&amp;J170, Inventory!$G2:$G1136)</f>
        <v>24.42</v>
      </c>
      <c r="K173" s="20">
        <f>SUMIF(Inventory!$D2:$D1136,"="&amp;K170, Inventory!$G2:$G1136)</f>
        <v>16.33</v>
      </c>
      <c r="L173" s="20">
        <f>SUMIF(Inventory!$D2:$D1136,"="&amp;L170, Inventory!$G2:$G1136)</f>
        <v>10.72</v>
      </c>
      <c r="M173" s="20">
        <f>SUMIF(Inventory!$D2:$D1136,"="&amp;M170, Inventory!$G2:$G1136)</f>
        <v>8.19</v>
      </c>
      <c r="N173" s="20">
        <f>SUMIF(Inventory!$D2:$D1136,"="&amp;N170, Inventory!$G2:$G1136)</f>
        <v>2.41</v>
      </c>
      <c r="O173" s="20">
        <f>SUMIF(Inventory!$D2:$D1136,"="&amp;O170, Inventory!$G2:$G1136)</f>
        <v>0.44</v>
      </c>
      <c r="P173" s="20">
        <f>SUMIF(Inventory!$D2:$D1136,"="&amp;P170, Inventory!$G2:$G1136)</f>
        <v>2.39</v>
      </c>
      <c r="Q173" s="20">
        <f>SUMIF(Inventory!$D2:$D1136,"="&amp;Q170, Inventory!$G2:$G1136)</f>
        <v>11.11</v>
      </c>
      <c r="R173" s="20">
        <f>SUMIF(Inventory!$D2:$D1136,"="&amp;R170, Inventory!$G2:$G1136)</f>
        <v>13.2</v>
      </c>
      <c r="S173" s="20">
        <f>SUMIF(Inventory!$D2:$D1136,"="&amp;S170, Inventory!$G2:$G1136)</f>
        <v>6.6</v>
      </c>
      <c r="T173" s="20">
        <f>SUMIF(Inventory!$D2:$D1136,"="&amp;T170, Inventory!$G2:$G1136)</f>
        <v>1.35</v>
      </c>
      <c r="U173" s="20">
        <f>SUMIF(Inventory!$D2:$D1136,"="&amp;U170, Inventory!$G2:$G1136)</f>
        <v>0</v>
      </c>
      <c r="V173" s="20">
        <f>SUMIF(Inventory!$D2:$D1136,"="&amp;V170, Inventory!$G2:$G1136)</f>
        <v>6.25</v>
      </c>
      <c r="W173" s="20">
        <f>SUMIF(Inventory!$D2:$D1136,"="&amp;W170, Inventory!$G2:$G1136)</f>
        <v>13.32</v>
      </c>
      <c r="X173" s="20">
        <f>SUMIF(Inventory!$D2:$D1136,"="&amp;X170, Inventory!$G2:$G1136)</f>
        <v>12.11</v>
      </c>
      <c r="Y173" s="20">
        <f>SUMIF(Inventory!$D2:$D1136,"="&amp;Y170, Inventory!$G2:$G1136)</f>
        <v>9.28</v>
      </c>
      <c r="Z173" s="20">
        <f>SUMIF(Inventory!$D2:$D1136,"="&amp;Z170, Inventory!$G2:$G1136)</f>
        <v>9.51</v>
      </c>
      <c r="AA173" s="20">
        <f>SUMIF(Inventory!$D2:$D1136,"="&amp;AA170, Inventory!$G2:$G1136)</f>
        <v>10.1</v>
      </c>
      <c r="AB173" s="20">
        <f>SUMIF(Inventory!$D2:$D1136,"="&amp;AB170, Inventory!$G2:$G1136)</f>
        <v>8.98</v>
      </c>
      <c r="AC173" s="20">
        <f>SUMIF(Inventory!$D2:$D1136,"="&amp;AC170, Inventory!$G2:$G1136)</f>
        <v>11.31</v>
      </c>
      <c r="AD173" s="20">
        <f>SUMIF(Inventory!$D2:$D1136,"="&amp;AD170, Inventory!$G2:$G1136)</f>
        <v>0.26</v>
      </c>
      <c r="AE173" s="20">
        <f>SUMIF(Inventory!$D2:$D1136,"="&amp;AE170, Inventory!$G2:$G1136)</f>
        <v>10.54</v>
      </c>
      <c r="AF173" s="20">
        <f>SUMIF(Inventory!$D2:$D1136,"="&amp;AF170, Inventory!$G2:$G1136)</f>
        <v>22.52</v>
      </c>
      <c r="AG173" s="20">
        <f t="shared" si="69"/>
        <v>248.54</v>
      </c>
      <c r="AH173" s="21">
        <f t="shared" si="70"/>
        <v>8.017419355</v>
      </c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  <c r="KJ173" s="21"/>
      <c r="KK173" s="21"/>
      <c r="KL173" s="21"/>
      <c r="KM173" s="21"/>
      <c r="KN173" s="21"/>
    </row>
    <row r="174" hidden="1" outlineLevel="2">
      <c r="A174" s="256" t="s">
        <v>10566</v>
      </c>
      <c r="B174" s="20">
        <f>COUNTIFS(Inventory!$D2:$D1136,"="&amp;B170, Inventory!$J2:$J1136,"Closed")</f>
        <v>6</v>
      </c>
      <c r="C174" s="20">
        <f>COUNTIFS(Inventory!$D2:$D1136,"="&amp;C170, Inventory!$J2:$J1136,"Closed")</f>
        <v>5</v>
      </c>
      <c r="D174" s="20">
        <f>COUNTIFS(Inventory!$D2:$D1136,"="&amp;D170, Inventory!$J2:$J1136,"Closed")</f>
        <v>8</v>
      </c>
      <c r="E174" s="20">
        <f>COUNTIFS(Inventory!$D2:$D1136,"="&amp;E170, Inventory!$J2:$J1136,"Closed")</f>
        <v>0</v>
      </c>
      <c r="F174" s="20">
        <f>COUNTIFS(Inventory!$D2:$D1136,"="&amp;F170, Inventory!$J2:$J1136,"Closed")</f>
        <v>3</v>
      </c>
      <c r="G174" s="20">
        <f>COUNTIFS(Inventory!$D2:$D1136,"="&amp;G170, Inventory!$J2:$J1136,"Closed")</f>
        <v>1</v>
      </c>
      <c r="H174" s="20">
        <f>COUNTIFS(Inventory!$D2:$D1136,"="&amp;H170, Inventory!$J2:$J1136,"Closed")</f>
        <v>2</v>
      </c>
      <c r="I174" s="20">
        <f>COUNTIFS(Inventory!$D2:$D1136,"="&amp;I170, Inventory!$J2:$J1136,"Closed")</f>
        <v>6</v>
      </c>
      <c r="J174" s="20">
        <f>COUNTIFS(Inventory!$D2:$D1136,"="&amp;J170, Inventory!$J2:$J1136,"Closed")</f>
        <v>6</v>
      </c>
      <c r="K174" s="20">
        <f>COUNTIFS(Inventory!$D2:$D1136,"="&amp;K170, Inventory!$J2:$J1136,"Closed")</f>
        <v>6</v>
      </c>
      <c r="L174" s="20">
        <f>COUNTIFS(Inventory!$D2:$D1136,"="&amp;L170, Inventory!$J2:$J1136,"Closed")</f>
        <v>6</v>
      </c>
      <c r="M174" s="20">
        <f>COUNTIFS(Inventory!$D2:$D1136,"="&amp;M170, Inventory!$J2:$J1136,"Closed")</f>
        <v>3</v>
      </c>
      <c r="N174" s="20">
        <f>COUNTIFS(Inventory!$D2:$D1136,"="&amp;N170, Inventory!$J2:$J1136,"Closed")</f>
        <v>1</v>
      </c>
      <c r="O174" s="20">
        <f>COUNTIFS(Inventory!$D2:$D1136,"="&amp;O170, Inventory!$J2:$J1136,"Closed")</f>
        <v>1</v>
      </c>
      <c r="P174" s="20">
        <f>COUNTIFS(Inventory!$D2:$D1136,"="&amp;P170, Inventory!$J2:$J1136,"Closed")</f>
        <v>2</v>
      </c>
      <c r="Q174" s="20">
        <f>COUNTIFS(Inventory!$D2:$D1136,"="&amp;Q170, Inventory!$J2:$J1136,"Closed")</f>
        <v>4</v>
      </c>
      <c r="R174" s="20">
        <f>COUNTIFS(Inventory!$D2:$D1136,"="&amp;R170, Inventory!$J2:$J1136,"Closed")</f>
        <v>6</v>
      </c>
      <c r="S174" s="20">
        <f>COUNTIFS(Inventory!$D2:$D1136,"="&amp;S170, Inventory!$J2:$J1136,"Closed")</f>
        <v>4</v>
      </c>
      <c r="T174" s="20">
        <f>COUNTIFS(Inventory!$D2:$D1136,"="&amp;T170, Inventory!$J2:$J1136,"Closed")</f>
        <v>1</v>
      </c>
      <c r="U174" s="20">
        <f>COUNTIFS(Inventory!$D2:$D1136,"="&amp;U170, Inventory!$J2:$J1136,"Closed")</f>
        <v>0</v>
      </c>
      <c r="V174" s="20">
        <f>COUNTIFS(Inventory!$D2:$D1136,"="&amp;V170, Inventory!$J2:$J1136,"Closed")</f>
        <v>2</v>
      </c>
      <c r="W174" s="20">
        <f>COUNTIFS(Inventory!$D2:$D1136,"="&amp;W170, Inventory!$J2:$J1136,"Closed")</f>
        <v>8</v>
      </c>
      <c r="X174" s="20">
        <f>COUNTIFS(Inventory!$D2:$D1136,"="&amp;X170, Inventory!$J2:$J1136,"Closed")</f>
        <v>7</v>
      </c>
      <c r="Y174" s="20">
        <f>COUNTIFS(Inventory!$D2:$D1136,"="&amp;Y170, Inventory!$J2:$J1136,"Closed")</f>
        <v>6</v>
      </c>
      <c r="Z174" s="20">
        <f>COUNTIFS(Inventory!$D2:$D1136,"="&amp;Z170, Inventory!$J2:$J1136,"Closed")</f>
        <v>5</v>
      </c>
      <c r="AA174" s="20">
        <f>COUNTIFS(Inventory!$D2:$D1136,"="&amp;AA170, Inventory!$J2:$J1136,"Closed")</f>
        <v>9</v>
      </c>
      <c r="AB174" s="20">
        <f>COUNTIFS(Inventory!$D2:$D1136,"="&amp;AB170, Inventory!$J2:$J1136,"Closed")</f>
        <v>4</v>
      </c>
      <c r="AC174" s="20">
        <f>COUNTIFS(Inventory!$D2:$D1136,"="&amp;AC170, Inventory!$J2:$J1136,"Closed")</f>
        <v>5</v>
      </c>
      <c r="AD174" s="20">
        <f>COUNTIFS(Inventory!$D2:$D1136,"="&amp;AD170, Inventory!$J2:$J1136,"Closed")</f>
        <v>1</v>
      </c>
      <c r="AE174" s="20">
        <f>COUNTIFS(Inventory!$D2:$D1136,"="&amp;AE170, Inventory!$J2:$J1136,"Closed")</f>
        <v>3</v>
      </c>
      <c r="AF174" s="20">
        <f>COUNTIFS(Inventory!$D2:$D1136,"="&amp;AF170, Inventory!$J2:$J1136,"Closed")</f>
        <v>4</v>
      </c>
      <c r="AG174" s="20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1"/>
      <c r="JX174" s="21"/>
      <c r="JY174" s="21"/>
      <c r="JZ174" s="21"/>
      <c r="KA174" s="21"/>
      <c r="KB174" s="21"/>
      <c r="KC174" s="21"/>
      <c r="KD174" s="21"/>
      <c r="KE174" s="21"/>
      <c r="KF174" s="21"/>
      <c r="KG174" s="21"/>
      <c r="KH174" s="21"/>
      <c r="KI174" s="21"/>
      <c r="KJ174" s="21"/>
      <c r="KK174" s="21"/>
      <c r="KL174" s="21"/>
      <c r="KM174" s="21"/>
      <c r="KN174" s="21"/>
    </row>
    <row r="175" outlineLevel="1" collapsed="1">
      <c r="A175" s="253" t="s">
        <v>10209</v>
      </c>
      <c r="B175" s="255">
        <v>44501.0</v>
      </c>
      <c r="C175" s="255">
        <v>44502.0</v>
      </c>
      <c r="D175" s="255">
        <v>44503.0</v>
      </c>
      <c r="E175" s="255">
        <v>44504.0</v>
      </c>
      <c r="F175" s="255">
        <v>44505.0</v>
      </c>
      <c r="G175" s="255">
        <v>44506.0</v>
      </c>
      <c r="H175" s="255">
        <v>44507.0</v>
      </c>
      <c r="I175" s="255">
        <v>44508.0</v>
      </c>
      <c r="J175" s="255">
        <v>44509.0</v>
      </c>
      <c r="K175" s="255">
        <v>44510.0</v>
      </c>
      <c r="L175" s="255">
        <v>44511.0</v>
      </c>
      <c r="M175" s="255">
        <v>44512.0</v>
      </c>
      <c r="N175" s="255">
        <v>44513.0</v>
      </c>
      <c r="O175" s="255">
        <v>44514.0</v>
      </c>
      <c r="P175" s="255">
        <v>44515.0</v>
      </c>
      <c r="Q175" s="255">
        <v>44516.0</v>
      </c>
      <c r="R175" s="255">
        <v>44517.0</v>
      </c>
      <c r="S175" s="255">
        <v>44518.0</v>
      </c>
      <c r="T175" s="255">
        <v>44519.0</v>
      </c>
      <c r="U175" s="255">
        <v>44520.0</v>
      </c>
      <c r="V175" s="255">
        <v>44521.0</v>
      </c>
      <c r="W175" s="255">
        <v>44522.0</v>
      </c>
      <c r="X175" s="255">
        <v>44523.0</v>
      </c>
      <c r="Y175" s="255">
        <v>44524.0</v>
      </c>
      <c r="Z175" s="255">
        <v>44525.0</v>
      </c>
      <c r="AA175" s="255">
        <v>44526.0</v>
      </c>
      <c r="AB175" s="255">
        <v>44527.0</v>
      </c>
      <c r="AC175" s="255">
        <v>44528.0</v>
      </c>
      <c r="AD175" s="255">
        <v>44529.0</v>
      </c>
      <c r="AE175" s="255">
        <v>44530.0</v>
      </c>
      <c r="AF175" s="255"/>
      <c r="AG175" s="20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  <c r="KJ175" s="21"/>
      <c r="KK175" s="21"/>
      <c r="KL175" s="21"/>
      <c r="KM175" s="21"/>
      <c r="KN175" s="21"/>
    </row>
    <row r="176" hidden="1" outlineLevel="2">
      <c r="A176" s="256" t="s">
        <v>9</v>
      </c>
      <c r="B176" s="20">
        <f>SUMIF(Inventory!$D2:$D1136,"="&amp;B175, Inventory!$F2:$F1136)</f>
        <v>41.23</v>
      </c>
      <c r="C176" s="20">
        <f>SUMIF(Inventory!$D2:$D1136,"="&amp;C175, Inventory!$F2:$F1136)</f>
        <v>7.16</v>
      </c>
      <c r="D176" s="20">
        <f>SUMIF(Inventory!$D2:$D1136,"="&amp;D175, Inventory!$F2:$F1136)</f>
        <v>14.2</v>
      </c>
      <c r="E176" s="20">
        <f>SUMIF(Inventory!$D2:$D1136,"="&amp;E175, Inventory!$F2:$F1136)</f>
        <v>60.63</v>
      </c>
      <c r="F176" s="20">
        <f>SUMIF(Inventory!$D2:$D1136,"="&amp;F175, Inventory!$F2:$F1136)</f>
        <v>18.86</v>
      </c>
      <c r="G176" s="20">
        <f>SUMIF(Inventory!$D2:$D1136,"="&amp;G175, Inventory!$F2:$F1136)</f>
        <v>0</v>
      </c>
      <c r="H176" s="20">
        <f>SUMIF(Inventory!$D2:$D1136,"="&amp;H175, Inventory!$F2:$F1136)</f>
        <v>20.26</v>
      </c>
      <c r="I176" s="20">
        <f>SUMIF(Inventory!$D2:$D1136,"="&amp;I175, Inventory!$F2:$F1136)</f>
        <v>0</v>
      </c>
      <c r="J176" s="20">
        <f>SUMIF(Inventory!$D2:$D1136,"="&amp;J175, Inventory!$F2:$F1136)</f>
        <v>6.08</v>
      </c>
      <c r="K176" s="20">
        <f>SUMIF(Inventory!$D2:$D1136,"="&amp;K175, Inventory!$F2:$F1136)</f>
        <v>14.89</v>
      </c>
      <c r="L176" s="20">
        <f>SUMIF(Inventory!$D2:$D1136,"="&amp;L175, Inventory!$F2:$F1136)</f>
        <v>12.92</v>
      </c>
      <c r="M176" s="20">
        <f>SUMIF(Inventory!$D2:$D1136,"="&amp;M175, Inventory!$F2:$F1136)</f>
        <v>3.22</v>
      </c>
      <c r="N176" s="20">
        <f>SUMIF(Inventory!$D2:$D1136,"="&amp;N175, Inventory!$F2:$F1136)</f>
        <v>30.24</v>
      </c>
      <c r="O176" s="20">
        <f>SUMIF(Inventory!$D2:$D1136,"="&amp;O175, Inventory!$F2:$F1136)</f>
        <v>17.4</v>
      </c>
      <c r="P176" s="20">
        <f>SUMIF(Inventory!$D2:$D1136,"="&amp;P175, Inventory!$F2:$F1136)</f>
        <v>7.5</v>
      </c>
      <c r="Q176" s="20">
        <f>SUMIF(Inventory!$D2:$D1136,"="&amp;Q175, Inventory!$F2:$F1136)</f>
        <v>0</v>
      </c>
      <c r="R176" s="20">
        <f>SUMIF(Inventory!$D2:$D1136,"="&amp;R175, Inventory!$F2:$F1136)</f>
        <v>13.41</v>
      </c>
      <c r="S176" s="20">
        <f>SUMIF(Inventory!$D2:$D1136,"="&amp;S175, Inventory!$F2:$F1136)</f>
        <v>0</v>
      </c>
      <c r="T176" s="20">
        <f>SUMIF(Inventory!$D2:$D1136,"="&amp;T175, Inventory!$F2:$F1136)</f>
        <v>15.43</v>
      </c>
      <c r="U176" s="20">
        <f>SUMIF(Inventory!$D2:$D1136,"="&amp;U175, Inventory!$F2:$F1136)</f>
        <v>29.21</v>
      </c>
      <c r="V176" s="20">
        <f>SUMIF(Inventory!$D2:$D1136,"="&amp;V175, Inventory!$F2:$F1136)</f>
        <v>33.38</v>
      </c>
      <c r="W176" s="20">
        <f>SUMIF(Inventory!$D2:$D1136,"="&amp;W175, Inventory!$F2:$F1136)</f>
        <v>21.65</v>
      </c>
      <c r="X176" s="20">
        <f>SUMIF(Inventory!$D2:$D1136,"="&amp;X175, Inventory!$F2:$F1136)</f>
        <v>24.86</v>
      </c>
      <c r="Y176" s="20">
        <f>SUMIF(Inventory!$D2:$D1136,"="&amp;Y175, Inventory!$F2:$F1136)</f>
        <v>0.89</v>
      </c>
      <c r="Z176" s="20">
        <f>SUMIF(Inventory!$D2:$D1136,"="&amp;Z175, Inventory!$F2:$F1136)</f>
        <v>0</v>
      </c>
      <c r="AA176" s="20">
        <f>SUMIF(Inventory!$D2:$D1136,"="&amp;AA175, Inventory!$F2:$F1136)</f>
        <v>15.65</v>
      </c>
      <c r="AB176" s="20">
        <f>SUMIF(Inventory!$D2:$D1136,"="&amp;AB175, Inventory!$F2:$F1136)</f>
        <v>69.28</v>
      </c>
      <c r="AC176" s="20">
        <f>SUMIF(Inventory!$D2:$D1136,"="&amp;AC175, Inventory!$F2:$F1136)</f>
        <v>0</v>
      </c>
      <c r="AD176" s="20">
        <f>SUMIF(Inventory!$D2:$D1136,"="&amp;AD175, Inventory!$F2:$F1136)</f>
        <v>5.62</v>
      </c>
      <c r="AE176" s="20">
        <f>SUMIF(Inventory!$D2:$D1136,"="&amp;AE175, Inventory!$F2:$F1136)</f>
        <v>0</v>
      </c>
      <c r="AG176" s="20">
        <f t="shared" ref="AG176:AG178" si="71">SUM(B176:AF176)</f>
        <v>483.97</v>
      </c>
      <c r="AH176" s="21">
        <f t="shared" ref="AH176:AH178" si="72">AVERAGE(B176:AF176)</f>
        <v>16.13233333</v>
      </c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  <c r="KJ176" s="21"/>
      <c r="KK176" s="21"/>
      <c r="KL176" s="21"/>
      <c r="KM176" s="21"/>
      <c r="KN176" s="21"/>
    </row>
    <row r="177" hidden="1" outlineLevel="2">
      <c r="A177" s="256" t="s">
        <v>10</v>
      </c>
      <c r="B177" s="20">
        <f>SUMIF(Inventory!$D2:$D1136,"="&amp;B175, Inventory!$E2:$E1136)</f>
        <v>33.55</v>
      </c>
      <c r="C177" s="20">
        <f>SUMIF(Inventory!$D2:$D1136,"="&amp;C175, Inventory!$E2:$E1136)</f>
        <v>5.8</v>
      </c>
      <c r="D177" s="20">
        <f>SUMIF(Inventory!$D2:$D1136,"="&amp;D175, Inventory!$E2:$E1136)</f>
        <v>8.56</v>
      </c>
      <c r="E177" s="20">
        <f>SUMIF(Inventory!$D2:$D1136,"="&amp;E175, Inventory!$E2:$E1136)</f>
        <v>46.49</v>
      </c>
      <c r="F177" s="20">
        <f>SUMIF(Inventory!$D2:$D1136,"="&amp;F175, Inventory!$E2:$E1136)</f>
        <v>18.26</v>
      </c>
      <c r="G177" s="20">
        <f>SUMIF(Inventory!$D2:$D1136,"="&amp;G175, Inventory!$E2:$E1136)</f>
        <v>0</v>
      </c>
      <c r="H177" s="20">
        <f>SUMIF(Inventory!$D2:$D1136,"="&amp;H175, Inventory!$E2:$E1136)</f>
        <v>16.05</v>
      </c>
      <c r="I177" s="20">
        <f>SUMIF(Inventory!$D2:$D1136,"="&amp;I175, Inventory!$E2:$E1136)</f>
        <v>0</v>
      </c>
      <c r="J177" s="20">
        <f>SUMIF(Inventory!$D2:$D1136,"="&amp;J175, Inventory!$E2:$E1136)</f>
        <v>0</v>
      </c>
      <c r="K177" s="20">
        <f>SUMIF(Inventory!$D2:$D1136,"="&amp;K175, Inventory!$E2:$E1136)</f>
        <v>7.56</v>
      </c>
      <c r="L177" s="20">
        <f>SUMIF(Inventory!$D2:$D1136,"="&amp;L175, Inventory!$E2:$E1136)</f>
        <v>7.43</v>
      </c>
      <c r="M177" s="20">
        <f>SUMIF(Inventory!$D2:$D1136,"="&amp;M175, Inventory!$E2:$E1136)</f>
        <v>2.73</v>
      </c>
      <c r="N177" s="20">
        <f>SUMIF(Inventory!$D2:$D1136,"="&amp;N175, Inventory!$E2:$E1136)</f>
        <v>19.31</v>
      </c>
      <c r="O177" s="20">
        <f>SUMIF(Inventory!$D2:$D1136,"="&amp;O175, Inventory!$E2:$E1136)</f>
        <v>12.99</v>
      </c>
      <c r="P177" s="20">
        <f>SUMIF(Inventory!$D2:$D1136,"="&amp;P175, Inventory!$E2:$E1136)</f>
        <v>3.18</v>
      </c>
      <c r="Q177" s="20">
        <f>SUMIF(Inventory!$D2:$D1136,"="&amp;Q175, Inventory!$E2:$E1136)</f>
        <v>0</v>
      </c>
      <c r="R177" s="20">
        <f>SUMIF(Inventory!$D2:$D1136,"="&amp;R175, Inventory!$E2:$E1136)</f>
        <v>10.35</v>
      </c>
      <c r="S177" s="20">
        <f>SUMIF(Inventory!$D2:$D1136,"="&amp;S175, Inventory!$E2:$E1136)</f>
        <v>0</v>
      </c>
      <c r="T177" s="20">
        <f>SUMIF(Inventory!$D2:$D1136,"="&amp;T175, Inventory!$E2:$E1136)</f>
        <v>12.05</v>
      </c>
      <c r="U177" s="20">
        <f>SUMIF(Inventory!$D2:$D1136,"="&amp;U175, Inventory!$E2:$E1136)</f>
        <v>22.84</v>
      </c>
      <c r="V177" s="20">
        <f>SUMIF(Inventory!$D2:$D1136,"="&amp;V175, Inventory!$E2:$E1136)</f>
        <v>24.57</v>
      </c>
      <c r="W177" s="20">
        <f>SUMIF(Inventory!$D2:$D1136,"="&amp;W175, Inventory!$E2:$E1136)</f>
        <v>16.33</v>
      </c>
      <c r="X177" s="20">
        <f>SUMIF(Inventory!$D2:$D1136,"="&amp;X175, Inventory!$E2:$E1136)</f>
        <v>19.58</v>
      </c>
      <c r="Y177" s="20">
        <f>SUMIF(Inventory!$D2:$D1136,"="&amp;Y175, Inventory!$E2:$E1136)</f>
        <v>0</v>
      </c>
      <c r="Z177" s="20">
        <f>SUMIF(Inventory!$D2:$D1136,"="&amp;Z175, Inventory!$E2:$E1136)</f>
        <v>0</v>
      </c>
      <c r="AA177" s="20">
        <f>SUMIF(Inventory!$D2:$D1136,"="&amp;AA175, Inventory!$E2:$E1136)</f>
        <v>12.5</v>
      </c>
      <c r="AB177" s="20">
        <f>SUMIF(Inventory!$D2:$D1136,"="&amp;AB175, Inventory!$E2:$E1136)</f>
        <v>47.21</v>
      </c>
      <c r="AC177" s="20">
        <f>SUMIF(Inventory!$D2:$D1136,"="&amp;AC175, Inventory!$E2:$E1136)</f>
        <v>0</v>
      </c>
      <c r="AD177" s="20">
        <f>SUMIF(Inventory!$D2:$D1136,"="&amp;AD175, Inventory!$E2:$E1136)</f>
        <v>2.51</v>
      </c>
      <c r="AE177" s="20">
        <f>SUMIF(Inventory!$D2:$D1136,"="&amp;AE175, Inventory!$E2:$E1136)</f>
        <v>0</v>
      </c>
      <c r="AG177" s="20">
        <f t="shared" si="71"/>
        <v>349.85</v>
      </c>
      <c r="AH177" s="21">
        <f t="shared" si="72"/>
        <v>11.66166667</v>
      </c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1"/>
      <c r="JX177" s="21"/>
      <c r="JY177" s="21"/>
      <c r="JZ177" s="21"/>
      <c r="KA177" s="21"/>
      <c r="KB177" s="21"/>
      <c r="KC177" s="21"/>
      <c r="KD177" s="21"/>
      <c r="KE177" s="21"/>
      <c r="KF177" s="21"/>
      <c r="KG177" s="21"/>
      <c r="KH177" s="21"/>
      <c r="KI177" s="21"/>
      <c r="KJ177" s="21"/>
      <c r="KK177" s="21"/>
      <c r="KL177" s="21"/>
      <c r="KM177" s="21"/>
      <c r="KN177" s="21"/>
    </row>
    <row r="178" hidden="1" outlineLevel="2">
      <c r="A178" s="256" t="s">
        <v>11</v>
      </c>
      <c r="B178" s="20">
        <f>SUMIF(Inventory!$D2:$D1136,"="&amp;B175, Inventory!$G2:$G1136)</f>
        <v>7.68</v>
      </c>
      <c r="C178" s="20">
        <f>SUMIF(Inventory!$D2:$D1136,"="&amp;C175, Inventory!$G2:$G1136)</f>
        <v>1.36</v>
      </c>
      <c r="D178" s="20">
        <f>SUMIF(Inventory!$D2:$D1136,"="&amp;D175, Inventory!$G2:$G1136)</f>
        <v>5.64</v>
      </c>
      <c r="E178" s="20">
        <f>SUMIF(Inventory!$D2:$D1136,"="&amp;E175, Inventory!$G2:$G1136)</f>
        <v>14.14</v>
      </c>
      <c r="F178" s="20">
        <f>SUMIF(Inventory!$D2:$D1136,"="&amp;F175, Inventory!$G2:$G1136)</f>
        <v>0.6</v>
      </c>
      <c r="G178" s="20">
        <f>SUMIF(Inventory!$D2:$D1136,"="&amp;G175, Inventory!$G2:$G1136)</f>
        <v>0</v>
      </c>
      <c r="H178" s="20">
        <f>SUMIF(Inventory!$D2:$D1136,"="&amp;H175, Inventory!$G2:$G1136)</f>
        <v>4.21</v>
      </c>
      <c r="I178" s="20">
        <f>SUMIF(Inventory!$D2:$D1136,"="&amp;I175, Inventory!$G2:$G1136)</f>
        <v>0</v>
      </c>
      <c r="J178" s="20">
        <f>SUMIF(Inventory!$D2:$D1136,"="&amp;J175, Inventory!$G2:$G1136)</f>
        <v>6.08</v>
      </c>
      <c r="K178" s="20">
        <f>SUMIF(Inventory!$D2:$D1136,"="&amp;K175, Inventory!$G2:$G1136)</f>
        <v>7.33</v>
      </c>
      <c r="L178" s="20">
        <f>SUMIF(Inventory!$D2:$D1136,"="&amp;L175, Inventory!$G2:$G1136)</f>
        <v>5.49</v>
      </c>
      <c r="M178" s="20">
        <f>SUMIF(Inventory!$D2:$D1136,"="&amp;M175, Inventory!$G2:$G1136)</f>
        <v>0.49</v>
      </c>
      <c r="N178" s="20">
        <f>SUMIF(Inventory!$D2:$D1136,"="&amp;N175, Inventory!$G2:$G1136)</f>
        <v>10.93</v>
      </c>
      <c r="O178" s="20">
        <f>SUMIF(Inventory!$D2:$D1136,"="&amp;O175, Inventory!$G2:$G1136)</f>
        <v>4.41</v>
      </c>
      <c r="P178" s="20">
        <f>SUMIF(Inventory!$D2:$D1136,"="&amp;P175, Inventory!$G2:$G1136)</f>
        <v>4.32</v>
      </c>
      <c r="Q178" s="20">
        <f>SUMIF(Inventory!$D2:$D1136,"="&amp;Q175, Inventory!$G2:$G1136)</f>
        <v>0</v>
      </c>
      <c r="R178" s="20">
        <f>SUMIF(Inventory!$D2:$D1136,"="&amp;R175, Inventory!$G2:$G1136)</f>
        <v>3.06</v>
      </c>
      <c r="S178" s="20">
        <f>SUMIF(Inventory!$D2:$D1136,"="&amp;S175, Inventory!$G2:$G1136)</f>
        <v>0</v>
      </c>
      <c r="T178" s="20">
        <f>SUMIF(Inventory!$D2:$D1136,"="&amp;T175, Inventory!$G2:$G1136)</f>
        <v>3.38</v>
      </c>
      <c r="U178" s="20">
        <f>SUMIF(Inventory!$D2:$D1136,"="&amp;U175, Inventory!$G2:$G1136)</f>
        <v>6.37</v>
      </c>
      <c r="V178" s="20">
        <f>SUMIF(Inventory!$D2:$D1136,"="&amp;V175, Inventory!$G2:$G1136)</f>
        <v>8.81</v>
      </c>
      <c r="W178" s="20">
        <f>SUMIF(Inventory!$D2:$D1136,"="&amp;W175, Inventory!$G2:$G1136)</f>
        <v>5.32</v>
      </c>
      <c r="X178" s="20">
        <f>SUMIF(Inventory!$D2:$D1136,"="&amp;X175, Inventory!$G2:$G1136)</f>
        <v>5.28</v>
      </c>
      <c r="Y178" s="20">
        <f>SUMIF(Inventory!$D2:$D1136,"="&amp;Y175, Inventory!$G2:$G1136)</f>
        <v>0.89</v>
      </c>
      <c r="Z178" s="20">
        <f>SUMIF(Inventory!$D2:$D1136,"="&amp;Z175, Inventory!$G2:$G1136)</f>
        <v>0</v>
      </c>
      <c r="AA178" s="20">
        <f>SUMIF(Inventory!$D2:$D1136,"="&amp;AA175, Inventory!$G2:$G1136)</f>
        <v>3.15</v>
      </c>
      <c r="AB178" s="20">
        <f>SUMIF(Inventory!$D2:$D1136,"="&amp;AB175, Inventory!$G2:$G1136)</f>
        <v>22.07</v>
      </c>
      <c r="AC178" s="20">
        <f>SUMIF(Inventory!$D2:$D1136,"="&amp;AC175, Inventory!$G2:$G1136)</f>
        <v>0</v>
      </c>
      <c r="AD178" s="20">
        <f>SUMIF(Inventory!$D2:$D1136,"="&amp;AD175, Inventory!$G2:$G1136)</f>
        <v>3.11</v>
      </c>
      <c r="AE178" s="20">
        <f>SUMIF(Inventory!$D2:$D1136,"="&amp;AE175, Inventory!$G2:$G1136)</f>
        <v>0</v>
      </c>
      <c r="AG178" s="20">
        <f t="shared" si="71"/>
        <v>134.12</v>
      </c>
      <c r="AH178" s="21">
        <f t="shared" si="72"/>
        <v>4.470666667</v>
      </c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1"/>
      <c r="JX178" s="21"/>
      <c r="JY178" s="21"/>
      <c r="JZ178" s="21"/>
      <c r="KA178" s="21"/>
      <c r="KB178" s="21"/>
      <c r="KC178" s="21"/>
      <c r="KD178" s="21"/>
      <c r="KE178" s="21"/>
      <c r="KF178" s="21"/>
      <c r="KG178" s="21"/>
      <c r="KH178" s="21"/>
      <c r="KI178" s="21"/>
      <c r="KJ178" s="21"/>
      <c r="KK178" s="21"/>
      <c r="KL178" s="21"/>
      <c r="KM178" s="21"/>
      <c r="KN178" s="21"/>
    </row>
    <row r="179" hidden="1" outlineLevel="2">
      <c r="A179" s="256" t="s">
        <v>10566</v>
      </c>
      <c r="B179" s="20">
        <f>COUNTIFS(Inventory!$D2:$D1136,"="&amp;B175, Inventory!$J2:$J1136,"Closed")</f>
        <v>1</v>
      </c>
      <c r="C179" s="20">
        <f>COUNTIFS(Inventory!$D2:$D1136,"="&amp;C175, Inventory!$J2:$J1136,"Closed")</f>
        <v>1</v>
      </c>
      <c r="D179" s="20">
        <f>COUNTIFS(Inventory!$D2:$D1136,"="&amp;D175, Inventory!$J2:$J1136,"Closed")</f>
        <v>2</v>
      </c>
      <c r="E179" s="20">
        <f>COUNTIFS(Inventory!$D2:$D1136,"="&amp;E175, Inventory!$J2:$J1136,"Closed")</f>
        <v>6</v>
      </c>
      <c r="F179" s="20">
        <f>COUNTIFS(Inventory!$D2:$D1136,"="&amp;F175, Inventory!$J2:$J1136,"Closed")</f>
        <v>3</v>
      </c>
      <c r="G179" s="20">
        <f>COUNTIFS(Inventory!$D2:$D1136,"="&amp;G175, Inventory!$J2:$J1136,"Closed")</f>
        <v>0</v>
      </c>
      <c r="H179" s="20">
        <f>COUNTIFS(Inventory!$D2:$D1136,"="&amp;H175, Inventory!$J2:$J1136,"Closed")</f>
        <v>1</v>
      </c>
      <c r="I179" s="20">
        <f>COUNTIFS(Inventory!$D2:$D1136,"="&amp;I175, Inventory!$J2:$J1136,"Closed")</f>
        <v>0</v>
      </c>
      <c r="J179" s="20">
        <f>COUNTIFS(Inventory!$D2:$D1136,"="&amp;J175, Inventory!$J2:$J1136,"Closed")</f>
        <v>2</v>
      </c>
      <c r="K179" s="20">
        <f>COUNTIFS(Inventory!$D2:$D1136,"="&amp;K175, Inventory!$J2:$J1136,"Closed")</f>
        <v>2</v>
      </c>
      <c r="L179" s="20">
        <f>COUNTIFS(Inventory!$D2:$D1136,"="&amp;L175, Inventory!$J2:$J1136,"Closed")</f>
        <v>2</v>
      </c>
      <c r="M179" s="20">
        <f>COUNTIFS(Inventory!$D2:$D1136,"="&amp;M175, Inventory!$J2:$J1136,"Closed")</f>
        <v>1</v>
      </c>
      <c r="N179" s="20">
        <f>COUNTIFS(Inventory!$D2:$D1136,"="&amp;N175, Inventory!$J2:$J1136,"Closed")</f>
        <v>5</v>
      </c>
      <c r="O179" s="20">
        <f>COUNTIFS(Inventory!$D2:$D1136,"="&amp;O175, Inventory!$J2:$J1136,"Closed")</f>
        <v>4</v>
      </c>
      <c r="P179" s="20">
        <f>COUNTIFS(Inventory!$D2:$D1136,"="&amp;P175, Inventory!$J2:$J1136,"Closed")</f>
        <v>1</v>
      </c>
      <c r="Q179" s="20">
        <f>COUNTIFS(Inventory!$D2:$D1136,"="&amp;Q175, Inventory!$J2:$J1136,"Closed")</f>
        <v>0</v>
      </c>
      <c r="R179" s="20">
        <f>COUNTIFS(Inventory!$D2:$D1136,"="&amp;R175, Inventory!$J2:$J1136,"Closed")</f>
        <v>2</v>
      </c>
      <c r="S179" s="20">
        <f>COUNTIFS(Inventory!$D2:$D1136,"="&amp;S175, Inventory!$J2:$J1136,"Closed")</f>
        <v>0</v>
      </c>
      <c r="T179" s="20">
        <f>COUNTIFS(Inventory!$D2:$D1136,"="&amp;T175, Inventory!$J2:$J1136,"Closed")</f>
        <v>1</v>
      </c>
      <c r="U179" s="20">
        <f>COUNTIFS(Inventory!$D2:$D1136,"="&amp;U175, Inventory!$J2:$J1136,"Closed")</f>
        <v>2</v>
      </c>
      <c r="V179" s="20">
        <f>COUNTIFS(Inventory!$D2:$D1136,"="&amp;V175, Inventory!$J2:$J1136,"Closed")</f>
        <v>3</v>
      </c>
      <c r="W179" s="20">
        <f>COUNTIFS(Inventory!$D2:$D1136,"="&amp;W175, Inventory!$J2:$J1136,"Closed")</f>
        <v>2</v>
      </c>
      <c r="X179" s="20">
        <f>COUNTIFS(Inventory!$D2:$D1136,"="&amp;X175, Inventory!$J2:$J1136,"Closed")</f>
        <v>2</v>
      </c>
      <c r="Y179" s="20">
        <f>COUNTIFS(Inventory!$D2:$D1136,"="&amp;Y175, Inventory!$J2:$J1136,"Closed")</f>
        <v>1</v>
      </c>
      <c r="Z179" s="20">
        <f>COUNTIFS(Inventory!$D2:$D1136,"="&amp;Z175, Inventory!$J2:$J1136,"Closed")</f>
        <v>0</v>
      </c>
      <c r="AA179" s="20">
        <f>COUNTIFS(Inventory!$D2:$D1136,"="&amp;AA175, Inventory!$J2:$J1136,"Closed")</f>
        <v>3</v>
      </c>
      <c r="AB179" s="20">
        <f>COUNTIFS(Inventory!$D2:$D1136,"="&amp;AB175, Inventory!$J2:$J1136,"Closed")</f>
        <v>8</v>
      </c>
      <c r="AC179" s="20">
        <f>COUNTIFS(Inventory!$D2:$D1136,"="&amp;AC175, Inventory!$J2:$J1136,"Closed")</f>
        <v>0</v>
      </c>
      <c r="AD179" s="20">
        <f>COUNTIFS(Inventory!$D2:$D1136,"="&amp;AD175, Inventory!$J2:$J1136,"Closed")</f>
        <v>1</v>
      </c>
      <c r="AE179" s="20">
        <f>COUNTIFS(Inventory!$D2:$D1136,"="&amp;AE175, Inventory!$J2:$J1136,"Closed")</f>
        <v>0</v>
      </c>
      <c r="AG179" s="20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1"/>
      <c r="JX179" s="21"/>
      <c r="JY179" s="21"/>
      <c r="JZ179" s="21"/>
      <c r="KA179" s="21"/>
      <c r="KB179" s="21"/>
      <c r="KC179" s="21"/>
      <c r="KD179" s="21"/>
      <c r="KE179" s="21"/>
      <c r="KF179" s="21"/>
      <c r="KG179" s="21"/>
      <c r="KH179" s="21"/>
      <c r="KI179" s="21"/>
      <c r="KJ179" s="21"/>
      <c r="KK179" s="21"/>
      <c r="KL179" s="21"/>
      <c r="KM179" s="21"/>
      <c r="KN179" s="21"/>
    </row>
    <row r="180" outlineLevel="1" collapsed="1">
      <c r="A180" s="253" t="s">
        <v>10210</v>
      </c>
      <c r="B180" s="255">
        <v>44531.0</v>
      </c>
      <c r="C180" s="255">
        <v>44532.0</v>
      </c>
      <c r="D180" s="255">
        <v>44533.0</v>
      </c>
      <c r="E180" s="255">
        <v>44534.0</v>
      </c>
      <c r="F180" s="255">
        <v>44535.0</v>
      </c>
      <c r="G180" s="255">
        <v>44536.0</v>
      </c>
      <c r="H180" s="255">
        <v>44537.0</v>
      </c>
      <c r="I180" s="255">
        <v>44538.0</v>
      </c>
      <c r="J180" s="255">
        <v>44539.0</v>
      </c>
      <c r="K180" s="255">
        <v>44540.0</v>
      </c>
      <c r="L180" s="255">
        <v>44541.0</v>
      </c>
      <c r="M180" s="255">
        <v>44542.0</v>
      </c>
      <c r="N180" s="255">
        <v>44543.0</v>
      </c>
      <c r="O180" s="255">
        <v>44544.0</v>
      </c>
      <c r="P180" s="255">
        <v>44545.0</v>
      </c>
      <c r="Q180" s="255">
        <v>44546.0</v>
      </c>
      <c r="R180" s="255">
        <v>44547.0</v>
      </c>
      <c r="S180" s="255">
        <v>44548.0</v>
      </c>
      <c r="T180" s="255">
        <v>44549.0</v>
      </c>
      <c r="U180" s="255">
        <v>44550.0</v>
      </c>
      <c r="V180" s="255">
        <v>44551.0</v>
      </c>
      <c r="W180" s="255">
        <v>44552.0</v>
      </c>
      <c r="X180" s="255">
        <v>44553.0</v>
      </c>
      <c r="Y180" s="255">
        <v>44554.0</v>
      </c>
      <c r="Z180" s="255">
        <v>44555.0</v>
      </c>
      <c r="AA180" s="255">
        <v>44556.0</v>
      </c>
      <c r="AB180" s="255">
        <v>44557.0</v>
      </c>
      <c r="AC180" s="255">
        <v>44558.0</v>
      </c>
      <c r="AD180" s="255">
        <v>44559.0</v>
      </c>
      <c r="AE180" s="255">
        <v>44560.0</v>
      </c>
      <c r="AF180" s="255">
        <v>44561.0</v>
      </c>
      <c r="AG180" s="20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1"/>
      <c r="JX180" s="21"/>
      <c r="JY180" s="21"/>
      <c r="JZ180" s="21"/>
      <c r="KA180" s="21"/>
      <c r="KB180" s="21"/>
      <c r="KC180" s="21"/>
      <c r="KD180" s="21"/>
      <c r="KE180" s="21"/>
      <c r="KF180" s="21"/>
      <c r="KG180" s="21"/>
      <c r="KH180" s="21"/>
      <c r="KI180" s="21"/>
      <c r="KJ180" s="21"/>
      <c r="KK180" s="21"/>
      <c r="KL180" s="21"/>
      <c r="KM180" s="21"/>
      <c r="KN180" s="21"/>
    </row>
    <row r="181" hidden="1" outlineLevel="2">
      <c r="A181" s="256" t="s">
        <v>9</v>
      </c>
      <c r="B181" s="20">
        <f>SUMIF(Inventory!$D2:$D1136,"="&amp;B180, Inventory!$F2:$F1136)</f>
        <v>5.74</v>
      </c>
      <c r="C181" s="20">
        <f>SUMIF(Inventory!$D2:$D1136,"="&amp;C180, Inventory!$F2:$F1136)</f>
        <v>4.43</v>
      </c>
      <c r="D181" s="20">
        <f>SUMIF(Inventory!$D2:$D1136,"="&amp;D180, Inventory!$F2:$F1136)</f>
        <v>93.81</v>
      </c>
      <c r="E181" s="20">
        <f>SUMIF(Inventory!$D2:$D1136,"="&amp;E180, Inventory!$F2:$F1136)</f>
        <v>60.11</v>
      </c>
      <c r="F181" s="20">
        <f>SUMIF(Inventory!$D2:$D1136,"="&amp;F180, Inventory!$F2:$F1136)</f>
        <v>21.77</v>
      </c>
      <c r="G181" s="20">
        <f>SUMIF(Inventory!$D2:$D1136,"="&amp;G180, Inventory!$F2:$F1136)</f>
        <v>11.94</v>
      </c>
      <c r="H181" s="20">
        <f>SUMIF(Inventory!$D2:$D1136,"="&amp;H180, Inventory!$F2:$F1136)</f>
        <v>0</v>
      </c>
      <c r="I181" s="20">
        <f>SUMIF(Inventory!$D2:$D1136,"="&amp;I180, Inventory!$F2:$F1136)</f>
        <v>13.59</v>
      </c>
      <c r="J181" s="20">
        <f>SUMIF(Inventory!$D2:$D1136,"="&amp;J180, Inventory!$F2:$F1136)</f>
        <v>0</v>
      </c>
      <c r="K181" s="20">
        <f>SUMIF(Inventory!$D2:$D1136,"="&amp;K180, Inventory!$F2:$F1136)</f>
        <v>15.76</v>
      </c>
      <c r="L181" s="20">
        <f>SUMIF(Inventory!$D2:$D1136,"="&amp;L180, Inventory!$F2:$F1136)</f>
        <v>37.31</v>
      </c>
      <c r="M181" s="20">
        <f>SUMIF(Inventory!$D2:$D1136,"="&amp;M180, Inventory!$F2:$F1136)</f>
        <v>6.91</v>
      </c>
      <c r="N181" s="20">
        <f>SUMIF(Inventory!$D2:$D1136,"="&amp;N180, Inventory!$F2:$F1136)</f>
        <v>53.1</v>
      </c>
      <c r="O181" s="20">
        <f>SUMIF(Inventory!$D2:$D1136,"="&amp;O180, Inventory!$F2:$F1136)</f>
        <v>38.82</v>
      </c>
      <c r="P181" s="20">
        <f>SUMIF(Inventory!$D2:$D1136,"="&amp;P180, Inventory!$F2:$F1136)</f>
        <v>0</v>
      </c>
      <c r="Q181" s="20">
        <f>SUMIF(Inventory!$D2:$D1136,"="&amp;Q180, Inventory!$F2:$F1136)</f>
        <v>15.03</v>
      </c>
      <c r="R181" s="20">
        <f>SUMIF(Inventory!$D2:$D1136,"="&amp;R180, Inventory!$F2:$F1136)</f>
        <v>15.73</v>
      </c>
      <c r="S181" s="20">
        <f>SUMIF(Inventory!$D2:$D1136,"="&amp;S180, Inventory!$F2:$F1136)</f>
        <v>132.5</v>
      </c>
      <c r="T181" s="20">
        <f>SUMIF(Inventory!$D2:$D1136,"="&amp;T180, Inventory!$F2:$F1136)</f>
        <v>16.63</v>
      </c>
      <c r="U181" s="20">
        <f>SUMIF(Inventory!$D2:$D1136,"="&amp;U180, Inventory!$F2:$F1136)</f>
        <v>75.6</v>
      </c>
      <c r="V181" s="20">
        <f>SUMIF(Inventory!$D2:$D1136,"="&amp;V180, Inventory!$F2:$F1136)</f>
        <v>71.9</v>
      </c>
      <c r="W181" s="20">
        <f>SUMIF(Inventory!$D2:$D1136,"="&amp;W180, Inventory!$F2:$F1136)</f>
        <v>15.5</v>
      </c>
      <c r="X181" s="20">
        <f>SUMIF(Inventory!$D2:$D1136,"="&amp;X180, Inventory!$F2:$F1136)</f>
        <v>41.25</v>
      </c>
      <c r="Y181" s="20">
        <f>SUMIF(Inventory!$D2:$D1136,"="&amp;Y180, Inventory!$F2:$F1136)</f>
        <v>48.76</v>
      </c>
      <c r="Z181" s="20">
        <f>SUMIF(Inventory!$D2:$D1136,"="&amp;Z180, Inventory!$F2:$F1136)</f>
        <v>48.62</v>
      </c>
      <c r="AA181" s="20">
        <f>SUMIF(Inventory!$D2:$D1136,"="&amp;AA180, Inventory!$F2:$F1136)</f>
        <v>12.08</v>
      </c>
      <c r="AB181" s="20">
        <f>SUMIF(Inventory!$D2:$D1136,"="&amp;AB180, Inventory!$F2:$F1136)</f>
        <v>17.43</v>
      </c>
      <c r="AC181" s="20">
        <f>SUMIF(Inventory!$D2:$D1136,"="&amp;AC180, Inventory!$F2:$F1136)</f>
        <v>12.28</v>
      </c>
      <c r="AD181" s="20">
        <f>SUMIF(Inventory!$D2:$D1136,"="&amp;AD180, Inventory!$F2:$F1136)</f>
        <v>4.77</v>
      </c>
      <c r="AE181" s="20">
        <f>SUMIF(Inventory!$D2:$D1136,"="&amp;AE180, Inventory!$F2:$F1136)</f>
        <v>13.88</v>
      </c>
      <c r="AF181" s="20">
        <f>SUMIF(Inventory!$D2:$D1136,"="&amp;AF180, Inventory!$F2:$F1136)</f>
        <v>8.86</v>
      </c>
      <c r="AG181" s="20">
        <f t="shared" ref="AG181:AG183" si="73">SUM(B181:AF181)</f>
        <v>914.11</v>
      </c>
      <c r="AH181" s="21">
        <f t="shared" ref="AH181:AH183" si="74">AVERAGE(B181:AF181)</f>
        <v>29.48741935</v>
      </c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1"/>
      <c r="JV181" s="21"/>
      <c r="JW181" s="21"/>
      <c r="JX181" s="21"/>
      <c r="JY181" s="21"/>
      <c r="JZ181" s="21"/>
      <c r="KA181" s="21"/>
      <c r="KB181" s="21"/>
      <c r="KC181" s="21"/>
      <c r="KD181" s="21"/>
      <c r="KE181" s="21"/>
      <c r="KF181" s="21"/>
      <c r="KG181" s="21"/>
      <c r="KH181" s="21"/>
      <c r="KI181" s="21"/>
      <c r="KJ181" s="21"/>
      <c r="KK181" s="21"/>
      <c r="KL181" s="21"/>
      <c r="KM181" s="21"/>
      <c r="KN181" s="21"/>
    </row>
    <row r="182" hidden="1" outlineLevel="2">
      <c r="A182" s="256" t="s">
        <v>10</v>
      </c>
      <c r="B182" s="20">
        <f>SUMIF(Inventory!$D2:$D1136,"="&amp;B180, Inventory!$E2:$E1136)</f>
        <v>0</v>
      </c>
      <c r="C182" s="20">
        <f>SUMIF(Inventory!$D2:$D1136,"="&amp;C180, Inventory!$E2:$E1136)</f>
        <v>3.28</v>
      </c>
      <c r="D182" s="20">
        <f>SUMIF(Inventory!$D2:$D1136,"="&amp;D180, Inventory!$E2:$E1136)</f>
        <v>79.02</v>
      </c>
      <c r="E182" s="20">
        <f>SUMIF(Inventory!$D2:$D1136,"="&amp;E180, Inventory!$E2:$E1136)</f>
        <v>47.13</v>
      </c>
      <c r="F182" s="20">
        <f>SUMIF(Inventory!$D2:$D1136,"="&amp;F180, Inventory!$E2:$E1136)</f>
        <v>13.97</v>
      </c>
      <c r="G182" s="20">
        <f>SUMIF(Inventory!$D2:$D1136,"="&amp;G180, Inventory!$E2:$E1136)</f>
        <v>19.77</v>
      </c>
      <c r="H182" s="20">
        <f>SUMIF(Inventory!$D2:$D1136,"="&amp;H180, Inventory!$E2:$E1136)</f>
        <v>0</v>
      </c>
      <c r="I182" s="20">
        <f>SUMIF(Inventory!$D2:$D1136,"="&amp;I180, Inventory!$E2:$E1136)</f>
        <v>10.42</v>
      </c>
      <c r="J182" s="20">
        <f>SUMIF(Inventory!$D2:$D1136,"="&amp;J180, Inventory!$E2:$E1136)</f>
        <v>0</v>
      </c>
      <c r="K182" s="20">
        <f>SUMIF(Inventory!$D2:$D1136,"="&amp;K180, Inventory!$E2:$E1136)</f>
        <v>13.96</v>
      </c>
      <c r="L182" s="20">
        <f>SUMIF(Inventory!$D2:$D1136,"="&amp;L180, Inventory!$E2:$E1136)</f>
        <v>30.98</v>
      </c>
      <c r="M182" s="20">
        <f>SUMIF(Inventory!$D2:$D1136,"="&amp;M180, Inventory!$E2:$E1136)</f>
        <v>6.02</v>
      </c>
      <c r="N182" s="20">
        <f>SUMIF(Inventory!$D2:$D1136,"="&amp;N180, Inventory!$E2:$E1136)</f>
        <v>43.99</v>
      </c>
      <c r="O182" s="20">
        <f>SUMIF(Inventory!$D2:$D1136,"="&amp;O180, Inventory!$E2:$E1136)</f>
        <v>21</v>
      </c>
      <c r="P182" s="20">
        <f>SUMIF(Inventory!$D2:$D1136,"="&amp;P180, Inventory!$E2:$E1136)</f>
        <v>0</v>
      </c>
      <c r="Q182" s="20">
        <f>SUMIF(Inventory!$D2:$D1136,"="&amp;Q180, Inventory!$E2:$E1136)</f>
        <v>13.71</v>
      </c>
      <c r="R182" s="20">
        <f>SUMIF(Inventory!$D2:$D1136,"="&amp;R180, Inventory!$E2:$E1136)</f>
        <v>14.79</v>
      </c>
      <c r="S182" s="20">
        <f>SUMIF(Inventory!$D2:$D1136,"="&amp;S180, Inventory!$E2:$E1136)</f>
        <v>94.98</v>
      </c>
      <c r="T182" s="20">
        <f>SUMIF(Inventory!$D2:$D1136,"="&amp;T180, Inventory!$E2:$E1136)</f>
        <v>12.94</v>
      </c>
      <c r="U182" s="20">
        <f>SUMIF(Inventory!$D2:$D1136,"="&amp;U180, Inventory!$E2:$E1136)</f>
        <v>63.1</v>
      </c>
      <c r="V182" s="20">
        <f>SUMIF(Inventory!$D2:$D1136,"="&amp;V180, Inventory!$E2:$E1136)</f>
        <v>56.03</v>
      </c>
      <c r="W182" s="20">
        <f>SUMIF(Inventory!$D2:$D1136,"="&amp;W180, Inventory!$E2:$E1136)</f>
        <v>14.71</v>
      </c>
      <c r="X182" s="20">
        <f>SUMIF(Inventory!$D2:$D1136,"="&amp;X180, Inventory!$E2:$E1136)</f>
        <v>34.34</v>
      </c>
      <c r="Y182" s="20">
        <f>SUMIF(Inventory!$D2:$D1136,"="&amp;Y180, Inventory!$E2:$E1136)</f>
        <v>37.43</v>
      </c>
      <c r="Z182" s="20">
        <f>SUMIF(Inventory!$D2:$D1136,"="&amp;Z180, Inventory!$E2:$E1136)</f>
        <v>40.62</v>
      </c>
      <c r="AA182" s="20">
        <f>SUMIF(Inventory!$D2:$D1136,"="&amp;AA180, Inventory!$E2:$E1136)</f>
        <v>6.03</v>
      </c>
      <c r="AB182" s="20">
        <f>SUMIF(Inventory!$D2:$D1136,"="&amp;AB180, Inventory!$E2:$E1136)</f>
        <v>12.63</v>
      </c>
      <c r="AC182" s="20">
        <f>SUMIF(Inventory!$D2:$D1136,"="&amp;AC180, Inventory!$E2:$E1136)</f>
        <v>9.57</v>
      </c>
      <c r="AD182" s="20">
        <f>SUMIF(Inventory!$D2:$D1136,"="&amp;AD180, Inventory!$E2:$E1136)</f>
        <v>4.02</v>
      </c>
      <c r="AE182" s="20">
        <f>SUMIF(Inventory!$D2:$D1136,"="&amp;AE180, Inventory!$E2:$E1136)</f>
        <v>11.59</v>
      </c>
      <c r="AF182" s="20">
        <f>SUMIF(Inventory!$D2:$D1136,"="&amp;AF180, Inventory!$E2:$E1136)</f>
        <v>7.57</v>
      </c>
      <c r="AG182" s="20">
        <f t="shared" si="73"/>
        <v>723.6</v>
      </c>
      <c r="AH182" s="21">
        <f t="shared" si="74"/>
        <v>23.34193548</v>
      </c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  <c r="JO182" s="21"/>
      <c r="JP182" s="21"/>
      <c r="JQ182" s="21"/>
      <c r="JR182" s="21"/>
      <c r="JS182" s="21"/>
      <c r="JT182" s="21"/>
      <c r="JU182" s="21"/>
      <c r="JV182" s="21"/>
      <c r="JW182" s="21"/>
      <c r="JX182" s="21"/>
      <c r="JY182" s="21"/>
      <c r="JZ182" s="21"/>
      <c r="KA182" s="21"/>
      <c r="KB182" s="21"/>
      <c r="KC182" s="21"/>
      <c r="KD182" s="21"/>
      <c r="KE182" s="21"/>
      <c r="KF182" s="21"/>
      <c r="KG182" s="21"/>
      <c r="KH182" s="21"/>
      <c r="KI182" s="21"/>
      <c r="KJ182" s="21"/>
      <c r="KK182" s="21"/>
      <c r="KL182" s="21"/>
      <c r="KM182" s="21"/>
      <c r="KN182" s="21"/>
    </row>
    <row r="183" hidden="1" outlineLevel="2">
      <c r="A183" s="256" t="s">
        <v>11</v>
      </c>
      <c r="B183" s="20">
        <f>SUMIF(Inventory!$D2:$D1136,"="&amp;B180, Inventory!$G2:$G1136)</f>
        <v>5.74</v>
      </c>
      <c r="C183" s="20">
        <f>SUMIF(Inventory!$D2:$D1136,"="&amp;C180, Inventory!$G2:$G1136)</f>
        <v>1.15</v>
      </c>
      <c r="D183" s="20">
        <f>SUMIF(Inventory!$D2:$D1136,"="&amp;D180, Inventory!$G2:$G1136)</f>
        <v>14.79</v>
      </c>
      <c r="E183" s="20">
        <f>SUMIF(Inventory!$D2:$D1136,"="&amp;E180, Inventory!$G2:$G1136)</f>
        <v>12.98</v>
      </c>
      <c r="F183" s="20">
        <f>SUMIF(Inventory!$D2:$D1136,"="&amp;F180, Inventory!$G2:$G1136)</f>
        <v>7.8</v>
      </c>
      <c r="G183" s="20">
        <f>SUMIF(Inventory!$D2:$D1136,"="&amp;G180, Inventory!$G2:$G1136)</f>
        <v>-7.83</v>
      </c>
      <c r="H183" s="20">
        <f>SUMIF(Inventory!$D2:$D1136,"="&amp;H180, Inventory!$G2:$G1136)</f>
        <v>0</v>
      </c>
      <c r="I183" s="20">
        <f>SUMIF(Inventory!$D2:$D1136,"="&amp;I180, Inventory!$G2:$G1136)</f>
        <v>3.17</v>
      </c>
      <c r="J183" s="20">
        <f>SUMIF(Inventory!$D2:$D1136,"="&amp;J180, Inventory!$G2:$G1136)</f>
        <v>0</v>
      </c>
      <c r="K183" s="20">
        <f>SUMIF(Inventory!$D2:$D1136,"="&amp;K180, Inventory!$G2:$G1136)</f>
        <v>1.8</v>
      </c>
      <c r="L183" s="20">
        <f>SUMIF(Inventory!$D2:$D1136,"="&amp;L180, Inventory!$G2:$G1136)</f>
        <v>6.33</v>
      </c>
      <c r="M183" s="20">
        <f>SUMIF(Inventory!$D2:$D1136,"="&amp;M180, Inventory!$G2:$G1136)</f>
        <v>0.89</v>
      </c>
      <c r="N183" s="20">
        <f>SUMIF(Inventory!$D2:$D1136,"="&amp;N180, Inventory!$G2:$G1136)</f>
        <v>9.11</v>
      </c>
      <c r="O183" s="20">
        <f>SUMIF(Inventory!$D2:$D1136,"="&amp;O180, Inventory!$G2:$G1136)</f>
        <v>17.82</v>
      </c>
      <c r="P183" s="20">
        <f>SUMIF(Inventory!$D2:$D1136,"="&amp;P180, Inventory!$G2:$G1136)</f>
        <v>0</v>
      </c>
      <c r="Q183" s="20">
        <f>SUMIF(Inventory!$D2:$D1136,"="&amp;Q180, Inventory!$G2:$G1136)</f>
        <v>1.32</v>
      </c>
      <c r="R183" s="20">
        <f>SUMIF(Inventory!$D2:$D1136,"="&amp;R180, Inventory!$G2:$G1136)</f>
        <v>0.94</v>
      </c>
      <c r="S183" s="20">
        <f>SUMIF(Inventory!$D2:$D1136,"="&amp;S180, Inventory!$G2:$G1136)</f>
        <v>37.52</v>
      </c>
      <c r="T183" s="20">
        <f>SUMIF(Inventory!$D2:$D1136,"="&amp;T180, Inventory!$G2:$G1136)</f>
        <v>3.69</v>
      </c>
      <c r="U183" s="20">
        <f>SUMIF(Inventory!$D2:$D1136,"="&amp;U180, Inventory!$G2:$G1136)</f>
        <v>12.5</v>
      </c>
      <c r="V183" s="20">
        <f>SUMIF(Inventory!$D2:$D1136,"="&amp;V180, Inventory!$G2:$G1136)</f>
        <v>15.87</v>
      </c>
      <c r="W183" s="20">
        <f>SUMIF(Inventory!$D2:$D1136,"="&amp;W180, Inventory!$G2:$G1136)</f>
        <v>0.79</v>
      </c>
      <c r="X183" s="20">
        <f>SUMIF(Inventory!$D2:$D1136,"="&amp;X180, Inventory!$G2:$G1136)</f>
        <v>6.91</v>
      </c>
      <c r="Y183" s="20">
        <f>SUMIF(Inventory!$D2:$D1136,"="&amp;Y180, Inventory!$G2:$G1136)</f>
        <v>11.33</v>
      </c>
      <c r="Z183" s="20">
        <f>SUMIF(Inventory!$D2:$D1136,"="&amp;Z180, Inventory!$G2:$G1136)</f>
        <v>8</v>
      </c>
      <c r="AA183" s="20">
        <f>SUMIF(Inventory!$D2:$D1136,"="&amp;AA180, Inventory!$G2:$G1136)</f>
        <v>6.05</v>
      </c>
      <c r="AB183" s="20">
        <f>SUMIF(Inventory!$D2:$D1136,"="&amp;AB180, Inventory!$G2:$G1136)</f>
        <v>4.8</v>
      </c>
      <c r="AC183" s="20">
        <f>SUMIF(Inventory!$D2:$D1136,"="&amp;AC180, Inventory!$G2:$G1136)</f>
        <v>2.71</v>
      </c>
      <c r="AD183" s="20">
        <f>SUMIF(Inventory!$D2:$D1136,"="&amp;AD180, Inventory!$G2:$G1136)</f>
        <v>0.75</v>
      </c>
      <c r="AE183" s="20">
        <f>SUMIF(Inventory!$D2:$D1136,"="&amp;AE180, Inventory!$G2:$G1136)</f>
        <v>2.29</v>
      </c>
      <c r="AF183" s="20">
        <f>SUMIF(Inventory!$D2:$D1136,"="&amp;AF180, Inventory!$G2:$G1136)</f>
        <v>1.29</v>
      </c>
      <c r="AG183" s="20">
        <f t="shared" si="73"/>
        <v>190.51</v>
      </c>
      <c r="AH183" s="21">
        <f t="shared" si="74"/>
        <v>6.145483871</v>
      </c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  <c r="JO183" s="21"/>
      <c r="JP183" s="21"/>
      <c r="JQ183" s="21"/>
      <c r="JR183" s="21"/>
      <c r="JS183" s="21"/>
      <c r="JT183" s="21"/>
      <c r="JU183" s="21"/>
      <c r="JV183" s="21"/>
      <c r="JW183" s="21"/>
      <c r="JX183" s="21"/>
      <c r="JY183" s="21"/>
      <c r="JZ183" s="21"/>
      <c r="KA183" s="21"/>
      <c r="KB183" s="21"/>
      <c r="KC183" s="21"/>
      <c r="KD183" s="21"/>
      <c r="KE183" s="21"/>
      <c r="KF183" s="21"/>
      <c r="KG183" s="21"/>
      <c r="KH183" s="21"/>
      <c r="KI183" s="21"/>
      <c r="KJ183" s="21"/>
      <c r="KK183" s="21"/>
      <c r="KL183" s="21"/>
      <c r="KM183" s="21"/>
      <c r="KN183" s="21"/>
    </row>
    <row r="184" hidden="1" outlineLevel="2">
      <c r="A184" s="256" t="s">
        <v>10566</v>
      </c>
      <c r="B184" s="20">
        <f>COUNTIFS(Inventory!$D2:$D1136,"="&amp;B180, Inventory!$J2:$J1136,"Closed")</f>
        <v>1</v>
      </c>
      <c r="C184" s="20">
        <f>COUNTIFS(Inventory!$D2:$D1136,"="&amp;C180, Inventory!$J2:$J1136,"Closed")</f>
        <v>1</v>
      </c>
      <c r="D184" s="20">
        <f>COUNTIFS(Inventory!$D2:$D1136,"="&amp;D180, Inventory!$J2:$J1136,"Closed")</f>
        <v>3</v>
      </c>
      <c r="E184" s="20">
        <f>COUNTIFS(Inventory!$D2:$D1136,"="&amp;E180, Inventory!$J2:$J1136,"Closed")</f>
        <v>4</v>
      </c>
      <c r="F184" s="20">
        <f>COUNTIFS(Inventory!$D2:$D1136,"="&amp;F180, Inventory!$J2:$J1136,"Closed")</f>
        <v>3</v>
      </c>
      <c r="G184" s="20">
        <f>COUNTIFS(Inventory!$D2:$D1136,"="&amp;G180, Inventory!$J2:$J1136,"Closed")</f>
        <v>2</v>
      </c>
      <c r="H184" s="20">
        <f>COUNTIFS(Inventory!$D2:$D1136,"="&amp;H180, Inventory!$J2:$J1136,"Closed")</f>
        <v>0</v>
      </c>
      <c r="I184" s="20">
        <f>COUNTIFS(Inventory!$D2:$D1136,"="&amp;I180, Inventory!$J2:$J1136,"Closed")</f>
        <v>1</v>
      </c>
      <c r="J184" s="20">
        <f>COUNTIFS(Inventory!$D2:$D1136,"="&amp;J180, Inventory!$J2:$J1136,"Closed")</f>
        <v>0</v>
      </c>
      <c r="K184" s="20">
        <f>COUNTIFS(Inventory!$D2:$D1136,"="&amp;K180, Inventory!$J2:$J1136,"Closed")</f>
        <v>1</v>
      </c>
      <c r="L184" s="20">
        <f>COUNTIFS(Inventory!$D2:$D1136,"="&amp;L180, Inventory!$J2:$J1136,"Closed")</f>
        <v>5</v>
      </c>
      <c r="M184" s="20">
        <f>COUNTIFS(Inventory!$D2:$D1136,"="&amp;M180, Inventory!$J2:$J1136,"Closed")</f>
        <v>1</v>
      </c>
      <c r="N184" s="20">
        <f>COUNTIFS(Inventory!$D2:$D1136,"="&amp;N180, Inventory!$J2:$J1136,"Closed")</f>
        <v>4</v>
      </c>
      <c r="O184" s="20">
        <f>COUNTIFS(Inventory!$D2:$D1136,"="&amp;O180, Inventory!$J2:$J1136,"Closed")</f>
        <v>2</v>
      </c>
      <c r="P184" s="20">
        <f>COUNTIFS(Inventory!$D2:$D1136,"="&amp;P180, Inventory!$J2:$J1136,"Closed")</f>
        <v>0</v>
      </c>
      <c r="Q184" s="20">
        <f>COUNTIFS(Inventory!$D2:$D1136,"="&amp;Q180, Inventory!$J2:$J1136,"Closed")</f>
        <v>2</v>
      </c>
      <c r="R184" s="20">
        <f>COUNTIFS(Inventory!$D2:$D1136,"="&amp;R180, Inventory!$J2:$J1136,"Closed")</f>
        <v>1</v>
      </c>
      <c r="S184" s="20">
        <f>COUNTIFS(Inventory!$D2:$D1136,"="&amp;S180, Inventory!$J2:$J1136,"Closed")</f>
        <v>6</v>
      </c>
      <c r="T184" s="20">
        <f>COUNTIFS(Inventory!$D2:$D1136,"="&amp;T180, Inventory!$J2:$J1136,"Closed")</f>
        <v>1</v>
      </c>
      <c r="U184" s="20">
        <f>COUNTIFS(Inventory!$D2:$D1136,"="&amp;U180, Inventory!$J2:$J1136,"Closed")</f>
        <v>4</v>
      </c>
      <c r="V184" s="20">
        <f>COUNTIFS(Inventory!$D2:$D1136,"="&amp;V180, Inventory!$J2:$J1136,"Closed")</f>
        <v>7</v>
      </c>
      <c r="W184" s="20">
        <f>COUNTIFS(Inventory!$D2:$D1136,"="&amp;W180, Inventory!$J2:$J1136,"Closed")</f>
        <v>1</v>
      </c>
      <c r="X184" s="20">
        <f>COUNTIFS(Inventory!$D2:$D1136,"="&amp;X180, Inventory!$J2:$J1136,"Closed")</f>
        <v>1</v>
      </c>
      <c r="Y184" s="20">
        <f>COUNTIFS(Inventory!$D2:$D1136,"="&amp;Y180, Inventory!$J2:$J1136,"Closed")</f>
        <v>4</v>
      </c>
      <c r="Z184" s="20">
        <f>COUNTIFS(Inventory!$D2:$D1136,"="&amp;Z180, Inventory!$J2:$J1136,"Closed")</f>
        <v>4</v>
      </c>
      <c r="AA184" s="20">
        <f>COUNTIFS(Inventory!$D2:$D1136,"="&amp;AA180, Inventory!$J2:$J1136,"Closed")</f>
        <v>3</v>
      </c>
      <c r="AB184" s="20">
        <f>COUNTIFS(Inventory!$D2:$D1136,"="&amp;AB180, Inventory!$J2:$J1136,"Closed")</f>
        <v>1</v>
      </c>
      <c r="AC184" s="20">
        <f>COUNTIFS(Inventory!$D2:$D1136,"="&amp;AC180, Inventory!$J2:$J1136,"Closed")</f>
        <v>3</v>
      </c>
      <c r="AD184" s="20">
        <f>COUNTIFS(Inventory!$D2:$D1136,"="&amp;AD180, Inventory!$J2:$J1136,"Closed")</f>
        <v>1</v>
      </c>
      <c r="AE184" s="20">
        <f>COUNTIFS(Inventory!$D2:$D1136,"="&amp;AE180, Inventory!$J2:$J1136,"Closed")</f>
        <v>3</v>
      </c>
      <c r="AF184" s="20">
        <f>COUNTIFS(Inventory!$D2:$D1136,"="&amp;AF180, Inventory!$J2:$J1136,"Closed")</f>
        <v>1</v>
      </c>
      <c r="AG184" s="20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  <c r="JO184" s="21"/>
      <c r="JP184" s="21"/>
      <c r="JQ184" s="21"/>
      <c r="JR184" s="21"/>
      <c r="JS184" s="21"/>
      <c r="JT184" s="21"/>
      <c r="JU184" s="21"/>
      <c r="JV184" s="21"/>
      <c r="JW184" s="21"/>
      <c r="JX184" s="21"/>
      <c r="JY184" s="21"/>
      <c r="JZ184" s="21"/>
      <c r="KA184" s="21"/>
      <c r="KB184" s="21"/>
      <c r="KC184" s="21"/>
      <c r="KD184" s="21"/>
      <c r="KE184" s="21"/>
      <c r="KF184" s="21"/>
      <c r="KG184" s="21"/>
      <c r="KH184" s="21"/>
      <c r="KI184" s="21"/>
      <c r="KJ184" s="21"/>
      <c r="KK184" s="21"/>
      <c r="KL184" s="21"/>
      <c r="KM184" s="21"/>
      <c r="KN184" s="21"/>
    </row>
    <row r="185" outlineLevel="1">
      <c r="A185" s="168"/>
    </row>
    <row r="186" outlineLevel="1">
      <c r="A186" s="168"/>
      <c r="P186" s="257" t="s">
        <v>16</v>
      </c>
      <c r="Q186" s="173">
        <f>SUM(AG126,AG131,AG136,AG141,AG146,AG151,AG156,AG161,AG166,AG171,AG176,AG181)</f>
        <v>5653.09</v>
      </c>
      <c r="S186" s="174">
        <f>AVERAGE(AH126,AH131,AH136,AH141,AH146,AH151,AH156,AH161,AH166,AH171,AH176,AH181)</f>
        <v>15.40879666</v>
      </c>
      <c r="V186" s="257" t="s">
        <v>20</v>
      </c>
      <c r="W186" s="173">
        <f>SUM(AG127,AG132,AG137,AG142,AG147,AG152,AG157,AG162,AG167,AG172,AG177,AG182)</f>
        <v>4199.8</v>
      </c>
      <c r="Y186" s="174">
        <f>AVERAGE(AH127,AH132,AH137,AH142,AH147,AH152,AH157,AH162,AH167,AH172,AH177,AH182)</f>
        <v>11.44102867</v>
      </c>
      <c r="AB186" s="257" t="s">
        <v>24</v>
      </c>
      <c r="AC186" s="173">
        <f>SUM(AG128,AG133,AG138,AG143,AG148,AG153,AG158,AG163,AG168,AG173,AG178,AG183)</f>
        <v>1453.29</v>
      </c>
      <c r="AE186" s="174">
        <f>AVERAGE(AH128,AH133,AH138,AH143,AH148,AH153,AH158,AH163,AH168,AH173,AH178,AH183)</f>
        <v>3.967767985</v>
      </c>
    </row>
    <row r="187">
      <c r="A187" s="168"/>
    </row>
    <row r="188">
      <c r="A188" s="168"/>
    </row>
    <row r="189">
      <c r="A189" s="168"/>
    </row>
    <row r="190">
      <c r="A190" s="76">
        <f t="array" ref="A190:AE190">TRANSPOSE(SEQUENCE(DAY(EOMONTH(TODAY(), 0)), 1, DATE(YEAR(TODAY()), MONTH(TODAY()), 1)))</f>
        <v>46204</v>
      </c>
      <c r="B190" s="76">
        <v>46205.0</v>
      </c>
      <c r="C190" s="76">
        <v>46206.0</v>
      </c>
      <c r="D190" s="76">
        <v>46207.0</v>
      </c>
      <c r="E190" s="76">
        <v>46208.0</v>
      </c>
      <c r="F190" s="76">
        <v>46209.0</v>
      </c>
      <c r="G190" s="76">
        <v>46210.0</v>
      </c>
      <c r="H190" s="76">
        <v>46211.0</v>
      </c>
      <c r="I190" s="76">
        <v>46212.0</v>
      </c>
      <c r="J190" s="76">
        <v>46213.0</v>
      </c>
      <c r="K190" s="76">
        <v>46214.0</v>
      </c>
      <c r="L190" s="76">
        <v>46215.0</v>
      </c>
      <c r="M190" s="76">
        <v>46216.0</v>
      </c>
      <c r="N190" s="76">
        <v>46217.0</v>
      </c>
      <c r="O190" s="76">
        <v>46218.0</v>
      </c>
      <c r="P190" s="76">
        <v>46219.0</v>
      </c>
      <c r="Q190" s="76">
        <v>46220.0</v>
      </c>
      <c r="R190" s="76">
        <v>46221.0</v>
      </c>
      <c r="S190" s="76">
        <v>46222.0</v>
      </c>
      <c r="T190" s="76">
        <v>46223.0</v>
      </c>
      <c r="U190" s="76">
        <v>46224.0</v>
      </c>
      <c r="V190" s="76">
        <v>46225.0</v>
      </c>
      <c r="W190" s="76">
        <v>46226.0</v>
      </c>
      <c r="X190" s="76">
        <v>46227.0</v>
      </c>
      <c r="Y190" s="76">
        <v>46228.0</v>
      </c>
      <c r="Z190" s="76">
        <v>46229.0</v>
      </c>
      <c r="AA190" s="76">
        <v>46230.0</v>
      </c>
      <c r="AB190" s="76">
        <v>46231.0</v>
      </c>
      <c r="AC190" s="23">
        <v>46232.0</v>
      </c>
      <c r="AD190" s="23">
        <v>46233.0</v>
      </c>
      <c r="AE190" s="23">
        <v>46234.0</v>
      </c>
    </row>
    <row r="191">
      <c r="A191" s="76" t="str">
        <f>IFERROR(__xludf.DUMMYFUNCTION("ARRAYFORMULA(IFERROR(VLOOKUP(A190:A220, FILTER({Inventory!D:D, Inventory!G:G}, Inventory!J:J = ""Closed""), 2, FALSE), 0))"),"#REF!")</f>
        <v>#REF!</v>
      </c>
      <c r="B191" s="76" t="str">
        <f>IFERROR(__xludf.DUMMYFUNCTION("ARRAYFORMULA(IFERROR(VLOOKUP(1:1, FILTER({Inventory!E:E, Inventory!H:H}, Inventory!K:K = ""closed""), 2, FALSE), 0))"),"#REF!")</f>
        <v>#REF!</v>
      </c>
      <c r="C191" s="76" t="str">
        <f>IFERROR(__xludf.DUMMYFUNCTION("ARRAYFORMULA(IFERROR(VLOOKUP(1:1, FILTER({Inventory!F:F, Inventory!I:I}, Inventory!L:L = ""closed""), 2, FALSE), 0))"),"#REF!")</f>
        <v>#REF!</v>
      </c>
      <c r="D191" s="76" t="str">
        <f>IFERROR(__xludf.DUMMYFUNCTION("ARRAYFORMULA(IFERROR(VLOOKUP(1:1, FILTER({Inventory!G:G, Inventory!J:J}, Inventory!M:M = ""closed""), 2, FALSE), 0))"),"#REF!")</f>
        <v>#REF!</v>
      </c>
      <c r="E191" s="76" t="str">
        <f>IFERROR(__xludf.DUMMYFUNCTION("ARRAYFORMULA(IFERROR(VLOOKUP(1:1, FILTER({Inventory!H:H, Inventory!K:K}, Inventory!N:N = ""closed""), 2, FALSE), 0))"),"#REF!")</f>
        <v>#REF!</v>
      </c>
      <c r="F191" s="76" t="str">
        <f>IFERROR(__xludf.DUMMYFUNCTION("ARRAYFORMULA(IFERROR(VLOOKUP(1:1, FILTER({Inventory!I:I, Inventory!L:L}, Inventory!O:O = ""closed""), 2, FALSE), 0))"),"#REF!")</f>
        <v>#REF!</v>
      </c>
      <c r="G191" s="76" t="str">
        <f>IFERROR(__xludf.DUMMYFUNCTION("ARRAYFORMULA(IFERROR(VLOOKUP(1:1, FILTER({Inventory!J:J, Inventory!M:M}, Inventory!P:P = ""closed""), 2, FALSE), 0))"),"#REF!")</f>
        <v>#REF!</v>
      </c>
      <c r="H191" s="76" t="str">
        <f>IFERROR(__xludf.DUMMYFUNCTION("ARRAYFORMULA(IFERROR(VLOOKUP(1:1, FILTER({Inventory!K:K, Inventory!N:N}, Inventory!Q:Q = ""closed""), 2, FALSE), 0))"),"#REF!")</f>
        <v>#REF!</v>
      </c>
      <c r="I191" s="76" t="str">
        <f>IFERROR(__xludf.DUMMYFUNCTION("ARRAYFORMULA(IFERROR(VLOOKUP(1:1, FILTER({Inventory!L:L, Inventory!O:O}, Inventory!R:R = ""closed""), 2, FALSE), 0))"),"#REF!")</f>
        <v>#REF!</v>
      </c>
      <c r="J191" s="76" t="str">
        <f>IFERROR(__xludf.DUMMYFUNCTION("ARRAYFORMULA(IFERROR(VLOOKUP(1:1, FILTER({Inventory!M:M, Inventory!P:P}, Inventory!S:S = ""closed""), 2, FALSE), 0))"),"#REF!")</f>
        <v>#REF!</v>
      </c>
      <c r="K191" s="76" t="str">
        <f>IFERROR(__xludf.DUMMYFUNCTION("ARRAYFORMULA(IFERROR(VLOOKUP(1:1, FILTER({Inventory!N:N, Inventory!Q:Q}, Inventory!T:T = ""closed""), 2, FALSE), 0))"),"#REF!")</f>
        <v>#REF!</v>
      </c>
      <c r="L191" s="76" t="str">
        <f>IFERROR(__xludf.DUMMYFUNCTION("ARRAYFORMULA(IFERROR(VLOOKUP(1:1, FILTER({Inventory!O:O, Inventory!R:R}, Inventory!U:U = ""closed""), 2, FALSE), 0))"),"#REF!")</f>
        <v>#REF!</v>
      </c>
      <c r="M191" s="76" t="str">
        <f>IFERROR(__xludf.DUMMYFUNCTION("ARRAYFORMULA(IFERROR(VLOOKUP(1:1, FILTER({Inventory!P:P, Inventory!S:S}, Inventory!V:V = ""closed""), 2, FALSE), 0))"),"#REF!")</f>
        <v>#REF!</v>
      </c>
      <c r="N191" s="76" t="str">
        <f>IFERROR(__xludf.DUMMYFUNCTION("ARRAYFORMULA(IFERROR(VLOOKUP(1:1, FILTER({Inventory!Q:Q, Inventory!T:T}, Inventory!W:W = ""closed""), 2, FALSE), 0))"),"#REF!")</f>
        <v>#REF!</v>
      </c>
      <c r="O191" s="76" t="str">
        <f>IFERROR(__xludf.DUMMYFUNCTION("ARRAYFORMULA(IFERROR(VLOOKUP(1:1, FILTER({Inventory!R:R, Inventory!U:U}, Inventory!X:X = ""closed""), 2, FALSE), 0))"),"#REF!")</f>
        <v>#REF!</v>
      </c>
      <c r="P191" s="76" t="str">
        <f>IFERROR(__xludf.DUMMYFUNCTION("ARRAYFORMULA(IFERROR(VLOOKUP(1:1, FILTER({Inventory!S:S, Inventory!V:V}, Inventory!Y:Y = ""closed""), 2, FALSE), 0))"),"#REF!")</f>
        <v>#REF!</v>
      </c>
      <c r="Q191" s="76" t="str">
        <f>IFERROR(__xludf.DUMMYFUNCTION("ARRAYFORMULA(IFERROR(VLOOKUP(1:1, FILTER({Inventory!T:T, Inventory!W:W}, Inventory!Z:Z = ""closed""), 2, FALSE), 0))"),"#REF!")</f>
        <v>#REF!</v>
      </c>
      <c r="R191" s="76" t="str">
        <f>IFERROR(__xludf.DUMMYFUNCTION("ARRAYFORMULA(IFERROR(VLOOKUP(1:1, FILTER({Inventory!U:U, Inventory!X:X}, Inventory!AA:AA = ""closed""), 2, FALSE), 0))"),"#REF!")</f>
        <v>#REF!</v>
      </c>
      <c r="S191" s="76" t="str">
        <f>IFERROR(__xludf.DUMMYFUNCTION("ARRAYFORMULA(IFERROR(VLOOKUP(1:1, FILTER({Inventory!V:V, Inventory!Y:Y}, Inventory!AB:AB = ""closed""), 2, FALSE), 0))"),"#REF!")</f>
        <v>#REF!</v>
      </c>
      <c r="T191" s="76" t="str">
        <f>IFERROR(__xludf.DUMMYFUNCTION("ARRAYFORMULA(IFERROR(VLOOKUP(1:1, FILTER({Inventory!W:W, Inventory!Z:Z}, Inventory!AC:AC = ""closed""), 2, FALSE), 0))"),"#REF!")</f>
        <v>#REF!</v>
      </c>
      <c r="U191" s="76" t="str">
        <f>IFERROR(__xludf.DUMMYFUNCTION("ARRAYFORMULA(IFERROR(VLOOKUP(1:1, FILTER({Inventory!X:X, Inventory!AA:AA}, Inventory!AD:AD = ""closed""), 2, FALSE), 0))"),"#REF!")</f>
        <v>#REF!</v>
      </c>
      <c r="V191" s="76" t="str">
        <f>IFERROR(__xludf.DUMMYFUNCTION("ARRAYFORMULA(IFERROR(VLOOKUP(1:1, FILTER({Inventory!Y:Y, Inventory!AB:AB}, Inventory!AE:AE = ""closed""), 2, FALSE), 0))"),"#REF!")</f>
        <v>#REF!</v>
      </c>
      <c r="W191" s="76" t="str">
        <f>IFERROR(__xludf.DUMMYFUNCTION("ARRAYFORMULA(IFERROR(VLOOKUP(1:1, FILTER({Inventory!Z:Z, Inventory!AC:AC}, Inventory!AF:AF = ""closed""), 2, FALSE), 0))"),"#REF!")</f>
        <v>#REF!</v>
      </c>
      <c r="X191" s="76" t="str">
        <f>IFERROR(__xludf.DUMMYFUNCTION("ARRAYFORMULA(IFERROR(VLOOKUP(1:1, FILTER({Inventory!AA:AA, Inventory!AD:AD}, Inventory!AG:AG = ""closed""), 2, FALSE), 0))"),"#REF!")</f>
        <v>#REF!</v>
      </c>
      <c r="Y191" s="76" t="str">
        <f>IFERROR(__xludf.DUMMYFUNCTION("ARRAYFORMULA(IFERROR(VLOOKUP(1:1, FILTER({Inventory!AB:AB, Inventory!AE:AE}, Inventory!AH:AH = ""closed""), 2, FALSE), 0))"),"#REF!")</f>
        <v>#REF!</v>
      </c>
      <c r="Z191" s="76" t="str">
        <f>IFERROR(__xludf.DUMMYFUNCTION("ARRAYFORMULA(IFERROR(VLOOKUP(1:1, FILTER({Inventory!AC:AC, Inventory!AF:AF}, Inventory!AI:AI = ""closed""), 2, FALSE), 0))"),"#REF!")</f>
        <v>#REF!</v>
      </c>
      <c r="AA191" s="76" t="str">
        <f>IFERROR(__xludf.DUMMYFUNCTION("ARRAYFORMULA(IFERROR(VLOOKUP(1:1, FILTER({Inventory!AD:AD, Inventory!AG:AG}, Inventory!AJ:AJ = ""closed""), 2, FALSE), 0))"),"#REF!")</f>
        <v>#REF!</v>
      </c>
      <c r="AB191" s="76" t="str">
        <f>IFERROR(__xludf.DUMMYFUNCTION("ARRAYFORMULA(IFERROR(VLOOKUP(1:1, FILTER({Inventory!AE:AE, Inventory!AH:AH}, Inventory!AK:AK = ""closed""), 2, FALSE), 0))"),"#REF!")</f>
        <v>#REF!</v>
      </c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  <c r="IZ191" s="23"/>
      <c r="JA191" s="23"/>
      <c r="JB191" s="23"/>
      <c r="JC191" s="23"/>
      <c r="JD191" s="23"/>
      <c r="JE191" s="23"/>
      <c r="JF191" s="23"/>
      <c r="JG191" s="23"/>
      <c r="JH191" s="23"/>
      <c r="JI191" s="23"/>
      <c r="JJ191" s="23"/>
      <c r="JK191" s="23"/>
      <c r="JL191" s="23"/>
      <c r="JM191" s="23"/>
      <c r="JN191" s="23"/>
      <c r="JO191" s="23"/>
      <c r="JP191" s="23"/>
      <c r="JQ191" s="23"/>
      <c r="JR191" s="23"/>
      <c r="JS191" s="23"/>
      <c r="JT191" s="23"/>
      <c r="JU191" s="23"/>
      <c r="JV191" s="23"/>
      <c r="JW191" s="23"/>
      <c r="JX191" s="23"/>
      <c r="JY191" s="23"/>
      <c r="JZ191" s="23"/>
      <c r="KA191" s="23"/>
      <c r="KB191" s="23"/>
      <c r="KC191" s="23"/>
      <c r="KD191" s="23"/>
      <c r="KE191" s="23"/>
      <c r="KF191" s="23"/>
      <c r="KG191" s="23"/>
      <c r="KH191" s="23"/>
      <c r="KI191" s="23"/>
      <c r="KJ191" s="23"/>
      <c r="KK191" s="23"/>
      <c r="KL191" s="23"/>
      <c r="KM191" s="23"/>
      <c r="KN191" s="23"/>
    </row>
    <row r="192">
      <c r="B192" s="76"/>
    </row>
    <row r="193">
      <c r="B193" s="76"/>
    </row>
    <row r="194">
      <c r="B194" s="76"/>
    </row>
    <row r="195">
      <c r="B195" s="76"/>
    </row>
    <row r="196">
      <c r="B196" s="76"/>
    </row>
    <row r="197">
      <c r="B197" s="76"/>
    </row>
    <row r="198">
      <c r="B198" s="76"/>
    </row>
    <row r="199">
      <c r="B199" s="76"/>
    </row>
    <row r="200">
      <c r="B200" s="76"/>
    </row>
    <row r="201">
      <c r="B201" s="76"/>
    </row>
    <row r="202">
      <c r="B202" s="76"/>
    </row>
    <row r="203">
      <c r="B203" s="76"/>
    </row>
    <row r="204">
      <c r="B204" s="76"/>
    </row>
    <row r="205">
      <c r="B205" s="76"/>
    </row>
    <row r="206">
      <c r="B206" s="76"/>
    </row>
    <row r="207">
      <c r="B207" s="76"/>
    </row>
    <row r="208">
      <c r="B208" s="76"/>
    </row>
    <row r="209">
      <c r="B209" s="76"/>
    </row>
    <row r="210">
      <c r="B210" s="76"/>
    </row>
    <row r="211">
      <c r="B211" s="76"/>
    </row>
    <row r="212">
      <c r="B212" s="76"/>
    </row>
    <row r="213">
      <c r="B213" s="76"/>
    </row>
    <row r="214">
      <c r="B214" s="76"/>
    </row>
    <row r="215">
      <c r="B215" s="76"/>
    </row>
    <row r="216">
      <c r="B216" s="76"/>
    </row>
    <row r="217">
      <c r="B217" s="76"/>
    </row>
  </sheetData>
  <mergeCells count="17">
    <mergeCell ref="Y122:Z122"/>
    <mergeCell ref="AC122:AD122"/>
    <mergeCell ref="Q186:R186"/>
    <mergeCell ref="S186:T186"/>
    <mergeCell ref="W186:X186"/>
    <mergeCell ref="Y186:Z186"/>
    <mergeCell ref="AC186:AD186"/>
    <mergeCell ref="AE186:AF186"/>
    <mergeCell ref="AE122:AF122"/>
    <mergeCell ref="A124:AH124"/>
    <mergeCell ref="A1:AH1"/>
    <mergeCell ref="Q55:R55"/>
    <mergeCell ref="S55:T55"/>
    <mergeCell ref="A60:AH60"/>
    <mergeCell ref="Q122:R122"/>
    <mergeCell ref="S122:T122"/>
    <mergeCell ref="W122:X122"/>
  </mergeCells>
  <conditionalFormatting sqref="B5:AF6 B10:AC11 B64:AF65 B69:AC70 B74:AF75 B79:AE80 B84:AF85 B89:AE90 B94:AF95 B99:AF100 B104:AE105 B109:AF110 B114:AE115 B119:AF120">
    <cfRule type="expression" dxfId="22" priority="1">
      <formula>B5=max($B5:$AF5)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9.75"/>
    <col customWidth="1" min="2" max="2" width="15.88"/>
    <col customWidth="1" min="5" max="5" width="20.75"/>
  </cols>
  <sheetData>
    <row r="1">
      <c r="A1" s="262" t="s">
        <v>10567</v>
      </c>
      <c r="B1" s="263" t="s">
        <v>10568</v>
      </c>
      <c r="C1" s="263" t="s">
        <v>15</v>
      </c>
      <c r="D1" s="263" t="s">
        <v>10569</v>
      </c>
      <c r="E1" s="264" t="s">
        <v>10566</v>
      </c>
      <c r="H1" s="265" t="s">
        <v>10570</v>
      </c>
      <c r="I1" s="266">
        <f>SUM(D3:D215)</f>
        <v>17213.08</v>
      </c>
    </row>
    <row r="2" collapsed="1">
      <c r="A2" s="267">
        <v>2018.0</v>
      </c>
      <c r="H2" s="266"/>
      <c r="K2" s="78"/>
      <c r="L2" s="78"/>
    </row>
    <row r="3" hidden="1" outlineLevel="1">
      <c r="A3" s="268">
        <f>SUM(D3)</f>
        <v>212.82</v>
      </c>
      <c r="B3" s="269" t="s">
        <v>10571</v>
      </c>
      <c r="C3" s="270">
        <v>43448.0</v>
      </c>
      <c r="D3" s="268">
        <v>212.82</v>
      </c>
      <c r="E3" s="269" t="s">
        <v>10572</v>
      </c>
    </row>
    <row r="4" collapsed="1">
      <c r="A4" s="271">
        <v>2019.0</v>
      </c>
      <c r="H4" s="266"/>
    </row>
    <row r="5" hidden="1" outlineLevel="1">
      <c r="A5" s="272">
        <f>SUM(D5:D11)</f>
        <v>505.48</v>
      </c>
      <c r="B5" s="269" t="s">
        <v>10573</v>
      </c>
      <c r="C5" s="270">
        <v>43510.0</v>
      </c>
      <c r="D5" s="268">
        <v>37.73</v>
      </c>
      <c r="E5" s="269" t="s">
        <v>10574</v>
      </c>
    </row>
    <row r="6" hidden="1" outlineLevel="1">
      <c r="B6" s="269" t="s">
        <v>10575</v>
      </c>
      <c r="C6" s="270">
        <v>43564.0</v>
      </c>
      <c r="D6" s="268">
        <v>12.22</v>
      </c>
      <c r="E6" s="269" t="s">
        <v>10576</v>
      </c>
    </row>
    <row r="7" hidden="1" outlineLevel="1">
      <c r="B7" s="269" t="s">
        <v>10577</v>
      </c>
      <c r="C7" s="270">
        <v>43626.0</v>
      </c>
      <c r="D7" s="268">
        <v>304.53</v>
      </c>
      <c r="E7" s="269" t="s">
        <v>10578</v>
      </c>
    </row>
    <row r="8" hidden="1" outlineLevel="1">
      <c r="B8" s="269" t="s">
        <v>10579</v>
      </c>
      <c r="C8" s="270">
        <v>43639.0</v>
      </c>
      <c r="D8" s="268">
        <v>73.1</v>
      </c>
      <c r="E8" s="269" t="s">
        <v>10580</v>
      </c>
    </row>
    <row r="9" hidden="1" outlineLevel="1">
      <c r="B9" s="273" t="s">
        <v>10579</v>
      </c>
      <c r="C9" s="274">
        <v>43743.0</v>
      </c>
      <c r="D9" s="272">
        <v>48.13</v>
      </c>
      <c r="E9" s="273" t="s">
        <v>10581</v>
      </c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</row>
    <row r="10" hidden="1" outlineLevel="1">
      <c r="B10" s="269" t="s">
        <v>10582</v>
      </c>
      <c r="C10" s="270">
        <v>43790.0</v>
      </c>
      <c r="D10" s="268">
        <v>1.38</v>
      </c>
      <c r="E10" s="269" t="s">
        <v>10583</v>
      </c>
    </row>
    <row r="11" hidden="1" outlineLevel="1">
      <c r="B11" s="269" t="s">
        <v>10584</v>
      </c>
      <c r="C11" s="270">
        <v>43795.0</v>
      </c>
      <c r="D11" s="268">
        <v>28.39</v>
      </c>
      <c r="E11" s="269" t="s">
        <v>10585</v>
      </c>
    </row>
    <row r="12" collapsed="1">
      <c r="A12" s="276">
        <v>2020.0</v>
      </c>
    </row>
    <row r="13" hidden="1" outlineLevel="1">
      <c r="A13" s="272">
        <f>SUM(D13:D34)</f>
        <v>1514.31</v>
      </c>
      <c r="B13" s="269" t="s">
        <v>10586</v>
      </c>
      <c r="C13" s="270">
        <v>43894.0</v>
      </c>
      <c r="D13" s="268">
        <v>432.08</v>
      </c>
      <c r="E13" s="269" t="s">
        <v>10587</v>
      </c>
    </row>
    <row r="14" hidden="1" outlineLevel="1">
      <c r="B14" s="78" t="s">
        <v>10579</v>
      </c>
      <c r="C14" s="277">
        <v>44015.0</v>
      </c>
      <c r="D14" s="268">
        <v>52.08</v>
      </c>
      <c r="E14" s="78" t="s">
        <v>10588</v>
      </c>
    </row>
    <row r="15" hidden="1" outlineLevel="1">
      <c r="B15" s="269" t="s">
        <v>10575</v>
      </c>
      <c r="C15" s="277">
        <v>44020.0</v>
      </c>
      <c r="D15" s="278">
        <v>6.0</v>
      </c>
      <c r="E15" s="78" t="s">
        <v>10589</v>
      </c>
    </row>
    <row r="16" hidden="1" outlineLevel="1">
      <c r="B16" s="78" t="s">
        <v>10586</v>
      </c>
      <c r="C16" s="277">
        <v>44045.0</v>
      </c>
      <c r="D16" s="278">
        <v>32.79</v>
      </c>
      <c r="E16" s="78" t="s">
        <v>10590</v>
      </c>
    </row>
    <row r="17" hidden="1" outlineLevel="1">
      <c r="B17" s="78" t="s">
        <v>10591</v>
      </c>
      <c r="C17" s="277">
        <v>44048.0</v>
      </c>
      <c r="D17" s="278">
        <v>133.3</v>
      </c>
      <c r="E17" s="78" t="s">
        <v>10592</v>
      </c>
    </row>
    <row r="18" hidden="1" outlineLevel="1">
      <c r="B18" s="78" t="s">
        <v>10571</v>
      </c>
      <c r="C18" s="277">
        <v>44051.0</v>
      </c>
      <c r="D18" s="278">
        <v>53.41</v>
      </c>
      <c r="E18" s="78" t="s">
        <v>10593</v>
      </c>
    </row>
    <row r="19" hidden="1" outlineLevel="1">
      <c r="B19" s="78" t="s">
        <v>10575</v>
      </c>
      <c r="C19" s="277">
        <v>44068.0</v>
      </c>
      <c r="D19" s="278">
        <v>5.73</v>
      </c>
      <c r="E19" s="78" t="s">
        <v>10594</v>
      </c>
    </row>
    <row r="20" hidden="1" outlineLevel="1">
      <c r="B20" s="78" t="s">
        <v>10595</v>
      </c>
      <c r="C20" s="277">
        <v>44072.0</v>
      </c>
      <c r="D20" s="278">
        <v>29.56</v>
      </c>
      <c r="E20" s="78" t="s">
        <v>10596</v>
      </c>
    </row>
    <row r="21" hidden="1" outlineLevel="1">
      <c r="B21" s="78" t="s">
        <v>10597</v>
      </c>
      <c r="C21" s="277">
        <v>44078.0</v>
      </c>
      <c r="D21" s="278">
        <v>406.72</v>
      </c>
      <c r="E21" s="78" t="s">
        <v>10598</v>
      </c>
    </row>
    <row r="22" hidden="1" outlineLevel="1">
      <c r="B22" s="78" t="s">
        <v>10575</v>
      </c>
      <c r="C22" s="277">
        <v>44081.0</v>
      </c>
      <c r="D22" s="278">
        <v>5.73</v>
      </c>
      <c r="E22" s="78" t="s">
        <v>10598</v>
      </c>
    </row>
    <row r="23" hidden="1" outlineLevel="1">
      <c r="B23" s="78" t="s">
        <v>10599</v>
      </c>
      <c r="C23" s="277">
        <v>44087.0</v>
      </c>
      <c r="D23" s="278">
        <v>54.44</v>
      </c>
      <c r="E23" s="78" t="s">
        <v>10600</v>
      </c>
    </row>
    <row r="24" hidden="1" outlineLevel="1">
      <c r="B24" s="279" t="s">
        <v>10601</v>
      </c>
      <c r="C24" s="277">
        <v>44132.0</v>
      </c>
      <c r="D24" s="278">
        <v>49.98</v>
      </c>
      <c r="E24" s="78" t="s">
        <v>10602</v>
      </c>
    </row>
    <row r="25" hidden="1" outlineLevel="1">
      <c r="B25" s="78" t="s">
        <v>10603</v>
      </c>
      <c r="C25" s="277">
        <v>44122.0</v>
      </c>
      <c r="D25" s="278">
        <v>2.22</v>
      </c>
      <c r="E25" s="78" t="s">
        <v>10604</v>
      </c>
    </row>
    <row r="26" hidden="1" outlineLevel="1">
      <c r="B26" s="78" t="s">
        <v>10579</v>
      </c>
      <c r="C26" s="277">
        <v>44146.0</v>
      </c>
      <c r="D26" s="278">
        <v>47.93</v>
      </c>
      <c r="E26" s="78" t="s">
        <v>10605</v>
      </c>
    </row>
    <row r="27" hidden="1" outlineLevel="1">
      <c r="B27" s="78" t="s">
        <v>10579</v>
      </c>
      <c r="C27" s="277">
        <v>44146.0</v>
      </c>
      <c r="D27" s="278">
        <v>34.06</v>
      </c>
      <c r="E27" s="78" t="s">
        <v>10606</v>
      </c>
    </row>
    <row r="28" hidden="1" outlineLevel="1">
      <c r="B28" s="78" t="s">
        <v>10607</v>
      </c>
      <c r="C28" s="277">
        <v>44155.0</v>
      </c>
      <c r="D28" s="278">
        <v>17.63</v>
      </c>
      <c r="E28" s="78" t="s">
        <v>10608</v>
      </c>
    </row>
    <row r="29" hidden="1" outlineLevel="1">
      <c r="B29" s="78" t="s">
        <v>10582</v>
      </c>
      <c r="C29" s="277">
        <v>44155.0</v>
      </c>
      <c r="D29" s="278">
        <v>1.04</v>
      </c>
      <c r="E29" s="78" t="s">
        <v>10609</v>
      </c>
    </row>
    <row r="30" hidden="1" outlineLevel="1">
      <c r="B30" s="78" t="s">
        <v>10610</v>
      </c>
      <c r="C30" s="277">
        <v>44162.0</v>
      </c>
      <c r="D30" s="278">
        <v>4.38</v>
      </c>
      <c r="E30" s="78" t="s">
        <v>10611</v>
      </c>
    </row>
    <row r="31" hidden="1" outlineLevel="1">
      <c r="B31" s="78" t="s">
        <v>10612</v>
      </c>
      <c r="C31" s="277">
        <v>44166.0</v>
      </c>
      <c r="D31" s="278">
        <v>44.03</v>
      </c>
      <c r="E31" s="78" t="s">
        <v>10613</v>
      </c>
    </row>
    <row r="32" hidden="1" outlineLevel="1">
      <c r="B32" s="78" t="s">
        <v>10612</v>
      </c>
      <c r="C32" s="277">
        <v>44166.0</v>
      </c>
      <c r="D32" s="278">
        <v>44.03</v>
      </c>
      <c r="E32" s="78" t="s">
        <v>10613</v>
      </c>
    </row>
    <row r="33" hidden="1" outlineLevel="1">
      <c r="B33" s="78" t="s">
        <v>10575</v>
      </c>
      <c r="C33" s="277">
        <v>44181.0</v>
      </c>
      <c r="D33" s="278">
        <v>7.74</v>
      </c>
      <c r="E33" s="78" t="s">
        <v>10614</v>
      </c>
    </row>
    <row r="34" hidden="1" outlineLevel="1">
      <c r="B34" s="78" t="s">
        <v>10615</v>
      </c>
      <c r="C34" s="277">
        <v>44194.0</v>
      </c>
      <c r="D34" s="278">
        <v>49.43</v>
      </c>
      <c r="E34" s="78" t="s">
        <v>10616</v>
      </c>
    </row>
    <row r="35" collapsed="1">
      <c r="A35" s="280">
        <v>2021.0</v>
      </c>
    </row>
    <row r="36" hidden="1" outlineLevel="1">
      <c r="A36" s="272">
        <f>SUM(D36:D64)</f>
        <v>1298.22</v>
      </c>
      <c r="B36" s="78" t="s">
        <v>10610</v>
      </c>
      <c r="C36" s="277">
        <v>44203.0</v>
      </c>
      <c r="D36" s="278">
        <v>4.25</v>
      </c>
      <c r="E36" s="78" t="s">
        <v>10611</v>
      </c>
    </row>
    <row r="37" hidden="1" outlineLevel="1">
      <c r="B37" s="78" t="s">
        <v>10571</v>
      </c>
      <c r="C37" s="277">
        <v>44204.0</v>
      </c>
      <c r="D37" s="278">
        <v>37.32</v>
      </c>
      <c r="E37" s="78" t="s">
        <v>10617</v>
      </c>
    </row>
    <row r="38" hidden="1" outlineLevel="1">
      <c r="B38" s="78" t="s">
        <v>10610</v>
      </c>
      <c r="C38" s="277">
        <v>44212.0</v>
      </c>
      <c r="D38" s="278">
        <v>4.31</v>
      </c>
      <c r="E38" s="78" t="s">
        <v>10611</v>
      </c>
    </row>
    <row r="39" hidden="1" outlineLevel="1">
      <c r="B39" s="78" t="s">
        <v>10618</v>
      </c>
      <c r="C39" s="277">
        <v>44252.0</v>
      </c>
      <c r="D39" s="278">
        <v>59.12</v>
      </c>
      <c r="E39" s="78" t="s">
        <v>10619</v>
      </c>
    </row>
    <row r="40" hidden="1" outlineLevel="1">
      <c r="B40" s="78" t="s">
        <v>10620</v>
      </c>
      <c r="C40" s="277">
        <v>44253.0</v>
      </c>
      <c r="D40" s="278">
        <v>59.2</v>
      </c>
      <c r="E40" s="78" t="s">
        <v>10621</v>
      </c>
    </row>
    <row r="41" hidden="1" outlineLevel="1">
      <c r="B41" s="78" t="s">
        <v>10622</v>
      </c>
      <c r="C41" s="277">
        <v>44258.0</v>
      </c>
      <c r="D41" s="278">
        <v>405.53</v>
      </c>
      <c r="E41" s="78" t="s">
        <v>10623</v>
      </c>
    </row>
    <row r="42" hidden="1" outlineLevel="1">
      <c r="B42" s="78" t="s">
        <v>10579</v>
      </c>
      <c r="C42" s="277">
        <v>44261.0</v>
      </c>
      <c r="D42" s="278">
        <v>62.54</v>
      </c>
      <c r="E42" s="78" t="s">
        <v>10624</v>
      </c>
    </row>
    <row r="43" hidden="1" outlineLevel="1">
      <c r="B43" s="78" t="s">
        <v>10575</v>
      </c>
      <c r="C43" s="277">
        <v>44267.0</v>
      </c>
      <c r="D43" s="278">
        <v>4.28</v>
      </c>
      <c r="E43" s="78" t="s">
        <v>10625</v>
      </c>
    </row>
    <row r="44" hidden="1" outlineLevel="1">
      <c r="B44" s="78" t="s">
        <v>10626</v>
      </c>
      <c r="C44" s="277">
        <v>44293.0</v>
      </c>
      <c r="D44" s="278">
        <v>7.4</v>
      </c>
      <c r="E44" s="78" t="s">
        <v>10627</v>
      </c>
    </row>
    <row r="45" hidden="1" outlineLevel="1">
      <c r="B45" s="78" t="s">
        <v>10628</v>
      </c>
      <c r="C45" s="277">
        <v>44295.0</v>
      </c>
      <c r="D45" s="278">
        <v>62.36</v>
      </c>
      <c r="E45" s="78" t="s">
        <v>10629</v>
      </c>
    </row>
    <row r="46" hidden="1" outlineLevel="1">
      <c r="B46" s="281" t="s">
        <v>10630</v>
      </c>
      <c r="C46" s="277">
        <v>44315.0</v>
      </c>
      <c r="D46" s="278">
        <v>52.52</v>
      </c>
      <c r="E46" s="78" t="s">
        <v>10631</v>
      </c>
    </row>
    <row r="47" hidden="1" outlineLevel="1">
      <c r="B47" s="78" t="s">
        <v>10579</v>
      </c>
      <c r="C47" s="277">
        <v>44329.0</v>
      </c>
      <c r="D47" s="278">
        <v>51.77</v>
      </c>
      <c r="E47" s="78" t="s">
        <v>10632</v>
      </c>
    </row>
    <row r="48" hidden="1" outlineLevel="1">
      <c r="B48" s="78" t="s">
        <v>10633</v>
      </c>
      <c r="C48" s="277">
        <v>44350.0</v>
      </c>
      <c r="D48" s="278">
        <v>31.73</v>
      </c>
      <c r="E48" s="78" t="s">
        <v>10634</v>
      </c>
    </row>
    <row r="49" hidden="1" outlineLevel="1">
      <c r="B49" s="78" t="s">
        <v>10612</v>
      </c>
      <c r="C49" s="277">
        <v>44357.0</v>
      </c>
      <c r="D49" s="278">
        <v>69.33</v>
      </c>
      <c r="E49" s="78" t="s">
        <v>10635</v>
      </c>
    </row>
    <row r="50" hidden="1" outlineLevel="1">
      <c r="B50" s="78" t="s">
        <v>10636</v>
      </c>
      <c r="C50" s="277">
        <v>44368.0</v>
      </c>
      <c r="D50" s="278">
        <v>172.35</v>
      </c>
      <c r="E50" s="78" t="s">
        <v>10637</v>
      </c>
    </row>
    <row r="51" hidden="1" outlineLevel="1">
      <c r="B51" s="78" t="s">
        <v>21</v>
      </c>
      <c r="C51" s="277">
        <v>44375.0</v>
      </c>
      <c r="D51" s="278">
        <v>7.73</v>
      </c>
      <c r="E51" s="78" t="s">
        <v>10638</v>
      </c>
    </row>
    <row r="52" hidden="1" outlineLevel="1">
      <c r="B52" s="78" t="s">
        <v>10639</v>
      </c>
      <c r="C52" s="277">
        <v>44397.0</v>
      </c>
      <c r="D52" s="278">
        <v>11.8</v>
      </c>
      <c r="E52" s="78" t="s">
        <v>10640</v>
      </c>
    </row>
    <row r="53" hidden="1" outlineLevel="1">
      <c r="B53" s="281" t="s">
        <v>10641</v>
      </c>
      <c r="C53" s="277">
        <v>44404.0</v>
      </c>
      <c r="D53" s="278">
        <v>16.46</v>
      </c>
      <c r="E53" s="78" t="s">
        <v>10642</v>
      </c>
    </row>
    <row r="54" hidden="1" outlineLevel="1">
      <c r="B54" s="78" t="s">
        <v>21</v>
      </c>
      <c r="C54" s="277">
        <v>44438.0</v>
      </c>
      <c r="D54" s="278">
        <v>11.59</v>
      </c>
      <c r="E54" s="78" t="s">
        <v>10640</v>
      </c>
    </row>
    <row r="55" hidden="1" outlineLevel="1">
      <c r="B55" s="78" t="s">
        <v>21</v>
      </c>
      <c r="C55" s="277">
        <v>44438.0</v>
      </c>
      <c r="D55" s="278">
        <v>11.6</v>
      </c>
      <c r="E55" s="78" t="s">
        <v>10640</v>
      </c>
    </row>
    <row r="56" hidden="1" outlineLevel="1">
      <c r="B56" s="78" t="s">
        <v>10643</v>
      </c>
      <c r="C56" s="277">
        <v>44464.0</v>
      </c>
      <c r="D56" s="278">
        <v>9.2</v>
      </c>
      <c r="E56" s="78" t="s">
        <v>10644</v>
      </c>
    </row>
    <row r="57" hidden="1" outlineLevel="1">
      <c r="B57" s="78" t="s">
        <v>21</v>
      </c>
      <c r="C57" s="277">
        <v>44498.0</v>
      </c>
      <c r="D57" s="278">
        <v>7.11</v>
      </c>
      <c r="E57" s="78" t="s">
        <v>10638</v>
      </c>
    </row>
    <row r="58" hidden="1" outlineLevel="1">
      <c r="B58" s="78" t="s">
        <v>10645</v>
      </c>
      <c r="C58" s="277">
        <v>44517.0</v>
      </c>
      <c r="D58" s="278">
        <v>9.62</v>
      </c>
      <c r="E58" s="78" t="s">
        <v>10646</v>
      </c>
    </row>
    <row r="59" hidden="1" outlineLevel="1">
      <c r="B59" s="78" t="s">
        <v>10647</v>
      </c>
      <c r="C59" s="277">
        <v>44525.0</v>
      </c>
      <c r="D59" s="278">
        <v>58.02</v>
      </c>
      <c r="E59" s="78" t="s">
        <v>10648</v>
      </c>
    </row>
    <row r="60" hidden="1" outlineLevel="1">
      <c r="B60" s="78" t="s">
        <v>10649</v>
      </c>
      <c r="C60" s="277">
        <v>44525.0</v>
      </c>
      <c r="D60" s="278">
        <v>31.94</v>
      </c>
      <c r="E60" s="78" t="s">
        <v>10649</v>
      </c>
    </row>
    <row r="61" hidden="1" outlineLevel="1">
      <c r="B61" s="78" t="s">
        <v>21</v>
      </c>
      <c r="C61" s="277">
        <v>44531.0</v>
      </c>
      <c r="D61" s="278">
        <v>9.62</v>
      </c>
      <c r="E61" s="78" t="s">
        <v>10640</v>
      </c>
    </row>
    <row r="62" hidden="1" outlineLevel="1">
      <c r="B62" s="78" t="s">
        <v>10650</v>
      </c>
      <c r="C62" s="277">
        <v>44532.0</v>
      </c>
      <c r="D62" s="278">
        <v>14.67</v>
      </c>
      <c r="E62" s="78" t="s">
        <v>10651</v>
      </c>
    </row>
    <row r="63" hidden="1" outlineLevel="1">
      <c r="B63" s="78" t="s">
        <v>21</v>
      </c>
      <c r="C63" s="277">
        <v>44545.0</v>
      </c>
      <c r="D63" s="278">
        <v>8.25</v>
      </c>
      <c r="E63" s="78" t="s">
        <v>10640</v>
      </c>
    </row>
    <row r="64" hidden="1" outlineLevel="1">
      <c r="B64" s="78" t="s">
        <v>21</v>
      </c>
      <c r="C64" s="277">
        <v>44554.0</v>
      </c>
      <c r="D64" s="278">
        <v>6.6</v>
      </c>
      <c r="E64" s="78" t="s">
        <v>10640</v>
      </c>
    </row>
    <row r="65" collapsed="1">
      <c r="A65" s="282">
        <v>2022.0</v>
      </c>
    </row>
    <row r="66" hidden="1" outlineLevel="1">
      <c r="A66" s="272">
        <f>SUM(D66:D99)</f>
        <v>1333.87</v>
      </c>
      <c r="B66" s="78" t="s">
        <v>21</v>
      </c>
      <c r="C66" s="277">
        <v>44565.0</v>
      </c>
      <c r="D66" s="278">
        <v>1.03</v>
      </c>
      <c r="E66" s="78" t="s">
        <v>10652</v>
      </c>
    </row>
    <row r="67" hidden="1" outlineLevel="1">
      <c r="B67" s="78" t="s">
        <v>18</v>
      </c>
      <c r="C67" s="277">
        <v>44577.0</v>
      </c>
      <c r="D67" s="278">
        <v>7.6</v>
      </c>
      <c r="E67" s="78" t="s">
        <v>10640</v>
      </c>
    </row>
    <row r="68" hidden="1" outlineLevel="1">
      <c r="B68" s="78" t="s">
        <v>10579</v>
      </c>
      <c r="C68" s="277">
        <v>44585.0</v>
      </c>
      <c r="D68" s="278">
        <v>64.95</v>
      </c>
      <c r="E68" s="78" t="s">
        <v>10653</v>
      </c>
    </row>
    <row r="69" hidden="1" outlineLevel="1">
      <c r="B69" s="78" t="s">
        <v>10654</v>
      </c>
      <c r="C69" s="277">
        <v>44596.0</v>
      </c>
      <c r="D69" s="278">
        <v>40.83</v>
      </c>
      <c r="E69" s="78" t="s">
        <v>10655</v>
      </c>
    </row>
    <row r="70" hidden="1" outlineLevel="1">
      <c r="B70" s="78" t="s">
        <v>10656</v>
      </c>
      <c r="C70" s="277">
        <v>44617.0</v>
      </c>
      <c r="D70" s="278">
        <v>2.35</v>
      </c>
      <c r="E70" s="78" t="s">
        <v>10657</v>
      </c>
    </row>
    <row r="71" hidden="1" outlineLevel="1">
      <c r="B71" s="78" t="s">
        <v>10597</v>
      </c>
      <c r="C71" s="277">
        <v>44619.0</v>
      </c>
      <c r="D71" s="278">
        <v>42.24</v>
      </c>
      <c r="E71" s="78" t="s">
        <v>10658</v>
      </c>
    </row>
    <row r="72" hidden="1" outlineLevel="1">
      <c r="B72" s="78" t="s">
        <v>10579</v>
      </c>
      <c r="C72" s="277">
        <v>44642.0</v>
      </c>
      <c r="D72" s="278">
        <v>4.8</v>
      </c>
      <c r="E72" s="78" t="s">
        <v>10659</v>
      </c>
    </row>
    <row r="73" hidden="1" outlineLevel="1">
      <c r="B73" s="78" t="s">
        <v>10656</v>
      </c>
      <c r="C73" s="277">
        <v>44645.0</v>
      </c>
      <c r="D73" s="278">
        <v>2.35</v>
      </c>
      <c r="E73" s="78" t="s">
        <v>10657</v>
      </c>
    </row>
    <row r="74" hidden="1" outlineLevel="1">
      <c r="B74" s="78" t="s">
        <v>10575</v>
      </c>
      <c r="C74" s="277">
        <v>44657.0</v>
      </c>
      <c r="D74" s="278">
        <v>8.59</v>
      </c>
      <c r="E74" s="78" t="s">
        <v>10660</v>
      </c>
    </row>
    <row r="75" hidden="1" outlineLevel="1">
      <c r="B75" s="78" t="s">
        <v>10650</v>
      </c>
      <c r="C75" s="277">
        <v>44684.0</v>
      </c>
      <c r="D75" s="278">
        <v>15.81</v>
      </c>
      <c r="E75" s="78" t="s">
        <v>10651</v>
      </c>
    </row>
    <row r="76" hidden="1" outlineLevel="1">
      <c r="B76" s="78" t="s">
        <v>10661</v>
      </c>
      <c r="C76" s="277">
        <v>44685.0</v>
      </c>
      <c r="D76" s="278">
        <v>53.35</v>
      </c>
      <c r="E76" s="78" t="s">
        <v>10662</v>
      </c>
    </row>
    <row r="77" hidden="1" outlineLevel="1">
      <c r="B77" s="78" t="s">
        <v>10661</v>
      </c>
      <c r="C77" s="277">
        <v>44714.0</v>
      </c>
      <c r="D77" s="278">
        <v>81.1</v>
      </c>
      <c r="E77" s="78" t="s">
        <v>10663</v>
      </c>
    </row>
    <row r="78" hidden="1" outlineLevel="1">
      <c r="B78" s="78" t="s">
        <v>10656</v>
      </c>
      <c r="C78" s="277">
        <v>44714.0</v>
      </c>
      <c r="D78" s="278">
        <v>2.35</v>
      </c>
      <c r="E78" s="78" t="s">
        <v>10657</v>
      </c>
    </row>
    <row r="79" hidden="1" outlineLevel="1">
      <c r="B79" s="78" t="s">
        <v>10612</v>
      </c>
      <c r="C79" s="277">
        <v>44722.0</v>
      </c>
      <c r="D79" s="278">
        <v>30.0</v>
      </c>
      <c r="E79" s="78" t="s">
        <v>10635</v>
      </c>
    </row>
    <row r="80" hidden="1" outlineLevel="1">
      <c r="B80" s="78" t="s">
        <v>10664</v>
      </c>
      <c r="C80" s="277">
        <v>44722.0</v>
      </c>
      <c r="D80" s="278">
        <v>4.9</v>
      </c>
      <c r="E80" s="78" t="s">
        <v>10665</v>
      </c>
    </row>
    <row r="81" hidden="1" outlineLevel="1">
      <c r="B81" s="78" t="s">
        <v>21</v>
      </c>
      <c r="C81" s="277">
        <v>44733.0</v>
      </c>
      <c r="D81" s="278">
        <v>6.33</v>
      </c>
      <c r="E81" s="78" t="s">
        <v>10666</v>
      </c>
    </row>
    <row r="82" hidden="1" outlineLevel="1">
      <c r="B82" s="78" t="s">
        <v>10612</v>
      </c>
      <c r="C82" s="277">
        <v>44739.0</v>
      </c>
      <c r="D82" s="278">
        <v>80.78</v>
      </c>
      <c r="E82" s="78" t="s">
        <v>10635</v>
      </c>
    </row>
    <row r="83" hidden="1" outlineLevel="1">
      <c r="B83" s="78" t="s">
        <v>10656</v>
      </c>
      <c r="C83" s="277">
        <v>44746.0</v>
      </c>
      <c r="D83" s="278">
        <v>2.35</v>
      </c>
      <c r="E83" s="78" t="s">
        <v>10657</v>
      </c>
    </row>
    <row r="84" hidden="1" outlineLevel="1">
      <c r="B84" s="281" t="s">
        <v>10667</v>
      </c>
      <c r="C84" s="277">
        <v>44746.0</v>
      </c>
      <c r="D84" s="278">
        <v>76.27</v>
      </c>
      <c r="E84" s="78" t="s">
        <v>10668</v>
      </c>
    </row>
    <row r="85" hidden="1" outlineLevel="1">
      <c r="B85" s="78" t="s">
        <v>10669</v>
      </c>
      <c r="C85" s="277">
        <v>44755.0</v>
      </c>
      <c r="D85" s="278">
        <v>3.0</v>
      </c>
      <c r="E85" s="78" t="s">
        <v>10670</v>
      </c>
    </row>
    <row r="86" hidden="1" outlineLevel="1">
      <c r="B86" s="78" t="s">
        <v>10671</v>
      </c>
      <c r="C86" s="277">
        <v>44756.0</v>
      </c>
      <c r="D86" s="278">
        <v>104.94</v>
      </c>
      <c r="E86" s="78" t="s">
        <v>10672</v>
      </c>
    </row>
    <row r="87" hidden="1" outlineLevel="1">
      <c r="B87" s="78" t="s">
        <v>25</v>
      </c>
      <c r="C87" s="277">
        <v>44762.0</v>
      </c>
      <c r="D87" s="278">
        <v>6.49</v>
      </c>
      <c r="E87" s="78" t="s">
        <v>10640</v>
      </c>
    </row>
    <row r="88" hidden="1" outlineLevel="1">
      <c r="B88" s="78" t="s">
        <v>10673</v>
      </c>
      <c r="C88" s="277">
        <v>44797.0</v>
      </c>
      <c r="D88" s="278">
        <v>393.56</v>
      </c>
      <c r="E88" s="78" t="s">
        <v>10674</v>
      </c>
    </row>
    <row r="89" hidden="1" outlineLevel="1">
      <c r="B89" s="78" t="s">
        <v>21</v>
      </c>
      <c r="C89" s="277">
        <v>44797.0</v>
      </c>
      <c r="D89" s="278">
        <v>16.48</v>
      </c>
      <c r="E89" s="78" t="s">
        <v>10675</v>
      </c>
    </row>
    <row r="90" hidden="1" outlineLevel="1">
      <c r="B90" s="78" t="s">
        <v>10676</v>
      </c>
      <c r="C90" s="277">
        <v>44807.0</v>
      </c>
      <c r="D90" s="278">
        <v>6.77</v>
      </c>
      <c r="E90" s="78" t="s">
        <v>10640</v>
      </c>
    </row>
    <row r="91" hidden="1" outlineLevel="1">
      <c r="B91" s="78" t="s">
        <v>25</v>
      </c>
      <c r="C91" s="277">
        <v>44814.0</v>
      </c>
      <c r="D91" s="278">
        <v>1.99</v>
      </c>
      <c r="E91" s="78" t="s">
        <v>10657</v>
      </c>
    </row>
    <row r="92" hidden="1" outlineLevel="1">
      <c r="B92" s="78" t="s">
        <v>18</v>
      </c>
      <c r="C92" s="277">
        <v>44823.0</v>
      </c>
      <c r="D92" s="278">
        <v>12.62</v>
      </c>
      <c r="E92" s="78" t="s">
        <v>10677</v>
      </c>
    </row>
    <row r="93" hidden="1" outlineLevel="1">
      <c r="B93" s="78" t="s">
        <v>18</v>
      </c>
      <c r="C93" s="277">
        <v>44843.0</v>
      </c>
      <c r="D93" s="278">
        <v>9.29</v>
      </c>
      <c r="E93" s="78" t="s">
        <v>10678</v>
      </c>
    </row>
    <row r="94" hidden="1" outlineLevel="1">
      <c r="B94" s="78" t="s">
        <v>10612</v>
      </c>
      <c r="C94" s="277">
        <v>44860.0</v>
      </c>
      <c r="D94" s="278">
        <v>85.67</v>
      </c>
      <c r="E94" s="78" t="s">
        <v>10679</v>
      </c>
    </row>
    <row r="95" hidden="1" outlineLevel="1">
      <c r="B95" s="78" t="s">
        <v>25</v>
      </c>
      <c r="C95" s="277">
        <v>44875.0</v>
      </c>
      <c r="D95" s="278">
        <v>2.35</v>
      </c>
      <c r="E95" s="78" t="s">
        <v>10657</v>
      </c>
    </row>
    <row r="96" hidden="1" outlineLevel="1">
      <c r="B96" s="78" t="s">
        <v>10647</v>
      </c>
      <c r="C96" s="277">
        <v>44890.0</v>
      </c>
      <c r="D96" s="278">
        <v>70.63</v>
      </c>
      <c r="E96" s="78" t="s">
        <v>10648</v>
      </c>
    </row>
    <row r="97" hidden="1" outlineLevel="1">
      <c r="B97" s="78" t="s">
        <v>10649</v>
      </c>
      <c r="C97" s="277">
        <v>44890.0</v>
      </c>
      <c r="D97" s="278">
        <v>39.95</v>
      </c>
      <c r="E97" s="78" t="s">
        <v>10649</v>
      </c>
    </row>
    <row r="98" hidden="1" outlineLevel="1">
      <c r="B98" s="78" t="s">
        <v>25</v>
      </c>
      <c r="C98" s="277">
        <v>44905.0</v>
      </c>
      <c r="D98" s="278">
        <v>2.35</v>
      </c>
      <c r="E98" s="78" t="s">
        <v>10657</v>
      </c>
    </row>
    <row r="99" hidden="1" outlineLevel="1">
      <c r="B99" s="78" t="s">
        <v>10680</v>
      </c>
      <c r="C99" s="277">
        <v>44912.0</v>
      </c>
      <c r="D99" s="278">
        <v>49.8</v>
      </c>
      <c r="E99" s="78" t="s">
        <v>10681</v>
      </c>
    </row>
    <row r="100" collapsed="1">
      <c r="A100" s="282">
        <v>2023.0</v>
      </c>
    </row>
    <row r="101" hidden="1" outlineLevel="1">
      <c r="A101" s="272">
        <f>SUM(D101:D130)</f>
        <v>1973.58</v>
      </c>
      <c r="B101" s="78" t="s">
        <v>25</v>
      </c>
      <c r="C101" s="277">
        <v>44936.0</v>
      </c>
      <c r="D101" s="278">
        <v>2.35</v>
      </c>
      <c r="E101" s="78" t="s">
        <v>10657</v>
      </c>
    </row>
    <row r="102" hidden="1" outlineLevel="1">
      <c r="B102" s="78" t="s">
        <v>10682</v>
      </c>
      <c r="C102" s="277">
        <v>44938.0</v>
      </c>
      <c r="D102" s="278">
        <v>109.99</v>
      </c>
      <c r="E102" s="78" t="s">
        <v>10683</v>
      </c>
    </row>
    <row r="103" hidden="1" outlineLevel="1">
      <c r="B103" s="78" t="s">
        <v>10684</v>
      </c>
      <c r="C103" s="277">
        <v>44952.0</v>
      </c>
      <c r="D103" s="278">
        <v>49.9</v>
      </c>
      <c r="E103" s="78" t="s">
        <v>10685</v>
      </c>
    </row>
    <row r="104" hidden="1" outlineLevel="1">
      <c r="B104" s="78" t="s">
        <v>25</v>
      </c>
      <c r="C104" s="277">
        <v>44967.0</v>
      </c>
      <c r="D104" s="278">
        <v>2.35</v>
      </c>
      <c r="E104" s="78" t="s">
        <v>10657</v>
      </c>
    </row>
    <row r="105" hidden="1" outlineLevel="1">
      <c r="B105" s="78" t="s">
        <v>10686</v>
      </c>
      <c r="C105" s="277">
        <v>45019.0</v>
      </c>
      <c r="D105" s="278">
        <v>69.96</v>
      </c>
      <c r="E105" s="78" t="s">
        <v>10687</v>
      </c>
    </row>
    <row r="106" hidden="1" outlineLevel="1">
      <c r="B106" s="78" t="s">
        <v>25</v>
      </c>
      <c r="C106" s="277">
        <v>45069.0</v>
      </c>
      <c r="D106" s="278">
        <v>1.99</v>
      </c>
      <c r="E106" s="78" t="s">
        <v>10657</v>
      </c>
    </row>
    <row r="107" hidden="1" outlineLevel="1">
      <c r="B107" s="78" t="s">
        <v>10612</v>
      </c>
      <c r="C107" s="277">
        <v>45089.0</v>
      </c>
      <c r="D107" s="278">
        <v>80.91</v>
      </c>
      <c r="E107" s="78" t="s">
        <v>10688</v>
      </c>
    </row>
    <row r="108" hidden="1" outlineLevel="1">
      <c r="B108" s="78" t="s">
        <v>21</v>
      </c>
      <c r="C108" s="277">
        <v>45090.0</v>
      </c>
      <c r="D108" s="278">
        <v>2.03</v>
      </c>
      <c r="E108" s="78" t="s">
        <v>10689</v>
      </c>
    </row>
    <row r="109" hidden="1" outlineLevel="1">
      <c r="B109" s="78" t="s">
        <v>25</v>
      </c>
      <c r="C109" s="277">
        <v>45100.0</v>
      </c>
      <c r="D109" s="278">
        <v>2.35</v>
      </c>
      <c r="E109" s="78" t="s">
        <v>10657</v>
      </c>
    </row>
    <row r="110" hidden="1" outlineLevel="1">
      <c r="B110" s="78" t="s">
        <v>10690</v>
      </c>
      <c r="C110" s="277">
        <v>45127.0</v>
      </c>
      <c r="D110" s="278">
        <v>39.0</v>
      </c>
      <c r="E110" s="78" t="s">
        <v>10687</v>
      </c>
    </row>
    <row r="111" hidden="1" outlineLevel="1">
      <c r="B111" s="78" t="s">
        <v>10691</v>
      </c>
      <c r="C111" s="277">
        <v>45130.0</v>
      </c>
      <c r="D111" s="278">
        <v>12.77</v>
      </c>
      <c r="E111" s="78" t="s">
        <v>10692</v>
      </c>
    </row>
    <row r="112" hidden="1" outlineLevel="1">
      <c r="B112" s="78" t="s">
        <v>10693</v>
      </c>
      <c r="C112" s="277">
        <v>45135.0</v>
      </c>
      <c r="D112" s="278">
        <v>23.2</v>
      </c>
      <c r="E112" s="78" t="s">
        <v>10694</v>
      </c>
    </row>
    <row r="113" hidden="1" outlineLevel="1">
      <c r="B113" s="78" t="s">
        <v>10695</v>
      </c>
      <c r="C113" s="277">
        <v>45138.0</v>
      </c>
      <c r="D113" s="278">
        <v>59.7</v>
      </c>
      <c r="E113" s="78" t="s">
        <v>10696</v>
      </c>
    </row>
    <row r="114" hidden="1" outlineLevel="1">
      <c r="B114" s="78" t="s">
        <v>10691</v>
      </c>
      <c r="C114" s="277">
        <v>45154.0</v>
      </c>
      <c r="D114" s="278">
        <v>55.62</v>
      </c>
      <c r="E114" s="78" t="s">
        <v>10697</v>
      </c>
    </row>
    <row r="115" hidden="1" outlineLevel="1">
      <c r="B115" s="78" t="s">
        <v>10698</v>
      </c>
      <c r="C115" s="277">
        <v>45157.0</v>
      </c>
      <c r="D115" s="278">
        <v>69.98</v>
      </c>
      <c r="E115" s="78" t="s">
        <v>10699</v>
      </c>
    </row>
    <row r="116" hidden="1" outlineLevel="1">
      <c r="B116" s="78" t="s">
        <v>25</v>
      </c>
      <c r="C116" s="277">
        <v>45163.0</v>
      </c>
      <c r="D116" s="278">
        <v>20.85</v>
      </c>
      <c r="E116" s="78" t="s">
        <v>10700</v>
      </c>
    </row>
    <row r="117" hidden="1" outlineLevel="1">
      <c r="B117" s="78" t="s">
        <v>10612</v>
      </c>
      <c r="C117" s="277">
        <v>45174.0</v>
      </c>
      <c r="D117" s="278">
        <v>48.31</v>
      </c>
      <c r="E117" s="78" t="s">
        <v>10701</v>
      </c>
    </row>
    <row r="118" hidden="1" outlineLevel="1">
      <c r="B118" s="78" t="s">
        <v>10702</v>
      </c>
      <c r="C118" s="277">
        <v>45194.0</v>
      </c>
      <c r="D118" s="278">
        <v>374.96</v>
      </c>
      <c r="E118" s="78" t="s">
        <v>10703</v>
      </c>
    </row>
    <row r="119" hidden="1" outlineLevel="1">
      <c r="B119" s="78" t="s">
        <v>25</v>
      </c>
      <c r="C119" s="277">
        <v>45231.0</v>
      </c>
      <c r="D119" s="278">
        <v>7.48</v>
      </c>
      <c r="E119" s="78" t="s">
        <v>10677</v>
      </c>
    </row>
    <row r="120" hidden="1" outlineLevel="1">
      <c r="B120" s="78" t="s">
        <v>18</v>
      </c>
      <c r="C120" s="277">
        <v>45232.0</v>
      </c>
      <c r="D120" s="278">
        <v>13.85</v>
      </c>
      <c r="E120" s="78" t="s">
        <v>10704</v>
      </c>
    </row>
    <row r="121" hidden="1" outlineLevel="1">
      <c r="B121" s="78" t="s">
        <v>10612</v>
      </c>
      <c r="C121" s="277"/>
      <c r="D121" s="278">
        <v>50.78</v>
      </c>
      <c r="E121" s="78" t="s">
        <v>10705</v>
      </c>
    </row>
    <row r="122" hidden="1" outlineLevel="1">
      <c r="B122" s="78" t="s">
        <v>10706</v>
      </c>
      <c r="C122" s="277">
        <v>45241.0</v>
      </c>
      <c r="D122" s="278">
        <v>46.02</v>
      </c>
      <c r="E122" s="78" t="s">
        <v>10707</v>
      </c>
    </row>
    <row r="123" hidden="1" outlineLevel="1">
      <c r="B123" s="78" t="s">
        <v>10582</v>
      </c>
      <c r="C123" s="277">
        <v>45248.0</v>
      </c>
      <c r="D123" s="90">
        <v>29.89</v>
      </c>
      <c r="E123" s="78" t="s">
        <v>10708</v>
      </c>
    </row>
    <row r="124" hidden="1" outlineLevel="1">
      <c r="B124" s="78" t="s">
        <v>10709</v>
      </c>
      <c r="C124" s="277">
        <v>45268.0</v>
      </c>
      <c r="D124" s="90">
        <v>39.59</v>
      </c>
      <c r="E124" s="78" t="s">
        <v>10710</v>
      </c>
    </row>
    <row r="125" hidden="1" outlineLevel="1">
      <c r="B125" s="78" t="s">
        <v>10690</v>
      </c>
      <c r="C125" s="277">
        <v>45272.0</v>
      </c>
      <c r="D125" s="90">
        <v>128.0</v>
      </c>
      <c r="E125" s="78" t="s">
        <v>10711</v>
      </c>
    </row>
    <row r="126" hidden="1" outlineLevel="1">
      <c r="B126" s="78" t="s">
        <v>10612</v>
      </c>
      <c r="C126" s="277">
        <v>45278.0</v>
      </c>
      <c r="D126" s="90">
        <v>49.27</v>
      </c>
      <c r="E126" s="78" t="s">
        <v>10712</v>
      </c>
    </row>
    <row r="127" hidden="1" outlineLevel="1">
      <c r="B127" s="78" t="s">
        <v>10713</v>
      </c>
      <c r="C127" s="277">
        <v>45279.0</v>
      </c>
      <c r="D127" s="90">
        <v>392.04</v>
      </c>
      <c r="E127" s="78" t="s">
        <v>10714</v>
      </c>
    </row>
    <row r="128" hidden="1" outlineLevel="1">
      <c r="B128" s="78" t="s">
        <v>10715</v>
      </c>
      <c r="C128" s="277">
        <v>45281.0</v>
      </c>
      <c r="D128" s="90">
        <v>26.49</v>
      </c>
      <c r="E128" s="78" t="s">
        <v>10716</v>
      </c>
    </row>
    <row r="129" hidden="1" outlineLevel="1">
      <c r="B129" s="78" t="s">
        <v>10695</v>
      </c>
      <c r="C129" s="277">
        <v>45284.0</v>
      </c>
      <c r="D129" s="90">
        <v>48.2</v>
      </c>
      <c r="E129" s="78" t="s">
        <v>10717</v>
      </c>
    </row>
    <row r="130" hidden="1" outlineLevel="1">
      <c r="B130" s="78" t="s">
        <v>10718</v>
      </c>
      <c r="C130" s="277">
        <v>45284.0</v>
      </c>
      <c r="D130" s="90">
        <v>115.75</v>
      </c>
      <c r="E130" s="78" t="s">
        <v>10719</v>
      </c>
    </row>
    <row r="131">
      <c r="A131" s="267">
        <v>2024.0</v>
      </c>
    </row>
    <row r="132" outlineLevel="1">
      <c r="A132" s="272">
        <f>SUM(D132:D164)</f>
        <v>5113.13</v>
      </c>
      <c r="B132" s="78" t="s">
        <v>10682</v>
      </c>
      <c r="C132" s="277">
        <v>45303.0</v>
      </c>
      <c r="D132" s="90">
        <v>109.99</v>
      </c>
      <c r="E132" s="78" t="s">
        <v>10683</v>
      </c>
    </row>
    <row r="133" outlineLevel="1">
      <c r="B133" s="78" t="s">
        <v>18</v>
      </c>
      <c r="C133" s="277">
        <v>45315.0</v>
      </c>
      <c r="D133" s="90">
        <v>19.29</v>
      </c>
      <c r="E133" s="78" t="s">
        <v>10720</v>
      </c>
    </row>
    <row r="134" outlineLevel="1">
      <c r="B134" s="78" t="s">
        <v>10721</v>
      </c>
      <c r="C134" s="277">
        <v>45324.0</v>
      </c>
      <c r="D134" s="90">
        <v>5.31</v>
      </c>
      <c r="E134" s="78" t="s">
        <v>10722</v>
      </c>
    </row>
    <row r="135" outlineLevel="1">
      <c r="B135" s="78" t="s">
        <v>10723</v>
      </c>
      <c r="C135" s="277">
        <v>45329.0</v>
      </c>
      <c r="D135" s="90">
        <v>126.61</v>
      </c>
      <c r="E135" s="78" t="s">
        <v>10724</v>
      </c>
    </row>
    <row r="136" outlineLevel="1">
      <c r="B136" s="78" t="s">
        <v>18</v>
      </c>
      <c r="C136" s="277">
        <v>45359.0</v>
      </c>
      <c r="D136" s="90">
        <v>12.23</v>
      </c>
      <c r="E136" s="78" t="s">
        <v>10704</v>
      </c>
    </row>
    <row r="137" outlineLevel="1">
      <c r="B137" s="78" t="s">
        <v>10721</v>
      </c>
      <c r="C137" s="277">
        <v>45378.0</v>
      </c>
      <c r="D137" s="90">
        <v>7.48</v>
      </c>
      <c r="E137" s="78" t="s">
        <v>10722</v>
      </c>
    </row>
    <row r="138" outlineLevel="1">
      <c r="B138" s="78" t="s">
        <v>10725</v>
      </c>
      <c r="C138" s="277">
        <v>45391.0</v>
      </c>
      <c r="D138" s="90">
        <v>120.29</v>
      </c>
      <c r="E138" s="78" t="s">
        <v>10726</v>
      </c>
    </row>
    <row r="139" outlineLevel="1">
      <c r="B139" s="78" t="s">
        <v>10727</v>
      </c>
      <c r="C139" s="277">
        <v>45424.0</v>
      </c>
      <c r="D139" s="90">
        <v>398.99</v>
      </c>
      <c r="E139" s="78" t="s">
        <v>10728</v>
      </c>
    </row>
    <row r="140" outlineLevel="1">
      <c r="B140" s="78" t="s">
        <v>18</v>
      </c>
      <c r="C140" s="277">
        <v>45435.0</v>
      </c>
      <c r="D140" s="90">
        <v>29.36</v>
      </c>
      <c r="E140" s="78" t="s">
        <v>10729</v>
      </c>
    </row>
    <row r="141" outlineLevel="1">
      <c r="B141" s="78" t="s">
        <v>10730</v>
      </c>
      <c r="C141" s="277">
        <v>45441.0</v>
      </c>
      <c r="D141" s="90">
        <v>81.84</v>
      </c>
      <c r="E141" s="78" t="s">
        <v>10731</v>
      </c>
    </row>
    <row r="142" outlineLevel="1">
      <c r="B142" s="78" t="s">
        <v>10732</v>
      </c>
      <c r="C142" s="277">
        <v>45449.0</v>
      </c>
      <c r="D142" s="90">
        <v>476.11</v>
      </c>
      <c r="E142" s="78" t="s">
        <v>10733</v>
      </c>
    </row>
    <row r="143" outlineLevel="1">
      <c r="B143" s="78" t="s">
        <v>10732</v>
      </c>
      <c r="C143" s="277">
        <v>45449.0</v>
      </c>
      <c r="D143" s="90">
        <v>230.12</v>
      </c>
      <c r="E143" s="78" t="s">
        <v>10734</v>
      </c>
    </row>
    <row r="144" outlineLevel="1">
      <c r="B144" s="78" t="s">
        <v>10735</v>
      </c>
      <c r="C144" s="277">
        <v>45452.0</v>
      </c>
      <c r="D144" s="90">
        <v>1903.12</v>
      </c>
      <c r="E144" s="78" t="s">
        <v>10736</v>
      </c>
    </row>
    <row r="145" outlineLevel="1">
      <c r="B145" s="78" t="s">
        <v>10727</v>
      </c>
      <c r="C145" s="277">
        <v>45499.0</v>
      </c>
      <c r="D145" s="90">
        <v>179.9</v>
      </c>
      <c r="E145" s="78" t="s">
        <v>10737</v>
      </c>
    </row>
    <row r="146" outlineLevel="1">
      <c r="B146" s="78" t="s">
        <v>10695</v>
      </c>
      <c r="C146" s="277">
        <v>45482.0</v>
      </c>
      <c r="D146" s="90">
        <v>75.0</v>
      </c>
    </row>
    <row r="147" outlineLevel="1">
      <c r="B147" s="78" t="s">
        <v>10628</v>
      </c>
      <c r="C147" s="277">
        <v>45484.0</v>
      </c>
      <c r="D147" s="90">
        <v>36.62</v>
      </c>
      <c r="E147" s="78" t="s">
        <v>10738</v>
      </c>
    </row>
    <row r="148" outlineLevel="1">
      <c r="B148" s="78" t="s">
        <v>10620</v>
      </c>
      <c r="C148" s="277">
        <v>45490.0</v>
      </c>
      <c r="D148" s="90">
        <v>236.0</v>
      </c>
      <c r="E148" s="78" t="s">
        <v>10687</v>
      </c>
    </row>
    <row r="149" outlineLevel="1">
      <c r="B149" s="78" t="s">
        <v>10739</v>
      </c>
      <c r="C149" s="277">
        <v>45490.0</v>
      </c>
      <c r="D149" s="90">
        <v>112.98</v>
      </c>
      <c r="E149" s="78" t="s">
        <v>10740</v>
      </c>
    </row>
    <row r="150" outlineLevel="1">
      <c r="B150" s="78" t="s">
        <v>10741</v>
      </c>
      <c r="C150" s="277">
        <v>45490.0</v>
      </c>
      <c r="D150" s="90">
        <v>42.1</v>
      </c>
      <c r="E150" s="78" t="s">
        <v>10742</v>
      </c>
    </row>
    <row r="151" outlineLevel="1">
      <c r="B151" s="78" t="s">
        <v>10612</v>
      </c>
      <c r="C151" s="277">
        <v>45492.0</v>
      </c>
      <c r="D151" s="90">
        <v>80.28</v>
      </c>
      <c r="E151" s="78" t="s">
        <v>10743</v>
      </c>
    </row>
    <row r="152" outlineLevel="1">
      <c r="B152" s="78" t="s">
        <v>10700</v>
      </c>
      <c r="C152" s="277">
        <v>45499.0</v>
      </c>
      <c r="D152" s="90">
        <v>27.2</v>
      </c>
      <c r="E152" s="78" t="s">
        <v>10700</v>
      </c>
    </row>
    <row r="153" outlineLevel="1">
      <c r="B153" s="78" t="s">
        <v>10612</v>
      </c>
      <c r="C153" s="277">
        <v>45501.0</v>
      </c>
      <c r="D153" s="90">
        <v>78.42</v>
      </c>
      <c r="E153" s="78" t="s">
        <v>10744</v>
      </c>
    </row>
    <row r="154" outlineLevel="1">
      <c r="B154" s="78" t="s">
        <v>10612</v>
      </c>
      <c r="C154" s="277">
        <v>45501.0</v>
      </c>
      <c r="D154" s="90">
        <v>59.18</v>
      </c>
      <c r="E154" s="78" t="s">
        <v>10745</v>
      </c>
    </row>
    <row r="155" outlineLevel="1">
      <c r="B155" s="78" t="s">
        <v>10612</v>
      </c>
      <c r="C155" s="277">
        <v>45506.0</v>
      </c>
      <c r="D155" s="90">
        <v>79.18</v>
      </c>
      <c r="E155" s="78" t="s">
        <v>10744</v>
      </c>
    </row>
    <row r="156" outlineLevel="1">
      <c r="B156" s="78" t="s">
        <v>18</v>
      </c>
      <c r="C156" s="277">
        <v>45435.0</v>
      </c>
      <c r="D156" s="90">
        <v>21.43</v>
      </c>
      <c r="E156" s="78" t="s">
        <v>10746</v>
      </c>
    </row>
    <row r="157" outlineLevel="1">
      <c r="B157" s="78" t="s">
        <v>18</v>
      </c>
      <c r="C157" s="277">
        <v>45540.0</v>
      </c>
      <c r="D157" s="90">
        <v>0.45</v>
      </c>
      <c r="E157" s="78" t="s">
        <v>10747</v>
      </c>
    </row>
    <row r="158" outlineLevel="1">
      <c r="B158" s="78" t="s">
        <v>10748</v>
      </c>
      <c r="C158" s="277">
        <v>45597.0</v>
      </c>
      <c r="D158" s="90">
        <v>34.01</v>
      </c>
      <c r="E158" s="78" t="s">
        <v>10749</v>
      </c>
    </row>
    <row r="159" outlineLevel="1">
      <c r="B159" s="78" t="s">
        <v>10750</v>
      </c>
      <c r="C159" s="277">
        <v>45598.0</v>
      </c>
      <c r="D159" s="90">
        <v>15.63</v>
      </c>
      <c r="E159" s="78" t="s">
        <v>10751</v>
      </c>
      <c r="H159" s="78" t="s">
        <v>10752</v>
      </c>
    </row>
    <row r="160" outlineLevel="1">
      <c r="B160" s="78" t="s">
        <v>18</v>
      </c>
      <c r="C160" s="277">
        <v>45630.0</v>
      </c>
      <c r="D160" s="90">
        <v>28.65</v>
      </c>
      <c r="E160" s="78" t="s">
        <v>10729</v>
      </c>
    </row>
    <row r="161" outlineLevel="1">
      <c r="B161" s="78" t="s">
        <v>18</v>
      </c>
      <c r="C161" s="277">
        <v>45631.0</v>
      </c>
      <c r="D161" s="90">
        <v>0.45</v>
      </c>
      <c r="E161" s="78" t="s">
        <v>10753</v>
      </c>
    </row>
    <row r="162" outlineLevel="1">
      <c r="B162" s="78" t="s">
        <v>10754</v>
      </c>
      <c r="C162" s="277">
        <v>45637.0</v>
      </c>
      <c r="D162" s="90">
        <v>174.94</v>
      </c>
      <c r="E162" s="78" t="s">
        <v>10755</v>
      </c>
      <c r="H162" s="78" t="s">
        <v>10756</v>
      </c>
    </row>
    <row r="163" outlineLevel="1">
      <c r="B163" s="78" t="s">
        <v>10620</v>
      </c>
      <c r="C163" s="277">
        <v>45644.0</v>
      </c>
      <c r="D163" s="90">
        <v>246.68</v>
      </c>
      <c r="E163" s="78" t="s">
        <v>10757</v>
      </c>
    </row>
    <row r="164" outlineLevel="1">
      <c r="B164" s="78" t="s">
        <v>10758</v>
      </c>
      <c r="C164" s="277">
        <v>45650.0</v>
      </c>
      <c r="D164" s="90">
        <v>63.29</v>
      </c>
      <c r="E164" s="78" t="s">
        <v>10755</v>
      </c>
    </row>
    <row r="165">
      <c r="A165" s="271">
        <v>2025.0</v>
      </c>
    </row>
    <row r="166">
      <c r="A166" s="246">
        <f>SUM(D166:D198)</f>
        <v>3993.58</v>
      </c>
      <c r="B166" s="78" t="s">
        <v>10682</v>
      </c>
      <c r="C166" s="277">
        <v>45303.0</v>
      </c>
      <c r="D166" s="90">
        <v>109.99</v>
      </c>
      <c r="E166" s="78" t="s">
        <v>10683</v>
      </c>
    </row>
    <row r="167">
      <c r="B167" s="78" t="s">
        <v>10633</v>
      </c>
      <c r="C167" s="277">
        <v>45321.0</v>
      </c>
      <c r="D167" s="90">
        <v>69.76</v>
      </c>
      <c r="E167" s="78" t="s">
        <v>10759</v>
      </c>
    </row>
    <row r="168">
      <c r="B168" s="78" t="s">
        <v>10760</v>
      </c>
      <c r="C168" s="277">
        <v>45322.0</v>
      </c>
      <c r="D168" s="90">
        <v>17.54</v>
      </c>
      <c r="E168" s="78" t="s">
        <v>10761</v>
      </c>
    </row>
    <row r="169">
      <c r="B169" s="78" t="s">
        <v>25</v>
      </c>
      <c r="C169" s="277">
        <v>45327.0</v>
      </c>
      <c r="D169" s="90">
        <v>22.87</v>
      </c>
      <c r="E169" s="78" t="s">
        <v>10762</v>
      </c>
    </row>
    <row r="170">
      <c r="B170" s="78" t="s">
        <v>10763</v>
      </c>
      <c r="C170" s="277">
        <v>45338.0</v>
      </c>
      <c r="D170" s="90">
        <v>152.0</v>
      </c>
      <c r="E170" s="78" t="s">
        <v>10764</v>
      </c>
    </row>
    <row r="171">
      <c r="B171" s="78" t="s">
        <v>10765</v>
      </c>
      <c r="C171" s="277">
        <v>45340.0</v>
      </c>
      <c r="D171" s="90"/>
      <c r="E171" s="78" t="s">
        <v>10765</v>
      </c>
      <c r="F171" s="90">
        <v>13.38</v>
      </c>
    </row>
    <row r="172">
      <c r="B172" s="78" t="s">
        <v>10760</v>
      </c>
      <c r="C172" s="277">
        <v>45358.0</v>
      </c>
      <c r="D172" s="90">
        <v>58.95</v>
      </c>
      <c r="E172" s="78" t="s">
        <v>10766</v>
      </c>
      <c r="F172" s="90"/>
    </row>
    <row r="173">
      <c r="B173" s="78" t="s">
        <v>10767</v>
      </c>
      <c r="C173" s="277">
        <v>45361.0</v>
      </c>
      <c r="D173" s="90">
        <v>70.41</v>
      </c>
      <c r="E173" s="78" t="s">
        <v>10768</v>
      </c>
      <c r="F173" s="90"/>
    </row>
    <row r="174">
      <c r="B174" s="78" t="s">
        <v>10769</v>
      </c>
      <c r="C174" s="277">
        <v>45361.0</v>
      </c>
      <c r="D174" s="90"/>
      <c r="E174" s="78" t="s">
        <v>10770</v>
      </c>
      <c r="F174" s="90">
        <v>78.0</v>
      </c>
    </row>
    <row r="175">
      <c r="B175" s="78" t="s">
        <v>10771</v>
      </c>
      <c r="C175" s="277">
        <v>45362.0</v>
      </c>
      <c r="D175" s="90"/>
      <c r="E175" s="78" t="s">
        <v>10772</v>
      </c>
      <c r="F175" s="90">
        <v>64.0</v>
      </c>
    </row>
    <row r="176">
      <c r="B176" s="78" t="s">
        <v>10773</v>
      </c>
      <c r="C176" s="277">
        <v>45363.0</v>
      </c>
      <c r="D176" s="90"/>
      <c r="F176" s="90">
        <v>600.0</v>
      </c>
    </row>
    <row r="177">
      <c r="B177" s="279" t="s">
        <v>10774</v>
      </c>
      <c r="C177" s="277">
        <v>45759.0</v>
      </c>
      <c r="D177" s="90"/>
      <c r="E177" s="78" t="s">
        <v>10775</v>
      </c>
      <c r="F177" s="90">
        <v>0.57</v>
      </c>
    </row>
    <row r="178">
      <c r="B178" s="78" t="s">
        <v>10676</v>
      </c>
      <c r="C178" s="277">
        <v>45769.0</v>
      </c>
      <c r="D178" s="90">
        <v>6.21</v>
      </c>
      <c r="E178" s="78" t="s">
        <v>10776</v>
      </c>
    </row>
    <row r="179">
      <c r="B179" s="78" t="s">
        <v>10571</v>
      </c>
      <c r="C179" s="277">
        <v>45782.0</v>
      </c>
      <c r="D179" s="90">
        <v>53.17</v>
      </c>
      <c r="E179" s="78" t="s">
        <v>10777</v>
      </c>
    </row>
    <row r="180">
      <c r="B180" s="78" t="s">
        <v>10778</v>
      </c>
      <c r="C180" s="277">
        <v>45812.0</v>
      </c>
      <c r="D180" s="90">
        <v>1.22</v>
      </c>
      <c r="E180" s="78" t="s">
        <v>10779</v>
      </c>
    </row>
    <row r="181">
      <c r="B181" s="78" t="s">
        <v>10780</v>
      </c>
      <c r="C181" s="277">
        <v>45818.0</v>
      </c>
      <c r="D181" s="90">
        <v>100.34</v>
      </c>
      <c r="E181" s="78" t="s">
        <v>10781</v>
      </c>
      <c r="H181" s="78" t="s">
        <v>10782</v>
      </c>
    </row>
    <row r="182">
      <c r="B182" s="78" t="s">
        <v>10778</v>
      </c>
      <c r="C182" s="277">
        <v>45822.0</v>
      </c>
      <c r="D182" s="90">
        <v>3.55</v>
      </c>
      <c r="E182" s="78" t="s">
        <v>10783</v>
      </c>
    </row>
    <row r="183">
      <c r="B183" s="78" t="s">
        <v>10754</v>
      </c>
      <c r="C183" s="277">
        <v>45835.0</v>
      </c>
      <c r="D183" s="90">
        <v>261.62</v>
      </c>
      <c r="E183" s="78" t="s">
        <v>10784</v>
      </c>
    </row>
    <row r="184">
      <c r="B184" s="78" t="s">
        <v>10620</v>
      </c>
      <c r="C184" s="277">
        <v>45836.0</v>
      </c>
      <c r="D184" s="90">
        <v>206.72</v>
      </c>
      <c r="E184" s="78" t="s">
        <v>10757</v>
      </c>
    </row>
    <row r="185">
      <c r="B185" s="78" t="s">
        <v>10785</v>
      </c>
      <c r="C185" s="277">
        <v>45841.0</v>
      </c>
      <c r="D185" s="90">
        <v>35.85</v>
      </c>
      <c r="E185" s="78" t="s">
        <v>10786</v>
      </c>
    </row>
    <row r="186">
      <c r="B186" s="78" t="s">
        <v>10695</v>
      </c>
      <c r="C186" s="277">
        <v>45848.0</v>
      </c>
      <c r="D186" s="90">
        <v>38.93</v>
      </c>
    </row>
    <row r="187">
      <c r="B187" s="78" t="s">
        <v>10787</v>
      </c>
      <c r="C187" s="277">
        <v>45851.0</v>
      </c>
      <c r="D187" s="90">
        <v>14.7</v>
      </c>
      <c r="E187" s="78" t="s">
        <v>10653</v>
      </c>
    </row>
    <row r="188">
      <c r="B188" s="78" t="s">
        <v>10725</v>
      </c>
      <c r="C188" s="277">
        <v>45867.0</v>
      </c>
      <c r="D188" s="90">
        <v>1807.96</v>
      </c>
      <c r="E188" s="78" t="s">
        <v>10788</v>
      </c>
    </row>
    <row r="189">
      <c r="B189" s="78" t="s">
        <v>25</v>
      </c>
      <c r="C189" s="277">
        <v>45896.0</v>
      </c>
      <c r="D189" s="90">
        <v>23.99</v>
      </c>
      <c r="E189" s="78" t="s">
        <v>10656</v>
      </c>
    </row>
    <row r="190">
      <c r="B190" s="78" t="s">
        <v>10789</v>
      </c>
      <c r="C190" s="277">
        <v>45898.0</v>
      </c>
      <c r="D190" s="90">
        <v>11.6</v>
      </c>
      <c r="E190" s="78" t="s">
        <v>10790</v>
      </c>
    </row>
    <row r="191">
      <c r="B191" s="78" t="s">
        <v>10778</v>
      </c>
      <c r="C191" s="277">
        <v>45902.0</v>
      </c>
      <c r="D191" s="90">
        <v>5.99</v>
      </c>
      <c r="E191" s="78" t="s">
        <v>10791</v>
      </c>
    </row>
    <row r="192">
      <c r="B192" s="78" t="s">
        <v>10582</v>
      </c>
      <c r="C192" s="277">
        <v>45956.0</v>
      </c>
      <c r="D192" s="90">
        <v>35.64</v>
      </c>
      <c r="E192" s="78" t="s">
        <v>10792</v>
      </c>
    </row>
    <row r="193">
      <c r="B193" s="78" t="s">
        <v>10793</v>
      </c>
      <c r="C193" s="277">
        <v>45992.0</v>
      </c>
      <c r="D193" s="90">
        <v>62.29</v>
      </c>
      <c r="E193" s="78" t="s">
        <v>10794</v>
      </c>
    </row>
    <row r="194">
      <c r="B194" s="78" t="s">
        <v>10795</v>
      </c>
      <c r="C194" s="277">
        <v>46000.0</v>
      </c>
      <c r="D194" s="90">
        <v>154.7</v>
      </c>
      <c r="E194" s="78" t="s">
        <v>10796</v>
      </c>
    </row>
    <row r="195">
      <c r="B195" s="78" t="s">
        <v>10797</v>
      </c>
      <c r="C195" s="277">
        <v>46000.0</v>
      </c>
      <c r="D195" s="90">
        <v>88.11</v>
      </c>
      <c r="E195" s="78" t="s">
        <v>10757</v>
      </c>
    </row>
    <row r="196">
      <c r="B196" s="78" t="s">
        <v>10725</v>
      </c>
      <c r="C196" s="277">
        <v>46002.0</v>
      </c>
      <c r="D196" s="90">
        <v>512.6</v>
      </c>
      <c r="E196" s="78" t="s">
        <v>10798</v>
      </c>
    </row>
    <row r="197">
      <c r="B197" s="78" t="s">
        <v>18</v>
      </c>
      <c r="C197" s="277">
        <v>46020.0</v>
      </c>
      <c r="D197" s="90">
        <v>21.42</v>
      </c>
      <c r="E197" s="78" t="s">
        <v>10799</v>
      </c>
    </row>
    <row r="198">
      <c r="B198" s="78" t="s">
        <v>10725</v>
      </c>
      <c r="C198" s="277">
        <v>46006.0</v>
      </c>
      <c r="D198" s="90">
        <v>45.45</v>
      </c>
      <c r="E198" s="78" t="s">
        <v>10800</v>
      </c>
    </row>
    <row r="199">
      <c r="A199" s="271">
        <v>2026.0</v>
      </c>
    </row>
    <row r="200">
      <c r="A200" s="246">
        <f>SUM(D200:D217)</f>
        <v>1372.66</v>
      </c>
      <c r="B200" s="78" t="s">
        <v>10682</v>
      </c>
      <c r="C200" s="277">
        <v>46034.0</v>
      </c>
      <c r="D200" s="90">
        <v>109.99</v>
      </c>
      <c r="E200" s="78" t="s">
        <v>10683</v>
      </c>
    </row>
    <row r="201">
      <c r="B201" s="78" t="s">
        <v>25</v>
      </c>
      <c r="C201" s="277">
        <v>46039.0</v>
      </c>
      <c r="D201" s="90">
        <v>3.58</v>
      </c>
      <c r="E201" s="78" t="s">
        <v>10801</v>
      </c>
    </row>
    <row r="202">
      <c r="B202" s="78" t="s">
        <v>10787</v>
      </c>
      <c r="C202" s="277">
        <v>46080.0</v>
      </c>
      <c r="D202" s="90">
        <v>58.63</v>
      </c>
      <c r="E202" s="78" t="s">
        <v>10653</v>
      </c>
    </row>
    <row r="203">
      <c r="B203" s="78" t="s">
        <v>18</v>
      </c>
      <c r="C203" s="277">
        <v>46069.0</v>
      </c>
      <c r="D203" s="90">
        <v>11.05</v>
      </c>
      <c r="E203" s="78" t="s">
        <v>10802</v>
      </c>
    </row>
    <row r="204">
      <c r="B204" s="78" t="s">
        <v>25</v>
      </c>
      <c r="C204" s="277">
        <v>46085.0</v>
      </c>
      <c r="D204" s="90">
        <v>18.93</v>
      </c>
      <c r="E204" s="78" t="s">
        <v>10803</v>
      </c>
    </row>
    <row r="205">
      <c r="B205" s="78" t="s">
        <v>10804</v>
      </c>
      <c r="C205" s="277">
        <v>46087.0</v>
      </c>
      <c r="D205" s="90">
        <v>3.72</v>
      </c>
      <c r="E205" s="78" t="s">
        <v>10805</v>
      </c>
    </row>
    <row r="206">
      <c r="B206" s="78" t="s">
        <v>10620</v>
      </c>
      <c r="C206" s="277">
        <v>46092.0</v>
      </c>
      <c r="D206" s="90">
        <v>143.42</v>
      </c>
      <c r="E206" s="78" t="s">
        <v>10687</v>
      </c>
    </row>
    <row r="207">
      <c r="B207" s="78" t="s">
        <v>10676</v>
      </c>
      <c r="C207" s="277">
        <v>46102.0</v>
      </c>
      <c r="D207" s="90">
        <v>20.4</v>
      </c>
      <c r="E207" s="78" t="s">
        <v>10806</v>
      </c>
    </row>
    <row r="208">
      <c r="B208" s="78" t="s">
        <v>10676</v>
      </c>
      <c r="C208" s="277">
        <v>46104.0</v>
      </c>
      <c r="D208" s="90">
        <v>16.52</v>
      </c>
      <c r="E208" s="78" t="s">
        <v>10807</v>
      </c>
    </row>
    <row r="209">
      <c r="B209" s="78" t="s">
        <v>10808</v>
      </c>
      <c r="C209" s="277">
        <v>46119.0</v>
      </c>
      <c r="D209" s="90">
        <v>94.52</v>
      </c>
      <c r="E209" s="78" t="s">
        <v>10809</v>
      </c>
    </row>
    <row r="210">
      <c r="B210" s="78" t="s">
        <v>10725</v>
      </c>
      <c r="C210" s="277">
        <v>46127.0</v>
      </c>
      <c r="D210" s="90">
        <v>116.76</v>
      </c>
      <c r="E210" s="78" t="s">
        <v>10810</v>
      </c>
    </row>
    <row r="211">
      <c r="B211" s="78" t="s">
        <v>10811</v>
      </c>
      <c r="C211" s="277">
        <v>46128.0</v>
      </c>
      <c r="D211" s="90">
        <v>8.32</v>
      </c>
      <c r="E211" s="78" t="s">
        <v>10812</v>
      </c>
    </row>
    <row r="212">
      <c r="B212" s="78" t="s">
        <v>10725</v>
      </c>
      <c r="C212" s="277">
        <v>46134.0</v>
      </c>
      <c r="D212" s="90">
        <v>152.11</v>
      </c>
      <c r="E212" s="78" t="s">
        <v>10810</v>
      </c>
    </row>
    <row r="213">
      <c r="B213" s="78" t="s">
        <v>10813</v>
      </c>
      <c r="C213" s="277">
        <v>46150.0</v>
      </c>
      <c r="D213" s="90">
        <v>368.18</v>
      </c>
      <c r="E213" s="78" t="s">
        <v>10814</v>
      </c>
    </row>
    <row r="214">
      <c r="B214" s="78" t="s">
        <v>25</v>
      </c>
      <c r="C214" s="277">
        <v>46171.0</v>
      </c>
      <c r="D214" s="90">
        <v>10.66</v>
      </c>
      <c r="E214" s="78" t="s">
        <v>10815</v>
      </c>
    </row>
    <row r="215">
      <c r="B215" s="78" t="s">
        <v>10816</v>
      </c>
      <c r="C215" s="277">
        <v>46201.0</v>
      </c>
      <c r="D215" s="90">
        <v>131.3</v>
      </c>
      <c r="E215" s="78" t="s">
        <v>10817</v>
      </c>
    </row>
    <row r="216">
      <c r="B216" s="78" t="s">
        <v>10818</v>
      </c>
      <c r="C216" s="277">
        <v>46204.0</v>
      </c>
      <c r="D216" s="90">
        <v>87.2</v>
      </c>
      <c r="E216" s="78" t="s">
        <v>10819</v>
      </c>
    </row>
    <row r="217">
      <c r="B217" s="78" t="s">
        <v>18</v>
      </c>
      <c r="C217" s="277">
        <v>46205.0</v>
      </c>
      <c r="D217" s="90">
        <v>17.37</v>
      </c>
      <c r="E217" s="78" t="s">
        <v>10807</v>
      </c>
    </row>
    <row r="218">
      <c r="D218" s="90"/>
    </row>
  </sheetData>
  <mergeCells count="17">
    <mergeCell ref="A36:A64"/>
    <mergeCell ref="A66:A99"/>
    <mergeCell ref="A101:A130"/>
    <mergeCell ref="A132:A164"/>
    <mergeCell ref="A166:A198"/>
    <mergeCell ref="A200:A217"/>
    <mergeCell ref="A100:E100"/>
    <mergeCell ref="A131:E131"/>
    <mergeCell ref="A165:E165"/>
    <mergeCell ref="A199:E199"/>
    <mergeCell ref="A2:E2"/>
    <mergeCell ref="A4:E4"/>
    <mergeCell ref="A5:A11"/>
    <mergeCell ref="A12:E12"/>
    <mergeCell ref="A13:A34"/>
    <mergeCell ref="A35:E35"/>
    <mergeCell ref="A65:E65"/>
  </mergeCells>
  <hyperlinks>
    <hyperlink r:id="rId1" ref="B24"/>
    <hyperlink r:id="rId2" ref="B177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9" max="9" width="26.88"/>
  </cols>
  <sheetData>
    <row r="1">
      <c r="A1" s="78" t="s">
        <v>73</v>
      </c>
      <c r="B1" s="78" t="s">
        <v>18</v>
      </c>
      <c r="C1" s="85">
        <v>43949.0</v>
      </c>
      <c r="D1" s="85">
        <v>43974.0</v>
      </c>
      <c r="E1" s="86">
        <v>7.16</v>
      </c>
      <c r="F1" s="87">
        <v>0.11</v>
      </c>
      <c r="G1" s="88">
        <f t="shared" ref="G1:G2" si="1">MINUS(F1,E1)</f>
        <v>-7.05</v>
      </c>
      <c r="H1" s="89">
        <f t="shared" ref="H1:H2" si="2">IFERROR(G1/F1,"")</f>
        <v>-64.09090909</v>
      </c>
      <c r="I1" s="90" t="s">
        <v>10820</v>
      </c>
      <c r="J1" s="78" t="s">
        <v>1093</v>
      </c>
      <c r="K1" s="58">
        <f t="shared" ref="K1:K2" si="3">IFERROR(DATEDIF(C1,D1,"D"), "")</f>
        <v>25</v>
      </c>
      <c r="L1" s="91" t="str">
        <f t="shared" ref="L1:L2" si="4">IF(D1="","",TEXT(D1,"DDDD"))</f>
        <v>Saturday</v>
      </c>
      <c r="M1" s="78" t="s">
        <v>10821</v>
      </c>
    </row>
    <row r="2">
      <c r="A2" s="78" t="s">
        <v>10264</v>
      </c>
      <c r="B2" s="78" t="s">
        <v>22</v>
      </c>
      <c r="C2" s="85">
        <v>44666.0</v>
      </c>
      <c r="D2" s="85">
        <v>44667.0</v>
      </c>
      <c r="E2" s="86">
        <v>8.07</v>
      </c>
      <c r="F2" s="87">
        <v>0.0</v>
      </c>
      <c r="G2" s="88">
        <f t="shared" si="1"/>
        <v>-8.07</v>
      </c>
      <c r="H2" s="89" t="str">
        <f t="shared" si="2"/>
        <v/>
      </c>
      <c r="I2" s="78" t="s">
        <v>10822</v>
      </c>
      <c r="J2" s="78" t="s">
        <v>1093</v>
      </c>
      <c r="K2" s="58">
        <f t="shared" si="3"/>
        <v>1</v>
      </c>
      <c r="L2" s="91" t="str">
        <f t="shared" si="4"/>
        <v>Saturday</v>
      </c>
      <c r="M2" s="78" t="str">
        <f>IFERROR(VLOOKUP(A2, Entries!A:B,2,false),"")</f>
        <v>MYTONA</v>
      </c>
      <c r="N2" s="23" t="str">
        <f>IFERROR(VLOOKUP(A2, Entries!A:K,11,false),"")</f>
        <v/>
      </c>
      <c r="P2" s="78" t="s">
        <v>10823</v>
      </c>
    </row>
    <row r="3">
      <c r="A3" s="81" t="s">
        <v>10824</v>
      </c>
    </row>
    <row r="4">
      <c r="A4" s="78" t="s">
        <v>10825</v>
      </c>
      <c r="L4" s="92"/>
    </row>
    <row r="5">
      <c r="A5" s="78" t="s">
        <v>10826</v>
      </c>
      <c r="L5" s="92"/>
    </row>
    <row r="6">
      <c r="A6" s="78" t="s">
        <v>10827</v>
      </c>
      <c r="B6" s="78" t="s">
        <v>10828</v>
      </c>
      <c r="L6" s="92"/>
    </row>
    <row r="7">
      <c r="A7" s="78" t="s">
        <v>10829</v>
      </c>
      <c r="L7" s="92"/>
    </row>
    <row r="8">
      <c r="L8" s="92"/>
    </row>
    <row r="9">
      <c r="A9" s="78" t="s">
        <v>10830</v>
      </c>
      <c r="L9" s="92"/>
    </row>
    <row r="10">
      <c r="A10" s="78" t="s">
        <v>10831</v>
      </c>
      <c r="L10" s="92"/>
    </row>
    <row r="11">
      <c r="L11" s="92"/>
    </row>
    <row r="12">
      <c r="A12" s="78" t="s">
        <v>10832</v>
      </c>
      <c r="L12" s="92"/>
    </row>
    <row r="13">
      <c r="A13" s="78" t="s">
        <v>10833</v>
      </c>
      <c r="B13" s="78" t="s">
        <v>10834</v>
      </c>
      <c r="C13" s="78" t="s">
        <v>10835</v>
      </c>
      <c r="L13" s="92"/>
    </row>
    <row r="14">
      <c r="L14" s="92"/>
    </row>
    <row r="15">
      <c r="A15" s="78" t="s">
        <v>10836</v>
      </c>
      <c r="B15" s="78" t="s">
        <v>10837</v>
      </c>
      <c r="L15" s="92"/>
    </row>
    <row r="16">
      <c r="L16" s="92"/>
    </row>
    <row r="17">
      <c r="A17" s="78" t="s">
        <v>10838</v>
      </c>
      <c r="B17" s="78" t="s">
        <v>10839</v>
      </c>
      <c r="L17" s="92"/>
    </row>
    <row r="18">
      <c r="L18" s="92"/>
    </row>
    <row r="19">
      <c r="A19" s="78" t="s">
        <v>10840</v>
      </c>
      <c r="B19" s="78" t="s">
        <v>10841</v>
      </c>
      <c r="D19" s="78" t="s">
        <v>10842</v>
      </c>
      <c r="L19" s="92"/>
    </row>
    <row r="20">
      <c r="A20" s="78"/>
      <c r="L20" s="92"/>
    </row>
    <row r="21">
      <c r="A21" s="78" t="s">
        <v>10843</v>
      </c>
      <c r="L21" s="92"/>
    </row>
    <row r="22">
      <c r="L22" s="92"/>
    </row>
    <row r="23">
      <c r="A23" s="283"/>
      <c r="L23" s="92"/>
    </row>
    <row r="24">
      <c r="A24" s="78" t="s">
        <v>10844</v>
      </c>
      <c r="B24" s="78" t="s">
        <v>10845</v>
      </c>
      <c r="L24" s="92"/>
    </row>
    <row r="25">
      <c r="L25" s="92"/>
    </row>
    <row r="26">
      <c r="A26" s="78" t="s">
        <v>10846</v>
      </c>
      <c r="L26" s="92"/>
    </row>
    <row r="27">
      <c r="A27" s="78" t="s">
        <v>10847</v>
      </c>
      <c r="L27" s="92"/>
    </row>
    <row r="28">
      <c r="A28" s="283"/>
      <c r="L28" s="92"/>
    </row>
    <row r="29">
      <c r="A29" s="78" t="s">
        <v>10848</v>
      </c>
      <c r="B29" s="98" t="s">
        <v>10849</v>
      </c>
      <c r="L29" s="92"/>
    </row>
    <row r="30">
      <c r="A30" s="283"/>
      <c r="L30" s="92"/>
    </row>
    <row r="31">
      <c r="A31" s="279" t="s">
        <v>10850</v>
      </c>
      <c r="L31" s="92"/>
    </row>
    <row r="32">
      <c r="A32" s="283"/>
      <c r="L32" s="92"/>
    </row>
    <row r="33">
      <c r="A33" s="283"/>
      <c r="L33" s="92"/>
    </row>
    <row r="34">
      <c r="A34" s="283"/>
      <c r="L34" s="92"/>
    </row>
    <row r="35">
      <c r="A35" s="283"/>
      <c r="L35" s="92"/>
    </row>
    <row r="36">
      <c r="A36" s="283"/>
      <c r="L36" s="92"/>
    </row>
    <row r="37">
      <c r="A37" s="283"/>
      <c r="L37" s="92"/>
    </row>
    <row r="38">
      <c r="A38" s="283"/>
      <c r="L38" s="92"/>
    </row>
    <row r="39">
      <c r="A39" s="283"/>
      <c r="L39" s="92"/>
    </row>
    <row r="40">
      <c r="A40" s="283"/>
      <c r="L40" s="92"/>
    </row>
    <row r="41">
      <c r="A41" s="283"/>
      <c r="L41" s="92"/>
    </row>
    <row r="42">
      <c r="A42" s="283"/>
      <c r="L42" s="92"/>
    </row>
    <row r="43">
      <c r="A43" s="283"/>
      <c r="L43" s="92"/>
    </row>
    <row r="44">
      <c r="A44" s="283"/>
      <c r="L44" s="92"/>
    </row>
    <row r="45">
      <c r="A45" s="283"/>
      <c r="L45" s="92"/>
    </row>
    <row r="46">
      <c r="A46" s="283"/>
      <c r="L46" s="92"/>
    </row>
    <row r="47">
      <c r="A47" s="283"/>
      <c r="L47" s="92"/>
    </row>
    <row r="48">
      <c r="A48" s="283"/>
      <c r="L48" s="92"/>
    </row>
    <row r="49">
      <c r="A49" s="283"/>
      <c r="L49" s="92"/>
    </row>
    <row r="50">
      <c r="A50" s="283"/>
      <c r="L50" s="92"/>
    </row>
    <row r="51">
      <c r="A51" s="283"/>
      <c r="L51" s="92"/>
    </row>
    <row r="52">
      <c r="L52" s="92"/>
    </row>
    <row r="53">
      <c r="L53" s="92"/>
    </row>
    <row r="54">
      <c r="L54" s="92"/>
    </row>
    <row r="55">
      <c r="L55" s="92"/>
    </row>
    <row r="56">
      <c r="L56" s="92"/>
    </row>
    <row r="57">
      <c r="L57" s="92"/>
    </row>
    <row r="58">
      <c r="L58" s="92"/>
    </row>
    <row r="59">
      <c r="L59" s="92"/>
    </row>
    <row r="60">
      <c r="L60" s="92"/>
    </row>
    <row r="61">
      <c r="L61" s="92"/>
    </row>
    <row r="62">
      <c r="L62" s="92"/>
    </row>
    <row r="63">
      <c r="L63" s="92"/>
    </row>
    <row r="64">
      <c r="L64" s="92"/>
    </row>
    <row r="65">
      <c r="L65" s="92"/>
    </row>
    <row r="66">
      <c r="L66" s="92"/>
    </row>
    <row r="67">
      <c r="L67" s="92"/>
    </row>
    <row r="68">
      <c r="L68" s="92"/>
    </row>
    <row r="69">
      <c r="L69" s="92"/>
    </row>
    <row r="70">
      <c r="L70" s="92"/>
    </row>
    <row r="71">
      <c r="L71" s="92"/>
    </row>
    <row r="72">
      <c r="L72" s="92"/>
    </row>
    <row r="73">
      <c r="L73" s="92"/>
    </row>
    <row r="74">
      <c r="L74" s="92"/>
    </row>
    <row r="75">
      <c r="L75" s="92"/>
    </row>
    <row r="76">
      <c r="L76" s="92"/>
    </row>
    <row r="77">
      <c r="L77" s="92"/>
    </row>
    <row r="78">
      <c r="L78" s="92"/>
    </row>
    <row r="79">
      <c r="L79" s="92"/>
    </row>
    <row r="80">
      <c r="L80" s="92"/>
    </row>
    <row r="81">
      <c r="L81" s="92"/>
    </row>
    <row r="82">
      <c r="L82" s="92"/>
    </row>
    <row r="83">
      <c r="L83" s="92"/>
    </row>
    <row r="84">
      <c r="L84" s="92"/>
    </row>
    <row r="85">
      <c r="L85" s="92"/>
    </row>
    <row r="86">
      <c r="L86" s="92"/>
    </row>
    <row r="87">
      <c r="L87" s="92"/>
    </row>
    <row r="88">
      <c r="L88" s="92"/>
    </row>
    <row r="89">
      <c r="L89" s="92"/>
    </row>
    <row r="90">
      <c r="L90" s="92"/>
    </row>
    <row r="91">
      <c r="L91" s="92"/>
    </row>
    <row r="92">
      <c r="L92" s="92"/>
    </row>
    <row r="93">
      <c r="L93" s="92"/>
    </row>
    <row r="94">
      <c r="L94" s="92"/>
    </row>
    <row r="95">
      <c r="L95" s="92"/>
    </row>
    <row r="96">
      <c r="L96" s="92"/>
    </row>
    <row r="97">
      <c r="L97" s="92"/>
    </row>
    <row r="98">
      <c r="L98" s="92"/>
    </row>
    <row r="99">
      <c r="L99" s="92"/>
    </row>
    <row r="100">
      <c r="L100" s="92"/>
    </row>
    <row r="101">
      <c r="L101" s="92"/>
    </row>
    <row r="102">
      <c r="L102" s="92"/>
    </row>
    <row r="103">
      <c r="L103" s="92"/>
    </row>
    <row r="104">
      <c r="L104" s="92"/>
    </row>
    <row r="105">
      <c r="L105" s="92"/>
    </row>
    <row r="106">
      <c r="L106" s="92"/>
    </row>
    <row r="107">
      <c r="L107" s="92"/>
    </row>
    <row r="108">
      <c r="L108" s="92"/>
    </row>
    <row r="109">
      <c r="L109" s="92"/>
    </row>
    <row r="110">
      <c r="L110" s="92"/>
    </row>
    <row r="111">
      <c r="L111" s="92"/>
    </row>
    <row r="112">
      <c r="L112" s="92"/>
    </row>
    <row r="113">
      <c r="L113" s="92"/>
    </row>
    <row r="114">
      <c r="L114" s="92"/>
    </row>
    <row r="115">
      <c r="L115" s="92"/>
    </row>
    <row r="116">
      <c r="L116" s="92"/>
    </row>
    <row r="117">
      <c r="L117" s="92"/>
    </row>
    <row r="118">
      <c r="L118" s="92"/>
    </row>
    <row r="119">
      <c r="L119" s="92"/>
    </row>
    <row r="120">
      <c r="L120" s="92"/>
    </row>
    <row r="121">
      <c r="L121" s="92"/>
    </row>
    <row r="122">
      <c r="L122" s="92"/>
    </row>
    <row r="123">
      <c r="L123" s="92"/>
    </row>
    <row r="124">
      <c r="L124" s="92"/>
    </row>
    <row r="125">
      <c r="L125" s="92"/>
    </row>
    <row r="126">
      <c r="L126" s="92"/>
    </row>
    <row r="127">
      <c r="L127" s="92"/>
    </row>
    <row r="128">
      <c r="L128" s="92"/>
    </row>
    <row r="129">
      <c r="L129" s="92"/>
    </row>
    <row r="130">
      <c r="L130" s="92"/>
    </row>
    <row r="131">
      <c r="L131" s="92"/>
    </row>
    <row r="132">
      <c r="L132" s="92"/>
    </row>
    <row r="133">
      <c r="L133" s="92"/>
    </row>
    <row r="134">
      <c r="L134" s="92"/>
    </row>
    <row r="135">
      <c r="L135" s="92"/>
    </row>
    <row r="136">
      <c r="L136" s="92"/>
    </row>
    <row r="137">
      <c r="L137" s="92"/>
    </row>
    <row r="138">
      <c r="L138" s="92"/>
    </row>
    <row r="139">
      <c r="L139" s="92"/>
    </row>
    <row r="140">
      <c r="L140" s="92"/>
    </row>
    <row r="141">
      <c r="L141" s="92"/>
    </row>
    <row r="142">
      <c r="L142" s="92"/>
    </row>
    <row r="143">
      <c r="L143" s="92"/>
    </row>
    <row r="144">
      <c r="L144" s="92"/>
    </row>
    <row r="145">
      <c r="L145" s="92"/>
    </row>
    <row r="146">
      <c r="L146" s="92"/>
    </row>
    <row r="147">
      <c r="L147" s="92"/>
    </row>
    <row r="148">
      <c r="L148" s="92"/>
    </row>
    <row r="149">
      <c r="L149" s="92"/>
    </row>
    <row r="150">
      <c r="L150" s="92"/>
    </row>
    <row r="151">
      <c r="L151" s="92"/>
    </row>
    <row r="152">
      <c r="L152" s="92"/>
    </row>
    <row r="153">
      <c r="L153" s="92"/>
    </row>
    <row r="154">
      <c r="L154" s="92"/>
    </row>
    <row r="155">
      <c r="L155" s="92"/>
    </row>
    <row r="156">
      <c r="L156" s="92"/>
    </row>
    <row r="157">
      <c r="L157" s="92"/>
    </row>
    <row r="158">
      <c r="L158" s="92"/>
    </row>
    <row r="159">
      <c r="L159" s="92"/>
    </row>
    <row r="160">
      <c r="L160" s="92"/>
    </row>
    <row r="161">
      <c r="L161" s="92"/>
    </row>
    <row r="162">
      <c r="L162" s="92"/>
    </row>
    <row r="163">
      <c r="L163" s="92"/>
    </row>
    <row r="164">
      <c r="L164" s="92"/>
    </row>
    <row r="165">
      <c r="L165" s="92"/>
    </row>
    <row r="166">
      <c r="L166" s="92"/>
    </row>
    <row r="167">
      <c r="L167" s="92"/>
    </row>
    <row r="168">
      <c r="L168" s="92"/>
    </row>
    <row r="169">
      <c r="L169" s="92"/>
    </row>
    <row r="170">
      <c r="L170" s="92"/>
    </row>
    <row r="171">
      <c r="L171" s="92"/>
    </row>
    <row r="172">
      <c r="L172" s="92"/>
    </row>
    <row r="173">
      <c r="L173" s="92"/>
    </row>
    <row r="174">
      <c r="L174" s="92"/>
    </row>
    <row r="175">
      <c r="L175" s="92"/>
    </row>
    <row r="176">
      <c r="L176" s="92"/>
    </row>
    <row r="177">
      <c r="L177" s="92"/>
    </row>
    <row r="178">
      <c r="L178" s="92"/>
    </row>
    <row r="179">
      <c r="L179" s="92"/>
    </row>
    <row r="180">
      <c r="L180" s="92"/>
    </row>
    <row r="181">
      <c r="L181" s="92"/>
    </row>
    <row r="182">
      <c r="L182" s="92"/>
    </row>
    <row r="183">
      <c r="L183" s="92"/>
    </row>
    <row r="184">
      <c r="L184" s="92"/>
    </row>
    <row r="185">
      <c r="L185" s="92"/>
    </row>
    <row r="186">
      <c r="L186" s="92"/>
    </row>
    <row r="187">
      <c r="L187" s="92"/>
    </row>
    <row r="188">
      <c r="L188" s="92"/>
    </row>
    <row r="189">
      <c r="L189" s="92"/>
    </row>
    <row r="190">
      <c r="L190" s="92"/>
    </row>
    <row r="191">
      <c r="L191" s="92"/>
    </row>
    <row r="192">
      <c r="L192" s="92"/>
    </row>
    <row r="193">
      <c r="L193" s="92"/>
    </row>
    <row r="194">
      <c r="L194" s="92"/>
    </row>
    <row r="195">
      <c r="L195" s="92"/>
    </row>
    <row r="196">
      <c r="L196" s="92"/>
    </row>
    <row r="197">
      <c r="L197" s="92"/>
    </row>
    <row r="198">
      <c r="L198" s="92"/>
    </row>
    <row r="199">
      <c r="L199" s="92"/>
    </row>
    <row r="200">
      <c r="L200" s="92"/>
    </row>
    <row r="201">
      <c r="L201" s="92"/>
    </row>
    <row r="202">
      <c r="L202" s="92"/>
    </row>
    <row r="203">
      <c r="L203" s="92"/>
    </row>
    <row r="204">
      <c r="L204" s="92"/>
    </row>
    <row r="205">
      <c r="L205" s="92"/>
    </row>
    <row r="206">
      <c r="L206" s="92"/>
    </row>
    <row r="207">
      <c r="L207" s="92"/>
    </row>
    <row r="208">
      <c r="L208" s="92"/>
    </row>
    <row r="209">
      <c r="L209" s="92"/>
    </row>
    <row r="210">
      <c r="L210" s="92"/>
    </row>
    <row r="211">
      <c r="L211" s="92"/>
    </row>
    <row r="212">
      <c r="L212" s="92"/>
    </row>
    <row r="213">
      <c r="L213" s="92"/>
    </row>
    <row r="214">
      <c r="L214" s="92"/>
    </row>
    <row r="215">
      <c r="L215" s="92"/>
    </row>
    <row r="216">
      <c r="L216" s="92"/>
    </row>
    <row r="217">
      <c r="L217" s="92"/>
    </row>
    <row r="218">
      <c r="L218" s="92"/>
    </row>
    <row r="219">
      <c r="L219" s="92"/>
    </row>
    <row r="220">
      <c r="L220" s="92"/>
    </row>
    <row r="221">
      <c r="L221" s="92"/>
    </row>
    <row r="222">
      <c r="L222" s="92"/>
    </row>
    <row r="223">
      <c r="L223" s="92"/>
    </row>
    <row r="224">
      <c r="L224" s="92"/>
    </row>
    <row r="225">
      <c r="L225" s="92"/>
    </row>
    <row r="226">
      <c r="L226" s="92"/>
    </row>
    <row r="227">
      <c r="L227" s="92"/>
    </row>
    <row r="228">
      <c r="L228" s="92"/>
    </row>
    <row r="229">
      <c r="L229" s="92"/>
    </row>
    <row r="230">
      <c r="L230" s="92"/>
    </row>
    <row r="231">
      <c r="L231" s="92"/>
    </row>
    <row r="232">
      <c r="L232" s="92"/>
    </row>
    <row r="233">
      <c r="L233" s="92"/>
    </row>
    <row r="234">
      <c r="L234" s="92"/>
    </row>
    <row r="235">
      <c r="L235" s="92"/>
    </row>
    <row r="236">
      <c r="L236" s="92"/>
    </row>
    <row r="237">
      <c r="L237" s="92"/>
    </row>
    <row r="238">
      <c r="L238" s="92"/>
    </row>
    <row r="239">
      <c r="L239" s="92"/>
    </row>
    <row r="240">
      <c r="L240" s="92"/>
    </row>
    <row r="241">
      <c r="L241" s="92"/>
    </row>
    <row r="242">
      <c r="L242" s="92"/>
    </row>
    <row r="243">
      <c r="L243" s="92"/>
    </row>
    <row r="244">
      <c r="L244" s="92"/>
    </row>
    <row r="245">
      <c r="L245" s="92"/>
    </row>
    <row r="246">
      <c r="L246" s="92"/>
    </row>
    <row r="247">
      <c r="L247" s="92"/>
    </row>
    <row r="248">
      <c r="L248" s="92"/>
    </row>
    <row r="249">
      <c r="L249" s="92"/>
    </row>
    <row r="250">
      <c r="L250" s="92"/>
    </row>
    <row r="251">
      <c r="L251" s="92"/>
    </row>
    <row r="252">
      <c r="L252" s="92"/>
    </row>
    <row r="253">
      <c r="L253" s="92"/>
    </row>
    <row r="254">
      <c r="L254" s="92"/>
    </row>
    <row r="255">
      <c r="L255" s="92"/>
    </row>
    <row r="256">
      <c r="L256" s="92"/>
    </row>
    <row r="257">
      <c r="L257" s="92"/>
    </row>
    <row r="258">
      <c r="L258" s="92"/>
    </row>
    <row r="259">
      <c r="L259" s="92"/>
    </row>
    <row r="260">
      <c r="L260" s="92"/>
    </row>
    <row r="261">
      <c r="L261" s="92"/>
    </row>
    <row r="262">
      <c r="L262" s="92"/>
    </row>
    <row r="263">
      <c r="L263" s="92"/>
    </row>
    <row r="264">
      <c r="L264" s="92"/>
    </row>
    <row r="265">
      <c r="L265" s="92"/>
    </row>
    <row r="266">
      <c r="L266" s="92"/>
    </row>
    <row r="267">
      <c r="L267" s="92"/>
    </row>
    <row r="268">
      <c r="L268" s="92"/>
    </row>
    <row r="269">
      <c r="L269" s="92"/>
    </row>
    <row r="270">
      <c r="L270" s="92"/>
    </row>
    <row r="271">
      <c r="L271" s="92"/>
    </row>
    <row r="272">
      <c r="L272" s="92"/>
    </row>
    <row r="273">
      <c r="L273" s="92"/>
    </row>
    <row r="274">
      <c r="L274" s="92"/>
    </row>
    <row r="275">
      <c r="L275" s="92"/>
    </row>
    <row r="276">
      <c r="L276" s="92"/>
    </row>
    <row r="277">
      <c r="L277" s="92"/>
    </row>
    <row r="278">
      <c r="L278" s="92"/>
    </row>
    <row r="279">
      <c r="L279" s="92"/>
    </row>
    <row r="280">
      <c r="L280" s="92"/>
    </row>
    <row r="281">
      <c r="L281" s="92"/>
    </row>
    <row r="282">
      <c r="L282" s="92"/>
    </row>
    <row r="283">
      <c r="L283" s="92"/>
    </row>
    <row r="284">
      <c r="L284" s="92"/>
    </row>
    <row r="285">
      <c r="L285" s="92"/>
    </row>
    <row r="286">
      <c r="L286" s="92"/>
    </row>
    <row r="287">
      <c r="L287" s="92"/>
    </row>
    <row r="288">
      <c r="L288" s="92"/>
    </row>
    <row r="289">
      <c r="L289" s="92"/>
    </row>
    <row r="290">
      <c r="L290" s="92"/>
    </row>
    <row r="291">
      <c r="L291" s="92"/>
    </row>
    <row r="292">
      <c r="L292" s="92"/>
    </row>
    <row r="293">
      <c r="L293" s="92"/>
    </row>
    <row r="294">
      <c r="L294" s="92"/>
    </row>
    <row r="295">
      <c r="L295" s="92"/>
    </row>
    <row r="296">
      <c r="L296" s="92"/>
    </row>
    <row r="297">
      <c r="L297" s="92"/>
    </row>
    <row r="298">
      <c r="L298" s="92"/>
    </row>
    <row r="299">
      <c r="L299" s="92"/>
    </row>
    <row r="300">
      <c r="L300" s="92"/>
    </row>
    <row r="301">
      <c r="L301" s="92"/>
    </row>
    <row r="302">
      <c r="L302" s="92"/>
    </row>
    <row r="303">
      <c r="L303" s="92"/>
    </row>
    <row r="304">
      <c r="L304" s="92"/>
    </row>
    <row r="305">
      <c r="L305" s="92"/>
    </row>
    <row r="306">
      <c r="L306" s="92"/>
    </row>
    <row r="307">
      <c r="L307" s="92"/>
    </row>
    <row r="308">
      <c r="L308" s="92"/>
    </row>
    <row r="309">
      <c r="L309" s="92"/>
    </row>
    <row r="310">
      <c r="L310" s="92"/>
    </row>
    <row r="311">
      <c r="L311" s="92"/>
    </row>
    <row r="312">
      <c r="L312" s="92"/>
    </row>
    <row r="313">
      <c r="L313" s="92"/>
    </row>
    <row r="314">
      <c r="L314" s="92"/>
    </row>
    <row r="315">
      <c r="L315" s="92"/>
    </row>
    <row r="316">
      <c r="L316" s="92"/>
    </row>
    <row r="317">
      <c r="L317" s="92"/>
    </row>
    <row r="318">
      <c r="L318" s="92"/>
    </row>
    <row r="319">
      <c r="L319" s="92"/>
    </row>
    <row r="320">
      <c r="L320" s="92"/>
    </row>
    <row r="321">
      <c r="L321" s="92"/>
    </row>
    <row r="322">
      <c r="L322" s="92"/>
    </row>
    <row r="323">
      <c r="L323" s="92"/>
    </row>
    <row r="324">
      <c r="L324" s="92"/>
    </row>
    <row r="325">
      <c r="L325" s="92"/>
    </row>
    <row r="326">
      <c r="L326" s="92"/>
    </row>
    <row r="327">
      <c r="L327" s="92"/>
    </row>
    <row r="328">
      <c r="L328" s="92"/>
    </row>
    <row r="329">
      <c r="L329" s="92"/>
    </row>
    <row r="330">
      <c r="L330" s="92"/>
    </row>
    <row r="331">
      <c r="L331" s="92"/>
    </row>
    <row r="332">
      <c r="L332" s="92"/>
    </row>
    <row r="333">
      <c r="L333" s="92"/>
    </row>
    <row r="334">
      <c r="L334" s="92"/>
    </row>
    <row r="335">
      <c r="L335" s="92"/>
    </row>
    <row r="336">
      <c r="L336" s="92"/>
    </row>
    <row r="337">
      <c r="L337" s="92"/>
    </row>
    <row r="338">
      <c r="L338" s="92"/>
    </row>
    <row r="339">
      <c r="L339" s="92"/>
    </row>
    <row r="340">
      <c r="L340" s="92"/>
    </row>
    <row r="341">
      <c r="L341" s="92"/>
    </row>
    <row r="342">
      <c r="L342" s="92"/>
    </row>
    <row r="343">
      <c r="L343" s="92"/>
    </row>
    <row r="344">
      <c r="L344" s="92"/>
    </row>
    <row r="345">
      <c r="L345" s="92"/>
    </row>
    <row r="346">
      <c r="L346" s="92"/>
    </row>
    <row r="347">
      <c r="L347" s="92"/>
    </row>
    <row r="348">
      <c r="L348" s="92"/>
    </row>
    <row r="349">
      <c r="L349" s="92"/>
    </row>
    <row r="350">
      <c r="L350" s="92"/>
    </row>
    <row r="351">
      <c r="L351" s="92"/>
    </row>
    <row r="352">
      <c r="L352" s="92"/>
    </row>
    <row r="353">
      <c r="L353" s="92"/>
    </row>
    <row r="354">
      <c r="L354" s="92"/>
    </row>
    <row r="355">
      <c r="L355" s="92"/>
    </row>
    <row r="356">
      <c r="L356" s="92"/>
    </row>
    <row r="357">
      <c r="L357" s="92"/>
    </row>
    <row r="358">
      <c r="L358" s="92"/>
    </row>
    <row r="359">
      <c r="L359" s="92"/>
    </row>
    <row r="360">
      <c r="L360" s="92"/>
    </row>
    <row r="361">
      <c r="L361" s="92"/>
    </row>
    <row r="362">
      <c r="L362" s="92"/>
    </row>
    <row r="363">
      <c r="L363" s="92"/>
    </row>
    <row r="364">
      <c r="L364" s="92"/>
    </row>
    <row r="365">
      <c r="L365" s="92"/>
    </row>
    <row r="366">
      <c r="L366" s="92"/>
    </row>
    <row r="367">
      <c r="L367" s="92"/>
    </row>
    <row r="368">
      <c r="L368" s="92"/>
    </row>
    <row r="369">
      <c r="L369" s="92"/>
    </row>
    <row r="370">
      <c r="L370" s="92"/>
    </row>
    <row r="371">
      <c r="L371" s="92"/>
    </row>
    <row r="372">
      <c r="L372" s="92"/>
    </row>
    <row r="373">
      <c r="L373" s="92"/>
    </row>
    <row r="374">
      <c r="L374" s="92"/>
    </row>
    <row r="375">
      <c r="L375" s="92"/>
    </row>
    <row r="376">
      <c r="L376" s="92"/>
    </row>
    <row r="377">
      <c r="L377" s="92"/>
    </row>
    <row r="378">
      <c r="L378" s="92"/>
    </row>
    <row r="379">
      <c r="L379" s="92"/>
    </row>
    <row r="380">
      <c r="L380" s="92"/>
    </row>
    <row r="381">
      <c r="L381" s="92"/>
    </row>
    <row r="382">
      <c r="L382" s="92"/>
    </row>
    <row r="383">
      <c r="L383" s="92"/>
    </row>
    <row r="384">
      <c r="L384" s="92"/>
    </row>
    <row r="385">
      <c r="L385" s="92"/>
    </row>
    <row r="386">
      <c r="L386" s="92"/>
    </row>
    <row r="387">
      <c r="L387" s="92"/>
    </row>
    <row r="388">
      <c r="L388" s="92"/>
    </row>
    <row r="389">
      <c r="L389" s="92"/>
    </row>
    <row r="390">
      <c r="L390" s="92"/>
    </row>
    <row r="391">
      <c r="L391" s="92"/>
    </row>
    <row r="392">
      <c r="L392" s="92"/>
    </row>
    <row r="393">
      <c r="L393" s="92"/>
    </row>
    <row r="394">
      <c r="L394" s="92"/>
    </row>
    <row r="395">
      <c r="L395" s="92"/>
    </row>
    <row r="396">
      <c r="L396" s="92"/>
    </row>
    <row r="397">
      <c r="L397" s="92"/>
    </row>
    <row r="398">
      <c r="L398" s="92"/>
    </row>
    <row r="399">
      <c r="L399" s="92"/>
    </row>
    <row r="400">
      <c r="L400" s="92"/>
    </row>
    <row r="401">
      <c r="L401" s="92"/>
    </row>
    <row r="402">
      <c r="L402" s="92"/>
    </row>
    <row r="403">
      <c r="L403" s="92"/>
    </row>
    <row r="404">
      <c r="L404" s="92"/>
    </row>
    <row r="405">
      <c r="L405" s="92"/>
    </row>
    <row r="406">
      <c r="L406" s="92"/>
    </row>
    <row r="407">
      <c r="L407" s="92"/>
    </row>
    <row r="408">
      <c r="L408" s="92"/>
    </row>
    <row r="409">
      <c r="L409" s="92"/>
    </row>
    <row r="410">
      <c r="L410" s="92"/>
    </row>
    <row r="411">
      <c r="L411" s="92"/>
    </row>
    <row r="412">
      <c r="L412" s="92"/>
    </row>
    <row r="413">
      <c r="L413" s="92"/>
    </row>
    <row r="414">
      <c r="L414" s="92"/>
    </row>
    <row r="415">
      <c r="L415" s="92"/>
    </row>
    <row r="416">
      <c r="L416" s="92"/>
    </row>
    <row r="417">
      <c r="L417" s="92"/>
    </row>
    <row r="418">
      <c r="L418" s="92"/>
    </row>
    <row r="419">
      <c r="L419" s="92"/>
    </row>
    <row r="420">
      <c r="L420" s="92"/>
    </row>
    <row r="421">
      <c r="L421" s="92"/>
    </row>
    <row r="422">
      <c r="L422" s="92"/>
    </row>
    <row r="423">
      <c r="L423" s="92"/>
    </row>
    <row r="424">
      <c r="L424" s="92"/>
    </row>
    <row r="425">
      <c r="L425" s="92"/>
    </row>
    <row r="426">
      <c r="L426" s="92"/>
    </row>
    <row r="427">
      <c r="L427" s="92"/>
    </row>
    <row r="428">
      <c r="L428" s="92"/>
    </row>
    <row r="429">
      <c r="L429" s="92"/>
    </row>
    <row r="430">
      <c r="L430" s="92"/>
    </row>
    <row r="431">
      <c r="L431" s="92"/>
    </row>
    <row r="432">
      <c r="L432" s="92"/>
    </row>
    <row r="433">
      <c r="L433" s="92"/>
    </row>
    <row r="434">
      <c r="L434" s="92"/>
    </row>
    <row r="435">
      <c r="L435" s="92"/>
    </row>
    <row r="436">
      <c r="L436" s="92"/>
    </row>
    <row r="437">
      <c r="L437" s="92"/>
    </row>
    <row r="438">
      <c r="L438" s="92"/>
    </row>
    <row r="439">
      <c r="L439" s="92"/>
    </row>
    <row r="440">
      <c r="L440" s="92"/>
    </row>
    <row r="441">
      <c r="L441" s="92"/>
    </row>
    <row r="442">
      <c r="L442" s="92"/>
    </row>
    <row r="443">
      <c r="L443" s="92"/>
    </row>
    <row r="444">
      <c r="L444" s="92"/>
    </row>
    <row r="445">
      <c r="L445" s="92"/>
    </row>
    <row r="446">
      <c r="L446" s="92"/>
    </row>
    <row r="447">
      <c r="L447" s="92"/>
    </row>
    <row r="448">
      <c r="L448" s="92"/>
    </row>
    <row r="449">
      <c r="L449" s="92"/>
    </row>
    <row r="450">
      <c r="L450" s="92"/>
    </row>
    <row r="451">
      <c r="L451" s="92"/>
    </row>
    <row r="452">
      <c r="L452" s="92"/>
    </row>
    <row r="453">
      <c r="L453" s="92"/>
    </row>
    <row r="454">
      <c r="L454" s="92"/>
    </row>
    <row r="455">
      <c r="L455" s="92"/>
    </row>
    <row r="456">
      <c r="L456" s="92"/>
    </row>
    <row r="457">
      <c r="L457" s="92"/>
    </row>
    <row r="458">
      <c r="L458" s="92"/>
    </row>
    <row r="459">
      <c r="L459" s="92"/>
    </row>
    <row r="460">
      <c r="L460" s="92"/>
    </row>
    <row r="461">
      <c r="L461" s="92"/>
    </row>
    <row r="462">
      <c r="L462" s="92"/>
    </row>
    <row r="463">
      <c r="L463" s="92"/>
    </row>
    <row r="464">
      <c r="L464" s="92"/>
    </row>
    <row r="465">
      <c r="L465" s="92"/>
    </row>
    <row r="466">
      <c r="L466" s="92"/>
    </row>
    <row r="467">
      <c r="L467" s="92"/>
    </row>
  </sheetData>
  <conditionalFormatting sqref="J2">
    <cfRule type="cellIs" dxfId="18" priority="1" operator="equal">
      <formula>" "</formula>
    </cfRule>
  </conditionalFormatting>
  <conditionalFormatting sqref="J2">
    <cfRule type="cellIs" dxfId="15" priority="2" operator="equal">
      <formula>"Rejected"</formula>
    </cfRule>
  </conditionalFormatting>
  <conditionalFormatting sqref="J2">
    <cfRule type="cellIs" dxfId="11" priority="3" operator="equal">
      <formula>"Closed"</formula>
    </cfRule>
  </conditionalFormatting>
  <conditionalFormatting sqref="J2">
    <cfRule type="cellIs" dxfId="10" priority="4" operator="equal">
      <formula>"Open"</formula>
    </cfRule>
  </conditionalFormatting>
  <conditionalFormatting sqref="B2">
    <cfRule type="cellIs" dxfId="19" priority="5" operator="equal">
      <formula>"WinGame"</formula>
    </cfRule>
  </conditionalFormatting>
  <conditionalFormatting sqref="B2">
    <cfRule type="cellIs" dxfId="5" priority="6" operator="equal">
      <formula>"IndieGala"</formula>
    </cfRule>
  </conditionalFormatting>
  <conditionalFormatting sqref="B2">
    <cfRule type="cellIs" dxfId="17" priority="7" operator="equal">
      <formula>"GamesLoad"</formula>
    </cfRule>
  </conditionalFormatting>
  <conditionalFormatting sqref="B2">
    <cfRule type="cellIs" dxfId="16" priority="8" operator="equal">
      <formula>"Voidu"</formula>
    </cfRule>
  </conditionalFormatting>
  <conditionalFormatting sqref="B2">
    <cfRule type="cellIs" dxfId="14" priority="9" operator="equal">
      <formula>"G2A"</formula>
    </cfRule>
  </conditionalFormatting>
  <conditionalFormatting sqref="B2">
    <cfRule type="cellIs" dxfId="13" priority="10" operator="equal">
      <formula>"GamesPlanet"</formula>
    </cfRule>
  </conditionalFormatting>
  <conditionalFormatting sqref="B2">
    <cfRule type="cellIs" dxfId="12" priority="11" operator="equal">
      <formula>"GreenMan"</formula>
    </cfRule>
  </conditionalFormatting>
  <conditionalFormatting sqref="B2">
    <cfRule type="cellIs" dxfId="9" priority="12" operator="equal">
      <formula>"Gamivo"</formula>
    </cfRule>
  </conditionalFormatting>
  <conditionalFormatting sqref="B2">
    <cfRule type="cellIs" dxfId="8" priority="13" operator="equal">
      <formula>"Fanatical"</formula>
    </cfRule>
  </conditionalFormatting>
  <conditionalFormatting sqref="B2">
    <cfRule type="cellIs" dxfId="7" priority="14" operator="equal">
      <formula>"Eneba"</formula>
    </cfRule>
  </conditionalFormatting>
  <conditionalFormatting sqref="B2">
    <cfRule type="cellIs" dxfId="6" priority="15" operator="equal">
      <formula>"Chrono"</formula>
    </cfRule>
  </conditionalFormatting>
  <conditionalFormatting sqref="A1">
    <cfRule type="cellIs" dxfId="5" priority="16" operator="equal">
      <formula>"Chrono"</formula>
    </cfRule>
  </conditionalFormatting>
  <conditionalFormatting sqref="B1">
    <cfRule type="cellIs" dxfId="6" priority="17" operator="equal">
      <formula>"Chrono"</formula>
    </cfRule>
  </conditionalFormatting>
  <conditionalFormatting sqref="B1">
    <cfRule type="cellIs" dxfId="7" priority="18" operator="equal">
      <formula>"Eneba"</formula>
    </cfRule>
  </conditionalFormatting>
  <conditionalFormatting sqref="B1">
    <cfRule type="cellIs" dxfId="8" priority="19" operator="equal">
      <formula>"Fanatical"</formula>
    </cfRule>
  </conditionalFormatting>
  <conditionalFormatting sqref="B1">
    <cfRule type="cellIs" dxfId="9" priority="20" operator="equal">
      <formula>"Gamivo"</formula>
    </cfRule>
  </conditionalFormatting>
  <conditionalFormatting sqref="B1">
    <cfRule type="cellIs" dxfId="12" priority="21" operator="equal">
      <formula>"GreenMan"</formula>
    </cfRule>
  </conditionalFormatting>
  <conditionalFormatting sqref="B1">
    <cfRule type="cellIs" dxfId="13" priority="22" operator="equal">
      <formula>"GamesUS"</formula>
    </cfRule>
  </conditionalFormatting>
  <conditionalFormatting sqref="B1">
    <cfRule type="cellIs" dxfId="14" priority="23" operator="equal">
      <formula>"G2A"</formula>
    </cfRule>
  </conditionalFormatting>
  <conditionalFormatting sqref="J1">
    <cfRule type="cellIs" dxfId="10" priority="24" operator="equal">
      <formula>"Open"</formula>
    </cfRule>
  </conditionalFormatting>
  <conditionalFormatting sqref="J1">
    <cfRule type="cellIs" dxfId="11" priority="25" operator="equal">
      <formula>"Closed"</formula>
    </cfRule>
  </conditionalFormatting>
  <conditionalFormatting sqref="J1">
    <cfRule type="cellIs" dxfId="15" priority="26" operator="equal">
      <formula>"Rejected"</formula>
    </cfRule>
  </conditionalFormatting>
  <dataValidations>
    <dataValidation type="list" allowBlank="1" sqref="J1">
      <formula1>"Open,Closed,Rejected"</formula1>
    </dataValidation>
    <dataValidation type="list" allowBlank="1" sqref="B2">
      <formula1>"Other,Eneba,Fanatical,GamesPlanet,Gamivo,GreenMan,G2A,IndieGala,K4G,CDKeys,King,WinGame,HRK,InstGam,GamersGate,GamersOutlet,MMOGA"</formula1>
    </dataValidation>
    <dataValidation type="custom" allowBlank="1" showDropDown="1" sqref="C1:D2">
      <formula1>OR(NOT(ISERROR(DATEVALUE(C1))), AND(ISNUMBER(C1), LEFT(CELL("format", C1))="D"))</formula1>
    </dataValidation>
    <dataValidation type="list" allowBlank="1" sqref="B1">
      <formula1>"Chrono,Eneba,Fanatical,GamesDe,GamesUK,GamesUS,Gamivo,GreenMan,G2A"</formula1>
    </dataValidation>
    <dataValidation type="list" allowBlank="1" sqref="J2">
      <formula1>"Open,Closed,Rejected"</formula1>
    </dataValidation>
  </dataValidations>
  <hyperlinks>
    <hyperlink r:id="rId1" location="verified-promos-section" ref="B29"/>
    <hyperlink r:id="rId2" ref="A31"/>
  </hyperlinks>
  <drawing r:id="rId3"/>
</worksheet>
</file>